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<sst xmlns="http://schemas.openxmlformats.org/spreadsheetml/2006/main" count="11281" uniqueCount="11281">
  <si>
    <t>Date Type:</t>
  </si>
  <si>
    <t>Shipped Date</t>
  </si>
  <si>
    <t>Start Date:</t>
  </si>
  <si>
    <t>08/01/2024</t>
  </si>
  <si>
    <t>End Date:</t>
  </si>
  <si>
    <t>08/31/2024</t>
  </si>
  <si>
    <t>Report Run Date:</t>
  </si>
  <si>
    <t>09/02/2024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</si>
  <si>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</si>
  <si>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</si>
  <si>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</si>
  <si>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</si>
  <si>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</si>
  <si>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</si>
  <si>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</si>
  <si>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</si>
  <si>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OVERSTOCK01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</si>
  <si>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</si>
  <si>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</si>
  <si>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</si>
  <si>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</si>
  <si>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</si>
  <si>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</si>
  <si>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</si>
  <si>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</si>
  <si>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</si>
  <si>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</si>
  <si>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</si>
  <si>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</si>
  <si>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</si>
  <si>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</si>
  <si>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</si>
  <si>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</si>
  <si>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</si>
  <si>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</si>
  <si>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</si>
  <si>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</si>
  <si>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</si>
  <si>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</si>
  <si>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</si>
  <si>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</si>
  <si>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</si>
  <si>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</si>
  <si>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</si>
  <si>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</si>
  <si>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</si>
  <si>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</si>
  <si>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</si>
  <si>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</si>
  <si>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</si>
  <si>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</si>
  <si>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</si>
  <si>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</si>
  <si>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</si>
  <si>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</si>
  <si>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</si>
  <si>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</si>
  <si>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</si>
  <si>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</si>
  <si>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</si>
  <si>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</si>
  <si>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</si>
  <si>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</si>
  <si>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</si>
  <si>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</si>
  <si>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</si>
  <si>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</si>
  <si>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</si>
  <si>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</si>
  <si>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</si>
  <si>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</si>
  <si>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</si>
  <si>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</si>
  <si>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</si>
  <si>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</si>
  <si>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</si>
  <si>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</si>
  <si>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</si>
  <si>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</si>
  <si>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</si>
  <si>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</si>
  <si>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</si>
  <si>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</si>
  <si>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</si>
  <si>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</si>
  <si>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</si>
  <si>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</si>
  <si>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</si>
  <si>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</si>
  <si>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</si>
  <si>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</si>
  <si>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</si>
  <si>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</si>
  <si>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</si>
  <si>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</si>
  <si>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</si>
  <si>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</si>
  <si>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</si>
  <si>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</si>
  <si>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</si>
  <si>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</si>
  <si>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</si>
  <si>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</si>
  <si>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</si>
  <si>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</si>
  <si>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</si>
  <si>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08/09/2024</t>
  </si>
  <si>
    <t>08/11/2024</t>
  </si>
  <si>
    <t>08/12/2024</t>
  </si>
  <si>
    <t>08/14/2024</t>
  </si>
  <si>
    <t>08/15/2024</t>
  </si>
  <si>
    <t>08/16/2024</t>
  </si>
  <si>
    <t>08/19/2024</t>
  </si>
  <si>
    <t>08/20/2024</t>
  </si>
  <si>
    <t>08/21/2024</t>
  </si>
  <si>
    <t>08/22/2024</t>
  </si>
  <si>
    <t>08/23/2024</t>
  </si>
  <si>
    <t>08/26/2024</t>
  </si>
  <si>
    <t>08/28/2024</t>
  </si>
  <si>
    <t>08/29/2024</t>
  </si>
  <si>
    <t>08/30/2024</t>
  </si>
  <si>
    <t>09/01/2024</t>
  </si>
  <si>
    <t>09/05/2024</t>
  </si>
  <si>
    <t>09/06/2024</t>
  </si>
  <si>
    <t>09/08/2024</t>
  </si>
  <si>
    <t>09/09/2024</t>
  </si>
  <si>
    <t>09/10/2024</t>
  </si>
  <si>
    <t>09/12/2024</t>
  </si>
  <si>
    <t>09/13/2024</t>
  </si>
  <si>
    <t>09/15/2024</t>
  </si>
  <si>
    <t>09/16/2024</t>
  </si>
  <si>
    <t>09/17/2024</t>
  </si>
  <si>
    <t>09/19/2024</t>
  </si>
  <si>
    <t>09/20/2024</t>
  </si>
  <si>
    <t>09/21/2024</t>
  </si>
  <si>
    <t>09/22/2024</t>
  </si>
  <si>
    <t>09/23/2024</t>
  </si>
  <si>
    <t>09/24/2024</t>
  </si>
  <si>
    <t>09/25/2024</t>
  </si>
  <si>
    <t>09/26/2024</t>
  </si>
  <si>
    <t>09/27/2024</t>
  </si>
  <si>
    <t>09/28/2024</t>
  </si>
  <si>
    <t>09/29/2024</t>
  </si>
  <si>
    <t>09/30/2024</t>
  </si>
  <si>
    <t>10/01/2024</t>
  </si>
  <si>
    <t>10/02/2024</t>
  </si>
  <si>
    <t>10/03/2024</t>
  </si>
  <si>
    <t>10/04/2024</t>
  </si>
  <si>
    <t>10/05/2024</t>
  </si>
  <si>
    <t>10/06/2024</t>
  </si>
  <si>
    <t>10/07/2024</t>
  </si>
  <si>
    <t>10/08/2024</t>
  </si>
  <si>
    <t>10/09/2024</t>
  </si>
  <si>
    <t>10/10/2024</t>
  </si>
  <si>
    <t>10/11/2024</t>
  </si>
  <si>
    <t>10/12/2024</t>
  </si>
  <si>
    <t>10/13/2024</t>
  </si>
  <si>
    <t>10/14/2024</t>
  </si>
  <si>
    <t>10/15/2024</t>
  </si>
  <si>
    <t>10/16/2024</t>
  </si>
  <si>
    <t>10/17/2024</t>
  </si>
  <si>
    <t>10/18/2024</t>
  </si>
  <si>
    <t>10/19/2024</t>
  </si>
  <si>
    <t>10/20/2024</t>
  </si>
  <si>
    <t>10/21/2024</t>
  </si>
  <si>
    <t>10/22/2024</t>
  </si>
  <si>
    <t>10/23/2024</t>
  </si>
  <si>
    <t>10/24/2024</t>
  </si>
  <si>
    <t>10/25/2024</t>
  </si>
  <si>
    <t>10/26/2024</t>
  </si>
  <si>
    <t>10/27/2024</t>
  </si>
  <si>
    <t>10/28/2024</t>
  </si>
  <si>
    <t>10/29/2024</t>
  </si>
  <si>
    <t>10/30/2024</t>
  </si>
  <si>
    <t>10/31/2024</t>
  </si>
  <si>
    <t>11/01/2024</t>
  </si>
  <si>
    <t>11/02/2024</t>
  </si>
  <si>
    <t>11/03/2024</t>
  </si>
  <si>
    <t>11/04/2024</t>
  </si>
  <si>
    <t>11/05/2024</t>
  </si>
  <si>
    <t>11/06/2024</t>
  </si>
  <si>
    <t>11/07/2024</t>
  </si>
  <si>
    <t>11/08/2024</t>
  </si>
  <si>
    <t>11/09/2024</t>
  </si>
  <si>
    <t>11/10/2024</t>
  </si>
  <si>
    <t>11/11/2024</t>
  </si>
  <si>
    <t>11/12/2024</t>
  </si>
  <si>
    <t>11/13/2024</t>
  </si>
  <si>
    <t>11/15/2024</t>
  </si>
  <si>
    <t>11/17/2024</t>
  </si>
  <si>
    <t>11/18/2024</t>
  </si>
  <si>
    <t>11/19/2024</t>
  </si>
  <si>
    <t>11/20/2024</t>
  </si>
  <si>
    <t>11/22/2024</t>
  </si>
  <si>
    <t>11/23/2024</t>
  </si>
  <si>
    <t>11/24/2024</t>
  </si>
  <si>
    <t>11/25/2024</t>
  </si>
  <si>
    <t>11/27/2024</t>
  </si>
  <si>
    <t>11/28/2024</t>
  </si>
  <si>
    <t>11/29/2024</t>
  </si>
  <si>
    <t>11/30/2024</t>
  </si>
  <si>
    <t>12/01/2024</t>
  </si>
  <si>
    <t>12/02/2024</t>
  </si>
  <si>
    <t>12/03/2024</t>
  </si>
  <si>
    <t>12/04/2024</t>
  </si>
  <si>
    <t>12/05/2024</t>
  </si>
  <si>
    <t>12/07/2024</t>
  </si>
  <si>
    <t>12/08/2024</t>
  </si>
  <si>
    <t>12/10/2024</t>
  </si>
  <si>
    <t>12/11/2024</t>
  </si>
  <si>
    <t>12/12/2024</t>
  </si>
  <si>
    <t>12/13/2024</t>
  </si>
  <si>
    <t>12/14/2024</t>
  </si>
  <si>
    <t>12/15/2024</t>
  </si>
  <si>
    <t>12/16/2024</t>
  </si>
  <si>
    <t>12/17/2024</t>
  </si>
  <si>
    <t>12/18/2024</t>
  </si>
  <si>
    <t>12/21/2024</t>
  </si>
  <si>
    <t>12/25/2024</t>
  </si>
  <si>
    <t>01/01/2025</t>
  </si>
  <si>
    <t>01/08/2025</t>
  </si>
  <si>
    <t>01/15/2025</t>
  </si>
  <si>
    <t>MPT51-0061</t>
  </si>
  <si>
    <t>BLK</t>
  </si>
  <si>
    <t>MP2 by Madison Park</t>
  </si>
  <si>
    <t>BLANKET</t>
  </si>
  <si>
    <t>Blanket</t>
  </si>
  <si>
    <t>.</t>
  </si>
  <si>
    <t/>
  </si>
  <si>
    <t>Weighted Blanket with Reversible Cover</t>
  </si>
  <si>
    <t>41x60"-10lbs</t>
  </si>
  <si>
    <t>Gray</t>
  </si>
  <si>
    <t>Inactive</t>
  </si>
  <si>
    <t>TBD</t>
  </si>
  <si>
    <t>NO</t>
  </si>
  <si>
    <t>OVERSCONSIGN</t>
  </si>
  <si>
    <t>Solid</t>
  </si>
  <si>
    <t>9/6/2019</t>
  </si>
  <si>
    <t>N/A</t>
  </si>
  <si>
    <t>Open</t>
  </si>
  <si>
    <t>Active</t>
  </si>
  <si>
    <t>No</t>
  </si>
  <si>
    <t>MPT51-0062</t>
  </si>
  <si>
    <t>MPT51-0070</t>
  </si>
  <si>
    <t>60x80"-20lbs</t>
  </si>
  <si>
    <t>MPT51-0071</t>
  </si>
  <si>
    <t>60x80"-25lbs</t>
  </si>
  <si>
    <t>MPT51-0063</t>
  </si>
  <si>
    <t>36x48"-5lbs</t>
  </si>
  <si>
    <t>Grey</t>
  </si>
  <si>
    <t>MPT51-0066</t>
  </si>
  <si>
    <t>Navy</t>
  </si>
  <si>
    <t>MPT51-0065</t>
  </si>
  <si>
    <t>MPT51-0064</t>
  </si>
  <si>
    <t>48x72"-15lbs</t>
  </si>
  <si>
    <t>MPT51-0072</t>
  </si>
  <si>
    <t>MPT51-0073</t>
  </si>
  <si>
    <t>BASI16-0381</t>
  </si>
  <si>
    <t>BASI</t>
  </si>
  <si>
    <t>Sleep Philosophy</t>
  </si>
  <si>
    <t>MATT PAD/TOPPER</t>
  </si>
  <si>
    <t>Mattress Toppers</t>
  </si>
  <si>
    <t>1.5" Gel Memory Foam</t>
  </si>
  <si>
    <t>All Season Reversible Hypoallergenic 1.5" Cooling Mattress Topper</t>
  </si>
  <si>
    <t>Twin</t>
  </si>
  <si>
    <t>Blue</t>
  </si>
  <si>
    <t>B</t>
  </si>
  <si>
    <t>PF002105</t>
  </si>
  <si>
    <t>Foam</t>
  </si>
  <si>
    <t>Casual</t>
  </si>
  <si>
    <t>4/2/2017</t>
  </si>
  <si>
    <t>AAFESDS,AMAZON,AMAZONDS,BLK01,CSNSTORES,KOHLDSN,MACY02,OLLIIX,TGTDVS,WALMARTDS</t>
  </si>
  <si>
    <t>17764100-000-000</t>
  </si>
  <si>
    <t>Tier 3</t>
  </si>
  <si>
    <t>Setup</t>
  </si>
  <si>
    <t>7/30/2016</t>
  </si>
  <si>
    <t>8/5/2016</t>
  </si>
  <si>
    <t>BASI16-0416</t>
  </si>
  <si>
    <t>Twin XL</t>
  </si>
  <si>
    <t>AAFESDS,AMAZON,AMAZONDS,JCPENNEY01,KOHLDSN,MACY02,OLLIIX,TGTDVS,WALMARTDS</t>
  </si>
  <si>
    <t>17764100-000-005</t>
  </si>
  <si>
    <t>8/27/2016</t>
  </si>
  <si>
    <t>1/31/2017</t>
  </si>
  <si>
    <t>BASI16-0382</t>
  </si>
  <si>
    <t>Full</t>
  </si>
  <si>
    <t>AMAZON,CSNSTORES,JCPENNEY01,KOHLDSN,MACY02,TGTDVS,WALMARTDS,ZOLA</t>
  </si>
  <si>
    <t>17764100-000-001</t>
  </si>
  <si>
    <t>7/15/2016</t>
  </si>
  <si>
    <t>BASI16-0383</t>
  </si>
  <si>
    <t>Queen</t>
  </si>
  <si>
    <t>AMAZON,AMAZONDS,BLK01,CSNSTORES,HSNDS,JCPENNEY01,KOHLDSN,MACY02,OLLIIX,TGTDVS,WALMARTDS,ZOLA</t>
  </si>
  <si>
    <t>17764100-000-002</t>
  </si>
  <si>
    <t>2/19/2016</t>
  </si>
  <si>
    <t>BASI16-0384</t>
  </si>
  <si>
    <t>King</t>
  </si>
  <si>
    <t>AMAZON,BLK01,JCPENNEY01,KOHLDSN,MACY02,TGTDVS,ZOLA</t>
  </si>
  <si>
    <t>17764100-000-003</t>
  </si>
  <si>
    <t>1/11/2016</t>
  </si>
  <si>
    <t>MP20-8503</t>
  </si>
  <si>
    <t>SHET</t>
  </si>
  <si>
    <t>Madison Park</t>
  </si>
  <si>
    <t>SHEET/SHEET SET</t>
  </si>
  <si>
    <t>Sheet/Sheet Set</t>
  </si>
  <si>
    <t>1500 Thread Count</t>
  </si>
  <si>
    <t>Cotton Blend 4 PC Sheet Set</t>
  </si>
  <si>
    <t>Black</t>
  </si>
  <si>
    <t>PP001239;PF006418</t>
  </si>
  <si>
    <t>CVC</t>
  </si>
  <si>
    <t>4</t>
  </si>
  <si>
    <t>Glam/Luxury</t>
  </si>
  <si>
    <t>MP20-8504</t>
  </si>
  <si>
    <t>MP20-8505</t>
  </si>
  <si>
    <t>Cal King</t>
  </si>
  <si>
    <t>BASI16-0386</t>
  </si>
  <si>
    <t>2" Gel Memory Foam with 3M Cover</t>
  </si>
  <si>
    <t>Mattress Topper</t>
  </si>
  <si>
    <t>White</t>
  </si>
  <si>
    <t>PF002107</t>
  </si>
  <si>
    <t>KOHLDSN,OLLIIX,TGTDVS</t>
  </si>
  <si>
    <t>17764099-000-000</t>
  </si>
  <si>
    <t>7/3/2017</t>
  </si>
  <si>
    <t>BASI16-0387</t>
  </si>
  <si>
    <t>KOHLDSN,MACY02,OLLIIX,ZOLA</t>
  </si>
  <si>
    <t>17764099-000-001</t>
  </si>
  <si>
    <t>10/9/2017</t>
  </si>
  <si>
    <t>BASI16-0389</t>
  </si>
  <si>
    <t>CSNSTORES,KOHLDSN,MACY02,OLLIIX,TGTDVS,ZOLA</t>
  </si>
  <si>
    <t>17764099-000-003</t>
  </si>
  <si>
    <t>11/21/2016</t>
  </si>
  <si>
    <t>BASI16-0471</t>
  </si>
  <si>
    <t>2" Gel Memory Foam with Cooling Cover</t>
  </si>
  <si>
    <t>2"Gel Memory Foam with Cooling Cover</t>
  </si>
  <si>
    <t>All Season Reversible Hypoallergenic Cooling Mattress Topper</t>
  </si>
  <si>
    <t>C</t>
  </si>
  <si>
    <t>PF002152</t>
  </si>
  <si>
    <t>CSNSTORES,KOHLDSN,MACY02,OLLIIX,TGTDVS</t>
  </si>
  <si>
    <t>19965443-000-002</t>
  </si>
  <si>
    <t>Tier 4</t>
  </si>
  <si>
    <t>11/1/2016</t>
  </si>
  <si>
    <t>2/2/2017</t>
  </si>
  <si>
    <t>BASI16-0473</t>
  </si>
  <si>
    <t>BLK01,CSNSTORES,KOHLDSN,MACY02</t>
  </si>
  <si>
    <t>19965443-000-004</t>
  </si>
  <si>
    <t>2/9/2017</t>
  </si>
  <si>
    <t>MPE20-1044</t>
  </si>
  <si>
    <t>Madison Park Essentials</t>
  </si>
  <si>
    <t>200 Thread Count Printed Cotton</t>
  </si>
  <si>
    <t>Sheet Set</t>
  </si>
  <si>
    <t>Black Island</t>
  </si>
  <si>
    <t>PP001858;PF006130</t>
  </si>
  <si>
    <t>Cotton</t>
  </si>
  <si>
    <t>Coastal</t>
  </si>
  <si>
    <t>4/6/2024</t>
  </si>
  <si>
    <t>AMAZON,JCPENNEY01,TGTDVS</t>
  </si>
  <si>
    <t>42128528-000-012</t>
  </si>
  <si>
    <t>4/17/2024</t>
  </si>
  <si>
    <t>MPE20-1045</t>
  </si>
  <si>
    <t>CSNSTORES,JCPENNEY01,KOHLDSN,TGTDVS</t>
  </si>
  <si>
    <t>42128528-000-013</t>
  </si>
  <si>
    <t>MPE20-1046</t>
  </si>
  <si>
    <t>AMAZON,JCPENNEY01,KOHLDSN,TGTDVS</t>
  </si>
  <si>
    <t>42128528-000-014</t>
  </si>
  <si>
    <t>5/23/2024</t>
  </si>
  <si>
    <t>MPE20-1041</t>
  </si>
  <si>
    <t>Blue Palmetto</t>
  </si>
  <si>
    <t>PP001858;PF006129</t>
  </si>
  <si>
    <t>KOHLDSN,TGTDVS</t>
  </si>
  <si>
    <t>42128528-000-015</t>
  </si>
  <si>
    <t>MPE20-1043</t>
  </si>
  <si>
    <t>AMAZON,KOHLDSN,NRTPORT,TGTDVS</t>
  </si>
  <si>
    <t>42128528-000-017</t>
  </si>
  <si>
    <t>MPE20-1012</t>
  </si>
  <si>
    <t>Blue Stripe</t>
  </si>
  <si>
    <t>PP001858;PF005942</t>
  </si>
  <si>
    <t>Stripe</t>
  </si>
  <si>
    <t>3/22/2023</t>
  </si>
  <si>
    <t>AMAZON,CSNSTORES,HDDS,JCPENNEY01,KOHLDSN,MACY02,NRTPORT,TGTDVS</t>
  </si>
  <si>
    <t>42128528-000-005</t>
  </si>
  <si>
    <t>8/17/2023</t>
  </si>
  <si>
    <t>10/24/2023</t>
  </si>
  <si>
    <t>MPE20-1014</t>
  </si>
  <si>
    <t>AMAZON,CSNSTORES,JCPENNEY01,KOHLDSN,MACY02,TGTDVS</t>
  </si>
  <si>
    <t>42128528-000-007</t>
  </si>
  <si>
    <t>1/23/2024</t>
  </si>
  <si>
    <t>MPE20-1006</t>
  </si>
  <si>
    <t>Green Leaves</t>
  </si>
  <si>
    <t>PP001858;PF005940</t>
  </si>
  <si>
    <t>Botanical</t>
  </si>
  <si>
    <t>AMAZON,BLK01,FINGERHUTDS,JCPENNEY01,KOHLDSN,MACY02,TGTDVS</t>
  </si>
  <si>
    <t>42128528-000-003</t>
  </si>
  <si>
    <t>11/18/2023</t>
  </si>
  <si>
    <t>MPE20-1016</t>
  </si>
  <si>
    <t>Grey Stripe</t>
  </si>
  <si>
    <t>PP001858;PF005943</t>
  </si>
  <si>
    <t>AMAZON,CSNSTORES,JCPENNEY01,KOHLDSN,MACY02,NRTPORT,OLLIIX,TGTDVS</t>
  </si>
  <si>
    <t>42128528-000-011</t>
  </si>
  <si>
    <t>12/18/2023</t>
  </si>
  <si>
    <t>MPE20-1017</t>
  </si>
  <si>
    <t>AMAZON,CSNSTORES,JCPENNEY01,KOHLDSN,MACY02,OLLIIX,TGTDVS</t>
  </si>
  <si>
    <t>42128528-000-002</t>
  </si>
  <si>
    <t>11/13/2023</t>
  </si>
  <si>
    <t>MPE20-1009</t>
  </si>
  <si>
    <t>Tan Leaves</t>
  </si>
  <si>
    <t>PP001858;PF005941</t>
  </si>
  <si>
    <t>CSNSTORES,JCPENNEY01,KOHLDSN,MACY02,TGTDVS</t>
  </si>
  <si>
    <t>42128528-000-009</t>
  </si>
  <si>
    <t>MPE20-1011</t>
  </si>
  <si>
    <t>AMAZON,FINGERHUTDS,JCPENNEY01,KOHLDSN,MACY02,TGTDVS</t>
  </si>
  <si>
    <t>42128528-000-001</t>
  </si>
  <si>
    <t>9/28/2023</t>
  </si>
  <si>
    <t>BASI16-0593</t>
  </si>
  <si>
    <t>Mattress Pad</t>
  </si>
  <si>
    <t>2-in-1</t>
  </si>
  <si>
    <t>Cool/Warm Reversible Waterproof and Stain Release Mattress Pad</t>
  </si>
  <si>
    <t>PP001897;PF006054</t>
  </si>
  <si>
    <t>Microfiber</t>
  </si>
  <si>
    <t>1</t>
  </si>
  <si>
    <t>Modern/Contemporary</t>
  </si>
  <si>
    <t>9/13/2023</t>
  </si>
  <si>
    <t>AMAZON,BLK01,CSNSTORES,JCPENNEY01,KOHLDSN,MACY02,OLLIIX,TGTDVS</t>
  </si>
  <si>
    <t>42656846-000-001</t>
  </si>
  <si>
    <t>9/18/2023</t>
  </si>
  <si>
    <t>10/9/2023</t>
  </si>
  <si>
    <t>BASI16-0417</t>
  </si>
  <si>
    <t>3" Gel Memory Foam</t>
  </si>
  <si>
    <t>PF002106</t>
  </si>
  <si>
    <t>AMAZON,BEALLSDS,BIGLOTSDS,BLK01,KOHLDSN,MACY02,OLLIIX,TGTDVS,WALMARTDS,Zulily</t>
  </si>
  <si>
    <t>19524730-000-000</t>
  </si>
  <si>
    <t>9/15/2016</t>
  </si>
  <si>
    <t>12/9/2016</t>
  </si>
  <si>
    <t>BASI16-0419</t>
  </si>
  <si>
    <t>AMAZON,BLK01,HSNDS,MACY02,OLLIIX,TGTDVS,WALMARTDS,ZOLA</t>
  </si>
  <si>
    <t>19524730-000-002</t>
  </si>
  <si>
    <t>10/31/2016</t>
  </si>
  <si>
    <t>BASI16-0420</t>
  </si>
  <si>
    <t>AMAZON,BEALLSDS,BIGLOTSDS,BLK01,KOHLDSN,MACY02,OLLIIX,TGTDVS,WALMARTDS,ZOLA</t>
  </si>
  <si>
    <t>19524730-000-003</t>
  </si>
  <si>
    <t>9/30/2016</t>
  </si>
  <si>
    <t>BASI16-0391</t>
  </si>
  <si>
    <t>3" Gel Memory Foam with 3M Cover</t>
  </si>
  <si>
    <t>PF002108</t>
  </si>
  <si>
    <t>AAFESDS,AMAZON,DESINC,KOHLDSN,MACY02,OLLIIX,TGTDVS</t>
  </si>
  <si>
    <t>17764101-000-000</t>
  </si>
  <si>
    <t>9/12/2016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</si>
  <si>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</si>
  <si>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</si>
  <si>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</si>
  <si>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</si>
  <si>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</si>
  <si>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AMAZON,CSNSTORES,HDDS,KOHLDSN,MACY02,OLLIIX,TGTDVS,ZOLA</t>
  </si>
  <si>
    <t>19965442-000-000</t>
  </si>
  <si>
    <t>7/7/2017</t>
  </si>
  <si>
    <t>BASI16-0479</t>
  </si>
  <si>
    <t>AAFESDS,HDDS,JCPENNEY01,KOHLDSN,MACY02,OLLIIX,TGTDVS,ZOLA</t>
  </si>
  <si>
    <t>19965442-000-004</t>
  </si>
  <si>
    <t>1/30/2017</t>
  </si>
  <si>
    <t>CSP16-1527</t>
  </si>
  <si>
    <t>Clean Spaces</t>
  </si>
  <si>
    <t>3" Green Tea Foam Topper with Cooling Cover</t>
  </si>
  <si>
    <t>3" Green Tea Foam Topper with Cooling Removable Cover</t>
  </si>
  <si>
    <t>Green</t>
  </si>
  <si>
    <t>Close-out</t>
  </si>
  <si>
    <t>PP001781;PF005729</t>
  </si>
  <si>
    <t>Transitional</t>
  </si>
  <si>
    <t>8/18/2022</t>
  </si>
  <si>
    <t>JCPENNEY01,MACY02,OLLIIX,TGTDVS</t>
  </si>
  <si>
    <t>40289713-000-001</t>
  </si>
  <si>
    <t>8/23/2022</t>
  </si>
  <si>
    <t>12/12/2023</t>
  </si>
  <si>
    <t>CSP16-1528</t>
  </si>
  <si>
    <t>AMAZONDS,JCPENNEY01,MACY02,OLLIIX,TGTDVS,ZOLA,Zulily</t>
  </si>
  <si>
    <t>40289713-000-000</t>
  </si>
  <si>
    <t>9/8/2022</t>
  </si>
  <si>
    <t>CSP16-1529</t>
  </si>
  <si>
    <t>AMAZONDS,JCPENNEY01,MACY02,TGTDVS</t>
  </si>
  <si>
    <t>40289713-000-003</t>
  </si>
  <si>
    <t>12/7/2022</t>
  </si>
  <si>
    <t>MP20-8254</t>
  </si>
  <si>
    <t>300 Thread Count Organic Cotton</t>
  </si>
  <si>
    <t>Deep Pocket Sheet Set</t>
  </si>
  <si>
    <t>Ivory</t>
  </si>
  <si>
    <t>PP001890;PF006025</t>
  </si>
  <si>
    <t>8/26/2023</t>
  </si>
  <si>
    <t>11/4/2024</t>
  </si>
  <si>
    <t>TGTDVS</t>
  </si>
  <si>
    <t>42171343-000-001</t>
  </si>
  <si>
    <t>8/29/2023</t>
  </si>
  <si>
    <t>10/5/2023</t>
  </si>
  <si>
    <t>CSP20-1509</t>
  </si>
  <si>
    <t>300TC BCI Cotton</t>
  </si>
  <si>
    <t>300TC BCI Cotton Sheet Set</t>
  </si>
  <si>
    <t>Donation</t>
  </si>
  <si>
    <t>PF005684;PP001750</t>
  </si>
  <si>
    <t>5/26/2022</t>
  </si>
  <si>
    <t>MACY02,TGTDVS</t>
  </si>
  <si>
    <t>40014637-000-003</t>
  </si>
  <si>
    <t>5/31/2022</t>
  </si>
  <si>
    <t>4/21/2024</t>
  </si>
  <si>
    <t>CSP20-1514</t>
  </si>
  <si>
    <t>PP001750;PF005685</t>
  </si>
  <si>
    <t>3</t>
  </si>
  <si>
    <t>JCPENNEY01,MACY02,TGTDVS</t>
  </si>
  <si>
    <t>40014637-000-006</t>
  </si>
  <si>
    <t>5/28/2022</t>
  </si>
  <si>
    <t>12/4/2023</t>
  </si>
  <si>
    <t>CSP20-1515</t>
  </si>
  <si>
    <t>40014637-000-002</t>
  </si>
  <si>
    <t>5/30/2022</t>
  </si>
  <si>
    <t>CSP20-1516</t>
  </si>
  <si>
    <t>JCPENNEY01,KOHLDSN,MACY02,TGTDVS</t>
  </si>
  <si>
    <t>40014637-000-007</t>
  </si>
  <si>
    <t>3/7/2024</t>
  </si>
  <si>
    <t>CSP20-1517</t>
  </si>
  <si>
    <t>40014637-000-001</t>
  </si>
  <si>
    <t>9/1/2023</t>
  </si>
  <si>
    <t>CSP21-1518</t>
  </si>
  <si>
    <t>PILLOWCASE</t>
  </si>
  <si>
    <t>Pillowcase</t>
  </si>
  <si>
    <t>300TC 2PK BCI Cotton Pillowcase</t>
  </si>
  <si>
    <t>Standard Case</t>
  </si>
  <si>
    <t>2</t>
  </si>
  <si>
    <t>CSNSTORES,KOHLDSN</t>
  </si>
  <si>
    <t>40014636-000-000</t>
  </si>
  <si>
    <t>5/13/2024</t>
  </si>
  <si>
    <t>CSP20-1521</t>
  </si>
  <si>
    <t>Seafoam</t>
  </si>
  <si>
    <t>PP001750;PF005686</t>
  </si>
  <si>
    <t>BLK01,JCPENNEY01,KOHLDSN,MACY02,TGTDVS</t>
  </si>
  <si>
    <t>40014637-000-011</t>
  </si>
  <si>
    <t>2/20/2024</t>
  </si>
  <si>
    <t>CSP20-1522</t>
  </si>
  <si>
    <t>40014637-000-008</t>
  </si>
  <si>
    <t>6/2/2022</t>
  </si>
  <si>
    <t>CSP20-1523</t>
  </si>
  <si>
    <t>40014637-000-015</t>
  </si>
  <si>
    <t>CSP20-1503</t>
  </si>
  <si>
    <t>PF005683;PP001750</t>
  </si>
  <si>
    <t>CSNSTORES,MACY02,TGTDVS</t>
  </si>
  <si>
    <t>40014637-000-013</t>
  </si>
  <si>
    <t>4/10/2024</t>
  </si>
  <si>
    <t>MP20-1185</t>
  </si>
  <si>
    <t>3M Microcell</t>
  </si>
  <si>
    <t>Luxurious Brushed Microfiber Deep Pocket Sheet Set</t>
  </si>
  <si>
    <t>PF001786</t>
  </si>
  <si>
    <t>BLK01,CSNSTORES,JCPENNEY01,KOHLDSN,MACY02,OLLIIX,TGTDVS</t>
  </si>
  <si>
    <t>16596275-000-010</t>
  </si>
  <si>
    <t>6/1/2015</t>
  </si>
  <si>
    <t>MP20-2447</t>
  </si>
  <si>
    <t>CSNSTORES,DESINC,HSNDS,JCPENNEY01,KOHLDSN,MACY02</t>
  </si>
  <si>
    <t>16596275-000-039</t>
  </si>
  <si>
    <t>5/17/2016</t>
  </si>
  <si>
    <t>MP20-1189</t>
  </si>
  <si>
    <t>BLK01,CSNSTORES,HDDS,HSNDS,JCPENNEY01,KOHLDSN,MACY02,TGTDVS</t>
  </si>
  <si>
    <t>16596275-000-014</t>
  </si>
  <si>
    <t>12/7/2015</t>
  </si>
  <si>
    <t>MP20-4388</t>
  </si>
  <si>
    <t>Blush</t>
  </si>
  <si>
    <t>PF001792</t>
  </si>
  <si>
    <t>5/17/2017</t>
  </si>
  <si>
    <t>AMAZONDS,HDDS,HSNDS,JCPENNEY01,KOHLDSN,MACY02,WALMARTDS</t>
  </si>
  <si>
    <t>16596275-000-040</t>
  </si>
  <si>
    <t>4/25/2017</t>
  </si>
  <si>
    <t>6/21/2017</t>
  </si>
  <si>
    <t>MP20-4391</t>
  </si>
  <si>
    <t>10/4/2024</t>
  </si>
  <si>
    <t>AMAZON,AMAZONDS,BEALLSDS,CSNSTORES,HSNDS,JCPENNEY01,KOHLDSN,MACY02,OLLIIX,WALMARTDS,ZOLA</t>
  </si>
  <si>
    <t>16596275-000-043</t>
  </si>
  <si>
    <t>6/5/2017</t>
  </si>
  <si>
    <t>MP20-4392</t>
  </si>
  <si>
    <t>AMAZON,AMAZONDS,BLK01,CSNSTORES,HDDS,HSNDS,JCPENNEY01,KOHLDSN,MACY02,OLLIIX,WALMARTDS,ZOLA</t>
  </si>
  <si>
    <t>16596275-000-044</t>
  </si>
  <si>
    <t>5/31/2017</t>
  </si>
  <si>
    <t>MP20-4393</t>
  </si>
  <si>
    <t>AMAZON,AMAZONDS,HDDS,JCPENNEY01,KOHLDSN,MACY02,ZOLA</t>
  </si>
  <si>
    <t>16596275-000-045</t>
  </si>
  <si>
    <t>3/15/2018</t>
  </si>
  <si>
    <t>MP20-2383</t>
  </si>
  <si>
    <t>PF001789</t>
  </si>
  <si>
    <t>JCPENNEY01,KOHLDSN,MACY02,OLLIIX</t>
  </si>
  <si>
    <t>16596275-000-025</t>
  </si>
  <si>
    <t>5/10/2016</t>
  </si>
  <si>
    <t>MP20-2384</t>
  </si>
  <si>
    <t>BLK01,JCPENNEY01,KOHLDSN,MACY02,NRTPORT,OLLIIX,ZOLA</t>
  </si>
  <si>
    <t>16596275-000-027</t>
  </si>
  <si>
    <t>3/24/2016</t>
  </si>
  <si>
    <t>MP20-2387</t>
  </si>
  <si>
    <t>AMAZON,HDDS,JCPENNEY01,KOHLDSN,MACY02</t>
  </si>
  <si>
    <t>16596275-000-030</t>
  </si>
  <si>
    <t>4/22/2016</t>
  </si>
  <si>
    <t>MP20-1180</t>
  </si>
  <si>
    <t>PF001785</t>
  </si>
  <si>
    <t>CSNSTORES,HSNDS,JCPENNEY01,KOHLDSN,MACY02,OLLIIX,TGTDVS,WALMARTDS</t>
  </si>
  <si>
    <t>16596275-000-005</t>
  </si>
  <si>
    <t>2/17/2015</t>
  </si>
  <si>
    <t>MP20-1181</t>
  </si>
  <si>
    <t>BLK01,CSNSTORES,HSNDS,JCPENNEY01,KOHLDSN,MACY02,TGTDVS</t>
  </si>
  <si>
    <t>16596275-000-006</t>
  </si>
  <si>
    <t>MP20-1190</t>
  </si>
  <si>
    <t>Khaki</t>
  </si>
  <si>
    <t>PF001787</t>
  </si>
  <si>
    <t>BLK01,CSNSTORES,JCPENNEY01,KOHLDSN,MACY02,TGTDVS</t>
  </si>
  <si>
    <t>16596275-000-015</t>
  </si>
  <si>
    <t>3/20/2015</t>
  </si>
  <si>
    <t>MP20-1191</t>
  </si>
  <si>
    <t>16596275-000-016</t>
  </si>
  <si>
    <t>1/12/2015</t>
  </si>
  <si>
    <t>MP20-1192</t>
  </si>
  <si>
    <t>BLK01,CSNSTORES,HDDS,HSNDS,JCPENNEY01,KOHLDSN,MACY02,OLLIIX,TGTDVS</t>
  </si>
  <si>
    <t>16596275-000-017</t>
  </si>
  <si>
    <t>1/5/2015</t>
  </si>
  <si>
    <t>MP20-1194</t>
  </si>
  <si>
    <t>CSNSTORES,HSNDS,JCPENNEY01,KOHLDSN,MACY02,TGTDVS</t>
  </si>
  <si>
    <t>16596275-000-019</t>
  </si>
  <si>
    <t>MP20-6334</t>
  </si>
  <si>
    <t>Purple</t>
  </si>
  <si>
    <t>PP001177;PF004673</t>
  </si>
  <si>
    <t>5/4/2019</t>
  </si>
  <si>
    <t>CSNSTORES,HDDS,JCPENNEY01,KOHLDSN,MACY02</t>
  </si>
  <si>
    <t>16596275-000-056</t>
  </si>
  <si>
    <t>5/23/2019</t>
  </si>
  <si>
    <t>9/30/2019</t>
  </si>
  <si>
    <t>MP20-6338</t>
  </si>
  <si>
    <t>KOHLDSN</t>
  </si>
  <si>
    <t>16596275-000-052</t>
  </si>
  <si>
    <t>4/17/2020</t>
  </si>
  <si>
    <t>MP20-2388</t>
  </si>
  <si>
    <t>PF001791</t>
  </si>
  <si>
    <t>AMAZON,AMAZONDS,HDDS,JCPENNEY01,KOHLDSN,MACY02,OLLIIX</t>
  </si>
  <si>
    <t>16596275-000-031</t>
  </si>
  <si>
    <t>6/23/2016</t>
  </si>
  <si>
    <t>MP20-2444</t>
  </si>
  <si>
    <t>AMAZON,BLK01,CSNSTORES,DESINC,HDDS,HSNDS,JCPENNEY01,KOHLDSN,MACY02,WALMARTDS</t>
  </si>
  <si>
    <t>16596275-000-032</t>
  </si>
  <si>
    <t>4/13/2016</t>
  </si>
  <si>
    <t>MP20-2389</t>
  </si>
  <si>
    <t>AMAZON,AMAZONDS,BLK01,CSNSTORES,HSNDS,JCPENNEY01,KOHLDSN,MACY02</t>
  </si>
  <si>
    <t>16596275-000-033</t>
  </si>
  <si>
    <t>7/20/2016</t>
  </si>
  <si>
    <t>MP20-2390</t>
  </si>
  <si>
    <t>AMAZON,AMAZONDS,BLK01,CSNSTORES,HSNDS,JCPENNEY01,KOHLDSN,MACY02,OLLIIX,ZOLA,Zulily</t>
  </si>
  <si>
    <t>16596275-000-034</t>
  </si>
  <si>
    <t>4/11/2016</t>
  </si>
  <si>
    <t>MP20-2391</t>
  </si>
  <si>
    <t>AMAZON,AMAZONDS,BLK01,CSNSTORES,HDDS,HSNDS,JCPENNEY01,KOHLDSN,MACY02,WALMARTDS,ZOLA</t>
  </si>
  <si>
    <t>16596275-000-035</t>
  </si>
  <si>
    <t>4/5/2016</t>
  </si>
  <si>
    <t>MP20-2392</t>
  </si>
  <si>
    <t>AMAZON,AMAZONDS,JCPENNEY01,KOHLDSN,MACY02</t>
  </si>
  <si>
    <t>16596275-000-036</t>
  </si>
  <si>
    <t>MP20-6340</t>
  </si>
  <si>
    <t>Teal</t>
  </si>
  <si>
    <t>PP001177;PF004674</t>
  </si>
  <si>
    <t>CSNSTORES,HDDS,JCPENNEY01,KOHLDSN,MACY02,NRTPORT,Zulily</t>
  </si>
  <si>
    <t>16596275-000-048</t>
  </si>
  <si>
    <t>7/22/2019</t>
  </si>
  <si>
    <t>MP20-6344</t>
  </si>
  <si>
    <t>DESINC,HDDS,KOHLDSN,MACY02,OLLIIX</t>
  </si>
  <si>
    <t>16596275-000-049</t>
  </si>
  <si>
    <t>8/11/2020</t>
  </si>
  <si>
    <t>MP20-2445</t>
  </si>
  <si>
    <t>PF001784</t>
  </si>
  <si>
    <t>CSNSTORES,HDDS,JCPENNEY01,KOHLDSN,MACY02,OLLIIX</t>
  </si>
  <si>
    <t>16596275-000-037</t>
  </si>
  <si>
    <t>MP20-1177</t>
  </si>
  <si>
    <t>BLK01,CSNSTORES,HDDS,HSNDS,JCPENNEY01,KOHLDSN,MACY02,OLLIIX,TGTDVS,Zulily</t>
  </si>
  <si>
    <t>16596275-000-002</t>
  </si>
  <si>
    <t>2/6/2015</t>
  </si>
  <si>
    <t>MP20-1179</t>
  </si>
  <si>
    <t>16596275-000-004</t>
  </si>
  <si>
    <t>1/21/2015</t>
  </si>
  <si>
    <t>SHET20-732</t>
  </si>
  <si>
    <t>Peak Performance</t>
  </si>
  <si>
    <t>3M Scotchgard Micro Fleece</t>
  </si>
  <si>
    <t>Anti-Pill Sheet Set</t>
  </si>
  <si>
    <t>PF001798</t>
  </si>
  <si>
    <t>Fleece</t>
  </si>
  <si>
    <t>AMAZON,MACY02,TGTDVS</t>
  </si>
  <si>
    <t>16620311-000-021</t>
  </si>
  <si>
    <t>9/28/2015</t>
  </si>
  <si>
    <t>SHET20-733</t>
  </si>
  <si>
    <t>4/12/2017</t>
  </si>
  <si>
    <t>AMAZON,CSNSTORES,KOHLDSN,MACY02</t>
  </si>
  <si>
    <t>16620311-000-022</t>
  </si>
  <si>
    <t>7/22/2015</t>
  </si>
  <si>
    <t>SHET20-734</t>
  </si>
  <si>
    <t>AMAZON,CSNSTORES,KOHLDSN,WALMARTDS</t>
  </si>
  <si>
    <t>16620311-000-023</t>
  </si>
  <si>
    <t>10/16/2015</t>
  </si>
  <si>
    <t>SHET20-591</t>
  </si>
  <si>
    <t>PF001795</t>
  </si>
  <si>
    <t>AMAZON,CSNSTORES</t>
  </si>
  <si>
    <t>16620311-000-009</t>
  </si>
  <si>
    <t>1/4/2015</t>
  </si>
  <si>
    <t>SHET20-592</t>
  </si>
  <si>
    <t>16620311-000-010</t>
  </si>
  <si>
    <t>6/15/2015</t>
  </si>
  <si>
    <t>SHET20-727</t>
  </si>
  <si>
    <t>Mink</t>
  </si>
  <si>
    <t>PF001797</t>
  </si>
  <si>
    <t>AMAZONDS</t>
  </si>
  <si>
    <t>16620311-000-016</t>
  </si>
  <si>
    <t>11/9/2015</t>
  </si>
  <si>
    <t>SHET20-728</t>
  </si>
  <si>
    <t>16620311-000-017</t>
  </si>
  <si>
    <t>9/8/2015</t>
  </si>
  <si>
    <t>SHET20-586</t>
  </si>
  <si>
    <t>PF001794</t>
  </si>
  <si>
    <t>5/12/2017</t>
  </si>
  <si>
    <t>MACY02</t>
  </si>
  <si>
    <t>16620311-000-004</t>
  </si>
  <si>
    <t>SHET20-588</t>
  </si>
  <si>
    <t>KOHLDSN,MACY02,TGTDVS,WALMARTDS</t>
  </si>
  <si>
    <t>16620311-000-006</t>
  </si>
  <si>
    <t>MP20-8229</t>
  </si>
  <si>
    <t>500 Thread Count Egyptian Cotton</t>
  </si>
  <si>
    <t>B+</t>
  </si>
  <si>
    <t>PP001884;PF006013</t>
  </si>
  <si>
    <t>9/9/2024</t>
  </si>
  <si>
    <t>42171344-000-001</t>
  </si>
  <si>
    <t>9/11/2023</t>
  </si>
  <si>
    <t>MP20-8230</t>
  </si>
  <si>
    <t>AMAZON,OLLIIX,ZOLA</t>
  </si>
  <si>
    <t>42171344-000-003</t>
  </si>
  <si>
    <t>9/6/2023</t>
  </si>
  <si>
    <t>MP20-8233</t>
  </si>
  <si>
    <t>Lilac</t>
  </si>
  <si>
    <t>PP001884;PF006014</t>
  </si>
  <si>
    <t>AMAZON</t>
  </si>
  <si>
    <t>42171344-000-000</t>
  </si>
  <si>
    <t>9/29/2023</t>
  </si>
  <si>
    <t>BR20-4700</t>
  </si>
  <si>
    <t>Beautyrest</t>
  </si>
  <si>
    <t>600 Thread Count</t>
  </si>
  <si>
    <t>Cooling Cotton Blend 4 PC Sheet Set</t>
  </si>
  <si>
    <t>PP001188;PF006417</t>
  </si>
  <si>
    <t>Tier 1</t>
  </si>
  <si>
    <t>BR20-4701</t>
  </si>
  <si>
    <t>BR20-4702</t>
  </si>
  <si>
    <t>BR20-4703</t>
  </si>
  <si>
    <t>MP20-8005</t>
  </si>
  <si>
    <t>Pima Cotton Sheet Set</t>
  </si>
  <si>
    <t>Rose Gold</t>
  </si>
  <si>
    <t>PF005754</t>
  </si>
  <si>
    <t>Traditional</t>
  </si>
  <si>
    <t>7/19/2022</t>
  </si>
  <si>
    <t>9/1/2024</t>
  </si>
  <si>
    <t>DESINC,JCPENNEY01</t>
  </si>
  <si>
    <t>15389857-000-040</t>
  </si>
  <si>
    <t>8/9/2022</t>
  </si>
  <si>
    <t>9/1/2022</t>
  </si>
  <si>
    <t>BR20-1899</t>
  </si>
  <si>
    <t>700 Thread Count</t>
  </si>
  <si>
    <t>Cotton Tri-Blend 4 PC Sheet Set</t>
  </si>
  <si>
    <t>PP001512;PF005137</t>
  </si>
  <si>
    <t>10/30/2020</t>
  </si>
  <si>
    <t>HDDS,JCPENNEY01,KOHLDSN</t>
  </si>
  <si>
    <t>36909435-000-004</t>
  </si>
  <si>
    <t>11/6/2020</t>
  </si>
  <si>
    <t>BR20-1900</t>
  </si>
  <si>
    <t>BLK01,FINGERHUTDS,HDDS,JCPENNEY01,KOHLDSN,MACY02,NORDSTRACKDS,NRTPORT,Zulily</t>
  </si>
  <si>
    <t>36909435-000-009</t>
  </si>
  <si>
    <t>1/5/2021</t>
  </si>
  <si>
    <t>BR20-1903</t>
  </si>
  <si>
    <t>PP001512;PF005138</t>
  </si>
  <si>
    <t>BLK01,FINGERHUTDS,JCPENNEY01,KOHLDSN,MACY02</t>
  </si>
  <si>
    <t>36909435-000-015</t>
  </si>
  <si>
    <t>2/14/2021</t>
  </si>
  <si>
    <t>BR20-1906</t>
  </si>
  <si>
    <t>JCPENNEY01,NRTPORT</t>
  </si>
  <si>
    <t>36909435-000-012</t>
  </si>
  <si>
    <t>8/2/2021</t>
  </si>
  <si>
    <t>MPS73-526</t>
  </si>
  <si>
    <t>TOWL</t>
  </si>
  <si>
    <t>Madison Park Signature</t>
  </si>
  <si>
    <t>BATH TOWEL</t>
  </si>
  <si>
    <t>Bath Towel</t>
  </si>
  <si>
    <t>800gsm</t>
  </si>
  <si>
    <t>100% Cotton Bath Sheet Antimicrobial 2 Piece Set</t>
  </si>
  <si>
    <t>34x68" – 2PK</t>
  </si>
  <si>
    <t>NEW</t>
  </si>
  <si>
    <t>PP001046;PF005089</t>
  </si>
  <si>
    <t>5/8/2024</t>
  </si>
  <si>
    <t>12/4/2024</t>
  </si>
  <si>
    <t>AMAZON,AMAZONDS,BLK01,CSNSTORES,KOHLDSN,MACY02</t>
  </si>
  <si>
    <t>32728291-000-008</t>
  </si>
  <si>
    <t>MPS73-195</t>
  </si>
  <si>
    <t>800GSM</t>
  </si>
  <si>
    <t>100% Cotton 8 Piece Antimicrobial Towel Set</t>
  </si>
  <si>
    <t>8-Piece</t>
  </si>
  <si>
    <t>Coral</t>
  </si>
  <si>
    <t>PF001495;PP001046</t>
  </si>
  <si>
    <t>8</t>
  </si>
  <si>
    <t>Luxury</t>
  </si>
  <si>
    <t>AMAZON,BLK01,CSNSTORES,HDDS,JCPENNEY01,KOHLDSN,MACY02,OLLIIX,TGTDVS,WALMARTDS</t>
  </si>
  <si>
    <t>19614786-000-007</t>
  </si>
  <si>
    <t>9/27/2016</t>
  </si>
  <si>
    <t>10/25/2016</t>
  </si>
  <si>
    <t>MPS73-530</t>
  </si>
  <si>
    <t>Dark Green</t>
  </si>
  <si>
    <t>PP001046</t>
  </si>
  <si>
    <t>AMAZON,AMAZONDS,BLK01,KOHLDSN,MACY02</t>
  </si>
  <si>
    <t>32728291-000-006</t>
  </si>
  <si>
    <t>MPS73-540</t>
  </si>
  <si>
    <t>100% Cotton Bath 8 Piece Set</t>
  </si>
  <si>
    <t>Dark Navy</t>
  </si>
  <si>
    <t>PP001046;PF006307</t>
  </si>
  <si>
    <t>7/27/2024</t>
  </si>
  <si>
    <t>MACY02,OLLIIX</t>
  </si>
  <si>
    <t>32728291-000-010</t>
  </si>
  <si>
    <t>MPS73-539</t>
  </si>
  <si>
    <t>Olive Green</t>
  </si>
  <si>
    <t>PP001046;PF006306</t>
  </si>
  <si>
    <t>7/25/2024</t>
  </si>
  <si>
    <t>32728291-000-011</t>
  </si>
  <si>
    <t>MPS73-192</t>
  </si>
  <si>
    <t>A+</t>
  </si>
  <si>
    <t>PF001492;PP001046</t>
  </si>
  <si>
    <t>AMAZON,AMAZONDS,BLK01,CSNSTORES,DESINC,JCPENNEY01,KOHLDSN,MACY02,OLLIIX,TGTDVS</t>
  </si>
  <si>
    <t>19614786-000-004</t>
  </si>
  <si>
    <t>10/24/2016</t>
  </si>
  <si>
    <t>MPS73-528</t>
  </si>
  <si>
    <t>32728291-000-007</t>
  </si>
  <si>
    <t>MPS73-191</t>
  </si>
  <si>
    <t>Silver</t>
  </si>
  <si>
    <t>PF001491;PP001046</t>
  </si>
  <si>
    <t>AMAZON,AMAZONDS,BLK01,CSNSTORES,HDDS,JCPENNEY01,KOHLDSN,MACY02,OLLIIX,TGTDVS,ZOLA</t>
  </si>
  <si>
    <t>19614786-000-003</t>
  </si>
  <si>
    <t>10/28/2016</t>
  </si>
  <si>
    <t>MPS73-541</t>
  </si>
  <si>
    <t>Taupe</t>
  </si>
  <si>
    <t>PP001046;PF006308</t>
  </si>
  <si>
    <t>7/26/2024</t>
  </si>
  <si>
    <t>32728291-000-009</t>
  </si>
  <si>
    <t>II150-0130</t>
  </si>
  <si>
    <t>LGT</t>
  </si>
  <si>
    <t>INK+IVY</t>
  </si>
  <si>
    <t>LGT-CHANDELIERS</t>
  </si>
  <si>
    <t>Chandeliers</t>
  </si>
  <si>
    <t>Abbott</t>
  </si>
  <si>
    <t>4-Light Metal Shade Chandelier</t>
  </si>
  <si>
    <t>See below</t>
  </si>
  <si>
    <t>Black/Gold</t>
  </si>
  <si>
    <t>Other</t>
  </si>
  <si>
    <t>Mid-Century</t>
  </si>
  <si>
    <t>40565603-000-000</t>
  </si>
  <si>
    <t>10/6/2022</t>
  </si>
  <si>
    <t>11/6/2023</t>
  </si>
  <si>
    <t>ID12-2116</t>
  </si>
  <si>
    <t>YOUT</t>
  </si>
  <si>
    <t xml:space="preserve">Intelligent Design </t>
  </si>
  <si>
    <t>DUVET&amp;DUVET SET</t>
  </si>
  <si>
    <t>Duvet&amp;Duvet Set</t>
  </si>
  <si>
    <t>Abby</t>
  </si>
  <si>
    <t>Lara</t>
  </si>
  <si>
    <t>Nicole</t>
  </si>
  <si>
    <t>Metallic Printed and Pintucked Duvet Cover Set</t>
  </si>
  <si>
    <t>Twin/Twin XL</t>
  </si>
  <si>
    <t>Aqua blue</t>
  </si>
  <si>
    <t>PP001741;PF005662</t>
  </si>
  <si>
    <t>Abstract</t>
  </si>
  <si>
    <t>2/19/2022</t>
  </si>
  <si>
    <t>JCPENNEY01,KOHLDSN,TGTDVS</t>
  </si>
  <si>
    <t>32471385-000-002</t>
  </si>
  <si>
    <t>3/2/2022</t>
  </si>
  <si>
    <t>8/31/2022</t>
  </si>
  <si>
    <t>MP95G-0299</t>
  </si>
  <si>
    <t>ART</t>
  </si>
  <si>
    <t>FRAMED GRAPHICS</t>
  </si>
  <si>
    <t>Wall Decor</t>
  </si>
  <si>
    <t>Abstract Ambit</t>
  </si>
  <si>
    <t>Framed Glass Wall Art</t>
  </si>
  <si>
    <t>PP001779</t>
  </si>
  <si>
    <t>6/1/2022</t>
  </si>
  <si>
    <t>CSNSTORES,KOHLDSN,OLLIIX,ZOLA</t>
  </si>
  <si>
    <t>40050443-000-000</t>
  </si>
  <si>
    <t>6/14/2022</t>
  </si>
  <si>
    <t>MP95G-0313</t>
  </si>
  <si>
    <t>Framed Graphics</t>
  </si>
  <si>
    <t>Abstract Talon</t>
  </si>
  <si>
    <t>Framed Glass and Single Matted Foiled Deckle Edge Wall Art</t>
  </si>
  <si>
    <t>4/24/2023</t>
  </si>
  <si>
    <t>AMAZON,AMAZONDS,DESINC,OLLIIX</t>
  </si>
  <si>
    <t>41708138-000-000</t>
  </si>
  <si>
    <t>6/7/2023</t>
  </si>
  <si>
    <t>MT95G-0029</t>
  </si>
  <si>
    <t>Martha Stewart</t>
  </si>
  <si>
    <t>Across The Plains 1</t>
  </si>
  <si>
    <t>Framed Glass and Double Matted Abstract Landscape Wall Art</t>
  </si>
  <si>
    <t>Multi</t>
  </si>
  <si>
    <t>A</t>
  </si>
  <si>
    <t>PP001448;PF005015</t>
  </si>
  <si>
    <t>Landscape</t>
  </si>
  <si>
    <t>MT Bedford</t>
  </si>
  <si>
    <t>11/13/2019</t>
  </si>
  <si>
    <t>AMAZON,BLK01,CSNSTORES,DESINC,HDDS,JCPENNEY01,KIRKLANDDS,KOHLDSN,MACY02,OLLIIX,TGTDVS,ZOLA</t>
  </si>
  <si>
    <t>35147144-000-000</t>
  </si>
  <si>
    <t>11/21/2019</t>
  </si>
  <si>
    <t>4/21/2020</t>
  </si>
  <si>
    <t>MT95C-0023</t>
  </si>
  <si>
    <t>CANVAS</t>
  </si>
  <si>
    <t>Across The Plains 2</t>
  </si>
  <si>
    <t>Abstract Landscape Framed Canvas Wall Art</t>
  </si>
  <si>
    <t>PP001442;PF005009</t>
  </si>
  <si>
    <t>AMAZON,AMAZONDS,BLK01,CSNSTORES,JCPENNEY01,KOHLDSN,OLLIIX,TGTDVS,ZOLA</t>
  </si>
  <si>
    <t>35145499-000-000</t>
  </si>
  <si>
    <t>5/20/2020</t>
  </si>
  <si>
    <t>MP95F-0360</t>
  </si>
  <si>
    <t>DEC. MIRROR</t>
  </si>
  <si>
    <t>Decor Mirror</t>
  </si>
  <si>
    <t>Adaline</t>
  </si>
  <si>
    <t>Arched Metal Floral Wall Mirror</t>
  </si>
  <si>
    <t>29.75"H</t>
  </si>
  <si>
    <t>Gold</t>
  </si>
  <si>
    <t>7/20/2024</t>
  </si>
  <si>
    <t>AMAZON,OLLIIX</t>
  </si>
  <si>
    <t>41984905-000-001</t>
  </si>
  <si>
    <t>8/30/2024</t>
  </si>
  <si>
    <t>CC73-0014</t>
  </si>
  <si>
    <t>Croscill</t>
  </si>
  <si>
    <t>Adana</t>
  </si>
  <si>
    <t>Ultra Soft Turkish Towel</t>
  </si>
  <si>
    <t>Bath</t>
  </si>
  <si>
    <t>C+</t>
  </si>
  <si>
    <t>9/27/2022</t>
  </si>
  <si>
    <t>DLCROSCILL,JCPENNEY01,KOHLDSN,MACY02,OLLIIX</t>
  </si>
  <si>
    <t>42102911-000-006</t>
  </si>
  <si>
    <t>8/11/2023</t>
  </si>
  <si>
    <t>10/3/2023</t>
  </si>
  <si>
    <t>CC73-0015</t>
  </si>
  <si>
    <t>Hand</t>
  </si>
  <si>
    <t>DLCROSCILL,JCPENNEY01</t>
  </si>
  <si>
    <t>42102911-000-004</t>
  </si>
  <si>
    <t>11/28/2023</t>
  </si>
  <si>
    <t>CC73-0009</t>
  </si>
  <si>
    <t>CSNSTORES,MACY02,OLLIIX</t>
  </si>
  <si>
    <t>42102911-000-011</t>
  </si>
  <si>
    <t>11/7/2023</t>
  </si>
  <si>
    <t>CC73-0010</t>
  </si>
  <si>
    <t>Washcloth</t>
  </si>
  <si>
    <t>BLK01,DLCROSCILL,JCPENNEY01,KOHLDSN,MACY02</t>
  </si>
  <si>
    <t>42102911-000-009</t>
  </si>
  <si>
    <t>CC73-0011</t>
  </si>
  <si>
    <t>Wheat</t>
  </si>
  <si>
    <t>42102911-000-002</t>
  </si>
  <si>
    <t>9/14/2023</t>
  </si>
  <si>
    <t>CC73-0012</t>
  </si>
  <si>
    <t>42102911-000-005</t>
  </si>
  <si>
    <t>5/14/2024</t>
  </si>
  <si>
    <t>CC73-0013</t>
  </si>
  <si>
    <t>DLCROSCILL,JCPENNEY01,KOHLDSN,MACY02</t>
  </si>
  <si>
    <t>42102911-000-010</t>
  </si>
  <si>
    <t>CC73-0005</t>
  </si>
  <si>
    <t>CSNSTORES,DLCROSCILL,JCPENNEY01,KOHLDSN,MACY02,NRTPORT</t>
  </si>
  <si>
    <t>42102911-000-001</t>
  </si>
  <si>
    <t>CC73-0006</t>
  </si>
  <si>
    <t>DLCROSCILL,MACY02</t>
  </si>
  <si>
    <t>42102911-000-008</t>
  </si>
  <si>
    <t>FPF18-0472</t>
  </si>
  <si>
    <t>FUR</t>
  </si>
  <si>
    <t>ACCENT CHAIR</t>
  </si>
  <si>
    <t>Lounge Chair</t>
  </si>
  <si>
    <t>Addy</t>
  </si>
  <si>
    <t>Preston</t>
  </si>
  <si>
    <t>Conway</t>
  </si>
  <si>
    <t>Wing Chair</t>
  </si>
  <si>
    <t>PF000726;PP000074</t>
  </si>
  <si>
    <t>CASTLEGATE,CSNSTORES,HOUZZ</t>
  </si>
  <si>
    <t>18344590-000-000</t>
  </si>
  <si>
    <t>2/23/2016</t>
  </si>
  <si>
    <t>ID40-1013</t>
  </si>
  <si>
    <t>WIN</t>
  </si>
  <si>
    <t>WINDOW PANEL</t>
  </si>
  <si>
    <t>Window Panel</t>
  </si>
  <si>
    <t>Adel</t>
  </si>
  <si>
    <t>Kennedy</t>
  </si>
  <si>
    <t>Amanda</t>
  </si>
  <si>
    <t>Printed Total Blackout Curtain Panel</t>
  </si>
  <si>
    <t>50x84"</t>
  </si>
  <si>
    <t>Aqua</t>
  </si>
  <si>
    <t>PF001672</t>
  </si>
  <si>
    <t>Geometric</t>
  </si>
  <si>
    <t>Total Blackout</t>
  </si>
  <si>
    <t>AMAZONDS,BEALLSDS,CSNSTORES,JCPENNEY01,KOHLDSN,MACY02,TGTDVS</t>
  </si>
  <si>
    <t>19635256-000-000</t>
  </si>
  <si>
    <t>9/28/2016</t>
  </si>
  <si>
    <t>11/8/2016</t>
  </si>
  <si>
    <t>MP122-0923</t>
  </si>
  <si>
    <t>DESK</t>
  </si>
  <si>
    <t>Desk</t>
  </si>
  <si>
    <t>Adela</t>
  </si>
  <si>
    <t>Andrea</t>
  </si>
  <si>
    <t>Adalyn</t>
  </si>
  <si>
    <t>Writing Desk</t>
  </si>
  <si>
    <t>Antique Silver</t>
  </si>
  <si>
    <t>2/7/2020</t>
  </si>
  <si>
    <t>CSNSTORES,OLLIIX</t>
  </si>
  <si>
    <t>35543253-000-000</t>
  </si>
  <si>
    <t>4/1/2020</t>
  </si>
  <si>
    <t>MP95F-0318</t>
  </si>
  <si>
    <t>Adelaide</t>
  </si>
  <si>
    <t>Gold Scalloped Wood Wall Mirror</t>
  </si>
  <si>
    <t>10/31/2023</t>
  </si>
  <si>
    <t>AMAZON,AMAZONDS,CSNSTORES,DESINC,HDDS,HOUZZ,KIRKLANDDS,LAMPDS,MACY02,OLLIIX,TGTDVS</t>
  </si>
  <si>
    <t>42877235-000-000</t>
  </si>
  <si>
    <t>11/20/2023</t>
  </si>
  <si>
    <t>MP103-1000</t>
  </si>
  <si>
    <t>MOTION</t>
  </si>
  <si>
    <t>Swivel</t>
  </si>
  <si>
    <t>Adele</t>
  </si>
  <si>
    <t>Jayne</t>
  </si>
  <si>
    <t>Findlay</t>
  </si>
  <si>
    <t>Swivel Chair</t>
  </si>
  <si>
    <t>B-</t>
  </si>
  <si>
    <t>6/24/2020</t>
  </si>
  <si>
    <t>9/13/2024</t>
  </si>
  <si>
    <t>BLK01,CSNSTORES,HDDS,MACY02F</t>
  </si>
  <si>
    <t>22525655-000-001</t>
  </si>
  <si>
    <t>6/29/2020</t>
  </si>
  <si>
    <t>7/7/2020</t>
  </si>
  <si>
    <t>MP103-1234</t>
  </si>
  <si>
    <t>Swivel Chair Set of 2</t>
  </si>
  <si>
    <t>Spice</t>
  </si>
  <si>
    <t>SET</t>
  </si>
  <si>
    <t>PF001097</t>
  </si>
  <si>
    <t>5/13/2021</t>
  </si>
  <si>
    <t>44068985-000-000</t>
  </si>
  <si>
    <t>5/28/2024</t>
  </si>
  <si>
    <t>II151-0114</t>
  </si>
  <si>
    <t>LGT-PENDANTS</t>
  </si>
  <si>
    <t>Pendants</t>
  </si>
  <si>
    <t>Farmhouse Metal Pendant</t>
  </si>
  <si>
    <t>White/Black</t>
  </si>
  <si>
    <t>1/21/2022</t>
  </si>
  <si>
    <t>OLLIIX</t>
  </si>
  <si>
    <t>39583461-000-000</t>
  </si>
  <si>
    <t>2/9/2022</t>
  </si>
  <si>
    <t>UH12-2530</t>
  </si>
  <si>
    <t>Urban Habitat</t>
  </si>
  <si>
    <t>Duvet Mini Set</t>
  </si>
  <si>
    <t>Adrian</t>
  </si>
  <si>
    <t>Blaire</t>
  </si>
  <si>
    <t>Maren</t>
  </si>
  <si>
    <t>Botanical Cotton Duvet Cover Set</t>
  </si>
  <si>
    <t>King/Cal King</t>
  </si>
  <si>
    <t>PF006182</t>
  </si>
  <si>
    <t>CSNSTORES,JCPENNEY01,MACY02,TGTDVS</t>
  </si>
  <si>
    <t>43843676-000-000</t>
  </si>
  <si>
    <t>6/19/2024</t>
  </si>
  <si>
    <t>MPE73-664</t>
  </si>
  <si>
    <t>Adrien</t>
  </si>
  <si>
    <t>Remy</t>
  </si>
  <si>
    <t>Roman</t>
  </si>
  <si>
    <t>Super Soft Cotton Quick Dry Bath Towel 6 Piece Set</t>
  </si>
  <si>
    <t>6-Piece</t>
  </si>
  <si>
    <t>6</t>
  </si>
  <si>
    <t>10/18/2017</t>
  </si>
  <si>
    <t>AMAZON,BLK01,CSNSTORES,HDDS,JCPENNEY01,KOHLDSN,MACY02,OLLIIX,TGTDVS</t>
  </si>
  <si>
    <t>25423983-000-002</t>
  </si>
  <si>
    <t>12/7/2017</t>
  </si>
  <si>
    <t>1/25/2018</t>
  </si>
  <si>
    <t>MPE73-665</t>
  </si>
  <si>
    <t>Dark Gray</t>
  </si>
  <si>
    <t>AMAZON,BIGLOTSDS,BLK01,CSNSTORES,JCPENNEY01,KOHLDSN,MACY02,TGTDVS</t>
  </si>
  <si>
    <t>25423983-000-003</t>
  </si>
  <si>
    <t>1/16/2018</t>
  </si>
  <si>
    <t>MPE73-668</t>
  </si>
  <si>
    <t>AMAZONDS,BEALLSDS,BLK01,CSNSTORES,DESINC,HDDS,JCPENNEY01,KOHLDSN,MACY02,OLLIIX,TGTDVS,WALMARTDS</t>
  </si>
  <si>
    <t>25423983-000-006</t>
  </si>
  <si>
    <t>3/12/2018</t>
  </si>
  <si>
    <t>MPE73-788</t>
  </si>
  <si>
    <t>PP001058</t>
  </si>
  <si>
    <t>1/24/2019</t>
  </si>
  <si>
    <t>AMAZON,AMAZONDS,BIGLOTSDS,BLK01,CSNSTORES,DESINC,HDDS,JCPENNEY01,KOHLDSN,MACY02,OLLIIX,TGTDVS,WALMARTDS</t>
  </si>
  <si>
    <t>25423983-000-007</t>
  </si>
  <si>
    <t>1/31/2019</t>
  </si>
  <si>
    <t>2/6/2019</t>
  </si>
  <si>
    <t>MPE73-1023</t>
  </si>
  <si>
    <t>Yellow</t>
  </si>
  <si>
    <t>PP001058;PF005958</t>
  </si>
  <si>
    <t>7/4/2023</t>
  </si>
  <si>
    <t>BLK01,CSNSTORES,KOHLDSN,MACY02,TGTDVS</t>
  </si>
  <si>
    <t>25423983-000-010</t>
  </si>
  <si>
    <t>9/4/2023</t>
  </si>
  <si>
    <t>MP40-7935</t>
  </si>
  <si>
    <t>Sheer Pair</t>
  </si>
  <si>
    <t>Aida</t>
  </si>
  <si>
    <t>Calista</t>
  </si>
  <si>
    <t>Kaley</t>
  </si>
  <si>
    <t>Yarn Dye Sheer Curtain Panel Pair</t>
  </si>
  <si>
    <t>2-PK 37x84"</t>
  </si>
  <si>
    <t>PP001775;PF005723</t>
  </si>
  <si>
    <t>8/30/2022</t>
  </si>
  <si>
    <t>AMAZON,JCPENNEY01,KOHLDSN</t>
  </si>
  <si>
    <t>40368441-000-000</t>
  </si>
  <si>
    <t>9/6/2022</t>
  </si>
  <si>
    <t>1/5/2024</t>
  </si>
  <si>
    <t>MP40-7933</t>
  </si>
  <si>
    <t>PP001775;PF005722</t>
  </si>
  <si>
    <t>AMAZONDS,CSNSTORES,JCPENNEY01,KOHLDSN</t>
  </si>
  <si>
    <t>40368441-000-001</t>
  </si>
  <si>
    <t>II153-0156</t>
  </si>
  <si>
    <t>LGT-TABLE LAMPS</t>
  </si>
  <si>
    <t>Table Task Lamps</t>
  </si>
  <si>
    <t>Alarid</t>
  </si>
  <si>
    <t>16" Ceramic Table Lamp</t>
  </si>
  <si>
    <t>Cream</t>
  </si>
  <si>
    <t>6/18/2024</t>
  </si>
  <si>
    <t>KIRKLANDDS,KOHLDSN</t>
  </si>
  <si>
    <t>44307927-000-000</t>
  </si>
  <si>
    <t>7/9/2024</t>
  </si>
  <si>
    <t>CS10-1391</t>
  </si>
  <si>
    <t>Comfort Spaces</t>
  </si>
  <si>
    <t>COMFORTER (SET)</t>
  </si>
  <si>
    <t>Comforter Mini Set</t>
  </si>
  <si>
    <t>Albany</t>
  </si>
  <si>
    <t>Cotton Jacquard Comforter Set</t>
  </si>
  <si>
    <t>ARC</t>
  </si>
  <si>
    <t>4/14/2021</t>
  </si>
  <si>
    <t>DESINC</t>
  </si>
  <si>
    <t>43962798-000-000</t>
  </si>
  <si>
    <t>ID40-556</t>
  </si>
  <si>
    <t>Panel Pair</t>
  </si>
  <si>
    <t>Alex</t>
  </si>
  <si>
    <t>Rayna</t>
  </si>
  <si>
    <t>Elaine</t>
  </si>
  <si>
    <t>Chevron Printed Room Darkening Grommet Top Panel Pair</t>
  </si>
  <si>
    <t>42x63"</t>
  </si>
  <si>
    <t>PF003720;PP000465</t>
  </si>
  <si>
    <t>AMAZON,CSNSTORES,HDDS,JCPENNEY01,KOHLDSN,MACY02,NRTPORT,OLLIIX</t>
  </si>
  <si>
    <t>18539534-000-003</t>
  </si>
  <si>
    <t>5/30/2016</t>
  </si>
  <si>
    <t>ID40-554</t>
  </si>
  <si>
    <t>PF003719;PP000465</t>
  </si>
  <si>
    <t>AMAZON,CSNSTORES,JCPENNEY01,KOHLDSN,TGTDVS,WALMARTDS</t>
  </si>
  <si>
    <t>18539534-000-001</t>
  </si>
  <si>
    <t>5/6/2016</t>
  </si>
  <si>
    <t>ID40-553</t>
  </si>
  <si>
    <t>42x84"</t>
  </si>
  <si>
    <t>AMAZON,BEALLSDS,BLK01,CSNSTORES,HDDS,JCPENNEY01,KOHLDSN,OLLIIX,TGTDVS</t>
  </si>
  <si>
    <t>18539534-000-000</t>
  </si>
  <si>
    <t>5/16/2016</t>
  </si>
  <si>
    <t>FB150-1162</t>
  </si>
  <si>
    <t>Hampton Hill</t>
  </si>
  <si>
    <t>Alexis</t>
  </si>
  <si>
    <t>6-Light Metal Chandelier</t>
  </si>
  <si>
    <t>Antique Brass/Black</t>
  </si>
  <si>
    <t>3/4/2022</t>
  </si>
  <si>
    <t>39980195-000-000</t>
  </si>
  <si>
    <t>5/20/2022</t>
  </si>
  <si>
    <t>MPE10-1053</t>
  </si>
  <si>
    <t>ADUL</t>
  </si>
  <si>
    <t>BIAB</t>
  </si>
  <si>
    <t>Jeanie</t>
  </si>
  <si>
    <t>Karissa</t>
  </si>
  <si>
    <t>Comforter Set with Bed Sheets</t>
  </si>
  <si>
    <t>PP001856;PF006281</t>
  </si>
  <si>
    <t>Floral</t>
  </si>
  <si>
    <t>5/9/2024</t>
  </si>
  <si>
    <t>9/12/2024</t>
  </si>
  <si>
    <t>40747118-000-007</t>
  </si>
  <si>
    <t>7/29/2024</t>
  </si>
  <si>
    <t>MPE10-1057</t>
  </si>
  <si>
    <t>9</t>
  </si>
  <si>
    <t>40747118-000-005</t>
  </si>
  <si>
    <t>MP10-7874</t>
  </si>
  <si>
    <t>Comforter (Set)</t>
  </si>
  <si>
    <t>Allegany</t>
  </si>
  <si>
    <t>Levi</t>
  </si>
  <si>
    <t>5 Piece Jacquard Comforter Set</t>
  </si>
  <si>
    <t>PP001752;PF005690</t>
  </si>
  <si>
    <t>5</t>
  </si>
  <si>
    <t>Farm House|Modern/Contemporary</t>
  </si>
  <si>
    <t>6/21/2022</t>
  </si>
  <si>
    <t>AMAZONDS,BLK01,CSNSTORES,JCPENNEY01,KOHLDSN,MACY02,TGTDVS</t>
  </si>
  <si>
    <t>40104059-000-001</t>
  </si>
  <si>
    <t>6/22/2022</t>
  </si>
  <si>
    <t>3/3/2023</t>
  </si>
  <si>
    <t>MP12-7876</t>
  </si>
  <si>
    <t>3 Piece Jacquard Duvet Cover Set</t>
  </si>
  <si>
    <t>PP001752;PF005692</t>
  </si>
  <si>
    <t>CSNSTORES,JCPENNEY01,KOHLDSN,MACY02,TGTDVS,Zulily</t>
  </si>
  <si>
    <t>40104456-000-003</t>
  </si>
  <si>
    <t>7/17/2022</t>
  </si>
  <si>
    <t>MZ12-372</t>
  </si>
  <si>
    <t>Mi Zone</t>
  </si>
  <si>
    <t>Allison</t>
  </si>
  <si>
    <t>Mackenzie</t>
  </si>
  <si>
    <t>Kelly</t>
  </si>
  <si>
    <t>Floral Duvet Cover Set</t>
  </si>
  <si>
    <t>Full/Queen</t>
  </si>
  <si>
    <t>PF000013</t>
  </si>
  <si>
    <t>8/26/2024</t>
  </si>
  <si>
    <t>AMAZON,CSNSTORES,KOHLDSN,MACY02,TGTDVS</t>
  </si>
  <si>
    <t>17632896-000-001</t>
  </si>
  <si>
    <t>9/16/2015</t>
  </si>
  <si>
    <t>PET63PC6184-MD</t>
  </si>
  <si>
    <t>PETB</t>
  </si>
  <si>
    <t>Friends Forever</t>
  </si>
  <si>
    <t>PET BEDS</t>
  </si>
  <si>
    <t>Pet Beds</t>
  </si>
  <si>
    <t>Ally</t>
  </si>
  <si>
    <t>Medium All Foam Pet Couch</t>
  </si>
  <si>
    <t>M</t>
  </si>
  <si>
    <t>8/10/2023</t>
  </si>
  <si>
    <t>43809389-000-006</t>
  </si>
  <si>
    <t>4/12/2024</t>
  </si>
  <si>
    <t>PET63PC6184-LG</t>
  </si>
  <si>
    <t>Large All Foam Pet Couch</t>
  </si>
  <si>
    <t>L</t>
  </si>
  <si>
    <t>AMAZON,CSNSTORES,KOHLDSN</t>
  </si>
  <si>
    <t>43809389-000-008</t>
  </si>
  <si>
    <t>PET63PC6184-XL</t>
  </si>
  <si>
    <t>XLarge All Foam Pet Couch</t>
  </si>
  <si>
    <t>XL</t>
  </si>
  <si>
    <t>43809389-000-004</t>
  </si>
  <si>
    <t>PET63PC6185-MD</t>
  </si>
  <si>
    <t>43809389-000-000</t>
  </si>
  <si>
    <t>7/15/2024</t>
  </si>
  <si>
    <t>PET63PC6185-LG</t>
  </si>
  <si>
    <t>43809389-000-002</t>
  </si>
  <si>
    <t>6/10/2024</t>
  </si>
  <si>
    <t>PET63PC6185-XL</t>
  </si>
  <si>
    <t>AMAZON,AMAZONDS</t>
  </si>
  <si>
    <t>43809389-000-001</t>
  </si>
  <si>
    <t>II12-783</t>
  </si>
  <si>
    <t>Alpine</t>
  </si>
  <si>
    <t>3 Piece Duvet Cover Mini Set</t>
  </si>
  <si>
    <t>PF001637;PP000371</t>
  </si>
  <si>
    <t>Ikat</t>
  </si>
  <si>
    <t>Casual|Modern/Contemporary</t>
  </si>
  <si>
    <t>19427077-000-000</t>
  </si>
  <si>
    <t>9/7/2016</t>
  </si>
  <si>
    <t>11/7/2016</t>
  </si>
  <si>
    <t>II12-784</t>
  </si>
  <si>
    <t>AMAZON,BEALLSDS,KOHLDSN,NRTPORT,TGTDVS</t>
  </si>
  <si>
    <t>19427077-000-001</t>
  </si>
  <si>
    <t>11/22/2016</t>
  </si>
  <si>
    <t>II12-933</t>
  </si>
  <si>
    <t>Cotton Duvet Cover Mini Set</t>
  </si>
  <si>
    <t>PP000342</t>
  </si>
  <si>
    <t>AMAZON,AMAZONDS,CSNSTORES,TGTDVS</t>
  </si>
  <si>
    <t>25458735-000-000</t>
  </si>
  <si>
    <t>12/13/2017</t>
  </si>
  <si>
    <t>1/8/2018</t>
  </si>
  <si>
    <t>II12-934</t>
  </si>
  <si>
    <t>AMAZON,KOHLDSN,MACY02,TGTDVS</t>
  </si>
  <si>
    <t>25458735-000-001</t>
  </si>
  <si>
    <t>1/3/2018</t>
  </si>
  <si>
    <t>II10-785</t>
  </si>
  <si>
    <t>3 Piece Comforter Mini Set</t>
  </si>
  <si>
    <t>PF001638;PP000371</t>
  </si>
  <si>
    <t>19427076-000-000</t>
  </si>
  <si>
    <t>II12-787</t>
  </si>
  <si>
    <t>AMAZON,AMAZONDS,CSNSTORES,JCPENNEY01,KOHLDSN,MACY02,OLLIIX,TGTDVS</t>
  </si>
  <si>
    <t>19427075-000-000</t>
  </si>
  <si>
    <t>1/18/2017</t>
  </si>
  <si>
    <t>MPS115-0261B</t>
  </si>
  <si>
    <t>BED</t>
  </si>
  <si>
    <t>Alston</t>
  </si>
  <si>
    <t>Rails:81"L X 3"W X 2"T; Support Legs:2"W X 2"D" X 8"H</t>
  </si>
  <si>
    <t>WR10-2066</t>
  </si>
  <si>
    <t>Woolrich</t>
  </si>
  <si>
    <t>Alton</t>
  </si>
  <si>
    <t>Plush to Sherpa Down Alternative Comforter Set</t>
  </si>
  <si>
    <t>Red/Black</t>
  </si>
  <si>
    <t>PF002181</t>
  </si>
  <si>
    <t>Berber</t>
  </si>
  <si>
    <t>Lodge/Cabin</t>
  </si>
  <si>
    <t>Cottage/Country</t>
  </si>
  <si>
    <t>8/8/2017</t>
  </si>
  <si>
    <t>8/20/2024</t>
  </si>
  <si>
    <t>AMAZON,CSNSTORES,HSNDS,KOHLDSN,MACY02,NEBFUR01</t>
  </si>
  <si>
    <t>23298030-000-005</t>
  </si>
  <si>
    <t>7/27/2017</t>
  </si>
  <si>
    <t>8/21/2017</t>
  </si>
  <si>
    <t>MP35-7596</t>
  </si>
  <si>
    <t>RUG</t>
  </si>
  <si>
    <t>Renae</t>
  </si>
  <si>
    <t>Allie</t>
  </si>
  <si>
    <t>Black &amp; Ivory Modern Area Rug</t>
  </si>
  <si>
    <t>6x9'</t>
  </si>
  <si>
    <t>Black/Ivory</t>
  </si>
  <si>
    <t>7/10/2021</t>
  </si>
  <si>
    <t>CSNSTORES,HDDS,NRTPORT,OLLIIX</t>
  </si>
  <si>
    <t>38658432-000-002</t>
  </si>
  <si>
    <t>8/9/2021</t>
  </si>
  <si>
    <t>9/23/2021</t>
  </si>
  <si>
    <t>MT150-0066</t>
  </si>
  <si>
    <t>Amelia</t>
  </si>
  <si>
    <t>8-Light Traditional Metal Chandelier</t>
  </si>
  <si>
    <t>Glossy White</t>
  </si>
  <si>
    <t>11/18/2022</t>
  </si>
  <si>
    <t>40806884-000-000</t>
  </si>
  <si>
    <t>11/23/2022</t>
  </si>
  <si>
    <t>3/27/2023</t>
  </si>
  <si>
    <t>SS40-0207</t>
  </si>
  <si>
    <t>SunSmart</t>
  </si>
  <si>
    <t>Loraine</t>
  </si>
  <si>
    <t>Enid</t>
  </si>
  <si>
    <t>Knitted Jacquard Paisley Total Blackout Grommet Top Curtain Panel</t>
  </si>
  <si>
    <t>50x95"</t>
  </si>
  <si>
    <t>PP001613;PF005416</t>
  </si>
  <si>
    <t>Damask</t>
  </si>
  <si>
    <t>4/26/2021</t>
  </si>
  <si>
    <t>AMAZONDS,CSNSTORES,HDDS,JCPENNEY01,KOHLDSN,OLLIIX,TGTDVS</t>
  </si>
  <si>
    <t>37896246-000-000</t>
  </si>
  <si>
    <t>4/25/2021</t>
  </si>
  <si>
    <t>11/8/2021</t>
  </si>
  <si>
    <t>SS40-0202</t>
  </si>
  <si>
    <t>50x108"</t>
  </si>
  <si>
    <t>PP001613;PF005414</t>
  </si>
  <si>
    <t>AMAZONDS,CSNSTORES,HDDS,JCPENNEY01,KOHLDSN,TGTDVS</t>
  </si>
  <si>
    <t>37896246-000-010</t>
  </si>
  <si>
    <t>4/23/2021</t>
  </si>
  <si>
    <t>11/10/2022</t>
  </si>
  <si>
    <t>BR9144409622-23</t>
  </si>
  <si>
    <t>COVERLET&amp;BEDSPR</t>
  </si>
  <si>
    <t>Coverlet Mini Set</t>
  </si>
  <si>
    <t>Ames</t>
  </si>
  <si>
    <t>3 Piece Charmeuse Coverlet set</t>
  </si>
  <si>
    <t>PP001821;PF005855</t>
  </si>
  <si>
    <t>12/10/2021</t>
  </si>
  <si>
    <t>CSNSTORES,JCPENNEY01,KOHLDSN</t>
  </si>
  <si>
    <t>40070449-000-001</t>
  </si>
  <si>
    <t>6/10/2022</t>
  </si>
  <si>
    <t>MP10-042</t>
  </si>
  <si>
    <t>Amherst</t>
  </si>
  <si>
    <t>Eastridge</t>
  </si>
  <si>
    <t>Salem</t>
  </si>
  <si>
    <t>7 Piece Comforter Set</t>
  </si>
  <si>
    <t>PP000373</t>
  </si>
  <si>
    <t>7</t>
  </si>
  <si>
    <t>Color Block</t>
  </si>
  <si>
    <t>Modern/Contemporary|Casual</t>
  </si>
  <si>
    <t>AMAZON,AMAZONDS,CSNSTORES,KOHLDSN,MACY02,NRTPORT,OLLIIX,TGTDVS</t>
  </si>
  <si>
    <t>13267098-000-000</t>
  </si>
  <si>
    <t>1/4/2016</t>
  </si>
  <si>
    <t>MP10-044</t>
  </si>
  <si>
    <t>AMAZON,AMAZONDS,BLK01,CSNSTORES,KOHLDSN,MACY02,OLLIIX</t>
  </si>
  <si>
    <t>13267098-000-002</t>
  </si>
  <si>
    <t>12/16/2015</t>
  </si>
  <si>
    <t>MP40-2223</t>
  </si>
  <si>
    <t>Polyoni Pintuck Curtain Panel</t>
  </si>
  <si>
    <t>PF001363;PP000524</t>
  </si>
  <si>
    <t>Pieced</t>
  </si>
  <si>
    <t>Light Filtering</t>
  </si>
  <si>
    <t>AMAZON,AMAZONDS,ASHFURNDS,BEALLSDS,BLK01,CSNSTORES,JCPENNEY01,KOHLDSN,TGTDVS</t>
  </si>
  <si>
    <t>17924347-000-000</t>
  </si>
  <si>
    <t>12/15/2015</t>
  </si>
  <si>
    <t>MP40-4373</t>
  </si>
  <si>
    <t>PF002411</t>
  </si>
  <si>
    <t>7/4/2017</t>
  </si>
  <si>
    <t>10/5/2024</t>
  </si>
  <si>
    <t>AMAZON,AMAZONDS,BLK01,CSNSTORES,JCPENNEY01,KIRKLANDDS,KOHLDSN,TGTDVS,Zulily</t>
  </si>
  <si>
    <t>17924352-000-005</t>
  </si>
  <si>
    <t>9/5/2017</t>
  </si>
  <si>
    <t>MP10-2586</t>
  </si>
  <si>
    <t>Natural</t>
  </si>
  <si>
    <t>PF002412;PP000373</t>
  </si>
  <si>
    <t>AMAZON,AMAZONDS,CSNSTORES,KOHLDSN,MACY02,TGTDVS</t>
  </si>
  <si>
    <t>13652244-000-003</t>
  </si>
  <si>
    <t>6/10/2016</t>
  </si>
  <si>
    <t>MP10-121</t>
  </si>
  <si>
    <t>AMAZON,AMAZONDS,CSNSTORES,JCPENNEY01,KOHLDSN,MACY02,TGTDVS</t>
  </si>
  <si>
    <t>13652244-000-000</t>
  </si>
  <si>
    <t>1/2/2015</t>
  </si>
  <si>
    <t>MP10-123</t>
  </si>
  <si>
    <t>AMAZON,AMAZONDS,CSNSTORES,FINGERHUTDS,KOHLDSN,MACY02</t>
  </si>
  <si>
    <t>13652244-000-002</t>
  </si>
  <si>
    <t>MP40-2221</t>
  </si>
  <si>
    <t>11/6/2024</t>
  </si>
  <si>
    <t>AMAZON,ASHFURNDS,BEALLSDS,BLK01,CSNSTORES,DESINC,JCPENNEY01,KOHLDSN,TGTDVS</t>
  </si>
  <si>
    <t>17924352-000-001</t>
  </si>
  <si>
    <t>MP72-6204</t>
  </si>
  <si>
    <t>BATH</t>
  </si>
  <si>
    <t>BATH RUG</t>
  </si>
  <si>
    <t>Bath Rug</t>
  </si>
  <si>
    <t>Cotton Tufted Bath Rug</t>
  </si>
  <si>
    <t>20x30"</t>
  </si>
  <si>
    <t>PP000524;PF004654</t>
  </si>
  <si>
    <t>4/9/2019</t>
  </si>
  <si>
    <t>9/23/2024</t>
  </si>
  <si>
    <t>AMAZON,AMAZONDS,CSNSTORES,HDDS,JCPENNEY01,KIRKLANDDS,KOHLDSN,MACY02,TGTDVS,Zulily</t>
  </si>
  <si>
    <t>16629267-000-004</t>
  </si>
  <si>
    <t>4/25/2019</t>
  </si>
  <si>
    <t>5/2/2019</t>
  </si>
  <si>
    <t>MP72-6205</t>
  </si>
  <si>
    <t>27x45"</t>
  </si>
  <si>
    <t>16629267-000-007</t>
  </si>
  <si>
    <t>MP10-037</t>
  </si>
  <si>
    <t>Red</t>
  </si>
  <si>
    <t>AMAZON,AMAZONDS,BLK01,CSNSTORES,FINGERHUTDS,JCPENNEY01,KOHLDSN,MACY02,TGTDVS</t>
  </si>
  <si>
    <t>13267078-000-000</t>
  </si>
  <si>
    <t>MP40-2224</t>
  </si>
  <si>
    <t>PF001362;PP000524</t>
  </si>
  <si>
    <t>AMAZON,ASHFURNDS,BLK01,CASTLEGATE,CSNSTORES,JCPENNEY01,KOHLDSN</t>
  </si>
  <si>
    <t>17924347-000-001</t>
  </si>
  <si>
    <t>12/3/2015</t>
  </si>
  <si>
    <t>MP70-221</t>
  </si>
  <si>
    <t>SHOWER CURTAIN</t>
  </si>
  <si>
    <t>Shower Curtain</t>
  </si>
  <si>
    <t>Faux Silk Shower Curtain</t>
  </si>
  <si>
    <t>72x72"</t>
  </si>
  <si>
    <t>14941994-000-000</t>
  </si>
  <si>
    <t>2/12/2016</t>
  </si>
  <si>
    <t>SI54-0067</t>
  </si>
  <si>
    <t>Sharper Image</t>
  </si>
  <si>
    <t>ELECT BLANKET</t>
  </si>
  <si>
    <t>Electric Throw</t>
  </si>
  <si>
    <t>Amira</t>
  </si>
  <si>
    <t>Arden</t>
  </si>
  <si>
    <t>Dream Soft Heated Throw</t>
  </si>
  <si>
    <t>50x60"</t>
  </si>
  <si>
    <t>PP001985;PF006366</t>
  </si>
  <si>
    <t>Polyester</t>
  </si>
  <si>
    <t>8/15/2024</t>
  </si>
  <si>
    <t>9/29/2024</t>
  </si>
  <si>
    <t>SI54-0070</t>
  </si>
  <si>
    <t>Blue Geo</t>
  </si>
  <si>
    <t>PP001985;PF006369</t>
  </si>
  <si>
    <t>SI54-0066</t>
  </si>
  <si>
    <t>Brown</t>
  </si>
  <si>
    <t>PP001985;PF006365</t>
  </si>
  <si>
    <t>SI54-0068</t>
  </si>
  <si>
    <t>Brown Geo</t>
  </si>
  <si>
    <t>PP001985;PF006367</t>
  </si>
  <si>
    <t>SI54-0065</t>
  </si>
  <si>
    <t>PP001985;PF006364</t>
  </si>
  <si>
    <t>SI54-0069</t>
  </si>
  <si>
    <t>Grey Geo</t>
  </si>
  <si>
    <t>PP001985;PF006368</t>
  </si>
  <si>
    <t>SI54-0064</t>
  </si>
  <si>
    <t>PP001985;PF006363</t>
  </si>
  <si>
    <t>MP40-8523</t>
  </si>
  <si>
    <t>Anaheim</t>
  </si>
  <si>
    <t>Salford</t>
  </si>
  <si>
    <t>Plaid Rod Pocket and Back Tab Curtain Panel with Fleece Lining</t>
  </si>
  <si>
    <t>PP001397;PF006072</t>
  </si>
  <si>
    <t>Plaid</t>
  </si>
  <si>
    <t>9/20/2024</t>
  </si>
  <si>
    <t>MP40-8297</t>
  </si>
  <si>
    <t>Plaid Faux Leather Tab Top Curtain Panel with Fleece Lining</t>
  </si>
  <si>
    <t>PP001397;PF006073</t>
  </si>
  <si>
    <t>10/12/2023</t>
  </si>
  <si>
    <t>AMAZON,CSNSTORES,KOHLDSN,TGTDVS</t>
  </si>
  <si>
    <t>35137209-000-003</t>
  </si>
  <si>
    <t>MP40-8274</t>
  </si>
  <si>
    <t>9/22/2023</t>
  </si>
  <si>
    <t>AMAZON,CSNSTORES,JCPENNEY01,TGTDVS</t>
  </si>
  <si>
    <t>35137210-000-007</t>
  </si>
  <si>
    <t>12/8/2023</t>
  </si>
  <si>
    <t>MP40-8276</t>
  </si>
  <si>
    <t>35137209-000-004</t>
  </si>
  <si>
    <t>MP40-6761</t>
  </si>
  <si>
    <t>PP001397;PF004933</t>
  </si>
  <si>
    <t>10/31/2019</t>
  </si>
  <si>
    <t>AMAZON,AMAZONDS,CSNSTORES,HDDS,JCPENNEY01,KOHLDSN,MACY02,TGTDVS,WALMARTDS,Zulily</t>
  </si>
  <si>
    <t>35137209-000-001</t>
  </si>
  <si>
    <t>11/20/2019</t>
  </si>
  <si>
    <t>1/23/2020</t>
  </si>
  <si>
    <t>MP40-8522</t>
  </si>
  <si>
    <t>8/21/2024</t>
  </si>
  <si>
    <t>CCA12-0001</t>
  </si>
  <si>
    <t>Croscill Casual</t>
  </si>
  <si>
    <t>Anders</t>
  </si>
  <si>
    <t>3 Piece Duvet Set</t>
  </si>
  <si>
    <t>Charcoal</t>
  </si>
  <si>
    <t>10/14/2022</t>
  </si>
  <si>
    <t>42062616-000-000</t>
  </si>
  <si>
    <t>8/3/2023</t>
  </si>
  <si>
    <t>CCA12-0002</t>
  </si>
  <si>
    <t>JCPENNEY01,MACY02,OLLIIX</t>
  </si>
  <si>
    <t>42062616-000-001</t>
  </si>
  <si>
    <t>MP12-8130</t>
  </si>
  <si>
    <t>Andes</t>
  </si>
  <si>
    <t>Lennox</t>
  </si>
  <si>
    <t>Dallas</t>
  </si>
  <si>
    <t>3 Piece Corduroy Duvet Cover Set</t>
  </si>
  <si>
    <t>Tan</t>
  </si>
  <si>
    <t>PP001830;PF005877</t>
  </si>
  <si>
    <t>11/28/2022</t>
  </si>
  <si>
    <t>8/12/2024</t>
  </si>
  <si>
    <t>CSNSTORES,JCPENNEY01,KOHLDSN,MACY02,OLLIIX,TGTDVS</t>
  </si>
  <si>
    <t>40850602-000-000</t>
  </si>
  <si>
    <t>12/5/2022</t>
  </si>
  <si>
    <t>5/24/2023</t>
  </si>
  <si>
    <t>MP40-1297</t>
  </si>
  <si>
    <t>Andora</t>
  </si>
  <si>
    <t>Eliza</t>
  </si>
  <si>
    <t>Aden</t>
  </si>
  <si>
    <t>Curtain Panel</t>
  </si>
  <si>
    <t>PF003823</t>
  </si>
  <si>
    <t>10/8/2024</t>
  </si>
  <si>
    <t>ASHFURNDS,BLK01,HDDS,JCPENNEY01,KOHLDSN,TGTDVS,WALMARTDS</t>
  </si>
  <si>
    <t>15478285-000-007</t>
  </si>
  <si>
    <t>1/28/2015</t>
  </si>
  <si>
    <t>MP41-4572</t>
  </si>
  <si>
    <t>VALANCE</t>
  </si>
  <si>
    <t>Valance</t>
  </si>
  <si>
    <t>Faux Silk Embroidered Window Valance</t>
  </si>
  <si>
    <t>50x18"</t>
  </si>
  <si>
    <t>PF003840</t>
  </si>
  <si>
    <t>6/29/2017</t>
  </si>
  <si>
    <t>AMAZON,BLK01,CSNSTORES,JCPENNEY01,KOHLDSN,TGTDVS</t>
  </si>
  <si>
    <t>22972352-000-003</t>
  </si>
  <si>
    <t>6/28/2017</t>
  </si>
  <si>
    <t>10/4/2017</t>
  </si>
  <si>
    <t>MP40-716</t>
  </si>
  <si>
    <t>PF003798</t>
  </si>
  <si>
    <t>AMAZON,ASHFURNDS,BEALLSDS,HSNDS,JCPENNEY01,KOHLDSN,TGTDVS</t>
  </si>
  <si>
    <t>15478285-000-003</t>
  </si>
  <si>
    <t>MT100-0155</t>
  </si>
  <si>
    <t>Anna</t>
  </si>
  <si>
    <t>Arm Accent Chair</t>
  </si>
  <si>
    <t>MT Perry Street</t>
  </si>
  <si>
    <t>7/14/2022</t>
  </si>
  <si>
    <t>10/2/2024</t>
  </si>
  <si>
    <t>AMAZONDS,ASHFURNDS,CSNSTORES,JCPENNEY01,KOHLDSN,LAMPDS,OLLIIX,TGTDVS</t>
  </si>
  <si>
    <t>34092816-000-001</t>
  </si>
  <si>
    <t>7/18/2022</t>
  </si>
  <si>
    <t>10/26/2022</t>
  </si>
  <si>
    <t>MP40-3624</t>
  </si>
  <si>
    <t>Joycelyn</t>
  </si>
  <si>
    <t>Ariana</t>
  </si>
  <si>
    <t>Cotton Oversized Ruffle Curtain Panel</t>
  </si>
  <si>
    <t>50x63"</t>
  </si>
  <si>
    <t>PF003972</t>
  </si>
  <si>
    <t>10/3/2024</t>
  </si>
  <si>
    <t>AMAZON,AMAZONDS,BLK01,CSNSTORES,HSNDS,JCPENNEY01,KOHLDSN,TGTDVS</t>
  </si>
  <si>
    <t>15856535-000-003</t>
  </si>
  <si>
    <t>9/9/2016</t>
  </si>
  <si>
    <t>10/14/2016</t>
  </si>
  <si>
    <t>MP100-1225</t>
  </si>
  <si>
    <t>Annika</t>
  </si>
  <si>
    <t>Elisha</t>
  </si>
  <si>
    <t>Bernay</t>
  </si>
  <si>
    <t>Faux Leather Accent Arm Chair</t>
  </si>
  <si>
    <t>PP001872</t>
  </si>
  <si>
    <t>4/25/2023</t>
  </si>
  <si>
    <t>AMERSIGNDS,CSNSTORES</t>
  </si>
  <si>
    <t>41524915-000-000</t>
  </si>
  <si>
    <t>5/9/2023</t>
  </si>
  <si>
    <t>3/11/2024</t>
  </si>
  <si>
    <t>BR10-3844</t>
  </si>
  <si>
    <t>Apollo</t>
  </si>
  <si>
    <t>3 Piece Striped Seersucker Oversized Comforter Set</t>
  </si>
  <si>
    <t>PP001825;PF005863</t>
  </si>
  <si>
    <t>AMAZON,CSNSTORES,JCPENNEY01,KIRKLANDDS,KOHLDSN,MACY02,OLLIIX,TGTDVS,ZOLA</t>
  </si>
  <si>
    <t>40848672-000-001</t>
  </si>
  <si>
    <t>1/3/2023</t>
  </si>
  <si>
    <t>BR12-3846</t>
  </si>
  <si>
    <t>3 Piece Striped Seersucker Oversized Duvet Cover Set</t>
  </si>
  <si>
    <t>JCPENNEY01,KOHLDSN,MACY02,TGTDVS,ZOLA</t>
  </si>
  <si>
    <t>40848833-000-002</t>
  </si>
  <si>
    <t>5/10/2024</t>
  </si>
  <si>
    <t>BR10-3840</t>
  </si>
  <si>
    <t>PP001825;PF005862</t>
  </si>
  <si>
    <t>AMAZON,CSNSTORES,JCPENNEY01,KIRKLANDDS,MACY02,OLLIIX,TGTDVS,ZOLA</t>
  </si>
  <si>
    <t>40848672-000-000</t>
  </si>
  <si>
    <t>1/9/2023</t>
  </si>
  <si>
    <t>BR10-3841</t>
  </si>
  <si>
    <t>AMAZON,ASHFURNDS,CSNSTORES,JCPENNEY01,KIRKLANDDS,MACY02,OLLIIX,TGTDVS,ZOLA</t>
  </si>
  <si>
    <t>40848672-000-003</t>
  </si>
  <si>
    <t>II105-0466</t>
  </si>
  <si>
    <t>ACCENT BENCH</t>
  </si>
  <si>
    <t>Bench</t>
  </si>
  <si>
    <t>April</t>
  </si>
  <si>
    <t>Accent Bench</t>
  </si>
  <si>
    <t>Grey Multi</t>
  </si>
  <si>
    <t>2/16/2022</t>
  </si>
  <si>
    <t>12/2/2024</t>
  </si>
  <si>
    <t>CSNSTORES,JCPENNEY01,KIRKLANDDS,OLLIIX</t>
  </si>
  <si>
    <t>39636262-000-000</t>
  </si>
  <si>
    <t>3/25/2022</t>
  </si>
  <si>
    <t>II153-0159</t>
  </si>
  <si>
    <t>Aquaviva</t>
  </si>
  <si>
    <t xml:space="preserve">Aquaviva </t>
  </si>
  <si>
    <t>Confetti Glass Table Lamp</t>
  </si>
  <si>
    <t>Artisan</t>
  </si>
  <si>
    <t>44671193-000-000</t>
  </si>
  <si>
    <t>MP70-8448</t>
  </si>
  <si>
    <t>Ara</t>
  </si>
  <si>
    <t>Loire</t>
  </si>
  <si>
    <t>Maris</t>
  </si>
  <si>
    <t>Ombre Printed Seersucker Shower Curtain</t>
  </si>
  <si>
    <t>PP001339</t>
  </si>
  <si>
    <t>Ombre</t>
  </si>
  <si>
    <t>5/25/2024</t>
  </si>
  <si>
    <t>AMAZON,AMAZONDS,KOHLDSN</t>
  </si>
  <si>
    <t>33955917-000-003</t>
  </si>
  <si>
    <t>8/28/2024</t>
  </si>
  <si>
    <t>MP103-1193</t>
  </si>
  <si>
    <t>Archer</t>
  </si>
  <si>
    <t>Cedar</t>
  </si>
  <si>
    <t>Grimmer</t>
  </si>
  <si>
    <t>Faux Leather 360 Degree Swivel Arm Chair</t>
  </si>
  <si>
    <t>11/21/2022</t>
  </si>
  <si>
    <t>CSNSTORES,KIRKLANDDS,KOHLDSN,MACY02F,OLLIIX</t>
  </si>
  <si>
    <t>40538882-000-000</t>
  </si>
  <si>
    <t>4/4/2023</t>
  </si>
  <si>
    <t>BASI50-0415</t>
  </si>
  <si>
    <t>THROW</t>
  </si>
  <si>
    <t>Filled Throw</t>
  </si>
  <si>
    <t>Arctic</t>
  </si>
  <si>
    <t>Polar</t>
  </si>
  <si>
    <t>Ultra Plush Down Alternative Throw</t>
  </si>
  <si>
    <t>Chocolate</t>
  </si>
  <si>
    <t>PF002121;PP000376</t>
  </si>
  <si>
    <t>Faux Fur</t>
  </si>
  <si>
    <t>BLK01,JCPENNEY01,KOHLDSN,MACY02,OLLIIX,TGTDVS,WALMARTDS</t>
  </si>
  <si>
    <t>19257555-000-002</t>
  </si>
  <si>
    <t>8/17/2016</t>
  </si>
  <si>
    <t>12/5/2016</t>
  </si>
  <si>
    <t>BASI10-0409</t>
  </si>
  <si>
    <t>Fur Down Alternative Comforter Mini Set</t>
  </si>
  <si>
    <t>PF002073;PP000376</t>
  </si>
  <si>
    <t>AMAZON,ASHFURNDS,BIGLOTSDS,BLK01,CSNSTORES,JCPENNEY01,KOHLDSN,MACY02,NRTPORT,OLLIIX,TGTDVS</t>
  </si>
  <si>
    <t>19265421-000-002</t>
  </si>
  <si>
    <t>8/20/2016</t>
  </si>
  <si>
    <t>8/22/2016</t>
  </si>
  <si>
    <t>BASI50-0414</t>
  </si>
  <si>
    <t>PF002120;PP000376</t>
  </si>
  <si>
    <t>4/15/2017</t>
  </si>
  <si>
    <t>BIGLOTSDS,DESINC,JCPENNEY01,KOHLDSN,MACY02,OLLIIX,TGTDVS</t>
  </si>
  <si>
    <t>19257555-000-001</t>
  </si>
  <si>
    <t>II151-0136</t>
  </si>
  <si>
    <t>Aria</t>
  </si>
  <si>
    <t>Geometric Bamboo Pendant</t>
  </si>
  <si>
    <t>Farm House|Transitional</t>
  </si>
  <si>
    <t>AMAZON,ZOLA</t>
  </si>
  <si>
    <t>40632018-000-000</t>
  </si>
  <si>
    <t>10/18/2022</t>
  </si>
  <si>
    <t>3/24/2023</t>
  </si>
  <si>
    <t>FPF18-0429</t>
  </si>
  <si>
    <t>Arianna</t>
  </si>
  <si>
    <t>Leda</t>
  </si>
  <si>
    <t>Swoop Wing Chair</t>
  </si>
  <si>
    <t>PF000709;PP000082</t>
  </si>
  <si>
    <t>ASHFURNDS,CASTLEGATE,CSNSTORES,KOHLDSN,MACY02F,OLLIIX,ROOMECOM</t>
  </si>
  <si>
    <t>18195229-000-000</t>
  </si>
  <si>
    <t>4/14/2016</t>
  </si>
  <si>
    <t>MP100-0018</t>
  </si>
  <si>
    <t>Grey/White</t>
  </si>
  <si>
    <t>PF001029;PP000082</t>
  </si>
  <si>
    <t>Print</t>
  </si>
  <si>
    <t>4/8/2017</t>
  </si>
  <si>
    <t>ASHFURNDS,CASTLEGATE,CSNSTORES,KOHLDSN,OLLIIX,ROOMECOM</t>
  </si>
  <si>
    <t>20090181-000-000</t>
  </si>
  <si>
    <t>11/15/2016</t>
  </si>
  <si>
    <t>11/23/2016</t>
  </si>
  <si>
    <t>MP103-0801</t>
  </si>
  <si>
    <t>Swivel Glider</t>
  </si>
  <si>
    <t>Swivel Glider Chair</t>
  </si>
  <si>
    <t>Light Blue</t>
  </si>
  <si>
    <t>PP000082</t>
  </si>
  <si>
    <t>4/12/2019</t>
  </si>
  <si>
    <t>AMAZONDS,ASHFURNDS,CSNSTORES,OLLIIX</t>
  </si>
  <si>
    <t>32773200-000-000</t>
  </si>
  <si>
    <t>4/15/2019</t>
  </si>
  <si>
    <t>6/20/2019</t>
  </si>
  <si>
    <t>MP100-0982</t>
  </si>
  <si>
    <t>Taupe Multi</t>
  </si>
  <si>
    <t>5/19/2020</t>
  </si>
  <si>
    <t>18195229-000-001</t>
  </si>
  <si>
    <t>5/26/2020</t>
  </si>
  <si>
    <t>6/3/2020</t>
  </si>
  <si>
    <t>CH10-011</t>
  </si>
  <si>
    <t xml:space="preserve">Chapel Hill </t>
  </si>
  <si>
    <t>Arlo</t>
  </si>
  <si>
    <t>Oversized Comforter Set</t>
  </si>
  <si>
    <t>PF006290</t>
  </si>
  <si>
    <t>7/16/2024</t>
  </si>
  <si>
    <t>9/24/2024</t>
  </si>
  <si>
    <t>Pending</t>
  </si>
  <si>
    <t>CH10-012</t>
  </si>
  <si>
    <t>MP10-7634</t>
  </si>
  <si>
    <t>Arya</t>
  </si>
  <si>
    <t>Nova</t>
  </si>
  <si>
    <t>Alivia</t>
  </si>
  <si>
    <t>Embroidered Medallion Faux Fur Ultra Plush Comforter Mini Set</t>
  </si>
  <si>
    <t>PF005508;PP001650</t>
  </si>
  <si>
    <t>Medallion</t>
  </si>
  <si>
    <t>BOHO</t>
  </si>
  <si>
    <t>6/23/2021</t>
  </si>
  <si>
    <t>24156897-000-006</t>
  </si>
  <si>
    <t>7/28/2021</t>
  </si>
  <si>
    <t>8/1/2021</t>
  </si>
  <si>
    <t>MP10-7636</t>
  </si>
  <si>
    <t>AMAZONDS,CSNSTORES,JCPENNEY01,KOHLDSN,MACY02,TGTDVS</t>
  </si>
  <si>
    <t>24156897-000-007</t>
  </si>
  <si>
    <t>9/20/2021</t>
  </si>
  <si>
    <t>MP105-0998</t>
  </si>
  <si>
    <t>Other Bench</t>
  </si>
  <si>
    <t>Ashcroft</t>
  </si>
  <si>
    <t>Jaxon</t>
  </si>
  <si>
    <t>Jayden</t>
  </si>
  <si>
    <t>Soft Close Storage Bench</t>
  </si>
  <si>
    <t>AMERSIGNDS,CSNSTORES,HDDS,HOUZZ,KIRKLANDDS,KOHLDSN,LAMPDS,MACY02F,OLLIIX,ROOMECOM,TGTDVS</t>
  </si>
  <si>
    <t>20875084-000-001</t>
  </si>
  <si>
    <t>7/6/2020</t>
  </si>
  <si>
    <t>MP95G-0307</t>
  </si>
  <si>
    <t>Ashlar</t>
  </si>
  <si>
    <t>Hand Painted Abstract Framed Glass and Matted Wall Art</t>
  </si>
  <si>
    <t>AMAZON,ASHFURNDS,BLK01,CSNSTORES,JCPENNEY01,KIRKLANDDS,KOHLDSN,LAMPDS,OLLIIX,TGTDVS,Zulily</t>
  </si>
  <si>
    <t>40692221-000-000</t>
  </si>
  <si>
    <t>10/28/2022</t>
  </si>
  <si>
    <t>MP35-7185</t>
  </si>
  <si>
    <t>Ashley</t>
  </si>
  <si>
    <t>Abigail</t>
  </si>
  <si>
    <t>Hannah</t>
  </si>
  <si>
    <t>Terni Pebble Indoor Area Rug</t>
  </si>
  <si>
    <t>5x7'</t>
  </si>
  <si>
    <t>Gray/Cream</t>
  </si>
  <si>
    <t>6/25/2020</t>
  </si>
  <si>
    <t>36357434-000-000</t>
  </si>
  <si>
    <t>7/1/2020</t>
  </si>
  <si>
    <t>6/3/2022</t>
  </si>
  <si>
    <t>MP103-1245</t>
  </si>
  <si>
    <t>Ashton</t>
  </si>
  <si>
    <t>Upholstered Swivel Chair with Wood Base</t>
  </si>
  <si>
    <t>3/13/2024</t>
  </si>
  <si>
    <t>44439376-000-000</t>
  </si>
  <si>
    <t>MZ12-509</t>
  </si>
  <si>
    <t>Garrett</t>
  </si>
  <si>
    <t>Cody</t>
  </si>
  <si>
    <t>Duvet Cover Set</t>
  </si>
  <si>
    <t>Khaki/Navy</t>
  </si>
  <si>
    <t>PF000057</t>
  </si>
  <si>
    <t>AMAZON,JCPENNEY01,MACY02,OLLIIX,TGTDVS,Zulily</t>
  </si>
  <si>
    <t>16557307-000-002</t>
  </si>
  <si>
    <t>3/31/2017</t>
  </si>
  <si>
    <t>MP13-7639</t>
  </si>
  <si>
    <t>Aster</t>
  </si>
  <si>
    <t>Elsa</t>
  </si>
  <si>
    <t>Bylur</t>
  </si>
  <si>
    <t>3 Piece Embroidered Faux Fur Coverlet Set</t>
  </si>
  <si>
    <t>PP001650;PF005519</t>
  </si>
  <si>
    <t>Vintage</t>
  </si>
  <si>
    <t>8/30/2021</t>
  </si>
  <si>
    <t>38759767-000-000</t>
  </si>
  <si>
    <t>8/27/2021</t>
  </si>
  <si>
    <t>2/10/2022</t>
  </si>
  <si>
    <t>FB154-1177</t>
  </si>
  <si>
    <t>510 Design</t>
  </si>
  <si>
    <t>LGT-FLOOR LAMPS</t>
  </si>
  <si>
    <t>Floor Lamps</t>
  </si>
  <si>
    <t>Angular Arched Metal Floor Lamp</t>
  </si>
  <si>
    <t>AMERSIGNDS,ROOMECOM,TGTDVS</t>
  </si>
  <si>
    <t>39936651-000-001</t>
  </si>
  <si>
    <t>9/5/2023</t>
  </si>
  <si>
    <t>ID12-2164</t>
  </si>
  <si>
    <t>Astoria</t>
  </si>
  <si>
    <t>Esther</t>
  </si>
  <si>
    <t>Clip Jacquard Duvet Cover Set</t>
  </si>
  <si>
    <t>PF005812</t>
  </si>
  <si>
    <t>12/19/2022</t>
  </si>
  <si>
    <t>40928834-000-001</t>
  </si>
  <si>
    <t>9/8/2023</t>
  </si>
  <si>
    <t>II151-0135</t>
  </si>
  <si>
    <t>Astrid</t>
  </si>
  <si>
    <t>Bowl Shaped Bamboo Pendant</t>
  </si>
  <si>
    <t>Farm House</t>
  </si>
  <si>
    <t>AMAZONDS,CSNSTORES,TGTDVS</t>
  </si>
  <si>
    <t>40632342-000-000</t>
  </si>
  <si>
    <t>1/19/2023</t>
  </si>
  <si>
    <t>MP103-0908</t>
  </si>
  <si>
    <t>Recliner</t>
  </si>
  <si>
    <t>Athena</t>
  </si>
  <si>
    <t>Jimmy</t>
  </si>
  <si>
    <t>Cranberry</t>
  </si>
  <si>
    <t>Push Back Recliner</t>
  </si>
  <si>
    <t>1/7/2020</t>
  </si>
  <si>
    <t>ASHFURNDS,HDDS,KOHLDSN,MACY02F,OLLIIX,ROOMECOM,ZOLA</t>
  </si>
  <si>
    <t>35430553-000-000</t>
  </si>
  <si>
    <t>4/7/2020</t>
  </si>
  <si>
    <t>MP40-692</t>
  </si>
  <si>
    <t>Aubrey</t>
  </si>
  <si>
    <t>Whitman</t>
  </si>
  <si>
    <t>Charlotte</t>
  </si>
  <si>
    <t>Jacquard Curtain Panel Pair</t>
  </si>
  <si>
    <t>PF003388;PP000381</t>
  </si>
  <si>
    <t>Paisley</t>
  </si>
  <si>
    <t>AMAZON,AMAZONDS,BLK01,CSNSTORES,HDDS,HSNDS,JCPENNEY01,KOHLDSN,NEBFUR01,OLLIIX,TGTDVS</t>
  </si>
  <si>
    <t>15478287-000-001</t>
  </si>
  <si>
    <t>5DS105-0051</t>
  </si>
  <si>
    <t>Upholstered Storage Bench</t>
  </si>
  <si>
    <t>7/17/2024</t>
  </si>
  <si>
    <t>44661659-000-001</t>
  </si>
  <si>
    <t>8/29/2024</t>
  </si>
  <si>
    <t>5DS104-0049</t>
  </si>
  <si>
    <t>BAR STOOL</t>
  </si>
  <si>
    <t>Counter Stool</t>
  </si>
  <si>
    <t>Upholstered Counter Stool with Nailhead Trim Set of 2</t>
  </si>
  <si>
    <t>44664019-000-000</t>
  </si>
  <si>
    <t>5DS108-0046</t>
  </si>
  <si>
    <t>DINING CHAIR</t>
  </si>
  <si>
    <t>Dining Chair</t>
  </si>
  <si>
    <t>Upholstered Dining Chair with Nailhead Trim Set of 2</t>
  </si>
  <si>
    <t>44664020-000-000</t>
  </si>
  <si>
    <t>MP40-2679</t>
  </si>
  <si>
    <t>Blue/Brown</t>
  </si>
  <si>
    <t>PF003389;PP000381</t>
  </si>
  <si>
    <t>AMAZON,DESINC,HDDS,JCPENNEY01,KOHLDSN,OLLIIX,TGTDVS</t>
  </si>
  <si>
    <t>15478287-000-008</t>
  </si>
  <si>
    <t>7/8/2016</t>
  </si>
  <si>
    <t>5DS105-0052</t>
  </si>
  <si>
    <t>44661659-000-000</t>
  </si>
  <si>
    <t>5DS104-0048</t>
  </si>
  <si>
    <t>44664019-000-002</t>
  </si>
  <si>
    <t>5DS108-0045</t>
  </si>
  <si>
    <t>44664020-000-001</t>
  </si>
  <si>
    <t>5DS105-0050</t>
  </si>
  <si>
    <t>44661659-000-002</t>
  </si>
  <si>
    <t>5DS104-0047</t>
  </si>
  <si>
    <t>44664019-000-001</t>
  </si>
  <si>
    <t>5DS108-0044</t>
  </si>
  <si>
    <t>44664020-000-002</t>
  </si>
  <si>
    <t>MP10-8313</t>
  </si>
  <si>
    <t>12 Piece Comforter Set with Cotton Bed Sheets</t>
  </si>
  <si>
    <t>PP001909;PF006091</t>
  </si>
  <si>
    <t>12</t>
  </si>
  <si>
    <t>11/19/2023</t>
  </si>
  <si>
    <t>AMAZON,BLK01,TGTDVS</t>
  </si>
  <si>
    <t>23193762-000-005</t>
  </si>
  <si>
    <t>11/29/2023</t>
  </si>
  <si>
    <t>12/27/2023</t>
  </si>
  <si>
    <t>FB153-1175</t>
  </si>
  <si>
    <t>Auburn</t>
  </si>
  <si>
    <t>24" H Table Lamp with Marble Base</t>
  </si>
  <si>
    <t>1/20/2023</t>
  </si>
  <si>
    <t>CSNSTORES,JCPENNEY01,KIRKLANDDS,MACY02,OLLIIX,ZOLA</t>
  </si>
  <si>
    <t>41029984-000-000</t>
  </si>
  <si>
    <t>1/30/2023</t>
  </si>
  <si>
    <t>2/14/2023</t>
  </si>
  <si>
    <t>FB151-1179</t>
  </si>
  <si>
    <t>Bell Shaped Glass Pendant</t>
  </si>
  <si>
    <t>Dia.13"</t>
  </si>
  <si>
    <t>Gold/Clear</t>
  </si>
  <si>
    <t>2/1/2024</t>
  </si>
  <si>
    <t>23542148-000-004</t>
  </si>
  <si>
    <t>3/4/2024</t>
  </si>
  <si>
    <t>3/25/2024</t>
  </si>
  <si>
    <t>MP108-1139</t>
  </si>
  <si>
    <t>Audrey</t>
  </si>
  <si>
    <t>Abel</t>
  </si>
  <si>
    <t>Zuri</t>
  </si>
  <si>
    <t>Channel Tufting Dining Chair (Set of 2)</t>
  </si>
  <si>
    <t>39537561-000-000</t>
  </si>
  <si>
    <t>2/8/2022</t>
  </si>
  <si>
    <t>6/26/2023</t>
  </si>
  <si>
    <t>MP103-0825</t>
  </si>
  <si>
    <t>Augustine</t>
  </si>
  <si>
    <t>Caddy</t>
  </si>
  <si>
    <t>Bewick</t>
  </si>
  <si>
    <t>Grey/Taupe</t>
  </si>
  <si>
    <t>6/21/2019</t>
  </si>
  <si>
    <t>AMAZONDS,AMERSIGNDS,CSNSTORES,LAMPDS,MACY02F,OLLIIX</t>
  </si>
  <si>
    <t>33955914-000-000</t>
  </si>
  <si>
    <t>7/31/2019</t>
  </si>
  <si>
    <t>9/14/2019</t>
  </si>
  <si>
    <t>CCL30-0029</t>
  </si>
  <si>
    <t>Croscill Classics</t>
  </si>
  <si>
    <t>NORMAL PILLOW</t>
  </si>
  <si>
    <t>Normal Pillow</t>
  </si>
  <si>
    <t>Aumont</t>
  </si>
  <si>
    <t>Oblong Decor Pillow</t>
  </si>
  <si>
    <t>22x15"</t>
  </si>
  <si>
    <t>AMAZON,AMAZONDS,CSNSTORES,JCPENNEY01,KOHLDSN</t>
  </si>
  <si>
    <t>42067840-000-001</t>
  </si>
  <si>
    <t>11/8/2023</t>
  </si>
  <si>
    <t>CCL30-0027</t>
  </si>
  <si>
    <t>10/24/2022</t>
  </si>
  <si>
    <t>AMAZON,CSNSTORES,DLCROSCILL,JCPENNEY01</t>
  </si>
  <si>
    <t>42067840-000-000</t>
  </si>
  <si>
    <t>10/1/2023</t>
  </si>
  <si>
    <t>MP95F-0359</t>
  </si>
  <si>
    <t>Aurelia</t>
  </si>
  <si>
    <t>Rounded Rectangle Fluted Wall Mirror</t>
  </si>
  <si>
    <t>44339047-000-000</t>
  </si>
  <si>
    <t>MP95B-0288</t>
  </si>
  <si>
    <t>AWD</t>
  </si>
  <si>
    <t>Aurelian Emblem</t>
  </si>
  <si>
    <t>Natural Capiz with Gold Foil 2-piece Shadowbox Wall Decor Set</t>
  </si>
  <si>
    <t>Natural/Gold</t>
  </si>
  <si>
    <t>PP001709</t>
  </si>
  <si>
    <t>6/19/2021</t>
  </si>
  <si>
    <t>AMAZON,AMAZONDS,AMERSIGNDS,BLK01,CSNSTORES,JCPENNEY01,KIRKLANDDS,KOHLDSN,LAMPDS,OLLIIX,TGTDVS</t>
  </si>
  <si>
    <t>39266366-000-000</t>
  </si>
  <si>
    <t>11/27/2021</t>
  </si>
  <si>
    <t>1/19/2022</t>
  </si>
  <si>
    <t>MP95C-0285</t>
  </si>
  <si>
    <t>Canvas</t>
  </si>
  <si>
    <t>Auric Beam</t>
  </si>
  <si>
    <t>Gold Foil Abstract Framed Canvas Wall Art</t>
  </si>
  <si>
    <t>PP001664</t>
  </si>
  <si>
    <t>6/2/2021</t>
  </si>
  <si>
    <t>AMAZONDS,AMERSIGNDS,CSNSTORES,JCPENNEY01,KIRKLANDDS,KOHLDSN,MACY02,OLLIIX,ROOMECOM,TGTDVS</t>
  </si>
  <si>
    <t>38513312-000-000</t>
  </si>
  <si>
    <t>7/20/2021</t>
  </si>
  <si>
    <t>11/22/2021</t>
  </si>
  <si>
    <t>MP10-6034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</si>
  <si>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</si>
  <si>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</si>
  <si>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</si>
  <si>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</si>
  <si>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</si>
  <si>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</si>
  <si>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9/14/2018</t>
  </si>
  <si>
    <t>AMAZON,AMAZONDS,BLK01,CSNSTORES,JCPENNEY01,KOHLDSN,MACY02,NRTPORT,TGTDVS</t>
  </si>
  <si>
    <t>28623357-000-002</t>
  </si>
  <si>
    <t>8/31/2018</t>
  </si>
  <si>
    <t>10/22/2018</t>
  </si>
  <si>
    <t>MP106-0383</t>
  </si>
  <si>
    <t>LOVESEAT &amp; SOFA</t>
  </si>
  <si>
    <t>Settee</t>
  </si>
  <si>
    <t>Avalon</t>
  </si>
  <si>
    <t>Calla</t>
  </si>
  <si>
    <t>Delaney</t>
  </si>
  <si>
    <t>Swoop Arm Settee</t>
  </si>
  <si>
    <t>PF001132;PP000091</t>
  </si>
  <si>
    <t>6/27/2017</t>
  </si>
  <si>
    <t>CSNSTORES,MACY02F,OLLIIX</t>
  </si>
  <si>
    <t>23224677-000-000</t>
  </si>
  <si>
    <t>7/21/2017</t>
  </si>
  <si>
    <t>8/16/2017</t>
  </si>
  <si>
    <t>MP35-8063</t>
  </si>
  <si>
    <t>Averie</t>
  </si>
  <si>
    <t>Bianca</t>
  </si>
  <si>
    <t>Suzy</t>
  </si>
  <si>
    <t>Trellis Geometric Woven Area Rug</t>
  </si>
  <si>
    <t>Black/Cream</t>
  </si>
  <si>
    <t>PP001800;PF005788</t>
  </si>
  <si>
    <t>9/29/2022</t>
  </si>
  <si>
    <t>CSNSTORES</t>
  </si>
  <si>
    <t>40689046-000-001</t>
  </si>
  <si>
    <t>10/27/2022</t>
  </si>
  <si>
    <t>MP35-8064</t>
  </si>
  <si>
    <t>8x10'</t>
  </si>
  <si>
    <t>40689046-000-000</t>
  </si>
  <si>
    <t>MP40-3594</t>
  </si>
  <si>
    <t>Sheer</t>
  </si>
  <si>
    <t>Averil</t>
  </si>
  <si>
    <t>Vina</t>
  </si>
  <si>
    <t>Layla</t>
  </si>
  <si>
    <t>Grommet Top Sheer Bird on Branches Burnout Window Curtain</t>
  </si>
  <si>
    <t>PF003984</t>
  </si>
  <si>
    <t>Nature</t>
  </si>
  <si>
    <t>9/25/2024</t>
  </si>
  <si>
    <t>AMAZON,AMAZONDS,CSNSTORES,DESINC,JCPENNEY01,KOHLDSN,TGTDVS</t>
  </si>
  <si>
    <t>16625358-000-003</t>
  </si>
  <si>
    <t>8/31/2016</t>
  </si>
  <si>
    <t>10/19/2016</t>
  </si>
  <si>
    <t>MP40-3596</t>
  </si>
  <si>
    <t>AMAZON,AMAZONDS,JCPENNEY01</t>
  </si>
  <si>
    <t>16625358-000-005</t>
  </si>
  <si>
    <t>9/23/2016</t>
  </si>
  <si>
    <t>CCL40-0049</t>
  </si>
  <si>
    <t>Avignon</t>
  </si>
  <si>
    <t>Waterfall Valance (Single)</t>
  </si>
  <si>
    <t>38x46"</t>
  </si>
  <si>
    <t>Burgundy</t>
  </si>
  <si>
    <t>11/14/2022</t>
  </si>
  <si>
    <t>42037171-000-002</t>
  </si>
  <si>
    <t>7/27/2023</t>
  </si>
  <si>
    <t>CCL40-0045</t>
  </si>
  <si>
    <t>Pleat Curtain Panel with Tieback (Single)</t>
  </si>
  <si>
    <t>52x96"</t>
  </si>
  <si>
    <t>Champagne</t>
  </si>
  <si>
    <t>CSNSTORES,DLCROSCILL,JCPENNEY01</t>
  </si>
  <si>
    <t>42036995-000-000</t>
  </si>
  <si>
    <t>CCL40-0046</t>
  </si>
  <si>
    <t>CSNSTORES,DLCROSCILL,JCPENNEY01,OLLIIX</t>
  </si>
  <si>
    <t>42037171-000-001</t>
  </si>
  <si>
    <t>CCL40-0051</t>
  </si>
  <si>
    <t>42036995-000-006</t>
  </si>
  <si>
    <t>CCL40-0052</t>
  </si>
  <si>
    <t>DLCROSCILL</t>
  </si>
  <si>
    <t>42037171-000-003</t>
  </si>
  <si>
    <t>11/10/2023</t>
  </si>
  <si>
    <t>ID31-2468</t>
  </si>
  <si>
    <t>CUSHION/POUF</t>
  </si>
  <si>
    <t>Cube/Cylinder</t>
  </si>
  <si>
    <t>Azza</t>
  </si>
  <si>
    <t>Charvi</t>
  </si>
  <si>
    <t>Diah</t>
  </si>
  <si>
    <t>Poly Chenille Square Floor Pillow Cushion</t>
  </si>
  <si>
    <t>24x24"</t>
  </si>
  <si>
    <t>PF004189;PP000936</t>
  </si>
  <si>
    <t>ID31-2467</t>
  </si>
  <si>
    <t>PF004187;PP000936</t>
  </si>
  <si>
    <t>ID31-2449</t>
  </si>
  <si>
    <t>20x20"</t>
  </si>
  <si>
    <t>Dusty Peach</t>
  </si>
  <si>
    <t>PP000936;PF006341</t>
  </si>
  <si>
    <t>8/8/2024</t>
  </si>
  <si>
    <t>44512887-000-000</t>
  </si>
  <si>
    <t>8/9/2024</t>
  </si>
  <si>
    <t>ID31-2466</t>
  </si>
  <si>
    <t>PF004188;PP000936</t>
  </si>
  <si>
    <t>ID31-2469</t>
  </si>
  <si>
    <t>II105-0592</t>
  </si>
  <si>
    <t>Bailey</t>
  </si>
  <si>
    <t>Boucle Flip Top Storage Bench</t>
  </si>
  <si>
    <t>41754121-000-003</t>
  </si>
  <si>
    <t>II105-0593</t>
  </si>
  <si>
    <t>41754121-000-002</t>
  </si>
  <si>
    <t>II105-0594</t>
  </si>
  <si>
    <t>41754121-000-001</t>
  </si>
  <si>
    <t>FPF18-0419</t>
  </si>
  <si>
    <t>Barton</t>
  </si>
  <si>
    <t>Weston</t>
  </si>
  <si>
    <t>Colette</t>
  </si>
  <si>
    <t>PF000703;PP000093</t>
  </si>
  <si>
    <t>CSNSTORES,KOHLDSN,MACY02F,ROOMECOM</t>
  </si>
  <si>
    <t>18298232-000-000</t>
  </si>
  <si>
    <t>4/29/2016</t>
  </si>
  <si>
    <t>FPF18-0151</t>
  </si>
  <si>
    <t>PF000615;PP000093</t>
  </si>
  <si>
    <t>CSNSTORES,MACY02F</t>
  </si>
  <si>
    <t>17880174-000-000</t>
  </si>
  <si>
    <t>3/21/2017</t>
  </si>
  <si>
    <t>FPF18-0417</t>
  </si>
  <si>
    <t>PF000701;PP000093</t>
  </si>
  <si>
    <t>CASTLEGATE,CSNSTORES,KOHLDSN,LAMPDS,MACY02F</t>
  </si>
  <si>
    <t>18297801-000-000</t>
  </si>
  <si>
    <t>FPF18-0152</t>
  </si>
  <si>
    <t>PF000616;PP000093</t>
  </si>
  <si>
    <t>CSNSTORES,KOHLDSN,ROOMECOM</t>
  </si>
  <si>
    <t>17880173-000-000</t>
  </si>
  <si>
    <t>6/4/2018</t>
  </si>
  <si>
    <t>5DS153-0041</t>
  </si>
  <si>
    <t>Bayard</t>
  </si>
  <si>
    <t>Embossed Ceramic Table Lamp</t>
  </si>
  <si>
    <t>12/23/2021</t>
  </si>
  <si>
    <t>KIRKLANDDS,KOHLDSN,OLLIIX,ROOMECOM,TGTDVS</t>
  </si>
  <si>
    <t>39463511-000-000</t>
  </si>
  <si>
    <t>1/5/2022</t>
  </si>
  <si>
    <t>4/25/2022</t>
  </si>
  <si>
    <t>ID95C-0059</t>
  </si>
  <si>
    <t>Beach Dogs</t>
  </si>
  <si>
    <t>Chihuahua Canvas Wall Art</t>
  </si>
  <si>
    <t>Chihuahua/Blue Multi</t>
  </si>
  <si>
    <t>Animal</t>
  </si>
  <si>
    <t>10/7/2023</t>
  </si>
  <si>
    <t>42721561-000-005</t>
  </si>
  <si>
    <t>10/8/2023</t>
  </si>
  <si>
    <t>ID95C-0054</t>
  </si>
  <si>
    <t>Corgi Canvas Wall Art</t>
  </si>
  <si>
    <t>Corgi/Blue Multi</t>
  </si>
  <si>
    <t>10/6/2023</t>
  </si>
  <si>
    <t>AMAZON,KOHLDSN,OLLIIX</t>
  </si>
  <si>
    <t>42721561-000-003</t>
  </si>
  <si>
    <t>1/22/2024</t>
  </si>
  <si>
    <t>ID95C-0056</t>
  </si>
  <si>
    <t>Frenchie Canvas Wall Art</t>
  </si>
  <si>
    <t>Frenchie/Blue Multi</t>
  </si>
  <si>
    <t>AMAZON,KOHLDSN,MACY02,OLLIIX,TGTDVS</t>
  </si>
  <si>
    <t>42721561-000-001</t>
  </si>
  <si>
    <t>ID95C-0058</t>
  </si>
  <si>
    <t>Golden Retriever Canvas Wall Art</t>
  </si>
  <si>
    <t>Golden Retriever/Blue Multi</t>
  </si>
  <si>
    <t>MACY02,OLLIIX,TGTDVS</t>
  </si>
  <si>
    <t>42721561-000-004</t>
  </si>
  <si>
    <t>ID95C-0057</t>
  </si>
  <si>
    <t>Pomeranian Canvas Wall Art</t>
  </si>
  <si>
    <t>Pomeranian/Blue Multi</t>
  </si>
  <si>
    <t>AMAZON,KOHLDSN,OLLIIX,TGTDVS</t>
  </si>
  <si>
    <t>42721561-000-000</t>
  </si>
  <si>
    <t>ID95C-0055</t>
  </si>
  <si>
    <t>Yorkie Canvas Wall Art</t>
  </si>
  <si>
    <t>Yorkie/Blue Multi</t>
  </si>
  <si>
    <t>42721561-000-002</t>
  </si>
  <si>
    <t>II154-0123</t>
  </si>
  <si>
    <t>Beacon</t>
  </si>
  <si>
    <t>Arched Metal Floor Lamp with Chimney Shade</t>
  </si>
  <si>
    <t>Matte Black</t>
  </si>
  <si>
    <t>5/4/2022</t>
  </si>
  <si>
    <t>CSNSTORES,KIRKLANDDS,OLLIIX,TGTDVS</t>
  </si>
  <si>
    <t>39936236-000-000</t>
  </si>
  <si>
    <t>5/11/2022</t>
  </si>
  <si>
    <t>8/16/2022</t>
  </si>
  <si>
    <t>MP40-7496</t>
  </si>
  <si>
    <t>Beals</t>
  </si>
  <si>
    <t>Barnet</t>
  </si>
  <si>
    <t>Bayer</t>
  </si>
  <si>
    <t>Faux Linen Rod Pocket and Back Tab Fleece Lined Curtain Panel</t>
  </si>
  <si>
    <t>PP001631;PF005475</t>
  </si>
  <si>
    <t>AMAZON,BLK01,CSNSTORES,JCPENNEY01,KOHLDSN,OLLIIX,TGTDVS</t>
  </si>
  <si>
    <t>38477180-000-001</t>
  </si>
  <si>
    <t>7/14/2021</t>
  </si>
  <si>
    <t>MPS115-0291</t>
  </si>
  <si>
    <t>Bed</t>
  </si>
  <si>
    <t>Beckett</t>
  </si>
  <si>
    <t>Antique Cream</t>
  </si>
  <si>
    <t>Yes</t>
  </si>
  <si>
    <t>9/28/2020</t>
  </si>
  <si>
    <t>20439489-000-003</t>
  </si>
  <si>
    <t>10/12/2020</t>
  </si>
  <si>
    <t>MPS105-0307</t>
  </si>
  <si>
    <t>Tufted Storage Bench</t>
  </si>
  <si>
    <t>Antique Cream/Light Grey</t>
  </si>
  <si>
    <t>44645802-000-000</t>
  </si>
  <si>
    <t>8/27/2024</t>
  </si>
  <si>
    <t>MPS115-0059</t>
  </si>
  <si>
    <t>Morocco Brown</t>
  </si>
  <si>
    <t>PP000288</t>
  </si>
  <si>
    <t>4/27/2017</t>
  </si>
  <si>
    <t>8/11/2024</t>
  </si>
  <si>
    <t>CSNSTORES,HOUZZ,OLLIIX</t>
  </si>
  <si>
    <t>20439489-000-001</t>
  </si>
  <si>
    <t>12/8/2016</t>
  </si>
  <si>
    <t>5/30/2017</t>
  </si>
  <si>
    <t>MPS115-0308</t>
  </si>
  <si>
    <t>7/30/2024</t>
  </si>
  <si>
    <t>9/10/2024</t>
  </si>
  <si>
    <t>20439489-000-005</t>
  </si>
  <si>
    <t>MPS130-0306</t>
  </si>
  <si>
    <t>ACCENT CHEST</t>
  </si>
  <si>
    <t>Chest</t>
  </si>
  <si>
    <t>2 Drawer Accent Chest</t>
  </si>
  <si>
    <t>36910051-000-002</t>
  </si>
  <si>
    <t>MPS136-0305</t>
  </si>
  <si>
    <t>NIGHTSTAND</t>
  </si>
  <si>
    <t>Nightstand</t>
  </si>
  <si>
    <t>20439326-000-002</t>
  </si>
  <si>
    <t>Tier S</t>
  </si>
  <si>
    <t>BASI16-0315</t>
  </si>
  <si>
    <t>Bed Guardian</t>
  </si>
  <si>
    <t>3M Scotchgard Waterproof Mattress Protector</t>
  </si>
  <si>
    <t>PF002095</t>
  </si>
  <si>
    <t>CSNSTORES,JCPENNEY01,MACY02,OLLIIX,TGTDVS</t>
  </si>
  <si>
    <t>17688681-000-000</t>
  </si>
  <si>
    <t>12/21/2015</t>
  </si>
  <si>
    <t>BASI16-0317</t>
  </si>
  <si>
    <t>Mattress Pad|Protector</t>
  </si>
  <si>
    <t>17688681-000-002</t>
  </si>
  <si>
    <t>BASI16-0318</t>
  </si>
  <si>
    <t>17688681-000-003</t>
  </si>
  <si>
    <t>4/15/2016</t>
  </si>
  <si>
    <t>BASI16-0319</t>
  </si>
  <si>
    <t>JCPENNEY01,KOHLDSN,MACY02,OLLIIX,TGTDVS,ZOLA,Zulily</t>
  </si>
  <si>
    <t>17688681-000-004</t>
  </si>
  <si>
    <t>11/12/2015</t>
  </si>
  <si>
    <t>MP120-1206</t>
  </si>
  <si>
    <t>OCCASIONL TABLE</t>
  </si>
  <si>
    <t>Occasional Table</t>
  </si>
  <si>
    <t>Belfast</t>
  </si>
  <si>
    <t>Nomad</t>
  </si>
  <si>
    <t>Westly</t>
  </si>
  <si>
    <t>Occasional Table with 2 Drawers</t>
  </si>
  <si>
    <t>Reclaimed Natural</t>
  </si>
  <si>
    <t>6/5/2023</t>
  </si>
  <si>
    <t>42052604-000-000</t>
  </si>
  <si>
    <t>7/30/2023</t>
  </si>
  <si>
    <t>MP10-8405</t>
  </si>
  <si>
    <t>Bella</t>
  </si>
  <si>
    <t>Florence</t>
  </si>
  <si>
    <t>6 Piece Jacquard Comforter Set with Throw Pillows</t>
  </si>
  <si>
    <t>PF006213;PP001949</t>
  </si>
  <si>
    <t>6/1/2024</t>
  </si>
  <si>
    <t>JCPENNEY01,KOHLDSN,OLLIIX</t>
  </si>
  <si>
    <t>44270203-000-001</t>
  </si>
  <si>
    <t>7/4/2024</t>
  </si>
  <si>
    <t>MT121-1195</t>
  </si>
  <si>
    <t>DINING TABLE</t>
  </si>
  <si>
    <t>Dining Table</t>
  </si>
  <si>
    <t>Parsons Dining Table</t>
  </si>
  <si>
    <t>1/9/2024</t>
  </si>
  <si>
    <t>43615759-000-000</t>
  </si>
  <si>
    <t>2/22/2024</t>
  </si>
  <si>
    <t>MP10-2417</t>
  </si>
  <si>
    <t>Bennett</t>
  </si>
  <si>
    <t>Christian</t>
  </si>
  <si>
    <t>William</t>
  </si>
  <si>
    <t>PF002753</t>
  </si>
  <si>
    <t>Transitional|Glam/Luxury</t>
  </si>
  <si>
    <t>18078606-000-002</t>
  </si>
  <si>
    <t>1/12/2016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</si>
  <si>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</si>
  <si>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</si>
  <si>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</si>
  <si>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</si>
  <si>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</si>
  <si>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</si>
  <si>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</si>
  <si>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42788053-000-001</t>
  </si>
  <si>
    <t>12/13/2023</t>
  </si>
  <si>
    <t>UH12-2492</t>
  </si>
  <si>
    <t>3 Piece Matelasse Jacquard Duvet Cover Set</t>
  </si>
  <si>
    <t>42788052-000-001</t>
  </si>
  <si>
    <t>12/21/2023</t>
  </si>
  <si>
    <t>UH10-2491</t>
  </si>
  <si>
    <t>10/11/2023</t>
  </si>
  <si>
    <t>CSNSTORES,JCPENNEY01,KOHLDSN,MACY02</t>
  </si>
  <si>
    <t>42788053-000-000</t>
  </si>
  <si>
    <t>UH12-2493</t>
  </si>
  <si>
    <t>10/10/2023</t>
  </si>
  <si>
    <t>42788052-000-000</t>
  </si>
  <si>
    <t>1/18/2024</t>
  </si>
  <si>
    <t>SS40-0061</t>
  </si>
  <si>
    <t>Byron</t>
  </si>
  <si>
    <t>Ogee Knitted Jacquard Total Blackout Curtain Panel</t>
  </si>
  <si>
    <t>PP000358;PF004025</t>
  </si>
  <si>
    <t>BLK01,CSNSTORES,JCPENNEY01,KOHLDSN,LOWESDS,TGTDVS,WALMARTDS</t>
  </si>
  <si>
    <t>25504572-000-002</t>
  </si>
  <si>
    <t>12/22/2017</t>
  </si>
  <si>
    <t>1/31/2018</t>
  </si>
  <si>
    <t>SS40-0120</t>
  </si>
  <si>
    <t>PP000358;PF004699</t>
  </si>
  <si>
    <t>6/12/2019</t>
  </si>
  <si>
    <t>CSNSTORES,HDDS,JCPENNEY01,KOHLDSN</t>
  </si>
  <si>
    <t>25504572-000-007</t>
  </si>
  <si>
    <t>11/1/2019</t>
  </si>
  <si>
    <t>SS40-0122</t>
  </si>
  <si>
    <t>25504572-000-006</t>
  </si>
  <si>
    <t>11/27/2019</t>
  </si>
  <si>
    <t>CHM12-0007</t>
  </si>
  <si>
    <t>Croscill Home</t>
  </si>
  <si>
    <t>Bernini</t>
  </si>
  <si>
    <t>10/25/2022</t>
  </si>
  <si>
    <t>CSNSTORES,JCPENNEY01,MACY02</t>
  </si>
  <si>
    <t>42062617-000-000</t>
  </si>
  <si>
    <t>10/18/2023</t>
  </si>
  <si>
    <t>CHM12-0008</t>
  </si>
  <si>
    <t>CSNSTORES,MACY02</t>
  </si>
  <si>
    <t>42062617-000-001</t>
  </si>
  <si>
    <t>9/27/2023</t>
  </si>
  <si>
    <t>WR9201030822-04</t>
  </si>
  <si>
    <t>Bernston</t>
  </si>
  <si>
    <t>Faux Wool to Faux Fur Down Alternative Comforter Set</t>
  </si>
  <si>
    <t>Gray Plaid</t>
  </si>
  <si>
    <t>PP001883;PF006005</t>
  </si>
  <si>
    <t>41067410-000-004</t>
  </si>
  <si>
    <t>2/7/2023</t>
  </si>
  <si>
    <t>11/30/2023</t>
  </si>
  <si>
    <t>WR9201030822-05</t>
  </si>
  <si>
    <t>TGTDVS,WALMARTDS</t>
  </si>
  <si>
    <t>41067410-000-008</t>
  </si>
  <si>
    <t>WR9201030822-06</t>
  </si>
  <si>
    <t>41067410-000-002</t>
  </si>
  <si>
    <t>10/16/2023</t>
  </si>
  <si>
    <t>WR9201030822-07</t>
  </si>
  <si>
    <t>Green Plaid</t>
  </si>
  <si>
    <t>PP001883;PF006006</t>
  </si>
  <si>
    <t>41067410-000-001</t>
  </si>
  <si>
    <t>WR9201030822-08</t>
  </si>
  <si>
    <t>8/15/2022</t>
  </si>
  <si>
    <t>41067410-000-007</t>
  </si>
  <si>
    <t>WR9201030822-09</t>
  </si>
  <si>
    <t>41067410-000-005</t>
  </si>
  <si>
    <t>WR9201030822-02</t>
  </si>
  <si>
    <t>Red Buffalo Check</t>
  </si>
  <si>
    <t>PP001883;PF006004</t>
  </si>
  <si>
    <t>41067410-000-003</t>
  </si>
  <si>
    <t>7/31/2023</t>
  </si>
  <si>
    <t>II101-0288</t>
  </si>
  <si>
    <t>OTTOMAN</t>
  </si>
  <si>
    <t>Ottoman</t>
  </si>
  <si>
    <t>Beverly</t>
  </si>
  <si>
    <t>Round stool</t>
  </si>
  <si>
    <t>Tan/Gold</t>
  </si>
  <si>
    <t>CSNSTORES,MACY02F,OLLIIX,TGTDVS,Zulily</t>
  </si>
  <si>
    <t>26778241-000-000</t>
  </si>
  <si>
    <t>4/13/2018</t>
  </si>
  <si>
    <t>7/24/2018</t>
  </si>
  <si>
    <t>MP100-0153</t>
  </si>
  <si>
    <t>Bexley</t>
  </si>
  <si>
    <t>Larkin</t>
  </si>
  <si>
    <t>Oda</t>
  </si>
  <si>
    <t>Rounded Back Dining Chair</t>
  </si>
  <si>
    <t>PF001054;PP000096</t>
  </si>
  <si>
    <t>CASTLEGATE,CSNSTORES,HOUZZ,KOHLDSN,MACY02F,NEBFUR01,OLLIIX,ZOLA</t>
  </si>
  <si>
    <t>22078834-000-000</t>
  </si>
  <si>
    <t>5/8/2017</t>
  </si>
  <si>
    <t>8/27/2017</t>
  </si>
  <si>
    <t>FPF18-0404</t>
  </si>
  <si>
    <t>PF000695;PP000096</t>
  </si>
  <si>
    <t>CASTLEGATE,CSNSTORES,HOUZZ,KOHLDSN,MACY02F,OLLIIX</t>
  </si>
  <si>
    <t>22078834-000-001</t>
  </si>
  <si>
    <t>8/19/2018</t>
  </si>
  <si>
    <t>9/24/2018</t>
  </si>
  <si>
    <t>MP100-0152</t>
  </si>
  <si>
    <t>PF001053;PP000096</t>
  </si>
  <si>
    <t>CSNSTORES,HOUZZ,KIRKLANDDS,KOHLDSN,MACY02F,NEBFUR01,OLLIIX,ROOMECOM,TGTDVS</t>
  </si>
  <si>
    <t>20985770-000-000</t>
  </si>
  <si>
    <t>2/22/2017</t>
  </si>
  <si>
    <t>5/19/2017</t>
  </si>
  <si>
    <t>5DS73-0289</t>
  </si>
  <si>
    <t>Big Bundle</t>
  </si>
  <si>
    <t>100% Cotton Quick Dry 12 Piece Bath Towel Set</t>
  </si>
  <si>
    <t>12-Piece</t>
  </si>
  <si>
    <t>PP001159;PF006348</t>
  </si>
  <si>
    <t>2/10/2024</t>
  </si>
  <si>
    <t>AMAZON,BLK01,CSNSTORES,FINGERHUTDS,HDDS,KOHLDSN,MACY02,TGTDVS</t>
  </si>
  <si>
    <t>33127889-000-005</t>
  </si>
  <si>
    <t>3/29/2024</t>
  </si>
  <si>
    <t>5DS73-0201</t>
  </si>
  <si>
    <t>PP001159;PF006346</t>
  </si>
  <si>
    <t>AAFESDS,BEALLSDS,BIGLOTSDS,BLK01,CSNSTORES,DESINC,FINGERHUTDS,JCPENNEY01,KOHLDSN,MACY02,OLLIIX,TGTDVS,WALMARTDS</t>
  </si>
  <si>
    <t>33127889-000-000</t>
  </si>
  <si>
    <t>6/15/2019</t>
  </si>
  <si>
    <t>1/20/2020</t>
  </si>
  <si>
    <t>5DS73-0202</t>
  </si>
  <si>
    <t>Indigo</t>
  </si>
  <si>
    <t>PP001159;PF006343</t>
  </si>
  <si>
    <t>9/17/2024</t>
  </si>
  <si>
    <t>AAFESDS,AMAZONDS,BEALLSDS,BLK01,CSNSTORES,DESINC,FINGERHUTDS,HDDS,JCPENNEY01,KOHLDSN,MACY02,NEBFUR01,OLLIIX,TGTDVS</t>
  </si>
  <si>
    <t>33127889-000-002</t>
  </si>
  <si>
    <t>7/15/2019</t>
  </si>
  <si>
    <t>5DS73-0200</t>
  </si>
  <si>
    <t>PP001159;PF006344</t>
  </si>
  <si>
    <t>AAFESDS,AMAZON,BLK01,CSNSTORES,FINGERHUTDS,HDDS,JCPENNEY01,KOHLDSN,MACY02,OLLIIX,TGTDVS,WALMARTDS</t>
  </si>
  <si>
    <t>33127889-000-001</t>
  </si>
  <si>
    <t>7/18/2019</t>
  </si>
  <si>
    <t>CCL30-0033</t>
  </si>
  <si>
    <t>Biron</t>
  </si>
  <si>
    <t>Square Decor Pillow</t>
  </si>
  <si>
    <t>18x18"</t>
  </si>
  <si>
    <t>AMAZON,AMAZONDS,CSNSTORES,DLCROSCILL,JCPENNEY01,MACY02</t>
  </si>
  <si>
    <t>42067836-000-002</t>
  </si>
  <si>
    <t>CCL30-0032</t>
  </si>
  <si>
    <t>AMAZON,CSNSTORES,DLCROSCILL,JCPENNEY01,KOHLDSN,MACY02,OLLIIX</t>
  </si>
  <si>
    <t>42067836-000-003</t>
  </si>
  <si>
    <t>1/3/2024</t>
  </si>
  <si>
    <t>CCL30-0031</t>
  </si>
  <si>
    <t>42067836-000-001</t>
  </si>
  <si>
    <t>CCL30-0030</t>
  </si>
  <si>
    <t>AMAZONDS,CSNSTORES,DLCROSCILL,MACY02</t>
  </si>
  <si>
    <t>42067836-000-000</t>
  </si>
  <si>
    <t>MP10-8211</t>
  </si>
  <si>
    <t>Blair</t>
  </si>
  <si>
    <t>Dakota</t>
  </si>
  <si>
    <t>Ruched Fur Down Alternative Comforter Set</t>
  </si>
  <si>
    <t>PP001807;PF005999</t>
  </si>
  <si>
    <t>7/5/2023</t>
  </si>
  <si>
    <t>40552139-000-002</t>
  </si>
  <si>
    <t>7/24/2023</t>
  </si>
  <si>
    <t>10/23/2023</t>
  </si>
  <si>
    <t>MP10-8212</t>
  </si>
  <si>
    <t>CSNSTORES,JCPENNEY01,MACY02,NRTPORT,OLLIIX,TGTDVS</t>
  </si>
  <si>
    <t>40552139-000-004</t>
  </si>
  <si>
    <t>II150-0121</t>
  </si>
  <si>
    <t>6-light Ombre Glass Globe Chandelier</t>
  </si>
  <si>
    <t>Antique Brass/Amber</t>
  </si>
  <si>
    <t>CSNSTORES,KIRKLANDDS,MACY02,TGTDVS</t>
  </si>
  <si>
    <t>40002940-000-000</t>
  </si>
  <si>
    <t>5/24/2022</t>
  </si>
  <si>
    <t>2/28/2023</t>
  </si>
  <si>
    <t>5DS105-0036</t>
  </si>
  <si>
    <t>Flip-top Upholstered Storage Bench</t>
  </si>
  <si>
    <t>Light Grey</t>
  </si>
  <si>
    <t>1/27/2024</t>
  </si>
  <si>
    <t>CSNSTORES,HDDS,KOHLDSN,TGTDVS</t>
  </si>
  <si>
    <t>Declined</t>
  </si>
  <si>
    <t>5DS105-0053</t>
  </si>
  <si>
    <t>Light Grey 2</t>
  </si>
  <si>
    <t>7/31/2024</t>
  </si>
  <si>
    <t>5DS105-0043</t>
  </si>
  <si>
    <t>Light Taupe</t>
  </si>
  <si>
    <t>41984295-000-001</t>
  </si>
  <si>
    <t>ID10-2332</t>
  </si>
  <si>
    <t>Blake</t>
  </si>
  <si>
    <t>Liam</t>
  </si>
  <si>
    <t>Reeve</t>
  </si>
  <si>
    <t>Plaid Comforter Set</t>
  </si>
  <si>
    <t>Tan/Gray</t>
  </si>
  <si>
    <t>PF006203</t>
  </si>
  <si>
    <t>3/16/2024</t>
  </si>
  <si>
    <t>AMAZON,AMAZONDS,DESINC,JCPENNEY01,KOHLDSN,MACY02,TGTDVS</t>
  </si>
  <si>
    <t>43735708-000-000</t>
  </si>
  <si>
    <t>3/21/2024</t>
  </si>
  <si>
    <t>5/5/2024</t>
  </si>
  <si>
    <t>ID12-2334</t>
  </si>
  <si>
    <t>Plaid Duvet Cover Set</t>
  </si>
  <si>
    <t>43736509-000-001</t>
  </si>
  <si>
    <t>3/22/2024</t>
  </si>
  <si>
    <t>MP13-8132</t>
  </si>
  <si>
    <t>Taylor</t>
  </si>
  <si>
    <t>Drew</t>
  </si>
  <si>
    <t>3 Piece Printed Color Blocking Microfiber Quilt Set</t>
  </si>
  <si>
    <t>Taupe/Blue</t>
  </si>
  <si>
    <t>PP001831;PF005878</t>
  </si>
  <si>
    <t>11/8/2022</t>
  </si>
  <si>
    <t>40762911-000-001</t>
  </si>
  <si>
    <t>3/19/2024</t>
  </si>
  <si>
    <t>MP13-8133</t>
  </si>
  <si>
    <t>BLK01,JCPENNEY01,KOHLDSN,MACY02</t>
  </si>
  <si>
    <t>40762911-000-000</t>
  </si>
  <si>
    <t>2/12/2024</t>
  </si>
  <si>
    <t>MZK10-255</t>
  </si>
  <si>
    <t>Mi Zone Kids</t>
  </si>
  <si>
    <t>Blake AZ</t>
  </si>
  <si>
    <t>2pcs Comforter Set</t>
  </si>
  <si>
    <t>9/28/2022</t>
  </si>
  <si>
    <t>43961912-000-001</t>
  </si>
  <si>
    <t>MZK13-257</t>
  </si>
  <si>
    <t>Coverlet &amp; Bedspread</t>
  </si>
  <si>
    <t>3pcs Coverlet Set</t>
  </si>
  <si>
    <t>43955155-000-000</t>
  </si>
  <si>
    <t>MZK10-256</t>
  </si>
  <si>
    <t>3pcs Comforter Set</t>
  </si>
  <si>
    <t>43961912-000-000</t>
  </si>
  <si>
    <t>MZK13-258</t>
  </si>
  <si>
    <t>4pcs Coverlet Set</t>
  </si>
  <si>
    <t>43955155-000-001</t>
  </si>
  <si>
    <t>SS40-0070</t>
  </si>
  <si>
    <t>Blakesly</t>
  </si>
  <si>
    <t>Kagen</t>
  </si>
  <si>
    <t>Etro</t>
  </si>
  <si>
    <t>Printed Ikat Blackout Curtain Panel</t>
  </si>
  <si>
    <t>PP000592;PF004055</t>
  </si>
  <si>
    <t>Blackout</t>
  </si>
  <si>
    <t>AMAZON,AMAZONDS,CSNSTORES,JCPENNEY01,KOHLDSN,OLLIIX,TGTDVS</t>
  </si>
  <si>
    <t>25450234-000-005</t>
  </si>
  <si>
    <t>7/2/2018</t>
  </si>
  <si>
    <t>SS40-0073</t>
  </si>
  <si>
    <t>PP000592;PF004056</t>
  </si>
  <si>
    <t>AMAZON,AMAZONDS,CSNSTORES,DESINC,HDDS,JCPENNEY01,KOHLDSN,OLLIIX,TGTDVS,WALMARTDS</t>
  </si>
  <si>
    <t>25450234-000-008</t>
  </si>
  <si>
    <t>2/20/2018</t>
  </si>
  <si>
    <t>WR50-3967</t>
  </si>
  <si>
    <t>Throw</t>
  </si>
  <si>
    <t>Bloomington</t>
  </si>
  <si>
    <t>Faux Mohair to Sherpa Throw</t>
  </si>
  <si>
    <t>PP001878;PF005992</t>
  </si>
  <si>
    <t>8/25/2023</t>
  </si>
  <si>
    <t>KOHLDSN,MACY02,OLLIIX,TGTDVS</t>
  </si>
  <si>
    <t>42171499-000-003</t>
  </si>
  <si>
    <t>10/25/2023</t>
  </si>
  <si>
    <t>WR50-3969</t>
  </si>
  <si>
    <t>PP001878;PF005994</t>
  </si>
  <si>
    <t>AMAZON,KOHLDSN,MACY02,OLLIIX</t>
  </si>
  <si>
    <t>42171499-000-002</t>
  </si>
  <si>
    <t>MP95C-0103A</t>
  </si>
  <si>
    <t>Blue Bliss</t>
  </si>
  <si>
    <t>Abstract 5-piece Gallery Framed Canvas Wall Art Set</t>
  </si>
  <si>
    <t>PF002001</t>
  </si>
  <si>
    <t>4/26/2017</t>
  </si>
  <si>
    <t>AMAZON,ASHFURNDS,CSNSTORES,HOUZZ,KIRKLANDDS,KOHLDSN,LOWESDS,ZOLA</t>
  </si>
  <si>
    <t>22661272-000-000</t>
  </si>
  <si>
    <t>6/9/2017</t>
  </si>
  <si>
    <t>MP95C-0179A</t>
  </si>
  <si>
    <t>Blue Horizon</t>
  </si>
  <si>
    <t>5-piece Gallery Framed Canvas Wall Art Set</t>
  </si>
  <si>
    <t>Blue Multi</t>
  </si>
  <si>
    <t>PP001102;PF004596</t>
  </si>
  <si>
    <t>Global Inspired|Industrial</t>
  </si>
  <si>
    <t>12/28/2018</t>
  </si>
  <si>
    <t>AMAZON,AMAZONDS,ASHFURNDS,CSNSTORES,KIRKLANDDS,ROOMECOM</t>
  </si>
  <si>
    <t>32348945-000-000</t>
  </si>
  <si>
    <t>2/13/2019</t>
  </si>
  <si>
    <t>2/20/2019</t>
  </si>
  <si>
    <t>MP95C-0133</t>
  </si>
  <si>
    <t>Blue Lagoon 2</t>
  </si>
  <si>
    <t>Abstract 2-piece Framed Canvas Wall Art Set</t>
  </si>
  <si>
    <t>PP000609</t>
  </si>
  <si>
    <t>10/12/2017</t>
  </si>
  <si>
    <t>AMAZON,AMAZONDS,ASHFURNDS,BEALLSDS,KIRKLANDDS,KOHLDSN,OLLIIX,TGTDVS</t>
  </si>
  <si>
    <t>25582615-000-000</t>
  </si>
  <si>
    <t>1/5/2018</t>
  </si>
  <si>
    <t>2/12/2018</t>
  </si>
  <si>
    <t>MP95C-0058</t>
  </si>
  <si>
    <t>Blue Print Botanicals</t>
  </si>
  <si>
    <t>3-piece Framed Canvas Wall Art Set</t>
  </si>
  <si>
    <t>PF001948</t>
  </si>
  <si>
    <t>4/19/2017</t>
  </si>
  <si>
    <t>BIGLOTSDS,DESINC,HOUZZ,KIRKLANDDS,KOHLDSN,MACY02,OLLIIX,TGTDVS,Zulily</t>
  </si>
  <si>
    <t>19303782-000-000</t>
  </si>
  <si>
    <t>MP95B-0252</t>
  </si>
  <si>
    <t>Boho Notion</t>
  </si>
  <si>
    <t>White Medallion Wood Wall Decor</t>
  </si>
  <si>
    <t>PP001436;PF005003</t>
  </si>
  <si>
    <t>Global Inspired</t>
  </si>
  <si>
    <t>5/21/2020</t>
  </si>
  <si>
    <t>36275946-000-000</t>
  </si>
  <si>
    <t>6/4/2020</t>
  </si>
  <si>
    <t>7/13/2020</t>
  </si>
  <si>
    <t>II103-0498</t>
  </si>
  <si>
    <t>Bonn</t>
  </si>
  <si>
    <t>Upholstered 360 Degree Swivel Chair</t>
  </si>
  <si>
    <t>Beige</t>
  </si>
  <si>
    <t>2/22/2023</t>
  </si>
  <si>
    <t>12/7/2024</t>
  </si>
  <si>
    <t>KIRKLANDDS,MACY02F,OLLIIX,ZOLA</t>
  </si>
  <si>
    <t>41285717-000-000</t>
  </si>
  <si>
    <t>3/26/2023</t>
  </si>
  <si>
    <t>5/11/2023</t>
  </si>
  <si>
    <t>II103-0564</t>
  </si>
  <si>
    <t>2/28/2024</t>
  </si>
  <si>
    <t>41285717-000-002</t>
  </si>
  <si>
    <t>3/27/2024</t>
  </si>
  <si>
    <t>7/1/2024</t>
  </si>
  <si>
    <t>II103-0563</t>
  </si>
  <si>
    <t>KOHLDSN,OLLIIX</t>
  </si>
  <si>
    <t>41285717-000-001</t>
  </si>
  <si>
    <t>6/13/2024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</si>
  <si>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</si>
  <si>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</si>
  <si>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</si>
  <si>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</si>
  <si>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</si>
  <si>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</si>
  <si>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CSNSTORES,JCPENNEY01,KIRKLANDDS,KOHLDSN,OLLIIX,TGTDVS</t>
  </si>
  <si>
    <t>43051458-000-001</t>
  </si>
  <si>
    <t>11/25/2023</t>
  </si>
  <si>
    <t>MP12-8294</t>
  </si>
  <si>
    <t>5 Piece Botanical Floral Seersucker Duvet Cover Set</t>
  </si>
  <si>
    <t>JCPENNEY01,KOHLDSN</t>
  </si>
  <si>
    <t>43051592-000-000</t>
  </si>
  <si>
    <t>3/14/2024</t>
  </si>
  <si>
    <t>MP70-8328</t>
  </si>
  <si>
    <t>Printed Seersucker Shower Curtain</t>
  </si>
  <si>
    <t>Shabby Chic</t>
  </si>
  <si>
    <t>11/8/2024</t>
  </si>
  <si>
    <t>43052103-000-000</t>
  </si>
  <si>
    <t>12/1/2023</t>
  </si>
  <si>
    <t>IIF20-0040</t>
  </si>
  <si>
    <t>Boomerang</t>
  </si>
  <si>
    <t>Dining Chair (Set of 2)</t>
  </si>
  <si>
    <t>PF000220;PP000013</t>
  </si>
  <si>
    <t>ASHFURNDS,CSNSTORES,HDDS,HOUZZ,KOHLDSN,LAMPDS,MACY02F,OLLIIX,TGTDVS</t>
  </si>
  <si>
    <t>19904356-000-000</t>
  </si>
  <si>
    <t>10/26/2016</t>
  </si>
  <si>
    <t>11/30/2016</t>
  </si>
  <si>
    <t>UH153-0057</t>
  </si>
  <si>
    <t>Borel</t>
  </si>
  <si>
    <t>Ombre Glass Table Lamp</t>
  </si>
  <si>
    <t>CSNSTORES,JCPENNEY01,KOHLDSN,MACY02,OLLIIX,ROOMECOM,TGTDVS,Zulily</t>
  </si>
  <si>
    <t>24339012-000-000</t>
  </si>
  <si>
    <t>11/1/2017</t>
  </si>
  <si>
    <t>2/14/2018</t>
  </si>
  <si>
    <t>BR04-477</t>
  </si>
  <si>
    <t>APL</t>
  </si>
  <si>
    <t>ROBE</t>
  </si>
  <si>
    <t>Robe</t>
  </si>
  <si>
    <t>BR422103</t>
  </si>
  <si>
    <t>S</t>
  </si>
  <si>
    <t>Cranberry 960</t>
  </si>
  <si>
    <t>5/2/2022</t>
  </si>
  <si>
    <t>43658580-000-007</t>
  </si>
  <si>
    <t>3/5/2024</t>
  </si>
  <si>
    <t>BR04-478</t>
  </si>
  <si>
    <t>43658580-000-003</t>
  </si>
  <si>
    <t>BR04-479</t>
  </si>
  <si>
    <t>43658580-000-006</t>
  </si>
  <si>
    <t>BR04-480</t>
  </si>
  <si>
    <t>43658580-000-000</t>
  </si>
  <si>
    <t>BR04-473</t>
  </si>
  <si>
    <t>Snow Fairisle 060</t>
  </si>
  <si>
    <t>43658580-000-005</t>
  </si>
  <si>
    <t>BR04-474</t>
  </si>
  <si>
    <t>43658580-000-002</t>
  </si>
  <si>
    <t>BR04-475</t>
  </si>
  <si>
    <t>43658580-000-001</t>
  </si>
  <si>
    <t>BR04-476</t>
  </si>
  <si>
    <t>43658580-000-004</t>
  </si>
  <si>
    <t>MP100-0575</t>
  </si>
  <si>
    <t>Brayden</t>
  </si>
  <si>
    <t>Kendrick</t>
  </si>
  <si>
    <t>Rhodes</t>
  </si>
  <si>
    <t>Accent Chair</t>
  </si>
  <si>
    <t>PP000716</t>
  </si>
  <si>
    <t>1/23/2018</t>
  </si>
  <si>
    <t>26757918-000-000</t>
  </si>
  <si>
    <t>4/12/2018</t>
  </si>
  <si>
    <t>2/18/2021</t>
  </si>
  <si>
    <t>WR10-3974</t>
  </si>
  <si>
    <t>Breckenridge</t>
  </si>
  <si>
    <t>Chenille Oversized Comforter Set</t>
  </si>
  <si>
    <t>PF006169</t>
  </si>
  <si>
    <t>Southwestern</t>
  </si>
  <si>
    <t>JCPENNEY01,KOHLDSN,NRTPORT</t>
  </si>
  <si>
    <t>43734676-000-002</t>
  </si>
  <si>
    <t>ID10-2167</t>
  </si>
  <si>
    <t>Bree</t>
  </si>
  <si>
    <t>Mabel</t>
  </si>
  <si>
    <t>Laurel</t>
  </si>
  <si>
    <t>Embroidered Comforter Set</t>
  </si>
  <si>
    <t>PF005813</t>
  </si>
  <si>
    <t>12/13/2022</t>
  </si>
  <si>
    <t>40944827-000-001</t>
  </si>
  <si>
    <t>1/4/2023</t>
  </si>
  <si>
    <t>4/6/2023</t>
  </si>
  <si>
    <t>ID12-2169</t>
  </si>
  <si>
    <t>Embroidered Duvet Cover Set</t>
  </si>
  <si>
    <t>DESINC,JCPENNEY01,KOHLDSN,MACY02,OLLIIX,TGTDVS</t>
  </si>
  <si>
    <t>40918824-000-001</t>
  </si>
  <si>
    <t>12/30/2022</t>
  </si>
  <si>
    <t>2/20/2023</t>
  </si>
  <si>
    <t>II21-1304</t>
  </si>
  <si>
    <t>Bree Knit</t>
  </si>
  <si>
    <t>Oblong Pillow Cover</t>
  </si>
  <si>
    <t>12x20"</t>
  </si>
  <si>
    <t>PP001571;PF006068</t>
  </si>
  <si>
    <t>Acrylic</t>
  </si>
  <si>
    <t>19510041-000-006</t>
  </si>
  <si>
    <t>II21-1301</t>
  </si>
  <si>
    <t>Square Pillow Cover</t>
  </si>
  <si>
    <t>19510042-000-007</t>
  </si>
  <si>
    <t>II21-1307</t>
  </si>
  <si>
    <t>Euro Pillow Cover</t>
  </si>
  <si>
    <t>26x26"</t>
  </si>
  <si>
    <t>AMAZONDS,KOHLDSN,OLLIIX,TGTDVS</t>
  </si>
  <si>
    <t>21015342-000-006</t>
  </si>
  <si>
    <t>II21-1300</t>
  </si>
  <si>
    <t>PP001571;PF006067</t>
  </si>
  <si>
    <t>CSNSTORES,KOHLDSN,TGTDVS</t>
  </si>
  <si>
    <t>19510042-000-008</t>
  </si>
  <si>
    <t>II51-1135</t>
  </si>
  <si>
    <t>PP001571;PF005282</t>
  </si>
  <si>
    <t>1/16/2021</t>
  </si>
  <si>
    <t>AMAZON,AMAZONDS,CSNSTORES,HDDS,JCPENNEY01,KOHLDSN,MACY02,NRTPORT,TGTDVS</t>
  </si>
  <si>
    <t>18986582-000-012</t>
  </si>
  <si>
    <t>1/17/2021</t>
  </si>
  <si>
    <t>2/8/2021</t>
  </si>
  <si>
    <t>II30-1139</t>
  </si>
  <si>
    <t>1/13/2021</t>
  </si>
  <si>
    <t>19510042-000-005</t>
  </si>
  <si>
    <t>1/24/2021</t>
  </si>
  <si>
    <t>2/9/2021</t>
  </si>
  <si>
    <t>II51-1142</t>
  </si>
  <si>
    <t>PP001571;PF005283</t>
  </si>
  <si>
    <t>AMAZON,CSNSTORES,HDDS,JCPENNEY01,KIRKLANDDS,MACY02,TGTDVS</t>
  </si>
  <si>
    <t>18986582-000-017</t>
  </si>
  <si>
    <t>1/28/2021</t>
  </si>
  <si>
    <t>II51-724</t>
  </si>
  <si>
    <t>PF003487</t>
  </si>
  <si>
    <t>AMAZON,CSNSTORES,HDDS,MACY02,TGTDVS</t>
  </si>
  <si>
    <t>18986582-000-000</t>
  </si>
  <si>
    <t>II51-725</t>
  </si>
  <si>
    <t>18986582-000-001</t>
  </si>
  <si>
    <t>II30-740</t>
  </si>
  <si>
    <t>19510041-000-000</t>
  </si>
  <si>
    <t>10/10/2016</t>
  </si>
  <si>
    <t>II51-1308</t>
  </si>
  <si>
    <t>PP001571;PF006066</t>
  </si>
  <si>
    <t>AMAZON,AMAZONDS,MACY02,TGTDVS</t>
  </si>
  <si>
    <t>18986582-000-019</t>
  </si>
  <si>
    <t>II51-1309</t>
  </si>
  <si>
    <t>CSNSTORES,HDDS,KOHLDSN,MACY02,TGTDVS</t>
  </si>
  <si>
    <t>18986582-000-020</t>
  </si>
  <si>
    <t>II51-1310</t>
  </si>
  <si>
    <t>18986582-000-018</t>
  </si>
  <si>
    <t>11/24/2023</t>
  </si>
  <si>
    <t>II21-1302</t>
  </si>
  <si>
    <t>19510041-000-008</t>
  </si>
  <si>
    <t>II21-1305</t>
  </si>
  <si>
    <t>21015342-000-008</t>
  </si>
  <si>
    <t>WR50-1348</t>
  </si>
  <si>
    <t>Brewster</t>
  </si>
  <si>
    <t>Softspun Down Alternative Filled Throw</t>
  </si>
  <si>
    <t>50x70"</t>
  </si>
  <si>
    <t>PF002054</t>
  </si>
  <si>
    <t>AMAZON,AMAZONDS,BLK01,CSNSTORES,JCPENNEY01,KOHLDSN,MACY02</t>
  </si>
  <si>
    <t>16606695-000-000</t>
  </si>
  <si>
    <t>12/31/2015</t>
  </si>
  <si>
    <t>MP103-1229</t>
  </si>
  <si>
    <t>Brianne</t>
  </si>
  <si>
    <t>Betty</t>
  </si>
  <si>
    <t>Mitchell</t>
  </si>
  <si>
    <t>Wide Seat Swivel Arm Chair Set of 2</t>
  </si>
  <si>
    <t>PF001101</t>
  </si>
  <si>
    <t>5/5/2021</t>
  </si>
  <si>
    <t>44069122-000-000</t>
  </si>
  <si>
    <t>6/20/2024</t>
  </si>
  <si>
    <t>MP10-8368</t>
  </si>
  <si>
    <t>Brielle</t>
  </si>
  <si>
    <t>Joyce</t>
  </si>
  <si>
    <t>Elsie</t>
  </si>
  <si>
    <t>3 Piece Floral Printed Cotton Comforter Set</t>
  </si>
  <si>
    <t>PP001921;PF006136</t>
  </si>
  <si>
    <t>JCPENNEY01,KOHLDSN,OLLIIX,TGTDVS</t>
  </si>
  <si>
    <t>43626573-000-000</t>
  </si>
  <si>
    <t>3/18/2024</t>
  </si>
  <si>
    <t>ID10-2253</t>
  </si>
  <si>
    <t>Ella</t>
  </si>
  <si>
    <t>Ombre Shaggy Long Fur Comforter Mini Set</t>
  </si>
  <si>
    <t>PP001784;PF006057</t>
  </si>
  <si>
    <t>CSNSTORES,KOHLDSN,MACY02,NRTPORT,TGTDVS</t>
  </si>
  <si>
    <t>40279133-000-010</t>
  </si>
  <si>
    <t>8/31/2023</t>
  </si>
  <si>
    <t>II154-0157</t>
  </si>
  <si>
    <t>Brillora</t>
  </si>
  <si>
    <t>Floor lamp</t>
  </si>
  <si>
    <t>Gold/Marble</t>
  </si>
  <si>
    <t>44671528-000-000</t>
  </si>
  <si>
    <t>II154-0124</t>
  </si>
  <si>
    <t>Bristol</t>
  </si>
  <si>
    <t>Arched Metal Floor Lamp with Frosted Glass Shade</t>
  </si>
  <si>
    <t>Matte Black Base/Frosted Shade</t>
  </si>
  <si>
    <t>JCPENNEY01,OLLIIX,ZOLA</t>
  </si>
  <si>
    <t>39936235-000-000</t>
  </si>
  <si>
    <t>5/12/2022</t>
  </si>
  <si>
    <t>5/3/2023</t>
  </si>
  <si>
    <t>MP50-8016</t>
  </si>
  <si>
    <t>Sienna</t>
  </si>
  <si>
    <t>Solid Premium Faux Fur Throw</t>
  </si>
  <si>
    <t>PP001791;PF005767</t>
  </si>
  <si>
    <t>AMAZON,AMAZONDS,JCPENNEY01,KOHLDSN,MACY02,OLLIIX,TGTDVS,ZOLA</t>
  </si>
  <si>
    <t>40666064-000-000</t>
  </si>
  <si>
    <t>5/15/2023</t>
  </si>
  <si>
    <t>MP100-0038</t>
  </si>
  <si>
    <t>Brody</t>
  </si>
  <si>
    <t>Victor</t>
  </si>
  <si>
    <t>Taye</t>
  </si>
  <si>
    <t>Wing Dining Chair (Set of 2)</t>
  </si>
  <si>
    <t>PF000259;PP000104</t>
  </si>
  <si>
    <t>CSNSTORES,JCPENNEY01,KOHLDSN,LAMPDS,MACY02F,OLLIIX,ROOMECOM</t>
  </si>
  <si>
    <t>20558551-000-000</t>
  </si>
  <si>
    <t>12/21/2016</t>
  </si>
  <si>
    <t>FPF20-0551</t>
  </si>
  <si>
    <t>PF000080;PP000104</t>
  </si>
  <si>
    <t>CSNSTORES,OLLIIX,ROOMECOM</t>
  </si>
  <si>
    <t>19006007-000-000</t>
  </si>
  <si>
    <t>9/19/2016</t>
  </si>
  <si>
    <t>II153-0147</t>
  </si>
  <si>
    <t>Bromley</t>
  </si>
  <si>
    <t>Two Tone Pull-chain Table Lamp</t>
  </si>
  <si>
    <t>Gold/Brown</t>
  </si>
  <si>
    <t>6/9/2023</t>
  </si>
  <si>
    <t>CSNSTORES,JCPENNEY01,KOHLDSN,OLLIIX,TGTDVS</t>
  </si>
  <si>
    <t>41728195-000-000</t>
  </si>
  <si>
    <t>6/11/2023</t>
  </si>
  <si>
    <t>7/12/2023</t>
  </si>
  <si>
    <t>FPF18-0108</t>
  </si>
  <si>
    <t>Brooke</t>
  </si>
  <si>
    <t>Miri</t>
  </si>
  <si>
    <t>Annie</t>
  </si>
  <si>
    <t>Tight Back Club Chair</t>
  </si>
  <si>
    <t>PF000602;PP000105</t>
  </si>
  <si>
    <t>AMERSIGNDS,ASHFURNDS,CSNSTORES,HDDS,MACY02F,ROOMECOM,TGTDVS</t>
  </si>
  <si>
    <t>17880191-000-000</t>
  </si>
  <si>
    <t>MP100-0991</t>
  </si>
  <si>
    <t>7/9/2020</t>
  </si>
  <si>
    <t>AMAZONDS,AMERSIGNDS,ASHFURNDS,CSNSTORES,JCPENNEY01,KIRKLANDDS,KOHLDSN,MACY02F</t>
  </si>
  <si>
    <t>17880191-000-001</t>
  </si>
  <si>
    <t>7/24/2020</t>
  </si>
  <si>
    <t>8/5/2020</t>
  </si>
  <si>
    <t>FPF18-0486</t>
  </si>
  <si>
    <t>PF000738;PP000105</t>
  </si>
  <si>
    <t>ASHFURNDS,CASTLEGATE,CSNSTORES,HDDS,OLLIIX,ROOMECOM</t>
  </si>
  <si>
    <t>18344588-000-000</t>
  </si>
  <si>
    <t>3/11/2016</t>
  </si>
  <si>
    <t>UH10-2155</t>
  </si>
  <si>
    <t>Brooklyn</t>
  </si>
  <si>
    <t>Maize</t>
  </si>
  <si>
    <t>Kay</t>
  </si>
  <si>
    <t>Cotton Jacquard Comforter Set with Euro Shams and Throw Pillows</t>
  </si>
  <si>
    <t>PP000834;PF004165</t>
  </si>
  <si>
    <t>Cottage/Country|Farmhouse</t>
  </si>
  <si>
    <t>12/26/2017</t>
  </si>
  <si>
    <t>AMAZON,AMAZONDS,BLK01,CSNSTORES,MACY02,OLLIIX</t>
  </si>
  <si>
    <t>22066584-000-011</t>
  </si>
  <si>
    <t>3/19/2018</t>
  </si>
  <si>
    <t>3/27/2018</t>
  </si>
  <si>
    <t>UH12-2258</t>
  </si>
  <si>
    <t>Cotton Jacquard Duvet Cover Set with Euro Shams and Throw Pillows</t>
  </si>
  <si>
    <t>PP000834;PF004683</t>
  </si>
  <si>
    <t>5/14/2019</t>
  </si>
  <si>
    <t>22066583-000-007</t>
  </si>
  <si>
    <t>5/16/2019</t>
  </si>
  <si>
    <t>6/24/2019</t>
  </si>
  <si>
    <t>UH12-2260</t>
  </si>
  <si>
    <t>AMAZON,AMAZONDS,BLK01,CSNSTORES,JCPENNEY01,KOHLDSN,MACY02,TGTDVS</t>
  </si>
  <si>
    <t>22066583-000-003</t>
  </si>
  <si>
    <t>6/6/2019</t>
  </si>
  <si>
    <t>UH30-2378</t>
  </si>
  <si>
    <t>Other Pillows</t>
  </si>
  <si>
    <t>Cotton Jacquard Pom Pom Oblong Pillow</t>
  </si>
  <si>
    <t>14x20"</t>
  </si>
  <si>
    <t>4/8/2021</t>
  </si>
  <si>
    <t>26817827-000-010</t>
  </si>
  <si>
    <t>4/7/2021</t>
  </si>
  <si>
    <t>8/11/2021</t>
  </si>
  <si>
    <t>UH10-2263</t>
  </si>
  <si>
    <t>PP000834;PF004684</t>
  </si>
  <si>
    <t>AMAZON,AMAZONDS,ASHFURNDS,BLK01,CSNSTORES,KOHLDSN,MACY02,OLLIIX,TGTDVS</t>
  </si>
  <si>
    <t>22066584-000-003</t>
  </si>
  <si>
    <t>7/25/2019</t>
  </si>
  <si>
    <t>UH12-0209</t>
  </si>
  <si>
    <t>Pink</t>
  </si>
  <si>
    <t>PF002471</t>
  </si>
  <si>
    <t>4/22/2017</t>
  </si>
  <si>
    <t>AMAZON,BLK01,JCPENNEY01,KOHLDSN,MACY02</t>
  </si>
  <si>
    <t>22066583-000-011</t>
  </si>
  <si>
    <t>5/4/2017</t>
  </si>
  <si>
    <t>5/18/2017</t>
  </si>
  <si>
    <t>UH70-2242</t>
  </si>
  <si>
    <t>Brooklyn Cotton Jacquard Pom Pom Shower Curtain</t>
  </si>
  <si>
    <t>70x72"</t>
  </si>
  <si>
    <t>PF002471;PP000834</t>
  </si>
  <si>
    <t>12/27/2018</t>
  </si>
  <si>
    <t>AMAZON,AMAZONDS,HDDS,JCPENNEY01,KOHLDSN,MACY02,TGTDVS,WALMARTDS</t>
  </si>
  <si>
    <t>31010783-000-001</t>
  </si>
  <si>
    <t>4/26/2019</t>
  </si>
  <si>
    <t>UH10-2494</t>
  </si>
  <si>
    <t>Rust</t>
  </si>
  <si>
    <t>PP000834;PF006097</t>
  </si>
  <si>
    <t>12/30/2023</t>
  </si>
  <si>
    <t>9/28/2024</t>
  </si>
  <si>
    <t>CSNSTORES,OLLIIX,TGTDVS</t>
  </si>
  <si>
    <t>22066584-000-019</t>
  </si>
  <si>
    <t>1/2/2024</t>
  </si>
  <si>
    <t>UH12-2497</t>
  </si>
  <si>
    <t>AMAZON,KOHLDSN,TGTDVS</t>
  </si>
  <si>
    <t>22066583-000-020</t>
  </si>
  <si>
    <t>1/21/2024</t>
  </si>
  <si>
    <t>3/6/2024</t>
  </si>
  <si>
    <t>UH10-2495</t>
  </si>
  <si>
    <t>AMAZON,BLK01,HDDS,MACY02,OLLIIX,TGTDVS</t>
  </si>
  <si>
    <t>22066584-000-018</t>
  </si>
  <si>
    <t>1/1/2024</t>
  </si>
  <si>
    <t>1/15/2024</t>
  </si>
  <si>
    <t>UH10-2496</t>
  </si>
  <si>
    <t>22066584-000-020</t>
  </si>
  <si>
    <t>1/8/2024</t>
  </si>
  <si>
    <t>UH12-2499</t>
  </si>
  <si>
    <t>22066583-000-019</t>
  </si>
  <si>
    <t>HH10-1832</t>
  </si>
  <si>
    <t>Harbor House</t>
  </si>
  <si>
    <t>Brooks</t>
  </si>
  <si>
    <t>5 Piece Oversized Cotton Stripe Comforter Set</t>
  </si>
  <si>
    <t>White/Blue</t>
  </si>
  <si>
    <t>PP001815;PF005827</t>
  </si>
  <si>
    <t>12/6/2022</t>
  </si>
  <si>
    <t>CSNSTORES,JCPENNEY01,NRTPORT,OLLIIX</t>
  </si>
  <si>
    <t>40856495-000-000</t>
  </si>
  <si>
    <t>12/8/2022</t>
  </si>
  <si>
    <t>1/26/2023</t>
  </si>
  <si>
    <t>WR14-2021</t>
  </si>
  <si>
    <t>Quilt</t>
  </si>
  <si>
    <t>Buffalo Check</t>
  </si>
  <si>
    <t>Oversized Quilt Mini Set</t>
  </si>
  <si>
    <t>PF003309</t>
  </si>
  <si>
    <t>Casual|Transitional</t>
  </si>
  <si>
    <t>8/12/2017</t>
  </si>
  <si>
    <t>CSNSTORES,FINGERHUTDS,JCPENNEY01,KOHLDSN,MACY02,OLLIIX,TGTDVS</t>
  </si>
  <si>
    <t>23667372-000-000</t>
  </si>
  <si>
    <t>8/22/2017</t>
  </si>
  <si>
    <t>8/24/2017</t>
  </si>
  <si>
    <t>PET66PT6198</t>
  </si>
  <si>
    <t>PET</t>
  </si>
  <si>
    <t>PET ACCESSORIES</t>
  </si>
  <si>
    <t>Pet Accessories</t>
  </si>
  <si>
    <t>Bumpi</t>
  </si>
  <si>
    <t>Avocado</t>
  </si>
  <si>
    <t>43809388-000-000</t>
  </si>
  <si>
    <t>PET66PT6025-SM</t>
  </si>
  <si>
    <t>Kettlebell Rubber Toy SM</t>
  </si>
  <si>
    <t>Orange</t>
  </si>
  <si>
    <t>3/31/2023</t>
  </si>
  <si>
    <t>43809386-000-003</t>
  </si>
  <si>
    <t>PET66PT6024</t>
  </si>
  <si>
    <t>Fruit Toy 2PK</t>
  </si>
  <si>
    <t>Orange/Banana</t>
  </si>
  <si>
    <t>43809386-000-001</t>
  </si>
  <si>
    <t>PET66PT6023</t>
  </si>
  <si>
    <t>Dumbbell Rubber Toy 2PK</t>
  </si>
  <si>
    <t>Pink/Orange</t>
  </si>
  <si>
    <t>43809386-000-000</t>
  </si>
  <si>
    <t>PET66PT6195</t>
  </si>
  <si>
    <t>Hedgehog with tennis ball</t>
  </si>
  <si>
    <t>Rose Red Hedgehog</t>
  </si>
  <si>
    <t>43809385-000-000</t>
  </si>
  <si>
    <t>PET66PT6194</t>
  </si>
  <si>
    <t>Teal Hedgehog</t>
  </si>
  <si>
    <t>43809385-000-001</t>
  </si>
  <si>
    <t>PET66PT6199</t>
  </si>
  <si>
    <t>Tortoise Puzzle Dog Toy</t>
  </si>
  <si>
    <t>Tortoise Puzzle</t>
  </si>
  <si>
    <t>8/16/2023</t>
  </si>
  <si>
    <t>43809387-000-000</t>
  </si>
  <si>
    <t>PET66PT6025-LG</t>
  </si>
  <si>
    <t>Kettlebell Rubber Toy LG</t>
  </si>
  <si>
    <t>43809386-000-002</t>
  </si>
  <si>
    <t>MP13-775</t>
  </si>
  <si>
    <t>Coverlet</t>
  </si>
  <si>
    <t>Caelie</t>
  </si>
  <si>
    <t>Rochelle</t>
  </si>
  <si>
    <t>Marissa</t>
  </si>
  <si>
    <t>6 Piece Embroidered Quilt Set with Throw Pillows</t>
  </si>
  <si>
    <t>PF002680</t>
  </si>
  <si>
    <t>Casual|Cottage/Country</t>
  </si>
  <si>
    <t>18382216-000-000</t>
  </si>
  <si>
    <t>II10-1330</t>
  </si>
  <si>
    <t>Cairo</t>
  </si>
  <si>
    <t>3 Piece Cotton Jacquard Comforter Set</t>
  </si>
  <si>
    <t>PF006275;PP001968</t>
  </si>
  <si>
    <t>7/24/2024</t>
  </si>
  <si>
    <t>44415541-000-000</t>
  </si>
  <si>
    <t>II12-1332</t>
  </si>
  <si>
    <t>3 Piece Cotton Jacquard Duvet Set</t>
  </si>
  <si>
    <t>44415540-000-001</t>
  </si>
  <si>
    <t>II12-1333</t>
  </si>
  <si>
    <t>AMAZON,TGTDVS</t>
  </si>
  <si>
    <t>44415540-000-000</t>
  </si>
  <si>
    <t>MP100-1109</t>
  </si>
  <si>
    <t>Calder</t>
  </si>
  <si>
    <t>Cabrillo</t>
  </si>
  <si>
    <t>Webster</t>
  </si>
  <si>
    <t>Metal Leg Accent chair</t>
  </si>
  <si>
    <t>38194566-000-000</t>
  </si>
  <si>
    <t>8/23/2021</t>
  </si>
  <si>
    <t>MP130-1177</t>
  </si>
  <si>
    <t>Cali</t>
  </si>
  <si>
    <t>Allen</t>
  </si>
  <si>
    <t>Mallard</t>
  </si>
  <si>
    <t>3-Drawer Accent Chest</t>
  </si>
  <si>
    <t>2/15/2022</t>
  </si>
  <si>
    <t>CSNSTORES,HDDS,OLLIIX</t>
  </si>
  <si>
    <t>39669208-000-000</t>
  </si>
  <si>
    <t>3/7/2022</t>
  </si>
  <si>
    <t>6/13/2023</t>
  </si>
  <si>
    <t>II150-0153</t>
  </si>
  <si>
    <t>8-Light Metal Chandelier with Globe Bulbs</t>
  </si>
  <si>
    <t>ROOMECOM</t>
  </si>
  <si>
    <t>43652589-000-000</t>
  </si>
  <si>
    <t>CCA70-0021</t>
  </si>
  <si>
    <t>Calistoga</t>
  </si>
  <si>
    <t>Matelasse Shower Curtain</t>
  </si>
  <si>
    <t>One Size</t>
  </si>
  <si>
    <t>42057694-000-000</t>
  </si>
  <si>
    <t>8/1/2023</t>
  </si>
  <si>
    <t>10/13/2023</t>
  </si>
  <si>
    <t>UHK10-0131</t>
  </si>
  <si>
    <t>Urban Habitat Kids</t>
  </si>
  <si>
    <t>Callie</t>
  </si>
  <si>
    <t>Ensley</t>
  </si>
  <si>
    <t>Kelsey</t>
  </si>
  <si>
    <t>Cotton Jacquard Pom Pom Comforter Set</t>
  </si>
  <si>
    <t>PP001349;PF004829</t>
  </si>
  <si>
    <t>8/21/2019</t>
  </si>
  <si>
    <t>AMAZON,AMAZONDS,CSNSTORES,HDDS,JCPENNEY01,KOHLDSN,MACY02,OLLIIX,TGTDVS</t>
  </si>
  <si>
    <t>28805000-000-003</t>
  </si>
  <si>
    <t>9/17/2019</t>
  </si>
  <si>
    <t>MP103-1233</t>
  </si>
  <si>
    <t>Calvin</t>
  </si>
  <si>
    <t>Gayla</t>
  </si>
  <si>
    <t>Galva</t>
  </si>
  <si>
    <t>PF001099</t>
  </si>
  <si>
    <t>6/17/2021</t>
  </si>
  <si>
    <t>44063498-000-000</t>
  </si>
  <si>
    <t>MP51-7649</t>
  </si>
  <si>
    <t>Filled Blanket</t>
  </si>
  <si>
    <t>Cambria</t>
  </si>
  <si>
    <t>Parkman</t>
  </si>
  <si>
    <t>Oversized Down Alternative Blanket with Satin Trim</t>
  </si>
  <si>
    <t>PP000919;PF005512</t>
  </si>
  <si>
    <t>8/26/2021</t>
  </si>
  <si>
    <t>AMAZON,CSNSTORES,JCPENNEY01,KOHLDSN,MACY02,NRTPORT,TGTDVS</t>
  </si>
  <si>
    <t>18666104-000-021</t>
  </si>
  <si>
    <t>MP51-7645</t>
  </si>
  <si>
    <t>PP000919;PF005510</t>
  </si>
  <si>
    <t>AMAZON,CSNSTORES,DESINC,JCPENNEY01,KOHLDSN,MACY02,OLLIIX</t>
  </si>
  <si>
    <t>18666104-000-016</t>
  </si>
  <si>
    <t>10/20/2021</t>
  </si>
  <si>
    <t>MP51-2601</t>
  </si>
  <si>
    <t>PF002156;PP000919</t>
  </si>
  <si>
    <t>AMAZON,CSNSTORES,KOHLDSN,MACY02,TGTDVS,WALMARTDS</t>
  </si>
  <si>
    <t>18666104-000-003</t>
  </si>
  <si>
    <t>5/13/2016</t>
  </si>
  <si>
    <t>MT151-0067</t>
  </si>
  <si>
    <t>Camden</t>
  </si>
  <si>
    <t>4-Light Glass Bowl Shaped Chandelier</t>
  </si>
  <si>
    <t>Antique Brass</t>
  </si>
  <si>
    <t>AMAZONDS,CSNSTORES,MACY02</t>
  </si>
  <si>
    <t>40806913-000-000</t>
  </si>
  <si>
    <t>MP35-7569</t>
  </si>
  <si>
    <t>Camdyn</t>
  </si>
  <si>
    <t>Ellie</t>
  </si>
  <si>
    <t>Wendy</t>
  </si>
  <si>
    <t>Super Soft Polyester Shag Area Rug</t>
  </si>
  <si>
    <t>4x6'</t>
  </si>
  <si>
    <t>7/12/2021</t>
  </si>
  <si>
    <t>CSNSTORES,JCPENNEY01</t>
  </si>
  <si>
    <t>38687418-000-004</t>
  </si>
  <si>
    <t>8/12/2021</t>
  </si>
  <si>
    <t>MP35-7570</t>
  </si>
  <si>
    <t>CSNSTORES,KOHLDSN,OLLIIX</t>
  </si>
  <si>
    <t>38687418-000-002</t>
  </si>
  <si>
    <t>11/22/2023</t>
  </si>
  <si>
    <t>MP35-7571</t>
  </si>
  <si>
    <t>38687418-000-006</t>
  </si>
  <si>
    <t>4/2/2024</t>
  </si>
  <si>
    <t>MP35-7568</t>
  </si>
  <si>
    <t>Scatter</t>
  </si>
  <si>
    <t>JCPENNEY01</t>
  </si>
  <si>
    <t>38687418-000-007</t>
  </si>
  <si>
    <t>MP35-7573</t>
  </si>
  <si>
    <t>38687418-000-003</t>
  </si>
  <si>
    <t>4/8/2024</t>
  </si>
  <si>
    <t>MP35-7574</t>
  </si>
  <si>
    <t>BIGLOTSDS,CSNSTORES</t>
  </si>
  <si>
    <t>38687418-000-001</t>
  </si>
  <si>
    <t>MP35-7575</t>
  </si>
  <si>
    <t>CSNSTORES,JCPENNEY01,OLLIIX</t>
  </si>
  <si>
    <t>38687418-000-000</t>
  </si>
  <si>
    <t>4/7/2024</t>
  </si>
  <si>
    <t>MP35-7572</t>
  </si>
  <si>
    <t>38687418-000-005</t>
  </si>
  <si>
    <t>ID12-2173</t>
  </si>
  <si>
    <t>Camila</t>
  </si>
  <si>
    <t>Zoe</t>
  </si>
  <si>
    <t>Isla</t>
  </si>
  <si>
    <t>Reversible Duvet Cover Set</t>
  </si>
  <si>
    <t>Black/White</t>
  </si>
  <si>
    <t>PF005814</t>
  </si>
  <si>
    <t>Global</t>
  </si>
  <si>
    <t>Casual|Global Inspired</t>
  </si>
  <si>
    <t>10/11/2022</t>
  </si>
  <si>
    <t>BLK01,JCPENNEY01,MACY02</t>
  </si>
  <si>
    <t>40656124-000-001</t>
  </si>
  <si>
    <t>10/20/2022</t>
  </si>
  <si>
    <t>11/2/2023</t>
  </si>
  <si>
    <t>CHM30-0013</t>
  </si>
  <si>
    <t>Canova</t>
  </si>
  <si>
    <t>12x24"</t>
  </si>
  <si>
    <t>42067839-000-000</t>
  </si>
  <si>
    <t>FB40-1130</t>
  </si>
  <si>
    <t>Canovia Springs</t>
  </si>
  <si>
    <t>54x95"</t>
  </si>
  <si>
    <t>PF003270</t>
  </si>
  <si>
    <t>18890871-000-001</t>
  </si>
  <si>
    <t>8/19/2016</t>
  </si>
  <si>
    <t>MP103-0242</t>
  </si>
  <si>
    <t>Capstone</t>
  </si>
  <si>
    <t>Wilmette</t>
  </si>
  <si>
    <t>Milton</t>
  </si>
  <si>
    <t>Tufted Barrel Swivel Chair</t>
  </si>
  <si>
    <t>Slate</t>
  </si>
  <si>
    <t>PF001102</t>
  </si>
  <si>
    <t>5/25/2017</t>
  </si>
  <si>
    <t>ASHFURNDS,CASTLEGATE,MACY02F,OLLIIX</t>
  </si>
  <si>
    <t>22701323-000-000</t>
  </si>
  <si>
    <t>6/14/2017</t>
  </si>
  <si>
    <t>6/25/2017</t>
  </si>
  <si>
    <t>MP10-8288</t>
  </si>
  <si>
    <t>Caralie</t>
  </si>
  <si>
    <t>Evian</t>
  </si>
  <si>
    <t>Tulia</t>
  </si>
  <si>
    <t>5 Piece Seersucker Comforter Set with Throw Pillows</t>
  </si>
  <si>
    <t>PP001862;PF006062</t>
  </si>
  <si>
    <t>8/24/2023</t>
  </si>
  <si>
    <t>AMAZON,CSNSTORES,JCPENNEY01,KOHLDSN,NRTPORT,TGTDVS</t>
  </si>
  <si>
    <t>41591582-000-002</t>
  </si>
  <si>
    <t>9/7/2023</t>
  </si>
  <si>
    <t>II30-221</t>
  </si>
  <si>
    <t>Cario</t>
  </si>
  <si>
    <t>Embroidered Square Pillow</t>
  </si>
  <si>
    <t>PF003342;PP000371;PP000454;PP000478</t>
  </si>
  <si>
    <t>AMAZON,AMAZONDS,BEALLSDS,BLK01,KOHLDSN,MACY02,OLLIIX,TGTDVS</t>
  </si>
  <si>
    <t>17160777-000-000</t>
  </si>
  <si>
    <t>4/15/2015</t>
  </si>
  <si>
    <t>5DS122-0009</t>
  </si>
  <si>
    <t>Carlyle</t>
  </si>
  <si>
    <t xml:space="preserve">Carlyle  Desk</t>
  </si>
  <si>
    <t>Dark Coffee</t>
  </si>
  <si>
    <t>Industrial</t>
  </si>
  <si>
    <t>10/6/2021</t>
  </si>
  <si>
    <t>AMAZONDS,DESINC,KIRKLANDDS,OLLIIX,TGTDVS</t>
  </si>
  <si>
    <t>38980601-000-000</t>
  </si>
  <si>
    <t>10/14/2021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</si>
  <si>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</si>
  <si>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</si>
  <si>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</si>
  <si>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</si>
  <si>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</si>
  <si>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Linen</t>
  </si>
  <si>
    <t>4/28/2023</t>
  </si>
  <si>
    <t>CSNSTORES,JCPENNEY01,KOHLDSN,MACY02,NRTPORT,OLLIIX</t>
  </si>
  <si>
    <t>41480278-000-000</t>
  </si>
  <si>
    <t>5/4/2023</t>
  </si>
  <si>
    <t>MP10-8486</t>
  </si>
  <si>
    <t>Carolina</t>
  </si>
  <si>
    <t>Beverley</t>
  </si>
  <si>
    <t>7 Piece Stripe Comforter and Quilt Set</t>
  </si>
  <si>
    <t>PP001987;PF006372</t>
  </si>
  <si>
    <t>MP10-8487</t>
  </si>
  <si>
    <t>MP10-8488</t>
  </si>
  <si>
    <t>MP10-8489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</si>
  <si>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</si>
  <si>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</si>
  <si>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</si>
  <si>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</si>
  <si>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</si>
  <si>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</si>
  <si>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40094488-000-000</t>
  </si>
  <si>
    <t>6/20/2022</t>
  </si>
  <si>
    <t>9/21/2022</t>
  </si>
  <si>
    <t>MPS10-493</t>
  </si>
  <si>
    <t>9 Piece Floral Jacquard Comforter Set</t>
  </si>
  <si>
    <t>40094488-000-001</t>
  </si>
  <si>
    <t>8/17/2022</t>
  </si>
  <si>
    <t>MP108-1265</t>
  </si>
  <si>
    <t>Chair</t>
  </si>
  <si>
    <t>Carson</t>
  </si>
  <si>
    <t>Fillmore</t>
  </si>
  <si>
    <t>Troy</t>
  </si>
  <si>
    <t>Upholstered Wingback Dining Chair Set of 2</t>
  </si>
  <si>
    <t>12/9/2019</t>
  </si>
  <si>
    <t>26377787-000-004</t>
  </si>
  <si>
    <t>4/24/2024</t>
  </si>
  <si>
    <t>MP108-1209</t>
  </si>
  <si>
    <t>Upholstered Wingback Dining Chair</t>
  </si>
  <si>
    <t>Light Sage Green</t>
  </si>
  <si>
    <t>12/3/2022</t>
  </si>
  <si>
    <t>9/26/2024</t>
  </si>
  <si>
    <t>AMERSIGNDS,OLLIIX</t>
  </si>
  <si>
    <t>26377787-000-002</t>
  </si>
  <si>
    <t>MP51-8426</t>
  </si>
  <si>
    <t>Carved Plush</t>
  </si>
  <si>
    <t>PP001953;PF006224</t>
  </si>
  <si>
    <t>Plush</t>
  </si>
  <si>
    <t>43785953-000-003</t>
  </si>
  <si>
    <t>6/3/2024</t>
  </si>
  <si>
    <t>MP51-8428</t>
  </si>
  <si>
    <t>43785953-000-011</t>
  </si>
  <si>
    <t>6/12/2024</t>
  </si>
  <si>
    <t>MP51-8423</t>
  </si>
  <si>
    <t>PP001953;PF006223</t>
  </si>
  <si>
    <t>3/30/2024</t>
  </si>
  <si>
    <t>AMAZONDS,KOHLDSN,TGTDVS</t>
  </si>
  <si>
    <t>43785953-000-013</t>
  </si>
  <si>
    <t>MP51-8424</t>
  </si>
  <si>
    <t>43785953-000-001</t>
  </si>
  <si>
    <t>5/30/2024</t>
  </si>
  <si>
    <t>MP51-8425</t>
  </si>
  <si>
    <t>43785953-000-008</t>
  </si>
  <si>
    <t>MP51-8417</t>
  </si>
  <si>
    <t>PP001953;PF006221</t>
  </si>
  <si>
    <t>43785953-000-012</t>
  </si>
  <si>
    <t>MP51-8418</t>
  </si>
  <si>
    <t>43785953-000-010</t>
  </si>
  <si>
    <t>5/2/2024</t>
  </si>
  <si>
    <t>MP51-8419</t>
  </si>
  <si>
    <t>43785953-000-004</t>
  </si>
  <si>
    <t>MP51-8420</t>
  </si>
  <si>
    <t>PP001953;PF006222</t>
  </si>
  <si>
    <t>AMAZON,AMAZONDS,KOHLDSN,MACY02,TGTDVS</t>
  </si>
  <si>
    <t>43785953-000-009</t>
  </si>
  <si>
    <t>MP51-8421</t>
  </si>
  <si>
    <t>AMAZON,AMAZONDS,KOHLDSN,TGTDVS</t>
  </si>
  <si>
    <t>43785953-000-000</t>
  </si>
  <si>
    <t>7/10/2024</t>
  </si>
  <si>
    <t>MP51-8422</t>
  </si>
  <si>
    <t>KOHLDSN,MACY02,TGTDVS</t>
  </si>
  <si>
    <t>43785953-000-014</t>
  </si>
  <si>
    <t>MP51-8414</t>
  </si>
  <si>
    <t>PP001953;PF006220</t>
  </si>
  <si>
    <t>43785953-000-007</t>
  </si>
  <si>
    <t>MP51-8416</t>
  </si>
  <si>
    <t>43785953-000-002</t>
  </si>
  <si>
    <t>ID12-2262</t>
  </si>
  <si>
    <t>Cassiopeia</t>
  </si>
  <si>
    <t>Lisa</t>
  </si>
  <si>
    <t>Watercolor Tie Dye Printed Duvet Cover Set with Throw Pillow</t>
  </si>
  <si>
    <t>PF005394;PP001904</t>
  </si>
  <si>
    <t>JCPENNEY01,MACY02</t>
  </si>
  <si>
    <t>38019805-000-005</t>
  </si>
  <si>
    <t>ID12-2388</t>
  </si>
  <si>
    <t>PP001904;PF006265</t>
  </si>
  <si>
    <t>7/5/2024</t>
  </si>
  <si>
    <t>38019805-000-007</t>
  </si>
  <si>
    <t>7/11/2024</t>
  </si>
  <si>
    <t>ID12-2389</t>
  </si>
  <si>
    <t>AMAZON,JCPENNEY01,MACY02,TGTDVS</t>
  </si>
  <si>
    <t>38019805-000-008</t>
  </si>
  <si>
    <t>ID10-2387</t>
  </si>
  <si>
    <t>Watercolor Tie Dye Printed Comforter Set with Throw Pillow</t>
  </si>
  <si>
    <t>AMAZON,KOHLDSN</t>
  </si>
  <si>
    <t>37999199-000-006</t>
  </si>
  <si>
    <t>ID12-2390</t>
  </si>
  <si>
    <t>38019805-000-006</t>
  </si>
  <si>
    <t>ID12-2260</t>
  </si>
  <si>
    <t>Lavender</t>
  </si>
  <si>
    <t>PP001904;PF006071</t>
  </si>
  <si>
    <t>38019805-000-002</t>
  </si>
  <si>
    <t>MP13-2532</t>
  </si>
  <si>
    <t>Celeste</t>
  </si>
  <si>
    <t>Isabella</t>
  </si>
  <si>
    <t>4 Piece Microfiber Reversible Ruffle Quilt Set with Throw Pillow</t>
  </si>
  <si>
    <t>PF002762</t>
  </si>
  <si>
    <t>Cottage/Country|Farm House</t>
  </si>
  <si>
    <t>AMAZON,ASHFURNDS,BLK01,CSNSTORES,JCPENNEY01,KOHLDSN,MACY02,TGTDVS</t>
  </si>
  <si>
    <t>18524338-000-000</t>
  </si>
  <si>
    <t>MP40-6348</t>
  </si>
  <si>
    <t>Ceres</t>
  </si>
  <si>
    <t>Elowen</t>
  </si>
  <si>
    <t>Persis</t>
  </si>
  <si>
    <t>Twist Tab Voile Sheer Window Pair</t>
  </si>
  <si>
    <t>2-PK 50x63"</t>
  </si>
  <si>
    <t>PF004682;PP001184</t>
  </si>
  <si>
    <t>5/31/2019</t>
  </si>
  <si>
    <t>ASHFURNDS,CSNSTORES,JCPENNEY01,KOHLDSN,Zulily</t>
  </si>
  <si>
    <t>25510906-000-005</t>
  </si>
  <si>
    <t>6/10/2019</t>
  </si>
  <si>
    <t>7/2/2019</t>
  </si>
  <si>
    <t>MP35-8115</t>
  </si>
  <si>
    <t>Chadwick</t>
  </si>
  <si>
    <t>Earl</t>
  </si>
  <si>
    <t>Larry</t>
  </si>
  <si>
    <t>Distressed Vintage Persian Woven Area Rug</t>
  </si>
  <si>
    <t>3x8' Runner</t>
  </si>
  <si>
    <t>PP001801;PF005789</t>
  </si>
  <si>
    <t>BIGLOTSDS,OLLIIX</t>
  </si>
  <si>
    <t>40689047-000-001</t>
  </si>
  <si>
    <t>4/3/2024</t>
  </si>
  <si>
    <t>MP35-8065</t>
  </si>
  <si>
    <t>40689047-000-002</t>
  </si>
  <si>
    <t>MP35-8066</t>
  </si>
  <si>
    <t>40689047-000-000</t>
  </si>
  <si>
    <t>MP35-8067</t>
  </si>
  <si>
    <t>NRTPORT,OLLIIX</t>
  </si>
  <si>
    <t>40689047-000-003</t>
  </si>
  <si>
    <t>MPS10-548</t>
  </si>
  <si>
    <t>Chapman</t>
  </si>
  <si>
    <t>Comforter Set</t>
  </si>
  <si>
    <t>Nuetual Ivory</t>
  </si>
  <si>
    <t>12/1/2024</t>
  </si>
  <si>
    <t>MPS10-549</t>
  </si>
  <si>
    <t>MT154-0065</t>
  </si>
  <si>
    <t>Charlton</t>
  </si>
  <si>
    <t>Metal Floor Lamp with Glass Cylinder Shade</t>
  </si>
  <si>
    <t>40804273-000-000</t>
  </si>
  <si>
    <t>11/22/2022</t>
  </si>
  <si>
    <t>1/23/2023</t>
  </si>
  <si>
    <t>MP50-8239</t>
  </si>
  <si>
    <t>Chenille Chunky Knit</t>
  </si>
  <si>
    <t>Sage Green</t>
  </si>
  <si>
    <t>PP001875;PF005977</t>
  </si>
  <si>
    <t>AMAZON,CSNSTORES,DESINC,JCPENNEY01,KOHLDSN,MACY02,OLLIIX,TGTDVS,ZOLA</t>
  </si>
  <si>
    <t>38792796-000-004</t>
  </si>
  <si>
    <t>8/21/2023</t>
  </si>
  <si>
    <t>9/3/2023</t>
  </si>
  <si>
    <t>5DS105-0013</t>
  </si>
  <si>
    <t>Cheshire</t>
  </si>
  <si>
    <t>Cheshire Accent Bench</t>
  </si>
  <si>
    <t>12/17/2021</t>
  </si>
  <si>
    <t>ASHFURNDS,CSNSTORES,KOHLDSN</t>
  </si>
  <si>
    <t>39440588-000-000</t>
  </si>
  <si>
    <t>12/29/2021</t>
  </si>
  <si>
    <t>3/3/2022</t>
  </si>
  <si>
    <t>ID20-300</t>
  </si>
  <si>
    <t>Chevron</t>
  </si>
  <si>
    <t>Printed Microfiber Sheet Set</t>
  </si>
  <si>
    <t>PF001578</t>
  </si>
  <si>
    <t>AMAZON,AMAZONDS,HSNDS,JCPENNEY01,TGTDVS,WALMARTDS</t>
  </si>
  <si>
    <t>17218050-000-015</t>
  </si>
  <si>
    <t>4/13/2015</t>
  </si>
  <si>
    <t>ID20-290</t>
  </si>
  <si>
    <t>PF001576</t>
  </si>
  <si>
    <t>AMAZONDS,CSNSTORES,JCPENNEY01,TGTDVS,WALMARTDS</t>
  </si>
  <si>
    <t>17218050-000-005</t>
  </si>
  <si>
    <t>4/16/2015</t>
  </si>
  <si>
    <t>ID20-285</t>
  </si>
  <si>
    <t>PF001574</t>
  </si>
  <si>
    <t>AMAZON,JCPENNEY01</t>
  </si>
  <si>
    <t>17218050-000-000</t>
  </si>
  <si>
    <t>5DS153-0053</t>
  </si>
  <si>
    <t>Chique</t>
  </si>
  <si>
    <t>Tap-Control and Dimmable Accent Table Lamp with Power Outlet</t>
  </si>
  <si>
    <t>DESINC,KOHLDSN,OLLIIX</t>
  </si>
  <si>
    <t>44671041-000-000</t>
  </si>
  <si>
    <t>MP103-1111</t>
  </si>
  <si>
    <t>Circa</t>
  </si>
  <si>
    <t>Emerson</t>
  </si>
  <si>
    <t>Chloe</t>
  </si>
  <si>
    <t>Upholstered Swivel Chair</t>
  </si>
  <si>
    <t>2/2/2022</t>
  </si>
  <si>
    <t>39582783-000-000</t>
  </si>
  <si>
    <t>FPF17-0129</t>
  </si>
  <si>
    <t>ACCENT TABLE</t>
  </si>
  <si>
    <t>End Table</t>
  </si>
  <si>
    <t>Cirque</t>
  </si>
  <si>
    <t>Wells</t>
  </si>
  <si>
    <t>Reclaimed Quatrefoil Metal Drum</t>
  </si>
  <si>
    <t>PF000537;PP000121</t>
  </si>
  <si>
    <t>AMERSIGNDS,JCPENNEY01,MACY02F,OLLIIX,Zulily</t>
  </si>
  <si>
    <t>16199360-000-000</t>
  </si>
  <si>
    <t>FPF17-0188</t>
  </si>
  <si>
    <t>PF000539;PP000121</t>
  </si>
  <si>
    <t>ASHFURNDS,CSNSTORES,OLLIIX</t>
  </si>
  <si>
    <t>18298231-000-000</t>
  </si>
  <si>
    <t>3/17/2016</t>
  </si>
  <si>
    <t>II115-0577</t>
  </si>
  <si>
    <t>Clark</t>
  </si>
  <si>
    <t>Platform Bed frame with Live-Edge Headboard and Built-in Nightstands/Drawers</t>
  </si>
  <si>
    <t>Dark Brown</t>
  </si>
  <si>
    <t>44668505-000-000</t>
  </si>
  <si>
    <t>CCL11-0024</t>
  </si>
  <si>
    <t>BED SKIRT&amp;SHAM</t>
  </si>
  <si>
    <t>Bed Skirt&amp;Sham</t>
  </si>
  <si>
    <t>Clermont</t>
  </si>
  <si>
    <t>European Pillow Sham</t>
  </si>
  <si>
    <t>DLCROSCILL,JCPENNEY01,KOHLDSN,OLLIIX</t>
  </si>
  <si>
    <t>42067463-000-000</t>
  </si>
  <si>
    <t>11/27/2023</t>
  </si>
  <si>
    <t>CCL11-0025</t>
  </si>
  <si>
    <t>CSNSTORES,DLCROSCILL</t>
  </si>
  <si>
    <t>42067463-000-001</t>
  </si>
  <si>
    <t>5/20/2024</t>
  </si>
  <si>
    <t>CCL11-0023</t>
  </si>
  <si>
    <t>42067463-000-003</t>
  </si>
  <si>
    <t>HH10-480</t>
  </si>
  <si>
    <t>Coastline</t>
  </si>
  <si>
    <t>Oversized Cotton Jacquard Comforter Set</t>
  </si>
  <si>
    <t>PF003317</t>
  </si>
  <si>
    <t>AMAZONDS,CSNSTORES</t>
  </si>
  <si>
    <t>13429956-000-000</t>
  </si>
  <si>
    <t>HH10-415</t>
  </si>
  <si>
    <t>AMAZON,CSNSTORES,HOUZZ,KOHLDSN</t>
  </si>
  <si>
    <t>13431827-000-001</t>
  </si>
  <si>
    <t>8/12/2016</t>
  </si>
  <si>
    <t>4/24/2017</t>
  </si>
  <si>
    <t>NS12-3660</t>
  </si>
  <si>
    <t>N Natori</t>
  </si>
  <si>
    <t>Cocoon</t>
  </si>
  <si>
    <t>3 Piece Quilt Top Duvet Cover Mini Set</t>
  </si>
  <si>
    <t>PP001696;PF005608</t>
  </si>
  <si>
    <t>11/2/2021</t>
  </si>
  <si>
    <t>39081183-000-000</t>
  </si>
  <si>
    <t>11/10/2021</t>
  </si>
  <si>
    <t>4/19/2023</t>
  </si>
  <si>
    <t>NS11-3662</t>
  </si>
  <si>
    <t>Quilt Top Euro Sham</t>
  </si>
  <si>
    <t>Euro Sham</t>
  </si>
  <si>
    <t>MACY02,NRTPORT</t>
  </si>
  <si>
    <t>39072237-000-000</t>
  </si>
  <si>
    <t>5/6/2022</t>
  </si>
  <si>
    <t>NS10-3654</t>
  </si>
  <si>
    <t>3 Piece Quilt Top Comforter Mini Set</t>
  </si>
  <si>
    <t>PP001696;PF005609</t>
  </si>
  <si>
    <t>BLK01,JCPENNEY01,KOHLDSN,MACY02,OLLIIX</t>
  </si>
  <si>
    <t>39081182-000-000</t>
  </si>
  <si>
    <t>2/23/2022</t>
  </si>
  <si>
    <t>NS12-3656</t>
  </si>
  <si>
    <t>AMAZON,CSNSTORES,JCPENNEY01,KOHLDSN,MACY02,OLLIIX</t>
  </si>
  <si>
    <t>39081183-000-001</t>
  </si>
  <si>
    <t>11/29/2021</t>
  </si>
  <si>
    <t>NS11-3657</t>
  </si>
  <si>
    <t>ASHFURNDS,MACY02,NRTPORT,OLLIIX</t>
  </si>
  <si>
    <t>39072237-000-001</t>
  </si>
  <si>
    <t>FPF18-0395</t>
  </si>
  <si>
    <t>Embry</t>
  </si>
  <si>
    <t>Open Back Accent Chair</t>
  </si>
  <si>
    <t>PF000690;PP000125</t>
  </si>
  <si>
    <t>AMAZON,AMAZONDS,CSNSTORES,LAMPDS,MACY02F,OLLIIX,ROOMECOM,TGTDVS</t>
  </si>
  <si>
    <t>17878759-000-000</t>
  </si>
  <si>
    <t>3/10/2016</t>
  </si>
  <si>
    <t>MP51-8192</t>
  </si>
  <si>
    <t>Coleman</t>
  </si>
  <si>
    <t>Campbell</t>
  </si>
  <si>
    <t>Reversible HeiQ Smart Temperature Down Alternative Blanket</t>
  </si>
  <si>
    <t>PP001231;PF005947</t>
  </si>
  <si>
    <t>4/10/2023</t>
  </si>
  <si>
    <t>8/19/2024</t>
  </si>
  <si>
    <t>AMAZON,AMAZONDS,JCPENNEY01,KOHLDSN,MACY02,NRTPORT,TGTDVS</t>
  </si>
  <si>
    <t>33738174-000-023</t>
  </si>
  <si>
    <t>4/13/2023</t>
  </si>
  <si>
    <t>6/16/2023</t>
  </si>
  <si>
    <t>MP103-1217</t>
  </si>
  <si>
    <t>Sierra</t>
  </si>
  <si>
    <t>Glenroy</t>
  </si>
  <si>
    <t>Upholstered Manual Push Back Recliner</t>
  </si>
  <si>
    <t>2/27/2023</t>
  </si>
  <si>
    <t>KIRKLANDDS,OLLIIX</t>
  </si>
  <si>
    <t>41141642-000-000</t>
  </si>
  <si>
    <t>3/2/2023</t>
  </si>
  <si>
    <t>5/10/2023</t>
  </si>
  <si>
    <t>MP104-0061</t>
  </si>
  <si>
    <t>Bar Stool</t>
  </si>
  <si>
    <t>Colfax</t>
  </si>
  <si>
    <t>Weldon</t>
  </si>
  <si>
    <t>Lorsted</t>
  </si>
  <si>
    <t>30-Inch Bar Stool</t>
  </si>
  <si>
    <t>PF000304;PP000127</t>
  </si>
  <si>
    <t>KOHLDSN,OLLIIX,ROOMECOM</t>
  </si>
  <si>
    <t>20550198-000-000</t>
  </si>
  <si>
    <t>MPS100-0303</t>
  </si>
  <si>
    <t>Collin</t>
  </si>
  <si>
    <t>Arm chair</t>
  </si>
  <si>
    <t>Cream/Dark Brown</t>
  </si>
  <si>
    <t>4/20/2022</t>
  </si>
  <si>
    <t>CSNSTORES,KIRKLANDDS,LAMPDS,OLLIIX,TGTDVS</t>
  </si>
  <si>
    <t>20820279-000-002</t>
  </si>
  <si>
    <t>MPS100-0108</t>
  </si>
  <si>
    <t>Arm Chair</t>
  </si>
  <si>
    <t>Grey/Black</t>
  </si>
  <si>
    <t>PF001228</t>
  </si>
  <si>
    <t>5/24/2017</t>
  </si>
  <si>
    <t>CSNSTORES,HOUZZ,KIRKLANDDS,MACY02F,OLLIIX,ROOMECOM</t>
  </si>
  <si>
    <t>20820279-000-000</t>
  </si>
  <si>
    <t>2/8/2017</t>
  </si>
  <si>
    <t>5DS40-0227</t>
  </si>
  <si>
    <t>Colt</t>
  </si>
  <si>
    <t>Garett</t>
  </si>
  <si>
    <t>Bryce</t>
  </si>
  <si>
    <t>Room Darkening Metallic Printed Poly Velvet Rod Pocket/Back Tab Window Panel Pair</t>
  </si>
  <si>
    <t>37x63"</t>
  </si>
  <si>
    <t>PP000910;PF005231</t>
  </si>
  <si>
    <t>Velvet</t>
  </si>
  <si>
    <t>Room Darkening</t>
  </si>
  <si>
    <t>10/7/2020</t>
  </si>
  <si>
    <t>28110688-000-015</t>
  </si>
  <si>
    <t>12/29/2020</t>
  </si>
  <si>
    <t>5DS40-0283</t>
  </si>
  <si>
    <t>37x84"</t>
  </si>
  <si>
    <t>PP000910;PF006007</t>
  </si>
  <si>
    <t>CSNSTORES,JCPENNEY01,KOHLDSN,OLLIIX</t>
  </si>
  <si>
    <t>28110688-000-024</t>
  </si>
  <si>
    <t>5DS40-0284</t>
  </si>
  <si>
    <t>37x95"</t>
  </si>
  <si>
    <t>PP000910;PF006008</t>
  </si>
  <si>
    <t>28110688-000-025</t>
  </si>
  <si>
    <t>9/12/2023</t>
  </si>
  <si>
    <t>5DS40-0287</t>
  </si>
  <si>
    <t>Grey/Copper</t>
  </si>
  <si>
    <t>PP000910;PF006132</t>
  </si>
  <si>
    <t>5/24/2024</t>
  </si>
  <si>
    <t>28110688-000-028</t>
  </si>
  <si>
    <t>5DS40-0288</t>
  </si>
  <si>
    <t>28110688-000-029</t>
  </si>
  <si>
    <t>5DS40-0155</t>
  </si>
  <si>
    <t>PP000910;PF004315</t>
  </si>
  <si>
    <t>7/10/2018</t>
  </si>
  <si>
    <t>JCPENNEY01,OLLIIX,TGTDVS</t>
  </si>
  <si>
    <t>28110688-000-008</t>
  </si>
  <si>
    <t>7/9/2018</t>
  </si>
  <si>
    <t>5/30/2019</t>
  </si>
  <si>
    <t>5DS40-0160</t>
  </si>
  <si>
    <t>PP000910;PF004318</t>
  </si>
  <si>
    <t>BLK01,CSNSTORES,HDDS,JCPENNEY01,KOHLDSN,OLLIIX,TGTDVS</t>
  </si>
  <si>
    <t>28110688-000-012</t>
  </si>
  <si>
    <t>9/12/2018</t>
  </si>
  <si>
    <t>5DS40-0285</t>
  </si>
  <si>
    <t>White/Gold</t>
  </si>
  <si>
    <t>PP000910;PF006131</t>
  </si>
  <si>
    <t>28110688-000-026</t>
  </si>
  <si>
    <t>6/5/2024</t>
  </si>
  <si>
    <t>5DS40-0286</t>
  </si>
  <si>
    <t>ASHFURNDS</t>
  </si>
  <si>
    <t>28110688-000-027</t>
  </si>
  <si>
    <t>FPF18-0160</t>
  </si>
  <si>
    <t>Colton</t>
  </si>
  <si>
    <t>Charlie</t>
  </si>
  <si>
    <t>Robin</t>
  </si>
  <si>
    <t>Track Arm Club Chair</t>
  </si>
  <si>
    <t>PF000621;PP000128</t>
  </si>
  <si>
    <t>AMERSIGNDS,ASHFURNDS,CASTLEGATE,CSNSTORES,KIRKLANDDS,MACY02F,OLLIIX</t>
  </si>
  <si>
    <t>17880187-000-000</t>
  </si>
  <si>
    <t>11/21/2015</t>
  </si>
  <si>
    <t>MCC100-0001</t>
  </si>
  <si>
    <t>PF001017;PP000128</t>
  </si>
  <si>
    <t>ASHFURNDS,CASTLEGATE,CSNSTORES,KOHLDSN,LAMPDS,MACY02F,OLLIIX,ROOMECOM</t>
  </si>
  <si>
    <t>23075005-000-000</t>
  </si>
  <si>
    <t>7/11/2017</t>
  </si>
  <si>
    <t>7/20/2017</t>
  </si>
  <si>
    <t>UH20-2466</t>
  </si>
  <si>
    <t>Comfort Cool Jersey Knit</t>
  </si>
  <si>
    <t>Nylon Blend Sheet Set</t>
  </si>
  <si>
    <t>PP001859;PF005950</t>
  </si>
  <si>
    <t>Jersey</t>
  </si>
  <si>
    <t>4/18/2023</t>
  </si>
  <si>
    <t>41392078-000-007</t>
  </si>
  <si>
    <t>4/20/2023</t>
  </si>
  <si>
    <t>2/14/2024</t>
  </si>
  <si>
    <t>UH10-2507</t>
  </si>
  <si>
    <t>Down Alternative Comforter Filler</t>
  </si>
  <si>
    <t>Oversized Down Alternative Comforter</t>
  </si>
  <si>
    <t>PP001912;PF006110</t>
  </si>
  <si>
    <t>12/5/2023</t>
  </si>
  <si>
    <t>43139341-000-001</t>
  </si>
  <si>
    <t>UH10-2500</t>
  </si>
  <si>
    <t>PF006108;PP001912</t>
  </si>
  <si>
    <t>AMAZON,AMAZONDS,KOHLDSN,MACY02</t>
  </si>
  <si>
    <t>43139341-000-003</t>
  </si>
  <si>
    <t>UH20-2454</t>
  </si>
  <si>
    <t>PP001859;PF005948</t>
  </si>
  <si>
    <t>AMAZON,AMAZONDS,KOHLDSN,MACY02,TGTDVS,Zulily</t>
  </si>
  <si>
    <t>41392078-000-003</t>
  </si>
  <si>
    <t>UH20-2456</t>
  </si>
  <si>
    <t>41392078-000-004</t>
  </si>
  <si>
    <t>UH20-2458</t>
  </si>
  <si>
    <t>AMAZONDS,JCPENNEY01,KOHLDSN,MACY02,TGTDVS,Zulily</t>
  </si>
  <si>
    <t>41392078-000-002</t>
  </si>
  <si>
    <t>MP40-7928</t>
  </si>
  <si>
    <t>Roman Shade</t>
  </si>
  <si>
    <t>Como</t>
  </si>
  <si>
    <t>Leighton</t>
  </si>
  <si>
    <t>Aberdeen</t>
  </si>
  <si>
    <t>Printed Faux Silk Room Darkening Cordless Roman Shade</t>
  </si>
  <si>
    <t>27x64"</t>
  </si>
  <si>
    <t>PP001428;PF005323</t>
  </si>
  <si>
    <t>AMAZONDS,CSNSTORES,JCPENNEY01,NRTPORT</t>
  </si>
  <si>
    <t>38024443-000-023</t>
  </si>
  <si>
    <t>MP40-7932</t>
  </si>
  <si>
    <t>39x64"</t>
  </si>
  <si>
    <t>AMAZONDS,CSNSTORES,HDDS,JCPENNEY01,KOHLDSN</t>
  </si>
  <si>
    <t>38024443-000-022</t>
  </si>
  <si>
    <t>9/9/2022</t>
  </si>
  <si>
    <t>MP40-7937</t>
  </si>
  <si>
    <t>PP001428;PF005726</t>
  </si>
  <si>
    <t>7/7/2022</t>
  </si>
  <si>
    <t>AMAZONDS,CSNSTORES,JCPENNEY01,KOHLDSN,NRTPORT</t>
  </si>
  <si>
    <t>38024443-000-015</t>
  </si>
  <si>
    <t>MP40-7938</t>
  </si>
  <si>
    <t>31x64"</t>
  </si>
  <si>
    <t>AMAZONDS,CSNSTORES,KOHLDSN,NRTPORT</t>
  </si>
  <si>
    <t>38024443-000-016</t>
  </si>
  <si>
    <t>12/29/2023</t>
  </si>
  <si>
    <t>MP40-7939</t>
  </si>
  <si>
    <t>33x64"</t>
  </si>
  <si>
    <t>AMAZONDS,DESINC,KOHLDSN</t>
  </si>
  <si>
    <t>38024443-000-017</t>
  </si>
  <si>
    <t>4/7/2023</t>
  </si>
  <si>
    <t>MP40-7940</t>
  </si>
  <si>
    <t>35x64"</t>
  </si>
  <si>
    <t>AMAZONDS,CSNSTORES,JCPENNEY01,KOHLDSN,MACY02</t>
  </si>
  <si>
    <t>38024443-000-018</t>
  </si>
  <si>
    <t>11/16/2022</t>
  </si>
  <si>
    <t>MP40-7941</t>
  </si>
  <si>
    <t>38024443-000-019</t>
  </si>
  <si>
    <t>1/29/2024</t>
  </si>
  <si>
    <t>MP40-7436</t>
  </si>
  <si>
    <t>PP001428;PF004982</t>
  </si>
  <si>
    <t>5/17/2021</t>
  </si>
  <si>
    <t>AMAZON,AMAZONDS,BLK01,CSNSTORES,JCPENNEY01,TGTDVS</t>
  </si>
  <si>
    <t>38024443-000-003</t>
  </si>
  <si>
    <t>5/15/2021</t>
  </si>
  <si>
    <t>5/19/2021</t>
  </si>
  <si>
    <t>MP40-7439</t>
  </si>
  <si>
    <t>1/15/2025</t>
  </si>
  <si>
    <t>AMAZON,AMAZONDS,HDDS,JCPENNEY01,KOHLDSN,TGTDVS</t>
  </si>
  <si>
    <t>38024443-000-007</t>
  </si>
  <si>
    <t>6/3/2021</t>
  </si>
  <si>
    <t>MP40-7446</t>
  </si>
  <si>
    <t>PP001428;PF004983</t>
  </si>
  <si>
    <t>AMAZON,AMAZONDS,JCPENNEY01,TGTDVS</t>
  </si>
  <si>
    <t>38024443-000-000</t>
  </si>
  <si>
    <t>7/26/2021</t>
  </si>
  <si>
    <t>MP40-7449</t>
  </si>
  <si>
    <t>AMAZON,AMAZONDS,JCPENNEY01,KOHLDSN,TGTDVS,Zulily</t>
  </si>
  <si>
    <t>38024443-000-005</t>
  </si>
  <si>
    <t>7/8/2021</t>
  </si>
  <si>
    <t>BR9144409622-13</t>
  </si>
  <si>
    <t>10 Piece Comforter Set with Bed Sheets</t>
  </si>
  <si>
    <t>PP001823;PF005858</t>
  </si>
  <si>
    <t>10</t>
  </si>
  <si>
    <t>11/4/2021</t>
  </si>
  <si>
    <t>40067411-000-000</t>
  </si>
  <si>
    <t>6/9/2022</t>
  </si>
  <si>
    <t>12/20/2022</t>
  </si>
  <si>
    <t>FB155-1173</t>
  </si>
  <si>
    <t>LGT-SCONCES</t>
  </si>
  <si>
    <t>Sconces</t>
  </si>
  <si>
    <t>Metal Wall Sconce with Cylinder Shade, Set of 2</t>
  </si>
  <si>
    <t>9/6/2024</t>
  </si>
  <si>
    <t>40807174-000-000</t>
  </si>
  <si>
    <t>BR55-4071</t>
  </si>
  <si>
    <t>ELEC MATT PAD</t>
  </si>
  <si>
    <t>Elect Matt Pad</t>
  </si>
  <si>
    <t>Cool Touch</t>
  </si>
  <si>
    <t>Heated Mattress Pad</t>
  </si>
  <si>
    <t>PP001881;PF005998</t>
  </si>
  <si>
    <t>41947656-000-002</t>
  </si>
  <si>
    <t>BR55-4073</t>
  </si>
  <si>
    <t>41947656-000-005</t>
  </si>
  <si>
    <t>9/19/2023</t>
  </si>
  <si>
    <t>SI50-0024</t>
  </si>
  <si>
    <t>Cooling Touch</t>
  </si>
  <si>
    <t>Down Alternative Throw</t>
  </si>
  <si>
    <t>PP001964;PF006252</t>
  </si>
  <si>
    <t>Nylon</t>
  </si>
  <si>
    <t>6/4/2024</t>
  </si>
  <si>
    <t>BLK01,HDDS,KOHLDSN,TGTDVS</t>
  </si>
  <si>
    <t>44440473-000-002</t>
  </si>
  <si>
    <t>Tier S-E</t>
  </si>
  <si>
    <t>SI50-0021</t>
  </si>
  <si>
    <t>PP001964;PF006249</t>
  </si>
  <si>
    <t>HDDS,KOHLDSN,TGTDVS</t>
  </si>
  <si>
    <t>44440473-000-000</t>
  </si>
  <si>
    <t>SI50-0023</t>
  </si>
  <si>
    <t>PP001964;PF006251</t>
  </si>
  <si>
    <t>BLK01,CSNSTORES,HDDS,KOHLDSN,TGTDVS</t>
  </si>
  <si>
    <t>44440473-000-003</t>
  </si>
  <si>
    <t>SI50-0022</t>
  </si>
  <si>
    <t>PP001964;PF006250</t>
  </si>
  <si>
    <t>44440473-000-001</t>
  </si>
  <si>
    <t>SI51-0011</t>
  </si>
  <si>
    <t>Down Alternative Blanket</t>
  </si>
  <si>
    <t>PP001965;PF006253</t>
  </si>
  <si>
    <t>7/12/2024</t>
  </si>
  <si>
    <t>44339903-000-001</t>
  </si>
  <si>
    <t>SI16-0014</t>
  </si>
  <si>
    <t>Overfilled Deep Pocket Mattress Pad</t>
  </si>
  <si>
    <t>PP001963;PF006248</t>
  </si>
  <si>
    <t>7/2/2024</t>
  </si>
  <si>
    <t>HDDS,OLLIIX</t>
  </si>
  <si>
    <t>44315441-000-000</t>
  </si>
  <si>
    <t>SI16-0015</t>
  </si>
  <si>
    <t>BLK01,HDDS,KOHLDSN,MACY02</t>
  </si>
  <si>
    <t>44315441-000-001</t>
  </si>
  <si>
    <t>SI51-0012</t>
  </si>
  <si>
    <t>8/16/2024</t>
  </si>
  <si>
    <t>BLK01,HDDS,KOHLDSN,MACY02,TGTDVS</t>
  </si>
  <si>
    <t>44339903-000-002</t>
  </si>
  <si>
    <t>SI16-0016</t>
  </si>
  <si>
    <t>HDDS,KOHLDSN,MACY02,TGTDVS</t>
  </si>
  <si>
    <t>44315441-000-003</t>
  </si>
  <si>
    <t>SI16-0017</t>
  </si>
  <si>
    <t>7/3/2024</t>
  </si>
  <si>
    <t>HDDS,KOHLDSN,MACY02</t>
  </si>
  <si>
    <t>44315441-000-002</t>
  </si>
  <si>
    <t>PET63OP6011</t>
  </si>
  <si>
    <t>Copper</t>
  </si>
  <si>
    <t>Ortho Napper</t>
  </si>
  <si>
    <t>AMAZONDS,CSNSTORES,OLLIIX</t>
  </si>
  <si>
    <t>43822207-000-000</t>
  </si>
  <si>
    <t>4/13/2024</t>
  </si>
  <si>
    <t>MZK10-267</t>
  </si>
  <si>
    <t>Cora</t>
  </si>
  <si>
    <t>Sophie</t>
  </si>
  <si>
    <t>Pompom Clip Jacquard Comforter Set</t>
  </si>
  <si>
    <t>Pink Multi</t>
  </si>
  <si>
    <t>PF006137</t>
  </si>
  <si>
    <t>Polka Dots</t>
  </si>
  <si>
    <t>AMAZON,CSNSTORES,JCPENNEY01,KOHLDSN,OLLIIX,TGTDVS</t>
  </si>
  <si>
    <t>43736332-000-000</t>
  </si>
  <si>
    <t>MZK10-268</t>
  </si>
  <si>
    <t>43736332-000-001</t>
  </si>
  <si>
    <t>MZK12-270</t>
  </si>
  <si>
    <t>Pompom Clip Jacquard Duvet Cover Set</t>
  </si>
  <si>
    <t>AMAZON,JCPENNEY01,OLLIIX</t>
  </si>
  <si>
    <t>43737943-000-000</t>
  </si>
  <si>
    <t>ST54-0290</t>
  </si>
  <si>
    <t>Serta</t>
  </si>
  <si>
    <t>Electric Blanket</t>
  </si>
  <si>
    <t>Corded Plush</t>
  </si>
  <si>
    <t>Heated Blanket</t>
  </si>
  <si>
    <t>PP001892;PF006035</t>
  </si>
  <si>
    <t>42738934-000-004</t>
  </si>
  <si>
    <t>ST54-0291</t>
  </si>
  <si>
    <t>9/21/2023</t>
  </si>
  <si>
    <t>42738934-000-003</t>
  </si>
  <si>
    <t>1/16/2024</t>
  </si>
  <si>
    <t>ST54-0292</t>
  </si>
  <si>
    <t>JCPENNEY01,KOHLDSN,MACY02</t>
  </si>
  <si>
    <t>42738934-000-007</t>
  </si>
  <si>
    <t>ST54-0293</t>
  </si>
  <si>
    <t>42738934-000-012</t>
  </si>
  <si>
    <t>ST54-0294</t>
  </si>
  <si>
    <t>PP001892;PF006036</t>
  </si>
  <si>
    <t>42738934-000-010</t>
  </si>
  <si>
    <t>ST54-0297</t>
  </si>
  <si>
    <t>42738934-000-008</t>
  </si>
  <si>
    <t>1/12/2024</t>
  </si>
  <si>
    <t>ST54-0287</t>
  </si>
  <si>
    <t>PP001892;PF006034</t>
  </si>
  <si>
    <t>42738934-000-009</t>
  </si>
  <si>
    <t>11/1/2023</t>
  </si>
  <si>
    <t>ST54-0288</t>
  </si>
  <si>
    <t>42738934-000-011</t>
  </si>
  <si>
    <t>ST54-0282</t>
  </si>
  <si>
    <t>PP001892;PF006033</t>
  </si>
  <si>
    <t>42738934-000-005</t>
  </si>
  <si>
    <t>ST54-0284</t>
  </si>
  <si>
    <t>42738934-000-006</t>
  </si>
  <si>
    <t>CCL40-0056</t>
  </si>
  <si>
    <t>Cornelli</t>
  </si>
  <si>
    <t>Embroidery Curtain Panel (Single)</t>
  </si>
  <si>
    <t>42036994-000-001</t>
  </si>
  <si>
    <t>CCL40-0055</t>
  </si>
  <si>
    <t>52x84"</t>
  </si>
  <si>
    <t>42036994-000-000</t>
  </si>
  <si>
    <t>CCL40-0054</t>
  </si>
  <si>
    <t>42036994-000-003</t>
  </si>
  <si>
    <t>CCL40-0053</t>
  </si>
  <si>
    <t>42036994-000-002</t>
  </si>
  <si>
    <t>CC71-0039</t>
  </si>
  <si>
    <t>BATH ACCESSORIES</t>
  </si>
  <si>
    <t>Bath Accessory</t>
  </si>
  <si>
    <t>Corsica</t>
  </si>
  <si>
    <t>Gold Marbled Resin Tumbler</t>
  </si>
  <si>
    <t>10/17/2022</t>
  </si>
  <si>
    <t>CSNSTORES,DLCROSCILL,JCPENNEY01,KOHLDSN,OLLIIX</t>
  </si>
  <si>
    <t>42093669-000-005</t>
  </si>
  <si>
    <t>8/9/2023</t>
  </si>
  <si>
    <t>1/10/2024</t>
  </si>
  <si>
    <t>CC71-0041</t>
  </si>
  <si>
    <t>Gold Marbled Resin Jar</t>
  </si>
  <si>
    <t>CSNSTORES,DLCROSCILL,OLLIIX</t>
  </si>
  <si>
    <t>42093669-000-001</t>
  </si>
  <si>
    <t>UH95C-0030</t>
  </si>
  <si>
    <t>Cosmic Curl</t>
  </si>
  <si>
    <t>Black/Taupe</t>
  </si>
  <si>
    <t>PP001611</t>
  </si>
  <si>
    <t>2/10/2021</t>
  </si>
  <si>
    <t>AMAZON,AMERSIGNDS,HDDS,KIRKLANDDS,KOHLDSN,OLLIIX,ROOMECOM,TGTDVS,ZOLA</t>
  </si>
  <si>
    <t>37419231-000-000</t>
  </si>
  <si>
    <t>2/11/2021</t>
  </si>
  <si>
    <t>2/25/2021</t>
  </si>
  <si>
    <t>5DS36-0297</t>
  </si>
  <si>
    <t>INFLATABLES</t>
  </si>
  <si>
    <t>Costa</t>
  </si>
  <si>
    <t>Keani</t>
  </si>
  <si>
    <t>Portable Water Repellent Inflatable Round Ottoman</t>
  </si>
  <si>
    <t>Dia 21x9"</t>
  </si>
  <si>
    <t>PP001992;PF006397</t>
  </si>
  <si>
    <t>44477748-000-001</t>
  </si>
  <si>
    <t>5DS36-0298</t>
  </si>
  <si>
    <t>Navy/White</t>
  </si>
  <si>
    <t>PP001992;PF006398</t>
  </si>
  <si>
    <t>44477748-000-000</t>
  </si>
  <si>
    <t>CS20-1569</t>
  </si>
  <si>
    <t>Cotton 144TC</t>
  </si>
  <si>
    <t>Printed Cotton Sheets</t>
  </si>
  <si>
    <t>Parisienne Pink</t>
  </si>
  <si>
    <t>Novelty</t>
  </si>
  <si>
    <t>4/29/2022</t>
  </si>
  <si>
    <t>43972195-000-002</t>
  </si>
  <si>
    <t>5/15/2024</t>
  </si>
  <si>
    <t>CS20-1572</t>
  </si>
  <si>
    <t>AMAZONDS,DESINC</t>
  </si>
  <si>
    <t>43972195-000-000</t>
  </si>
  <si>
    <t>BR55-0198</t>
  </si>
  <si>
    <t>Cotton Blend</t>
  </si>
  <si>
    <t>PF003436</t>
  </si>
  <si>
    <t>AMAZON,ASHFURNDS,CSNSTORES,JCPENNEY01,KOHLDSN,WALMARTDS</t>
  </si>
  <si>
    <t>14027870-000-000</t>
  </si>
  <si>
    <t>3/3/2015</t>
  </si>
  <si>
    <t>BR55-0671</t>
  </si>
  <si>
    <t>A++</t>
  </si>
  <si>
    <t>AMAZON,AMAZONDS,HSNDS,JCPENNEY01,KOHLDSN,NORDSTRACKDS,OLLIIX,WALMARTDS</t>
  </si>
  <si>
    <t>14027870-000-001</t>
  </si>
  <si>
    <t>8/24/2016</t>
  </si>
  <si>
    <t>2/19/2017</t>
  </si>
  <si>
    <t>BR55-0202</t>
  </si>
  <si>
    <t>AMAZON,CSNSTORES,HSNDS,JCPENNEY01,KOHLDSN,MACY02,WALMARTDS,Zulily</t>
  </si>
  <si>
    <t>14027776-000-001</t>
  </si>
  <si>
    <t>2/3/2016</t>
  </si>
  <si>
    <t>ID20-697</t>
  </si>
  <si>
    <t>Cotton Blend Jersey Knit</t>
  </si>
  <si>
    <t>All Season Sheet Set</t>
  </si>
  <si>
    <t>PF002200</t>
  </si>
  <si>
    <t>AMAZON,CSNSTORES,FINGERHUTDS,JCPENNEY01,KOHLDSN,MACY02,TGTDVS</t>
  </si>
  <si>
    <t>18526070-000-010</t>
  </si>
  <si>
    <t>3/28/2016</t>
  </si>
  <si>
    <t>ID20-2461</t>
  </si>
  <si>
    <t>PP001991;PF006396</t>
  </si>
  <si>
    <t>10/1/2024</t>
  </si>
  <si>
    <t>ID20-2462</t>
  </si>
  <si>
    <t>ID20-2463</t>
  </si>
  <si>
    <t>ID20-2464</t>
  </si>
  <si>
    <t>ID20-2465</t>
  </si>
  <si>
    <t>ID20-2456</t>
  </si>
  <si>
    <t>PP001991;PF006395</t>
  </si>
  <si>
    <t>ID20-2457</t>
  </si>
  <si>
    <t>ID20-2458</t>
  </si>
  <si>
    <t>ID20-2459</t>
  </si>
  <si>
    <t>ID20-2460</t>
  </si>
  <si>
    <t>ID20-692</t>
  </si>
  <si>
    <t>Dark Grey</t>
  </si>
  <si>
    <t>PF002199</t>
  </si>
  <si>
    <t>AMAZON,AMAZONDS,JCPENNEY01,KOHLDSN,MACY02,TGTDVS</t>
  </si>
  <si>
    <t>18526070-000-005</t>
  </si>
  <si>
    <t>4/20/2016</t>
  </si>
  <si>
    <t>ID20-693</t>
  </si>
  <si>
    <t>AMAZON,BLK01,JCPENNEY01,KOHLDSN,MACY02,TGTDVS</t>
  </si>
  <si>
    <t>18526070-000-006</t>
  </si>
  <si>
    <t>ID20-694</t>
  </si>
  <si>
    <t>AMAZONDS,CSNSTORES,FINGERHUTDS,JCPENNEY01,KOHLDSN,MACY02,OLLIIX,TGTDVS</t>
  </si>
  <si>
    <t>18526070-000-007</t>
  </si>
  <si>
    <t>4/12/2016</t>
  </si>
  <si>
    <t>ID20-2451</t>
  </si>
  <si>
    <t>PP001991;PF006394</t>
  </si>
  <si>
    <t>ID20-2452</t>
  </si>
  <si>
    <t>ID20-2453</t>
  </si>
  <si>
    <t>ID20-2454</t>
  </si>
  <si>
    <t>ID20-2455</t>
  </si>
  <si>
    <t>ID20-704</t>
  </si>
  <si>
    <t>PF002202</t>
  </si>
  <si>
    <t>18526070-000-017</t>
  </si>
  <si>
    <t>ID20-1236</t>
  </si>
  <si>
    <t>PF002204</t>
  </si>
  <si>
    <t>9/9/2017</t>
  </si>
  <si>
    <t>18526070-000-048</t>
  </si>
  <si>
    <t>9/26/2017</t>
  </si>
  <si>
    <t>10/2/2017</t>
  </si>
  <si>
    <t>ID20-1238</t>
  </si>
  <si>
    <t>18526070-000-050</t>
  </si>
  <si>
    <t>10/6/2017</t>
  </si>
  <si>
    <t>ID20-1252</t>
  </si>
  <si>
    <t>9/22/2024</t>
  </si>
  <si>
    <t>AMAZON,CSNSTORES,FINGERHUTDS,KOHLDSN,MACY02,TGTDVS</t>
  </si>
  <si>
    <t>18526070-000-052</t>
  </si>
  <si>
    <t>4/16/2018</t>
  </si>
  <si>
    <t>ID20-687</t>
  </si>
  <si>
    <t>PF002198</t>
  </si>
  <si>
    <t>AMAZON,AMAZONDS,CSNSTORES,JCPENNEY01,KOHLDSN,TGTDVS</t>
  </si>
  <si>
    <t>18526070-000-000</t>
  </si>
  <si>
    <t>6/24/2016</t>
  </si>
  <si>
    <t>ID20-689</t>
  </si>
  <si>
    <t>AMAZON,AMAZONDS,BEALLSDS,CSNSTORES,JCPENNEY01,KOHLDSN,OLLIIX,TGTDVS</t>
  </si>
  <si>
    <t>18526070-000-002</t>
  </si>
  <si>
    <t>ID20-690</t>
  </si>
  <si>
    <t>18526070-000-003</t>
  </si>
  <si>
    <t>WR20-3958</t>
  </si>
  <si>
    <t>Cotton Flannel</t>
  </si>
  <si>
    <t>Black Pine Trees</t>
  </si>
  <si>
    <t>PP000952;PF006050</t>
  </si>
  <si>
    <t>Flannel</t>
  </si>
  <si>
    <t>7/26/2023</t>
  </si>
  <si>
    <t>19462540-000-065</t>
  </si>
  <si>
    <t>Tier 1-S</t>
  </si>
  <si>
    <t>WR20-3962</t>
  </si>
  <si>
    <t>9/30/2024</t>
  </si>
  <si>
    <t>AMAZON,JCPENNEY01,KOHLDSN,MACY02,TGTDVS</t>
  </si>
  <si>
    <t>19462540-000-073</t>
  </si>
  <si>
    <t>WR20-3312</t>
  </si>
  <si>
    <t>Black/White Scottie Dogs</t>
  </si>
  <si>
    <t>PP001647;PF005505</t>
  </si>
  <si>
    <t>9/7/2021</t>
  </si>
  <si>
    <t>19462540-000-059</t>
  </si>
  <si>
    <t>10/18/2021</t>
  </si>
  <si>
    <t>12/26/2021</t>
  </si>
  <si>
    <t>WR20-3313</t>
  </si>
  <si>
    <t>AMAZON,JCPENNEY01,KOHLDSN,MACY02,OLLIIX</t>
  </si>
  <si>
    <t>19462540-000-060</t>
  </si>
  <si>
    <t>10/21/2021</t>
  </si>
  <si>
    <t>WR20-3315</t>
  </si>
  <si>
    <t>19462540-000-063</t>
  </si>
  <si>
    <t>10/22/2021</t>
  </si>
  <si>
    <t>WR20-2045</t>
  </si>
  <si>
    <t>Blue Plaid</t>
  </si>
  <si>
    <t>PF002306</t>
  </si>
  <si>
    <t>9/28/2017</t>
  </si>
  <si>
    <t>AMAZON,AMAZONDS,FINGERHUTDS,JCPENNEY01,KOHLDSN,MACY02,OLLIIX</t>
  </si>
  <si>
    <t>19462540-000-035</t>
  </si>
  <si>
    <t>10/19/2017</t>
  </si>
  <si>
    <t>4/18/2018</t>
  </si>
  <si>
    <t>WR20-2280</t>
  </si>
  <si>
    <t>Blue Sheep</t>
  </si>
  <si>
    <t>PP000952;PF004384</t>
  </si>
  <si>
    <t>8/7/2018</t>
  </si>
  <si>
    <t>AMAZONDS,BLK01,CSNSTORES,DESINC,JCPENNEY01,KOHLDSN,MACY02,TGTDVS</t>
  </si>
  <si>
    <t>19462540-000-056</t>
  </si>
  <si>
    <t>9/10/2018</t>
  </si>
  <si>
    <t>WR20-2281</t>
  </si>
  <si>
    <t>PP000952;PF004385</t>
  </si>
  <si>
    <t>19462540-000-055</t>
  </si>
  <si>
    <t>9/13/2018</t>
  </si>
  <si>
    <t>WR20-3999</t>
  </si>
  <si>
    <t>Blue Snowflake</t>
  </si>
  <si>
    <t>PF002274;PP000952</t>
  </si>
  <si>
    <t>9/21/2024</t>
  </si>
  <si>
    <t>WR20-4000</t>
  </si>
  <si>
    <t>WR20-2032</t>
  </si>
  <si>
    <t>Blue Winter Frost</t>
  </si>
  <si>
    <t>PF002302</t>
  </si>
  <si>
    <t>AMAZON,AMAZONDS,KOHLDSN,MACY02,TGTDVS,WALMARTDS</t>
  </si>
  <si>
    <t>19462540-000-016</t>
  </si>
  <si>
    <t>11/13/2017</t>
  </si>
  <si>
    <t>WR20-2033</t>
  </si>
  <si>
    <t>AMAZONDS,HSNDS,MACY02</t>
  </si>
  <si>
    <t>19462540-000-017</t>
  </si>
  <si>
    <t>10/23/2017</t>
  </si>
  <si>
    <t>WR20-1798</t>
  </si>
  <si>
    <t>Brown Plaid</t>
  </si>
  <si>
    <t>PF002272</t>
  </si>
  <si>
    <t>AMAZON,AMAZONDS,MACY02,WALMARTDS</t>
  </si>
  <si>
    <t>19462540-000-005</t>
  </si>
  <si>
    <t>9/13/2016</t>
  </si>
  <si>
    <t>10/5/2016</t>
  </si>
  <si>
    <t>WR20-3989</t>
  </si>
  <si>
    <t>Gray Deer Toile</t>
  </si>
  <si>
    <t>PP000952;PF006331</t>
  </si>
  <si>
    <t>Scenic</t>
  </si>
  <si>
    <t>WR20-3990</t>
  </si>
  <si>
    <t>WR20-3991</t>
  </si>
  <si>
    <t>WR20-3992</t>
  </si>
  <si>
    <t>WR20-3993</t>
  </si>
  <si>
    <t>WR20-4003</t>
  </si>
  <si>
    <t>PF002271;PP000952</t>
  </si>
  <si>
    <t>WR20-4004</t>
  </si>
  <si>
    <t>WR20-1794</t>
  </si>
  <si>
    <t>PF002271</t>
  </si>
  <si>
    <t>AMAZON,AMAZONDS,CSNSTORES,JCPENNEY01,KOHLDSN,MACY02,WALMARTDS</t>
  </si>
  <si>
    <t>19462540-000-001</t>
  </si>
  <si>
    <t>10/6/2016</t>
  </si>
  <si>
    <t>WR20-4005</t>
  </si>
  <si>
    <t>WR20-3953</t>
  </si>
  <si>
    <t>Green Tree Trip</t>
  </si>
  <si>
    <t>PP000952;PF006049</t>
  </si>
  <si>
    <t>19462540-000-067</t>
  </si>
  <si>
    <t>WR20-3954</t>
  </si>
  <si>
    <t>19462540-000-068</t>
  </si>
  <si>
    <t>WR20-3956</t>
  </si>
  <si>
    <t>19462540-000-070</t>
  </si>
  <si>
    <t>WR20-3957</t>
  </si>
  <si>
    <t>19462540-000-064</t>
  </si>
  <si>
    <t>WR20-3984</t>
  </si>
  <si>
    <t>Green Trees &amp; Trucks</t>
  </si>
  <si>
    <t>PP000952;PF006330</t>
  </si>
  <si>
    <t>WR20-3985</t>
  </si>
  <si>
    <t>WR20-3986</t>
  </si>
  <si>
    <t>WR20-3987</t>
  </si>
  <si>
    <t>WR20-3988</t>
  </si>
  <si>
    <t>WR20-2282</t>
  </si>
  <si>
    <t>Grey Moose</t>
  </si>
  <si>
    <t>AMAZON,JCPENNEY01,KOHLDSN,MACY02</t>
  </si>
  <si>
    <t>19462540-000-054</t>
  </si>
  <si>
    <t>9/18/2018</t>
  </si>
  <si>
    <t>WR20-2284</t>
  </si>
  <si>
    <t>19462540-000-050</t>
  </si>
  <si>
    <t>8/30/2018</t>
  </si>
  <si>
    <t>10/5/2018</t>
  </si>
  <si>
    <t>WR20-2046</t>
  </si>
  <si>
    <t>Grey Plaid</t>
  </si>
  <si>
    <t>PF002307</t>
  </si>
  <si>
    <t>9/29/2017</t>
  </si>
  <si>
    <t>AMAZON,AMAZONDS,CSNSTORES,KOHLDSN,MACY02,OLLIIX</t>
  </si>
  <si>
    <t>19462540-000-036</t>
  </si>
  <si>
    <t>10/31/2017</t>
  </si>
  <si>
    <t>WR20-2048</t>
  </si>
  <si>
    <t>AMAZON,FINGERHUTDS,JCPENNEY01,KOHLDSN,MACY02</t>
  </si>
  <si>
    <t>19462540-000-038</t>
  </si>
  <si>
    <t>WR20-4008</t>
  </si>
  <si>
    <t>Grey Ski Jump</t>
  </si>
  <si>
    <t>PP000952;PF006340</t>
  </si>
  <si>
    <t>WR20-4009</t>
  </si>
  <si>
    <t>WR20-4010</t>
  </si>
  <si>
    <t>WR20-4011</t>
  </si>
  <si>
    <t>WR20-4012</t>
  </si>
  <si>
    <t>WR20-4001</t>
  </si>
  <si>
    <t>Red Plaid</t>
  </si>
  <si>
    <t>PF002273;PP000952</t>
  </si>
  <si>
    <t>WR20-4002</t>
  </si>
  <si>
    <t>WR20-1801</t>
  </si>
  <si>
    <t>PF002273</t>
  </si>
  <si>
    <t>8/29/2017</t>
  </si>
  <si>
    <t>AMAZON,FINGERHUTDS,JCPENNEY01,KOHLDSN,MACY02,OLLIIX,TGTDVS,WALMARTDS</t>
  </si>
  <si>
    <t>19462540-000-008</t>
  </si>
  <si>
    <t>10/4/2016</t>
  </si>
  <si>
    <t>WR20-2071</t>
  </si>
  <si>
    <t>Tan Cars</t>
  </si>
  <si>
    <t>PF002312</t>
  </si>
  <si>
    <t>AMAZON,JCPENNEY01,KOHLDSN,MACY02,WALMARTDS</t>
  </si>
  <si>
    <t>19462540-000-028</t>
  </si>
  <si>
    <t>10/30/2017</t>
  </si>
  <si>
    <t>WR20-2072</t>
  </si>
  <si>
    <t>AMAZON,AMAZONDS,JCPENNEY01,KOHLDSN,MACY02,WALMARTDS</t>
  </si>
  <si>
    <t>19462540-000-029</t>
  </si>
  <si>
    <t>WR20-2040</t>
  </si>
  <si>
    <t>PF002305</t>
  </si>
  <si>
    <t>AMAZON,AMAZONDS,CSNSTORES,FINGERHUTDS,JCPENNEY01,KOHLDSN,MACY02,TGTDVS,WALMARTDS</t>
  </si>
  <si>
    <t>19462540-000-030</t>
  </si>
  <si>
    <t>10/25/2017</t>
  </si>
  <si>
    <t>WR20-2041</t>
  </si>
  <si>
    <t>19462540-000-031</t>
  </si>
  <si>
    <t>WR20-2069</t>
  </si>
  <si>
    <t>Tan Dog</t>
  </si>
  <si>
    <t>PF002311</t>
  </si>
  <si>
    <t>AMAZON,KOHLDSN,MACY02,OLLIIX,TGTDVS,WALMARTDS</t>
  </si>
  <si>
    <t>19462540-000-023</t>
  </si>
  <si>
    <t>11/24/2017</t>
  </si>
  <si>
    <t>WR20-2037</t>
  </si>
  <si>
    <t>PF002304</t>
  </si>
  <si>
    <t>9/21/2017</t>
  </si>
  <si>
    <t>AMAZON,JCPENNEY01,KOHLDSN,MACY02,OLLIIX,TGTDVS,WALMARTDS,Zulily</t>
  </si>
  <si>
    <t>19462540-000-025</t>
  </si>
  <si>
    <t>WR20-2039</t>
  </si>
  <si>
    <t>AMAZON,AMAZONDS,JCPENNEY01,MACY02,TGTDVS,WALMARTDS</t>
  </si>
  <si>
    <t>19462540-000-027</t>
  </si>
  <si>
    <t>WR20-3994</t>
  </si>
  <si>
    <t>Tan Plaid</t>
  </si>
  <si>
    <t>PP000952;PF006332</t>
  </si>
  <si>
    <t>WR20-3995</t>
  </si>
  <si>
    <t>WR20-3996</t>
  </si>
  <si>
    <t>WR20-3997</t>
  </si>
  <si>
    <t>WR20-3998</t>
  </si>
  <si>
    <t>5DS153-0008</t>
  </si>
  <si>
    <t>Covey</t>
  </si>
  <si>
    <t>Curved Glass Table Lamp, Set of 2</t>
  </si>
  <si>
    <t>3/30/2018</t>
  </si>
  <si>
    <t>CSNSTORES,HOUZZ,JCPENNEY01,KIRKLANDDS,KOHLDSN,MACY02,OLLIIX,ROOMECOM,TGTDVS</t>
  </si>
  <si>
    <t>26787036-000-000</t>
  </si>
  <si>
    <t>4/17/2018</t>
  </si>
  <si>
    <t>MP130-0824</t>
  </si>
  <si>
    <t>Cabinet</t>
  </si>
  <si>
    <t>Cowley</t>
  </si>
  <si>
    <t>Niles</t>
  </si>
  <si>
    <t>Turpin</t>
  </si>
  <si>
    <t>Accent Chest</t>
  </si>
  <si>
    <t>Reclaimed Walnut/Antique Cream</t>
  </si>
  <si>
    <t>PP001141</t>
  </si>
  <si>
    <t>3/15/2019</t>
  </si>
  <si>
    <t>32695090-000-000</t>
  </si>
  <si>
    <t>3/20/2019</t>
  </si>
  <si>
    <t>5/21/2019</t>
  </si>
  <si>
    <t>TN20-0363</t>
  </si>
  <si>
    <t>True North by Sleep Philosophy</t>
  </si>
  <si>
    <t>Cozy Cotton Flannel</t>
  </si>
  <si>
    <t>Printed Sheet Set</t>
  </si>
  <si>
    <t>Aqua Dots</t>
  </si>
  <si>
    <t>PP000954;PF004388</t>
  </si>
  <si>
    <t>8/29/2018</t>
  </si>
  <si>
    <t>19463070-000-150</t>
  </si>
  <si>
    <t>10/3/2018</t>
  </si>
  <si>
    <t>10/11/2018</t>
  </si>
  <si>
    <t>TN20-0222</t>
  </si>
  <si>
    <t>Aqua French Bulldog</t>
  </si>
  <si>
    <t>PF002289</t>
  </si>
  <si>
    <t>AMAZON,AMAZONDS,CSNSTORES,FINGERHUTDS,JCPENNEY01,KOHLDSN,TGTDVS</t>
  </si>
  <si>
    <t>19463070-000-079</t>
  </si>
  <si>
    <t>10/13/2017</t>
  </si>
  <si>
    <t>TN20-0223</t>
  </si>
  <si>
    <t>AMAZON,AMAZONDS,FINGERHUTDS,KOHLDSN,MACY02,TGTDVS</t>
  </si>
  <si>
    <t>19463070-000-080</t>
  </si>
  <si>
    <t>11/14/2017</t>
  </si>
  <si>
    <t>TN20-0225</t>
  </si>
  <si>
    <t>AMAZON,AMAZONDS,DESINC,FINGERHUTDS,JCPENNEY01,KOHLDSN,MACY02,TGTDVS</t>
  </si>
  <si>
    <t>19463070-000-082</t>
  </si>
  <si>
    <t>10/26/2017</t>
  </si>
  <si>
    <t>TN20-0226</t>
  </si>
  <si>
    <t>19463070-000-083</t>
  </si>
  <si>
    <t>11/27/2017</t>
  </si>
  <si>
    <t>TN20-0282</t>
  </si>
  <si>
    <t>Aqua Geo</t>
  </si>
  <si>
    <t>PF002293</t>
  </si>
  <si>
    <t>AMAZON,CSNSTORES,FINGERHUTDS,JCPENNEY01,MACY02,OLLIIX</t>
  </si>
  <si>
    <t>19463070-000-103</t>
  </si>
  <si>
    <t>9/19/2019</t>
  </si>
  <si>
    <t>TN20-0286</t>
  </si>
  <si>
    <t>19463070-000-107</t>
  </si>
  <si>
    <t>10/24/2018</t>
  </si>
  <si>
    <t>TN20-0410</t>
  </si>
  <si>
    <t>Bear</t>
  </si>
  <si>
    <t>PP000954;PF004714</t>
  </si>
  <si>
    <t>19463070-000-160</t>
  </si>
  <si>
    <t>7/30/2019</t>
  </si>
  <si>
    <t>9/12/2019</t>
  </si>
  <si>
    <t>TN20-0411</t>
  </si>
  <si>
    <t>19463070-000-159</t>
  </si>
  <si>
    <t>10/10/2019</t>
  </si>
  <si>
    <t>TN20-0412</t>
  </si>
  <si>
    <t>AMAZON,AMAZONDS,JCPENNEY01,TGTDVS,WALMARTDS</t>
  </si>
  <si>
    <t>19463070-000-162</t>
  </si>
  <si>
    <t>TN20-0468</t>
  </si>
  <si>
    <t>Blue Cars</t>
  </si>
  <si>
    <t>PP000954;PF005500</t>
  </si>
  <si>
    <t>19463070-000-177</t>
  </si>
  <si>
    <t>9/24/2021</t>
  </si>
  <si>
    <t>TN20-0469</t>
  </si>
  <si>
    <t>19463070-000-179</t>
  </si>
  <si>
    <t>10/27/2021</t>
  </si>
  <si>
    <t>TN20-0470</t>
  </si>
  <si>
    <t>19463070-000-180</t>
  </si>
  <si>
    <t>TN20-0245</t>
  </si>
  <si>
    <t>PF002292</t>
  </si>
  <si>
    <t>19463070-000-096</t>
  </si>
  <si>
    <t>TN20-0246</t>
  </si>
  <si>
    <t>AMAZON,AMAZONDS,FINGERHUTDS,JCPENNEY01,KOHLDSN,MACY02,OLLIIX,TGTDVS,WALMARTDS</t>
  </si>
  <si>
    <t>19463070-000-097</t>
  </si>
  <si>
    <t>11/12/2018</t>
  </si>
  <si>
    <t>TN20-0247</t>
  </si>
  <si>
    <t>AMAZON,AMAZONDS,JCPENNEY01,KOHLDSN,MACY02,OLLIIX,TGTDVS</t>
  </si>
  <si>
    <t>19463070-000-098</t>
  </si>
  <si>
    <t>10/27/2017</t>
  </si>
  <si>
    <t>TN20-0248</t>
  </si>
  <si>
    <t>AMAZONDS,BLK01,FINGERHUTDS,JCPENNEY01,KOHLDSN,MACY02,TGTDVS,WALMARTDS</t>
  </si>
  <si>
    <t>19463070-000-099</t>
  </si>
  <si>
    <t>TN20-0249</t>
  </si>
  <si>
    <t>AMAZON,CSNSTORES,JCPENNEY01,MACY02,TGTDVS</t>
  </si>
  <si>
    <t>19463070-000-100</t>
  </si>
  <si>
    <t>TN20-0082</t>
  </si>
  <si>
    <t>PF002280</t>
  </si>
  <si>
    <t>AMAZON,AMAZONDS,BLK01,JCPENNEY01,KOHLDSN,MACY02,TGTDVS</t>
  </si>
  <si>
    <t>19463070-000-041</t>
  </si>
  <si>
    <t>10/21/2016</t>
  </si>
  <si>
    <t>TN20-0085</t>
  </si>
  <si>
    <t>9/8/2017</t>
  </si>
  <si>
    <t>AMAZON,AMAZONDS,CSNSTORES,JCPENNEY01,MACY02,TGTDVS,WALMARTDS</t>
  </si>
  <si>
    <t>19463070-000-044</t>
  </si>
  <si>
    <t>TN20-0264</t>
  </si>
  <si>
    <t>Blue Polar Bears</t>
  </si>
  <si>
    <t>PF002295</t>
  </si>
  <si>
    <t>AMAZON,JCPENNEY01,KOHLDSN,MACY02,NRTPORT</t>
  </si>
  <si>
    <t>19463070-000-115</t>
  </si>
  <si>
    <t>TN20-0265</t>
  </si>
  <si>
    <t>19463070-000-116</t>
  </si>
  <si>
    <t>TN20-0121</t>
  </si>
  <si>
    <t>Blue Solid</t>
  </si>
  <si>
    <t>PF002288</t>
  </si>
  <si>
    <t>AMAZON,AMAZONDS,FINGERHUTDS,JCPENNEY01,KOHLDSN,MACY02,TGTDVS,WALMARTDS</t>
  </si>
  <si>
    <t>19463070-000-015</t>
  </si>
  <si>
    <t>10/18/2016</t>
  </si>
  <si>
    <t>TN20-0415</t>
  </si>
  <si>
    <t>Blush Dots</t>
  </si>
  <si>
    <t>PP000954;PF004715</t>
  </si>
  <si>
    <t>8/5/2019</t>
  </si>
  <si>
    <t>AMAZON,AMAZONDS,CSNSTORES,JCPENNEY01,KOHLDSN,MACY02,TGTDVS,WALMARTDS</t>
  </si>
  <si>
    <t>19463070-000-163</t>
  </si>
  <si>
    <t>8/12/2019</t>
  </si>
  <si>
    <t>9/22/2019</t>
  </si>
  <si>
    <t>TN20-0569</t>
  </si>
  <si>
    <t>Gray Herringbone Check</t>
  </si>
  <si>
    <t>PP000954;PF006338</t>
  </si>
  <si>
    <t>Gingham</t>
  </si>
  <si>
    <t>TN20-0570</t>
  </si>
  <si>
    <t>TN20-0571</t>
  </si>
  <si>
    <t>TN20-0572</t>
  </si>
  <si>
    <t>TN20-0573</t>
  </si>
  <si>
    <t>TN20-0574</t>
  </si>
  <si>
    <t>TN20-0510</t>
  </si>
  <si>
    <t>Gray Skiers</t>
  </si>
  <si>
    <t>PP000954;PF006047</t>
  </si>
  <si>
    <t>8/30/2023</t>
  </si>
  <si>
    <t>19463070-000-181</t>
  </si>
  <si>
    <t>TN20-0512</t>
  </si>
  <si>
    <t>19463070-000-182</t>
  </si>
  <si>
    <t>10/22/2023</t>
  </si>
  <si>
    <t>TN20-0513</t>
  </si>
  <si>
    <t>19463070-000-185</t>
  </si>
  <si>
    <t>TN20-0514</t>
  </si>
  <si>
    <t>19463070-000-184</t>
  </si>
  <si>
    <t>12/14/2023</t>
  </si>
  <si>
    <t>TN20-0515</t>
  </si>
  <si>
    <t>AMAZON,MACY02</t>
  </si>
  <si>
    <t>19463070-000-187</t>
  </si>
  <si>
    <t>11/16/2023</t>
  </si>
  <si>
    <t>TN20-0516</t>
  </si>
  <si>
    <t>Gray/Taupe Nordic</t>
  </si>
  <si>
    <t>PP000954;PF006048</t>
  </si>
  <si>
    <t>8/19/2023</t>
  </si>
  <si>
    <t>AMAZON,KOHLDSN,MACY02</t>
  </si>
  <si>
    <t>19463070-000-186</t>
  </si>
  <si>
    <t>TN20-0517</t>
  </si>
  <si>
    <t>AMAZON,JCPENNEY01,MACY02</t>
  </si>
  <si>
    <t>19463070-000-189</t>
  </si>
  <si>
    <t>TN20-0518</t>
  </si>
  <si>
    <t>AMAZON,AMAZONDS,JCPENNEY01,MACY02</t>
  </si>
  <si>
    <t>19463070-000-188</t>
  </si>
  <si>
    <t>TN20-0519</t>
  </si>
  <si>
    <t>8/22/2023</t>
  </si>
  <si>
    <t>19463070-000-190</t>
  </si>
  <si>
    <t>TN20-0520</t>
  </si>
  <si>
    <t>19463070-000-192</t>
  </si>
  <si>
    <t>TN20-0521</t>
  </si>
  <si>
    <t>DESINC,MACY02</t>
  </si>
  <si>
    <t>19463070-000-191</t>
  </si>
  <si>
    <t>11/12/2023</t>
  </si>
  <si>
    <t>TN20-0381</t>
  </si>
  <si>
    <t>Grey Dogs</t>
  </si>
  <si>
    <t>PP000954;PF004390</t>
  </si>
  <si>
    <t>19463070-000-138</t>
  </si>
  <si>
    <t>10/8/2018</t>
  </si>
  <si>
    <t>TN20-0353</t>
  </si>
  <si>
    <t>Grey Dots</t>
  </si>
  <si>
    <t>PP000954;PF004387</t>
  </si>
  <si>
    <t>19463070-000-144</t>
  </si>
  <si>
    <t>10/7/2018</t>
  </si>
  <si>
    <t>10/23/2018</t>
  </si>
  <si>
    <t>TN20-0243</t>
  </si>
  <si>
    <t>PF002291</t>
  </si>
  <si>
    <t>19463070-000-094</t>
  </si>
  <si>
    <t>11/28/2017</t>
  </si>
  <si>
    <t>TN20-0244</t>
  </si>
  <si>
    <t>19463070-000-095</t>
  </si>
  <si>
    <t>TN20-0365</t>
  </si>
  <si>
    <t>Grey Penguins</t>
  </si>
  <si>
    <t>PP000954;PF004389</t>
  </si>
  <si>
    <t>AMAZON,AMAZONDS,JCPENNEY01,KOHLDSN,MACY02,OLLIIX,TGTDVS,WALMARTDS,Zulily</t>
  </si>
  <si>
    <t>19463070-000-152</t>
  </si>
  <si>
    <t>TN20-0106</t>
  </si>
  <si>
    <t>Grey Solid</t>
  </si>
  <si>
    <t>PF002287</t>
  </si>
  <si>
    <t>AMAZON,AMAZONDS,FINGERHUTDS,JCPENNEY01,MACY02,TGTDVS</t>
  </si>
  <si>
    <t>19463070-000-000</t>
  </si>
  <si>
    <t>TN20-0110</t>
  </si>
  <si>
    <t>AMAZONDS,JCPENNEY01,TGTDVS</t>
  </si>
  <si>
    <t>19463070-000-004</t>
  </si>
  <si>
    <t>1/3/2017</t>
  </si>
  <si>
    <t>TN20-0111</t>
  </si>
  <si>
    <t>Ivory Solid</t>
  </si>
  <si>
    <t>PF002286</t>
  </si>
  <si>
    <t>9/20/2017</t>
  </si>
  <si>
    <t>19463070-000-005</t>
  </si>
  <si>
    <t>TN20-0273</t>
  </si>
  <si>
    <t>Multi Forest Animals</t>
  </si>
  <si>
    <t>PF002296</t>
  </si>
  <si>
    <t>19463070-000-124</t>
  </si>
  <si>
    <t>11/3/2017</t>
  </si>
  <si>
    <t>TN20-0251</t>
  </si>
  <si>
    <t>Multi Leaves</t>
  </si>
  <si>
    <t>PF002294</t>
  </si>
  <si>
    <t>AMAZON,AMAZONDS,CSNSTORES,KOHLDSN,MACY02</t>
  </si>
  <si>
    <t>19463070-000-108</t>
  </si>
  <si>
    <t>TN20-0253</t>
  </si>
  <si>
    <t>AMAZON,AMAZONDS,JCPENNEY01,KOHLDSN,MACY02,TGTDVS,Zulily</t>
  </si>
  <si>
    <t>19463070-000-110</t>
  </si>
  <si>
    <t>11/6/2017</t>
  </si>
  <si>
    <t>TN20-0255</t>
  </si>
  <si>
    <t>AMAZON,AMAZONDS,BLK01,JCPENNEY01,KOHLDSN,MACY02,TGTDVS,WALMARTDS</t>
  </si>
  <si>
    <t>19463070-000-112</t>
  </si>
  <si>
    <t>11/2/2017</t>
  </si>
  <si>
    <t>TN20-0256</t>
  </si>
  <si>
    <t>19463070-000-113</t>
  </si>
  <si>
    <t>TN20-0373</t>
  </si>
  <si>
    <t>Multi Sloth</t>
  </si>
  <si>
    <t>PP000954;PF004391</t>
  </si>
  <si>
    <t>AMAZON,FINGERHUTDS,JCPENNEY01,MACY02,TGTDVS,WALMARTDS</t>
  </si>
  <si>
    <t>19463070-000-134</t>
  </si>
  <si>
    <t>TN20-0228</t>
  </si>
  <si>
    <t>Pink French Bulldog</t>
  </si>
  <si>
    <t>PF002290</t>
  </si>
  <si>
    <t>19463070-000-085</t>
  </si>
  <si>
    <t>11/16/2017</t>
  </si>
  <si>
    <t>TN20-0275</t>
  </si>
  <si>
    <t>Pink Plaid</t>
  </si>
  <si>
    <t>PF002297</t>
  </si>
  <si>
    <t>19463070-000-126</t>
  </si>
  <si>
    <t>TN20-0276</t>
  </si>
  <si>
    <t>AMAZON,AMAZONDS,JCPENNEY01,KOHLDSN,MACY02,TGTDVS,WALMARTDS</t>
  </si>
  <si>
    <t>19463070-000-127</t>
  </si>
  <si>
    <t>10/1/2018</t>
  </si>
  <si>
    <t>TN20-0277</t>
  </si>
  <si>
    <t>AMAZON,AMAZONDS,JCPENNEY01,MACY02,TGTDVS</t>
  </si>
  <si>
    <t>19463070-000-128</t>
  </si>
  <si>
    <t>TN20-0278</t>
  </si>
  <si>
    <t>19463070-000-129</t>
  </si>
  <si>
    <t>TN20-0279</t>
  </si>
  <si>
    <t>19463070-000-130</t>
  </si>
  <si>
    <t>5/1/2018</t>
  </si>
  <si>
    <t>TN20-0066</t>
  </si>
  <si>
    <t>Pink/Grey Snowflakes</t>
  </si>
  <si>
    <t>PF002277</t>
  </si>
  <si>
    <t>19463070-000-025</t>
  </si>
  <si>
    <t>TN20-0209</t>
  </si>
  <si>
    <t>AMAZON,AMAZONDS,CSNSTORES,FINGERHUTDS,JCPENNEY01,KOHLDSN,MACY02,TGTDVS</t>
  </si>
  <si>
    <t>19463070-000-066</t>
  </si>
  <si>
    <t>9/14/2017</t>
  </si>
  <si>
    <t>TN20-0067</t>
  </si>
  <si>
    <t>19463070-000-026</t>
  </si>
  <si>
    <t>TN20-0068</t>
  </si>
  <si>
    <t>AMAZON,AMAZONDS,CSNSTORES,FINGERHUTDS,JCPENNEY01,KOHLDSN,MACY02,OLLIIX,TGTDVS</t>
  </si>
  <si>
    <t>19463070-000-027</t>
  </si>
  <si>
    <t>TN20-0069</t>
  </si>
  <si>
    <t>6/30/2017</t>
  </si>
  <si>
    <t>19463070-000-028</t>
  </si>
  <si>
    <t>TN20-0077</t>
  </si>
  <si>
    <t>PF002279</t>
  </si>
  <si>
    <t>AMAZON,BLK01,FINGERHUTDS,JCPENNEY01,MACY02,TGTDVS</t>
  </si>
  <si>
    <t>19463070-000-036</t>
  </si>
  <si>
    <t>TN20-0078</t>
  </si>
  <si>
    <t>19463070-000-037</t>
  </si>
  <si>
    <t>10/30/2016</t>
  </si>
  <si>
    <t>TN20-0408</t>
  </si>
  <si>
    <t>Seafoam Llama</t>
  </si>
  <si>
    <t>PP000954;PF004713</t>
  </si>
  <si>
    <t>AMAZON,AMAZONDS,BLK01,FINGERHUTDS,JCPENNEY01,KOHLDSN,MACY02,TGTDVS,WALMARTDS</t>
  </si>
  <si>
    <t>19463070-000-156</t>
  </si>
  <si>
    <t>8/26/2019</t>
  </si>
  <si>
    <t>TN20-0409</t>
  </si>
  <si>
    <t>AMAZON,KOHLDSN,MACY02,TGTDVS,WALMARTDS</t>
  </si>
  <si>
    <t>19463070-000-158</t>
  </si>
  <si>
    <t>10/15/2019</t>
  </si>
  <si>
    <t>TN20-0072</t>
  </si>
  <si>
    <t>PF002278</t>
  </si>
  <si>
    <t>AMAZON,HSNDS,JCPENNEY01,KOHLDSN,MACY02,TGTDVS</t>
  </si>
  <si>
    <t>19463070-000-031</t>
  </si>
  <si>
    <t>TN20-0120</t>
  </si>
  <si>
    <t>Tan Solid</t>
  </si>
  <si>
    <t>PF002285</t>
  </si>
  <si>
    <t>19463070-000-014</t>
  </si>
  <si>
    <t>TN20-0557</t>
  </si>
  <si>
    <t>Tan Woodland Winter</t>
  </si>
  <si>
    <t>PP000954;PF006336</t>
  </si>
  <si>
    <t>TN20-0558</t>
  </si>
  <si>
    <t>TN20-0559</t>
  </si>
  <si>
    <t>TN20-0560</t>
  </si>
  <si>
    <t>TN20-0561</t>
  </si>
  <si>
    <t>TN20-0562</t>
  </si>
  <si>
    <t>TN20-0061</t>
  </si>
  <si>
    <t>Tan/Blue Snowflakes</t>
  </si>
  <si>
    <t>PF002276</t>
  </si>
  <si>
    <t>19463070-000-020</t>
  </si>
  <si>
    <t>11/28/2016</t>
  </si>
  <si>
    <t>TN20-0063</t>
  </si>
  <si>
    <t>19463070-000-022</t>
  </si>
  <si>
    <t>TN20-0563</t>
  </si>
  <si>
    <t>White Village Print</t>
  </si>
  <si>
    <t>PP000954;PF006337</t>
  </si>
  <si>
    <t>TN20-0564</t>
  </si>
  <si>
    <t>TN20-0565</t>
  </si>
  <si>
    <t>TN20-0566</t>
  </si>
  <si>
    <t>TN20-0567</t>
  </si>
  <si>
    <t>TN20-0568</t>
  </si>
  <si>
    <t>TN12-0431</t>
  </si>
  <si>
    <t>Cozy Flannel</t>
  </si>
  <si>
    <t>100% Cotton Flannel Printed Duvet Set</t>
  </si>
  <si>
    <t>Aqua Penguins</t>
  </si>
  <si>
    <t>PP000955;PF004711</t>
  </si>
  <si>
    <t>BLK01,KOHLDSN,WALMARTDS</t>
  </si>
  <si>
    <t>28398925-000-004</t>
  </si>
  <si>
    <t>ID20-1538</t>
  </si>
  <si>
    <t>Cozy Soft</t>
  </si>
  <si>
    <t>Cotton Flannel Printed Sheet Set</t>
  </si>
  <si>
    <t>Blue Stars</t>
  </si>
  <si>
    <t>PP000944;PF004352</t>
  </si>
  <si>
    <t>6/21/2018</t>
  </si>
  <si>
    <t>AMAZON,AMAZONDS,CSNSTORES,HDDS,JCPENNEY01,KOHLDSN,MACY02,NRTPORT</t>
  </si>
  <si>
    <t>27441193-000-014</t>
  </si>
  <si>
    <t>5/28/2018</t>
  </si>
  <si>
    <t>8/3/2018</t>
  </si>
  <si>
    <t>ID20-2044</t>
  </si>
  <si>
    <t>Grey Sloths</t>
  </si>
  <si>
    <t>PP000944;PF005497</t>
  </si>
  <si>
    <t>9/15/2021</t>
  </si>
  <si>
    <t>27441193-000-045</t>
  </si>
  <si>
    <t>9/26/2021</t>
  </si>
  <si>
    <t>10/28/2021</t>
  </si>
  <si>
    <t>ID20-1541</t>
  </si>
  <si>
    <t>Grey Stars</t>
  </si>
  <si>
    <t>PP000944;PF004353</t>
  </si>
  <si>
    <t>AMAZON,AMAZONDS,CSNSTORES,HDDS,JCPENNEY01,KOHLDSN,MACY02,NRTPORT,WALMARTDS</t>
  </si>
  <si>
    <t>27441193-000-022</t>
  </si>
  <si>
    <t>7/12/2018</t>
  </si>
  <si>
    <t>ID20-1542</t>
  </si>
  <si>
    <t>AMAZONDS,KOHLDSN,MACY02,NRTPORT,OLLIIX,WALMARTDS</t>
  </si>
  <si>
    <t>27441193-000-007</t>
  </si>
  <si>
    <t>8/1/2018</t>
  </si>
  <si>
    <t>ID20-1543</t>
  </si>
  <si>
    <t>27441193-000-016</t>
  </si>
  <si>
    <t>ID20-1552</t>
  </si>
  <si>
    <t>Grey/Pink Cats</t>
  </si>
  <si>
    <t>PP000944;PF004356</t>
  </si>
  <si>
    <t>AMAZON,AMAZONDS,CSNSTORES,JCPENNEY01,KOHLDSN,MACY02,NRTPORT,WALMARTDS</t>
  </si>
  <si>
    <t>27441193-000-019</t>
  </si>
  <si>
    <t>7/16/2018</t>
  </si>
  <si>
    <t>ID20-1553</t>
  </si>
  <si>
    <t>AMAZONDS,CSNSTORES,JCPENNEY01,KOHLDSN,MACY02,NRTPORT</t>
  </si>
  <si>
    <t>27441193-000-004</t>
  </si>
  <si>
    <t>8/2/2018</t>
  </si>
  <si>
    <t>ID20-1555</t>
  </si>
  <si>
    <t>AMAZON,AMAZONDS,BLK01,CSNSTORES,FINGERHUTDS,JCPENNEY01,KOHLDSN,MACY02,NRTPORT,WALMARTDS</t>
  </si>
  <si>
    <t>27441193-000-003</t>
  </si>
  <si>
    <t>7/25/2018</t>
  </si>
  <si>
    <t>ID20-1556</t>
  </si>
  <si>
    <t>Grey/Pink Dots</t>
  </si>
  <si>
    <t>PP000944;PF004357</t>
  </si>
  <si>
    <t>27441193-000-010</t>
  </si>
  <si>
    <t>8/23/2018</t>
  </si>
  <si>
    <t>ID20-1557</t>
  </si>
  <si>
    <t>AMAZON,AMAZONDS,BLK01,CSNSTORES,JCPENNEY01,MACY02,WALMARTDS</t>
  </si>
  <si>
    <t>27441193-000-017</t>
  </si>
  <si>
    <t>7/3/2018</t>
  </si>
  <si>
    <t>ID20-1558</t>
  </si>
  <si>
    <t>AMAZONDS,CSNSTORES,JCPENNEY01,KOHLDSN,MACY02,NRTPORT,WALMARTDS</t>
  </si>
  <si>
    <t>27441193-000-021</t>
  </si>
  <si>
    <t>ID20-1559</t>
  </si>
  <si>
    <t>AMAZON,AMAZONDS,BLK01,JCPENNEY01,KOHLDSN,MACY02,NRTPORT,OLLIIX</t>
  </si>
  <si>
    <t>27441193-000-020</t>
  </si>
  <si>
    <t>9/4/2018</t>
  </si>
  <si>
    <t>ID20-1533</t>
  </si>
  <si>
    <t>Pink Llamas</t>
  </si>
  <si>
    <t>PP000944;PF004351</t>
  </si>
  <si>
    <t>27441193-000-023</t>
  </si>
  <si>
    <t>ID20-1535</t>
  </si>
  <si>
    <t>AMAZON,AMAZONDS,BLK01,CSNSTORES,DESINC,FINGERHUTDS,JCPENNEY01,KOHLDSN,MACY02</t>
  </si>
  <si>
    <t>27441193-000-005</t>
  </si>
  <si>
    <t>7/6/2018</t>
  </si>
  <si>
    <t>ID20-1750</t>
  </si>
  <si>
    <t>Pink/Grey Hedgehogs</t>
  </si>
  <si>
    <t>PP000944;PF004717</t>
  </si>
  <si>
    <t>AMAZONDS,BLK01,CSNSTORES,JCPENNEY01,KOHLDSN,MACY02,TGTDVS,WALMARTDS</t>
  </si>
  <si>
    <t>27441193-000-030</t>
  </si>
  <si>
    <t>11/23/2020</t>
  </si>
  <si>
    <t>ID20-1752</t>
  </si>
  <si>
    <t>AMAZON,BLK01,CSNSTORES,JCPENNEY01,MACY02,OLLIIX,TGTDVS,WALMARTDS</t>
  </si>
  <si>
    <t>27441193-000-032</t>
  </si>
  <si>
    <t>8/13/2019</t>
  </si>
  <si>
    <t>ID20-1550</t>
  </si>
  <si>
    <t>Seafoam Foxes</t>
  </si>
  <si>
    <t>PP000944;PF004355</t>
  </si>
  <si>
    <t>AMAZON,JCPENNEY01,KOHLDSN,MACY02,NRTPORT,WALMARTDS</t>
  </si>
  <si>
    <t>27441193-000-009</t>
  </si>
  <si>
    <t>8/27/2018</t>
  </si>
  <si>
    <t>ID20-1753</t>
  </si>
  <si>
    <t>Teal Dogs</t>
  </si>
  <si>
    <t>PP000944;PF004718</t>
  </si>
  <si>
    <t>AMAZON,AMAZONDS,CSNSTORES,KOHLDSN,MACY02,WALMARTDS</t>
  </si>
  <si>
    <t>27441193-000-036</t>
  </si>
  <si>
    <t>ID20-1755</t>
  </si>
  <si>
    <t>AMAZON,AMAZONDS,BLK01,CSNSTORES,JCPENNEY01,KOHLDSN,MACY02,TGTDVS,WALMARTDS</t>
  </si>
  <si>
    <t>27441193-000-038</t>
  </si>
  <si>
    <t>9/15/2019</t>
  </si>
  <si>
    <t>ID20-2446</t>
  </si>
  <si>
    <t>White Holiday Trees</t>
  </si>
  <si>
    <t>PP000944;PF006314</t>
  </si>
  <si>
    <t>27441193-000-053</t>
  </si>
  <si>
    <t>ID20-2447</t>
  </si>
  <si>
    <t>27441193-000-052</t>
  </si>
  <si>
    <t>ID20-2448</t>
  </si>
  <si>
    <t>27441193-000-055</t>
  </si>
  <si>
    <t>ID20-2449</t>
  </si>
  <si>
    <t>27441193-000-054</t>
  </si>
  <si>
    <t>FPF18-0414</t>
  </si>
  <si>
    <t>Crackle</t>
  </si>
  <si>
    <t>PF000018;PP000022</t>
  </si>
  <si>
    <t>CSNSTORES,HDDS,LAMPDS,OLLIIX</t>
  </si>
  <si>
    <t>19889611-000-000</t>
  </si>
  <si>
    <t>5DS153-0045</t>
  </si>
  <si>
    <t>Crewe</t>
  </si>
  <si>
    <t>Textured Resin Table Lamp</t>
  </si>
  <si>
    <t>12/21/2022</t>
  </si>
  <si>
    <t>40917635-000-000</t>
  </si>
  <si>
    <t>12/28/2022</t>
  </si>
  <si>
    <t>2/6/2023</t>
  </si>
  <si>
    <t>FB150-1191</t>
  </si>
  <si>
    <t>Curiana</t>
  </si>
  <si>
    <t>5-light Linear Chandelier with Textured Glass Shades</t>
  </si>
  <si>
    <t>II150-0011</t>
  </si>
  <si>
    <t>Cyrus</t>
  </si>
  <si>
    <t>6-Globe Light Architectural Metal Chandelier</t>
  </si>
  <si>
    <t>PF002787</t>
  </si>
  <si>
    <t>AMERSIGNDS,CSNSTORES,HOUZZ,LAMPDS,OLLIIX</t>
  </si>
  <si>
    <t>19346819-000-000</t>
  </si>
  <si>
    <t>9/6/2016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</si>
  <si>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</si>
  <si>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</si>
  <si>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</si>
  <si>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</si>
  <si>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</si>
  <si>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</si>
  <si>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</si>
  <si>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AMAZON,JCPENNEY01,OLLIIX,TGTDVS</t>
  </si>
  <si>
    <t>43333359-000-001</t>
  </si>
  <si>
    <t>2/9/2024</t>
  </si>
  <si>
    <t>MP12-8357</t>
  </si>
  <si>
    <t>3 Piece Floral Cotton Duvet Cover Set</t>
  </si>
  <si>
    <t>AMAZON,CSNSTORES,JCPENNEY01,KOHLDSN,TGTDVS</t>
  </si>
  <si>
    <t>43395720-000-001</t>
  </si>
  <si>
    <t>1/7/2024</t>
  </si>
  <si>
    <t>3/15/2024</t>
  </si>
  <si>
    <t>MP10-8356</t>
  </si>
  <si>
    <t>43333359-000-000</t>
  </si>
  <si>
    <t>MP12-8358</t>
  </si>
  <si>
    <t>43395720-000-000</t>
  </si>
  <si>
    <t>MP35-7070</t>
  </si>
  <si>
    <t>Mila</t>
  </si>
  <si>
    <t>Hanford</t>
  </si>
  <si>
    <t>Tiled Border Area Rug</t>
  </si>
  <si>
    <t>Beige/Cream</t>
  </si>
  <si>
    <t>12/13/2019</t>
  </si>
  <si>
    <t>35376031-000-000</t>
  </si>
  <si>
    <t>1/6/2020</t>
  </si>
  <si>
    <t>MP35-7556</t>
  </si>
  <si>
    <t>35376031-000-002</t>
  </si>
  <si>
    <t>MP35-7071</t>
  </si>
  <si>
    <t>35376031-000-001</t>
  </si>
  <si>
    <t>7/28/2020</t>
  </si>
  <si>
    <t>MP35-7558</t>
  </si>
  <si>
    <t>Blue/Cream</t>
  </si>
  <si>
    <t>35376031-000-005</t>
  </si>
  <si>
    <t>MP35-7559</t>
  </si>
  <si>
    <t>CSNSTORES,KIRKLANDDS</t>
  </si>
  <si>
    <t>35376031-000-007</t>
  </si>
  <si>
    <t>11/15/2022</t>
  </si>
  <si>
    <t>MP10-8475</t>
  </si>
  <si>
    <t>Houston</t>
  </si>
  <si>
    <t>Caldwell</t>
  </si>
  <si>
    <t>7 Piece Micro Corduroy Comforter Set</t>
  </si>
  <si>
    <t>PP001978;PF006312</t>
  </si>
  <si>
    <t>Casual|Traditional</t>
  </si>
  <si>
    <t>9/14/2024</t>
  </si>
  <si>
    <t>MP10-8476</t>
  </si>
  <si>
    <t>MP10-8477</t>
  </si>
  <si>
    <t>MP10-8472</t>
  </si>
  <si>
    <t>PP001978;PF006313</t>
  </si>
  <si>
    <t>14605965-000-004</t>
  </si>
  <si>
    <t>MP10-8473</t>
  </si>
  <si>
    <t>14605965-000-003</t>
  </si>
  <si>
    <t>MP10-8474</t>
  </si>
  <si>
    <t>14605965-000-005</t>
  </si>
  <si>
    <t>5DS100-0040</t>
  </si>
  <si>
    <t>Dani</t>
  </si>
  <si>
    <t>Tufted back Accent Chair</t>
  </si>
  <si>
    <t>HDDS,JCPENNEY01</t>
  </si>
  <si>
    <t>5DS100-0039</t>
  </si>
  <si>
    <t>Denim Blue</t>
  </si>
  <si>
    <t>41846672-000-003</t>
  </si>
  <si>
    <t>5DS100-0028</t>
  </si>
  <si>
    <t>CSNSTORES,ZOLA</t>
  </si>
  <si>
    <t>41846672-000-001</t>
  </si>
  <si>
    <t>6/27/2023</t>
  </si>
  <si>
    <t>7/3/2023</t>
  </si>
  <si>
    <t>5DS100-0038</t>
  </si>
  <si>
    <t>Grey 2</t>
  </si>
  <si>
    <t>2/24/2024</t>
  </si>
  <si>
    <t>41846672-000-002</t>
  </si>
  <si>
    <t>6/24/2024</t>
  </si>
  <si>
    <t>II30-1086</t>
  </si>
  <si>
    <t>Daria</t>
  </si>
  <si>
    <t>Cotton Oblong Pillow</t>
  </si>
  <si>
    <t>Oblong</t>
  </si>
  <si>
    <t>PP001463</t>
  </si>
  <si>
    <t>2/18/2020</t>
  </si>
  <si>
    <t>35717217-000-000</t>
  </si>
  <si>
    <t>2/20/2020</t>
  </si>
  <si>
    <t>4/6/2020</t>
  </si>
  <si>
    <t>MP131-1179</t>
  </si>
  <si>
    <t>BOOKCASE/SHELF</t>
  </si>
  <si>
    <t>Bookcase</t>
  </si>
  <si>
    <t>Darley</t>
  </si>
  <si>
    <t>Pagosa</t>
  </si>
  <si>
    <t>Callan</t>
  </si>
  <si>
    <t>3-Shelf Bookcase with Storage Cabinet</t>
  </si>
  <si>
    <t>7/21/2022</t>
  </si>
  <si>
    <t>40185271-000-000</t>
  </si>
  <si>
    <t>7/25/2022</t>
  </si>
  <si>
    <t>1/19/2024</t>
  </si>
  <si>
    <t>GP35-0006</t>
  </si>
  <si>
    <t>Darya</t>
  </si>
  <si>
    <t>Maya</t>
  </si>
  <si>
    <t>Siesta</t>
  </si>
  <si>
    <t>Moroccan Indoor/Outdoor Rug</t>
  </si>
  <si>
    <t>3x7' Runner</t>
  </si>
  <si>
    <t>2/21/2020</t>
  </si>
  <si>
    <t>35974172-000-001</t>
  </si>
  <si>
    <t>GP35-0005</t>
  </si>
  <si>
    <t>35974172-000-000</t>
  </si>
  <si>
    <t>MP12-391</t>
  </si>
  <si>
    <t>Dawn</t>
  </si>
  <si>
    <t>Vanessa</t>
  </si>
  <si>
    <t>Stella</t>
  </si>
  <si>
    <t>9 Piece Cotton Percale Duvet Cover Set</t>
  </si>
  <si>
    <t>PF003403;PP000407</t>
  </si>
  <si>
    <t>Shabby Chic|Transitional</t>
  </si>
  <si>
    <t>15685750-000-002</t>
  </si>
  <si>
    <t>MP103-0243</t>
  </si>
  <si>
    <t>Deanna</t>
  </si>
  <si>
    <t>Morton</t>
  </si>
  <si>
    <t>Sparta</t>
  </si>
  <si>
    <t>Upholstered Swivel Accent Chair</t>
  </si>
  <si>
    <t>PF001103</t>
  </si>
  <si>
    <t>ASHFURNDS,CASTLEGATE,CSNSTORES,HDDS,KIRKLANDDS,MACY02F,OLLIIX</t>
  </si>
  <si>
    <t>22701263-000-000</t>
  </si>
  <si>
    <t>8/30/2017</t>
  </si>
  <si>
    <t>MP103-0480</t>
  </si>
  <si>
    <t>24752656-000-000</t>
  </si>
  <si>
    <t>11/15/2017</t>
  </si>
  <si>
    <t>1/2/2018</t>
  </si>
  <si>
    <t>MT100-0106</t>
  </si>
  <si>
    <t>Decker</t>
  </si>
  <si>
    <t>8/29/2020</t>
  </si>
  <si>
    <t>AMAZONDS,ASHFURNDS,CSNSTORES,KIRKLANDDS,MACY02F,OLLIIX</t>
  </si>
  <si>
    <t>33732336-000-001</t>
  </si>
  <si>
    <t>9/7/2020</t>
  </si>
  <si>
    <t>II95C-0157</t>
  </si>
  <si>
    <t>Derby</t>
  </si>
  <si>
    <t>Hand Embellished Horse Framed Canvas Wall Art</t>
  </si>
  <si>
    <t>42721567-000-000</t>
  </si>
  <si>
    <t>5DS150-0044</t>
  </si>
  <si>
    <t>Devon</t>
  </si>
  <si>
    <t>6-Light Chandelier with Bowl Shaped Glass Shades</t>
  </si>
  <si>
    <t>OLLIIX,Zulily</t>
  </si>
  <si>
    <t>40565434-000-000</t>
  </si>
  <si>
    <t>FPF18-0028</t>
  </si>
  <si>
    <t>Dexter</t>
  </si>
  <si>
    <t>Camron</t>
  </si>
  <si>
    <t>Conner</t>
  </si>
  <si>
    <t>Armless Shelter Chair</t>
  </si>
  <si>
    <t>PF000585;PP000145</t>
  </si>
  <si>
    <t>CASTLEGATE,CSNSTORES,HDDS,MACY02F,OLLIIX</t>
  </si>
  <si>
    <t>17880196-000-000</t>
  </si>
  <si>
    <t>1/25/2016</t>
  </si>
  <si>
    <t>MP100-1232</t>
  </si>
  <si>
    <t>Diedra</t>
  </si>
  <si>
    <t>Blaine</t>
  </si>
  <si>
    <t>Paulie</t>
  </si>
  <si>
    <t>Cane Armchair Set of 2</t>
  </si>
  <si>
    <t>Cream/Reclaimed Natural</t>
  </si>
  <si>
    <t>PF000276</t>
  </si>
  <si>
    <t>4/27/2021</t>
  </si>
  <si>
    <t>44066001-000-000</t>
  </si>
  <si>
    <t>MP104-1239</t>
  </si>
  <si>
    <t>Cane Back Counter Stool</t>
  </si>
  <si>
    <t>42845868-000-000</t>
  </si>
  <si>
    <t>11/15/2023</t>
  </si>
  <si>
    <t>MP100-1228</t>
  </si>
  <si>
    <t>Donohue</t>
  </si>
  <si>
    <t>Sunnee</t>
  </si>
  <si>
    <t>Lyla</t>
  </si>
  <si>
    <t>Accent chair Set of 2</t>
  </si>
  <si>
    <t>44062242-000-000</t>
  </si>
  <si>
    <t>MP100-1241</t>
  </si>
  <si>
    <t>Accent Arm Chair</t>
  </si>
  <si>
    <t>Light Grey/Antique Cream</t>
  </si>
  <si>
    <t>1/24/2024</t>
  </si>
  <si>
    <t>32715019-000-002</t>
  </si>
  <si>
    <t>5/21/2024</t>
  </si>
  <si>
    <t>ID12-1593</t>
  </si>
  <si>
    <t>Dorsey</t>
  </si>
  <si>
    <t>Renee</t>
  </si>
  <si>
    <t>Floral Print Duvet Cover Set</t>
  </si>
  <si>
    <t>PF004478;PP001844</t>
  </si>
  <si>
    <t>10/16/2018</t>
  </si>
  <si>
    <t>AMAZON,AMAZONDS,BIGLOTSDS,CSNSTORES,JCPENNEY01,KOHLDSN,MACY02,OLLIIX,TGTDVS,Zulily</t>
  </si>
  <si>
    <t>29530407-000-001</t>
  </si>
  <si>
    <t>10/17/2018</t>
  </si>
  <si>
    <t>FB155-1176</t>
  </si>
  <si>
    <t>Dove</t>
  </si>
  <si>
    <t>Double Tube 2-Light Wall Sconce</t>
  </si>
  <si>
    <t>Frosted glass/gold</t>
  </si>
  <si>
    <t>42120667-000-000</t>
  </si>
  <si>
    <t>8/15/2023</t>
  </si>
  <si>
    <t>LCN12-0107</t>
  </si>
  <si>
    <t>Dover</t>
  </si>
  <si>
    <t>Blakely</t>
  </si>
  <si>
    <t>Reese</t>
  </si>
  <si>
    <t>3 Piece Organic Cotton Oversized Duvet Cover Set</t>
  </si>
  <si>
    <t>PP001595;PF005522</t>
  </si>
  <si>
    <t>Farmhouse|Modern/Contemporary</t>
  </si>
  <si>
    <t>4/1/2021</t>
  </si>
  <si>
    <t>BLK01,CSNSTORES,HOUZZ,JCPENNEY01,KIRKLANDDS,KOHLDSN,MACY02,OLLIIX,TGTDVS,ZOLA,Zulily</t>
  </si>
  <si>
    <t>37697041-000-005</t>
  </si>
  <si>
    <t>5/6/2021</t>
  </si>
  <si>
    <t>MT153-0068</t>
  </si>
  <si>
    <t>Doyer</t>
  </si>
  <si>
    <t>Metal Table Lamp</t>
  </si>
  <si>
    <t>Gold/White</t>
  </si>
  <si>
    <t>40807345-000-000</t>
  </si>
  <si>
    <t>3/19/2023</t>
  </si>
  <si>
    <t>ID10-2313</t>
  </si>
  <si>
    <t>Dream Puff</t>
  </si>
  <si>
    <t>Down Alternative Comforter Set</t>
  </si>
  <si>
    <t>PP001937;PF006180</t>
  </si>
  <si>
    <t>44054527-000-010</t>
  </si>
  <si>
    <t>5/29/2024</t>
  </si>
  <si>
    <t>ID10-2314</t>
  </si>
  <si>
    <t>4/30/2024</t>
  </si>
  <si>
    <t>44054527-000-005</t>
  </si>
  <si>
    <t>ID10-2315</t>
  </si>
  <si>
    <t>44054527-000-011</t>
  </si>
  <si>
    <t>5/31/2024</t>
  </si>
  <si>
    <t>ID10-2310</t>
  </si>
  <si>
    <t>PP001937;PF006179</t>
  </si>
  <si>
    <t>44054527-000-006</t>
  </si>
  <si>
    <t>ID10-2311</t>
  </si>
  <si>
    <t>44054527-000-001</t>
  </si>
  <si>
    <t>ID10-2312</t>
  </si>
  <si>
    <t>44054527-000-007</t>
  </si>
  <si>
    <t>ID10-2307</t>
  </si>
  <si>
    <t>Rose</t>
  </si>
  <si>
    <t>PP001937;PF006178</t>
  </si>
  <si>
    <t>44054527-000-000</t>
  </si>
  <si>
    <t>ID10-2309</t>
  </si>
  <si>
    <t>44054527-000-008</t>
  </si>
  <si>
    <t>ID10-2304</t>
  </si>
  <si>
    <t>Sage</t>
  </si>
  <si>
    <t>PP001937;PF006177</t>
  </si>
  <si>
    <t>44054527-000-004</t>
  </si>
  <si>
    <t>ID10-2305</t>
  </si>
  <si>
    <t>AMAZON,BLK01,HDDS,KOHLDSN,TGTDVS</t>
  </si>
  <si>
    <t>44054527-000-009</t>
  </si>
  <si>
    <t>ID10-2306</t>
  </si>
  <si>
    <t>AMAZON,HDDS,TGTDVS</t>
  </si>
  <si>
    <t>44054527-000-003</t>
  </si>
  <si>
    <t>ID16-2316</t>
  </si>
  <si>
    <t>Overfilled Down Alternative Mattress Pad</t>
  </si>
  <si>
    <t>PP001938;PF006181</t>
  </si>
  <si>
    <t>AMAZON,AMAZONDS,KOHLDSN,NRTPORT,OLLIIX,TGTDVS</t>
  </si>
  <si>
    <t>43823219-000-001</t>
  </si>
  <si>
    <t>ID16-2317</t>
  </si>
  <si>
    <t>BLK01,KOHLDSN,NRTPORT,OLLIIX,TGTDVS</t>
  </si>
  <si>
    <t>43823219-000-002</t>
  </si>
  <si>
    <t>ID16-2318</t>
  </si>
  <si>
    <t>AMAZON,AMAZONDS,BLK01,KOHLDSN,MACY02,NRTPORT,OLLIIX,TGTDVS</t>
  </si>
  <si>
    <t>43823219-000-000</t>
  </si>
  <si>
    <t>ID16-2319</t>
  </si>
  <si>
    <t>AMAZONDS,BLK01,KOHLDSN</t>
  </si>
  <si>
    <t>43823219-000-003</t>
  </si>
  <si>
    <t>BR51-4440</t>
  </si>
  <si>
    <t>Dream Soft</t>
  </si>
  <si>
    <t>PP001948;PF006208</t>
  </si>
  <si>
    <t>43727975-000-008</t>
  </si>
  <si>
    <t>BR51-4441</t>
  </si>
  <si>
    <t>43727975-000-004</t>
  </si>
  <si>
    <t>5/22/2024</t>
  </si>
  <si>
    <t>BR51-4442</t>
  </si>
  <si>
    <t>43727975-000-011</t>
  </si>
  <si>
    <t>5/7/2024</t>
  </si>
  <si>
    <t>BR51-4446</t>
  </si>
  <si>
    <t>Navy Blue</t>
  </si>
  <si>
    <t>PP001948;PF006210</t>
  </si>
  <si>
    <t>43727975-000-007</t>
  </si>
  <si>
    <t>BR51-4447</t>
  </si>
  <si>
    <t>43727975-000-005</t>
  </si>
  <si>
    <t>BR51-4448</t>
  </si>
  <si>
    <t>43727975-000-000</t>
  </si>
  <si>
    <t>BR51-4437</t>
  </si>
  <si>
    <t>PP001948;PF006207</t>
  </si>
  <si>
    <t>43727975-000-009</t>
  </si>
  <si>
    <t>BR51-4438</t>
  </si>
  <si>
    <t>43727975-000-003</t>
  </si>
  <si>
    <t>ST54-3579</t>
  </si>
  <si>
    <t>Dream Soft Heated</t>
  </si>
  <si>
    <t>PP001983;PF006359</t>
  </si>
  <si>
    <t>ST54-3580</t>
  </si>
  <si>
    <t>ST54-3581</t>
  </si>
  <si>
    <t>ST54-3582</t>
  </si>
  <si>
    <t>ST54-3583</t>
  </si>
  <si>
    <t>PP001983;PF006360</t>
  </si>
  <si>
    <t>ST54-3584</t>
  </si>
  <si>
    <t>ST54-3585</t>
  </si>
  <si>
    <t>ST54-3586</t>
  </si>
  <si>
    <t>ST54-3575</t>
  </si>
  <si>
    <t>PP001983;PF006358</t>
  </si>
  <si>
    <t>ST54-3576</t>
  </si>
  <si>
    <t>ST54-3577</t>
  </si>
  <si>
    <t>ST54-3578</t>
  </si>
  <si>
    <t>ST54-3571</t>
  </si>
  <si>
    <t>PP001983;PF006357</t>
  </si>
  <si>
    <t>ST54-3572</t>
  </si>
  <si>
    <t>ST54-3573</t>
  </si>
  <si>
    <t>ST54-3574</t>
  </si>
  <si>
    <t>ST54-3587</t>
  </si>
  <si>
    <t>PP001983;PF006361</t>
  </si>
  <si>
    <t>ST54-3588</t>
  </si>
  <si>
    <t>ST54-3589</t>
  </si>
  <si>
    <t>ST54-3590</t>
  </si>
  <si>
    <t>II95G-0156</t>
  </si>
  <si>
    <t>Dreaming</t>
  </si>
  <si>
    <t>Abstract Landscape Diptych 2-Piece Framed Glass Wall Art Set</t>
  </si>
  <si>
    <t>Blue/Multi</t>
  </si>
  <si>
    <t>42721629-000-000</t>
  </si>
  <si>
    <t>MP10-8160</t>
  </si>
  <si>
    <t>Hendry</t>
  </si>
  <si>
    <t>Knox</t>
  </si>
  <si>
    <t>5 Piece Clipped Jacquard Comforter Set with Throw Pillows</t>
  </si>
  <si>
    <t>PP001839;PF005895</t>
  </si>
  <si>
    <t>CSNSTORES,KIRKLANDDS,KOHLDSN,TGTDVS</t>
  </si>
  <si>
    <t>41353062-000-001</t>
  </si>
  <si>
    <t>MP12-8162</t>
  </si>
  <si>
    <t>3 Piece Clipped Jacquard Duvet Cover Set</t>
  </si>
  <si>
    <t>PP001839;PF005896</t>
  </si>
  <si>
    <t>KOHLDSN,MACY02</t>
  </si>
  <si>
    <t>41353320-000-000</t>
  </si>
  <si>
    <t>MP10-8161</t>
  </si>
  <si>
    <t>41353062-000-000</t>
  </si>
  <si>
    <t>11/14/2023</t>
  </si>
  <si>
    <t>MP12-8163</t>
  </si>
  <si>
    <t>41353320-000-001</t>
  </si>
  <si>
    <t>MP130-0156</t>
  </si>
  <si>
    <t>Driscoll</t>
  </si>
  <si>
    <t>Wyatt</t>
  </si>
  <si>
    <t>Grayson</t>
  </si>
  <si>
    <t>2-Door Cabinet</t>
  </si>
  <si>
    <t>PF000438</t>
  </si>
  <si>
    <t>ASHFURNDS,CASTLEGATE,CSNSTORES,KIRKLANDDS,KOHLDSN,LAMPDS,MACY02F,ROOMECOM</t>
  </si>
  <si>
    <t>21140952-000-000</t>
  </si>
  <si>
    <t>3/15/2017</t>
  </si>
  <si>
    <t>MP50-453</t>
  </si>
  <si>
    <t>Duke</t>
  </si>
  <si>
    <t>York</t>
  </si>
  <si>
    <t>Long Fur Throw</t>
  </si>
  <si>
    <t>PF003536;PP000412</t>
  </si>
  <si>
    <t>AMAZON,AMAZONDS,BLK01,CSNSTORES,FINGERHUTDS,JCPENNEY01,KOHLDSN,MACY02,OLLIIX,TGTDVS</t>
  </si>
  <si>
    <t>15574045-000-000</t>
  </si>
  <si>
    <t>MP50-5784</t>
  </si>
  <si>
    <t>PP000412;PF004332</t>
  </si>
  <si>
    <t>5/8/2018</t>
  </si>
  <si>
    <t>AMAZON,AMAZONDS,ASHFURNDS,FINGERHUTDS,HSNDS,JCPENNEY01,KOHLDSN,MACY02,TGTDVS</t>
  </si>
  <si>
    <t>15574045-000-005</t>
  </si>
  <si>
    <t>6/8/2018</t>
  </si>
  <si>
    <t>6/20/2018</t>
  </si>
  <si>
    <t>MP30-2999</t>
  </si>
  <si>
    <t>Faux Fur Square Pillow</t>
  </si>
  <si>
    <t>PF003558;PP000412</t>
  </si>
  <si>
    <t>FINGERHUTDS,JCPENNEY01,KOHLDSN,MACY02,TGTDVS</t>
  </si>
  <si>
    <t>18986986-000-002</t>
  </si>
  <si>
    <t>7/13/2016</t>
  </si>
  <si>
    <t>MP50-455</t>
  </si>
  <si>
    <t>AMAZON,BLK01,CSNSTORES,FINGERHUTDS,HOUZZ,JCPENNEY01,KOHLDSN,MACY02,NRTPORT,OLLIIX,TGTDVS</t>
  </si>
  <si>
    <t>15574045-000-002</t>
  </si>
  <si>
    <t>5/18/2015</t>
  </si>
  <si>
    <t>MP30-3000</t>
  </si>
  <si>
    <t>PF003567;PP000412</t>
  </si>
  <si>
    <t>ASHFURNDS,DESINC,FINGERHUTDS,JCPENNEY01,KOHLDSN,MACY02,TGTDVS</t>
  </si>
  <si>
    <t>18986986-000-003</t>
  </si>
  <si>
    <t>MP50-1593</t>
  </si>
  <si>
    <t>15574045-000-003</t>
  </si>
  <si>
    <t>1/18/2016</t>
  </si>
  <si>
    <t>MP50-454</t>
  </si>
  <si>
    <t>PF003547;PP000412</t>
  </si>
  <si>
    <t>AMAZONDS,ASHFURNDS,BLK01,CSNSTORES,JCPENNEY01,KOHLDSN,MACY02,TGTDVS</t>
  </si>
  <si>
    <t>15574045-000-001</t>
  </si>
  <si>
    <t>UH13-2522</t>
  </si>
  <si>
    <t>Dune</t>
  </si>
  <si>
    <t>Toren</t>
  </si>
  <si>
    <t>Ryland</t>
  </si>
  <si>
    <t>Poly Gauze Quilt Set</t>
  </si>
  <si>
    <t>PP001940;PF006185</t>
  </si>
  <si>
    <t>43786359-000-000</t>
  </si>
  <si>
    <t>UH13-2523</t>
  </si>
  <si>
    <t>AMAZON,JCPENNEY01,KOHLDSN,MACY02,OLLIIX,TGTDVS</t>
  </si>
  <si>
    <t>43786359-000-001</t>
  </si>
  <si>
    <t>UH13-2526</t>
  </si>
  <si>
    <t>PP001940;PF006186</t>
  </si>
  <si>
    <t>AMAZON,BLK01,DESINC,JCPENNEY01,MACY02,OLLIIX,TGTDVS</t>
  </si>
  <si>
    <t>43786359-000-003</t>
  </si>
  <si>
    <t>SYNC66-0023</t>
  </si>
  <si>
    <t>Durable</t>
  </si>
  <si>
    <t>Dog Seatbelt for Carseat Adjustable Black Nylon 2-Pack Set</t>
  </si>
  <si>
    <t>16"-27"</t>
  </si>
  <si>
    <t>43976042-000-000</t>
  </si>
  <si>
    <t>MP40-7799</t>
  </si>
  <si>
    <t>Eastfield</t>
  </si>
  <si>
    <t>Lyndon</t>
  </si>
  <si>
    <t>Wren</t>
  </si>
  <si>
    <t>Bamboo Light Filtering Roman Shade 64"L</t>
  </si>
  <si>
    <t>Natural Ash</t>
  </si>
  <si>
    <t>PP001722;PF005636</t>
  </si>
  <si>
    <t>Bamboo</t>
  </si>
  <si>
    <t>4/5/2022</t>
  </si>
  <si>
    <t>AMAZONDS,HDDS,JCPENNEY01,KOHLDSN,OLLIIX</t>
  </si>
  <si>
    <t>39828324-000-009</t>
  </si>
  <si>
    <t>4/11/2022</t>
  </si>
  <si>
    <t>II100-0452</t>
  </si>
  <si>
    <t>Easton</t>
  </si>
  <si>
    <t>Low Profile Accent Chair</t>
  </si>
  <si>
    <t>2/15/2021</t>
  </si>
  <si>
    <t>20675186-000-001</t>
  </si>
  <si>
    <t>2/19/2021</t>
  </si>
  <si>
    <t>II40-1329</t>
  </si>
  <si>
    <t>Ebby</t>
  </si>
  <si>
    <t>Alaia</t>
  </si>
  <si>
    <t>2pk Poly Printed Curtain Panel with Tufted Stripe</t>
  </si>
  <si>
    <t>2-PK 50x95"</t>
  </si>
  <si>
    <t>White/Taupe</t>
  </si>
  <si>
    <t>PP001971;PF006280</t>
  </si>
  <si>
    <t>6/11/2024</t>
  </si>
  <si>
    <t>44334703-000-001</t>
  </si>
  <si>
    <t>MPS95F-0039</t>
  </si>
  <si>
    <t>Mirrors</t>
  </si>
  <si>
    <t>Eclipse</t>
  </si>
  <si>
    <t>Gold Trio Wall Mirror</t>
  </si>
  <si>
    <t>PP001769</t>
  </si>
  <si>
    <t>6/29/2022</t>
  </si>
  <si>
    <t>AMAZONDS,AMERSIGNDS,CSNSTORES,DESINC,HOUZZ,JCPENNEY01,KIRKLANDDS,MACY02,OLLIIX,TGTDVS,ZOLA</t>
  </si>
  <si>
    <t>24185325-000-001</t>
  </si>
  <si>
    <t>7/5/2022</t>
  </si>
  <si>
    <t>8/22/2022</t>
  </si>
  <si>
    <t>ID31-2450</t>
  </si>
  <si>
    <t>Indoor Cushion</t>
  </si>
  <si>
    <t>Edelia</t>
  </si>
  <si>
    <t>Arwen</t>
  </si>
  <si>
    <t>Alder</t>
  </si>
  <si>
    <t>Poly Chenille Lounge Floor Pillow Cushion</t>
  </si>
  <si>
    <t>27" x 74"</t>
  </si>
  <si>
    <t>PP000937;PF006342</t>
  </si>
  <si>
    <t>27248389-000-004</t>
  </si>
  <si>
    <t>Ready To Offer</t>
  </si>
  <si>
    <t>MP40-3776</t>
  </si>
  <si>
    <t>Eden</t>
  </si>
  <si>
    <t>Laya</t>
  </si>
  <si>
    <t>Fretwork Burnout Sheer Curtain Panel</t>
  </si>
  <si>
    <t>PF003820</t>
  </si>
  <si>
    <t>AMAZON,AMAZONDS,CSNSTORES,FINGERHUTDS,JCPENNEY01,KOHLDSN,WALMARTDS</t>
  </si>
  <si>
    <t>20741027-000-003</t>
  </si>
  <si>
    <t>1/19/2017</t>
  </si>
  <si>
    <t>3/10/2017</t>
  </si>
  <si>
    <t>MP50-4824</t>
  </si>
  <si>
    <t>Edina</t>
  </si>
  <si>
    <t>Faux Fur Throw</t>
  </si>
  <si>
    <t>PF003538</t>
  </si>
  <si>
    <t>8/18/2017</t>
  </si>
  <si>
    <t>BLK01,CSNSTORES,DESINC,JCPENNEY01,KOHLDSN,MACY02,OLLIIX,TGTDVS</t>
  </si>
  <si>
    <t>23596964-000-000</t>
  </si>
  <si>
    <t>8/17/2017</t>
  </si>
  <si>
    <t>ID10-2102</t>
  </si>
  <si>
    <t>Effie AZ</t>
  </si>
  <si>
    <t>Shaggy Fur Reversible Comforter Set</t>
  </si>
  <si>
    <t>2/17/2022</t>
  </si>
  <si>
    <t>43944077-000-006</t>
  </si>
  <si>
    <t>ID10-2104</t>
  </si>
  <si>
    <t>43944077-000-005</t>
  </si>
  <si>
    <t>ID10-2099</t>
  </si>
  <si>
    <t>AMAZON,DESINC</t>
  </si>
  <si>
    <t>43944077-000-003</t>
  </si>
  <si>
    <t>ID10-2105</t>
  </si>
  <si>
    <t>AMAZON,AMAZONDS,DESINC</t>
  </si>
  <si>
    <t>43944077-000-010</t>
  </si>
  <si>
    <t>ID10-2107</t>
  </si>
  <si>
    <t>43944077-000-009</t>
  </si>
  <si>
    <t>ID10-2196</t>
  </si>
  <si>
    <t>12/1/2022</t>
  </si>
  <si>
    <t>43944077-000-000</t>
  </si>
  <si>
    <t>ID10-2197</t>
  </si>
  <si>
    <t>43944077-000-002</t>
  </si>
  <si>
    <t>ID10-2198</t>
  </si>
  <si>
    <t>43944077-000-001</t>
  </si>
  <si>
    <t>BR54-0179</t>
  </si>
  <si>
    <t>Electric Micro Fleece</t>
  </si>
  <si>
    <t>PF003617</t>
  </si>
  <si>
    <t>AMAZON,AMAZONDS,BLK01,CSNSTORES,JCPENNEY01,KOHLDSN,OLLIIX,WALMARTDS</t>
  </si>
  <si>
    <t>14030863-000-026</t>
  </si>
  <si>
    <t>1/7/2015</t>
  </si>
  <si>
    <t>BR54-0183</t>
  </si>
  <si>
    <t>PF003628</t>
  </si>
  <si>
    <t>10/17/2017</t>
  </si>
  <si>
    <t>AMAZONDS,BLK01,JCPENNEY01,KOHLDSN,MACY02,TGTDVS,WALMARTDS</t>
  </si>
  <si>
    <t>14030863-000-018</t>
  </si>
  <si>
    <t>BR54-0191</t>
  </si>
  <si>
    <t>PF003414</t>
  </si>
  <si>
    <t>AMAZON,KOHLDSN,MACY02,WALMARTDS</t>
  </si>
  <si>
    <t>14030863-000-013</t>
  </si>
  <si>
    <t>BR54-0192</t>
  </si>
  <si>
    <t>AMAZONDS,CSNSTORES,HDDS,JCPENNEY01,KOHLDSN,OLLIIX,WALMARTDS</t>
  </si>
  <si>
    <t>14030863-000-007</t>
  </si>
  <si>
    <t>BR54-0187</t>
  </si>
  <si>
    <t>PF003639</t>
  </si>
  <si>
    <t>AMAZON,CSNSTORES,TGTDVS,WALMARTDS</t>
  </si>
  <si>
    <t>14030863-000-021</t>
  </si>
  <si>
    <t>MT150-0080</t>
  </si>
  <si>
    <t>Elegenza</t>
  </si>
  <si>
    <t>6-light Chandelier with Fabric Drum Shades</t>
  </si>
  <si>
    <t>Antique Gold</t>
  </si>
  <si>
    <t>MT150-0079</t>
  </si>
  <si>
    <t>Chrome</t>
  </si>
  <si>
    <t>MP41-4955</t>
  </si>
  <si>
    <t>Elena</t>
  </si>
  <si>
    <t>Juline</t>
  </si>
  <si>
    <t>Gail</t>
  </si>
  <si>
    <t>Faux Silk Waterfall Embellished Valance</t>
  </si>
  <si>
    <t>Bronze</t>
  </si>
  <si>
    <t>PF003966</t>
  </si>
  <si>
    <t>8/5/2017</t>
  </si>
  <si>
    <t>AMAZON,AMAZONDS,BLK01,CSNSTORES,JCPENNEY01,KOHLDSN</t>
  </si>
  <si>
    <t>23314418-000-002</t>
  </si>
  <si>
    <t>8/2/2017</t>
  </si>
  <si>
    <t>8/9/2017</t>
  </si>
  <si>
    <t>MT101-0014</t>
  </si>
  <si>
    <t>Ellen</t>
  </si>
  <si>
    <t>Cocktail Ottoman</t>
  </si>
  <si>
    <t>PP001279</t>
  </si>
  <si>
    <t>CSNSTORES,KIRKLANDDS,MACY02F,OLLIIX,ROOMECOM,ZOLA</t>
  </si>
  <si>
    <t>33732339-000-000</t>
  </si>
  <si>
    <t>7/8/2019</t>
  </si>
  <si>
    <t>3/16/2020</t>
  </si>
  <si>
    <t>5DS150-0042</t>
  </si>
  <si>
    <t>CSNSTORES,TGTDVS</t>
  </si>
  <si>
    <t>39817466-000-000</t>
  </si>
  <si>
    <t>4/7/2022</t>
  </si>
  <si>
    <t>CCA12-0003</t>
  </si>
  <si>
    <t>Ellis</t>
  </si>
  <si>
    <t>Heathered Gray</t>
  </si>
  <si>
    <t>11/11/2022</t>
  </si>
  <si>
    <t>CSNSTORES,JCPENNEY01,MACY02,OLLIIX</t>
  </si>
  <si>
    <t>42127892-000-000</t>
  </si>
  <si>
    <t>CCA12-0004</t>
  </si>
  <si>
    <t>42127892-000-001</t>
  </si>
  <si>
    <t>10/17/2023</t>
  </si>
  <si>
    <t>FB151-1161</t>
  </si>
  <si>
    <t>Elm</t>
  </si>
  <si>
    <t>Bell-Shaped Glass Pendant</t>
  </si>
  <si>
    <t>Smoke Grey</t>
  </si>
  <si>
    <t>39918993-000-000</t>
  </si>
  <si>
    <t>MP50-3255</t>
  </si>
  <si>
    <t>Elma</t>
  </si>
  <si>
    <t>Celia</t>
  </si>
  <si>
    <t>Oversized Textured Plush Throw</t>
  </si>
  <si>
    <t>60x70"</t>
  </si>
  <si>
    <t>PF003442</t>
  </si>
  <si>
    <t>11/1/2024</t>
  </si>
  <si>
    <t>19173744-000-003</t>
  </si>
  <si>
    <t>8/3/2016</t>
  </si>
  <si>
    <t>MT108-1197</t>
  </si>
  <si>
    <t>Elmcrest</t>
  </si>
  <si>
    <t>Upholstered Dining Chair with Nailhead Trim</t>
  </si>
  <si>
    <t>Beige Stripe</t>
  </si>
  <si>
    <t>MT Lily Pond</t>
  </si>
  <si>
    <t>1/26/2024</t>
  </si>
  <si>
    <t>10/9/2024</t>
  </si>
  <si>
    <t>36430169-000-002</t>
  </si>
  <si>
    <t>2/27/2024</t>
  </si>
  <si>
    <t>MP108-0911</t>
  </si>
  <si>
    <t>Elmwood</t>
  </si>
  <si>
    <t>Bernardo</t>
  </si>
  <si>
    <t>Steven</t>
  </si>
  <si>
    <t>Dining Chair Set of 2</t>
  </si>
  <si>
    <t>AMERSIGNDS,CSNSTORES,HOUZZ,KIRKLANDDS</t>
  </si>
  <si>
    <t>35543250-000-000</t>
  </si>
  <si>
    <t>8/19/2020</t>
  </si>
  <si>
    <t>II150-0140</t>
  </si>
  <si>
    <t>Ely</t>
  </si>
  <si>
    <t>3-Light Spiked Chandelier</t>
  </si>
  <si>
    <t>Matte Black /Gold</t>
  </si>
  <si>
    <t>Glam/Luxury|Industrial</t>
  </si>
  <si>
    <t>40804403-000-000</t>
  </si>
  <si>
    <t>CS10-1436</t>
  </si>
  <si>
    <t>Ember</t>
  </si>
  <si>
    <t>2 Piece Comforter set</t>
  </si>
  <si>
    <t>6/21/2021</t>
  </si>
  <si>
    <t>43961014-000-000</t>
  </si>
  <si>
    <t>CS10-1437</t>
  </si>
  <si>
    <t>3 Piece Comforter set</t>
  </si>
  <si>
    <t>7/3/2021</t>
  </si>
  <si>
    <t>43961014-000-002</t>
  </si>
  <si>
    <t>CS10-1438</t>
  </si>
  <si>
    <t>43961014-000-003</t>
  </si>
  <si>
    <t>CS10-1429</t>
  </si>
  <si>
    <t>5/11/2021</t>
  </si>
  <si>
    <t>43961014-000-001</t>
  </si>
  <si>
    <t>CS10-1430</t>
  </si>
  <si>
    <t>43961014-000-004</t>
  </si>
  <si>
    <t>SI55-0058</t>
  </si>
  <si>
    <t>Embossed Microfiber</t>
  </si>
  <si>
    <t>PP001984;PF006362</t>
  </si>
  <si>
    <t>SI55-0059</t>
  </si>
  <si>
    <t>SI55-0060</t>
  </si>
  <si>
    <t>SI55-0061</t>
  </si>
  <si>
    <t>SI55-0062</t>
  </si>
  <si>
    <t>SI55-0063</t>
  </si>
  <si>
    <t>MP20-8173</t>
  </si>
  <si>
    <t>Embroidered Microfiber</t>
  </si>
  <si>
    <t>4 PC Sheet Set</t>
  </si>
  <si>
    <t>Green Vine Leaves</t>
  </si>
  <si>
    <t>PP001840;PF005898</t>
  </si>
  <si>
    <t>Border</t>
  </si>
  <si>
    <t>12/15/2022</t>
  </si>
  <si>
    <t>AMAZON,AMAZONDS,JCPENNEY01,KIRKLANDDS,KOHLDSN,MACY02,TGTDVS</t>
  </si>
  <si>
    <t>40923839-000-008</t>
  </si>
  <si>
    <t>MP20-8176</t>
  </si>
  <si>
    <t>Taupe Geo</t>
  </si>
  <si>
    <t>PP001840;PF005899</t>
  </si>
  <si>
    <t>AMAZON,AMAZONDS,KIRKLANDDS,KOHLDSN,MACY02,TGTDVS</t>
  </si>
  <si>
    <t>40923839-000-011</t>
  </si>
  <si>
    <t>2/13/2023</t>
  </si>
  <si>
    <t>MP20-8178</t>
  </si>
  <si>
    <t>AMAZON,JCPENNEY01,KIRKLANDDS,KOHLDSN,MACY02,TGTDVS</t>
  </si>
  <si>
    <t>40923839-000-004</t>
  </si>
  <si>
    <t>MP20-8179</t>
  </si>
  <si>
    <t>Teal Medallion</t>
  </si>
  <si>
    <t>PP001840;PF005900</t>
  </si>
  <si>
    <t>AMAZON,AMAZONDS,KOHLDSN,MACY02,OLLIIX,TGTDVS</t>
  </si>
  <si>
    <t>40923839-000-003</t>
  </si>
  <si>
    <t>MP20-8180</t>
  </si>
  <si>
    <t>AMAZON,AMAZONDS,BLK01,JCPENNEY01,KIRKLANDDS,KOHLDSN,MACY02</t>
  </si>
  <si>
    <t>40923839-000-002</t>
  </si>
  <si>
    <t>MP20-8181</t>
  </si>
  <si>
    <t>AMAZON,AMAZONDS,KOHLDSN,MACY02,OLLIIX</t>
  </si>
  <si>
    <t>40923839-000-010</t>
  </si>
  <si>
    <t>MP40-8330</t>
  </si>
  <si>
    <t>Emilia</t>
  </si>
  <si>
    <t>Natalie</t>
  </si>
  <si>
    <t>Lillian</t>
  </si>
  <si>
    <t>Twist Tab Lined Window Curtain Panel</t>
  </si>
  <si>
    <t>PP001164;PF006098</t>
  </si>
  <si>
    <t>15855802-000-050</t>
  </si>
  <si>
    <t>Tier 2</t>
  </si>
  <si>
    <t>12/19/2023</t>
  </si>
  <si>
    <t>MP40-8331</t>
  </si>
  <si>
    <t>15855802-000-051</t>
  </si>
  <si>
    <t>MP40-8332</t>
  </si>
  <si>
    <t>50x120"</t>
  </si>
  <si>
    <t>15855802-000-052</t>
  </si>
  <si>
    <t>MP40-8335</t>
  </si>
  <si>
    <t>Twist Tab Total Blackout Window Curtain Panel</t>
  </si>
  <si>
    <t>50x84" Blackout</t>
  </si>
  <si>
    <t>AMAZON,AMAZONDS,JCPENNEY01,KOHLDSN</t>
  </si>
  <si>
    <t>33704698-000-009</t>
  </si>
  <si>
    <t>3/28/2024</t>
  </si>
  <si>
    <t>MP40-8336</t>
  </si>
  <si>
    <t>50x95" Blackout</t>
  </si>
  <si>
    <t>33704698-000-008</t>
  </si>
  <si>
    <t>MP40-6322</t>
  </si>
  <si>
    <t>PP001164;PF004652</t>
  </si>
  <si>
    <t>5/9/2019</t>
  </si>
  <si>
    <t>15855802-000-035</t>
  </si>
  <si>
    <t>6/3/2019</t>
  </si>
  <si>
    <t>7/12/2019</t>
  </si>
  <si>
    <t>MP40-6324</t>
  </si>
  <si>
    <t>15855802-000-038</t>
  </si>
  <si>
    <t>6/4/2019</t>
  </si>
  <si>
    <t>MP41-6325</t>
  </si>
  <si>
    <t>Lightweight Faux Silk Valance With Beads</t>
  </si>
  <si>
    <t>50x26"</t>
  </si>
  <si>
    <t>AMAZONDS,CSNSTORES,FINGERHUTDS,JCPENNEY01,KOHLDSN,TGTDVS,WALMARTDS</t>
  </si>
  <si>
    <t>22670044-000-009</t>
  </si>
  <si>
    <t>6/19/2019</t>
  </si>
  <si>
    <t>WIN40-118</t>
  </si>
  <si>
    <t>AMAZON,AMAZONDS,BLK01,CSNSTORES,HSNDS,JCPENNEY01,KOHLDSN</t>
  </si>
  <si>
    <t>15855802-000-006</t>
  </si>
  <si>
    <t>MP40-2686</t>
  </si>
  <si>
    <t>AMAZON,AMAZONDS,BLK01,CSNSTORES,DESINC,JCPENNEY01</t>
  </si>
  <si>
    <t>15855802-000-020</t>
  </si>
  <si>
    <t>8/18/2016</t>
  </si>
  <si>
    <t>WIN40-116</t>
  </si>
  <si>
    <t>PF003964</t>
  </si>
  <si>
    <t>AMAZON,AMAZONDS,BLK01,CSNSTORES,HSNDS,JCPENNEY01,KIRKLANDDS,KOHLDSN,TGTDVS</t>
  </si>
  <si>
    <t>15855802-000-002</t>
  </si>
  <si>
    <t>MP40-2684</t>
  </si>
  <si>
    <t>AMAZON,BLK01,CSNSTORES,DESINC,HSNDS,JCPENNEY01,KIRKLANDDS,KOHLDSN,TGTDVS</t>
  </si>
  <si>
    <t>15855802-000-018</t>
  </si>
  <si>
    <t>6/22/2016</t>
  </si>
  <si>
    <t>MP41-4454</t>
  </si>
  <si>
    <t>6/2/2017</t>
  </si>
  <si>
    <t>AMAZON,CSNSTORES,DESINC,HOUZZ,JCPENNEY01,KOHLDSN,TGTDVS</t>
  </si>
  <si>
    <t>22670044-000-004</t>
  </si>
  <si>
    <t>8/14/2017</t>
  </si>
  <si>
    <t>MP40-6556</t>
  </si>
  <si>
    <t>PP001164;PF004762</t>
  </si>
  <si>
    <t>7/27/2019</t>
  </si>
  <si>
    <t>AMAZON,AMAZONDS,BLK01,CSNSTORES,HDDS,JCPENNEY01,KOHLDSN,OLLIIX,TGTDVS</t>
  </si>
  <si>
    <t>15855802-000-047</t>
  </si>
  <si>
    <t>9/20/2019</t>
  </si>
  <si>
    <t>10/8/2019</t>
  </si>
  <si>
    <t>MP40-6557</t>
  </si>
  <si>
    <t>AMAZON,AMAZONDS,CSNSTORES,DESINC,HDDS,JCPENNEY01,KOHLDSN</t>
  </si>
  <si>
    <t>15855802-000-046</t>
  </si>
  <si>
    <t>9/27/2019</t>
  </si>
  <si>
    <t>MP40-6558</t>
  </si>
  <si>
    <t>AMAZON,AMAZONDS,ASHFURNDS,CSNSTORES,HDDS,JCPENNEY01,KOHLDSN</t>
  </si>
  <si>
    <t>15855802-000-045</t>
  </si>
  <si>
    <t>MP40-6559</t>
  </si>
  <si>
    <t>AMAZON,AMAZONDS,CSNSTORES,JCPENNEY01</t>
  </si>
  <si>
    <t>15855802-000-044</t>
  </si>
  <si>
    <t>MP41-6560</t>
  </si>
  <si>
    <t>AMAZON,CSNSTORES,DESINC,JCPENNEY01,KOHLDSN</t>
  </si>
  <si>
    <t>22670044-000-011</t>
  </si>
  <si>
    <t>11/11/2019</t>
  </si>
  <si>
    <t>WIN40-121</t>
  </si>
  <si>
    <t>Dusty Aqua</t>
  </si>
  <si>
    <t>PF003965</t>
  </si>
  <si>
    <t>AMAZON,ASHFURNDS,CSNSTORES,HDDS,JCPENNEY01,KOHLDSN,TGTDVS</t>
  </si>
  <si>
    <t>15855802-000-005</t>
  </si>
  <si>
    <t>1/8/2015</t>
  </si>
  <si>
    <t>MP41-4455</t>
  </si>
  <si>
    <t>AMAZONDS,BLK01,CSNSTORES,JCPENNEY01,KOHLDSN</t>
  </si>
  <si>
    <t>22670044-000-005</t>
  </si>
  <si>
    <t>9/15/2017</t>
  </si>
  <si>
    <t>MP40-8333</t>
  </si>
  <si>
    <t>PP001164;PF006099</t>
  </si>
  <si>
    <t>15855802-000-053</t>
  </si>
  <si>
    <t>2/19/2024</t>
  </si>
  <si>
    <t>MP40-8334</t>
  </si>
  <si>
    <t>AMAZONDS,JCPENNEY01</t>
  </si>
  <si>
    <t>15855802-000-054</t>
  </si>
  <si>
    <t>MP40-6318</t>
  </si>
  <si>
    <t>PP001164;PF004653</t>
  </si>
  <si>
    <t>AMAZON,CSNSTORES,DESINC,JCPENNEY01,KOHLDSN,MACY02</t>
  </si>
  <si>
    <t>15855802-000-041</t>
  </si>
  <si>
    <t>6/5/2019</t>
  </si>
  <si>
    <t>7/9/2019</t>
  </si>
  <si>
    <t>MP40-6319</t>
  </si>
  <si>
    <t>15855802-000-040</t>
  </si>
  <si>
    <t>12/4/2019</t>
  </si>
  <si>
    <t>MP41-6320</t>
  </si>
  <si>
    <t>AMAZON,CSNSTORES,FINGERHUTDS,JCPENNEY01,KOHLDSN</t>
  </si>
  <si>
    <t>22670044-000-008</t>
  </si>
  <si>
    <t>MP40-1300</t>
  </si>
  <si>
    <t>Pewter</t>
  </si>
  <si>
    <t>PF003967</t>
  </si>
  <si>
    <t>15855802-000-009</t>
  </si>
  <si>
    <t>MP40-2682</t>
  </si>
  <si>
    <t>AMAZON,AMAZONDS,BLK01,CSNSTORES,HDDS,JCPENNEY01,KOHLDSN</t>
  </si>
  <si>
    <t>15855802-000-016</t>
  </si>
  <si>
    <t>MP40-7408</t>
  </si>
  <si>
    <t>PF003967;PP001164</t>
  </si>
  <si>
    <t>3/12/2021</t>
  </si>
  <si>
    <t>AMAZON,CSNSTORES,KOHLDSN,LOWESDS,TGTDVS</t>
  </si>
  <si>
    <t>33704698-000-004</t>
  </si>
  <si>
    <t>5/12/2021</t>
  </si>
  <si>
    <t>MP40-3554</t>
  </si>
  <si>
    <t>PF003970</t>
  </si>
  <si>
    <t>AMAZON,AMAZONDS,CSNSTORES,HDDS,KOHLDSN,TGTDVS</t>
  </si>
  <si>
    <t>15855802-000-023</t>
  </si>
  <si>
    <t>MP40-3555</t>
  </si>
  <si>
    <t>AMAZON,AMAZONDS,CSNSTORES,KOHLDSN</t>
  </si>
  <si>
    <t>15855802-000-024</t>
  </si>
  <si>
    <t>10/3/2016</t>
  </si>
  <si>
    <t>MP40-6327</t>
  </si>
  <si>
    <t>PP001164;PF004651</t>
  </si>
  <si>
    <t>AMAZON,AMAZONDS,CSNSTORES,HDDS,JCPENNEY01,KOHLDSN</t>
  </si>
  <si>
    <t>15855802-000-034</t>
  </si>
  <si>
    <t>MP40-6329</t>
  </si>
  <si>
    <t>15855802-000-032</t>
  </si>
  <si>
    <t>MP40-2413</t>
  </si>
  <si>
    <t>PF003968</t>
  </si>
  <si>
    <t>AMAZON,AMAZONDS,CSNSTORES,HDDS,JCPENNEY01,KIRKLANDDS,KOHLDSN,NEBFUR01,TGTDVS</t>
  </si>
  <si>
    <t>15855802-000-010</t>
  </si>
  <si>
    <t>2/16/2016</t>
  </si>
  <si>
    <t>MP41-4451</t>
  </si>
  <si>
    <t>BLK01,CSNSTORES,FINGERHUTDS,JCPENNEY01,KOHLDSN</t>
  </si>
  <si>
    <t>22670044-000-001</t>
  </si>
  <si>
    <t>ID50-1605</t>
  </si>
  <si>
    <t>Emma</t>
  </si>
  <si>
    <t>Maddie</t>
  </si>
  <si>
    <t>Shaggy Faux Fur Throw</t>
  </si>
  <si>
    <t>PP000794;PF004114</t>
  </si>
  <si>
    <t>9/21/2018</t>
  </si>
  <si>
    <t>ASHFURNDS,BLK01,CSNSTORES,DESINC,FINGERHUTDS,JCPENNEY01,KOHLDSN,MACY02,NRTPORT,OLLIIX,TGTDVS</t>
  </si>
  <si>
    <t>29105624-000-000</t>
  </si>
  <si>
    <t>11/1/2018</t>
  </si>
  <si>
    <t>ID50-1604</t>
  </si>
  <si>
    <t>PP000794;PF004113</t>
  </si>
  <si>
    <t>ASHFURNDS,BEALLSDS,BLK01,CSNSTORES,DESINC,FINGERHUTDS,JCPENNEY01,KOHLDSN,MACY02,NRTPORT,OLLIIX,TGTDVS,Zulily</t>
  </si>
  <si>
    <t>29105624-000-001</t>
  </si>
  <si>
    <t>12/10/2018</t>
  </si>
  <si>
    <t>WR10-3864</t>
  </si>
  <si>
    <t>Emmet Creek</t>
  </si>
  <si>
    <t>Down Alternative Comforter Set with Throw Pillow</t>
  </si>
  <si>
    <t>Softspun</t>
  </si>
  <si>
    <t>Boho</t>
  </si>
  <si>
    <t>Southwest</t>
  </si>
  <si>
    <t>AMAZONDS,JCPENNEY01,KOHLDSN</t>
  </si>
  <si>
    <t>42801335-000-002</t>
  </si>
  <si>
    <t>MP95G-0306</t>
  </si>
  <si>
    <t>Enchanted Forest</t>
  </si>
  <si>
    <t>Hand Painted Abstract Landscape Framed and Matted Wall Art</t>
  </si>
  <si>
    <t>Grey/Gold</t>
  </si>
  <si>
    <t>40692442-000-000</t>
  </si>
  <si>
    <t>BASI10-0576</t>
  </si>
  <si>
    <t>Energy Recovery</t>
  </si>
  <si>
    <t>Energy Recovery Oversized Down Alternative Comforter</t>
  </si>
  <si>
    <t>PF005643;PP001727</t>
  </si>
  <si>
    <t>2/1/2022</t>
  </si>
  <si>
    <t>AMAZONDS,BIGLOTSDS,CSNSTORES,JCPENNEY01,KOHLDSN,MACY02,OLLIIX,TGTDVS</t>
  </si>
  <si>
    <t>39599923-000-001</t>
  </si>
  <si>
    <t>BASI10-0578</t>
  </si>
  <si>
    <t>39599923-000-002</t>
  </si>
  <si>
    <t>8/5/2022</t>
  </si>
  <si>
    <t>MP40-6750</t>
  </si>
  <si>
    <t>Englewood</t>
  </si>
  <si>
    <t>Oslow</t>
  </si>
  <si>
    <t>Lincoln</t>
  </si>
  <si>
    <t>Solid Piece Dyed Grommet Top Curtain Panel</t>
  </si>
  <si>
    <t>PP001398;PF004938</t>
  </si>
  <si>
    <t>35010479-000-008</t>
  </si>
  <si>
    <t>11/12/2019</t>
  </si>
  <si>
    <t>MP100-0993</t>
  </si>
  <si>
    <t>Erika</t>
  </si>
  <si>
    <t>Laura</t>
  </si>
  <si>
    <t>Orange Multi</t>
  </si>
  <si>
    <t>ASHFURNDS,CSNSTORES,JCPENNEY01,MACY02F,OLLIIX</t>
  </si>
  <si>
    <t>18677288-000-001</t>
  </si>
  <si>
    <t>MT95G-0030</t>
  </si>
  <si>
    <t>Estuary</t>
  </si>
  <si>
    <t>Abstract Landscape Framed Glass Wall Art</t>
  </si>
  <si>
    <t>PP001449;PF005016</t>
  </si>
  <si>
    <t>AMAZONDS,BLK01,CSNSTORES,DESINC,JCPENNEY01,KIRKLANDDS,KOHLDSN,MACY02,OLLIIX,ZOLA</t>
  </si>
  <si>
    <t>35147143-000-000</t>
  </si>
  <si>
    <t>4/14/2020</t>
  </si>
  <si>
    <t>II153-0161</t>
  </si>
  <si>
    <t>Ethra</t>
  </si>
  <si>
    <t>Ceramic Table Lamp</t>
  </si>
  <si>
    <t>44671080-000-000</t>
  </si>
  <si>
    <t>MT105-0147</t>
  </si>
  <si>
    <t>Eve</t>
  </si>
  <si>
    <t>2/11/2022</t>
  </si>
  <si>
    <t>CSNSTORES,OLLIIX,ZOLA</t>
  </si>
  <si>
    <t>39608090-000-000</t>
  </si>
  <si>
    <t>2/18/2022</t>
  </si>
  <si>
    <t>3/22/2022</t>
  </si>
  <si>
    <t>MP10-8397</t>
  </si>
  <si>
    <t>Evelyn</t>
  </si>
  <si>
    <t>Liliana</t>
  </si>
  <si>
    <t>Josie</t>
  </si>
  <si>
    <t>3 Piece Stripe Ruched Comforter Set</t>
  </si>
  <si>
    <t>PP001947;PF006206</t>
  </si>
  <si>
    <t>AMAZON,NRTPORT</t>
  </si>
  <si>
    <t>43787551-000-000</t>
  </si>
  <si>
    <t>MP10-8398</t>
  </si>
  <si>
    <t>43787551-000-001</t>
  </si>
  <si>
    <t>MP10-8395</t>
  </si>
  <si>
    <t>PP001947;PF006205</t>
  </si>
  <si>
    <t>43787551-000-003</t>
  </si>
  <si>
    <t>MP10-8396</t>
  </si>
  <si>
    <t>43787551-000-002</t>
  </si>
  <si>
    <t>MPE10-897</t>
  </si>
  <si>
    <t>Everest</t>
  </si>
  <si>
    <t>Colebrook</t>
  </si>
  <si>
    <t>Rochester</t>
  </si>
  <si>
    <t>8 Piece Reversible Comforter Set with Bed Sheets</t>
  </si>
  <si>
    <t>PP001499;PF005107</t>
  </si>
  <si>
    <t>6/17/2020</t>
  </si>
  <si>
    <t>BIGLOTSDS,CSNSTORES,HDDS,JCPENNEY01,KOHLDSN,MACY02,TGTDVS</t>
  </si>
  <si>
    <t>36030180-000-000</t>
  </si>
  <si>
    <t>6/16/2020</t>
  </si>
  <si>
    <t>7/27/2020</t>
  </si>
  <si>
    <t>5DS108-0025</t>
  </si>
  <si>
    <t>Everly</t>
  </si>
  <si>
    <t>Upholstered Channel-back Dining Chair Set of 2</t>
  </si>
  <si>
    <t>CSNSTORES,KIRKLANDDS,MACY02F</t>
  </si>
  <si>
    <t>41922410-000-001</t>
  </si>
  <si>
    <t>10/27/2023</t>
  </si>
  <si>
    <t>MP10-8304</t>
  </si>
  <si>
    <t>Maeve</t>
  </si>
  <si>
    <t>Selena</t>
  </si>
  <si>
    <t>3 Piece Tufted Woven Medallion Comforter Set</t>
  </si>
  <si>
    <t>PP001905;PF006074</t>
  </si>
  <si>
    <t>42825324-000-000</t>
  </si>
  <si>
    <t>5DS108-0053</t>
  </si>
  <si>
    <t>7/23/2024</t>
  </si>
  <si>
    <t>41922410-000-004</t>
  </si>
  <si>
    <t>5DS108-0042</t>
  </si>
  <si>
    <t>41922410-000-003</t>
  </si>
  <si>
    <t>5DS108-0034</t>
  </si>
  <si>
    <t>1/31/2024</t>
  </si>
  <si>
    <t>41922410-000-002</t>
  </si>
  <si>
    <t>II153-0107</t>
  </si>
  <si>
    <t>Ceramic Table Lamp with Handles</t>
  </si>
  <si>
    <t>CSNSTORES,JCPENNEY01,KIRKLANDDS,KOHLDSN,OLLIIX</t>
  </si>
  <si>
    <t>39463174-000-000</t>
  </si>
  <si>
    <t>6/8/2022</t>
  </si>
  <si>
    <t>MP95B-0276</t>
  </si>
  <si>
    <t>Exton</t>
  </si>
  <si>
    <t>Two-tone Overlapping Geometric Wood Panel Wall Decor</t>
  </si>
  <si>
    <t>Natural/White</t>
  </si>
  <si>
    <t>PP001636</t>
  </si>
  <si>
    <t>9/18/2021</t>
  </si>
  <si>
    <t>AMAZON,AMAZONDS,JCPENNEY01,KOHLDSN,MACY02,OLLIIX,TGTDVS,Zulily</t>
  </si>
  <si>
    <t>38900155-000-000</t>
  </si>
  <si>
    <t>9/28/2021</t>
  </si>
  <si>
    <t>II150-0118</t>
  </si>
  <si>
    <t>Ezra</t>
  </si>
  <si>
    <t>5-Light Metal Chandelier</t>
  </si>
  <si>
    <t>Antique Brass/White</t>
  </si>
  <si>
    <t>39936217-000-000</t>
  </si>
  <si>
    <t>7/6/2022</t>
  </si>
  <si>
    <t>MP95G-0298</t>
  </si>
  <si>
    <t>Fair Florets</t>
  </si>
  <si>
    <t>3-piece Framed Glass Wall Art Set</t>
  </si>
  <si>
    <t>PP001778</t>
  </si>
  <si>
    <t>AMAZONDS,AMERSIGNDS,CSNSTORES,DESINC,JCPENNEY01,KIRKLANDDS,KOHLDSN,MACY02,OLLIIX,TGTDVS,ZOLA,Zulily</t>
  </si>
  <si>
    <t>40050444-000-000</t>
  </si>
  <si>
    <t>10/3/2022</t>
  </si>
  <si>
    <t>FB150-1169</t>
  </si>
  <si>
    <t>Fairmount</t>
  </si>
  <si>
    <t>8-Light Traditional Chandelier with Drum Shades</t>
  </si>
  <si>
    <t>Black/Silver</t>
  </si>
  <si>
    <t>40565580-000-000</t>
  </si>
  <si>
    <t>6/6/2023</t>
  </si>
  <si>
    <t>MP35-8052</t>
  </si>
  <si>
    <t>Faith</t>
  </si>
  <si>
    <t>Kendra</t>
  </si>
  <si>
    <t>Caitlyn</t>
  </si>
  <si>
    <t>Persian Bordered Traditional Woven Area Rug</t>
  </si>
  <si>
    <t>Blue/Red</t>
  </si>
  <si>
    <t>PP001797;PF005785</t>
  </si>
  <si>
    <t>10/12/2022</t>
  </si>
  <si>
    <t>40639753-000-003</t>
  </si>
  <si>
    <t>10/19/2022</t>
  </si>
  <si>
    <t>MP35-8053</t>
  </si>
  <si>
    <t>CSNSTORES,HDDS,KIRKLANDDS</t>
  </si>
  <si>
    <t>40639753-000-002</t>
  </si>
  <si>
    <t>ID12-1782</t>
  </si>
  <si>
    <t>Felicia</t>
  </si>
  <si>
    <t>Isabel</t>
  </si>
  <si>
    <t>Alyssa</t>
  </si>
  <si>
    <t>Velvet Duvet Cover Set with Throw Pillow</t>
  </si>
  <si>
    <t>PP001091;PF004575</t>
  </si>
  <si>
    <t>8/7/2019</t>
  </si>
  <si>
    <t>AMAZON,JCPENNEY01,MACY02,OLLIIX,TGTDVS</t>
  </si>
  <si>
    <t>33908184-000-000</t>
  </si>
  <si>
    <t>8/8/2019</t>
  </si>
  <si>
    <t>10/9/2019</t>
  </si>
  <si>
    <t>ID12-1971</t>
  </si>
  <si>
    <t>1/4/2021</t>
  </si>
  <si>
    <t>AMAZON,CSNSTORES,HDDS,JCPENNEY01,NRTPORT,TGTDVS,Zulily</t>
  </si>
  <si>
    <t>33908184-000-014</t>
  </si>
  <si>
    <t>1/10/2021</t>
  </si>
  <si>
    <t>ID12-2403</t>
  </si>
  <si>
    <t>PP001091;PF006267</t>
  </si>
  <si>
    <t>33908184-000-028</t>
  </si>
  <si>
    <t>ID12-2404</t>
  </si>
  <si>
    <t>33908184-000-029</t>
  </si>
  <si>
    <t>ID12-2405</t>
  </si>
  <si>
    <t>AMAZON,AMAZONDS,HDDS</t>
  </si>
  <si>
    <t>33908184-000-026</t>
  </si>
  <si>
    <t>ID12-2415</t>
  </si>
  <si>
    <t>PP001091;PF006269</t>
  </si>
  <si>
    <t>33908184-000-025</t>
  </si>
  <si>
    <t>ID10-2413</t>
  </si>
  <si>
    <t>Velvet Comforter Set with Throw Pillow</t>
  </si>
  <si>
    <t>AMAZON,HDDS,KOHLDSN,MACY02,TGTDVS</t>
  </si>
  <si>
    <t>32471150-000-022</t>
  </si>
  <si>
    <t>ID12-2416</t>
  </si>
  <si>
    <t>33908184-000-021</t>
  </si>
  <si>
    <t>ID12-2417</t>
  </si>
  <si>
    <t>33908184-000-022</t>
  </si>
  <si>
    <t>ID12-1793</t>
  </si>
  <si>
    <t>PP001091;PF004858</t>
  </si>
  <si>
    <t>33908184-000-004</t>
  </si>
  <si>
    <t>9/28/2019</t>
  </si>
  <si>
    <t>10/18/2019</t>
  </si>
  <si>
    <t>ID13-2142</t>
  </si>
  <si>
    <t>Velvet Quilt Set</t>
  </si>
  <si>
    <t>9/14/2022</t>
  </si>
  <si>
    <t>40487073-000-003</t>
  </si>
  <si>
    <t>9/22/2022</t>
  </si>
  <si>
    <t>12/15/2023</t>
  </si>
  <si>
    <t>ID12-1794</t>
  </si>
  <si>
    <t>AMAZON,AMAZONDS,AMERSIGNDS,BLK01,CSNSTORES,JCPENNEY01,KOHLDSN,MACY02,OLLIIX,TGTDVS,WALMARTDS</t>
  </si>
  <si>
    <t>33908184-000-005</t>
  </si>
  <si>
    <t>ID12-2409</t>
  </si>
  <si>
    <t>PP001091;PF006268</t>
  </si>
  <si>
    <t>33908184-000-027</t>
  </si>
  <si>
    <t>ID12-2411</t>
  </si>
  <si>
    <t>33908184-000-024</t>
  </si>
  <si>
    <t>ID12-1908</t>
  </si>
  <si>
    <t>PP001091;PF005084</t>
  </si>
  <si>
    <t>5/15/2020</t>
  </si>
  <si>
    <t>AMAZONDS,CSNSTORES,JCPENNEY01,KOHLDSN,TGTDVS,WALMARTDS</t>
  </si>
  <si>
    <t>33908184-000-009</t>
  </si>
  <si>
    <t>5/18/2020</t>
  </si>
  <si>
    <t>ID12-1977</t>
  </si>
  <si>
    <t>2/24/2021</t>
  </si>
  <si>
    <t>33908184-000-012</t>
  </si>
  <si>
    <t>3/8/2021</t>
  </si>
  <si>
    <t>II100-0494</t>
  </si>
  <si>
    <t>Ferguson</t>
  </si>
  <si>
    <t>Faux Leather Accent Chair</t>
  </si>
  <si>
    <t>40538796-000-000</t>
  </si>
  <si>
    <t>MT108-1186</t>
  </si>
  <si>
    <t>Fiona</t>
  </si>
  <si>
    <t>Upholstered Dining Chair with Turned Wood Legs Set of 2</t>
  </si>
  <si>
    <t>AMAZONDS,CSNSTORES,MACY02F,ZOLA</t>
  </si>
  <si>
    <t>40538393-000-000</t>
  </si>
  <si>
    <t>MP160-0181</t>
  </si>
  <si>
    <t>Fiore</t>
  </si>
  <si>
    <t>Sunburst Wall Decor Mirror 29.5"D</t>
  </si>
  <si>
    <t>29.5" Dia</t>
  </si>
  <si>
    <t>AMAZON,CSNSTORES,HOUZZ,KOHLDSN,MACY02,OLLIIX,ROOMECOM,TGTDVS</t>
  </si>
  <si>
    <t>25582543-000-000</t>
  </si>
  <si>
    <t>MP95F-0265</t>
  </si>
  <si>
    <t>PF005437</t>
  </si>
  <si>
    <t>AMAZON,CSNSTORES,DESINC,KOHLDSN,MACY02,ROOMECOM</t>
  </si>
  <si>
    <t>25582543-000-001</t>
  </si>
  <si>
    <t>5/7/2021</t>
  </si>
  <si>
    <t>ST54-0078</t>
  </si>
  <si>
    <t>Fleece to Sherpa</t>
  </si>
  <si>
    <t>Heated Throw</t>
  </si>
  <si>
    <t>2/16/2021</t>
  </si>
  <si>
    <t>37390080-000-003</t>
  </si>
  <si>
    <t>2/17/2021</t>
  </si>
  <si>
    <t>2/22/2021</t>
  </si>
  <si>
    <t>ST54-0134</t>
  </si>
  <si>
    <t>7/9/2021</t>
  </si>
  <si>
    <t>CSNSTORES,JCPENNEY01,WALMARTDS</t>
  </si>
  <si>
    <t>37425752-000-016</t>
  </si>
  <si>
    <t>11/1/2021</t>
  </si>
  <si>
    <t>ST54-0135</t>
  </si>
  <si>
    <t>CSNSTORES,FINGERHUTDS,JCPENNEY01,KOHLDSN</t>
  </si>
  <si>
    <t>37425752-000-019</t>
  </si>
  <si>
    <t>ST54-0136</t>
  </si>
  <si>
    <t>37425752-000-018</t>
  </si>
  <si>
    <t>8/18/2021</t>
  </si>
  <si>
    <t>ST54-0137</t>
  </si>
  <si>
    <t>37425752-000-021</t>
  </si>
  <si>
    <t>II30-549</t>
  </si>
  <si>
    <t>Fleur</t>
  </si>
  <si>
    <t>PF003356;PP000486</t>
  </si>
  <si>
    <t>Global Inspired|Mid-Century</t>
  </si>
  <si>
    <t>AMAZON,AMAZONDS,BEALLSDS,BLK01,JCPENNEY01,KOHLDSN,MACY02,OLLIIX</t>
  </si>
  <si>
    <t>17632913-000-000</t>
  </si>
  <si>
    <t>9/15/2015</t>
  </si>
  <si>
    <t>II153-0150</t>
  </si>
  <si>
    <t>Flinn</t>
  </si>
  <si>
    <t>23" Resin Table Lamp with Faux Wood Texture</t>
  </si>
  <si>
    <t>Natural Whitewash</t>
  </si>
  <si>
    <t>12/28/2023</t>
  </si>
  <si>
    <t>43356933-000-000</t>
  </si>
  <si>
    <t>CHM30-0014</t>
  </si>
  <si>
    <t>Florio</t>
  </si>
  <si>
    <t>Figurative</t>
  </si>
  <si>
    <t>42067837-000-000</t>
  </si>
  <si>
    <t>10/21/2023</t>
  </si>
  <si>
    <t>MT95C-0025</t>
  </si>
  <si>
    <t>Foggy Morning</t>
  </si>
  <si>
    <t>PP001444;PF005011</t>
  </si>
  <si>
    <t>AMAZONDS,CSNSTORES,KOHLDSN,OLLIIX,ZOLA</t>
  </si>
  <si>
    <t>35145515-000-000</t>
  </si>
  <si>
    <t>4/15/2020</t>
  </si>
  <si>
    <t>BR54-0858</t>
  </si>
  <si>
    <t>Foot-throw</t>
  </si>
  <si>
    <t>Throw with Foot Pocket 52"x62"</t>
  </si>
  <si>
    <t>50x62"</t>
  </si>
  <si>
    <t>PP001378;PF004898</t>
  </si>
  <si>
    <t>3/6/2018</t>
  </si>
  <si>
    <t>33834753-000-000</t>
  </si>
  <si>
    <t>7/19/2019</t>
  </si>
  <si>
    <t>10/30/2019</t>
  </si>
  <si>
    <t>BR54-0857</t>
  </si>
  <si>
    <t>PP001378;PF004897</t>
  </si>
  <si>
    <t>33834753-000-001</t>
  </si>
  <si>
    <t>TN51-0485</t>
  </si>
  <si>
    <t>Four Seasons</t>
  </si>
  <si>
    <t>Goose Feather and Down Filling All Seasons Blanket</t>
  </si>
  <si>
    <t>PP001805;PF005798</t>
  </si>
  <si>
    <t>AMAZONDS,CSNSTORES,DESINC,JCPENNEY01,KOHLDSN,MACY02,TGTDVS,Zulily</t>
  </si>
  <si>
    <t>40804195-000-000</t>
  </si>
  <si>
    <t>11/30/2022</t>
  </si>
  <si>
    <t>7/25/2023</t>
  </si>
  <si>
    <t>TN51-0486</t>
  </si>
  <si>
    <t>AMAZONDS,CSNSTORES,DESINC,JCPENNEY01,KOHLDSN,MACY02,OLLIIX,TGTDVS,Zulily</t>
  </si>
  <si>
    <t>40804195-000-001</t>
  </si>
  <si>
    <t>MP35-8033</t>
  </si>
  <si>
    <t>Frances</t>
  </si>
  <si>
    <t>Molly</t>
  </si>
  <si>
    <t>Sarah</t>
  </si>
  <si>
    <t>Medallion Woven Area Rug</t>
  </si>
  <si>
    <t>PP001793;PF005779</t>
  </si>
  <si>
    <t>8/29/2022</t>
  </si>
  <si>
    <t>40580533-000-001</t>
  </si>
  <si>
    <t>5/1/2024</t>
  </si>
  <si>
    <t>II112-0520</t>
  </si>
  <si>
    <t>DINING BENCH</t>
  </si>
  <si>
    <t>Dining Bench</t>
  </si>
  <si>
    <t>Frank</t>
  </si>
  <si>
    <t>41775304-000-000</t>
  </si>
  <si>
    <t>6/19/2023</t>
  </si>
  <si>
    <t>II108-0521</t>
  </si>
  <si>
    <t>Upholstered Dining Chair (Set of 2)</t>
  </si>
  <si>
    <t>6/28/2023</t>
  </si>
  <si>
    <t>41917134-000-000</t>
  </si>
  <si>
    <t>9/20/2023</t>
  </si>
  <si>
    <t>MP13-8154</t>
  </si>
  <si>
    <t>Franklin</t>
  </si>
  <si>
    <t>Cameron</t>
  </si>
  <si>
    <t>3 Piece Crinkled Microfiber Quilt Set</t>
  </si>
  <si>
    <t>PP001837;PF005892</t>
  </si>
  <si>
    <t>AMAZON,CSNSTORES,HDDS,JCPENNEY01,KOHLDSN,MACY02,OLLIIX,TGTDVS</t>
  </si>
  <si>
    <t>40888728-000-003</t>
  </si>
  <si>
    <t>12/16/2022</t>
  </si>
  <si>
    <t>3/14/2023</t>
  </si>
  <si>
    <t>MP10-8466</t>
  </si>
  <si>
    <t>Fraser</t>
  </si>
  <si>
    <t>Joshua</t>
  </si>
  <si>
    <t>5 Piece Printed Seersucker Comforter Set with Throw Pillows</t>
  </si>
  <si>
    <t>Ivory/Black</t>
  </si>
  <si>
    <t>PP001818;PF006291</t>
  </si>
  <si>
    <t>5/18/2024</t>
  </si>
  <si>
    <t>42123973-000-002</t>
  </si>
  <si>
    <t>MP13-8468</t>
  </si>
  <si>
    <t>3 Piece Printed Microfiber Seersucker Quilt Set</t>
  </si>
  <si>
    <t>Casual|Farm House</t>
  </si>
  <si>
    <t>40710813-000-002</t>
  </si>
  <si>
    <t>MP10-8467</t>
  </si>
  <si>
    <t>42123973-000-003</t>
  </si>
  <si>
    <t>II104-0030</t>
  </si>
  <si>
    <t>Frazier</t>
  </si>
  <si>
    <t>Counter stool/Barstool (adjustable height)</t>
  </si>
  <si>
    <t>PF000847;PP000029</t>
  </si>
  <si>
    <t>9/19/2024</t>
  </si>
  <si>
    <t>CSNSTORES,HDDS,HOUZZ,OLLIIX,ROOMECOM</t>
  </si>
  <si>
    <t>20676519-000-000</t>
  </si>
  <si>
    <t>1/10/2017</t>
  </si>
  <si>
    <t>2/27/2017</t>
  </si>
  <si>
    <t>II104-0378</t>
  </si>
  <si>
    <t>Counter Stool 24" With Back</t>
  </si>
  <si>
    <t>8/6/2018</t>
  </si>
  <si>
    <t>CSNSTORES,KOHLDSN,OLLIIX,ROOMECOM</t>
  </si>
  <si>
    <t>28618025-000-000</t>
  </si>
  <si>
    <t>10/9/2018</t>
  </si>
  <si>
    <t>II100-0031</t>
  </si>
  <si>
    <t>Dining Chair(Set of 2)</t>
  </si>
  <si>
    <t>PF000832;PP000029</t>
  </si>
  <si>
    <t>4/7/2017</t>
  </si>
  <si>
    <t>20665645-000-000</t>
  </si>
  <si>
    <t>FPF18-0493</t>
  </si>
  <si>
    <t>Fremont</t>
  </si>
  <si>
    <t>Emery</t>
  </si>
  <si>
    <t>Barrel Arm Chair</t>
  </si>
  <si>
    <t>PF000745;PP000161</t>
  </si>
  <si>
    <t>AMAZONDS,CASTLEGATE,CSNSTORES,OLLIIX</t>
  </si>
  <si>
    <t>18344493-000-000</t>
  </si>
  <si>
    <t>MT95C-0005</t>
  </si>
  <si>
    <t>French Herbarium</t>
  </si>
  <si>
    <t>2-piece Framed Canvas Wall Art Set</t>
  </si>
  <si>
    <t>AMAZON,ASHFURNDS,CSNSTORES,JCPENNEY01,KIRKLANDDS,KOHLDSN,OLLIIX,ROOMECOM,TGTDVS,ZOLA,Zulily</t>
  </si>
  <si>
    <t>34135488-000-000</t>
  </si>
  <si>
    <t>8/27/2019</t>
  </si>
  <si>
    <t>MP51N-8382</t>
  </si>
  <si>
    <t>Freshspun Basketweave</t>
  </si>
  <si>
    <t>Cotton Blanket</t>
  </si>
  <si>
    <t>PP001933;PF006166</t>
  </si>
  <si>
    <t>18986578-000-026</t>
  </si>
  <si>
    <t>MP51N-8384</t>
  </si>
  <si>
    <t>AMAZON,CSNSTORES,KOHLDSN,MACY02,OLLIIX,TGTDVS</t>
  </si>
  <si>
    <t>18986578-000-024</t>
  </si>
  <si>
    <t>BL51N-0866</t>
  </si>
  <si>
    <t>PF003485</t>
  </si>
  <si>
    <t>AMAZON,AMAZONDS,BEALLSDS,BLK01,CSNSTORES,KOHLDSN,MACY02,TGTDVS,WALMARTDS</t>
  </si>
  <si>
    <t>18986578-000-021</t>
  </si>
  <si>
    <t>8/2/2016</t>
  </si>
  <si>
    <t>BL51N-0868</t>
  </si>
  <si>
    <t>AMAZON,AMAZONDS,BLK01,CSNSTORES,HSNDS,KOHLDSN,MACY02,OLLIIX,TGTDVS,WALMARTDS</t>
  </si>
  <si>
    <t>18986578-000-023</t>
  </si>
  <si>
    <t>7/26/2016</t>
  </si>
  <si>
    <t>FB153-1155</t>
  </si>
  <si>
    <t>Fulton</t>
  </si>
  <si>
    <t>Concrete Table Lamp</t>
  </si>
  <si>
    <t>Black/Grey</t>
  </si>
  <si>
    <t>1/27/2021</t>
  </si>
  <si>
    <t>AMERSIGNDS,ASHFURNDS,CSNSTORES</t>
  </si>
  <si>
    <t>24339016-000-001</t>
  </si>
  <si>
    <t>3/17/2021</t>
  </si>
  <si>
    <t>3/22/2021</t>
  </si>
  <si>
    <t>MP40-7870</t>
  </si>
  <si>
    <t>Galen</t>
  </si>
  <si>
    <t>Colm</t>
  </si>
  <si>
    <t>Paxton</t>
  </si>
  <si>
    <t>Basketweave Room Darkening Cordless Roman Shade</t>
  </si>
  <si>
    <t>23x64"</t>
  </si>
  <si>
    <t>PP001307;PF005661</t>
  </si>
  <si>
    <t>3/21/2022</t>
  </si>
  <si>
    <t>AMAZONDS,CSNSTORES,HDDS,JCPENNEY01,MACY02</t>
  </si>
  <si>
    <t>34381036-000-031</t>
  </si>
  <si>
    <t>MP40-7871</t>
  </si>
  <si>
    <t>29x64"</t>
  </si>
  <si>
    <t>AMAZONDS,CSNSTORES,KOHLDSN</t>
  </si>
  <si>
    <t>34381036-000-032</t>
  </si>
  <si>
    <t>MP40-7320</t>
  </si>
  <si>
    <t>AMAZON,AMAZONDS,ASHFURNDS,CSNSTORES,HDDS,TGTDVS</t>
  </si>
  <si>
    <t>34381036-000-021</t>
  </si>
  <si>
    <t>1/8/2021</t>
  </si>
  <si>
    <t>MP40-7321</t>
  </si>
  <si>
    <t>34381036-000-020</t>
  </si>
  <si>
    <t>1/12/2021</t>
  </si>
  <si>
    <t>MP40-8089</t>
  </si>
  <si>
    <t>12/14/2022</t>
  </si>
  <si>
    <t>AMAZON,CSNSTORES,MACY02</t>
  </si>
  <si>
    <t>34381036-000-044</t>
  </si>
  <si>
    <t>MP40-7749</t>
  </si>
  <si>
    <t>PP001307;PF004746</t>
  </si>
  <si>
    <t>11/23/2021</t>
  </si>
  <si>
    <t>AMAZON,BLK01,CASTLEGATE,CSNSTORES,HDDS,JCPENNEY01,KOHLDSN,OLLIIX,Zulily</t>
  </si>
  <si>
    <t>34381036-000-030</t>
  </si>
  <si>
    <t>1/4/2022</t>
  </si>
  <si>
    <t>MP40-6552</t>
  </si>
  <si>
    <t>9/16/2019</t>
  </si>
  <si>
    <t>AMAZON,AMAZONDS,BIGLOTSDS,CSNSTORES,HDDS,JCPENNEY01,TGTDVS,WALMARTDS</t>
  </si>
  <si>
    <t>34381036-000-003</t>
  </si>
  <si>
    <t>9/18/2019</t>
  </si>
  <si>
    <t>9/23/2019</t>
  </si>
  <si>
    <t>MP40-7195</t>
  </si>
  <si>
    <t>AMAZON,AMAZONDS,BIGLOTSDS,CSNSTORES,HDDS,JCPENNEY01,KOHLDSN,TGTDVS</t>
  </si>
  <si>
    <t>34381036-000-009</t>
  </si>
  <si>
    <t>7/10/2020</t>
  </si>
  <si>
    <t>MP40-7989</t>
  </si>
  <si>
    <t>Basketweave Total Blackout Roman Shade</t>
  </si>
  <si>
    <t>27x64" Blackout</t>
  </si>
  <si>
    <t>AMAZONDS,CSNSTORES,HDDS,KOHLDSN,NRTPORT</t>
  </si>
  <si>
    <t>40328911-000-002</t>
  </si>
  <si>
    <t>MP40-7990</t>
  </si>
  <si>
    <t>31x64" Blackout</t>
  </si>
  <si>
    <t>40328911-000-001</t>
  </si>
  <si>
    <t>6/29/2023</t>
  </si>
  <si>
    <t>MP40-7922</t>
  </si>
  <si>
    <t>Basketweave Room Darkening Curtain Panel Pair</t>
  </si>
  <si>
    <t>2-PK 40x84"</t>
  </si>
  <si>
    <t>PP001307;PF004745</t>
  </si>
  <si>
    <t>AMAZONDS,CSNSTORES,DESINC,JCPENNEY01,KIRKLANDDS,KOHLDSN,OLLIIX</t>
  </si>
  <si>
    <t>40253096-000-000</t>
  </si>
  <si>
    <t>8/11/2022</t>
  </si>
  <si>
    <t>10/10/2022</t>
  </si>
  <si>
    <t>MP40-6547</t>
  </si>
  <si>
    <t>AMAZON,AMAZONDS,ASHFURNDS,CSNSTORES,HDDS,JCPENNEY01,KOHLDSN,OLLIIX,TGTDVS</t>
  </si>
  <si>
    <t>34381036-000-006</t>
  </si>
  <si>
    <t>MP40-7322</t>
  </si>
  <si>
    <t>PP001307;PF005660</t>
  </si>
  <si>
    <t>34381036-000-019</t>
  </si>
  <si>
    <t>MP40-7868</t>
  </si>
  <si>
    <t>AMAZONDS,BRANDX,CSNSTORES,HDDS,JCPENNEY01,KOHLDSN,OLLIIX</t>
  </si>
  <si>
    <t>34381036-000-035</t>
  </si>
  <si>
    <t>4/12/2022</t>
  </si>
  <si>
    <t>MP40-7324</t>
  </si>
  <si>
    <t>AMAZON,BLK01,CSNSTORES,HDDS,JCPENNEY01,KOHLDSN,OLLIIX,TGTDVS</t>
  </si>
  <si>
    <t>34381036-000-024</t>
  </si>
  <si>
    <t>2/2/2021</t>
  </si>
  <si>
    <t>MP40-7924</t>
  </si>
  <si>
    <t>PP001307;PF005195</t>
  </si>
  <si>
    <t>CSNSTORES,DESINC,JCPENNEY01,KIRKLANDDS,KOHLDSN</t>
  </si>
  <si>
    <t>40253096-000-004</t>
  </si>
  <si>
    <t>MP40-7224</t>
  </si>
  <si>
    <t>9/2/2020</t>
  </si>
  <si>
    <t>AMAZON,CSNSTORES,HDDS,JCPENNEY01,KOHLDSN,TGTDVS</t>
  </si>
  <si>
    <t>34381036-000-010</t>
  </si>
  <si>
    <t>9/1/2020</t>
  </si>
  <si>
    <t>MP40-7986</t>
  </si>
  <si>
    <t>40328911-000-007</t>
  </si>
  <si>
    <t>MP40-7987</t>
  </si>
  <si>
    <t>40328911-000-008</t>
  </si>
  <si>
    <t>3/29/2023</t>
  </si>
  <si>
    <t>MP40-7988</t>
  </si>
  <si>
    <t>35x64" Blackout</t>
  </si>
  <si>
    <t>AMAZONDS,CSNSTORES,HDDS,JCPENNEY01,KOHLDSN,NRTPORT</t>
  </si>
  <si>
    <t>40328911-000-006</t>
  </si>
  <si>
    <t>4/17/2023</t>
  </si>
  <si>
    <t>FPF20-0278</t>
  </si>
  <si>
    <t>Garbo</t>
  </si>
  <si>
    <t>Sydney</t>
  </si>
  <si>
    <t>London</t>
  </si>
  <si>
    <t>Captains Dining Chair</t>
  </si>
  <si>
    <t>PF000776;PP000163</t>
  </si>
  <si>
    <t>CSNSTORES,JCPENNEY01,KOHLDSN,MACY02F</t>
  </si>
  <si>
    <t>17681036-000-000</t>
  </si>
  <si>
    <t>FPF20-0281</t>
  </si>
  <si>
    <t>PF000779;PP000163</t>
  </si>
  <si>
    <t>CASTLEGATE,CSNSTORES,KOHLDSN,MACY02F</t>
  </si>
  <si>
    <t>17681033-000-000</t>
  </si>
  <si>
    <t>5/19/2016</t>
  </si>
  <si>
    <t>FPF20-0279</t>
  </si>
  <si>
    <t>PF000777;PP000163</t>
  </si>
  <si>
    <t>CASTLEGATE,CSNSTORES,OLLIIX</t>
  </si>
  <si>
    <t>17681035-000-000</t>
  </si>
  <si>
    <t>11/30/2015</t>
  </si>
  <si>
    <t>II150-0131</t>
  </si>
  <si>
    <t>Gardham</t>
  </si>
  <si>
    <t>8-Light Sputnik Sphere Chandelier</t>
  </si>
  <si>
    <t>40565600-000-000</t>
  </si>
  <si>
    <t>MP100-1188</t>
  </si>
  <si>
    <t>Gavin</t>
  </si>
  <si>
    <t>Raiston</t>
  </si>
  <si>
    <t>Faux Leather Channel Accent Armchair</t>
  </si>
  <si>
    <t>ASHFURNDS,OLLIIX</t>
  </si>
  <si>
    <t>40536421-000-000</t>
  </si>
  <si>
    <t>CCA13-0009</t>
  </si>
  <si>
    <t>Gema</t>
  </si>
  <si>
    <t>3 Piece Grey Coverlet Set</t>
  </si>
  <si>
    <t>42041895-000-002</t>
  </si>
  <si>
    <t>7/28/2023</t>
  </si>
  <si>
    <t>2/5/2024</t>
  </si>
  <si>
    <t>CCA13-0010</t>
  </si>
  <si>
    <t>CSNSTORES,DLCROSCILL,JCPENNEY01,MACY02,OLLIIX</t>
  </si>
  <si>
    <t>42041895-000-000</t>
  </si>
  <si>
    <t>CCA11-0012</t>
  </si>
  <si>
    <t>42067027-000-000</t>
  </si>
  <si>
    <t>12/6/2023</t>
  </si>
  <si>
    <t>CCA13-0007</t>
  </si>
  <si>
    <t>3 Piece White Coverlet Set</t>
  </si>
  <si>
    <t>Soft White</t>
  </si>
  <si>
    <t>42041895-000-003</t>
  </si>
  <si>
    <t>9/25/2023</t>
  </si>
  <si>
    <t>CCA11-0011</t>
  </si>
  <si>
    <t>42067027-000-001</t>
  </si>
  <si>
    <t>MP12-8285</t>
  </si>
  <si>
    <t>Gemma</t>
  </si>
  <si>
    <t>Ada</t>
  </si>
  <si>
    <t>3 Piece Floral Duvet Cover Set</t>
  </si>
  <si>
    <t>White/Multi</t>
  </si>
  <si>
    <t>PF006061;PP001899</t>
  </si>
  <si>
    <t>42820354-000-001</t>
  </si>
  <si>
    <t>MP10-282</t>
  </si>
  <si>
    <t>Genevieve</t>
  </si>
  <si>
    <t>PF002435</t>
  </si>
  <si>
    <t>AMAZON,AMAZONDS,BIGLOTSDS,BLK01,CSNSTORES,DESINC,JCPENNEY01,KOHLDSN,MACY02,NRTPORT,TGTDVS</t>
  </si>
  <si>
    <t>14607141-000-002</t>
  </si>
  <si>
    <t>1/6/2015</t>
  </si>
  <si>
    <t>PET63PT6028</t>
  </si>
  <si>
    <t>Geo</t>
  </si>
  <si>
    <t>Pet Throw</t>
  </si>
  <si>
    <t>Navy/Grey</t>
  </si>
  <si>
    <t>4/14/2023</t>
  </si>
  <si>
    <t>43822302-000-000</t>
  </si>
  <si>
    <t>MP10-8544</t>
  </si>
  <si>
    <t>Gia</t>
  </si>
  <si>
    <t>Margot</t>
  </si>
  <si>
    <t>Solid Faux Fur Comforter Mini Set</t>
  </si>
  <si>
    <t>PP001110;PF006430</t>
  </si>
  <si>
    <t>MP10-8545</t>
  </si>
  <si>
    <t>MP10-8546</t>
  </si>
  <si>
    <t>MP10-8541</t>
  </si>
  <si>
    <t>PP001110;PF006429</t>
  </si>
  <si>
    <t>MP10-8542</t>
  </si>
  <si>
    <t>MP10-8543</t>
  </si>
  <si>
    <t>UH95C-0002</t>
  </si>
  <si>
    <t>Gilded Feathers</t>
  </si>
  <si>
    <t>Gold Foil 2-piece Canvas Wall Art Set</t>
  </si>
  <si>
    <t>PF001877</t>
  </si>
  <si>
    <t>AMAZON,AMAZONDS,BLK01,CSNSTORES,KIRKLANDDS,LAMPDS,OLLIIX,TGTDVS</t>
  </si>
  <si>
    <t>19507335-000-000</t>
  </si>
  <si>
    <t>9/14/2016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</si>
  <si>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</si>
  <si>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</si>
  <si>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</si>
  <si>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</si>
  <si>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</si>
  <si>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</si>
  <si>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AMAZON,AMERSIGNDS,BLK01,CSNSTORES,JCPENNEY01,KIRKLANDDS,KOHLDSN,OLLIIX,ROOMECOM,Zulily</t>
  </si>
  <si>
    <t>35286971-000-000</t>
  </si>
  <si>
    <t>12/10/2019</t>
  </si>
  <si>
    <t>1/28/2020</t>
  </si>
  <si>
    <t>MT95G-0087</t>
  </si>
  <si>
    <t>Gilded Trio</t>
  </si>
  <si>
    <t>Gold Metallic Leaf Square Framed Graphic Wall Decor 3-Piece Set</t>
  </si>
  <si>
    <t>2/7/2024</t>
  </si>
  <si>
    <t>AMAZON,KIRKLANDDS,LAMPDS,TGTDVS</t>
  </si>
  <si>
    <t>43651870-000-000</t>
  </si>
  <si>
    <t>3/3/2024</t>
  </si>
  <si>
    <t>MP104-1173</t>
  </si>
  <si>
    <t>Glenwood</t>
  </si>
  <si>
    <t>Crimson</t>
  </si>
  <si>
    <t>Farwell</t>
  </si>
  <si>
    <t>Swivel Counter Stool</t>
  </si>
  <si>
    <t>2/22/2022</t>
  </si>
  <si>
    <t>32687505-000-001</t>
  </si>
  <si>
    <t>3/8/2022</t>
  </si>
  <si>
    <t>MP95C-0268</t>
  </si>
  <si>
    <t>Glimmer</t>
  </si>
  <si>
    <t>Heavily Embellished 2-piece Canvas Wall Art Set</t>
  </si>
  <si>
    <t>2-Piece</t>
  </si>
  <si>
    <t>PF005465</t>
  </si>
  <si>
    <t>AMAZON,AMAZONDS,AMERSIGNDS,BLK01,CSNSTORES,JCPENNEY01,KIRKLANDDS,KOHLDSN,MACY02,OLLIIX,ROOMECOM,TGTDVS</t>
  </si>
  <si>
    <t>30876297-000-001</t>
  </si>
  <si>
    <t>4/28/2021</t>
  </si>
  <si>
    <t>MP35-7562</t>
  </si>
  <si>
    <t>Grace</t>
  </si>
  <si>
    <t>Kathryn</t>
  </si>
  <si>
    <t>Aimee</t>
  </si>
  <si>
    <t>Abstract Wave Area Rug</t>
  </si>
  <si>
    <t>9/16/2021</t>
  </si>
  <si>
    <t>BIGLOTSDS,HDDS,JCPENNEY01,OLLIIX</t>
  </si>
  <si>
    <t>38878885-000-000</t>
  </si>
  <si>
    <t>MP35-7564</t>
  </si>
  <si>
    <t>BIGLOTSDS,CSNSTORES,OLLIIX</t>
  </si>
  <si>
    <t>38878885-000-001</t>
  </si>
  <si>
    <t>10/25/2021</t>
  </si>
  <si>
    <t>MP35-7563</t>
  </si>
  <si>
    <t>BIGLOTSDS,CSNSTORES,JCPENNEY01,OLLIIX</t>
  </si>
  <si>
    <t>38878885-000-002</t>
  </si>
  <si>
    <t>MP70-3651</t>
  </si>
  <si>
    <t>Hope</t>
  </si>
  <si>
    <t>Ruffled Shower Curtain</t>
  </si>
  <si>
    <t>6/13/2017</t>
  </si>
  <si>
    <t>AMAZONDS,DESINC,OLLIIX,TGTDVS</t>
  </si>
  <si>
    <t>19615290-000-000</t>
  </si>
  <si>
    <t>MP100-1157</t>
  </si>
  <si>
    <t>Grafton</t>
  </si>
  <si>
    <t>Rile</t>
  </si>
  <si>
    <t>Nettie</t>
  </si>
  <si>
    <t>Upholstered Armless Accent Lounge chair</t>
  </si>
  <si>
    <t>40149798-000-000</t>
  </si>
  <si>
    <t>7/13/2022</t>
  </si>
  <si>
    <t>DLFBA40-0006</t>
  </si>
  <si>
    <t>Grasscloth</t>
  </si>
  <si>
    <t>Foam Back Panel Pair</t>
  </si>
  <si>
    <t>40x95"</t>
  </si>
  <si>
    <t>43972757-000-000</t>
  </si>
  <si>
    <t>5/19/2024</t>
  </si>
  <si>
    <t>CS40-0702</t>
  </si>
  <si>
    <t>40x84"</t>
  </si>
  <si>
    <t>43972757-000-001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</si>
  <si>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</si>
  <si>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</si>
  <si>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</si>
  <si>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</si>
  <si>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</si>
  <si>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</si>
  <si>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2/4/2021</t>
  </si>
  <si>
    <t>AMERSIGNDS,BLK01,CSNSTORES,HDDS,KIRKLANDDS,LAMPDS,MACY02F,OLLIIX,TGTDVS</t>
  </si>
  <si>
    <t>37346528-000-000</t>
  </si>
  <si>
    <t>UH95C-0020</t>
  </si>
  <si>
    <t>Grey Rock Garden</t>
  </si>
  <si>
    <t>Gel Coat Framed Canvas 2 Piece Set</t>
  </si>
  <si>
    <t>PP000611</t>
  </si>
  <si>
    <t>CSNSTORES,KOHLDSN,OLLIIX,TGTDVS</t>
  </si>
  <si>
    <t>25582616-000-000</t>
  </si>
  <si>
    <t>7/11/2018</t>
  </si>
  <si>
    <t>MP95C-0330</t>
  </si>
  <si>
    <t>Grumpy Cats</t>
  </si>
  <si>
    <t>I Don't Care Canvas Wall Art</t>
  </si>
  <si>
    <t>I Don't Care/Multi</t>
  </si>
  <si>
    <t>1/6/2024</t>
  </si>
  <si>
    <t>43440164-000-005</t>
  </si>
  <si>
    <t>MP95C-0335</t>
  </si>
  <si>
    <t>I'm Not Listening Canvas Wall Art</t>
  </si>
  <si>
    <t>I'm Not Listening/Multi</t>
  </si>
  <si>
    <t>43440164-000-006</t>
  </si>
  <si>
    <t>MP95C-0332</t>
  </si>
  <si>
    <t>I'm Not Your Therapist Canvas Wall Art</t>
  </si>
  <si>
    <t>I'm Not Your Therapist/Multi</t>
  </si>
  <si>
    <t>43440164-000-000</t>
  </si>
  <si>
    <t>MP95C-0331</t>
  </si>
  <si>
    <t>My House, My Rules Canvas Wall Art</t>
  </si>
  <si>
    <t>My House, My Rules/Multi</t>
  </si>
  <si>
    <t>43440164-000-003</t>
  </si>
  <si>
    <t>MP95C-0329</t>
  </si>
  <si>
    <t>Not Today Canvas Wall Art</t>
  </si>
  <si>
    <t>Not Today/Multi</t>
  </si>
  <si>
    <t>43440164-000-004</t>
  </si>
  <si>
    <t>MP95C-0334</t>
  </si>
  <si>
    <t>Whatever Canvas Wall Art</t>
  </si>
  <si>
    <t>Whatever/Multi</t>
  </si>
  <si>
    <t>43440164-000-002</t>
  </si>
  <si>
    <t>MP95C-0333</t>
  </si>
  <si>
    <t>You Wish Canvas Wall Art</t>
  </si>
  <si>
    <t>You Wish/Multi</t>
  </si>
  <si>
    <t>43440164-000-001</t>
  </si>
  <si>
    <t>BR13-3873</t>
  </si>
  <si>
    <t>Guthrie</t>
  </si>
  <si>
    <t>3 Piece Striated Cationic Dyed Oversized Quilt Set</t>
  </si>
  <si>
    <t>PP001829;PF005871</t>
  </si>
  <si>
    <t>CSNSTORES,JCPENNEY01,KOHLDSN,MACY02,OLLIIX,TGTDVS,ZOLA</t>
  </si>
  <si>
    <t>40849411-000-003</t>
  </si>
  <si>
    <t>BR13-3874</t>
  </si>
  <si>
    <t>PP001829;PF005872</t>
  </si>
  <si>
    <t>40849411-000-002</t>
  </si>
  <si>
    <t>5/21/2023</t>
  </si>
  <si>
    <t>ID10-2330</t>
  </si>
  <si>
    <t>Gwen</t>
  </si>
  <si>
    <t>Brynn</t>
  </si>
  <si>
    <t>Mina</t>
  </si>
  <si>
    <t>Mushroom Garden Comforter Set</t>
  </si>
  <si>
    <t>PF006202</t>
  </si>
  <si>
    <t>3/26/2024</t>
  </si>
  <si>
    <t>43791772-000-001</t>
  </si>
  <si>
    <t>4/9/2024</t>
  </si>
  <si>
    <t>ID10-2331</t>
  </si>
  <si>
    <t>43791772-000-000</t>
  </si>
  <si>
    <t>4/11/2024</t>
  </si>
  <si>
    <t>TN50-0482</t>
  </si>
  <si>
    <t>Hadly</t>
  </si>
  <si>
    <t>Wearable Multipurpose Throw</t>
  </si>
  <si>
    <t>62x68"</t>
  </si>
  <si>
    <t>PP001804;PF005795</t>
  </si>
  <si>
    <t>AMAZONDS,MACY02,TGTDVS</t>
  </si>
  <si>
    <t>40804224-000-002</t>
  </si>
  <si>
    <t>12/26/2022</t>
  </si>
  <si>
    <t>TN50-0483</t>
  </si>
  <si>
    <t>PP001804;PF005796</t>
  </si>
  <si>
    <t>AMAZON,AMAZONDS,CSNSTORES,MACY02,OLLIIX,TGTDVS</t>
  </si>
  <si>
    <t>40804224-000-001</t>
  </si>
  <si>
    <t>TN50-0484</t>
  </si>
  <si>
    <t>PP001804;PF005797</t>
  </si>
  <si>
    <t>AMAZONDS,OLLIIX</t>
  </si>
  <si>
    <t>40804224-000-000</t>
  </si>
  <si>
    <t>MP35-7591</t>
  </si>
  <si>
    <t>Haley</t>
  </si>
  <si>
    <t>Alexandria</t>
  </si>
  <si>
    <t>Emily</t>
  </si>
  <si>
    <t>Cozy Shag Abstract Area Rug</t>
  </si>
  <si>
    <t>Grey/Cream</t>
  </si>
  <si>
    <t>38754848-000-001</t>
  </si>
  <si>
    <t>MP35-7592</t>
  </si>
  <si>
    <t>CSNSTORES,HDDS,JCPENNEY01</t>
  </si>
  <si>
    <t>38754848-000-003</t>
  </si>
  <si>
    <t>2/7/2022</t>
  </si>
  <si>
    <t>MP35-7590</t>
  </si>
  <si>
    <t>Runner</t>
  </si>
  <si>
    <t>38754848-000-000</t>
  </si>
  <si>
    <t>2/16/2023</t>
  </si>
  <si>
    <t>HH12-1687</t>
  </si>
  <si>
    <t>Hallie</t>
  </si>
  <si>
    <t>5 Piece Cotton Duvet Cover Set</t>
  </si>
  <si>
    <t>PF004246</t>
  </si>
  <si>
    <t>12/14/2017</t>
  </si>
  <si>
    <t>26568013-000-001</t>
  </si>
  <si>
    <t>3/29/2018</t>
  </si>
  <si>
    <t>6/25/2018</t>
  </si>
  <si>
    <t>NS30-3254</t>
  </si>
  <si>
    <t>Hanae</t>
  </si>
  <si>
    <t>Embroidered Cotton Oblong Decorative Pillow</t>
  </si>
  <si>
    <t>PP000991</t>
  </si>
  <si>
    <t>9/30/2018</t>
  </si>
  <si>
    <t>AMAZONDS,BLK01,CSNSTORES,KOHLDSN,MACY02,OLLIIX</t>
  </si>
  <si>
    <t>29058473-000-000</t>
  </si>
  <si>
    <t>5/28/2019</t>
  </si>
  <si>
    <t>MP130-0945</t>
  </si>
  <si>
    <t>Hanley</t>
  </si>
  <si>
    <t>Eddy</t>
  </si>
  <si>
    <t>Folsom</t>
  </si>
  <si>
    <t>2 Doors Accent Cabinet</t>
  </si>
  <si>
    <t>1/31/2020</t>
  </si>
  <si>
    <t>AMERSIGNDS,ASHFURNDS,CASTLEGATE,CSNSTORES,HOUZZ,KIRKLANDDS,OLLIIX</t>
  </si>
  <si>
    <t>35717454-000-000</t>
  </si>
  <si>
    <t>3/6/2020</t>
  </si>
  <si>
    <t>MP35-7577</t>
  </si>
  <si>
    <t>Jessica</t>
  </si>
  <si>
    <t>Moroccan Global Woven Area Rug</t>
  </si>
  <si>
    <t>38658555-000-003</t>
  </si>
  <si>
    <t>MP35-7578</t>
  </si>
  <si>
    <t>38658555-000-001</t>
  </si>
  <si>
    <t>MP35-7579</t>
  </si>
  <si>
    <t>CSNSTORES,HOUZZ,JCPENNEY01,KIRKLANDDS,NRTPORT</t>
  </si>
  <si>
    <t>38658555-000-002</t>
  </si>
  <si>
    <t>2/8/2024</t>
  </si>
  <si>
    <t>MP35-8018</t>
  </si>
  <si>
    <t>PF005776;PP001793</t>
  </si>
  <si>
    <t>38658555-000-007</t>
  </si>
  <si>
    <t>6/17/2024</t>
  </si>
  <si>
    <t>MP35-8020</t>
  </si>
  <si>
    <t>38658555-000-005</t>
  </si>
  <si>
    <t>MP35-8021</t>
  </si>
  <si>
    <t>38658555-000-006</t>
  </si>
  <si>
    <t>MP35-8022</t>
  </si>
  <si>
    <t>CSNSTORES,KIRKLANDDS,KOHLDSN</t>
  </si>
  <si>
    <t>38658555-000-012</t>
  </si>
  <si>
    <t>MP35-7582</t>
  </si>
  <si>
    <t>Harley</t>
  </si>
  <si>
    <t>Marie</t>
  </si>
  <si>
    <t>Keighley</t>
  </si>
  <si>
    <t>Abstract Area Rug</t>
  </si>
  <si>
    <t>38665291-000-004</t>
  </si>
  <si>
    <t>8/10/2021</t>
  </si>
  <si>
    <t>MP35-7583</t>
  </si>
  <si>
    <t>38665291-000-000</t>
  </si>
  <si>
    <t>5/7/2023</t>
  </si>
  <si>
    <t>MP13-8307</t>
  </si>
  <si>
    <t>Harlow</t>
  </si>
  <si>
    <t>Raine</t>
  </si>
  <si>
    <t>Lux</t>
  </si>
  <si>
    <t>3 Piece Reversible Matelasse Coverlet Set</t>
  </si>
  <si>
    <t>PP001908;PF006089</t>
  </si>
  <si>
    <t>42825150-000-003</t>
  </si>
  <si>
    <t>MP13-8308</t>
  </si>
  <si>
    <t>42825150-000-002</t>
  </si>
  <si>
    <t>MP13-8309</t>
  </si>
  <si>
    <t>PP001908;PF006090</t>
  </si>
  <si>
    <t>10/26/2023</t>
  </si>
  <si>
    <t>42825150-000-001</t>
  </si>
  <si>
    <t>MP13-8310</t>
  </si>
  <si>
    <t>42825150-000-000</t>
  </si>
  <si>
    <t>MP40-4526</t>
  </si>
  <si>
    <t>Harper</t>
  </si>
  <si>
    <t>Kaylee</t>
  </si>
  <si>
    <t>Avery</t>
  </si>
  <si>
    <t>Solid Crushed Curtain Panel Pair</t>
  </si>
  <si>
    <t>42x95"</t>
  </si>
  <si>
    <t>PF003909</t>
  </si>
  <si>
    <t>7/14/2017</t>
  </si>
  <si>
    <t>AMAZON,ASHFURNDS,CSNSTORES,DESINC,JCPENNEY01,KOHLDSN,TGTDVS</t>
  </si>
  <si>
    <t>23304113-000-022</t>
  </si>
  <si>
    <t>7/28/2017</t>
  </si>
  <si>
    <t>9/25/2017</t>
  </si>
  <si>
    <t>MP40-4485</t>
  </si>
  <si>
    <t>PF003910</t>
  </si>
  <si>
    <t>AMAZON,AMAZONDS,BLK01,CSNSTORES,DESINC,FINGERHUTDS,JCPENNEY01,KOHLDSN,NEBFUR01,TGTDVS</t>
  </si>
  <si>
    <t>23304113-000-001</t>
  </si>
  <si>
    <t>11/10/2017</t>
  </si>
  <si>
    <t>CH10-013</t>
  </si>
  <si>
    <t>Oversized Cotton Matelasse Comforter Set</t>
  </si>
  <si>
    <t>PF006289</t>
  </si>
  <si>
    <t>9/16/2024</t>
  </si>
  <si>
    <t>CH10-014</t>
  </si>
  <si>
    <t>MP40-4502</t>
  </si>
  <si>
    <t>PF003912</t>
  </si>
  <si>
    <t>AMAZON,AMAZONDS,ASHFURNDS,CSNSTORES,JCPENNEY01,KOHLDSN,TGTDVS</t>
  </si>
  <si>
    <t>23304113-000-018</t>
  </si>
  <si>
    <t>MP40-4512</t>
  </si>
  <si>
    <t>Window Scarf</t>
  </si>
  <si>
    <t>Solid Crushed Scarf Sheer</t>
  </si>
  <si>
    <t>42x144"</t>
  </si>
  <si>
    <t>23303771-000-008</t>
  </si>
  <si>
    <t>MP40-4498</t>
  </si>
  <si>
    <t>PF003913</t>
  </si>
  <si>
    <t>23304113-000-014</t>
  </si>
  <si>
    <t>MP103-1230</t>
  </si>
  <si>
    <t>Harris</t>
  </si>
  <si>
    <t>Lois</t>
  </si>
  <si>
    <t>Sidney</t>
  </si>
  <si>
    <t>PF001115;PP000172</t>
  </si>
  <si>
    <t>5/28/2021</t>
  </si>
  <si>
    <t>44063500-000-000</t>
  </si>
  <si>
    <t>MP50-8241</t>
  </si>
  <si>
    <t>Haven</t>
  </si>
  <si>
    <t>Amaya</t>
  </si>
  <si>
    <t>Faux Fur Throw 50x60"</t>
  </si>
  <si>
    <t>PP001877;PF005989</t>
  </si>
  <si>
    <t>7/6/2023</t>
  </si>
  <si>
    <t>BLK01,JCPENNEY01,KOHLDSN,OLLIIX,TGTDVS</t>
  </si>
  <si>
    <t>42014984-000-000</t>
  </si>
  <si>
    <t>10/2/2023</t>
  </si>
  <si>
    <t>MT153-0072</t>
  </si>
  <si>
    <t>Hawley</t>
  </si>
  <si>
    <t>Faux Leather Table Lamp</t>
  </si>
  <si>
    <t>CSNSTORES,JCPENNEY01,OLLIIX,ROOMECOM,TGTDVS</t>
  </si>
  <si>
    <t>43060812-000-000</t>
  </si>
  <si>
    <t>11/21/2023</t>
  </si>
  <si>
    <t>MP40-4598</t>
  </si>
  <si>
    <t>Hayden</t>
  </si>
  <si>
    <t>Jasper</t>
  </si>
  <si>
    <t>Jacey</t>
  </si>
  <si>
    <t>Woven Faux Linen Striped Window Sheer</t>
  </si>
  <si>
    <t>PF003929</t>
  </si>
  <si>
    <t>BEALLSDS,CSNSTORES,DESINC,JCPENNEY01,KIRKLANDDS,KOHLDSN,MACY02</t>
  </si>
  <si>
    <t>22976432-000-000</t>
  </si>
  <si>
    <t>MP40-4601</t>
  </si>
  <si>
    <t>PF003931</t>
  </si>
  <si>
    <t>22976432-000-003</t>
  </si>
  <si>
    <t>11/7/2017</t>
  </si>
  <si>
    <t>MP40-7235</t>
  </si>
  <si>
    <t>Neutral</t>
  </si>
  <si>
    <t>PF005205;PP001544</t>
  </si>
  <si>
    <t>9/5/2020</t>
  </si>
  <si>
    <t>CSNSTORES,DESINC,JCPENNEY01,KOHLDSN,TGTDVS</t>
  </si>
  <si>
    <t>22976432-000-006</t>
  </si>
  <si>
    <t>9/14/2020</t>
  </si>
  <si>
    <t>II12-1164</t>
  </si>
  <si>
    <t>Hayes</t>
  </si>
  <si>
    <t>Chenille 3 Piece Cotton Duvet Cover Set</t>
  </si>
  <si>
    <t>PP001587;PF005332</t>
  </si>
  <si>
    <t>37689641-000-000</t>
  </si>
  <si>
    <t>BR54-0896</t>
  </si>
  <si>
    <t>Elect Blanket</t>
  </si>
  <si>
    <t>Heated Berber Wrap</t>
  </si>
  <si>
    <t>Beautyrest - Soft Sherpa Heated Blanket Wrap - Lattice Pattern - 50" x 64" - Lattice Lavender - With 3-Setting Heat Controller</t>
  </si>
  <si>
    <t>50x64"</t>
  </si>
  <si>
    <t>10/21/2018</t>
  </si>
  <si>
    <t>BR54-0893</t>
  </si>
  <si>
    <t>Heated Fleece Throw</t>
  </si>
  <si>
    <t>43947025-000-001</t>
  </si>
  <si>
    <t>BR54-0891</t>
  </si>
  <si>
    <t>43947025-000-003</t>
  </si>
  <si>
    <t>BR54-0894</t>
  </si>
  <si>
    <t>43947025-000-002</t>
  </si>
  <si>
    <t>BR54-0377</t>
  </si>
  <si>
    <t>Heated Microlight to Berber</t>
  </si>
  <si>
    <t>PF003601</t>
  </si>
  <si>
    <t>8/23/2024</t>
  </si>
  <si>
    <t>AMAZON,AMAZONDS,BLK01,OLLIIX,WALMARTDS</t>
  </si>
  <si>
    <t>16659779-000-000</t>
  </si>
  <si>
    <t>BR54-0380</t>
  </si>
  <si>
    <t>10/11/2017</t>
  </si>
  <si>
    <t>AMAZON,CSNSTORES,HDDS,KOHLDSN,MACY02</t>
  </si>
  <si>
    <t>16659779-000-003</t>
  </si>
  <si>
    <t>BR54-0308</t>
  </si>
  <si>
    <t>PF003569</t>
  </si>
  <si>
    <t>AMAZON,AMAZONDS,ASHFURNDS,CSNSTORES,KOHLDSN,MACY02,OLLIIX,TGTDVS,WALMARTDS</t>
  </si>
  <si>
    <t>15820468-000-000</t>
  </si>
  <si>
    <t>BR54-0310</t>
  </si>
  <si>
    <t>PF003571</t>
  </si>
  <si>
    <t>AMAZON,ASHFURNDS,CSNSTORES,KOHLDSN,OLLIIX,TGTDVS</t>
  </si>
  <si>
    <t>15820468-000-002</t>
  </si>
  <si>
    <t>9/1/2015</t>
  </si>
  <si>
    <t>BR54-0387</t>
  </si>
  <si>
    <t>PF003603</t>
  </si>
  <si>
    <t>KOHLDSN,MACY02,WALMARTDS</t>
  </si>
  <si>
    <t>16659779-000-010</t>
  </si>
  <si>
    <t>BR54-0388</t>
  </si>
  <si>
    <t>AMAZON,HDDS,JCPENNEY01,KOHLDSN,TGTDVS,WALMARTDS</t>
  </si>
  <si>
    <t>16659779-000-011</t>
  </si>
  <si>
    <t>7/20/2015</t>
  </si>
  <si>
    <t>BR54-0416</t>
  </si>
  <si>
    <t>PF003605</t>
  </si>
  <si>
    <t>AMAZON,BLK01,KOHLDSN,OLLIIX,TGTDVS,WALMARTDS</t>
  </si>
  <si>
    <t>16659779-000-016</t>
  </si>
  <si>
    <t>11/4/2015</t>
  </si>
  <si>
    <t>BR54-0646</t>
  </si>
  <si>
    <t>PF003607</t>
  </si>
  <si>
    <t>AMAZON,AMAZONDS,CSNSTORES,FINGERHUTDS,KOHLDSN,TGTDVS</t>
  </si>
  <si>
    <t>16659779-000-020</t>
  </si>
  <si>
    <t>BR54-0648</t>
  </si>
  <si>
    <t>AMAZON,AMAZONDS,ASHFURNDS,HDDS,JCPENNEY01,KOHLDSN,TGTDVS,WALMARTDS</t>
  </si>
  <si>
    <t>16659779-000-022</t>
  </si>
  <si>
    <t>9/1/2016</t>
  </si>
  <si>
    <t>BR54-1942</t>
  </si>
  <si>
    <t>PP001523;PF005169</t>
  </si>
  <si>
    <t>AMAZON,AMAZONDS,JCPENNEY01,KOHLDSN,MACY02,OLLIIX</t>
  </si>
  <si>
    <t>16659779-000-032</t>
  </si>
  <si>
    <t>9/22/2020</t>
  </si>
  <si>
    <t>BR54-1927</t>
  </si>
  <si>
    <t>AMAZON,BLK01,HDDS,KOHLDSN,NORDSTRACKDS</t>
  </si>
  <si>
    <t>15820468-000-008</t>
  </si>
  <si>
    <t>10/5/2020</t>
  </si>
  <si>
    <t>BR54-0389</t>
  </si>
  <si>
    <t>PF003604</t>
  </si>
  <si>
    <t>AMAZON,AMAZONDS,BLK01,JCPENNEY01,KOHLDSN,MACY02,OLLIIX</t>
  </si>
  <si>
    <t>16659779-000-012</t>
  </si>
  <si>
    <t>BR54-0390</t>
  </si>
  <si>
    <t>AMAZON,KOHLDSN,WALMARTDS</t>
  </si>
  <si>
    <t>16659779-000-013</t>
  </si>
  <si>
    <t>8/6/2015</t>
  </si>
  <si>
    <t>BR54-0392</t>
  </si>
  <si>
    <t>4/20/2017</t>
  </si>
  <si>
    <t>AMAZON,BLK01,CSNSTORES,JCPENNEY01,KOHLDSN,NORDSTRACKDS,WALMARTDS</t>
  </si>
  <si>
    <t>16659779-000-015</t>
  </si>
  <si>
    <t>BR54-0383</t>
  </si>
  <si>
    <t>PF003602</t>
  </si>
  <si>
    <t>16659779-000-006</t>
  </si>
  <si>
    <t>7/7/2015</t>
  </si>
  <si>
    <t>BR54-1936</t>
  </si>
  <si>
    <t>PP001523;PF005168</t>
  </si>
  <si>
    <t>16659779-000-029</t>
  </si>
  <si>
    <t>BR54-1937</t>
  </si>
  <si>
    <t>16659779-000-030</t>
  </si>
  <si>
    <t>9/30/2020</t>
  </si>
  <si>
    <t>BR54-1938</t>
  </si>
  <si>
    <t>AMAZON,CSNSTORES,JCPENNEY01,KOHLDSN</t>
  </si>
  <si>
    <t>16659779-000-031</t>
  </si>
  <si>
    <t>BR54-1939</t>
  </si>
  <si>
    <t>AMAZON,BLK01,CSNSTORES,HDDS,KOHLDSN,MACY02,TGTDVS</t>
  </si>
  <si>
    <t>16659779-000-028</t>
  </si>
  <si>
    <t>BR54-1926</t>
  </si>
  <si>
    <t>BLK01,FINGERHUTDS,KOHLDSN,MACY02,NORDSTRACKDS</t>
  </si>
  <si>
    <t>15820468-000-007</t>
  </si>
  <si>
    <t>BR54-0539</t>
  </si>
  <si>
    <t>Heated Ogee</t>
  </si>
  <si>
    <t>PF003426</t>
  </si>
  <si>
    <t>17651648-000-001</t>
  </si>
  <si>
    <t>9/24/2015</t>
  </si>
  <si>
    <t>BR54-0749</t>
  </si>
  <si>
    <t>PF003431</t>
  </si>
  <si>
    <t>AMAZON,CSNSTORES,FINGERHUTDS,MACY02,WALMARTDS</t>
  </si>
  <si>
    <t>17651648-000-006</t>
  </si>
  <si>
    <t>BR54-0542</t>
  </si>
  <si>
    <t>PF003429</t>
  </si>
  <si>
    <t>17651648-000-004</t>
  </si>
  <si>
    <t>9/29/2015</t>
  </si>
  <si>
    <t>BR54-0541</t>
  </si>
  <si>
    <t>PF003428</t>
  </si>
  <si>
    <t>4/21/2017</t>
  </si>
  <si>
    <t>AMAZON,AMAZONDS,CSNSTORES,JCPENNEY01,KOHLDSN,MACY02,NORDSTRACKDS,TGTDVS,WALMARTDS</t>
  </si>
  <si>
    <t>17651648-000-003</t>
  </si>
  <si>
    <t>10/27/2015</t>
  </si>
  <si>
    <t>BR54-0777</t>
  </si>
  <si>
    <t>PF003498</t>
  </si>
  <si>
    <t>9/22/2017</t>
  </si>
  <si>
    <t>AMAZON,CSNSTORES,FINGERHUTDS,HDDS,KOHLDSN,MACY02,TGTDVS,WALMARTDS</t>
  </si>
  <si>
    <t>17651648-000-007</t>
  </si>
  <si>
    <t>9/30/2017</t>
  </si>
  <si>
    <t>BR54-0540</t>
  </si>
  <si>
    <t>PF003427</t>
  </si>
  <si>
    <t>AMAZON,CSNSTORES,HDDS,TGTDVS,WALMARTDS</t>
  </si>
  <si>
    <t>17651648-000-002</t>
  </si>
  <si>
    <t>BR54-0778</t>
  </si>
  <si>
    <t>PF003499</t>
  </si>
  <si>
    <t>AMAZON,AMAZONDS,BLK01,NORDSTRACKDS,WALMARTDS</t>
  </si>
  <si>
    <t>17651648-000-008</t>
  </si>
  <si>
    <t>BR54-0907</t>
  </si>
  <si>
    <t>Heated Plush</t>
  </si>
  <si>
    <t>PF004402</t>
  </si>
  <si>
    <t>11/6/2018</t>
  </si>
  <si>
    <t>AMAZON,BLK01,CSNSTORES,KOHLDSN</t>
  </si>
  <si>
    <t>17632904-000-027</t>
  </si>
  <si>
    <t>11/20/2018</t>
  </si>
  <si>
    <t>2/12/2019</t>
  </si>
  <si>
    <t>BR54-0654</t>
  </si>
  <si>
    <t>PF003421</t>
  </si>
  <si>
    <t>AMAZON,BLK01,CSNSTORES,JCPENNEY01,KOHLDSN,MACY02,TGTDVS,WALMARTDS</t>
  </si>
  <si>
    <t>17632904-000-016</t>
  </si>
  <si>
    <t>8/29/2016</t>
  </si>
  <si>
    <t>BR54-0525</t>
  </si>
  <si>
    <t>PF003420</t>
  </si>
  <si>
    <t>AMAZON,BLOOM02,CSNSTORES,KOHLDSN,WALMARTDS</t>
  </si>
  <si>
    <t>17632904-000-012</t>
  </si>
  <si>
    <t>10/19/2015</t>
  </si>
  <si>
    <t>BR54-0526</t>
  </si>
  <si>
    <t>AMAZON,BLK01,FINGERHUTDS,JCPENNEY01,KOHLDSN,TGTDVS,WALMARTDS</t>
  </si>
  <si>
    <t>17632904-000-013</t>
  </si>
  <si>
    <t>10/5/2015</t>
  </si>
  <si>
    <t>BR54-0527</t>
  </si>
  <si>
    <t>AMAZON,AMAZONDS,BLK01,FINGERHUTDS,KOHLDSN,MACY02,WALMARTDS</t>
  </si>
  <si>
    <t>17632904-000-014</t>
  </si>
  <si>
    <t>BR54-0659</t>
  </si>
  <si>
    <t>Sapphire Blue</t>
  </si>
  <si>
    <t>PF003422</t>
  </si>
  <si>
    <t>AAFESDS,AMAZON,BLK01,CSNSTORES,JCPENNEY01,KOHLDSN,TGTDVS</t>
  </si>
  <si>
    <t>17632904-000-021</t>
  </si>
  <si>
    <t>WR54-1758</t>
  </si>
  <si>
    <t>Heated Plush to Berber</t>
  </si>
  <si>
    <t>Garnet</t>
  </si>
  <si>
    <t>PF003612</t>
  </si>
  <si>
    <t>ASHFURNDS,BLK01,KOHLDSN</t>
  </si>
  <si>
    <t>19299771-000-019</t>
  </si>
  <si>
    <t>12/16/2016</t>
  </si>
  <si>
    <t>WR54-1767</t>
  </si>
  <si>
    <t>PF003581</t>
  </si>
  <si>
    <t>19267553-000-000</t>
  </si>
  <si>
    <t>WR54-1748</t>
  </si>
  <si>
    <t>PF003610</t>
  </si>
  <si>
    <t>HDDS,WALMARTDS</t>
  </si>
  <si>
    <t>19299771-000-009</t>
  </si>
  <si>
    <t>WR54-1749</t>
  </si>
  <si>
    <t>AMAZON,AMAZONDS,KOHLDSN,WALMARTDS</t>
  </si>
  <si>
    <t>19299771-000-010</t>
  </si>
  <si>
    <t>CS54-0999</t>
  </si>
  <si>
    <t>Electric Throw Wrap</t>
  </si>
  <si>
    <t>Heated Wrap Sock Set</t>
  </si>
  <si>
    <t>Heated Wrap with Sock Set</t>
  </si>
  <si>
    <t>PP001383;PF004912</t>
  </si>
  <si>
    <t>34433362-000-002</t>
  </si>
  <si>
    <t>10/14/2019</t>
  </si>
  <si>
    <t>11/18/2019</t>
  </si>
  <si>
    <t>MP105-0806</t>
  </si>
  <si>
    <t>Heath</t>
  </si>
  <si>
    <t>Denali</t>
  </si>
  <si>
    <t>Sunnycrest</t>
  </si>
  <si>
    <t>Soft Close Storage Accent Bench</t>
  </si>
  <si>
    <t>PP001151</t>
  </si>
  <si>
    <t>4/16/2019</t>
  </si>
  <si>
    <t>AMERSIGNDS,CSNSTORES,HOUZZ,LAMPDS,MACY02F,OLLIIX,ROOMECOM,ZOLA</t>
  </si>
  <si>
    <t>32785323-000-000</t>
  </si>
  <si>
    <t>4/17/2019</t>
  </si>
  <si>
    <t>6/17/2019</t>
  </si>
  <si>
    <t>TN10-0539</t>
  </si>
  <si>
    <t>Down Comforter Filler</t>
  </si>
  <si>
    <t>Heavy Warmth</t>
  </si>
  <si>
    <t>Goose Feather and Down Oversize Comforter</t>
  </si>
  <si>
    <t>PP001803;PF006107</t>
  </si>
  <si>
    <t>CSNSTORES,KOHLDSN,MACY02,TGTDVS</t>
  </si>
  <si>
    <t>40804196-000-004</t>
  </si>
  <si>
    <t>TN10-0540</t>
  </si>
  <si>
    <t>40804196-000-008</t>
  </si>
  <si>
    <t>TN10-0541</t>
  </si>
  <si>
    <t>BLK01,KOHLDSN,MACY02,OLLIIX</t>
  </si>
  <si>
    <t>40804196-000-007</t>
  </si>
  <si>
    <t>TN10-0537</t>
  </si>
  <si>
    <t>PP001803;PF006106</t>
  </si>
  <si>
    <t>40804196-000-006</t>
  </si>
  <si>
    <t>12/3/2023</t>
  </si>
  <si>
    <t>TN10-0538</t>
  </si>
  <si>
    <t>40804196-000-003</t>
  </si>
  <si>
    <t>TN10-0489</t>
  </si>
  <si>
    <t>PP001803;PF005794</t>
  </si>
  <si>
    <t>AMAZONDS,CSNSTORES,JCPENNEY01,KOHLDSN,MACY02,OLLIIX,TGTDVS</t>
  </si>
  <si>
    <t>40804196-000-002</t>
  </si>
  <si>
    <t>MPS104-0301</t>
  </si>
  <si>
    <t>Helena</t>
  </si>
  <si>
    <t>25.5" Upholstered Counter Stool</t>
  </si>
  <si>
    <t>CSNSTORES,DESINC,OLLIIX</t>
  </si>
  <si>
    <t>39542447-000-000</t>
  </si>
  <si>
    <t>9/13/2022</t>
  </si>
  <si>
    <t>MPS108-0294</t>
  </si>
  <si>
    <t>Dining Side Chair</t>
  </si>
  <si>
    <t>11/4/2020</t>
  </si>
  <si>
    <t>21828372-000-001</t>
  </si>
  <si>
    <t>11/9/2020</t>
  </si>
  <si>
    <t>II104-0463</t>
  </si>
  <si>
    <t>Henrick</t>
  </si>
  <si>
    <t>1/10/2022</t>
  </si>
  <si>
    <t>39490814-000-000</t>
  </si>
  <si>
    <t>1/12/2022</t>
  </si>
  <si>
    <t>MP104-1208</t>
  </si>
  <si>
    <t>Hermosa</t>
  </si>
  <si>
    <t>Rosita</t>
  </si>
  <si>
    <t>Woven Counter Stool 25"</t>
  </si>
  <si>
    <t>38796271-000-001</t>
  </si>
  <si>
    <t>MP100-0617</t>
  </si>
  <si>
    <t>Heston</t>
  </si>
  <si>
    <t>Lea</t>
  </si>
  <si>
    <t>Kileen</t>
  </si>
  <si>
    <t>1/17/2018</t>
  </si>
  <si>
    <t>26113868-000-000</t>
  </si>
  <si>
    <t>2/16/2018</t>
  </si>
  <si>
    <t>6/22/2018</t>
  </si>
  <si>
    <t>FPF18-0167</t>
  </si>
  <si>
    <t>Hilton</t>
  </si>
  <si>
    <t>Sheldon</t>
  </si>
  <si>
    <t>Bally</t>
  </si>
  <si>
    <t>Armless Accent Chair</t>
  </si>
  <si>
    <t>PF000626;PP000176</t>
  </si>
  <si>
    <t>ASHFURNDS,CASTLEGATE,CSNSTORES,MACY02F</t>
  </si>
  <si>
    <t>17880164-000-000</t>
  </si>
  <si>
    <t>FPF18-0053</t>
  </si>
  <si>
    <t>PF000592;PP000176</t>
  </si>
  <si>
    <t>ASHFURNDS,CASTLEGATE,CSNSTORES,MACY02F,OLLIIX</t>
  </si>
  <si>
    <t>17879871-000-000</t>
  </si>
  <si>
    <t>12/2/2015</t>
  </si>
  <si>
    <t>MP103-0247</t>
  </si>
  <si>
    <t>Hoffman</t>
  </si>
  <si>
    <t>Lerna</t>
  </si>
  <si>
    <t>Thayer</t>
  </si>
  <si>
    <t>Beige Multi</t>
  </si>
  <si>
    <t>PF001107</t>
  </si>
  <si>
    <t>6/10/2017</t>
  </si>
  <si>
    <t>AMERSIGNDS,ASHFURNDS,CASTLEGATE,CSNSTORES,HDDS,KIRKLANDDS,KOHLDSN,MACY02F,OLLIIX,ROOMECOM</t>
  </si>
  <si>
    <t>22930392-000-000</t>
  </si>
  <si>
    <t>6/26/2017</t>
  </si>
  <si>
    <t>MP10-8264</t>
  </si>
  <si>
    <t>Hollis</t>
  </si>
  <si>
    <t>Asher</t>
  </si>
  <si>
    <t>Sherpa Comforter Set</t>
  </si>
  <si>
    <t>Green/Ivory</t>
  </si>
  <si>
    <t>PP001895;PF006045</t>
  </si>
  <si>
    <t>7/19/2023</t>
  </si>
  <si>
    <t>JCPENNEY01,MACY02,NRTPORT</t>
  </si>
  <si>
    <t>42124120-000-002</t>
  </si>
  <si>
    <t>MP10-4168</t>
  </si>
  <si>
    <t>Holly</t>
  </si>
  <si>
    <t>Sakura</t>
  </si>
  <si>
    <t>8 Piece Cotton Comforter Set</t>
  </si>
  <si>
    <t>Purple/Taupe</t>
  </si>
  <si>
    <t>PF002647;PP001841</t>
  </si>
  <si>
    <t>20984864-000-002</t>
  </si>
  <si>
    <t>3/29/2017</t>
  </si>
  <si>
    <t>II120-0553</t>
  </si>
  <si>
    <t>Coffee Table</t>
  </si>
  <si>
    <t>Honey</t>
  </si>
  <si>
    <t>Fluted Hexagon Coffee Table</t>
  </si>
  <si>
    <t>KIRKLANDDS,OLLIIX,ZOLA</t>
  </si>
  <si>
    <t>42846069-000-000</t>
  </si>
  <si>
    <t>12/11/2023</t>
  </si>
  <si>
    <t>MP10-8278</t>
  </si>
  <si>
    <t>Honeycomb Textured</t>
  </si>
  <si>
    <t>PP001896;PF006053</t>
  </si>
  <si>
    <t>BLK01,JCPENNEY01,KOHLDSN,MACY02,OLLIIX,TGTDVS</t>
  </si>
  <si>
    <t>42617993-000-001</t>
  </si>
  <si>
    <t>MP10-8279</t>
  </si>
  <si>
    <t>42617993-000-002</t>
  </si>
  <si>
    <t>CS14-0207</t>
  </si>
  <si>
    <t>Howdy Hoots</t>
  </si>
  <si>
    <t>Quilt Set</t>
  </si>
  <si>
    <t>43954355-000-001</t>
  </si>
  <si>
    <t>CS14-0208</t>
  </si>
  <si>
    <t>43954355-000-000</t>
  </si>
  <si>
    <t>WR13-3473</t>
  </si>
  <si>
    <t>Hudson</t>
  </si>
  <si>
    <t>Oversized Cotton Quilt Mini Set</t>
  </si>
  <si>
    <t>PP001705;PF005622</t>
  </si>
  <si>
    <t>JCPENNEY01,TGTDVS</t>
  </si>
  <si>
    <t>38897999-000-000</t>
  </si>
  <si>
    <t>9/27/2021</t>
  </si>
  <si>
    <t>2/25/2022</t>
  </si>
  <si>
    <t>WR10-3854</t>
  </si>
  <si>
    <t>Hudson Valley</t>
  </si>
  <si>
    <t>Grey/Black Buffalo Check</t>
  </si>
  <si>
    <t>PP001847;PF005908</t>
  </si>
  <si>
    <t>9/2/2022</t>
  </si>
  <si>
    <t>AMAZONDS,CSNSTORES,DESINC,JCPENNEY01,MACY02,TGTDVS</t>
  </si>
  <si>
    <t>40366198-000-003</t>
  </si>
  <si>
    <t>10/31/2022</t>
  </si>
  <si>
    <t>UH95G-0034</t>
  </si>
  <si>
    <t>Humming Birds</t>
  </si>
  <si>
    <t>2-Piece Framed Graphics Wall Art Set</t>
  </si>
  <si>
    <t>8/18/2023</t>
  </si>
  <si>
    <t>AMAZON,CSNSTORES,KIRKLANDDS,MACY02,TGTDVS</t>
  </si>
  <si>
    <t>42149176-000-000</t>
  </si>
  <si>
    <t>8/23/2023</t>
  </si>
  <si>
    <t>MP100-1162</t>
  </si>
  <si>
    <t>Ian</t>
  </si>
  <si>
    <t>Upholstered Tufted Mid-Century Accent Chair</t>
  </si>
  <si>
    <t>5/3/2022</t>
  </si>
  <si>
    <t>CSNSTORES,KIRKLANDDS,OLLIIX</t>
  </si>
  <si>
    <t>39918901-000-000</t>
  </si>
  <si>
    <t>5/9/2022</t>
  </si>
  <si>
    <t>3/6/2023</t>
  </si>
  <si>
    <t>LAF04-0018</t>
  </si>
  <si>
    <t>II000133</t>
  </si>
  <si>
    <t>Cotton Solid Terry Robe</t>
  </si>
  <si>
    <t>L/XL</t>
  </si>
  <si>
    <t>AMAZONDS,CSNSTORES,JCPENNEY01,MACY02</t>
  </si>
  <si>
    <t>37254726-000-000</t>
  </si>
  <si>
    <t>12/16/2020</t>
  </si>
  <si>
    <t>II04-3015</t>
  </si>
  <si>
    <t>Cotton Terry Solid Robe</t>
  </si>
  <si>
    <t>S/M</t>
  </si>
  <si>
    <t>Mint</t>
  </si>
  <si>
    <t>43658574-000-000</t>
  </si>
  <si>
    <t>II04-3016</t>
  </si>
  <si>
    <t>43658574-000-001</t>
  </si>
  <si>
    <t>LAF04-0019</t>
  </si>
  <si>
    <t>AMAZONDS,JCPENNEY01,MACY02</t>
  </si>
  <si>
    <t>37254725-000-001</t>
  </si>
  <si>
    <t>3/5/2021</t>
  </si>
  <si>
    <t>LAF04-0020</t>
  </si>
  <si>
    <t>37254725-000-000</t>
  </si>
  <si>
    <t>II04-6823</t>
  </si>
  <si>
    <t>II000188</t>
  </si>
  <si>
    <t>Waffle Robe</t>
  </si>
  <si>
    <t>Blue 400</t>
  </si>
  <si>
    <t>10/29/2021</t>
  </si>
  <si>
    <t>43634614-000-000</t>
  </si>
  <si>
    <t>3/1/2024</t>
  </si>
  <si>
    <t>II04-6827</t>
  </si>
  <si>
    <t>Rose 661</t>
  </si>
  <si>
    <t>43634614-000-002</t>
  </si>
  <si>
    <t>II04-6825</t>
  </si>
  <si>
    <t>White 100</t>
  </si>
  <si>
    <t>43634614-000-004</t>
  </si>
  <si>
    <t>II04-6826</t>
  </si>
  <si>
    <t>43634614-000-003</t>
  </si>
  <si>
    <t>II04-3014</t>
  </si>
  <si>
    <t>II000350</t>
  </si>
  <si>
    <t>100% Cotton Solid Terry Wrap W/Straps(roll pack) W/Hanger</t>
  </si>
  <si>
    <t>43658575-000-000</t>
  </si>
  <si>
    <t>II04-1260</t>
  </si>
  <si>
    <t>100% Cotton Solid Terry Wrap W/Straps No Hanger (No roll pack)</t>
  </si>
  <si>
    <t>43658576-000-000</t>
  </si>
  <si>
    <t>4/15/2024</t>
  </si>
  <si>
    <t>II04-6817</t>
  </si>
  <si>
    <t>II000380</t>
  </si>
  <si>
    <t>Waffle Wrap</t>
  </si>
  <si>
    <t>43634613-000-001</t>
  </si>
  <si>
    <t>II04-1585</t>
  </si>
  <si>
    <t>II317125</t>
  </si>
  <si>
    <t>L/S Paisley Print Lite Micro 42" Robe</t>
  </si>
  <si>
    <t>Bedouin blue 447</t>
  </si>
  <si>
    <t>43663099-000-003</t>
  </si>
  <si>
    <t>II04-1586</t>
  </si>
  <si>
    <t>AMAZONDS,MACY02</t>
  </si>
  <si>
    <t>43663099-000-002</t>
  </si>
  <si>
    <t>II04-1588</t>
  </si>
  <si>
    <t>Bedouin gray 057</t>
  </si>
  <si>
    <t>43663099-000-001</t>
  </si>
  <si>
    <t>II04-8041</t>
  </si>
  <si>
    <t>II422101</t>
  </si>
  <si>
    <t>Women's printed plush robe</t>
  </si>
  <si>
    <t>5/13/2022</t>
  </si>
  <si>
    <t>43663532-000-001</t>
  </si>
  <si>
    <t>II04-8044</t>
  </si>
  <si>
    <t>Winter Damask</t>
  </si>
  <si>
    <t>5/18/2022</t>
  </si>
  <si>
    <t>43663532-000-000</t>
  </si>
  <si>
    <t>II04-8045</t>
  </si>
  <si>
    <t>43663532-000-004</t>
  </si>
  <si>
    <t>II04-8046</t>
  </si>
  <si>
    <t>Winter Floral</t>
  </si>
  <si>
    <t>43663532-000-002</t>
  </si>
  <si>
    <t>II04-8047</t>
  </si>
  <si>
    <t>43663532-000-003</t>
  </si>
  <si>
    <t>II04-8101</t>
  </si>
  <si>
    <t>II422156</t>
  </si>
  <si>
    <t>Women's Zip front plush robe</t>
  </si>
  <si>
    <t>Chalky Rose</t>
  </si>
  <si>
    <t>43639017-000-004</t>
  </si>
  <si>
    <t>II04-8102</t>
  </si>
  <si>
    <t>43639017-000-005</t>
  </si>
  <si>
    <t>II04-8103</t>
  </si>
  <si>
    <t>43639017-000-017</t>
  </si>
  <si>
    <t>II04-8104</t>
  </si>
  <si>
    <t>XXL</t>
  </si>
  <si>
    <t>43639017-000-013</t>
  </si>
  <si>
    <t>II04-8093</t>
  </si>
  <si>
    <t>XS</t>
  </si>
  <si>
    <t>Quiet Gray</t>
  </si>
  <si>
    <t>43639017-000-000</t>
  </si>
  <si>
    <t>II04-8094</t>
  </si>
  <si>
    <t>43639017-000-009</t>
  </si>
  <si>
    <t>II04-8096</t>
  </si>
  <si>
    <t>43639017-000-014</t>
  </si>
  <si>
    <t>II04-8098</t>
  </si>
  <si>
    <t>43639017-000-011</t>
  </si>
  <si>
    <t>II04-8105</t>
  </si>
  <si>
    <t>Rich Concord</t>
  </si>
  <si>
    <t>43639017-000-008</t>
  </si>
  <si>
    <t>II04-8106</t>
  </si>
  <si>
    <t>43639017-000-012</t>
  </si>
  <si>
    <t>II04-8108</t>
  </si>
  <si>
    <t>43639017-000-001</t>
  </si>
  <si>
    <t>II04-8109</t>
  </si>
  <si>
    <t>43639017-000-003</t>
  </si>
  <si>
    <t>II04-8110</t>
  </si>
  <si>
    <t>43639017-000-007</t>
  </si>
  <si>
    <t>II04-9609</t>
  </si>
  <si>
    <t>IM222101</t>
  </si>
  <si>
    <t>XS/S IM222101 Robe</t>
  </si>
  <si>
    <t>XS/S</t>
  </si>
  <si>
    <t>Black 001</t>
  </si>
  <si>
    <t>43663098-000-013</t>
  </si>
  <si>
    <t>II04-9610</t>
  </si>
  <si>
    <t>M/L IM222101 Robe</t>
  </si>
  <si>
    <t>M/L</t>
  </si>
  <si>
    <t>43663098-000-006</t>
  </si>
  <si>
    <t>4/5/2024</t>
  </si>
  <si>
    <t>II04-9611</t>
  </si>
  <si>
    <t>XL/XXL IM222101 Robe</t>
  </si>
  <si>
    <t>XL/XXL</t>
  </si>
  <si>
    <t>43663098-000-002</t>
  </si>
  <si>
    <t>II04-8419</t>
  </si>
  <si>
    <t>Men cotton robe</t>
  </si>
  <si>
    <t>Claret 657</t>
  </si>
  <si>
    <t>11/4/2022</t>
  </si>
  <si>
    <t>43663098-000-001</t>
  </si>
  <si>
    <t>II04-8420</t>
  </si>
  <si>
    <t>43663098-000-011</t>
  </si>
  <si>
    <t>4/1/2024</t>
  </si>
  <si>
    <t>II04-8421</t>
  </si>
  <si>
    <t>43663098-000-014</t>
  </si>
  <si>
    <t>II04-8416</t>
  </si>
  <si>
    <t>Denim 459</t>
  </si>
  <si>
    <t>43663098-000-010</t>
  </si>
  <si>
    <t>II04-8417</t>
  </si>
  <si>
    <t>43663098-000-003</t>
  </si>
  <si>
    <t>II04-8410</t>
  </si>
  <si>
    <t>Med Navy 411</t>
  </si>
  <si>
    <t>43663098-000-004</t>
  </si>
  <si>
    <t>II04-8411</t>
  </si>
  <si>
    <t>43663098-000-007</t>
  </si>
  <si>
    <t>II04-8412</t>
  </si>
  <si>
    <t>43663098-000-009</t>
  </si>
  <si>
    <t>II04-8413</t>
  </si>
  <si>
    <t>Steel 030</t>
  </si>
  <si>
    <t>43663098-000-016</t>
  </si>
  <si>
    <t>II04-8414</t>
  </si>
  <si>
    <t>43663098-000-008</t>
  </si>
  <si>
    <t>II04-8415</t>
  </si>
  <si>
    <t>43663098-000-000</t>
  </si>
  <si>
    <t>4/4/2024</t>
  </si>
  <si>
    <t>II04-8407</t>
  </si>
  <si>
    <t>43663098-000-012</t>
  </si>
  <si>
    <t>II40-1344</t>
  </si>
  <si>
    <t>Imani</t>
  </si>
  <si>
    <t>Cotton Printed Curtain Panel with Chenille Stripe and Lining</t>
  </si>
  <si>
    <t>Farm House|Light Filtering</t>
  </si>
  <si>
    <t>II12-1095</t>
  </si>
  <si>
    <t>Cotton Printed Duvet Cover Set with Chenille</t>
  </si>
  <si>
    <t>PF005068</t>
  </si>
  <si>
    <t>3/30/2020</t>
  </si>
  <si>
    <t>26488689-000-003</t>
  </si>
  <si>
    <t>4/20/2020</t>
  </si>
  <si>
    <t>II12-1096</t>
  </si>
  <si>
    <t>AMAZON,BLK01,CSNSTORES,JCPENNEY01,TGTDVS</t>
  </si>
  <si>
    <t>26488689-000-002</t>
  </si>
  <si>
    <t>II12-1091</t>
  </si>
  <si>
    <t>PF005067</t>
  </si>
  <si>
    <t>4/23/2020</t>
  </si>
  <si>
    <t>AMAZON,AMAZONDS,ASHFURNDS,CASTLEGATE,CSNSTORES,KOHLDSN,MACY02,ROOMECOM,TGTDVS</t>
  </si>
  <si>
    <t>26488689-000-005</t>
  </si>
  <si>
    <t>4/26/2020</t>
  </si>
  <si>
    <t>II12-1092</t>
  </si>
  <si>
    <t>AMAZON,CASTLEGATE,CSNSTORES,HOUZZ,JCPENNEY01,KOHLDSN,MACY02,OLLIIX</t>
  </si>
  <si>
    <t>26488689-000-004</t>
  </si>
  <si>
    <t>4/5/2020</t>
  </si>
  <si>
    <t>II40-1345</t>
  </si>
  <si>
    <t>MT95B-0065</t>
  </si>
  <si>
    <t>Indigo Shells</t>
  </si>
  <si>
    <t>Framed Sea Urchin Shadow Box Wall Decor</t>
  </si>
  <si>
    <t>PP001690</t>
  </si>
  <si>
    <t>AMAZON,AMAZONDS,CSNSTORES,JCPENNEY01,KIRKLANDDS,OLLIIX,TGTDVS</t>
  </si>
  <si>
    <t>39266115-000-000</t>
  </si>
  <si>
    <t>MP40-1066</t>
  </si>
  <si>
    <t>Irina</t>
  </si>
  <si>
    <t>Iris</t>
  </si>
  <si>
    <t>Clarissa</t>
  </si>
  <si>
    <t>Diamond Sheer Window Curtain Panel</t>
  </si>
  <si>
    <t>PF004007</t>
  </si>
  <si>
    <t>AMAZON,HDDS,KOHLDSN,OLLIIX,TGTDVS</t>
  </si>
  <si>
    <t>16620318-000-002</t>
  </si>
  <si>
    <t>MP40-2334</t>
  </si>
  <si>
    <t>AMAZON,HDDS,JCPENNEY01,KOHLDSN,TGTDVS</t>
  </si>
  <si>
    <t>16620318-000-005</t>
  </si>
  <si>
    <t>MP40-2333</t>
  </si>
  <si>
    <t>PF004006</t>
  </si>
  <si>
    <t>16620318-000-004</t>
  </si>
  <si>
    <t>2/26/2017</t>
  </si>
  <si>
    <t>MP41-4937</t>
  </si>
  <si>
    <t>Diamond Sheer Embroidered Waterfall Valance</t>
  </si>
  <si>
    <t>23864062-000-001</t>
  </si>
  <si>
    <t>MP40-4939</t>
  </si>
  <si>
    <t>Diamond Sheer Embroidered Window Scarf</t>
  </si>
  <si>
    <t>50x216"</t>
  </si>
  <si>
    <t>AMAZON,AMAZONDS,CSNSTORES,JCPENNEY01,KOHLDSN,OLLIIX</t>
  </si>
  <si>
    <t>23864061-000-003</t>
  </si>
  <si>
    <t>MP40-2332</t>
  </si>
  <si>
    <t>PF004005</t>
  </si>
  <si>
    <t>ASHFURNDS,BLK01,CSNSTORES,HDDS,JCPENNEY01,KOHLDSN,TGTDVS</t>
  </si>
  <si>
    <t>16620318-000-003</t>
  </si>
  <si>
    <t>7/11/2016</t>
  </si>
  <si>
    <t>MP41-4933</t>
  </si>
  <si>
    <t>23864062-000-000</t>
  </si>
  <si>
    <t>MT120-0026</t>
  </si>
  <si>
    <t>Accent Table|End Table</t>
  </si>
  <si>
    <t>Irisa</t>
  </si>
  <si>
    <t>Round Accent Table</t>
  </si>
  <si>
    <t>Reclaimed Oak/Iron</t>
  </si>
  <si>
    <t>PP001289</t>
  </si>
  <si>
    <t>AMAZON,CSNSTORES,LAMPDS,OLLIIX</t>
  </si>
  <si>
    <t>34082390-000-000</t>
  </si>
  <si>
    <t>8/20/2019</t>
  </si>
  <si>
    <t>1/30/2020</t>
  </si>
  <si>
    <t>MP104-1085</t>
  </si>
  <si>
    <t>Isadora</t>
  </si>
  <si>
    <t>Andrina</t>
  </si>
  <si>
    <t>Faustina</t>
  </si>
  <si>
    <t>Counter stool</t>
  </si>
  <si>
    <t>Brown/Gold</t>
  </si>
  <si>
    <t>LAMPDS,MACY02F,OLLIIX</t>
  </si>
  <si>
    <t>37890065-000-000</t>
  </si>
  <si>
    <t>MT100-0163</t>
  </si>
  <si>
    <t>Accent Armchair Set of 2</t>
  </si>
  <si>
    <t>PP001282</t>
  </si>
  <si>
    <t>5/10/2021</t>
  </si>
  <si>
    <t>44063499-000-000</t>
  </si>
  <si>
    <t>II11-551</t>
  </si>
  <si>
    <t>Sham</t>
  </si>
  <si>
    <t>Cotton Embroidered Euro Sham</t>
  </si>
  <si>
    <t>PF003356;PP000371</t>
  </si>
  <si>
    <t>AMAZON,BLK01,KOHLDSN,MACY02,TGTDVS</t>
  </si>
  <si>
    <t>17639204-000-001</t>
  </si>
  <si>
    <t>TN54-0395</t>
  </si>
  <si>
    <t>Jacob</t>
  </si>
  <si>
    <t>Lucas</t>
  </si>
  <si>
    <t>Oversized Plaid Plush Heated Throw</t>
  </si>
  <si>
    <t>PP000961;PF004397</t>
  </si>
  <si>
    <t>7/20/2019</t>
  </si>
  <si>
    <t>AMAZON,ASHFURNDS,KOHLDSN,TGTDVS,WALMARTDS</t>
  </si>
  <si>
    <t>24111993-000-002</t>
  </si>
  <si>
    <t>9/25/2019</t>
  </si>
  <si>
    <t>10/2/2019</t>
  </si>
  <si>
    <t>MT100-1183</t>
  </si>
  <si>
    <t>Jada</t>
  </si>
  <si>
    <t>Upholstered Accent Chair</t>
  </si>
  <si>
    <t>11/2/2022</t>
  </si>
  <si>
    <t>40538354-000-000</t>
  </si>
  <si>
    <t>4/27/2023</t>
  </si>
  <si>
    <t>II115-0555</t>
  </si>
  <si>
    <t>Jameson</t>
  </si>
  <si>
    <t>Woven Faux Leather Bed Queen</t>
  </si>
  <si>
    <t>43333363-000-000</t>
  </si>
  <si>
    <t>MP35-8047</t>
  </si>
  <si>
    <t>Jasmine</t>
  </si>
  <si>
    <t>Larissa</t>
  </si>
  <si>
    <t>Vintage Medallion Woven Area Rug</t>
  </si>
  <si>
    <t>PP001796;PF005784</t>
  </si>
  <si>
    <t>40640331-000-002</t>
  </si>
  <si>
    <t>MP35-8046</t>
  </si>
  <si>
    <t>3x5' Scatter</t>
  </si>
  <si>
    <t>40640331-000-001</t>
  </si>
  <si>
    <t>MP35-8048</t>
  </si>
  <si>
    <t>40640331-000-000</t>
  </si>
  <si>
    <t>MP35-8049</t>
  </si>
  <si>
    <t>40640331-000-003</t>
  </si>
  <si>
    <t>BR9144409622-05</t>
  </si>
  <si>
    <t>5 Piece Crinkle Velvet Comforter Set</t>
  </si>
  <si>
    <t>PP001819;PF005850</t>
  </si>
  <si>
    <t>10/19/2021</t>
  </si>
  <si>
    <t>40067587-000-003</t>
  </si>
  <si>
    <t>BR9144409622-07</t>
  </si>
  <si>
    <t>PP001819;PF005851</t>
  </si>
  <si>
    <t>CSNSTORES,JCPENNEY01,MACY02,TGTDVS,WALMARTDS</t>
  </si>
  <si>
    <t>40067587-000-001</t>
  </si>
  <si>
    <t>MPE10-1073</t>
  </si>
  <si>
    <t>Deacon</t>
  </si>
  <si>
    <t>Ryder</t>
  </si>
  <si>
    <t>Stripe Comforter Set with Bed Sheets</t>
  </si>
  <si>
    <t>Coral/Grey</t>
  </si>
  <si>
    <t>PP001834;PF006310</t>
  </si>
  <si>
    <t>40804241-000-017</t>
  </si>
  <si>
    <t>MPE10-1074</t>
  </si>
  <si>
    <t>40804241-000-020</t>
  </si>
  <si>
    <t>MPE10-1075</t>
  </si>
  <si>
    <t>40804241-000-019</t>
  </si>
  <si>
    <t>MPE10-1076</t>
  </si>
  <si>
    <t>40804241-000-022</t>
  </si>
  <si>
    <t>MPE10-1077</t>
  </si>
  <si>
    <t>40804241-000-021</t>
  </si>
  <si>
    <t>MPE10-1068</t>
  </si>
  <si>
    <t>Green/Grey</t>
  </si>
  <si>
    <t>PP001834;PF006309</t>
  </si>
  <si>
    <t>40804241-000-023</t>
  </si>
  <si>
    <t>MPE10-1070</t>
  </si>
  <si>
    <t>40804241-000-016</t>
  </si>
  <si>
    <t>MPE10-1071</t>
  </si>
  <si>
    <t>40804241-000-015</t>
  </si>
  <si>
    <t>MPE10-1072</t>
  </si>
  <si>
    <t>40804241-000-018</t>
  </si>
  <si>
    <t>II151-0115</t>
  </si>
  <si>
    <t>Jaxson</t>
  </si>
  <si>
    <t>Metal Mesh Pendant</t>
  </si>
  <si>
    <t>39584122-000-000</t>
  </si>
  <si>
    <t>MT100-0177</t>
  </si>
  <si>
    <t>Jayco</t>
  </si>
  <si>
    <t>37399235-000-001</t>
  </si>
  <si>
    <t>II153-0106</t>
  </si>
  <si>
    <t>Jayda</t>
  </si>
  <si>
    <t>Geometric Ceramic Table Lamp</t>
  </si>
  <si>
    <t>AMERSIGNDS,CSNSTORES,JCPENNEY01,KOHLDSN,OLLIIX,ROOMECOM,TGTDVS</t>
  </si>
  <si>
    <t>39471169-000-000</t>
  </si>
  <si>
    <t>1/7/2022</t>
  </si>
  <si>
    <t>1/31/2022</t>
  </si>
  <si>
    <t>5DS100-0031</t>
  </si>
  <si>
    <t>Rolled Arm Accent Chair</t>
  </si>
  <si>
    <t>6/20/2023</t>
  </si>
  <si>
    <t>AMERSIGNDS,KIRKLANDDS,MACY02F</t>
  </si>
  <si>
    <t>41984336-000-001</t>
  </si>
  <si>
    <t>7/7/2024</t>
  </si>
  <si>
    <t>5DS10-0216</t>
  </si>
  <si>
    <t>Jenda</t>
  </si>
  <si>
    <t>Janeta</t>
  </si>
  <si>
    <t>Jaine</t>
  </si>
  <si>
    <t>8 Piece Comforter Set</t>
  </si>
  <si>
    <t>PP001000;PF004731</t>
  </si>
  <si>
    <t>ASHFURNDS,BLK01,CSNSTORES,JCPENNEY01,KOHLDSN,MACY02,NRTPORT,OLLIIX,ROOMECOM,TGTDVS</t>
  </si>
  <si>
    <t>29023305-000-003</t>
  </si>
  <si>
    <t>7/1/2019</t>
  </si>
  <si>
    <t>II136-0308</t>
  </si>
  <si>
    <t>Jeremy</t>
  </si>
  <si>
    <t>Storage Nightstand</t>
  </si>
  <si>
    <t>Off-White/Navy</t>
  </si>
  <si>
    <t>2/8/2018</t>
  </si>
  <si>
    <t>CSNSTORES,HOUZZ,OLLIIX,ROOMECOM,TGTDVS</t>
  </si>
  <si>
    <t>27161553-000-000</t>
  </si>
  <si>
    <t>5/10/2018</t>
  </si>
  <si>
    <t>II103-0578</t>
  </si>
  <si>
    <t>Jessel</t>
  </si>
  <si>
    <t>Shearling Sherpa Swivel Chair with Wood Base</t>
  </si>
  <si>
    <t>9/18/2024</t>
  </si>
  <si>
    <t>II103-0579</t>
  </si>
  <si>
    <t>MP104-1074</t>
  </si>
  <si>
    <t>Jillian</t>
  </si>
  <si>
    <t>Marshall</t>
  </si>
  <si>
    <t>Ellery</t>
  </si>
  <si>
    <t>Counter Stool with Swivel Seat</t>
  </si>
  <si>
    <t>12/15/2020</t>
  </si>
  <si>
    <t>AMAZONDS,CSNSTORES,HOUZZ,KIRKLANDDS,KOHLDSN,LAMPDS,MACY02F,OLLIIX</t>
  </si>
  <si>
    <t>26360419-000-001</t>
  </si>
  <si>
    <t>MP10-8490</t>
  </si>
  <si>
    <t>Jolene</t>
  </si>
  <si>
    <t>Rita</t>
  </si>
  <si>
    <t>3 Piece Cotton Printed Comforter Set</t>
  </si>
  <si>
    <t>Dark Grey/Plum</t>
  </si>
  <si>
    <t>PF006371;PP001986</t>
  </si>
  <si>
    <t>MP12-8492</t>
  </si>
  <si>
    <t>3 Piece Cotton Duvet Cover Set</t>
  </si>
  <si>
    <t>MP10-8491</t>
  </si>
  <si>
    <t>MP12-8493</t>
  </si>
  <si>
    <t>MP100-1219</t>
  </si>
  <si>
    <t>Josefine</t>
  </si>
  <si>
    <t>Percy</t>
  </si>
  <si>
    <t>Wilbur</t>
  </si>
  <si>
    <t>Spindle Accent Armchair with Removable Back Pillow</t>
  </si>
  <si>
    <t>41594064-000-000</t>
  </si>
  <si>
    <t>SS40-0023</t>
  </si>
  <si>
    <t>Julie</t>
  </si>
  <si>
    <t>Lila</t>
  </si>
  <si>
    <t>Printed Botanical Blackout Curtain Panel</t>
  </si>
  <si>
    <t>PF003953</t>
  </si>
  <si>
    <t>9/19/2017</t>
  </si>
  <si>
    <t>ASHFURNDS,CSNSTORES,DESINC,JCPENNEY01,OLLIIX,TGTDVS</t>
  </si>
  <si>
    <t>23998106-000-001</t>
  </si>
  <si>
    <t>9/17/2017</t>
  </si>
  <si>
    <t>CS13-1604</t>
  </si>
  <si>
    <t>Juliette</t>
  </si>
  <si>
    <t>Coverlet Set</t>
  </si>
  <si>
    <t>8/2/2022</t>
  </si>
  <si>
    <t>43948801-000-005</t>
  </si>
  <si>
    <t>CS13-1605</t>
  </si>
  <si>
    <t>43948801-000-000</t>
  </si>
  <si>
    <t>CS13-1606</t>
  </si>
  <si>
    <t>43948801-000-001</t>
  </si>
  <si>
    <t>CS13-1607</t>
  </si>
  <si>
    <t>43948801-000-004</t>
  </si>
  <si>
    <t>CS13-1608</t>
  </si>
  <si>
    <t>43948801-000-002</t>
  </si>
  <si>
    <t>CS13-1609</t>
  </si>
  <si>
    <t>43948801-000-003</t>
  </si>
  <si>
    <t>CCL10-0003</t>
  </si>
  <si>
    <t>Julius</t>
  </si>
  <si>
    <t>4 Piece Comforter Set</t>
  </si>
  <si>
    <t>10/21/2022</t>
  </si>
  <si>
    <t>AMAZON,CSNSTORES,DLCROSCILL,JCPENNEY01,MACY02</t>
  </si>
  <si>
    <t>42282354-000-005</t>
  </si>
  <si>
    <t>PET66TP6027</t>
  </si>
  <si>
    <t>Jumpi</t>
  </si>
  <si>
    <t>Dog Treat Pouch</t>
  </si>
  <si>
    <t>43808190-000-000</t>
  </si>
  <si>
    <t>MP95C-0337</t>
  </si>
  <si>
    <t>Jungle Feline</t>
  </si>
  <si>
    <t>Jungle Cheetah Canvas Wall Art</t>
  </si>
  <si>
    <t>Cheetah Green Multi</t>
  </si>
  <si>
    <t>43440165-000-000</t>
  </si>
  <si>
    <t>MP95C-0336</t>
  </si>
  <si>
    <t>Jungle Lion Canvas Wall Art</t>
  </si>
  <si>
    <t>Lion Green Multi</t>
  </si>
  <si>
    <t>43440165-000-001</t>
  </si>
  <si>
    <t>MP95C-0338</t>
  </si>
  <si>
    <t>Jungle Tiger Canvas Wall Art</t>
  </si>
  <si>
    <t>Tiger Green Multi</t>
  </si>
  <si>
    <t>43440165-000-002</t>
  </si>
  <si>
    <t>UH10-2518</t>
  </si>
  <si>
    <t>Juniper</t>
  </si>
  <si>
    <t>Poly Jersey Puffy Comforter Set</t>
  </si>
  <si>
    <t>PP001939;PF006184</t>
  </si>
  <si>
    <t>43794453-000-000</t>
  </si>
  <si>
    <t>UH10-2519</t>
  </si>
  <si>
    <t>43794453-000-005</t>
  </si>
  <si>
    <t>UH10-2520</t>
  </si>
  <si>
    <t>43794453-000-001</t>
  </si>
  <si>
    <t>UH10-2515</t>
  </si>
  <si>
    <t>PP001939;PF006183</t>
  </si>
  <si>
    <t>JCPENNEY01,KOHLDSN,MACY02,NRTPORT,TGTDVS</t>
  </si>
  <si>
    <t>43794453-000-003</t>
  </si>
  <si>
    <t>4/25/2024</t>
  </si>
  <si>
    <t>UH10-2516</t>
  </si>
  <si>
    <t>AMAZON,JCPENNEY01,MACY02,NRTPORT,OLLIIX,TGTDVS</t>
  </si>
  <si>
    <t>43794453-000-004</t>
  </si>
  <si>
    <t>6/21/2024</t>
  </si>
  <si>
    <t>UH10-2517</t>
  </si>
  <si>
    <t>43794453-000-002</t>
  </si>
  <si>
    <t>7/8/2024</t>
  </si>
  <si>
    <t>5DS100-0037</t>
  </si>
  <si>
    <t>Juno</t>
  </si>
  <si>
    <t>Upholstered Accent Armchair</t>
  </si>
  <si>
    <t>41847220-000-002</t>
  </si>
  <si>
    <t>5DS100-0054</t>
  </si>
  <si>
    <t>41847220-000-004</t>
  </si>
  <si>
    <t>5DS100-0032</t>
  </si>
  <si>
    <t>5DS36-0301</t>
  </si>
  <si>
    <t>Kaia</t>
  </si>
  <si>
    <t>Mana</t>
  </si>
  <si>
    <t>Portable Water Repellent Inflatable Sofa</t>
  </si>
  <si>
    <t>41x32x29"</t>
  </si>
  <si>
    <t>PP001994;PF006401</t>
  </si>
  <si>
    <t>44618622-000-001</t>
  </si>
  <si>
    <t>5DS36-0303</t>
  </si>
  <si>
    <t>67x33x28"</t>
  </si>
  <si>
    <t>PP001994;PF006403</t>
  </si>
  <si>
    <t>44618622-000-003</t>
  </si>
  <si>
    <t>5DS36-0304</t>
  </si>
  <si>
    <t>PP001994;PF006404</t>
  </si>
  <si>
    <t>44618622-000-000</t>
  </si>
  <si>
    <t>5DS36-0302</t>
  </si>
  <si>
    <t>PP001994;PF006402</t>
  </si>
  <si>
    <t>44618622-000-002</t>
  </si>
  <si>
    <t>MP103-1215</t>
  </si>
  <si>
    <t>Paloma</t>
  </si>
  <si>
    <t>Adobe</t>
  </si>
  <si>
    <t>40968752-000-000</t>
  </si>
  <si>
    <t>5/23/2023</t>
  </si>
  <si>
    <t>II12-1152</t>
  </si>
  <si>
    <t>Kara</t>
  </si>
  <si>
    <t>3 Piece Cotton Jacquard Duvet Cover Set</t>
  </si>
  <si>
    <t>PP001486;PF005293</t>
  </si>
  <si>
    <t>Farmhouse</t>
  </si>
  <si>
    <t>1/26/2021</t>
  </si>
  <si>
    <t>36016833-000-003</t>
  </si>
  <si>
    <t>5/25/2021</t>
  </si>
  <si>
    <t>II10-1271</t>
  </si>
  <si>
    <t>PP001486;PF005762</t>
  </si>
  <si>
    <t>AMAZONDS,AMERSIGNDS,CSNSTORES,HOUZZ,JCPENNEY01,KOHLDSN,MACY02,OLLIIX,TGTDVS,ZOLA,Zulily</t>
  </si>
  <si>
    <t>36016832-000-007</t>
  </si>
  <si>
    <t>II70-1288</t>
  </si>
  <si>
    <t>Cotton Jacquard Shower Curtain</t>
  </si>
  <si>
    <t>11/17/2022</t>
  </si>
  <si>
    <t>AMAZONDS,CSNSTORES,HOUZZ,KOHLDSN,MACY02,OLLIIX,TGTDVS</t>
  </si>
  <si>
    <t>40804251-000-002</t>
  </si>
  <si>
    <t>II12-1268</t>
  </si>
  <si>
    <t>PP001486;PF005761</t>
  </si>
  <si>
    <t>AMAZONDS,CSNSTORES,JCPENNEY01,KOHLDSN,MACY02,TGTDVS,ZOLA</t>
  </si>
  <si>
    <t>36016833-000-004</t>
  </si>
  <si>
    <t>PET63OP6186-LG</t>
  </si>
  <si>
    <t>Kato</t>
  </si>
  <si>
    <t>Large Reversible Ortho Pet Napper</t>
  </si>
  <si>
    <t>43822960-000-007</t>
  </si>
  <si>
    <t>PET63OP6187-MD</t>
  </si>
  <si>
    <t>Medium Reversible Ortho Pet Napper</t>
  </si>
  <si>
    <t>43822960-000-000</t>
  </si>
  <si>
    <t>PET63OP6187-LG</t>
  </si>
  <si>
    <t>43822960-000-004</t>
  </si>
  <si>
    <t>PET63OP6188-MD</t>
  </si>
  <si>
    <t>43822960-000-005</t>
  </si>
  <si>
    <t>PET63OP6188-LG</t>
  </si>
  <si>
    <t>43822960-000-001</t>
  </si>
  <si>
    <t>II120-0568</t>
  </si>
  <si>
    <t>Keegan</t>
  </si>
  <si>
    <t>Round Mixed Material Coffee Table with Shelf</t>
  </si>
  <si>
    <t>Oak/Marble</t>
  </si>
  <si>
    <t>44668504-000-000</t>
  </si>
  <si>
    <t>II154-0117</t>
  </si>
  <si>
    <t>Keller</t>
  </si>
  <si>
    <t>Adjustable Arched Floor Lamp with Drum Shade</t>
  </si>
  <si>
    <t>Oil Rubbed Bronze/Cream</t>
  </si>
  <si>
    <t>CSNSTORES,HDDS,JCPENNEY01,KIRKLANDDS,NEBFUR01,OLLIIX,ZOLA</t>
  </si>
  <si>
    <t>39936233-000-000</t>
  </si>
  <si>
    <t>9/20/2022</t>
  </si>
  <si>
    <t>II153-0112</t>
  </si>
  <si>
    <t>Kenlyn</t>
  </si>
  <si>
    <t>12/22/2021</t>
  </si>
  <si>
    <t>39463048-000-001</t>
  </si>
  <si>
    <t>MT120-1192</t>
  </si>
  <si>
    <t>Kenna</t>
  </si>
  <si>
    <t>Fluted 2-drawer Coffee Table</t>
  </si>
  <si>
    <t>10/28/2023</t>
  </si>
  <si>
    <t>42846070-000-000</t>
  </si>
  <si>
    <t>MT115-1206</t>
  </si>
  <si>
    <t>Canopy Bed Queen</t>
  </si>
  <si>
    <t>43804583-000-000</t>
  </si>
  <si>
    <t>5/6/2024</t>
  </si>
  <si>
    <t>BR12-3858</t>
  </si>
  <si>
    <t>Kent</t>
  </si>
  <si>
    <t>3 Piece Striped Herringbone Oversized Duvet Cover Set</t>
  </si>
  <si>
    <t>PP001827;PF005866</t>
  </si>
  <si>
    <t>40849041-000-000</t>
  </si>
  <si>
    <t>BR12-3859</t>
  </si>
  <si>
    <t>CSNSTORES,JCPENNEY01,KOHLDSN,MACY02,TGTDVS,ZOLA</t>
  </si>
  <si>
    <t>40849041-000-002</t>
  </si>
  <si>
    <t>BR10-3860</t>
  </si>
  <si>
    <t>3 Piece Striped Herringbone Oversized Comforter Set</t>
  </si>
  <si>
    <t>PP001827;PF005867</t>
  </si>
  <si>
    <t>40848856-000-001</t>
  </si>
  <si>
    <t>MP35-8071</t>
  </si>
  <si>
    <t>Kenzie</t>
  </si>
  <si>
    <t>Talia</t>
  </si>
  <si>
    <t>Nikki</t>
  </si>
  <si>
    <t>Moroccan Bordered Global Woven Area Rug</t>
  </si>
  <si>
    <t>PP001802;PF005790</t>
  </si>
  <si>
    <t>BIGLOTSDS,CSNSTORES,KOHLDSN</t>
  </si>
  <si>
    <t>40580885-000-000</t>
  </si>
  <si>
    <t>4/19/2024</t>
  </si>
  <si>
    <t>II30-1085</t>
  </si>
  <si>
    <t>Kerala</t>
  </si>
  <si>
    <t>Cotton Square Pillow</t>
  </si>
  <si>
    <t>PP001462</t>
  </si>
  <si>
    <t>35716910-000-000</t>
  </si>
  <si>
    <t>HH10-1850</t>
  </si>
  <si>
    <t>Kiawah Island</t>
  </si>
  <si>
    <t>6 Piece Oversized Cotton Comforter Set with Throw Pillow</t>
  </si>
  <si>
    <t>PP001898;PF006055</t>
  </si>
  <si>
    <t>42762440-000-001</t>
  </si>
  <si>
    <t>HH12-1854</t>
  </si>
  <si>
    <t>5 Piece Cotton Duvet Cover Set with Throw Pillow</t>
  </si>
  <si>
    <t>PP001898;PF006056</t>
  </si>
  <si>
    <t>AMAZON,CSNSTORES,KOHLDSN,MACY02,OLLIIX</t>
  </si>
  <si>
    <t>42762565-000-001</t>
  </si>
  <si>
    <t>10/30/2023</t>
  </si>
  <si>
    <t>HH10-1852</t>
  </si>
  <si>
    <t>42762440-000-002</t>
  </si>
  <si>
    <t>HH12-1855</t>
  </si>
  <si>
    <t>42762565-000-000</t>
  </si>
  <si>
    <t>HH10-1853</t>
  </si>
  <si>
    <t>42762440-000-000</t>
  </si>
  <si>
    <t>BR9144409622-03</t>
  </si>
  <si>
    <t>Kiona</t>
  </si>
  <si>
    <t>5 Piece Crushed Velvet Comforter Set</t>
  </si>
  <si>
    <t>PP001820;PF005853</t>
  </si>
  <si>
    <t>CSNSTORES,JCPENNEY01,TGTDVS,WALMARTDS</t>
  </si>
  <si>
    <t>40070515-000-001</t>
  </si>
  <si>
    <t>1/25/2023</t>
  </si>
  <si>
    <t>BR9144409622-01</t>
  </si>
  <si>
    <t>PP001820;PF005852</t>
  </si>
  <si>
    <t>40070515-000-000</t>
  </si>
  <si>
    <t>5/31/2023</t>
  </si>
  <si>
    <t>MP104-1150</t>
  </si>
  <si>
    <t>Kobe</t>
  </si>
  <si>
    <t>Heyes</t>
  </si>
  <si>
    <t>Bryant</t>
  </si>
  <si>
    <t>26758927-000-001</t>
  </si>
  <si>
    <t>FPF18-0226</t>
  </si>
  <si>
    <t>Korey</t>
  </si>
  <si>
    <t>Channel Back Slipper Chair</t>
  </si>
  <si>
    <t>PF000658;PP000189</t>
  </si>
  <si>
    <t>AMAZONDS,ASHFURNDS,CSNSTORES,HDDS,MACY02F,OLLIIX,ROOMECOM,TGTDVS</t>
  </si>
  <si>
    <t>16977712-000-000</t>
  </si>
  <si>
    <t>9/27/2017</t>
  </si>
  <si>
    <t>MZK10-248</t>
  </si>
  <si>
    <t>Kristie AZ</t>
  </si>
  <si>
    <t>100% Polyester Printed Comforter Set</t>
  </si>
  <si>
    <t>43960897-000-000</t>
  </si>
  <si>
    <t>MP40-7973</t>
  </si>
  <si>
    <t>Kyler</t>
  </si>
  <si>
    <t>Suvi</t>
  </si>
  <si>
    <t>Linen Blend Light Filtering Cordless Roman Shade</t>
  </si>
  <si>
    <t>PP001787;PF005749</t>
  </si>
  <si>
    <t>40368620-000-008</t>
  </si>
  <si>
    <t>MP40-7974</t>
  </si>
  <si>
    <t>40368620-000-011</t>
  </si>
  <si>
    <t>MP40-7975</t>
  </si>
  <si>
    <t>40368620-000-014</t>
  </si>
  <si>
    <t>MP40-7976</t>
  </si>
  <si>
    <t>34x64"</t>
  </si>
  <si>
    <t>40368620-000-010</t>
  </si>
  <si>
    <t>MP40-7977</t>
  </si>
  <si>
    <t>40368620-000-009</t>
  </si>
  <si>
    <t>MP40-7985</t>
  </si>
  <si>
    <t>Linen Blend Light Filtering Curtain Panel Pair</t>
  </si>
  <si>
    <t>2-PK 52x84"</t>
  </si>
  <si>
    <t>PP001787;PF005750</t>
  </si>
  <si>
    <t>8/12/2022</t>
  </si>
  <si>
    <t>CSNSTORES,JCPENNEY01,KIRKLANDDS,KOHLDSN,NRTPORT</t>
  </si>
  <si>
    <t>40279134-000-002</t>
  </si>
  <si>
    <t>MP40-7979</t>
  </si>
  <si>
    <t>40368620-000-001</t>
  </si>
  <si>
    <t>MP40-7982</t>
  </si>
  <si>
    <t>40368620-000-006</t>
  </si>
  <si>
    <t>MP40-7983</t>
  </si>
  <si>
    <t>PP001787;PF005748</t>
  </si>
  <si>
    <t>AMAZON,KOHLDSN,NRTPORT</t>
  </si>
  <si>
    <t>40279134-000-001</t>
  </si>
  <si>
    <t>MP13-5880</t>
  </si>
  <si>
    <t>Laetitia</t>
  </si>
  <si>
    <t>Virginia</t>
  </si>
  <si>
    <t>Cecily</t>
  </si>
  <si>
    <t>Tufted Cotton Chenille Medallion Fringe Coverlet Mini Set</t>
  </si>
  <si>
    <t>PF004301;PP000898</t>
  </si>
  <si>
    <t>Casual|BOHO</t>
  </si>
  <si>
    <t>5/29/2018</t>
  </si>
  <si>
    <t>AMAZON,BLK01,CSNSTORES,JCPENNEY01,KOHLDSN,MACY02,NRTPORT,OLLIIX,TGTDVS</t>
  </si>
  <si>
    <t>27457631-000-009</t>
  </si>
  <si>
    <t>6/29/2018</t>
  </si>
  <si>
    <t>II154-0158</t>
  </si>
  <si>
    <t>Laguna</t>
  </si>
  <si>
    <t>Rattan Weave Shade Floor Lamp</t>
  </si>
  <si>
    <t>Gold/Natural</t>
  </si>
  <si>
    <t>44671529-000-000</t>
  </si>
  <si>
    <t>MP10-6571</t>
  </si>
  <si>
    <t>Lana</t>
  </si>
  <si>
    <t>Naomi</t>
  </si>
  <si>
    <t>Marble Faux Fur Comforter Set</t>
  </si>
  <si>
    <t>Grey/Blue</t>
  </si>
  <si>
    <t>PP001331;PF004791</t>
  </si>
  <si>
    <t>8/19/2019</t>
  </si>
  <si>
    <t>AMAZON,ASHFURNDS,CSNSTORES,JCPENNEY01,KOHLDSN,TGTDVS</t>
  </si>
  <si>
    <t>33955922-000-000</t>
  </si>
  <si>
    <t>8/28/2019</t>
  </si>
  <si>
    <t>II122-0033</t>
  </si>
  <si>
    <t>Lancaster</t>
  </si>
  <si>
    <t>Amber/Graphite</t>
  </si>
  <si>
    <t>PF000894;PP000034</t>
  </si>
  <si>
    <t>20712778-000-000</t>
  </si>
  <si>
    <t>1/13/2017</t>
  </si>
  <si>
    <t>3/13/2017</t>
  </si>
  <si>
    <t>II121-0433</t>
  </si>
  <si>
    <t>Grey/Silver</t>
  </si>
  <si>
    <t>12/22/2020</t>
  </si>
  <si>
    <t>20710977-000-001</t>
  </si>
  <si>
    <t>1/21/2021</t>
  </si>
  <si>
    <t>II122-0451</t>
  </si>
  <si>
    <t>Reclaimed White</t>
  </si>
  <si>
    <t>20712778-000-002</t>
  </si>
  <si>
    <t>MP12-8166</t>
  </si>
  <si>
    <t>Langley</t>
  </si>
  <si>
    <t>Cove</t>
  </si>
  <si>
    <t xml:space="preserve">3 Piece Clipped Jacquard  Duvet Cover Set</t>
  </si>
  <si>
    <t>PP001838;PF005894</t>
  </si>
  <si>
    <t>CSNSTORES,KOHLDSN,TGTDVS,Zulily</t>
  </si>
  <si>
    <t>40910935-000-001</t>
  </si>
  <si>
    <t>12/27/2022</t>
  </si>
  <si>
    <t>MP12-8167</t>
  </si>
  <si>
    <t>CSNSTORES,HDDS,KOHLDSN,MACY02,TGTDVS,Zulily</t>
  </si>
  <si>
    <t>40910935-000-000</t>
  </si>
  <si>
    <t>4/21/2023</t>
  </si>
  <si>
    <t>ID12-2423</t>
  </si>
  <si>
    <t>Zara</t>
  </si>
  <si>
    <t>Animal Chenille Duvet Cover Set</t>
  </si>
  <si>
    <t>Off-White</t>
  </si>
  <si>
    <t>PF006270</t>
  </si>
  <si>
    <t>44339048-000-001</t>
  </si>
  <si>
    <t>MP72-5826</t>
  </si>
  <si>
    <t>Lasso</t>
  </si>
  <si>
    <t>Copula</t>
  </si>
  <si>
    <t>Braide</t>
  </si>
  <si>
    <t>100% Cotton Chenille Chain Stitch Rug</t>
  </si>
  <si>
    <t>17x24"</t>
  </si>
  <si>
    <t>PP000880;PF004256</t>
  </si>
  <si>
    <t>5/15/2018</t>
  </si>
  <si>
    <t>27404669-000-001</t>
  </si>
  <si>
    <t>5/24/2018</t>
  </si>
  <si>
    <t>3/4/2019</t>
  </si>
  <si>
    <t>MP72-5827</t>
  </si>
  <si>
    <t>AMAZON,AMAZONDS,CSNSTORES,KOHLDSN,MACY02,OLLIIX,TGTDVS,Zulily</t>
  </si>
  <si>
    <t>27404669-000-003</t>
  </si>
  <si>
    <t>1/17/2019</t>
  </si>
  <si>
    <t>MP72-5828</t>
  </si>
  <si>
    <t>24x40"</t>
  </si>
  <si>
    <t>AMAZONDS,CSNSTORES,MACY02,OLLIIX</t>
  </si>
  <si>
    <t>27404669-000-011</t>
  </si>
  <si>
    <t>5/25/2018</t>
  </si>
  <si>
    <t>4/23/2019</t>
  </si>
  <si>
    <t>MP10-5116</t>
  </si>
  <si>
    <t>Vivian</t>
  </si>
  <si>
    <t>Piedmont</t>
  </si>
  <si>
    <t>7 Piece Tufted Comforter Set</t>
  </si>
  <si>
    <t>PF002423;PP000440</t>
  </si>
  <si>
    <t>AMAZON,AMAZONDS,BLK01,CSNSTORES,JCPENNEY01,KOHLDSN,NEBFUR01,TGTDVS,WALMARTDS</t>
  </si>
  <si>
    <t>39620303-000-022</t>
  </si>
  <si>
    <t>9/4/2017</t>
  </si>
  <si>
    <t>10/5/2017</t>
  </si>
  <si>
    <t>5DS122-0010</t>
  </si>
  <si>
    <t>Laurel Desk</t>
  </si>
  <si>
    <t>38980655-000-000</t>
  </si>
  <si>
    <t>1/14/2022</t>
  </si>
  <si>
    <t>MP10-659</t>
  </si>
  <si>
    <t>Plum</t>
  </si>
  <si>
    <t>PF002424;PP000440</t>
  </si>
  <si>
    <t>AMAZON,ASHFURNDS,CSNSTORES,JCPENNEY01,KOHLDSN,MACY02,OLLIIX,TGTDVS,WALMARTDS</t>
  </si>
  <si>
    <t>39620303-000-007</t>
  </si>
  <si>
    <t>MP10-641</t>
  </si>
  <si>
    <t>PF002425;PP000440</t>
  </si>
  <si>
    <t>39620303-000-024</t>
  </si>
  <si>
    <t>MPS135-0049</t>
  </si>
  <si>
    <t>BAR CART</t>
  </si>
  <si>
    <t>Bar Cart</t>
  </si>
  <si>
    <t>Lauren</t>
  </si>
  <si>
    <t>PF000513;PP000303</t>
  </si>
  <si>
    <t>5/26/2017</t>
  </si>
  <si>
    <t>BLK01,CSNSTORES,MACY02F,OLLIIX,ZOLA</t>
  </si>
  <si>
    <t>20610684-000-000</t>
  </si>
  <si>
    <t>1/6/2017</t>
  </si>
  <si>
    <t>MPS115-0261A</t>
  </si>
  <si>
    <t>HB:64.5"W X 52"H X 2.5"T; FB:64.5" X 38"H X 2.5"T</t>
  </si>
  <si>
    <t>TN10-0472</t>
  </si>
  <si>
    <t>Laurie</t>
  </si>
  <si>
    <t>Whitney</t>
  </si>
  <si>
    <t>Plush to Sherpa Comforter Set</t>
  </si>
  <si>
    <t>PP001674;PF005566</t>
  </si>
  <si>
    <t>AMAZONDS,CSNSTORES,DESINC,KOHLDSN,MACY02,NEBFUR01,OLLIIX,TGTDVS,ZOLA</t>
  </si>
  <si>
    <t>38963710-000-001</t>
  </si>
  <si>
    <t>10/13/2021</t>
  </si>
  <si>
    <t>TN10-0475</t>
  </si>
  <si>
    <t>PP001674;PF005567</t>
  </si>
  <si>
    <t>CSNSTORES,KOHLDSN,MACY02,ZOLA</t>
  </si>
  <si>
    <t>38963710-000-003</t>
  </si>
  <si>
    <t>MP10-1667</t>
  </si>
  <si>
    <t>Lavine</t>
  </si>
  <si>
    <t>Anouk</t>
  </si>
  <si>
    <t>Octavia</t>
  </si>
  <si>
    <t>PF002739;PP000441</t>
  </si>
  <si>
    <t>Glam/Luxury|Transitional</t>
  </si>
  <si>
    <t>17493487-000-002</t>
  </si>
  <si>
    <t>8/10/2015</t>
  </si>
  <si>
    <t>II120-0574</t>
  </si>
  <si>
    <t>Console Table</t>
  </si>
  <si>
    <t>Layana</t>
  </si>
  <si>
    <t>Faux White Marble Console Table with Reeded Wooden Pillar Legs</t>
  </si>
  <si>
    <t>Natural/Faux White Marble</t>
  </si>
  <si>
    <t>44655037-000-000</t>
  </si>
  <si>
    <t>II120-0573</t>
  </si>
  <si>
    <t>Faux White Marble Round Coffee Table with Storage</t>
  </si>
  <si>
    <t>44668503-000-000</t>
  </si>
  <si>
    <t>MP95B-0273</t>
  </si>
  <si>
    <t>Leah</t>
  </si>
  <si>
    <t xml:space="preserve">Leah </t>
  </si>
  <si>
    <t>Round Two-tone Medallion Wall Decor</t>
  </si>
  <si>
    <t>PP001633</t>
  </si>
  <si>
    <t>AMAZON,BLK01,HDDS,JCPENNEY01,KIRKLANDDS,KOHLDSN,MACY02,NRTPORT,OLLIIX,TGTDVS,ZOLA,Zulily</t>
  </si>
  <si>
    <t>38900782-000-000</t>
  </si>
  <si>
    <t>2/14/2022</t>
  </si>
  <si>
    <t>WR50-1628</t>
  </si>
  <si>
    <t>Leeds</t>
  </si>
  <si>
    <t>Softspun Down Alternative Oversized Throw</t>
  </si>
  <si>
    <t>PF002057</t>
  </si>
  <si>
    <t>AMAZON,CSNSTORES,KOHLDSN,MACY02,WALMARTDS</t>
  </si>
  <si>
    <t>17651624-000-000</t>
  </si>
  <si>
    <t>10/23/2015</t>
  </si>
  <si>
    <t>MP40-7491</t>
  </si>
  <si>
    <t>Leilani</t>
  </si>
  <si>
    <t>Kauna</t>
  </si>
  <si>
    <t>Maui</t>
  </si>
  <si>
    <t>Palm Leaf Burnout Window Sheer</t>
  </si>
  <si>
    <t>PP001628;PF005464</t>
  </si>
  <si>
    <t>AMAZONDS,CSNSTORES,DESINC,JCPENNEY01,KOHLDSN,TGTDVS</t>
  </si>
  <si>
    <t>22281011-000-003</t>
  </si>
  <si>
    <t>10/11/2021</t>
  </si>
  <si>
    <t>MP40-7493</t>
  </si>
  <si>
    <t>22281011-000-004</t>
  </si>
  <si>
    <t>9/30/2021</t>
  </si>
  <si>
    <t>MP40-4379</t>
  </si>
  <si>
    <t>PF003886;PP001628</t>
  </si>
  <si>
    <t>5/20/2017</t>
  </si>
  <si>
    <t>AMAZON,AMAZONDS,ASHFURNDS,BLK01,CSNSTORES,JCPENNEY01,KOHLDSN,OLLIIX,TGTDVS</t>
  </si>
  <si>
    <t>22281011-000-000</t>
  </si>
  <si>
    <t>II108-0500</t>
  </si>
  <si>
    <t>Lemmy</t>
  </si>
  <si>
    <t>Armless Upholstered Dining Chair Set of 2</t>
  </si>
  <si>
    <t>HDDS,HOUZZ,OLLIIX</t>
  </si>
  <si>
    <t>40983761-000-000</t>
  </si>
  <si>
    <t>1/16/2023</t>
  </si>
  <si>
    <t>II10-1169</t>
  </si>
  <si>
    <t>Lennon</t>
  </si>
  <si>
    <t>3 Piece Organic Cotton Jacquard Comforter Set</t>
  </si>
  <si>
    <t>PP001461;PF005331</t>
  </si>
  <si>
    <t>4/13/2021</t>
  </si>
  <si>
    <t>CSNSTORES,OLLIIX,Zulily</t>
  </si>
  <si>
    <t>35754359-000-003</t>
  </si>
  <si>
    <t>BL50-0888</t>
  </si>
  <si>
    <t>Lexi</t>
  </si>
  <si>
    <t>Color Block Throw</t>
  </si>
  <si>
    <t>PF003443</t>
  </si>
  <si>
    <t>CSNSTORES,MACY02,OLLIIX,TGTDVS</t>
  </si>
  <si>
    <t>19258302-000-000</t>
  </si>
  <si>
    <t>10/17/2016</t>
  </si>
  <si>
    <t>MT95B-0079</t>
  </si>
  <si>
    <t>Awd</t>
  </si>
  <si>
    <t>Framed Rice Paper Shadow Box Gingko Leaf Wall Decor Art</t>
  </si>
  <si>
    <t>42877874-000-000</t>
  </si>
  <si>
    <t>MP100-1218</t>
  </si>
  <si>
    <t>Lounge</t>
  </si>
  <si>
    <t>Lillie</t>
  </si>
  <si>
    <t>Handcrafted Seagrass Back Armchair with Removable Seat Cushion and Back Pillow</t>
  </si>
  <si>
    <t>41594065-000-000</t>
  </si>
  <si>
    <t>MP10-8406</t>
  </si>
  <si>
    <t>Lily</t>
  </si>
  <si>
    <t>Annette</t>
  </si>
  <si>
    <t>Eloise</t>
  </si>
  <si>
    <t>PF006215;PP001951</t>
  </si>
  <si>
    <t>44276507-000-000</t>
  </si>
  <si>
    <t>MP10-8408</t>
  </si>
  <si>
    <t>PP001951;PF006216</t>
  </si>
  <si>
    <t>44276507-000-002</t>
  </si>
  <si>
    <t>MP10-8409</t>
  </si>
  <si>
    <t>44276507-000-003</t>
  </si>
  <si>
    <t>MP101-1137</t>
  </si>
  <si>
    <t>Lindsey</t>
  </si>
  <si>
    <t>Alice</t>
  </si>
  <si>
    <t>Kylie</t>
  </si>
  <si>
    <t>Tufted Square Cocktail Ottoman</t>
  </si>
  <si>
    <t>CSNSTORES,KIRKLANDDS,KOHLDSN,MACY02F</t>
  </si>
  <si>
    <t>16977705-000-002</t>
  </si>
  <si>
    <t>1/13/2022</t>
  </si>
  <si>
    <t>MP95C-0037</t>
  </si>
  <si>
    <t>Linen Botanicals</t>
  </si>
  <si>
    <t>Illustration 3-piece Canvas Wall Art Set</t>
  </si>
  <si>
    <t>PF001908</t>
  </si>
  <si>
    <t>BIGLOTSDS,BLK01,CSNSTORES,KIRKLANDDS,OLLIIX,ROOMECOM,TGTDVS,Zulily</t>
  </si>
  <si>
    <t>18755591-000-000</t>
  </si>
  <si>
    <t>5/24/2016</t>
  </si>
  <si>
    <t>MT135-0036</t>
  </si>
  <si>
    <t>Lionel</t>
  </si>
  <si>
    <t>Two Tier Bar Cart on Wheels</t>
  </si>
  <si>
    <t>PP001245</t>
  </si>
  <si>
    <t>AMAZONDS,CSNSTORES,HOUZZ,MACY02F,OLLIIX</t>
  </si>
  <si>
    <t>34118860-000-000</t>
  </si>
  <si>
    <t>8/23/2019</t>
  </si>
  <si>
    <t>10/11/2019</t>
  </si>
  <si>
    <t>5DS153-0049</t>
  </si>
  <si>
    <t>Liora</t>
  </si>
  <si>
    <t>2-Tone Ceramic Table Lamp Set of 2</t>
  </si>
  <si>
    <t>43453100-000-001</t>
  </si>
  <si>
    <t>5DS153-0048</t>
  </si>
  <si>
    <t>White/Silver</t>
  </si>
  <si>
    <t>43453100-000-002</t>
  </si>
  <si>
    <t>BL51N-0608</t>
  </si>
  <si>
    <t>Liquid Cotton</t>
  </si>
  <si>
    <t>PF003447</t>
  </si>
  <si>
    <t>14944585-000-003</t>
  </si>
  <si>
    <t>MP51N-4640</t>
  </si>
  <si>
    <t>PF003525</t>
  </si>
  <si>
    <t>AMAZON,BLK01,CSNSTORES,HSNDS,JCPENNEY01,KOHLDSN,MACY02,OLLIIX,WALMARTDS</t>
  </si>
  <si>
    <t>14944585-000-024</t>
  </si>
  <si>
    <t>BL51N-0680</t>
  </si>
  <si>
    <t>PF003480</t>
  </si>
  <si>
    <t>AMAZON,AMAZONDS,BEALLSDS,BLK01,CSNSTORES,JCPENNEY01,KOHLDSN,MACY02,OLLIIX,TGTDVS,WALMARTDS</t>
  </si>
  <si>
    <t>14944585-000-012</t>
  </si>
  <si>
    <t>BL51N-0733</t>
  </si>
  <si>
    <t>PF003491</t>
  </si>
  <si>
    <t>AMAZON,BLK01,CSNSTORES,JCPENNEY01,KOHLDSN,MACY02,OLLIIX,TGTDVS,ZOLA</t>
  </si>
  <si>
    <t>14944585-000-016</t>
  </si>
  <si>
    <t>BL51N-0675</t>
  </si>
  <si>
    <t>PF003469</t>
  </si>
  <si>
    <t>14944585-000-009</t>
  </si>
  <si>
    <t>1/14/2015</t>
  </si>
  <si>
    <t>MP51N-8379</t>
  </si>
  <si>
    <t>PP001934;PF006167</t>
  </si>
  <si>
    <t>14944585-000-032</t>
  </si>
  <si>
    <t>BL51N-0736</t>
  </si>
  <si>
    <t>PF003502</t>
  </si>
  <si>
    <t>AMAZON,AMAZONDS,BLK01,CSNSTORES,JCPENNEY01,KOHLDSN,MACY02,OLLIIX,TGTDVS,WALMARTDS,ZOLA</t>
  </si>
  <si>
    <t>14944585-000-019</t>
  </si>
  <si>
    <t>6/8/2015</t>
  </si>
  <si>
    <t>BL51N-0613</t>
  </si>
  <si>
    <t>PF003458</t>
  </si>
  <si>
    <t>AMAZON,AMAZONDS,CSNSTORES,JCPENNEY01,KOHLDSN,MACY02,NEBFUR01,OLLIIX,TGTDVS,WALMARTDS</t>
  </si>
  <si>
    <t>14944585-000-008</t>
  </si>
  <si>
    <t>MP51N-4239</t>
  </si>
  <si>
    <t>PF003513</t>
  </si>
  <si>
    <t>AMAZON,CSNSTORES,JCPENNEY01,KOHLDSN,MACY02,WALMARTDS</t>
  </si>
  <si>
    <t>14944585-000-023</t>
  </si>
  <si>
    <t>3/7/2017</t>
  </si>
  <si>
    <t>ID73-2058</t>
  </si>
  <si>
    <t>FASHION TOWEL</t>
  </si>
  <si>
    <t>Lita AZ</t>
  </si>
  <si>
    <t>6 Piece Cotton Jacquard Towel Set</t>
  </si>
  <si>
    <t>Chartruse Green</t>
  </si>
  <si>
    <t>AMAZONDS,KOHLDSN</t>
  </si>
  <si>
    <t>44160709-000-000</t>
  </si>
  <si>
    <t>ID73-2060</t>
  </si>
  <si>
    <t>44160709-000-001</t>
  </si>
  <si>
    <t>FB153-1168</t>
  </si>
  <si>
    <t>Livy</t>
  </si>
  <si>
    <t>Oval Textured Ceramic Table Lamp</t>
  </si>
  <si>
    <t>Silver Base/White Shade</t>
  </si>
  <si>
    <t>39771276-000-000</t>
  </si>
  <si>
    <t>3/28/2022</t>
  </si>
  <si>
    <t>MP10-6833</t>
  </si>
  <si>
    <t>Lola</t>
  </si>
  <si>
    <t>Brianna</t>
  </si>
  <si>
    <t>Victoria</t>
  </si>
  <si>
    <t>Printed Cotton Sateen Comforter Set</t>
  </si>
  <si>
    <t>PF002455;PP000448</t>
  </si>
  <si>
    <t>Farm House|Casual</t>
  </si>
  <si>
    <t>11/26/2019</t>
  </si>
  <si>
    <t>18523707-000-003</t>
  </si>
  <si>
    <t>12/20/2019</t>
  </si>
  <si>
    <t>1/13/2020</t>
  </si>
  <si>
    <t>MP10-2639</t>
  </si>
  <si>
    <t>PF002455</t>
  </si>
  <si>
    <t>4/4/2017</t>
  </si>
  <si>
    <t>AMAZON,BIGLOTSDS,BLK01,CSNSTORES,FINGERHUTDS,JCPENNEY01,KOHLDSN,MACY02,OLLIIX,TGTDVS</t>
  </si>
  <si>
    <t>18523707-000-000</t>
  </si>
  <si>
    <t>4/1/2016</t>
  </si>
  <si>
    <t>MP13-2645</t>
  </si>
  <si>
    <t>6 Piece Printed Cotton Quilt Set with Throw Pillows</t>
  </si>
  <si>
    <t>AMAZON,BLK01,CSNSTORES,JCPENNEY01,KOHLDSN,MACY02</t>
  </si>
  <si>
    <t>18525096-000-001</t>
  </si>
  <si>
    <t>MP70-5669</t>
  </si>
  <si>
    <t>Jane</t>
  </si>
  <si>
    <t xml:space="preserve">100% Cotton  Floral Printed Shower Curtain</t>
  </si>
  <si>
    <t>Grey/Peach</t>
  </si>
  <si>
    <t>PP000448;PF004226</t>
  </si>
  <si>
    <t>2/28/2018</t>
  </si>
  <si>
    <t>AMAZON,CSNSTORES,JCPENNEY01,KOHLDSN,MACY02,NEBFUR01,TGTDVS,WALMARTDS</t>
  </si>
  <si>
    <t>14708559-000-003</t>
  </si>
  <si>
    <t>2/21/2018</t>
  </si>
  <si>
    <t>UHK10-0098</t>
  </si>
  <si>
    <t>Laila</t>
  </si>
  <si>
    <t>Unicorn Cotton Comforter Set</t>
  </si>
  <si>
    <t>PP000904;PF004525</t>
  </si>
  <si>
    <t>1/11/2019</t>
  </si>
  <si>
    <t>23228922-000-002</t>
  </si>
  <si>
    <t>1/13/2019</t>
  </si>
  <si>
    <t>UHK13-0102</t>
  </si>
  <si>
    <t xml:space="preserve">Unicorn Reversible Cotton  Quilt Set with Throw Pillows</t>
  </si>
  <si>
    <t>1/15/2019</t>
  </si>
  <si>
    <t>23228920-000-003</t>
  </si>
  <si>
    <t>UHK13-0053</t>
  </si>
  <si>
    <t>PF002490</t>
  </si>
  <si>
    <t>9/1/2017</t>
  </si>
  <si>
    <t>23228920-000-001</t>
  </si>
  <si>
    <t>7/25/2017</t>
  </si>
  <si>
    <t>ID31-2034</t>
  </si>
  <si>
    <t>Loretta</t>
  </si>
  <si>
    <t>Lorissa</t>
  </si>
  <si>
    <t>Poly Chenille Round Floor Pillow Cushion</t>
  </si>
  <si>
    <t>Dia 22"x6"</t>
  </si>
  <si>
    <t>5/8/2021</t>
  </si>
  <si>
    <t>AMAZONDS,CSNSTORES,HOUZZ,KOHLDSN,MACY02,TGTDVS</t>
  </si>
  <si>
    <t>38241495-000-000</t>
  </si>
  <si>
    <t>7/23/2021</t>
  </si>
  <si>
    <t>CCL10-0008</t>
  </si>
  <si>
    <t>42155571-000-001</t>
  </si>
  <si>
    <t>CCL10-0009</t>
  </si>
  <si>
    <t>42155571-000-002</t>
  </si>
  <si>
    <t>MP10-8435</t>
  </si>
  <si>
    <t>Lori</t>
  </si>
  <si>
    <t>Monroe</t>
  </si>
  <si>
    <t>Tessa</t>
  </si>
  <si>
    <t>Teal/Silver</t>
  </si>
  <si>
    <t>PP001956;PF006232</t>
  </si>
  <si>
    <t>6/7/2024</t>
  </si>
  <si>
    <t>44270204-000-003</t>
  </si>
  <si>
    <t>MP100-0955</t>
  </si>
  <si>
    <t>Britton</t>
  </si>
  <si>
    <t>Santos</t>
  </si>
  <si>
    <t>Button Tufted Captain Accent Chair</t>
  </si>
  <si>
    <t>PF001079</t>
  </si>
  <si>
    <t>1/17/2020</t>
  </si>
  <si>
    <t>ASHFURNDS,CSNSTORES,MACY02F,OLLIIX,TGTDVS</t>
  </si>
  <si>
    <t>35430606-000-000</t>
  </si>
  <si>
    <t>3/20/2020</t>
  </si>
  <si>
    <t>ID10-2369</t>
  </si>
  <si>
    <t>Lucy</t>
  </si>
  <si>
    <t>Vera</t>
  </si>
  <si>
    <t>Elise</t>
  </si>
  <si>
    <t>Clip Jacquard Comforter Set</t>
  </si>
  <si>
    <t>PP001813;PF006254</t>
  </si>
  <si>
    <t>AMAZON,BLK01,HDDS,JCPENNEY01,KOHLDSN,TGTDVS</t>
  </si>
  <si>
    <t>40850769-000-015</t>
  </si>
  <si>
    <t>ID12-2372</t>
  </si>
  <si>
    <t>40850749-000-010</t>
  </si>
  <si>
    <t>ID12-2373</t>
  </si>
  <si>
    <t>40850749-000-011</t>
  </si>
  <si>
    <t>ID10-2371</t>
  </si>
  <si>
    <t>AMAZON,BLK01,HDDS,JCPENNEY01,KOHLDSN,OLLIIX,TGTDVS</t>
  </si>
  <si>
    <t>40850769-000-019</t>
  </si>
  <si>
    <t>7/19/2024</t>
  </si>
  <si>
    <t>ID10-2376</t>
  </si>
  <si>
    <t>PP001813;PF006255</t>
  </si>
  <si>
    <t>40850769-000-016</t>
  </si>
  <si>
    <t>6/9/2024</t>
  </si>
  <si>
    <t>ID10-2282</t>
  </si>
  <si>
    <t>PP001813;PF006085</t>
  </si>
  <si>
    <t>40850769-000-014</t>
  </si>
  <si>
    <t>ID12-2285</t>
  </si>
  <si>
    <t>40850749-000-006</t>
  </si>
  <si>
    <t>ID10-2283</t>
  </si>
  <si>
    <t>40850769-000-013</t>
  </si>
  <si>
    <t>ID10-2277</t>
  </si>
  <si>
    <t>PP001813;PF006084</t>
  </si>
  <si>
    <t>AMAZON,AMAZONDS,CSNSTORES,HDDS,JCPENNEY01,KOHLDSN,MACY02,TGTDVS</t>
  </si>
  <si>
    <t>40850769-000-006</t>
  </si>
  <si>
    <t>ID12-2280</t>
  </si>
  <si>
    <t>10/19/2023</t>
  </si>
  <si>
    <t>40850749-000-004</t>
  </si>
  <si>
    <t>ID12-2281</t>
  </si>
  <si>
    <t>40850749-000-005</t>
  </si>
  <si>
    <t>ID10-2287</t>
  </si>
  <si>
    <t>PP001813;PF005819</t>
  </si>
  <si>
    <t>40850769-000-008</t>
  </si>
  <si>
    <t>ID12-2275</t>
  </si>
  <si>
    <t>PP001813;PF006083</t>
  </si>
  <si>
    <t>40850749-000-008</t>
  </si>
  <si>
    <t>ID12-2276</t>
  </si>
  <si>
    <t>CSNSTORES,KOHLDSN,NRTPORT,TGTDVS</t>
  </si>
  <si>
    <t>40850749-000-009</t>
  </si>
  <si>
    <t>ID12-2013</t>
  </si>
  <si>
    <t>Lumi</t>
  </si>
  <si>
    <t>Striped Duvet Cover Set</t>
  </si>
  <si>
    <t>PP001607;PF005400</t>
  </si>
  <si>
    <t>38019921-000-002</t>
  </si>
  <si>
    <t>ID12-2014</t>
  </si>
  <si>
    <t>38019921-000-001</t>
  </si>
  <si>
    <t>8/24/2021</t>
  </si>
  <si>
    <t>FB155-1182</t>
  </si>
  <si>
    <t>Luminex</t>
  </si>
  <si>
    <t>White Ceramic Wall Sconce with Adjustable Swing Arm</t>
  </si>
  <si>
    <t>5/11/2024</t>
  </si>
  <si>
    <t>44671530-000-000</t>
  </si>
  <si>
    <t>MP95C-0155</t>
  </si>
  <si>
    <t>Luminous</t>
  </si>
  <si>
    <t>Heavily Embellished 3-piece Canvas Wall Art Set</t>
  </si>
  <si>
    <t>PF004270</t>
  </si>
  <si>
    <t>3/18/2018</t>
  </si>
  <si>
    <t>AMAZON,AMERSIGNDS,CSNSTORES,DESINC,KIRKLANDDS,KOHLDSN,LAMPDS,OLLIIX,ROOMECOM,TGTDVS</t>
  </si>
  <si>
    <t>26922711-000-000</t>
  </si>
  <si>
    <t>4/26/2018</t>
  </si>
  <si>
    <t>MP95C-0269</t>
  </si>
  <si>
    <t>AMAZON,AMAZONDS,CSNSTORES,DESINC,JCPENNEY01,KIRKLANDDS,KOHLDSN,OLLIIX,ROOMECOM</t>
  </si>
  <si>
    <t>26922711-000-001</t>
  </si>
  <si>
    <t>5/18/2021</t>
  </si>
  <si>
    <t>MP95C-0208</t>
  </si>
  <si>
    <t>Luminous Bloom</t>
  </si>
  <si>
    <t>Gold Foil and Hand Embellished Floral Canvas Wall Art</t>
  </si>
  <si>
    <t>AMAZON,AMERSIGNDS,BLK01,CSNSTORES,KIRKLANDDS,KOHLDSN,MACY02,OLLIIX</t>
  </si>
  <si>
    <t>33246977-000-000</t>
  </si>
  <si>
    <t>5/6/2019</t>
  </si>
  <si>
    <t>2/3/2020</t>
  </si>
  <si>
    <t>MPE10-1061</t>
  </si>
  <si>
    <t>Luna</t>
  </si>
  <si>
    <t>Piper</t>
  </si>
  <si>
    <t>Willow</t>
  </si>
  <si>
    <t>Floral Comforter Set with Bed Sheets</t>
  </si>
  <si>
    <t>PF002742;PP001974</t>
  </si>
  <si>
    <t>44439848-000-008</t>
  </si>
  <si>
    <t>MPE10-1064</t>
  </si>
  <si>
    <t>PF002743;PP001974</t>
  </si>
  <si>
    <t>44439848-000-005</t>
  </si>
  <si>
    <t>MPE10-1065</t>
  </si>
  <si>
    <t>44439848-000-001</t>
  </si>
  <si>
    <t>MPE10-1066</t>
  </si>
  <si>
    <t>44439848-000-003</t>
  </si>
  <si>
    <t>MPE10-1067</t>
  </si>
  <si>
    <t>44439848-000-009</t>
  </si>
  <si>
    <t>FB153-1180</t>
  </si>
  <si>
    <t>Luxuria</t>
  </si>
  <si>
    <t>Textured Glass and Acrylic Base Table Lamp</t>
  </si>
  <si>
    <t>43446596-000-001</t>
  </si>
  <si>
    <t>FB153-1178</t>
  </si>
  <si>
    <t>43446596-000-000</t>
  </si>
  <si>
    <t>CCS20-015</t>
  </si>
  <si>
    <t>Luxury Egyptian</t>
  </si>
  <si>
    <t>500TC Cotton Pillowcases</t>
  </si>
  <si>
    <t>42024797-000-000</t>
  </si>
  <si>
    <t>11/26/2023</t>
  </si>
  <si>
    <t>CCS20-038</t>
  </si>
  <si>
    <t>500TC Cotton Sheet Set</t>
  </si>
  <si>
    <t>1/1/2025</t>
  </si>
  <si>
    <t>42025513-000-006</t>
  </si>
  <si>
    <t>CCS20-014</t>
  </si>
  <si>
    <t>Standard</t>
  </si>
  <si>
    <t>42024797-000-003</t>
  </si>
  <si>
    <t>CCS20-010</t>
  </si>
  <si>
    <t>AMAZON,BLK01,CSNSTORES,JCPENNEY01,KOHLDSN,OLLIIX</t>
  </si>
  <si>
    <t>42024797-000-001</t>
  </si>
  <si>
    <t>CCS20-037</t>
  </si>
  <si>
    <t>42025513-000-000</t>
  </si>
  <si>
    <t>CCS20-005</t>
  </si>
  <si>
    <t>42024797-000-005</t>
  </si>
  <si>
    <t>4/29/2024</t>
  </si>
  <si>
    <t>CCS20-004</t>
  </si>
  <si>
    <t>BLK01,DLCROSCILL,HDDS,JCPENNEY01,MACY02,OLLIIX</t>
  </si>
  <si>
    <t>42024797-000-004</t>
  </si>
  <si>
    <t>MP133-0533</t>
  </si>
  <si>
    <t>BUFFET</t>
  </si>
  <si>
    <t>Buffet</t>
  </si>
  <si>
    <t>Lyle</t>
  </si>
  <si>
    <t>Arbor</t>
  </si>
  <si>
    <t>Bliss</t>
  </si>
  <si>
    <t>PP000634</t>
  </si>
  <si>
    <t>11/30/2017</t>
  </si>
  <si>
    <t>25456814-000-000</t>
  </si>
  <si>
    <t>12/27/2017</t>
  </si>
  <si>
    <t>FB153-1189</t>
  </si>
  <si>
    <t>Lysandria</t>
  </si>
  <si>
    <t>Glass Table Lamp</t>
  </si>
  <si>
    <t>44671192-000-000</t>
  </si>
  <si>
    <t>II100-0291</t>
  </si>
  <si>
    <t>Madden</t>
  </si>
  <si>
    <t>1/27/2018</t>
  </si>
  <si>
    <t>ASHFURNDS,CSNSTORES,LAMPDS,OLLIIX</t>
  </si>
  <si>
    <t>26106887-000-000</t>
  </si>
  <si>
    <t>5/23/2018</t>
  </si>
  <si>
    <t>BR10-3864</t>
  </si>
  <si>
    <t>Maddox</t>
  </si>
  <si>
    <t>3 Piece Striated Cationic Dyed Oversized Comforter Set with Pleats</t>
  </si>
  <si>
    <t>PP001828;PF005869</t>
  </si>
  <si>
    <t>40849200-000-000</t>
  </si>
  <si>
    <t>2/2/2023</t>
  </si>
  <si>
    <t>BR12-3866</t>
  </si>
  <si>
    <t>3 Piece Striated Cationic Dyed Oversized Duvet Cover Set with Pleats</t>
  </si>
  <si>
    <t>ASHFURNDS,CSNSTORES,JCPENNEY01,KOHLDSN,TGTDVS</t>
  </si>
  <si>
    <t>40849218-000-002</t>
  </si>
  <si>
    <t>12/12/2022</t>
  </si>
  <si>
    <t>BR12-3867</t>
  </si>
  <si>
    <t>ASHFURNDS,CSNSTORES,JCPENNEY01,KOHLDSN,MACY02,TGTDVS,ZOLA</t>
  </si>
  <si>
    <t>40849218-000-003</t>
  </si>
  <si>
    <t>BR10-3868</t>
  </si>
  <si>
    <t>3 Piece Striated Cationic Dyed Oversized Comforter Set With Pleats</t>
  </si>
  <si>
    <t>PP001828;PF005870</t>
  </si>
  <si>
    <t>40849200-000-001</t>
  </si>
  <si>
    <t>1/24/2023</t>
  </si>
  <si>
    <t>BR12-3870</t>
  </si>
  <si>
    <t>40849218-000-000</t>
  </si>
  <si>
    <t>MT103-1188</t>
  </si>
  <si>
    <t>Madrid</t>
  </si>
  <si>
    <t>360 Degree Upholstered Swivel Chair</t>
  </si>
  <si>
    <t>40538347-000-000</t>
  </si>
  <si>
    <t>MP104-1247</t>
  </si>
  <si>
    <t>Maison</t>
  </si>
  <si>
    <t>Marc</t>
  </si>
  <si>
    <t>Eugene</t>
  </si>
  <si>
    <t>Dark Grey/Antique Gold</t>
  </si>
  <si>
    <t>MP100-1168</t>
  </si>
  <si>
    <t>Malabar</t>
  </si>
  <si>
    <t>Leigh</t>
  </si>
  <si>
    <t>Daly</t>
  </si>
  <si>
    <t>25928769-000-001</t>
  </si>
  <si>
    <t>4/2/2022</t>
  </si>
  <si>
    <t>ID10-2234</t>
  </si>
  <si>
    <t>Malea</t>
  </si>
  <si>
    <t>Leena</t>
  </si>
  <si>
    <t>Shaggy Long Fur Comforter Mini Set</t>
  </si>
  <si>
    <t>PP001109;PF006032</t>
  </si>
  <si>
    <t>32517355-000-017</t>
  </si>
  <si>
    <t>ID10-2437</t>
  </si>
  <si>
    <t>Shaggy Faux Fur Comforter Mini Set</t>
  </si>
  <si>
    <t>Green/White</t>
  </si>
  <si>
    <t>PP001109;PF006284</t>
  </si>
  <si>
    <t>32517355-000-020</t>
  </si>
  <si>
    <t>ID10-2438</t>
  </si>
  <si>
    <t>32517355-000-019</t>
  </si>
  <si>
    <t>ID10-2439</t>
  </si>
  <si>
    <t>32517355-000-018</t>
  </si>
  <si>
    <t>ID10-2440</t>
  </si>
  <si>
    <t>Pink/White</t>
  </si>
  <si>
    <t>PP001109;PF006285</t>
  </si>
  <si>
    <t>32517355-000-023</t>
  </si>
  <si>
    <t>ID10-2441</t>
  </si>
  <si>
    <t>32517355-000-022</t>
  </si>
  <si>
    <t>ID10-2442</t>
  </si>
  <si>
    <t>32517355-000-021</t>
  </si>
  <si>
    <t>ST54-0150</t>
  </si>
  <si>
    <t>Malea Heated</t>
  </si>
  <si>
    <t>Leena Heated</t>
  </si>
  <si>
    <t>Shaggy Faux Fur Heated Throw</t>
  </si>
  <si>
    <t>6/28/2021</t>
  </si>
  <si>
    <t>CSNSTORES,FINGERHUTDS,HSNDS,JCPENNEY01,KOHLDSN,MACY02,OLLIIX,TGTDVS,WALMARTDS</t>
  </si>
  <si>
    <t>38580938-000-002</t>
  </si>
  <si>
    <t>8/4/2021</t>
  </si>
  <si>
    <t>IIF18-0046</t>
  </si>
  <si>
    <t>Malibu</t>
  </si>
  <si>
    <t>PF000204;PP000035</t>
  </si>
  <si>
    <t>CSNSTORES,HDDS,KIRKLANDDS,OLLIIX</t>
  </si>
  <si>
    <t>19889612-000-000</t>
  </si>
  <si>
    <t>11/10/2016</t>
  </si>
  <si>
    <t>II136-0418</t>
  </si>
  <si>
    <t>Mallory</t>
  </si>
  <si>
    <t xml:space="preserve">Mallory </t>
  </si>
  <si>
    <t>AMERSIGNDS,MACY02F,OLLIIX</t>
  </si>
  <si>
    <t>37317148-000-000</t>
  </si>
  <si>
    <t>1/15/2021</t>
  </si>
  <si>
    <t>MT100-0137</t>
  </si>
  <si>
    <t>Manhattan</t>
  </si>
  <si>
    <t>38772978-000-000</t>
  </si>
  <si>
    <t>8/31/2021</t>
  </si>
  <si>
    <t>CSP10-1477</t>
  </si>
  <si>
    <t>Mara</t>
  </si>
  <si>
    <t>4 Piece Cotton and Rayon from Bamboo Blend Waffle Weave Comforter Cover Set w/removable insert</t>
  </si>
  <si>
    <t>PP001677;PF005573</t>
  </si>
  <si>
    <t>11/24/2021</t>
  </si>
  <si>
    <t>BLK01,CSNSTORES,JCPENNEY01,KIRKLANDDS,KOHLDSN,OLLIIX,TGTDVS,ZOLA</t>
  </si>
  <si>
    <t>39242855-000-003</t>
  </si>
  <si>
    <t>12/30/2021</t>
  </si>
  <si>
    <t>CSP12-1479</t>
  </si>
  <si>
    <t>3 Piece Cotton and Rayon from Bamboo Blend Waffle Weave Duvet Cover Set</t>
  </si>
  <si>
    <t>BLK01,CSNSTORES,JCPENNEY01,KIRKLANDDS,MACY02,OLLIIX,TGTDVS,ZOLA,Zulily</t>
  </si>
  <si>
    <t>39242812-000-002</t>
  </si>
  <si>
    <t>12/9/2021</t>
  </si>
  <si>
    <t>TN54-0507</t>
  </si>
  <si>
    <t>Marbled Sherpa</t>
  </si>
  <si>
    <t>PP001894;PF006042</t>
  </si>
  <si>
    <t>9/9/2023</t>
  </si>
  <si>
    <t>42618276-000-000</t>
  </si>
  <si>
    <t>11/17/2023</t>
  </si>
  <si>
    <t>TN54-0508</t>
  </si>
  <si>
    <t>PP001894;PF006043</t>
  </si>
  <si>
    <t>42618276-000-002</t>
  </si>
  <si>
    <t>MP12-8412</t>
  </si>
  <si>
    <t>Marfa</t>
  </si>
  <si>
    <t>Peony</t>
  </si>
  <si>
    <t>Cassia</t>
  </si>
  <si>
    <t>3 Piece Pintuck Duvet Cover Set</t>
  </si>
  <si>
    <t>PP001950;PF006214</t>
  </si>
  <si>
    <t>5/3/2024</t>
  </si>
  <si>
    <t>44308116-000-000</t>
  </si>
  <si>
    <t>MP10-8411</t>
  </si>
  <si>
    <t>4 Piece Pintuck Comforter Set with Throw Pillow</t>
  </si>
  <si>
    <t>44280019-000-001</t>
  </si>
  <si>
    <t>MP12-8413</t>
  </si>
  <si>
    <t>44308116-000-001</t>
  </si>
  <si>
    <t>MP104-1127</t>
  </si>
  <si>
    <t>Marian</t>
  </si>
  <si>
    <t>Misha</t>
  </si>
  <si>
    <t>Khloe</t>
  </si>
  <si>
    <t>Tufted Counter Stool</t>
  </si>
  <si>
    <t>3/17/2022</t>
  </si>
  <si>
    <t>CASTLEGATE,CSNSTORES,HOUZZ,KIRKLANDDS,MACY02F,OLLIIX</t>
  </si>
  <si>
    <t>21851040-000-001</t>
  </si>
  <si>
    <t>3/19/2022</t>
  </si>
  <si>
    <t>2/21/2023</t>
  </si>
  <si>
    <t>FPF20-0395</t>
  </si>
  <si>
    <t>PF000048;PP000205</t>
  </si>
  <si>
    <t>CASTLEGATE,CSNSTORES,KOHLDSN,OLLIIX,ROOMECOM</t>
  </si>
  <si>
    <t>18078886-000-000</t>
  </si>
  <si>
    <t>1/27/2016</t>
  </si>
  <si>
    <t>MP10-7942</t>
  </si>
  <si>
    <t>Marina</t>
  </si>
  <si>
    <t>Anchorage</t>
  </si>
  <si>
    <t>Fairbanks</t>
  </si>
  <si>
    <t>8 Piece Printed Seersucker Comforter and Quilt Set Collection</t>
  </si>
  <si>
    <t>PP001782;PF005730</t>
  </si>
  <si>
    <t>AMAZONDS,CSNSTORES,KOHLDSN,MACY02,OLLIIX,TGTDVS</t>
  </si>
  <si>
    <t>32192434-000-003</t>
  </si>
  <si>
    <t>10/9/2022</t>
  </si>
  <si>
    <t>MP13-7944</t>
  </si>
  <si>
    <t>6 Piece Printed Quilt Set with Throw Pillows</t>
  </si>
  <si>
    <t>PP001782;PF005732</t>
  </si>
  <si>
    <t>8/19/2022</t>
  </si>
  <si>
    <t>AMAZONDS,JCPENNEY01,KOHLDSN,MACY02,TGTDVS</t>
  </si>
  <si>
    <t>18146410-000-004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</si>
  <si>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</si>
  <si>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</si>
  <si>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</si>
  <si>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</si>
  <si>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</si>
  <si>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</si>
  <si>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44438692-000-000</t>
  </si>
  <si>
    <t>MPS95F-0041</t>
  </si>
  <si>
    <t>Marlowe</t>
  </si>
  <si>
    <t>Gold Beaded Round Wall Mirror 3-piece set</t>
  </si>
  <si>
    <t>3-Piece</t>
  </si>
  <si>
    <t>PP001618</t>
  </si>
  <si>
    <t>9/5/2022</t>
  </si>
  <si>
    <t>AMAZONDS,CSNSTORES,KOHLDSN,MACY02,OLLIIX</t>
  </si>
  <si>
    <t>24185324-000-008</t>
  </si>
  <si>
    <t>9/19/2022</t>
  </si>
  <si>
    <t>MPS95F-0034</t>
  </si>
  <si>
    <t>27" Medium Decorative Round Wall Mirror with Beaded Metal Frame</t>
  </si>
  <si>
    <t>27" Dia</t>
  </si>
  <si>
    <t>AMAZON,AMAZONDS,CSNSTORES,HOUZZ,KIRKLANDDS,KOHLDSN,LAMPDS,OLLIIX,TGTDVS</t>
  </si>
  <si>
    <t>24185324-000-002</t>
  </si>
  <si>
    <t>10/10/2020</t>
  </si>
  <si>
    <t>10/21/2020</t>
  </si>
  <si>
    <t>MPS160-279</t>
  </si>
  <si>
    <t>36" Large Decorative Round Wall Mirror with Beaded Metal Frame</t>
  </si>
  <si>
    <t>36" Dia</t>
  </si>
  <si>
    <t>AMAZON,AMAZONDS,AMERSIGNDS,ASHFURNDS,CSNSTORES,HOUZZ,KIRKLANDDS,KOHLDSN,LAMPDS,OLLIIX,ROOMECOM,TGTDVS</t>
  </si>
  <si>
    <t>24185324-000-000</t>
  </si>
  <si>
    <t>MPS95F-0035</t>
  </si>
  <si>
    <t>AMAZON,CSNSTORES,HDDS,KIRKLANDDS,ROOMECOM</t>
  </si>
  <si>
    <t>24185324-000-003</t>
  </si>
  <si>
    <t>10/22/2020</t>
  </si>
  <si>
    <t>PET66-0017</t>
  </si>
  <si>
    <t>Martingale</t>
  </si>
  <si>
    <t>Reflective No Pull Dog Collar for Training Large/Medium Breed Dogs</t>
  </si>
  <si>
    <t>43976046-000-000</t>
  </si>
  <si>
    <t>PET66-0018</t>
  </si>
  <si>
    <t>43976046-000-001</t>
  </si>
  <si>
    <t>II12-1015</t>
  </si>
  <si>
    <t>Masie</t>
  </si>
  <si>
    <t>3 Piece Elastic Embroidered Cotton Duvet Cover Set</t>
  </si>
  <si>
    <t>PP000451;PF004164</t>
  </si>
  <si>
    <t>25797292-000-001</t>
  </si>
  <si>
    <t>2/6/2018</t>
  </si>
  <si>
    <t>II12-801</t>
  </si>
  <si>
    <t>PF001680;PP000451</t>
  </si>
  <si>
    <t>AMAZON,BLK01,CSNSTORES,JCPENNEY01,MACY02,TGTDVS</t>
  </si>
  <si>
    <t>19427163-000-000</t>
  </si>
  <si>
    <t>MP95D-0304</t>
  </si>
  <si>
    <t>CLOCKS</t>
  </si>
  <si>
    <t>Clocks(161)</t>
  </si>
  <si>
    <t>Mason</t>
  </si>
  <si>
    <t>23.6" Wood Wall Clock</t>
  </si>
  <si>
    <t>PP001422</t>
  </si>
  <si>
    <t>JCPENNEY01,KIRKLANDDS,KOHLDSN,MACY02,OLLIIX,ZOLA</t>
  </si>
  <si>
    <t>35292488-000-001</t>
  </si>
  <si>
    <t>11/7/2022</t>
  </si>
  <si>
    <t>MP95D-0239</t>
  </si>
  <si>
    <t>Natural/Grey</t>
  </si>
  <si>
    <t>PP001422;PF004974</t>
  </si>
  <si>
    <t>12/6/2019</t>
  </si>
  <si>
    <t>AMAZON,AMERSIGNDS,ASHFURNDS,CSNSTORES,HDDS,JCPENNEY01,KIRKLANDDS,KOHLDSN,LAMPDS,MACY02,OLLIIX,ZOLA</t>
  </si>
  <si>
    <t>35292488-000-000</t>
  </si>
  <si>
    <t>3/5/2020</t>
  </si>
  <si>
    <t>MP35-8055</t>
  </si>
  <si>
    <t>Mateo</t>
  </si>
  <si>
    <t>Kenneth</t>
  </si>
  <si>
    <t>Siren</t>
  </si>
  <si>
    <t>Boho Medallion Woven Area Rug</t>
  </si>
  <si>
    <t>PP001798;PF005786</t>
  </si>
  <si>
    <t>40587884-000-001</t>
  </si>
  <si>
    <t>MP35-8054</t>
  </si>
  <si>
    <t>KIRKLANDDS</t>
  </si>
  <si>
    <t>40587884-000-000</t>
  </si>
  <si>
    <t>MP35-8056</t>
  </si>
  <si>
    <t>NRTPORT</t>
  </si>
  <si>
    <t>40587884-000-002</t>
  </si>
  <si>
    <t>MP35-8057</t>
  </si>
  <si>
    <t>40587884-000-003</t>
  </si>
  <si>
    <t>MP103-1171</t>
  </si>
  <si>
    <t>Mathis</t>
  </si>
  <si>
    <t>Rae</t>
  </si>
  <si>
    <t>Dolores</t>
  </si>
  <si>
    <t>35504269-000-001</t>
  </si>
  <si>
    <t>4/13/2022</t>
  </si>
  <si>
    <t>MP10-511</t>
  </si>
  <si>
    <t>Matilda</t>
  </si>
  <si>
    <t>Kira</t>
  </si>
  <si>
    <t>PF003378</t>
  </si>
  <si>
    <t>AMAZON,CSNSTORES,KOHLDSN,OLLIIX,TGTDVS</t>
  </si>
  <si>
    <t>15751094-000-001</t>
  </si>
  <si>
    <t>BASI10-0297</t>
  </si>
  <si>
    <t>Maximum Warmth</t>
  </si>
  <si>
    <t>Cotton Down Alternative Featherless Comforter</t>
  </si>
  <si>
    <t>PF002093</t>
  </si>
  <si>
    <t>17651641-000-001</t>
  </si>
  <si>
    <t>10/25/2015</t>
  </si>
  <si>
    <t>MP100-0017</t>
  </si>
  <si>
    <t>Maxwell</t>
  </si>
  <si>
    <t>Roan</t>
  </si>
  <si>
    <t>Button Tufted Wing Chair</t>
  </si>
  <si>
    <t>PF001028;PP000209</t>
  </si>
  <si>
    <t>22701266-000-000</t>
  </si>
  <si>
    <t>11/23/2017</t>
  </si>
  <si>
    <t>SS40-0037</t>
  </si>
  <si>
    <t>Arlie</t>
  </si>
  <si>
    <t>Rune</t>
  </si>
  <si>
    <t>Printed Heathered Blackout Grommet Top Curtain Panel</t>
  </si>
  <si>
    <t>Dusty Seafoam</t>
  </si>
  <si>
    <t>PF003954;PP001038</t>
  </si>
  <si>
    <t>23998010-000-011</t>
  </si>
  <si>
    <t>1/12/2018</t>
  </si>
  <si>
    <t>SS40-0034</t>
  </si>
  <si>
    <t>50x54"</t>
  </si>
  <si>
    <t>PF003954</t>
  </si>
  <si>
    <t>23998010-000-008</t>
  </si>
  <si>
    <t>SS40-0108</t>
  </si>
  <si>
    <t>Printed Heathered Blackout Window Patio Panel</t>
  </si>
  <si>
    <t>100x84" Blackout</t>
  </si>
  <si>
    <t>PF003955</t>
  </si>
  <si>
    <t>3/8/2019</t>
  </si>
  <si>
    <t>AMAZONDS,ASHFURNDS,BEALLSDS,CSNSTORES,JCPENNEY01,KOHLDSN,TGTDVS</t>
  </si>
  <si>
    <t>32790641-000-000</t>
  </si>
  <si>
    <t>4/2/2019</t>
  </si>
  <si>
    <t>SS40-0106</t>
  </si>
  <si>
    <t>PF004520;PP001038</t>
  </si>
  <si>
    <t>11/25/2018</t>
  </si>
  <si>
    <t>23998010-000-012</t>
  </si>
  <si>
    <t>12/26/2018</t>
  </si>
  <si>
    <t>SS40-0033</t>
  </si>
  <si>
    <t>PF003956</t>
  </si>
  <si>
    <t>AMAZONDS,ASHFURNDS,CSNSTORES,JCPENNEY01,KOHLDSN,MACY02,OLLIIX,TGTDVS</t>
  </si>
  <si>
    <t>23998010-000-007</t>
  </si>
  <si>
    <t>SS40-0030</t>
  </si>
  <si>
    <t>23998010-000-004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</si>
  <si>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</si>
  <si>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</si>
  <si>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</si>
  <si>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</si>
  <si>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</si>
  <si>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</si>
  <si>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5DS36-0300</t>
  </si>
  <si>
    <t>PP001993;PF006400</t>
  </si>
  <si>
    <t>CHM30-0015</t>
  </si>
  <si>
    <t>Melodia</t>
  </si>
  <si>
    <t>CSNSTORES,JCPENNEY01,NRTPORT</t>
  </si>
  <si>
    <t>42067838-000-000</t>
  </si>
  <si>
    <t>CHM30-0019</t>
  </si>
  <si>
    <t>42067838-000-001</t>
  </si>
  <si>
    <t>FB150-1159</t>
  </si>
  <si>
    <t>Melrose</t>
  </si>
  <si>
    <t>2-Light Beaded Chandelier</t>
  </si>
  <si>
    <t>TGTDVS,ZOLA</t>
  </si>
  <si>
    <t>39700603-000-000</t>
  </si>
  <si>
    <t>3/16/2022</t>
  </si>
  <si>
    <t>7/28/2022</t>
  </si>
  <si>
    <t>II121-0417</t>
  </si>
  <si>
    <t>Mercer</t>
  </si>
  <si>
    <t>Oval Dining Table</t>
  </si>
  <si>
    <t>8/14/2024</t>
  </si>
  <si>
    <t>19134574-000-001</t>
  </si>
  <si>
    <t>IIF17-0082</t>
  </si>
  <si>
    <t>Occasional Table|Pedestal</t>
  </si>
  <si>
    <t>30" Pedestal</t>
  </si>
  <si>
    <t>PP000039</t>
  </si>
  <si>
    <t>CSNSTORES,HOUZZ,KOHLDSN,LAMPDS,MACY02F</t>
  </si>
  <si>
    <t>20421977-000-000</t>
  </si>
  <si>
    <t>12/6/2016</t>
  </si>
  <si>
    <t>II115-0419</t>
  </si>
  <si>
    <t>Queen Bed</t>
  </si>
  <si>
    <t>Brown/Bronze</t>
  </si>
  <si>
    <t>39624111-000-000</t>
  </si>
  <si>
    <t>UH13-2321</t>
  </si>
  <si>
    <t>Ronan</t>
  </si>
  <si>
    <t>3 Piece Cotton Quilt Set with Chenille Trims</t>
  </si>
  <si>
    <t>PP001460;PF005049</t>
  </si>
  <si>
    <t>4/24/2020</t>
  </si>
  <si>
    <t>35761410-000-002</t>
  </si>
  <si>
    <t>UH12-2319</t>
  </si>
  <si>
    <t>3 Piece Cotton Chenille Duvet Cover Set</t>
  </si>
  <si>
    <t>9/15/2024</t>
  </si>
  <si>
    <t>BLK01,CSNSTORES,HDDS,JCPENNEY01,KOHLDSN,MACY02,OLLIIX,TGTDVS</t>
  </si>
  <si>
    <t>35761411-000-000</t>
  </si>
  <si>
    <t>MPE10-129</t>
  </si>
  <si>
    <t>Merritt</t>
  </si>
  <si>
    <t>Almaden</t>
  </si>
  <si>
    <t>Becker</t>
  </si>
  <si>
    <t>9 Piece Comforter Set with Cotton Bed Sheets</t>
  </si>
  <si>
    <t>PF003671;PP000457</t>
  </si>
  <si>
    <t>CSNSTORES,KOHLDSN,MACY02,TGTDVS,WALMARTDS</t>
  </si>
  <si>
    <t>17651635-000-002</t>
  </si>
  <si>
    <t>ID20-1736</t>
  </si>
  <si>
    <t>Metallic Dot</t>
  </si>
  <si>
    <t>Aqua/Silver</t>
  </si>
  <si>
    <t>PP000922;PF004701</t>
  </si>
  <si>
    <t>AMAZONDS,CSNSTORES,JCPENNEY01,KOHLDSN,MACY02,TGTDVS,WALMARTDS</t>
  </si>
  <si>
    <t>27266912-000-011</t>
  </si>
  <si>
    <t>6/18/2019</t>
  </si>
  <si>
    <t>ID20-1737</t>
  </si>
  <si>
    <t>AMAZONDS,CSNSTORES,JCPENNEY01,KOHLDSN,MACY02,TGTDVS,WALMARTDS,Zulily</t>
  </si>
  <si>
    <t>27266912-000-012</t>
  </si>
  <si>
    <t>6/30/2019</t>
  </si>
  <si>
    <t>ID20-1740</t>
  </si>
  <si>
    <t>PP000922;PF004702</t>
  </si>
  <si>
    <t>AMAZONDS,CSNSTORES,JCPENNEY01,KOHLDSN,MACY02,NRTPORT,TGTDVS,WALMARTDS</t>
  </si>
  <si>
    <t>27266912-000-009</t>
  </si>
  <si>
    <t>7/3/2019</t>
  </si>
  <si>
    <t>II100-0515</t>
  </si>
  <si>
    <t>SECTIONAL SOFA</t>
  </si>
  <si>
    <t>Metro</t>
  </si>
  <si>
    <t>4 Piece Upholstered Sectional</t>
  </si>
  <si>
    <t>4PC Sectional</t>
  </si>
  <si>
    <t>5/5/2022</t>
  </si>
  <si>
    <t>39940944-000-002</t>
  </si>
  <si>
    <t>II104-0576</t>
  </si>
  <si>
    <t>Micah</t>
  </si>
  <si>
    <t>Woven Rattan Back Swivel Counter Stool</t>
  </si>
  <si>
    <t>44668506-000-000</t>
  </si>
  <si>
    <t>TN20-0589</t>
  </si>
  <si>
    <t>Micro Fleece</t>
  </si>
  <si>
    <t>PP001622;PF006393</t>
  </si>
  <si>
    <t>8/31/2024</t>
  </si>
  <si>
    <t>TN20-0590</t>
  </si>
  <si>
    <t>TN20-0591</t>
  </si>
  <si>
    <t>TN20-0592</t>
  </si>
  <si>
    <t>TN20-0593</t>
  </si>
  <si>
    <t>TN20-0594</t>
  </si>
  <si>
    <t>TN20-0460</t>
  </si>
  <si>
    <t>PP001622;PF005448</t>
  </si>
  <si>
    <t>5/27/2021</t>
  </si>
  <si>
    <t>13709532-000-130</t>
  </si>
  <si>
    <t>5/26/2021</t>
  </si>
  <si>
    <t>4/5/2023</t>
  </si>
  <si>
    <t>TN20-0461</t>
  </si>
  <si>
    <t>13709532-000-132</t>
  </si>
  <si>
    <t>TN20-0463</t>
  </si>
  <si>
    <t>13709532-000-134</t>
  </si>
  <si>
    <t>5/24/2021</t>
  </si>
  <si>
    <t>TN20-0465</t>
  </si>
  <si>
    <t>13709532-000-135</t>
  </si>
  <si>
    <t>11/15/2021</t>
  </si>
  <si>
    <t>SHET20-745</t>
  </si>
  <si>
    <t>PF001563</t>
  </si>
  <si>
    <t>AMAZON,AMAZONDS,CSNSTORES,JCPENNEY01,KOHLDSN,MACY02</t>
  </si>
  <si>
    <t>13709532-000-051</t>
  </si>
  <si>
    <t>3/23/2016</t>
  </si>
  <si>
    <t>PC20-012</t>
  </si>
  <si>
    <t>AMAZON,CSNSTORES,JCPENNEY01,KOHLDSN,MACY02</t>
  </si>
  <si>
    <t>13709532-000-011</t>
  </si>
  <si>
    <t>1/26/2015</t>
  </si>
  <si>
    <t>SHET20-838</t>
  </si>
  <si>
    <t>Blue Diamond</t>
  </si>
  <si>
    <t>PF001781</t>
  </si>
  <si>
    <t>13709532-000-056</t>
  </si>
  <si>
    <t>11/3/2016</t>
  </si>
  <si>
    <t>SHET20-841</t>
  </si>
  <si>
    <t>13709532-000-059</t>
  </si>
  <si>
    <t>12/26/2016</t>
  </si>
  <si>
    <t>TN20-0522</t>
  </si>
  <si>
    <t>PP001622;PF006086</t>
  </si>
  <si>
    <t>AMAZON,AMAZONDS,JCPENNEY01,KOHLDSN,TGTDVS</t>
  </si>
  <si>
    <t>13709532-000-145</t>
  </si>
  <si>
    <t>TN20-0523</t>
  </si>
  <si>
    <t>13709532-000-144</t>
  </si>
  <si>
    <t>TN20-0524</t>
  </si>
  <si>
    <t>13709532-000-147</t>
  </si>
  <si>
    <t>TN20-0526</t>
  </si>
  <si>
    <t>13709532-000-149</t>
  </si>
  <si>
    <t>TN20-0527</t>
  </si>
  <si>
    <t>13709532-000-148</t>
  </si>
  <si>
    <t>SHET20-530</t>
  </si>
  <si>
    <t>PF001775</t>
  </si>
  <si>
    <t>13709532-000-020</t>
  </si>
  <si>
    <t>SHET20-531</t>
  </si>
  <si>
    <t>AMAZON,AMAZONDS,FINGERHUTDS,JCPENNEY01,KOHLDSN,OLLIIX</t>
  </si>
  <si>
    <t>13709532-000-021</t>
  </si>
  <si>
    <t>1/13/2015</t>
  </si>
  <si>
    <t>SHET20-532</t>
  </si>
  <si>
    <t>AMAZON,AMAZONDS,CSNSTORES,FINGERHUTDS,HSNDS,JCPENNEY01,KOHLDSN,MACY02</t>
  </si>
  <si>
    <t>13709532-000-022</t>
  </si>
  <si>
    <t>SHET20-738</t>
  </si>
  <si>
    <t>AMAZONDS,KOHLDSN,MACY02</t>
  </si>
  <si>
    <t>13709532-000-044</t>
  </si>
  <si>
    <t>11/9/2016</t>
  </si>
  <si>
    <t>PC20-005</t>
  </si>
  <si>
    <t>PF001735</t>
  </si>
  <si>
    <t>AMAZON,AMAZONDS,MACY02</t>
  </si>
  <si>
    <t>13709532-000-001</t>
  </si>
  <si>
    <t>4/8/2015</t>
  </si>
  <si>
    <t>SHET20-743</t>
  </si>
  <si>
    <t>13709532-000-049</t>
  </si>
  <si>
    <t>PC20-006</t>
  </si>
  <si>
    <t>13709532-000-006</t>
  </si>
  <si>
    <t>SHET20-744</t>
  </si>
  <si>
    <t>AMAZON,AMAZONDS,JCPENNEY01,KOHLDSN,MACY02,NRTPORT</t>
  </si>
  <si>
    <t>13709532-000-050</t>
  </si>
  <si>
    <t>1/22/2016</t>
  </si>
  <si>
    <t>SHET20-526</t>
  </si>
  <si>
    <t>PF001774</t>
  </si>
  <si>
    <t>13709532-000-016</t>
  </si>
  <si>
    <t>5/14/2015</t>
  </si>
  <si>
    <t>SHET20-529</t>
  </si>
  <si>
    <t>AMAZON,FINGERHUTDS,KOHLDSN,MACY02</t>
  </si>
  <si>
    <t>13709532-000-019</t>
  </si>
  <si>
    <t>SHET20-736</t>
  </si>
  <si>
    <t>13709532-000-042</t>
  </si>
  <si>
    <t>1/21/2016</t>
  </si>
  <si>
    <t>TN20-0528</t>
  </si>
  <si>
    <t>PP001622;PF006087</t>
  </si>
  <si>
    <t>13709532-000-137</t>
  </si>
  <si>
    <t>TN20-0529</t>
  </si>
  <si>
    <t>13709532-000-136</t>
  </si>
  <si>
    <t>TN20-0530</t>
  </si>
  <si>
    <t>13709532-000-138</t>
  </si>
  <si>
    <t>TN20-0531</t>
  </si>
  <si>
    <t>13709532-000-140</t>
  </si>
  <si>
    <t>SHET20-997</t>
  </si>
  <si>
    <t>PF002215</t>
  </si>
  <si>
    <t>13709532-000-085</t>
  </si>
  <si>
    <t>12/1/2016</t>
  </si>
  <si>
    <t>SHET20-998</t>
  </si>
  <si>
    <t>13709532-000-086</t>
  </si>
  <si>
    <t>SHET20-999</t>
  </si>
  <si>
    <t>13709532-000-087</t>
  </si>
  <si>
    <t>12/12/2016</t>
  </si>
  <si>
    <t>TN20-0532</t>
  </si>
  <si>
    <t>Grey Snowflake</t>
  </si>
  <si>
    <t>PP001622;PF006088</t>
  </si>
  <si>
    <t>13709532-000-139</t>
  </si>
  <si>
    <t>TN20-0533</t>
  </si>
  <si>
    <t>13709532-000-142</t>
  </si>
  <si>
    <t>TN20-0534</t>
  </si>
  <si>
    <t>13709532-000-141</t>
  </si>
  <si>
    <t>TN20-0535</t>
  </si>
  <si>
    <t>13709532-000-143</t>
  </si>
  <si>
    <t>SHET20-747</t>
  </si>
  <si>
    <t>PF001746</t>
  </si>
  <si>
    <t>AMAZON,HSNDS,KOHLDSN,MACY02</t>
  </si>
  <si>
    <t>13709532-000-053</t>
  </si>
  <si>
    <t>7/19/2016</t>
  </si>
  <si>
    <t>PC20-125</t>
  </si>
  <si>
    <t>AMAZON,AMAZONDS,HSNDS,KOHLDSN,MACY02,TGTDVS</t>
  </si>
  <si>
    <t>13709532-000-013</t>
  </si>
  <si>
    <t>SHET20-748</t>
  </si>
  <si>
    <t>13709532-000-054</t>
  </si>
  <si>
    <t>2/10/2016</t>
  </si>
  <si>
    <t>PC20-001</t>
  </si>
  <si>
    <t>PF001674</t>
  </si>
  <si>
    <t>13709532-000-000</t>
  </si>
  <si>
    <t>8/30/2015</t>
  </si>
  <si>
    <t>PC20-002</t>
  </si>
  <si>
    <t>13709532-000-003</t>
  </si>
  <si>
    <t>4/29/2015</t>
  </si>
  <si>
    <t>PC20-003</t>
  </si>
  <si>
    <t>AMAZON,CSNSTORES,FINGERHUTDS,HSNDS,KOHLDSN,MACY02</t>
  </si>
  <si>
    <t>13709532-000-004</t>
  </si>
  <si>
    <t>3/18/2015</t>
  </si>
  <si>
    <t>PC20-004</t>
  </si>
  <si>
    <t>13709532-000-005</t>
  </si>
  <si>
    <t>1/22/2015</t>
  </si>
  <si>
    <t>SHET20-742</t>
  </si>
  <si>
    <t>13709532-000-048</t>
  </si>
  <si>
    <t>11/29/2016</t>
  </si>
  <si>
    <t>TN20-0448</t>
  </si>
  <si>
    <t>PP001622;PF005446</t>
  </si>
  <si>
    <t>13709532-000-118</t>
  </si>
  <si>
    <t>12/7/2021</t>
  </si>
  <si>
    <t>TN20-0450</t>
  </si>
  <si>
    <t>13709532-000-121</t>
  </si>
  <si>
    <t>5/29/2021</t>
  </si>
  <si>
    <t>TN20-0451</t>
  </si>
  <si>
    <t>13709532-000-120</t>
  </si>
  <si>
    <t>8/16/2021</t>
  </si>
  <si>
    <t>TN20-0453</t>
  </si>
  <si>
    <t>13709532-000-122</t>
  </si>
  <si>
    <t>12/3/2021</t>
  </si>
  <si>
    <t>SHET20-534</t>
  </si>
  <si>
    <t>PF001776</t>
  </si>
  <si>
    <t>AMAZON,BLK01,KOHLDSN,MACY02,OLLIIX</t>
  </si>
  <si>
    <t>13709532-000-024</t>
  </si>
  <si>
    <t>3/31/2015</t>
  </si>
  <si>
    <t>SHET20-739</t>
  </si>
  <si>
    <t>13709532-000-045</t>
  </si>
  <si>
    <t>4/18/2016</t>
  </si>
  <si>
    <t>SHET20-535</t>
  </si>
  <si>
    <t>13709532-000-025</t>
  </si>
  <si>
    <t>SHET20-537</t>
  </si>
  <si>
    <t>13709532-000-027</t>
  </si>
  <si>
    <t>1/15/2015</t>
  </si>
  <si>
    <t>SHET20-740</t>
  </si>
  <si>
    <t>13709532-000-046</t>
  </si>
  <si>
    <t>8/7/2016</t>
  </si>
  <si>
    <t>ID20-2208</t>
  </si>
  <si>
    <t>All Season Soft Touch Sheet Set</t>
  </si>
  <si>
    <t>PP001853;PF005933</t>
  </si>
  <si>
    <t>6/23/2023</t>
  </si>
  <si>
    <t>AMAZON,AMAZONDS,KOHLDSN,OLLIIX,TGTDVS</t>
  </si>
  <si>
    <t>16342274-000-046</t>
  </si>
  <si>
    <t>ID20-2212</t>
  </si>
  <si>
    <t>16342274-000-051</t>
  </si>
  <si>
    <t>ID20-2204</t>
  </si>
  <si>
    <t>PP001853;PF005932</t>
  </si>
  <si>
    <t>16342274-000-048</t>
  </si>
  <si>
    <t>ID20-2206</t>
  </si>
  <si>
    <t>AMAZON,BEALLSDS,JCPENNEY01,KOHLDSN,OLLIIX,TGTDVS</t>
  </si>
  <si>
    <t>16342274-000-050</t>
  </si>
  <si>
    <t>11/3/2023</t>
  </si>
  <si>
    <t>ID20-1914</t>
  </si>
  <si>
    <t>Sheet Set with Side Storage Pockets</t>
  </si>
  <si>
    <t>PF001772</t>
  </si>
  <si>
    <t>5/13/2020</t>
  </si>
  <si>
    <t>27441431-000-021</t>
  </si>
  <si>
    <t>5/14/2020</t>
  </si>
  <si>
    <t>ID20-1915</t>
  </si>
  <si>
    <t>DESINC,JCPENNEY01,KOHLDSN,MACY02,OLLIIX,TGTDVS,WALMARTDS</t>
  </si>
  <si>
    <t>27441431-000-017</t>
  </si>
  <si>
    <t>5/25/2020</t>
  </si>
  <si>
    <t>ID20-1076</t>
  </si>
  <si>
    <t>AMAZON,HSNDS,JCPENNEY01,KOHLDSN,MACY02,OLLIIX,TGTDVS</t>
  </si>
  <si>
    <t>16342274-000-035</t>
  </si>
  <si>
    <t>1/9/2017</t>
  </si>
  <si>
    <t>ID20-1916</t>
  </si>
  <si>
    <t>HDDS,JCPENNEY01,KOHLDSN,MACY02,TGTDVS</t>
  </si>
  <si>
    <t>27441431-000-016</t>
  </si>
  <si>
    <t>12/28/2020</t>
  </si>
  <si>
    <t>ID20-1077</t>
  </si>
  <si>
    <t>AMAZONDS,CSNSTORES,FINGERHUTDS,HSNDS,JCPENNEY01,KOHLDSN,MACY02,OLLIIX,TGTDVS,WALMARTDS</t>
  </si>
  <si>
    <t>16342274-000-036</t>
  </si>
  <si>
    <t>1/24/2017</t>
  </si>
  <si>
    <t>ID20-1454</t>
  </si>
  <si>
    <t>PF001767</t>
  </si>
  <si>
    <t>27441431-000-000</t>
  </si>
  <si>
    <t>11/22/2019</t>
  </si>
  <si>
    <t>ID20-133</t>
  </si>
  <si>
    <t>AMAZONDS,FINGERHUTDS,HSNDS,JCPENNEY01,KOHLDSN,MACY02,TGTDVS,WALMARTDS</t>
  </si>
  <si>
    <t>16342274-000-011</t>
  </si>
  <si>
    <t>ID20-1455</t>
  </si>
  <si>
    <t>AMAZON,AMAZONDS,BLK01,DESINC,HDDS,JCPENNEY01,KOHLDSN,MACY02,TGTDVS,WALMARTDS</t>
  </si>
  <si>
    <t>27441431-000-007</t>
  </si>
  <si>
    <t>ID20-134</t>
  </si>
  <si>
    <t>AMAZONDS,HSNDS,KOHLDSN,MACY02,TGTDVS</t>
  </si>
  <si>
    <t>16342274-000-012</t>
  </si>
  <si>
    <t>2/9/2015</t>
  </si>
  <si>
    <t>ID20-2213</t>
  </si>
  <si>
    <t>PP001853;PF005934</t>
  </si>
  <si>
    <t>16342274-000-054</t>
  </si>
  <si>
    <t>ID20-2214</t>
  </si>
  <si>
    <t>16342274-000-053</t>
  </si>
  <si>
    <t>ID20-2216</t>
  </si>
  <si>
    <t>AMAZON,BEALLSDS,CSNSTORES,JCPENNEY01,KOHLDSN,TGTDVS</t>
  </si>
  <si>
    <t>16342274-000-056</t>
  </si>
  <si>
    <t>ID20-137</t>
  </si>
  <si>
    <t>PF001769</t>
  </si>
  <si>
    <t>JCPENNEY01,KOHLDSN,MACY02,TGTDVS,WALMARTDS</t>
  </si>
  <si>
    <t>16342274-000-015</t>
  </si>
  <si>
    <t>ID20-1083</t>
  </si>
  <si>
    <t>PF001773</t>
  </si>
  <si>
    <t>AMAZON,BEALLSDS,BLK01,FINGERHUTDS,HSNDS,JCPENNEY01,KOHLDSN,MACY02,OLLIIX,TGTDVS,WALMARTDS</t>
  </si>
  <si>
    <t>16342274-000-042</t>
  </si>
  <si>
    <t>ID20-1084</t>
  </si>
  <si>
    <t>AMAZON,BEALLSDS,BLK01,FINGERHUTDS,HSNDS,JCPENNEY01,KOHLDSN,MACY02,TGTDVS,WALMARTDS</t>
  </si>
  <si>
    <t>16342274-000-043</t>
  </si>
  <si>
    <t>1/12/2017</t>
  </si>
  <si>
    <t>ID20-142</t>
  </si>
  <si>
    <t>PF001770</t>
  </si>
  <si>
    <t>16342274-000-020</t>
  </si>
  <si>
    <t>ID20-1910</t>
  </si>
  <si>
    <t>AMAZONDS,JCPENNEY01,KOHLDSN,MACY02,OLLIIX,TGTDVS,WALMARTDS</t>
  </si>
  <si>
    <t>27441431-000-023</t>
  </si>
  <si>
    <t>4/5/2021</t>
  </si>
  <si>
    <t>ID20-143</t>
  </si>
  <si>
    <t>AMAZONDS,FINGERHUTDS,HSNDS,KOHLDSN,MACY02,OLLIIX,TGTDVS,WALMARTDS,Zulily</t>
  </si>
  <si>
    <t>16342274-000-021</t>
  </si>
  <si>
    <t>ID20-1911</t>
  </si>
  <si>
    <t>27441431-000-020</t>
  </si>
  <si>
    <t>ID20-144</t>
  </si>
  <si>
    <t>AMAZON,AMAZONDS,JCPENNEY01,KOHLDSN,MACY02,OLLIIX,TGTDVS,WALMARTDS</t>
  </si>
  <si>
    <t>16342274-000-022</t>
  </si>
  <si>
    <t>ID20-146</t>
  </si>
  <si>
    <t>AMAZON,BLK01,CSNSTORES,FINGERHUTDS,KOHLDSN,MACY02,OLLIIX,TGTDVS</t>
  </si>
  <si>
    <t>16342274-000-024</t>
  </si>
  <si>
    <t>CS20-0246</t>
  </si>
  <si>
    <t>Microfiber 75GSM</t>
  </si>
  <si>
    <t>Microfiber 75GSM Solid Sheet Set 4 PC</t>
  </si>
  <si>
    <t>43972194-000-002</t>
  </si>
  <si>
    <t>ST55-0266</t>
  </si>
  <si>
    <t>Microfiber Heated</t>
  </si>
  <si>
    <t>PP001880;PF005997</t>
  </si>
  <si>
    <t>JCPENNEY01,KOHLDSN,Zulily</t>
  </si>
  <si>
    <t>41947745-000-000</t>
  </si>
  <si>
    <t>9/17/2023</t>
  </si>
  <si>
    <t>TN51-0554</t>
  </si>
  <si>
    <t>Microfleece</t>
  </si>
  <si>
    <t>PP001936;PF006176</t>
  </si>
  <si>
    <t>44354334-000-009</t>
  </si>
  <si>
    <t>7/18/2024</t>
  </si>
  <si>
    <t>TN51-0555</t>
  </si>
  <si>
    <t>7/6/2024</t>
  </si>
  <si>
    <t>AMAZON,AMAZONDS,TGTDVS</t>
  </si>
  <si>
    <t>44354334-000-005</t>
  </si>
  <si>
    <t>TN51-0556</t>
  </si>
  <si>
    <t>44354334-000-007</t>
  </si>
  <si>
    <t>TN51-0548</t>
  </si>
  <si>
    <t>PP001936;PF006174</t>
  </si>
  <si>
    <t>44354334-000-001</t>
  </si>
  <si>
    <t>TN51-0549</t>
  </si>
  <si>
    <t>44354334-000-011</t>
  </si>
  <si>
    <t>TN51-0550</t>
  </si>
  <si>
    <t>44354334-000-004</t>
  </si>
  <si>
    <t>TN51-0542</t>
  </si>
  <si>
    <t>PP001936;PF006172</t>
  </si>
  <si>
    <t>44354334-000-008</t>
  </si>
  <si>
    <t>TN51-0546</t>
  </si>
  <si>
    <t>PP001936;PF006173</t>
  </si>
  <si>
    <t>44354334-000-000</t>
  </si>
  <si>
    <t>TN51-0547</t>
  </si>
  <si>
    <t>44354334-000-010</t>
  </si>
  <si>
    <t>ID50-844</t>
  </si>
  <si>
    <t>Microlight Plush</t>
  </si>
  <si>
    <t>Oversized Throw</t>
  </si>
  <si>
    <t>PF003473</t>
  </si>
  <si>
    <t>AMAZON,AMAZONDS,BEALLSDS,BLK01,DESINC,JCPENNEY01,KOHLDSN,MACY02,NRTPORT,OLLIIX,TGTDVS</t>
  </si>
  <si>
    <t>18660058-000-002</t>
  </si>
  <si>
    <t>6/14/2016</t>
  </si>
  <si>
    <t>ID51-1091</t>
  </si>
  <si>
    <t>Oversized Blanket</t>
  </si>
  <si>
    <t>PF003477</t>
  </si>
  <si>
    <t>AMAZON,ASHFURNDS,CSNSTORES,FINGERHUTDS,JCPENNEY01,KOHLDSN,MACY02,TGTDVS,WALMARTDS,Zulily</t>
  </si>
  <si>
    <t>18631076-000-017</t>
  </si>
  <si>
    <t>3/17/2017</t>
  </si>
  <si>
    <t>BR54-4128</t>
  </si>
  <si>
    <t>Microplush</t>
  </si>
  <si>
    <t>Heated Blanket with Wifi Technology</t>
  </si>
  <si>
    <t>PP001882;PF006002</t>
  </si>
  <si>
    <t>42618483-000-005</t>
  </si>
  <si>
    <t>BR54-4129</t>
  </si>
  <si>
    <t>42618483-000-000</t>
  </si>
  <si>
    <t>BR54-4127</t>
  </si>
  <si>
    <t>PP001882;PF006001</t>
  </si>
  <si>
    <t>42618483-000-001</t>
  </si>
  <si>
    <t>BR54-4130</t>
  </si>
  <si>
    <t>PP001882;PF006003</t>
  </si>
  <si>
    <t>42618483-000-002</t>
  </si>
  <si>
    <t>BR54-4131</t>
  </si>
  <si>
    <t>42618483-000-003</t>
  </si>
  <si>
    <t>MP95C-0112</t>
  </si>
  <si>
    <t>Midday Bloom Florals</t>
  </si>
  <si>
    <t>Embellished Canvas Wall Art</t>
  </si>
  <si>
    <t>PF002014</t>
  </si>
  <si>
    <t>KOHLDSN,ROOMECOM,TGTDVS,Zulily</t>
  </si>
  <si>
    <t>22896855-000-000</t>
  </si>
  <si>
    <t>II10-1315</t>
  </si>
  <si>
    <t>3 Piece Cotton Comforter Set with Chenille Tufting</t>
  </si>
  <si>
    <t>PP001321;PF006111</t>
  </si>
  <si>
    <t>43956462-000-001</t>
  </si>
  <si>
    <t>2/26/2024</t>
  </si>
  <si>
    <t>II12-1317</t>
  </si>
  <si>
    <t>3 Piece Cotton Duvet Cover Set with Chenille Tufting</t>
  </si>
  <si>
    <t>43956461-000-000</t>
  </si>
  <si>
    <t>II12-1318</t>
  </si>
  <si>
    <t>43956461-000-001</t>
  </si>
  <si>
    <t>II152-0142</t>
  </si>
  <si>
    <t>LGT-FLUSHMOUNTS</t>
  </si>
  <si>
    <t>Flushmounts</t>
  </si>
  <si>
    <t>Mililani</t>
  </si>
  <si>
    <t>Boho Bamboo Flush Mount Ceiling Light</t>
  </si>
  <si>
    <t>40806221-000-000</t>
  </si>
  <si>
    <t>1/6/2023</t>
  </si>
  <si>
    <t>II12-1067</t>
  </si>
  <si>
    <t>Mill Valley</t>
  </si>
  <si>
    <t>Reversible Cotton Duvet Cover Set</t>
  </si>
  <si>
    <t>PP001318;PF004764</t>
  </si>
  <si>
    <t>MACY02,ZOLA,Zulily</t>
  </si>
  <si>
    <t>34332646-000-001</t>
  </si>
  <si>
    <t>II12-1068</t>
  </si>
  <si>
    <t>CSNSTORES,MACY02,ZOLA</t>
  </si>
  <si>
    <t>34332646-000-000</t>
  </si>
  <si>
    <t>12/2/2019</t>
  </si>
  <si>
    <t>IIF17-0149</t>
  </si>
  <si>
    <t>Milo</t>
  </si>
  <si>
    <t>PP000041</t>
  </si>
  <si>
    <t>20691716-000-000</t>
  </si>
  <si>
    <t>ID10-2382</t>
  </si>
  <si>
    <t>Mira</t>
  </si>
  <si>
    <t>Arabella</t>
  </si>
  <si>
    <t>Crushed Velvet Sherpa Reversible Comforter Set</t>
  </si>
  <si>
    <t>PP001907;PF006260</t>
  </si>
  <si>
    <t>42733819-000-012</t>
  </si>
  <si>
    <t>ID10-2383</t>
  </si>
  <si>
    <t>42733819-000-011</t>
  </si>
  <si>
    <t>ID10-2384</t>
  </si>
  <si>
    <t>42733819-000-010</t>
  </si>
  <si>
    <t>ID10-2267</t>
  </si>
  <si>
    <t>PP001907;PF006081</t>
  </si>
  <si>
    <t>42733819-000-008</t>
  </si>
  <si>
    <t>ID10-2268</t>
  </si>
  <si>
    <t>KOHLDSN,NRTPORT</t>
  </si>
  <si>
    <t>42733819-000-002</t>
  </si>
  <si>
    <t>ID10-2381</t>
  </si>
  <si>
    <t>PP001907;PF006259</t>
  </si>
  <si>
    <t>42733819-000-013</t>
  </si>
  <si>
    <t>ID10-2269</t>
  </si>
  <si>
    <t>PP001907;PF006082</t>
  </si>
  <si>
    <t>AMAZON,JCPENNEY01,NRTPORT,OLLIIX,TGTDVS</t>
  </si>
  <si>
    <t>42733819-000-006</t>
  </si>
  <si>
    <t>ID10-2270</t>
  </si>
  <si>
    <t>42733819-000-000</t>
  </si>
  <si>
    <t>ID10-2271</t>
  </si>
  <si>
    <t>HDDS,JCPENNEY01,KOHLDSN,MACY02,NRTPORT</t>
  </si>
  <si>
    <t>42733819-000-004</t>
  </si>
  <si>
    <t>ID10-2263</t>
  </si>
  <si>
    <t>PP001907;PF006080</t>
  </si>
  <si>
    <t>AMAZON,CSNSTORES,TGTDVS</t>
  </si>
  <si>
    <t>42733819-000-005</t>
  </si>
  <si>
    <t>ID10-2265</t>
  </si>
  <si>
    <t>AMAZON,JCPENNEY01,KOHLDSN,MACY02,NRTPORT,TGTDVS</t>
  </si>
  <si>
    <t>42733819-000-007</t>
  </si>
  <si>
    <t>SS40-0021</t>
  </si>
  <si>
    <t>Mirage</t>
  </si>
  <si>
    <t>Elysia</t>
  </si>
  <si>
    <t>Azalea</t>
  </si>
  <si>
    <t>Knitted Jacquard Damask Total Blackout Grommet Top Curtain Panel</t>
  </si>
  <si>
    <t>PP001653;PF005528</t>
  </si>
  <si>
    <t>AMAZONDS,CSNSTORES,HDDS,KOHLDSN,OLLIIX,TGTDVS</t>
  </si>
  <si>
    <t>23909103-000-008</t>
  </si>
  <si>
    <t>SS40-0016</t>
  </si>
  <si>
    <t>AMAZON,AMAZONDS,AMERSIGNDS,CSNSTORES,JCPENNEY01,KOHLDSN,OLLIIX,TGTDVS</t>
  </si>
  <si>
    <t>23909103-000-003</t>
  </si>
  <si>
    <t>9/18/2017</t>
  </si>
  <si>
    <t>BR10-3848</t>
  </si>
  <si>
    <t>Miro</t>
  </si>
  <si>
    <t>3 Piece Gauze Oversized Comforter Set</t>
  </si>
  <si>
    <t>PP001826;PF005864</t>
  </si>
  <si>
    <t>40888646-000-002</t>
  </si>
  <si>
    <t>BR12-3850</t>
  </si>
  <si>
    <t>3 Piece Gauze Oversized Duvet Cover Set</t>
  </si>
  <si>
    <t>CSNSTORES,MACY02,OLLIIX,TGTDVS,ZOLA</t>
  </si>
  <si>
    <t>40888685-000-002</t>
  </si>
  <si>
    <t>BR12-3851</t>
  </si>
  <si>
    <t>40888685-000-000</t>
  </si>
  <si>
    <t>BR10-3852</t>
  </si>
  <si>
    <t>PP001826;PF005865</t>
  </si>
  <si>
    <t>CSNSTORES,OLLIIX,TGTDVS,ZOLA</t>
  </si>
  <si>
    <t>40888646-000-003</t>
  </si>
  <si>
    <t>BR10-3853</t>
  </si>
  <si>
    <t>JCPENNEY01,KOHLDSN,TGTDVS,ZOLA</t>
  </si>
  <si>
    <t>40888646-000-000</t>
  </si>
  <si>
    <t>BR12-3855</t>
  </si>
  <si>
    <t>40888685-000-001</t>
  </si>
  <si>
    <t>II100-0544</t>
  </si>
  <si>
    <t>Modular Armless Chair</t>
  </si>
  <si>
    <t>Armless Chair</t>
  </si>
  <si>
    <t>1/4/2024</t>
  </si>
  <si>
    <t>41053312-000-004</t>
  </si>
  <si>
    <t>II100-0543</t>
  </si>
  <si>
    <t>Modular Corner Chair</t>
  </si>
  <si>
    <t>Corner Chair</t>
  </si>
  <si>
    <t>41053312-000-003</t>
  </si>
  <si>
    <t>II101-0545</t>
  </si>
  <si>
    <t>Modular Ottoman</t>
  </si>
  <si>
    <t>41053312-000-005</t>
  </si>
  <si>
    <t>II100-0556</t>
  </si>
  <si>
    <t>2-Piece Modular Loveseat Sofa</t>
  </si>
  <si>
    <t>43987867-000-001</t>
  </si>
  <si>
    <t>II100-0558</t>
  </si>
  <si>
    <t>5-Piece Modular L-Shape Sofa</t>
  </si>
  <si>
    <t>43928755-000-001</t>
  </si>
  <si>
    <t>II100-0560</t>
  </si>
  <si>
    <t>3-Piece Modular Sofa</t>
  </si>
  <si>
    <t>43928758-000-001</t>
  </si>
  <si>
    <t>II100-0561</t>
  </si>
  <si>
    <t>5-Piece Modular U-Shape Sofa</t>
  </si>
  <si>
    <t>43928757-000-000</t>
  </si>
  <si>
    <t>II90-0557</t>
  </si>
  <si>
    <t>Sectional Sofa</t>
  </si>
  <si>
    <t>3-Piece Modular L-Shape Sofa</t>
  </si>
  <si>
    <t>43928759-000-001</t>
  </si>
  <si>
    <t>II90-0559</t>
  </si>
  <si>
    <t>4-Piece Modular Sofa with Ottoman</t>
  </si>
  <si>
    <t>43928756-000-000</t>
  </si>
  <si>
    <t>2/23/2024</t>
  </si>
  <si>
    <t>II90-0533</t>
  </si>
  <si>
    <t>Accent Chair|Ottoman</t>
  </si>
  <si>
    <t>Silver Grey</t>
  </si>
  <si>
    <t>2/1/2023</t>
  </si>
  <si>
    <t>43928759-000-000</t>
  </si>
  <si>
    <t>II90-0535</t>
  </si>
  <si>
    <t>43928756-000-001</t>
  </si>
  <si>
    <t>II100-0532</t>
  </si>
  <si>
    <t>43987867-000-000</t>
  </si>
  <si>
    <t>II100-0534</t>
  </si>
  <si>
    <t>43928755-000-000</t>
  </si>
  <si>
    <t>II100-0536</t>
  </si>
  <si>
    <t>43928758-000-000</t>
  </si>
  <si>
    <t>4/23/2024</t>
  </si>
  <si>
    <t>II100-0537</t>
  </si>
  <si>
    <t>43928757-000-001</t>
  </si>
  <si>
    <t>5DS120-0011</t>
  </si>
  <si>
    <t>Monarch</t>
  </si>
  <si>
    <t>Monarch Coffee Table</t>
  </si>
  <si>
    <t>Dark Coffee/Black</t>
  </si>
  <si>
    <t>38980698-000-000</t>
  </si>
  <si>
    <t>CCL11-0020</t>
  </si>
  <si>
    <t>Montague</t>
  </si>
  <si>
    <t>AMAZON,AMAZONDS,CSNSTORES,DLCROSCILL,JCPENNEY01</t>
  </si>
  <si>
    <t>42067462-000-000</t>
  </si>
  <si>
    <t>CCL11-0021</t>
  </si>
  <si>
    <t>42067462-000-001</t>
  </si>
  <si>
    <t>HH12-1869</t>
  </si>
  <si>
    <t>Morgan</t>
  </si>
  <si>
    <t>5 Piece Cotton Jaquard Duvet Set</t>
  </si>
  <si>
    <t>PP001753;PF006226</t>
  </si>
  <si>
    <t>Farm House|Lodge/Cabin</t>
  </si>
  <si>
    <t>40856409-000-003</t>
  </si>
  <si>
    <t>4/18/2024</t>
  </si>
  <si>
    <t>HH10-1867</t>
  </si>
  <si>
    <t>6 Piece Cotton Jacquard Oversized Comforter Set</t>
  </si>
  <si>
    <t>40856399-000-004</t>
  </si>
  <si>
    <t>MP95C-0284</t>
  </si>
  <si>
    <t>Moving Midas</t>
  </si>
  <si>
    <t>Gold Foil Abstract 2-piece Framed Canvas Wall Art Set</t>
  </si>
  <si>
    <t>PP001663</t>
  </si>
  <si>
    <t>AMAZON,AMERSIGNDS,JCPENNEY01,KIRKLANDDS,KOHLDSN,MACY02,OLLIIX,ROOMECOM,Zulily</t>
  </si>
  <si>
    <t>38513310-000-000</t>
  </si>
  <si>
    <t>8/22/2021</t>
  </si>
  <si>
    <t>MP04-0037</t>
  </si>
  <si>
    <t>MP125100P</t>
  </si>
  <si>
    <t>100% Polyester Box packaged Satin Fleece Lining Robe</t>
  </si>
  <si>
    <t>MP04-0038</t>
  </si>
  <si>
    <t>MP04-0039</t>
  </si>
  <si>
    <t>XL/1X</t>
  </si>
  <si>
    <t>MP04-0040</t>
  </si>
  <si>
    <t>2X/3X</t>
  </si>
  <si>
    <t>MP04-0041</t>
  </si>
  <si>
    <t>MP04-0042</t>
  </si>
  <si>
    <t>MP04-0043</t>
  </si>
  <si>
    <t>MP04-0044</t>
  </si>
  <si>
    <t>MP04-0045</t>
  </si>
  <si>
    <t>MP04-0046</t>
  </si>
  <si>
    <t>MP04-0047</t>
  </si>
  <si>
    <t>MP04-0048</t>
  </si>
  <si>
    <t>UH12-0226</t>
  </si>
  <si>
    <t>Myla</t>
  </si>
  <si>
    <t>Jojo</t>
  </si>
  <si>
    <t>7 Piece Cotton Jacquard Duvet Cover Set</t>
  </si>
  <si>
    <t>PF002478</t>
  </si>
  <si>
    <t>Cottage/Country|Casual</t>
  </si>
  <si>
    <t>4/14/2017</t>
  </si>
  <si>
    <t>AMAZON,BEALLSDS,CSNSTORES,JCPENNEY01,TGTDVS</t>
  </si>
  <si>
    <t>21336498-000-001</t>
  </si>
  <si>
    <t>ID10-013</t>
  </si>
  <si>
    <t>Nadia</t>
  </si>
  <si>
    <t>Darcy</t>
  </si>
  <si>
    <t>PF001614;PP000465</t>
  </si>
  <si>
    <t>AMAZON,AMERSIGNDS,CSNSTORES,HDDS,KOHLDSN,MACY02,NRTPORT,TGTDVS,WALMARTDS</t>
  </si>
  <si>
    <t>16662807-000-008</t>
  </si>
  <si>
    <t>ID73-2062</t>
  </si>
  <si>
    <t>Nadia AZ</t>
  </si>
  <si>
    <t>AMAZONDS,BLK01</t>
  </si>
  <si>
    <t>43976170-000-000</t>
  </si>
  <si>
    <t>ID73-2061</t>
  </si>
  <si>
    <t>43976170-000-001</t>
  </si>
  <si>
    <t>PET63HM6012</t>
  </si>
  <si>
    <t>Nala</t>
  </si>
  <si>
    <t>Hide Mat SM</t>
  </si>
  <si>
    <t>43826956-000-000</t>
  </si>
  <si>
    <t>PET63HM6013</t>
  </si>
  <si>
    <t>Hide Mat LG</t>
  </si>
  <si>
    <t>30x40"</t>
  </si>
  <si>
    <t>43826956-000-001</t>
  </si>
  <si>
    <t>MP13-8197</t>
  </si>
  <si>
    <t>Alva</t>
  </si>
  <si>
    <t>Azariah</t>
  </si>
  <si>
    <t>3 Piece Scalloped Edge Crinkle Microfiber Quilt Set</t>
  </si>
  <si>
    <t>PP001861;PF005955</t>
  </si>
  <si>
    <t>AMAZON,CSNSTORES,JCPENNEY01,KIRKLANDDS,KOHLDSN,MACY02,TGTDVS</t>
  </si>
  <si>
    <t>41374296-000-000</t>
  </si>
  <si>
    <t>MP13-8195</t>
  </si>
  <si>
    <t>PP001861;PF005954</t>
  </si>
  <si>
    <t>41374296-000-001</t>
  </si>
  <si>
    <t>ID10-2237</t>
  </si>
  <si>
    <t>Madelyn</t>
  </si>
  <si>
    <t>Metallic Print Faux Fur Comforter Set</t>
  </si>
  <si>
    <t>PF006026;PP001891</t>
  </si>
  <si>
    <t>8/2/2023</t>
  </si>
  <si>
    <t>41294106-000-008</t>
  </si>
  <si>
    <t>8/6/2023</t>
  </si>
  <si>
    <t>ID12-2243</t>
  </si>
  <si>
    <t>Metallic Print Faux Fur Duvet Cover Set</t>
  </si>
  <si>
    <t>42078313-000-000</t>
  </si>
  <si>
    <t>ID10-2242</t>
  </si>
  <si>
    <t>Blush/Gold</t>
  </si>
  <si>
    <t>PP001891;PF006028</t>
  </si>
  <si>
    <t>BLK01,CSNSTORES,HDDS,JCPENNEY01,KOHLDSN,MACY02,NRTPORT,TGTDVS</t>
  </si>
  <si>
    <t>41294106-000-009</t>
  </si>
  <si>
    <t>MT95F-0088</t>
  </si>
  <si>
    <t>Rectangular Wood and Rattan Mirror</t>
  </si>
  <si>
    <t>43922587-000-001</t>
  </si>
  <si>
    <t>MT120-1201</t>
  </si>
  <si>
    <t>2 Door Storage Console Table</t>
  </si>
  <si>
    <t>43752254-000-000</t>
  </si>
  <si>
    <t>MT95F-0089</t>
  </si>
  <si>
    <t>OLLIIX,TGTDVS</t>
  </si>
  <si>
    <t>43922587-000-000</t>
  </si>
  <si>
    <t>ID10-2239</t>
  </si>
  <si>
    <t>PP001891;PF006027</t>
  </si>
  <si>
    <t>AMAZON,AMAZONDS,HDDS,NRTPORT,TGTDVS</t>
  </si>
  <si>
    <t>41294106-000-005</t>
  </si>
  <si>
    <t>ID12-2245</t>
  </si>
  <si>
    <t>AMAZON,AMAZONDS,CSNSTORES,OLLIIX,TGTDVS</t>
  </si>
  <si>
    <t>42078313-000-005</t>
  </si>
  <si>
    <t>II12-055</t>
  </si>
  <si>
    <t>Nathan</t>
  </si>
  <si>
    <t>Duvet Cover Mini Set</t>
  </si>
  <si>
    <t>PF001591</t>
  </si>
  <si>
    <t>Mid-Century|Modern/Contemporary</t>
  </si>
  <si>
    <t>16181933-000-000</t>
  </si>
  <si>
    <t>II10-1130</t>
  </si>
  <si>
    <t>Nea</t>
  </si>
  <si>
    <t>Cotton Printed Comforter Set with Trims</t>
  </si>
  <si>
    <t>PP001095;PF005261</t>
  </si>
  <si>
    <t>12/17/2020</t>
  </si>
  <si>
    <t>AMAZON,CSNSTORES,HOUZZ,JCPENNEY01,KOHLDSN,MACY02,OLLIIX,TGTDVS</t>
  </si>
  <si>
    <t>32118196-000-003</t>
  </si>
  <si>
    <t>MP12-8318</t>
  </si>
  <si>
    <t>Neko</t>
  </si>
  <si>
    <t>Penelope</t>
  </si>
  <si>
    <t>3 Piece Floral Printed Duvet Cover Set</t>
  </si>
  <si>
    <t>PP001910;PF006092</t>
  </si>
  <si>
    <t>43642759-000-001</t>
  </si>
  <si>
    <t>5DS153-0052</t>
  </si>
  <si>
    <t>Neonova</t>
  </si>
  <si>
    <t>44300080-000-000</t>
  </si>
  <si>
    <t>II95C-0160</t>
  </si>
  <si>
    <t>Neutral Stones</t>
  </si>
  <si>
    <t>Figural 2-piece Framed Canvas Wall Art Set</t>
  </si>
  <si>
    <t>42794030-000-000</t>
  </si>
  <si>
    <t>II110-0590</t>
  </si>
  <si>
    <t>Newport</t>
  </si>
  <si>
    <t>Lounge Chair Set of 2</t>
  </si>
  <si>
    <t>1/11/2021</t>
  </si>
  <si>
    <t>20675185-000-006</t>
  </si>
  <si>
    <t>II100-0526</t>
  </si>
  <si>
    <t>PF000835;PP000045</t>
  </si>
  <si>
    <t>4/12/2021</t>
  </si>
  <si>
    <t>20675185-000-012</t>
  </si>
  <si>
    <t>II110-0391</t>
  </si>
  <si>
    <t>Newport Wide Mid-Century Modern Lounge Chair</t>
  </si>
  <si>
    <t>10/7/2019</t>
  </si>
  <si>
    <t>ASHFURNDS,CASTLEGATE,CSNSTORES,KOHLDSN,MACY02F,OLLIIX</t>
  </si>
  <si>
    <t>20675185-000-002</t>
  </si>
  <si>
    <t>11/25/2019</t>
  </si>
  <si>
    <t>II110-0587</t>
  </si>
  <si>
    <t>8/30/2019</t>
  </si>
  <si>
    <t>20675185-000-008</t>
  </si>
  <si>
    <t>MP35-7551</t>
  </si>
  <si>
    <t>Fielding</t>
  </si>
  <si>
    <t>Cream/Blue</t>
  </si>
  <si>
    <t>35376033-000-003</t>
  </si>
  <si>
    <t>MP35-7066</t>
  </si>
  <si>
    <t>AMAZON,AMAZONDS,BLK01,CSNSTORES,HDDS,JCPENNEY01,OLLIIX</t>
  </si>
  <si>
    <t>35376033-000-001</t>
  </si>
  <si>
    <t>2/26/2023</t>
  </si>
  <si>
    <t>II100-0382</t>
  </si>
  <si>
    <t>7/31/2018</t>
  </si>
  <si>
    <t>20675185-000-001</t>
  </si>
  <si>
    <t>8/8/2018</t>
  </si>
  <si>
    <t>II100-0588</t>
  </si>
  <si>
    <t>20675185-000-007</t>
  </si>
  <si>
    <t>II110-0589</t>
  </si>
  <si>
    <t>20675185-000-009</t>
  </si>
  <si>
    <t>MP35-7552</t>
  </si>
  <si>
    <t>35376033-000-007</t>
  </si>
  <si>
    <t>MP35-7554</t>
  </si>
  <si>
    <t>35376033-000-004</t>
  </si>
  <si>
    <t>MP35-7553</t>
  </si>
  <si>
    <t>CSNSTORES,HDDS,JCPENNEY01,OLLIIX</t>
  </si>
  <si>
    <t>35376033-000-005</t>
  </si>
  <si>
    <t>7/26/2022</t>
  </si>
  <si>
    <t>II100-0591</t>
  </si>
  <si>
    <t>Pale Green</t>
  </si>
  <si>
    <t>PF000954;PP000045</t>
  </si>
  <si>
    <t>20675185-000-010</t>
  </si>
  <si>
    <t>II100-0586</t>
  </si>
  <si>
    <t>20675185-000-011</t>
  </si>
  <si>
    <t>5DS153-0037</t>
  </si>
  <si>
    <t>Nicolo</t>
  </si>
  <si>
    <t>Textured Ceramic Table Lamp</t>
  </si>
  <si>
    <t>AMERSIGNDS,CSNSTORES,JCPENNEY01,KOHLDSN,OLLIIX,ROOMECOM,Zulily</t>
  </si>
  <si>
    <t>39467327-000-000</t>
  </si>
  <si>
    <t>5DS153-0036</t>
  </si>
  <si>
    <t>AMERSIGNDS,CSNSTORES,JCPENNEY01,KOHLDSN,OLLIIX,ROOMECOM</t>
  </si>
  <si>
    <t>39467327-000-001</t>
  </si>
  <si>
    <t>5/17/2022</t>
  </si>
  <si>
    <t>MPE10-956</t>
  </si>
  <si>
    <t>Nimbus</t>
  </si>
  <si>
    <t>Cirrus</t>
  </si>
  <si>
    <t>Alto</t>
  </si>
  <si>
    <t>5 Piece Comforter Set with Bed Sheets</t>
  </si>
  <si>
    <t>PP001703;PF005620</t>
  </si>
  <si>
    <t>CSNSTORES,DESINC,FINGERHUTDS,JCPENNEY01,OLLIIX</t>
  </si>
  <si>
    <t>39242488-000-007</t>
  </si>
  <si>
    <t>4/1/2022</t>
  </si>
  <si>
    <t>MPE10-958</t>
  </si>
  <si>
    <t>7 Piece Comforter Set with Bed Sheets</t>
  </si>
  <si>
    <t>BLK01,CSNSTORES,FINGERHUTDS,JCPENNEY01,KOHLDSN,MACY02,OLLIIX,TGTDVS</t>
  </si>
  <si>
    <t>39242488-000-008</t>
  </si>
  <si>
    <t>4/21/2022</t>
  </si>
  <si>
    <t>MPE10-959</t>
  </si>
  <si>
    <t>CSNSTORES,FINGERHUTDS,JCPENNEY01,KOHLDSN,OLLIIX,TGTDVS</t>
  </si>
  <si>
    <t>39242488-000-004</t>
  </si>
  <si>
    <t>II103-0355</t>
  </si>
  <si>
    <t>Nina</t>
  </si>
  <si>
    <t>Swivel Lounge Chair, Star Based Swivel</t>
  </si>
  <si>
    <t>Brown Multi</t>
  </si>
  <si>
    <t>6/1/2018</t>
  </si>
  <si>
    <t>ASHFURNDS,CSNSTORES</t>
  </si>
  <si>
    <t>27498950-000-000</t>
  </si>
  <si>
    <t>5/30/2018</t>
  </si>
  <si>
    <t>6/26/2018</t>
  </si>
  <si>
    <t>ID10-727</t>
  </si>
  <si>
    <t>Mona</t>
  </si>
  <si>
    <t>Eva</t>
  </si>
  <si>
    <t>PF001666;PP000470</t>
  </si>
  <si>
    <t>AMAZONDS,CSNSTORES,DESINC,HDDS,JCPENNEY01,KOHLDSN,MACY02,TGTDVS</t>
  </si>
  <si>
    <t>18412664-000-000</t>
  </si>
  <si>
    <t>3/27/2016</t>
  </si>
  <si>
    <t>II100-0357</t>
  </si>
  <si>
    <t>Noe</t>
  </si>
  <si>
    <t>ASHFURNDS,CSNSTORES,HDDS,KOHLDSN,LAMPDS,MACY02F,OLLIIX,ZOLA</t>
  </si>
  <si>
    <t>27457674-000-000</t>
  </si>
  <si>
    <t>6/12/2018</t>
  </si>
  <si>
    <t>BR9144409622-17</t>
  </si>
  <si>
    <t>Nora</t>
  </si>
  <si>
    <t>10 Piece Geometric Comforter Set with Bed Sheets</t>
  </si>
  <si>
    <t>PP001824;PF005860</t>
  </si>
  <si>
    <t>40070231-000-003</t>
  </si>
  <si>
    <t>BR9144409622-18</t>
  </si>
  <si>
    <t>40070231-000-001</t>
  </si>
  <si>
    <t>BR9144409622-19</t>
  </si>
  <si>
    <t>PP001824;PF005861</t>
  </si>
  <si>
    <t>40070231-000-002</t>
  </si>
  <si>
    <t>BR9144409622-20</t>
  </si>
  <si>
    <t>CSNSTORES,JCPENNEY01,KOHLDSN,MACY02,TGTDVS,WALMARTDS</t>
  </si>
  <si>
    <t>40070231-000-000</t>
  </si>
  <si>
    <t>5/16/2023</t>
  </si>
  <si>
    <t>MP10-1993</t>
  </si>
  <si>
    <t>Norfolk</t>
  </si>
  <si>
    <t>Ultra Plush Comforter Mini Set</t>
  </si>
  <si>
    <t>PF002102</t>
  </si>
  <si>
    <t>17880396-000-000</t>
  </si>
  <si>
    <t>PET63CM6018</t>
  </si>
  <si>
    <t>Back Printed Microberber Bumper Crate Mat</t>
  </si>
  <si>
    <t>43827513-000-000</t>
  </si>
  <si>
    <t>PET63CM6019</t>
  </si>
  <si>
    <t>43827513-000-001</t>
  </si>
  <si>
    <t>PET63CM6020</t>
  </si>
  <si>
    <t>AMAZON,CSNSTORES,DESINC</t>
  </si>
  <si>
    <t>43827513-000-003</t>
  </si>
  <si>
    <t>PET63CM6021</t>
  </si>
  <si>
    <t>43827513-000-002</t>
  </si>
  <si>
    <t>II95F-0155</t>
  </si>
  <si>
    <t>Natural Rattan Rectangle Wall Mirror</t>
  </si>
  <si>
    <t>LAMPDS,OLLIIX,TGTDVS</t>
  </si>
  <si>
    <t>42180559-000-000</t>
  </si>
  <si>
    <t>II73-1252</t>
  </si>
  <si>
    <t>Atlas</t>
  </si>
  <si>
    <t>Rhett</t>
  </si>
  <si>
    <t>Cotton Dobby Slub 6 Piece Towel Set</t>
  </si>
  <si>
    <t>PP001772;PF005720</t>
  </si>
  <si>
    <t>AMAZONDS,CSNSTORES,JCPENNEY01,KOHLDSN,OLLIIX,TGTDVS,ZOLA</t>
  </si>
  <si>
    <t>40252919-000-000</t>
  </si>
  <si>
    <t>PET63CM6014</t>
  </si>
  <si>
    <t>Oxford Bumper Crate Mat</t>
  </si>
  <si>
    <t>4/11/2023</t>
  </si>
  <si>
    <t>43827514-000-003</t>
  </si>
  <si>
    <t>PET63CM6015</t>
  </si>
  <si>
    <t>43827514-000-000</t>
  </si>
  <si>
    <t>PET63CM6016</t>
  </si>
  <si>
    <t>AMAZON,AMAZONDS,OLLIIX</t>
  </si>
  <si>
    <t>43827514-000-002</t>
  </si>
  <si>
    <t>PET63CM6017</t>
  </si>
  <si>
    <t>AMAZON,AMAZONDS,CSNSTORES,DESINC</t>
  </si>
  <si>
    <t>43827514-000-001</t>
  </si>
  <si>
    <t>II100-0435</t>
  </si>
  <si>
    <t>Novak</t>
  </si>
  <si>
    <t>Novak Mid-Century Modern Accent Armchair</t>
  </si>
  <si>
    <t>12/1/2020</t>
  </si>
  <si>
    <t>10/7/2024</t>
  </si>
  <si>
    <t>CASTLEGATE,CSNSTORES,MACY02F,OLLIIX</t>
  </si>
  <si>
    <t>20226921-000-002</t>
  </si>
  <si>
    <t>12/7/2020</t>
  </si>
  <si>
    <t>II100-0583</t>
  </si>
  <si>
    <t>20226921-000-011</t>
  </si>
  <si>
    <t>4/20/2024</t>
  </si>
  <si>
    <t>II100-0434</t>
  </si>
  <si>
    <t>CASTLEGATE,CSNSTORES,HDDS,JCPENNEY01,LAMPDS,MACY02F,OLLIIX,TGTDVS</t>
  </si>
  <si>
    <t>20226921-000-003</t>
  </si>
  <si>
    <t>12/10/2020</t>
  </si>
  <si>
    <t>ID20-1438</t>
  </si>
  <si>
    <t>Print Sheet Set</t>
  </si>
  <si>
    <t>Aqua Dogs</t>
  </si>
  <si>
    <t>PP000909;PF004369</t>
  </si>
  <si>
    <t>26991463-000-011</t>
  </si>
  <si>
    <t>4/29/2018</t>
  </si>
  <si>
    <t>5/21/2018</t>
  </si>
  <si>
    <t>ID20-1439</t>
  </si>
  <si>
    <t>TXL</t>
  </si>
  <si>
    <t>AMAZON,AMAZONDS,BLK01,CSNSTORES,KOHLDSN,MACY02,WALMARTDS</t>
  </si>
  <si>
    <t>26991463-000-002</t>
  </si>
  <si>
    <t>ID20-1427</t>
  </si>
  <si>
    <t>Grey/Blue Road Trip</t>
  </si>
  <si>
    <t>PP000909;PF004366</t>
  </si>
  <si>
    <t>26991463-000-020</t>
  </si>
  <si>
    <t>ID20-1429</t>
  </si>
  <si>
    <t>26991463-000-021</t>
  </si>
  <si>
    <t>ID20-1433</t>
  </si>
  <si>
    <t>Pink Cats</t>
  </si>
  <si>
    <t>PP000909;PF004367</t>
  </si>
  <si>
    <t>AMAZON,BLK01,CSNSTORES,KOHLDSN,MACY02</t>
  </si>
  <si>
    <t>26991463-000-000</t>
  </si>
  <si>
    <t>BR73-3753</t>
  </si>
  <si>
    <t>Nuage</t>
  </si>
  <si>
    <t>Cotton Tencel Blend Antimicrobial 6 Piece Towel Set</t>
  </si>
  <si>
    <t>PP001792;PF005772</t>
  </si>
  <si>
    <t>40822610-000-000</t>
  </si>
  <si>
    <t>BR73-3750</t>
  </si>
  <si>
    <t>PP001792;PF005769</t>
  </si>
  <si>
    <t>AMAZONDS,CSNSTORES,HDDS,JCPENNEY01,KOHLDSN,MACY02,OLLIIX,TGTDVS,ZOLA</t>
  </si>
  <si>
    <t>40822610-000-004</t>
  </si>
  <si>
    <t>6/8/2023</t>
  </si>
  <si>
    <t>LCN73-0129</t>
  </si>
  <si>
    <t>Nurture</t>
  </si>
  <si>
    <t>Sustainable Antimicrobial Bath Towel 6 Piece Set</t>
  </si>
  <si>
    <t>PP001624;PF005450</t>
  </si>
  <si>
    <t>9/6/2021</t>
  </si>
  <si>
    <t>BLK01,JCPENNEY01,KOHLDSN,MACY02,OLLIIX,TGTDVS,ZOLA</t>
  </si>
  <si>
    <t>38820878-000-002</t>
  </si>
  <si>
    <t>9/14/2021</t>
  </si>
  <si>
    <t>5DS13-0290</t>
  </si>
  <si>
    <t>Bedspread</t>
  </si>
  <si>
    <t>Oakley</t>
  </si>
  <si>
    <t>Hayley</t>
  </si>
  <si>
    <t>Glen</t>
  </si>
  <si>
    <t>3 Piece Reversible Bedspread Set</t>
  </si>
  <si>
    <t>PP000972;PF006115</t>
  </si>
  <si>
    <t>2/6/2024</t>
  </si>
  <si>
    <t>28324813-000-006</t>
  </si>
  <si>
    <t>5DS13-0292</t>
  </si>
  <si>
    <t>PP000972;PF006116</t>
  </si>
  <si>
    <t>28324813-000-008</t>
  </si>
  <si>
    <t>5DS13-0293</t>
  </si>
  <si>
    <t>28324813-000-009</t>
  </si>
  <si>
    <t>II104-0210</t>
  </si>
  <si>
    <t>Oaktown</t>
  </si>
  <si>
    <t>Backless Bar Stool with Swivel Seat</t>
  </si>
  <si>
    <t>PP000580</t>
  </si>
  <si>
    <t>1/20/2018</t>
  </si>
  <si>
    <t>AMERSIGNDS,CSNSTORES,KOHLDSN,OLLIIX,ROOMECOM</t>
  </si>
  <si>
    <t>25917092-000-000</t>
  </si>
  <si>
    <t>2/7/2018</t>
  </si>
  <si>
    <t>MP95C-0062</t>
  </si>
  <si>
    <t>Ocean Seashells</t>
  </si>
  <si>
    <t>4-piece Framed Canvas Wall Art Set</t>
  </si>
  <si>
    <t>PF001950</t>
  </si>
  <si>
    <t>AMAZON,AMAZONDS,AMERSIGNDS,CSNSTORES,DESINC,KIRKLANDDS,KOHLDSN,LAMPDS,LOWESDS,OLLIIX,TGTDVS</t>
  </si>
  <si>
    <t>19308172-000-000</t>
  </si>
  <si>
    <t>MP50-3509</t>
  </si>
  <si>
    <t>Ogee</t>
  </si>
  <si>
    <t>PF003637;PP000475</t>
  </si>
  <si>
    <t>AMAZON,AMAZONDS,CSNSTORES,FINGERHUTDS,HSNDS,JCPENNEY01,KOHLDSN,MACY02,TGTDVS</t>
  </si>
  <si>
    <t>17690739-000-006</t>
  </si>
  <si>
    <t>MP50-1728</t>
  </si>
  <si>
    <t>PF003632;PP000475</t>
  </si>
  <si>
    <t>AMAZON,AMAZONDS,ASHFURNDS,BLK01,FINGERHUTDS,JCPENNEY01,KOHLDSN,MACY02,OLLIIX,TGTDVS,Zulily</t>
  </si>
  <si>
    <t>17690739-000-000</t>
  </si>
  <si>
    <t>11/16/2015</t>
  </si>
  <si>
    <t>MP95C-0322</t>
  </si>
  <si>
    <t>Old Glory</t>
  </si>
  <si>
    <t>Hand Embellished Framed Canvas Horse Wall Art</t>
  </si>
  <si>
    <t>Brown/Neutral</t>
  </si>
  <si>
    <t>CSNSTORES,KIRKLANDDS,MACY02,OLLIIX</t>
  </si>
  <si>
    <t>42672548-000-000</t>
  </si>
  <si>
    <t>ID12-2302</t>
  </si>
  <si>
    <t>Oliver</t>
  </si>
  <si>
    <t>Cationic Dyed Clip Jacquard Duvet Cover Set with Throw Pillow</t>
  </si>
  <si>
    <t>PF006163</t>
  </si>
  <si>
    <t>43757959-000-001</t>
  </si>
  <si>
    <t>5/17/2024</t>
  </si>
  <si>
    <t>ID10-2301</t>
  </si>
  <si>
    <t>Cationic Dyed Clip Jacquard Comforter Set with Throw Pillow</t>
  </si>
  <si>
    <t>43757614-000-000</t>
  </si>
  <si>
    <t>ID12-2303</t>
  </si>
  <si>
    <t>43757959-000-000</t>
  </si>
  <si>
    <t>ID10-166</t>
  </si>
  <si>
    <t>Olivia</t>
  </si>
  <si>
    <t>Skye</t>
  </si>
  <si>
    <t>Floral Comforter Set</t>
  </si>
  <si>
    <t>PF001605;PP000477</t>
  </si>
  <si>
    <t>AMAZON,BLK01,DESINC,HDDS,JCPENNEY01,KIRKLANDDS,KOHLDSN,MACY02,NRTPORT,TGTDVS</t>
  </si>
  <si>
    <t>16406442-000-000</t>
  </si>
  <si>
    <t>6/26/2015</t>
  </si>
  <si>
    <t>FB150-1190</t>
  </si>
  <si>
    <t>Opulentia</t>
  </si>
  <si>
    <t>9-light Round Tiered Chandelier with Textured Glass Shades</t>
  </si>
  <si>
    <t>MP73-7473</t>
  </si>
  <si>
    <t>Organic</t>
  </si>
  <si>
    <t>6 Piece Organic Cotton Towel Set</t>
  </si>
  <si>
    <t>PP001101</t>
  </si>
  <si>
    <t>6/8/2021</t>
  </si>
  <si>
    <t>24266794-000-008</t>
  </si>
  <si>
    <t>6/12/2021</t>
  </si>
  <si>
    <t>MP73-5138</t>
  </si>
  <si>
    <t>AMAZON,AMAZONDS,BEALLSDS,BLK01,CSNSTORES,HDDS,JCPENNEY01,KOHLDSN,MACY02,OLLIIX,TGTDVS,WALMARTDS,ZOLA</t>
  </si>
  <si>
    <t>24266794-000-001</t>
  </si>
  <si>
    <t>MP73-6182</t>
  </si>
  <si>
    <t>3/30/2019</t>
  </si>
  <si>
    <t>AMAZONDS,BLK01,JCPENNEY01,KOHLDSN,OLLIIX,TGTDVS</t>
  </si>
  <si>
    <t>24266794-000-006</t>
  </si>
  <si>
    <t>5/10/2019</t>
  </si>
  <si>
    <t>NS10-3725</t>
  </si>
  <si>
    <t>Origami</t>
  </si>
  <si>
    <t>3 Piece Oversized Knit Quilted Top Comforter Mini Set</t>
  </si>
  <si>
    <t>PP001768;PF005709</t>
  </si>
  <si>
    <t>40425737-000-000</t>
  </si>
  <si>
    <t>NS30-3729</t>
  </si>
  <si>
    <t>Knit Quilted Top Decorative Square Pillow 18x18"</t>
  </si>
  <si>
    <t>Global Inspired|Casual</t>
  </si>
  <si>
    <t>40297867-000-000</t>
  </si>
  <si>
    <t>8/24/2022</t>
  </si>
  <si>
    <t>II151-0139</t>
  </si>
  <si>
    <t>Orion</t>
  </si>
  <si>
    <t>Natural Rope and Metal Mesh Cylinder Pendant</t>
  </si>
  <si>
    <t>Natural/Black</t>
  </si>
  <si>
    <t>40632365-000-000</t>
  </si>
  <si>
    <t>MT103-0143</t>
  </si>
  <si>
    <t>Osborne</t>
  </si>
  <si>
    <t>360 Degree Swivel Chair</t>
  </si>
  <si>
    <t>39674033-000-000</t>
  </si>
  <si>
    <t>II100-0512</t>
  </si>
  <si>
    <t>Oslo</t>
  </si>
  <si>
    <t>Faux Leather Woven Accent Chair</t>
  </si>
  <si>
    <t>41538053-000-000</t>
  </si>
  <si>
    <t>MP40-8182</t>
  </si>
  <si>
    <t>Otis</t>
  </si>
  <si>
    <t>Leo</t>
  </si>
  <si>
    <t>Ivan</t>
  </si>
  <si>
    <t>Faux Linen Cordless Total Blackout Roman Shade</t>
  </si>
  <si>
    <t>PP001845;PF005903</t>
  </si>
  <si>
    <t>42129401-000-007</t>
  </si>
  <si>
    <t>MP40-8183</t>
  </si>
  <si>
    <t>42129401-000-000</t>
  </si>
  <si>
    <t>MP40-8184</t>
  </si>
  <si>
    <t>AMAZONDS,CSNSTORES,HDDS,JCPENNEY01</t>
  </si>
  <si>
    <t>42129401-000-004</t>
  </si>
  <si>
    <t>MP40-8188</t>
  </si>
  <si>
    <t>PP001845;PF005904</t>
  </si>
  <si>
    <t>JCPENNEY01,NRTPORT,OLLIIX</t>
  </si>
  <si>
    <t>42129401-000-002</t>
  </si>
  <si>
    <t>5DS13-0032</t>
  </si>
  <si>
    <t>Otto</t>
  </si>
  <si>
    <t>Nash</t>
  </si>
  <si>
    <t>Trace</t>
  </si>
  <si>
    <t>3 Piece Reversible Quilt Set</t>
  </si>
  <si>
    <t>PF004288;PP000894</t>
  </si>
  <si>
    <t>BIGLOTSDS,BLK01,CSNSTORES,JCPENNEY01,KIRKLANDDS,KOHLDSN,MACY02,OLLIIX,TGTDVS,WALMARTDS</t>
  </si>
  <si>
    <t>26132655-000-000</t>
  </si>
  <si>
    <t>5/7/2018</t>
  </si>
  <si>
    <t>BR20-1859</t>
  </si>
  <si>
    <t>Oversized Cotton Flannel</t>
  </si>
  <si>
    <t>4 Piece Sheet Set</t>
  </si>
  <si>
    <t>Beige Windowpane</t>
  </si>
  <si>
    <t>PP001510;PF005125</t>
  </si>
  <si>
    <t>BLK01,JCPENNEY01,MACY02,OLLIIX,TGTDVS</t>
  </si>
  <si>
    <t>36614943-000-013</t>
  </si>
  <si>
    <t>BR20-4171</t>
  </si>
  <si>
    <t>Beige/White Stripes</t>
  </si>
  <si>
    <t>PP001510;PF006052</t>
  </si>
  <si>
    <t>36614943-000-025</t>
  </si>
  <si>
    <t>BR20-4172</t>
  </si>
  <si>
    <t>36614943-000-024</t>
  </si>
  <si>
    <t>BR20-4173</t>
  </si>
  <si>
    <t>36614943-000-028</t>
  </si>
  <si>
    <t>BR20-4174</t>
  </si>
  <si>
    <t>36614943-000-027</t>
  </si>
  <si>
    <t>BR20-4668</t>
  </si>
  <si>
    <t>Black Snowflakes</t>
  </si>
  <si>
    <t>PP001510;PF006333</t>
  </si>
  <si>
    <t>BR20-4669</t>
  </si>
  <si>
    <t>BR20-4670</t>
  </si>
  <si>
    <t>BR20-4671</t>
  </si>
  <si>
    <t>BR20-1863</t>
  </si>
  <si>
    <t>Grey Petals</t>
  </si>
  <si>
    <t>PP001510;PF005127</t>
  </si>
  <si>
    <t>CSNSTORES,JCPENNEY01,KOHLDSN,MACY02,NORDSTRACKDS</t>
  </si>
  <si>
    <t>36614943-000-010</t>
  </si>
  <si>
    <t>2/21/2021</t>
  </si>
  <si>
    <t>BR20-1853</t>
  </si>
  <si>
    <t>Grey Windowpane</t>
  </si>
  <si>
    <t>PP001510;PF005123</t>
  </si>
  <si>
    <t>BLK01,CSNSTORES,FINGERHUTDS,JCPENNEY01,KOHLDSN,MACY02,NORDSTRACKDS,OLLIIX,TGTDVS</t>
  </si>
  <si>
    <t>36614943-000-003</t>
  </si>
  <si>
    <t>9/21/2020</t>
  </si>
  <si>
    <t>BR20-1854</t>
  </si>
  <si>
    <t>36614943-000-018</t>
  </si>
  <si>
    <t>10/27/2020</t>
  </si>
  <si>
    <t>BR20-1855</t>
  </si>
  <si>
    <t>36614943-000-009</t>
  </si>
  <si>
    <t>BR20-1851</t>
  </si>
  <si>
    <t>PP001510;PF005126</t>
  </si>
  <si>
    <t>AMAZONDS,KOHLDSN,MACY02,TGTDVS</t>
  </si>
  <si>
    <t>36614943-000-002</t>
  </si>
  <si>
    <t>1/18/2021</t>
  </si>
  <si>
    <t>BR20-4672</t>
  </si>
  <si>
    <t>Rust Floral</t>
  </si>
  <si>
    <t>PP001510;PF006334</t>
  </si>
  <si>
    <t>BR20-4673</t>
  </si>
  <si>
    <t>BR20-4674</t>
  </si>
  <si>
    <t>BR20-4675</t>
  </si>
  <si>
    <t>BR20-4676</t>
  </si>
  <si>
    <t>Sage Winter Fauna</t>
  </si>
  <si>
    <t>PP001510;PF006335</t>
  </si>
  <si>
    <t>BR20-4677</t>
  </si>
  <si>
    <t>BR20-4678</t>
  </si>
  <si>
    <t>BR20-4679</t>
  </si>
  <si>
    <t>BR20-1846</t>
  </si>
  <si>
    <t>Seafoam Solid</t>
  </si>
  <si>
    <t>PP001510;PF005124</t>
  </si>
  <si>
    <t>AMAZONDS,BLK01,KOHLDSN,MACY02,TGTDVS</t>
  </si>
  <si>
    <t>36614943-000-007</t>
  </si>
  <si>
    <t>BR20-1847</t>
  </si>
  <si>
    <t>AMAZONDS,CSNSTORES,MACY02,NORDSTRACKDS</t>
  </si>
  <si>
    <t>36614943-000-021</t>
  </si>
  <si>
    <t>12/11/2020</t>
  </si>
  <si>
    <t>BR20-4167</t>
  </si>
  <si>
    <t>White Tossed Botanical</t>
  </si>
  <si>
    <t>PP001510;PF006051</t>
  </si>
  <si>
    <t>36614943-000-031</t>
  </si>
  <si>
    <t>BR20-4168</t>
  </si>
  <si>
    <t>36614943-000-030</t>
  </si>
  <si>
    <t>BR20-4169</t>
  </si>
  <si>
    <t>36614943-000-029</t>
  </si>
  <si>
    <t>BR20-4170</t>
  </si>
  <si>
    <t>36614943-000-026</t>
  </si>
  <si>
    <t>10/4/2023</t>
  </si>
  <si>
    <t>BR54-1157</t>
  </si>
  <si>
    <t>Oversized Plush</t>
  </si>
  <si>
    <t>Printed Heated Throw</t>
  </si>
  <si>
    <t>PP001309;PF004749</t>
  </si>
  <si>
    <t>AMAZON,BLK01,CSNSTORES,HDDS,JCPENNEY01,KOHLDSN,TGTDVS</t>
  </si>
  <si>
    <t>34433208-000-000</t>
  </si>
  <si>
    <t>MP103-0678</t>
  </si>
  <si>
    <t>Owen</t>
  </si>
  <si>
    <t>Admiral</t>
  </si>
  <si>
    <t>Roxbury</t>
  </si>
  <si>
    <t>27420786-000-000</t>
  </si>
  <si>
    <t>7/30/2018</t>
  </si>
  <si>
    <t>FPF18-0219</t>
  </si>
  <si>
    <t>Oxford</t>
  </si>
  <si>
    <t>Mid-Century Accent Chair</t>
  </si>
  <si>
    <t>Burnt Orange</t>
  </si>
  <si>
    <t>PF000651;PP000226</t>
  </si>
  <si>
    <t>ASHFURNDS,CASTLEGATE,CSNSTORES,HDDS,LAMPDS,MACY02F,OLLIIX,ROOMECOM</t>
  </si>
  <si>
    <t>16977709-000-002</t>
  </si>
  <si>
    <t>3/11/2015</t>
  </si>
  <si>
    <t>FPF18-0217</t>
  </si>
  <si>
    <t>PF000649;PP000226</t>
  </si>
  <si>
    <t>16977709-000-000</t>
  </si>
  <si>
    <t>2/20/2015</t>
  </si>
  <si>
    <t>ID10-1582</t>
  </si>
  <si>
    <t>Trent</t>
  </si>
  <si>
    <t>Reversible Comforter Set</t>
  </si>
  <si>
    <t>PF004420;PP000976</t>
  </si>
  <si>
    <t>8/17/2018</t>
  </si>
  <si>
    <t>BLK01,CSNSTORES,JCPENNEY01,KOHLDSN,OLLIIX,TGTDVS</t>
  </si>
  <si>
    <t>28203896-000-001</t>
  </si>
  <si>
    <t>7/17/2018</t>
  </si>
  <si>
    <t>MP100-1048</t>
  </si>
  <si>
    <t>Sand</t>
  </si>
  <si>
    <t>10/8/2020</t>
  </si>
  <si>
    <t>20822208-000-001</t>
  </si>
  <si>
    <t>10/18/2020</t>
  </si>
  <si>
    <t>II151-0105</t>
  </si>
  <si>
    <t>Pacific</t>
  </si>
  <si>
    <t>Metal Pendant with Drum Shade</t>
  </si>
  <si>
    <t>Plated Nickel</t>
  </si>
  <si>
    <t>37377053-000-000</t>
  </si>
  <si>
    <t>II154-0091</t>
  </si>
  <si>
    <t>Metal Tripod Floor Lamp with Glass Shade</t>
  </si>
  <si>
    <t>CSNSTORES,HOUZZ,KIRKLANDDS,KOHLDSN,OLLIIX,TGTDVS</t>
  </si>
  <si>
    <t>17626799-000-001</t>
  </si>
  <si>
    <t>9/7/2018</t>
  </si>
  <si>
    <t>MP10-6177</t>
  </si>
  <si>
    <t>Palisades</t>
  </si>
  <si>
    <t>Hanover</t>
  </si>
  <si>
    <t>Overland</t>
  </si>
  <si>
    <t>7 Piece Faux Suede Comforter Set</t>
  </si>
  <si>
    <t>PP000481;PF004572</t>
  </si>
  <si>
    <t>Traditional|Casual</t>
  </si>
  <si>
    <t>2/15/2019</t>
  </si>
  <si>
    <t>CSNSTORES,FINGERHUTDS,KOHLDSN,MACY02,TGTDVS</t>
  </si>
  <si>
    <t>13946108-000-005</t>
  </si>
  <si>
    <t>4/3/2019</t>
  </si>
  <si>
    <t>4/10/2019</t>
  </si>
  <si>
    <t>MP100-0441</t>
  </si>
  <si>
    <t>Palmer</t>
  </si>
  <si>
    <t>Nicoli</t>
  </si>
  <si>
    <t>Flint</t>
  </si>
  <si>
    <t>PF001083</t>
  </si>
  <si>
    <t>7/26/2017</t>
  </si>
  <si>
    <t>23224680-000-000</t>
  </si>
  <si>
    <t>MP10-8141</t>
  </si>
  <si>
    <t>Panache</t>
  </si>
  <si>
    <t>8 Piece Embroidered Microfiber Comforter Set</t>
  </si>
  <si>
    <t>PP001836;PF005885</t>
  </si>
  <si>
    <t>AMAZON,CSNSTORES,JCPENNEY01,KOHLDSN,MACY02,NRTPORT,TGTDVS,Zulily</t>
  </si>
  <si>
    <t>40899072-000-005</t>
  </si>
  <si>
    <t>BASI50-0426</t>
  </si>
  <si>
    <t>Parker</t>
  </si>
  <si>
    <t>Williams</t>
  </si>
  <si>
    <t>Oversized Plush Down Alternative Filled Throw</t>
  </si>
  <si>
    <t>PF002129;PP000483</t>
  </si>
  <si>
    <t>BLK01,CSNSTORES,JCPENNEY01,KOHLDSN,MACY02,OLLIIX,TGTDVS,WALMARTDS</t>
  </si>
  <si>
    <t>19195715-000-000</t>
  </si>
  <si>
    <t>8/9/2016</t>
  </si>
  <si>
    <t>BASI50-0429</t>
  </si>
  <si>
    <t>PF002132</t>
  </si>
  <si>
    <t>19195715-000-003</t>
  </si>
  <si>
    <t>8/23/2016</t>
  </si>
  <si>
    <t>BASI50-0428</t>
  </si>
  <si>
    <t>PF002131;PP000483</t>
  </si>
  <si>
    <t>19195715-000-002</t>
  </si>
  <si>
    <t>12/7/2016</t>
  </si>
  <si>
    <t>MP120-1065</t>
  </si>
  <si>
    <t>Avenu</t>
  </si>
  <si>
    <t>Console</t>
  </si>
  <si>
    <t>Off-White/Natural</t>
  </si>
  <si>
    <t>AMAZONDS,ASHFURNDS,CSNSTORES,OLLIIX,ROOMECOM,Zulily</t>
  </si>
  <si>
    <t>31023983-000-001</t>
  </si>
  <si>
    <t>MPE10-826</t>
  </si>
  <si>
    <t>Parkston</t>
  </si>
  <si>
    <t>Hartford</t>
  </si>
  <si>
    <t>3M Scotchgard Down Alternative All Season Comforter Set</t>
  </si>
  <si>
    <t>PF004814;PP001340</t>
  </si>
  <si>
    <t>16339273-000-005</t>
  </si>
  <si>
    <t>10/24/2019</t>
  </si>
  <si>
    <t>MPE10-599</t>
  </si>
  <si>
    <t>PF002084</t>
  </si>
  <si>
    <t>8/25/2017</t>
  </si>
  <si>
    <t>AMAZON,AMAZONDS,BLK01,CSNSTORES,FINGERHUTDS,HSNDS,JCPENNEY01,KOHLDSN,MACY02,NRTPORT,TGTDVS</t>
  </si>
  <si>
    <t>23718199-000-001</t>
  </si>
  <si>
    <t>MPE10-600</t>
  </si>
  <si>
    <t>AMAZON,AMAZONDS,BLK01,CSNSTORES,HSNDS,JCPENNEY01,KOHLDSN,MACY02,TGTDVS</t>
  </si>
  <si>
    <t>23718199-000-002</t>
  </si>
  <si>
    <t>II95B-0159</t>
  </si>
  <si>
    <t>Paths Collide</t>
  </si>
  <si>
    <t>Textured Framed Carved Resin Dimensional Wall Décor</t>
  </si>
  <si>
    <t>43051392-000-000</t>
  </si>
  <si>
    <t>5DS100-0035</t>
  </si>
  <si>
    <t>Paula</t>
  </si>
  <si>
    <t>Slipcover Accent Armchair</t>
  </si>
  <si>
    <t>5DS100-0041</t>
  </si>
  <si>
    <t>41984382-000-002</t>
  </si>
  <si>
    <t>MP20-5390</t>
  </si>
  <si>
    <t>Peached Percale</t>
  </si>
  <si>
    <t>200 Thread Count Relaxed Cotton Percale Sheet Set</t>
  </si>
  <si>
    <t>PF004090</t>
  </si>
  <si>
    <t>3/23/2018</t>
  </si>
  <si>
    <t>BLK01,CSNSTORES,FINGERHUTDS,JCPENNEY01,KOHLDSN,MACY02,OLLIIX,TGTDVS,Zulily</t>
  </si>
  <si>
    <t>26575275-000-016</t>
  </si>
  <si>
    <t>4/9/2018</t>
  </si>
  <si>
    <t>MP20-5380</t>
  </si>
  <si>
    <t>PF004088</t>
  </si>
  <si>
    <t>BLK01,JCPENNEY01,KOHLDSN,MACY02,OLLIIX,Zulily</t>
  </si>
  <si>
    <t>26575275-000-026</t>
  </si>
  <si>
    <t>MP20-5405</t>
  </si>
  <si>
    <t>PF004093</t>
  </si>
  <si>
    <t>CSNSTORES,JCPENNEY01,MACY02,OLLIIX,TGTDVS,Zulily</t>
  </si>
  <si>
    <t>26575275-000-000</t>
  </si>
  <si>
    <t>MP20-5409</t>
  </si>
  <si>
    <t>BLK01,CSNSTORES,JCPENNEY01,KOHLDSN,MACY02,OLLIIX,TGTDVS,Zulily</t>
  </si>
  <si>
    <t>26575275-000-030</t>
  </si>
  <si>
    <t>MP20-6643</t>
  </si>
  <si>
    <t>PP001365;PF004864</t>
  </si>
  <si>
    <t>26575275-000-035</t>
  </si>
  <si>
    <t>3/31/2020</t>
  </si>
  <si>
    <t>MP20-5398</t>
  </si>
  <si>
    <t>PF004091</t>
  </si>
  <si>
    <t>26575275-000-003</t>
  </si>
  <si>
    <t>6/11/2018</t>
  </si>
  <si>
    <t>MP20-5382</t>
  </si>
  <si>
    <t>PF004089</t>
  </si>
  <si>
    <t>26575275-000-005</t>
  </si>
  <si>
    <t>MP20-5386</t>
  </si>
  <si>
    <t>26575275-000-012</t>
  </si>
  <si>
    <t>MP20-5399</t>
  </si>
  <si>
    <t>PF004092</t>
  </si>
  <si>
    <t>JCPENNEY01,KOHLDSN,MACY02,OLLIIX,TGTDVS,Zulily</t>
  </si>
  <si>
    <t>26575275-000-022</t>
  </si>
  <si>
    <t>MP20-5404</t>
  </si>
  <si>
    <t>26575275-000-015</t>
  </si>
  <si>
    <t>MP104-1255</t>
  </si>
  <si>
    <t>Pearce</t>
  </si>
  <si>
    <t>Walsh</t>
  </si>
  <si>
    <t>Howard</t>
  </si>
  <si>
    <t>Counter Stool with Swivel Seat Set of 2</t>
  </si>
  <si>
    <t>PP000623</t>
  </si>
  <si>
    <t>26360394-000-007</t>
  </si>
  <si>
    <t>MP104-1149</t>
  </si>
  <si>
    <t>Bar Stool with Swivel Seat</t>
  </si>
  <si>
    <t>26360394-000-009</t>
  </si>
  <si>
    <t>3/13/2022</t>
  </si>
  <si>
    <t>MP104-1258</t>
  </si>
  <si>
    <t>26360394-000-004</t>
  </si>
  <si>
    <t>MP10-2706</t>
  </si>
  <si>
    <t>Pebble Beach</t>
  </si>
  <si>
    <t>Pacific Grove</t>
  </si>
  <si>
    <t>Ocean View</t>
  </si>
  <si>
    <t>7 Piece Cotton Sateen Comforter Set</t>
  </si>
  <si>
    <t>PF002758;PP000484</t>
  </si>
  <si>
    <t>Transitional|Casual</t>
  </si>
  <si>
    <t>AMAZON,AMAZONDS,BEALLSDS,BLK01,CSNSTORES,JCPENNEY01,KOHLDSN,MACY02,OLLIIX</t>
  </si>
  <si>
    <t>18524319-000-002</t>
  </si>
  <si>
    <t>CHM11-0011</t>
  </si>
  <si>
    <t>Perla</t>
  </si>
  <si>
    <t>42067461-000-001</t>
  </si>
  <si>
    <t>MPS10-521</t>
  </si>
  <si>
    <t>Pescal</t>
  </si>
  <si>
    <t>Oversized Velvet Comforter Set with Euro Shams and Throw Pillows</t>
  </si>
  <si>
    <t>PP001955;PF006227</t>
  </si>
  <si>
    <t>44363124-000-000</t>
  </si>
  <si>
    <t>MPS10-522</t>
  </si>
  <si>
    <t>44363124-000-001</t>
  </si>
  <si>
    <t>ID95C-0041</t>
  </si>
  <si>
    <t>Pet Portrait</t>
  </si>
  <si>
    <t>Bohemian Cat In Forest Framed Canvas Wall Art</t>
  </si>
  <si>
    <t>Bohemian Cat</t>
  </si>
  <si>
    <t>AMAZON,MACY02,OLLIIX,TGTDVS</t>
  </si>
  <si>
    <t>42721568-000-001</t>
  </si>
  <si>
    <t>ID95C-0045</t>
  </si>
  <si>
    <t>Captain's Guard Pug Framed Canvas Wall Art</t>
  </si>
  <si>
    <t>Captain Pug</t>
  </si>
  <si>
    <t>42721568-000-006</t>
  </si>
  <si>
    <t>ID95C-0047</t>
  </si>
  <si>
    <t>King Charles Spaniel III Framed Canvas Wall Art</t>
  </si>
  <si>
    <t>King Charles Spaniel III</t>
  </si>
  <si>
    <t>42721568-000-002</t>
  </si>
  <si>
    <t>ID95C-0046</t>
  </si>
  <si>
    <t>Kitty Queen Charlotte Framed Canvas Wall Art</t>
  </si>
  <si>
    <t>Kitty Queen Charlotte</t>
  </si>
  <si>
    <t>42721568-000-003</t>
  </si>
  <si>
    <t>ID95C-0042</t>
  </si>
  <si>
    <t>Kitty Queen Belle Framed Canvas Wall Art</t>
  </si>
  <si>
    <t>Queen Belle</t>
  </si>
  <si>
    <t>42721568-000-005</t>
  </si>
  <si>
    <t>ID95C-0044</t>
  </si>
  <si>
    <t>Bridger Kitty Framed Canvas Wall Art</t>
  </si>
  <si>
    <t>Queen Bridger</t>
  </si>
  <si>
    <t>AMAZON,OLLIIX,TGTDVS</t>
  </si>
  <si>
    <t>42721568-000-000</t>
  </si>
  <si>
    <t>ID95C-0043</t>
  </si>
  <si>
    <t>Rosie the Feline Framed Canvas Wall Art</t>
  </si>
  <si>
    <t>Rosie Feline</t>
  </si>
  <si>
    <t>42721568-000-004</t>
  </si>
  <si>
    <t>MT120-1202</t>
  </si>
  <si>
    <t>Philippe</t>
  </si>
  <si>
    <t>Round Coffee Table with Shelf</t>
  </si>
  <si>
    <t>43752253-000-000</t>
  </si>
  <si>
    <t>MT100-1204</t>
  </si>
  <si>
    <t>Morocco Brown/Taupe</t>
  </si>
  <si>
    <t>44656669-000-000</t>
  </si>
  <si>
    <t>MT106-1205</t>
  </si>
  <si>
    <t>Loveseat</t>
  </si>
  <si>
    <t>44657048-000-000</t>
  </si>
  <si>
    <t>ID10-2201</t>
  </si>
  <si>
    <t>Pike</t>
  </si>
  <si>
    <t>Carter</t>
  </si>
  <si>
    <t>Plaid Reversible Comforter Set</t>
  </si>
  <si>
    <t>White/Gray</t>
  </si>
  <si>
    <t>PF005618</t>
  </si>
  <si>
    <t>AMAZON,AMAZONDS,CSNSTORES,DESINC,JCPENNEY01,KOHLDSN,OLLIIX,TGTDVS</t>
  </si>
  <si>
    <t>39297866-000-002</t>
  </si>
  <si>
    <t>CSP10-1485</t>
  </si>
  <si>
    <t>6/9/2021</t>
  </si>
  <si>
    <t>AMAZON,CSNSTORES,DESINC,JCPENNEY01,KIRKLANDDS,KOHLDSN,TGTDVS</t>
  </si>
  <si>
    <t>39297866-000-000</t>
  </si>
  <si>
    <t>11/30/2021</t>
  </si>
  <si>
    <t>3/14/2022</t>
  </si>
  <si>
    <t>HH10-1840</t>
  </si>
  <si>
    <t>Pismo Beach</t>
  </si>
  <si>
    <t>6 Piece Oversized Cotton Comforter Set with Throw Pillows</t>
  </si>
  <si>
    <t>Blue/White</t>
  </si>
  <si>
    <t>PP001857;PF005939</t>
  </si>
  <si>
    <t>AMAZONDS,CSNSTORES,KOHLDSN,OLLIIX</t>
  </si>
  <si>
    <t>41367343-000-003</t>
  </si>
  <si>
    <t>BR73-2439</t>
  </si>
  <si>
    <t>Plume</t>
  </si>
  <si>
    <t>100% Cotton Feather Touch Antimicrobial Towel 6 Piece Set</t>
  </si>
  <si>
    <t>PP001590;PF005340</t>
  </si>
  <si>
    <t>AMAZONDS,DESINC,JCPENNEY01,MACY02,NORDSTRACKDS,TGTDVS,ZOLA</t>
  </si>
  <si>
    <t>37965788-000-004</t>
  </si>
  <si>
    <t>BR73-2436</t>
  </si>
  <si>
    <t>PP001590;PF005337</t>
  </si>
  <si>
    <t>AMAZON,CSNSTORES,JCPENNEY01,KOHLDSN,MACY02,TGTDVS,ZOLA</t>
  </si>
  <si>
    <t>37965788-000-005</t>
  </si>
  <si>
    <t>BR73-4070</t>
  </si>
  <si>
    <t>PP001590;PF005957</t>
  </si>
  <si>
    <t>AMAZON,CSNSTORES,KOHLDSN,MACY02,TGTDVS,ZOLA</t>
  </si>
  <si>
    <t>Unproductive</t>
  </si>
  <si>
    <t>ST54-0086</t>
  </si>
  <si>
    <t>Plush Heated</t>
  </si>
  <si>
    <t>37390124-000-002</t>
  </si>
  <si>
    <t>ST54-0126</t>
  </si>
  <si>
    <t>6/25/2021</t>
  </si>
  <si>
    <t>37390124-000-021</t>
  </si>
  <si>
    <t>ST54-0091</t>
  </si>
  <si>
    <t>FINGERHUTDS,JCPENNEY01,KOHLDSN,MACY02,WALMARTDS</t>
  </si>
  <si>
    <t>37390124-000-003</t>
  </si>
  <si>
    <t>MZ20-500</t>
  </si>
  <si>
    <t>Polka Dot</t>
  </si>
  <si>
    <t>Printed 100% Cotton Sheet Set</t>
  </si>
  <si>
    <t>Dark Pink</t>
  </si>
  <si>
    <t>PF001573</t>
  </si>
  <si>
    <t>18525726-000-016</t>
  </si>
  <si>
    <t>10/7/2016</t>
  </si>
  <si>
    <t>MZ20-417</t>
  </si>
  <si>
    <t>PF001570</t>
  </si>
  <si>
    <t>AMAZON,CSNSTORES,HSNDS,KOHLDSN,MACY02,TGTDVS</t>
  </si>
  <si>
    <t>18525726-000-008</t>
  </si>
  <si>
    <t>MZ20-496</t>
  </si>
  <si>
    <t>PF001572</t>
  </si>
  <si>
    <t>18525726-000-012</t>
  </si>
  <si>
    <t>11/11/2016</t>
  </si>
  <si>
    <t>MZ20-497</t>
  </si>
  <si>
    <t>AMAZON,BLK01,CSNSTORES,HDDS,KOHLDSN,MACY02</t>
  </si>
  <si>
    <t>18525726-000-013</t>
  </si>
  <si>
    <t>11/16/2016</t>
  </si>
  <si>
    <t>MZ20-498</t>
  </si>
  <si>
    <t>AMAZON,CSNSTORES,HSNDS,KOHLDSN,MACY02,OLLIIX,TGTDVS,Zulily</t>
  </si>
  <si>
    <t>18525726-000-014</t>
  </si>
  <si>
    <t>11/18/2016</t>
  </si>
  <si>
    <t>AMFBA40-0444</t>
  </si>
  <si>
    <t>Hyde lane</t>
  </si>
  <si>
    <t>Pom Pom Window Curtain</t>
  </si>
  <si>
    <t>Pom Pom Winder Curtain</t>
  </si>
  <si>
    <t>52x63"</t>
  </si>
  <si>
    <t>AMAZONFBA</t>
  </si>
  <si>
    <t>7/17/2021</t>
  </si>
  <si>
    <t>AMFBA40-0445</t>
  </si>
  <si>
    <t>PANEL</t>
  </si>
  <si>
    <t>AMFBA40-0448</t>
  </si>
  <si>
    <t>AMFBA40-0449</t>
  </si>
  <si>
    <t>AMFBA40-0446</t>
  </si>
  <si>
    <t>AMFBA40-0447</t>
  </si>
  <si>
    <t>AMFBA40-0450</t>
  </si>
  <si>
    <t>AMFBA40-0451</t>
  </si>
  <si>
    <t>5DS10-0294</t>
  </si>
  <si>
    <t>Powell</t>
  </si>
  <si>
    <t>Kingwood</t>
  </si>
  <si>
    <t>Elmore</t>
  </si>
  <si>
    <t>8 Piece Embroidered Comforter Set</t>
  </si>
  <si>
    <t>PP001776;PF006374</t>
  </si>
  <si>
    <t>40161063-000-008</t>
  </si>
  <si>
    <t>5DS10-0295</t>
  </si>
  <si>
    <t>40161063-000-006</t>
  </si>
  <si>
    <t>5DS10-0296</t>
  </si>
  <si>
    <t>40161063-000-007</t>
  </si>
  <si>
    <t>5DS10-0282</t>
  </si>
  <si>
    <t>PP001776;PF005724</t>
  </si>
  <si>
    <t>7/12/2022</t>
  </si>
  <si>
    <t>AMAZONDS,CSNSTORES,FINGERHUTDS,JCPENNEY01,KOHLDSN,MACY02,NRTPORT,OLLIIX,TGTDVS,Zulily</t>
  </si>
  <si>
    <t>40161063-000-005</t>
  </si>
  <si>
    <t>7/15/2022</t>
  </si>
  <si>
    <t>MP10-8359</t>
  </si>
  <si>
    <t>Prairie</t>
  </si>
  <si>
    <t>Pampa</t>
  </si>
  <si>
    <t>Savanna</t>
  </si>
  <si>
    <t>PP001918;PF006128</t>
  </si>
  <si>
    <t>BLK01,CSNSTORES,JCPENNEY01,OLLIIX</t>
  </si>
  <si>
    <t>43474617-000-000</t>
  </si>
  <si>
    <t>MP10-8360</t>
  </si>
  <si>
    <t>43474617-000-001</t>
  </si>
  <si>
    <t>MZ12-0646</t>
  </si>
  <si>
    <t>Primrose</t>
  </si>
  <si>
    <t>Evie</t>
  </si>
  <si>
    <t>Ombre Shaggy Faux Fur Duvet Cover Set</t>
  </si>
  <si>
    <t>Purple Multi</t>
  </si>
  <si>
    <t>PF005829</t>
  </si>
  <si>
    <t>1/11/2024</t>
  </si>
  <si>
    <t>43642762-000-000</t>
  </si>
  <si>
    <t>MZ12-0647</t>
  </si>
  <si>
    <t>43642762-000-001</t>
  </si>
  <si>
    <t>MP13-4341</t>
  </si>
  <si>
    <t>Princeton</t>
  </si>
  <si>
    <t>Dartmouth</t>
  </si>
  <si>
    <t>Cambridge</t>
  </si>
  <si>
    <t>5 Piece Reversible Jacquard Bedspread Set</t>
  </si>
  <si>
    <t>PF003392</t>
  </si>
  <si>
    <t>AMAZON,AMAZONDS,BLK01,CSNSTORES,JCPENNEY01,KOHLDSN,MACY02,OLLIIX,TGTDVS,WALMARTDS,Zulily</t>
  </si>
  <si>
    <t>22267846-000-001</t>
  </si>
  <si>
    <t>5/15/2017</t>
  </si>
  <si>
    <t>MZ20-0636</t>
  </si>
  <si>
    <t>Printed</t>
  </si>
  <si>
    <t>Microfiber Sheet Set</t>
  </si>
  <si>
    <t>Rainbow</t>
  </si>
  <si>
    <t>PF005825</t>
  </si>
  <si>
    <t>AMAZONDS,KOHLDSN,MACY02,OLLIIX,Zulily</t>
  </si>
  <si>
    <t>21528187-000-014</t>
  </si>
  <si>
    <t>5/17/2023</t>
  </si>
  <si>
    <t>MZ20-0641</t>
  </si>
  <si>
    <t>Space Rocket</t>
  </si>
  <si>
    <t>PF005826</t>
  </si>
  <si>
    <t>AMAZONDS,BLK01,CSNSTORES,KOHLDSN,MACY02</t>
  </si>
  <si>
    <t>21528187-000-013</t>
  </si>
  <si>
    <t>9/26/2022</t>
  </si>
  <si>
    <t>ID20-2365</t>
  </si>
  <si>
    <t>Printed Microfiber</t>
  </si>
  <si>
    <t>Beige Dotted Arches</t>
  </si>
  <si>
    <t>PP001852;PF006229</t>
  </si>
  <si>
    <t>42128527-000-009</t>
  </si>
  <si>
    <t>4/16/2024</t>
  </si>
  <si>
    <t>ID20-2366</t>
  </si>
  <si>
    <t>42128527-000-008</t>
  </si>
  <si>
    <t>ID20-2367</t>
  </si>
  <si>
    <t>42128527-000-011</t>
  </si>
  <si>
    <t>ID20-2368</t>
  </si>
  <si>
    <t>42128527-000-010</t>
  </si>
  <si>
    <t>5/16/2024</t>
  </si>
  <si>
    <t>ID20-2218</t>
  </si>
  <si>
    <t>Black Floral</t>
  </si>
  <si>
    <t>PP001852;PF005930</t>
  </si>
  <si>
    <t>42128527-000-006</t>
  </si>
  <si>
    <t>ID20-2220</t>
  </si>
  <si>
    <t>AMAZON,AMAZONDS,CSNSTORES,JCPENNEY01,KOHLDSN,MACY02,NRTPORT,TGTDVS</t>
  </si>
  <si>
    <t>42128527-000-002</t>
  </si>
  <si>
    <t>ID20-2222</t>
  </si>
  <si>
    <t>Blue Chevron</t>
  </si>
  <si>
    <t>PP001852;PF005931</t>
  </si>
  <si>
    <t>42128527-000-004</t>
  </si>
  <si>
    <t>ID20-2223</t>
  </si>
  <si>
    <t>42128527-000-000</t>
  </si>
  <si>
    <t>ID20-2224</t>
  </si>
  <si>
    <t>42128527-000-007</t>
  </si>
  <si>
    <t>ID20-2225</t>
  </si>
  <si>
    <t>42128527-000-001</t>
  </si>
  <si>
    <t>1/30/2024</t>
  </si>
  <si>
    <t>ID20-2361</t>
  </si>
  <si>
    <t>Blush Waves</t>
  </si>
  <si>
    <t>PP001852;PF006228</t>
  </si>
  <si>
    <t>AMAZON,HDDS,JCPENNEY01,KOHLDSN</t>
  </si>
  <si>
    <t>42128527-000-013</t>
  </si>
  <si>
    <t>ID20-2362</t>
  </si>
  <si>
    <t>42128527-000-012</t>
  </si>
  <si>
    <t>ID20-2363</t>
  </si>
  <si>
    <t>42128527-000-015</t>
  </si>
  <si>
    <t>ID20-2364</t>
  </si>
  <si>
    <t>42128527-000-014</t>
  </si>
  <si>
    <t>ST54-0147</t>
  </si>
  <si>
    <t>Printed Plush</t>
  </si>
  <si>
    <t>PF005548;PP001669</t>
  </si>
  <si>
    <t>CSNSTORES,FINGERHUTDS,HSNDS,JCPENNEY01,KOHLDSN</t>
  </si>
  <si>
    <t>38225639-000-002</t>
  </si>
  <si>
    <t>ST54-0145</t>
  </si>
  <si>
    <t>PF005546;PP001669</t>
  </si>
  <si>
    <t>FINGERHUTDS,HSNDS,JCPENNEY01,KOHLDSN,TGTDVS</t>
  </si>
  <si>
    <t>38225639-000-004</t>
  </si>
  <si>
    <t>ST54-0148</t>
  </si>
  <si>
    <t>PF005549;PP001669</t>
  </si>
  <si>
    <t>CSNSTORES,FINGERHUTDS,JCPENNEY01,KOHLDSN,WALMARTDS</t>
  </si>
  <si>
    <t>38225639-000-003</t>
  </si>
  <si>
    <t>9/10/2021</t>
  </si>
  <si>
    <t>ST54-0146</t>
  </si>
  <si>
    <t>PF005547;PP001669</t>
  </si>
  <si>
    <t>CSNSTORES,FINGERHUTDS,JCPENNEY01,KOHLDSN,MACY02,TGTDVS</t>
  </si>
  <si>
    <t>38225639-000-001</t>
  </si>
  <si>
    <t>MPE20-1025</t>
  </si>
  <si>
    <t>Printed Satin</t>
  </si>
  <si>
    <t>Blue Marble</t>
  </si>
  <si>
    <t>PP001851;PF006096</t>
  </si>
  <si>
    <t>Satin</t>
  </si>
  <si>
    <t>42672831-000-008</t>
  </si>
  <si>
    <t>MPE20-1027</t>
  </si>
  <si>
    <t>AMAZON,JCPENNEY01,KOHLDSN,OLLIIX,TGTDVS</t>
  </si>
  <si>
    <t>42672831-000-010</t>
  </si>
  <si>
    <t>MPE20-1028</t>
  </si>
  <si>
    <t>42672831-000-011</t>
  </si>
  <si>
    <t>MPE20-999</t>
  </si>
  <si>
    <t>Gray Leopard</t>
  </si>
  <si>
    <t>PP001851;PF005928</t>
  </si>
  <si>
    <t>3/1/2023</t>
  </si>
  <si>
    <t>42672831-000-004</t>
  </si>
  <si>
    <t>9/26/2023</t>
  </si>
  <si>
    <t>MPE20-1000</t>
  </si>
  <si>
    <t>AMAZON,AMAZONDS,CSNSTORES,JCPENNEY01,KIRKLANDDS,KOHLDSN,MACY02,NRTPORT,TGTDVS</t>
  </si>
  <si>
    <t>42672831-000-006</t>
  </si>
  <si>
    <t>MPE20-1001</t>
  </si>
  <si>
    <t>AMAZON,AMAZONDS,BLK01,CSNSTORES,HDDS,JCPENNEY01,KIRKLANDDS,KOHLDSN,MACY02,NRTPORT,TGTDVS</t>
  </si>
  <si>
    <t>42672831-000-007</t>
  </si>
  <si>
    <t>MPE20-992</t>
  </si>
  <si>
    <t>Taupe Leopard</t>
  </si>
  <si>
    <t>PP001851;PF005927</t>
  </si>
  <si>
    <t>42672831-000-002</t>
  </si>
  <si>
    <t>MPE20-993</t>
  </si>
  <si>
    <t>42672831-000-000</t>
  </si>
  <si>
    <t>MPE20-994</t>
  </si>
  <si>
    <t>42672831-000-003</t>
  </si>
  <si>
    <t>MT153-0073</t>
  </si>
  <si>
    <t>Provencal</t>
  </si>
  <si>
    <t>29"H Resin Table Lamp Set of 2</t>
  </si>
  <si>
    <t>Reclaimed Grey</t>
  </si>
  <si>
    <t>12/9/2023</t>
  </si>
  <si>
    <t>AMAZON,KIRKLANDDS</t>
  </si>
  <si>
    <t>43169901-000-000</t>
  </si>
  <si>
    <t>12/10/2023</t>
  </si>
  <si>
    <t>MP13-8478</t>
  </si>
  <si>
    <t>Quebec</t>
  </si>
  <si>
    <t>Mansfield</t>
  </si>
  <si>
    <t>Vancouver</t>
  </si>
  <si>
    <t>Balsam Green</t>
  </si>
  <si>
    <t>PP000640</t>
  </si>
  <si>
    <t>MP13-8480</t>
  </si>
  <si>
    <t>MP13-8481</t>
  </si>
  <si>
    <t>MP13-8479</t>
  </si>
  <si>
    <t>MP13-367</t>
  </si>
  <si>
    <t>Reversible Quilt Set</t>
  </si>
  <si>
    <t>PF002475;PP000488</t>
  </si>
  <si>
    <t>AMAZON,AMAZONDS,BLK01,CSNSTORES,HDDS,JCPENNEY01,KOHLDSN,MACY02,NRTPORT,OLLIIX,TGTDVS</t>
  </si>
  <si>
    <t>13673545-000-011</t>
  </si>
  <si>
    <t>MP13-8482</t>
  </si>
  <si>
    <t>Clay Red</t>
  </si>
  <si>
    <t>MP13-8484</t>
  </si>
  <si>
    <t>MP13-8485</t>
  </si>
  <si>
    <t>MP13-8483</t>
  </si>
  <si>
    <t>MP13-4972</t>
  </si>
  <si>
    <t>PF002402</t>
  </si>
  <si>
    <t>8/23/2017</t>
  </si>
  <si>
    <t>AMAZON,AMAZONDS,BLK01,CSNSTORES,HDDS,JCPENNEY01,KOHLDSN,MACY02,OLLIIX,TGTDVS</t>
  </si>
  <si>
    <t>13673545-000-026</t>
  </si>
  <si>
    <t>BR13-1362</t>
  </si>
  <si>
    <t>ELECTRIC QUILT</t>
  </si>
  <si>
    <t>Electric Quilt</t>
  </si>
  <si>
    <t>Quilted Plush</t>
  </si>
  <si>
    <t>PP001454;PF005022</t>
  </si>
  <si>
    <t>11/17/2019</t>
  </si>
  <si>
    <t>AMAZONDS,CSNSTORES,KOHLDSN,MACY02,TGTDVS</t>
  </si>
  <si>
    <t>35116974-000-009</t>
  </si>
  <si>
    <t>11/19/2019</t>
  </si>
  <si>
    <t>7/19/2020</t>
  </si>
  <si>
    <t>BR13-1364</t>
  </si>
  <si>
    <t>35116974-000-002</t>
  </si>
  <si>
    <t>4/27/2020</t>
  </si>
  <si>
    <t>BR13-1358</t>
  </si>
  <si>
    <t>PP001454;PF005021</t>
  </si>
  <si>
    <t>AMAZONDS,CSNSTORES,HDDS,JCPENNEY01,KOHLDSN,MACY02,TGTDVS</t>
  </si>
  <si>
    <t>35116974-000-005</t>
  </si>
  <si>
    <t>9/23/2020</t>
  </si>
  <si>
    <t>MP100-1054</t>
  </si>
  <si>
    <t>Qwen</t>
  </si>
  <si>
    <t>Elle</t>
  </si>
  <si>
    <t>Cassie</t>
  </si>
  <si>
    <t>Button Tufted Accent Chair</t>
  </si>
  <si>
    <t>10/29/2020</t>
  </si>
  <si>
    <t>ASHFURNDS,CSNSTORES,KOHLDSN,MACY02F,OLLIIX</t>
  </si>
  <si>
    <t>18677251-000-002</t>
  </si>
  <si>
    <t>11/16/2020</t>
  </si>
  <si>
    <t>TN54-0341</t>
  </si>
  <si>
    <t>Raina</t>
  </si>
  <si>
    <t>Arielle</t>
  </si>
  <si>
    <t>Heated Metallic Print Throw</t>
  </si>
  <si>
    <t>PP000896;PF004307</t>
  </si>
  <si>
    <t>5/14/2018</t>
  </si>
  <si>
    <t>27555593-000-003</t>
  </si>
  <si>
    <t>ID70-1291</t>
  </si>
  <si>
    <t>Printed Metallic Shower Curtain</t>
  </si>
  <si>
    <t>PF001694;PP000896</t>
  </si>
  <si>
    <t>7/19/2017</t>
  </si>
  <si>
    <t>CSNSTORES,HDDS,HOUZZ,JCPENNEY01,KOHLDSN,MACY02,OLLIIX,TGTDVS,WALMARTDS</t>
  </si>
  <si>
    <t>23394858-000-000</t>
  </si>
  <si>
    <t>8/7/2017</t>
  </si>
  <si>
    <t>ID12-1393</t>
  </si>
  <si>
    <t>Metallic Printed Duvet Cover Set</t>
  </si>
  <si>
    <t>PF004172</t>
  </si>
  <si>
    <t>26059446-000-012</t>
  </si>
  <si>
    <t>2/13/2018</t>
  </si>
  <si>
    <t>3/2/2018</t>
  </si>
  <si>
    <t>ID40-1807</t>
  </si>
  <si>
    <t>Total Blackout Metallic Print Grommet Top Curtain Panel</t>
  </si>
  <si>
    <t>PP000896;PF004928</t>
  </si>
  <si>
    <t>AMAZON,CSNSTORES,DESINC,HDDS,JCPENNEY01,KOHLDSN,TGTDVS</t>
  </si>
  <si>
    <t>26317608-000-009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</si>
  <si>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</si>
  <si>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</si>
  <si>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</si>
  <si>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</si>
  <si>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</si>
  <si>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</si>
  <si>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42119015-000-000</t>
  </si>
  <si>
    <t>MP10-8210</t>
  </si>
  <si>
    <t>42119015-000-001</t>
  </si>
  <si>
    <t>SHET20-1126</t>
  </si>
  <si>
    <t>Rayon from Bamboo</t>
  </si>
  <si>
    <t>4PC Sheet Set</t>
  </si>
  <si>
    <t>PF002334</t>
  </si>
  <si>
    <t>BLK01,FINGERHUTDS,MACY02</t>
  </si>
  <si>
    <t>21779743-000-008</t>
  </si>
  <si>
    <t>7/10/2017</t>
  </si>
  <si>
    <t>SHET20-1128</t>
  </si>
  <si>
    <t>AMAZON,BLK01,JCPENNEY01,MACY02,OLLIIX</t>
  </si>
  <si>
    <t>21779743-000-010</t>
  </si>
  <si>
    <t>SHET20-1129</t>
  </si>
  <si>
    <t>CSNSTORES,FINGERHUTDS,JCPENNEY01,MACY02</t>
  </si>
  <si>
    <t>21779743-000-011</t>
  </si>
  <si>
    <t>6/20/2017</t>
  </si>
  <si>
    <t>BASI30-0526</t>
  </si>
  <si>
    <t>Pillow Insert</t>
  </si>
  <si>
    <t>Shredded Memory Foam Pillow with Rayon from Bamboo Blend Cover</t>
  </si>
  <si>
    <t>Body Pillow</t>
  </si>
  <si>
    <t>PP000941</t>
  </si>
  <si>
    <t>Classic</t>
  </si>
  <si>
    <t>BLK01,JCPENNEY01,KOHLDSN,MACY02,NRTPORT,OLLIIX,TGTDVS,ZOLA</t>
  </si>
  <si>
    <t>26942078-000-000</t>
  </si>
  <si>
    <t>3/26/2019</t>
  </si>
  <si>
    <t>ID40-1982</t>
  </si>
  <si>
    <t>Rebecca</t>
  </si>
  <si>
    <t>Natalia</t>
  </si>
  <si>
    <t>Grommet Top Printed Marble Metallic Total Blackout Curtain</t>
  </si>
  <si>
    <t>PF004894;PP001541</t>
  </si>
  <si>
    <t>4/20/2021</t>
  </si>
  <si>
    <t>CSNSTORES,DESINC,JCPENNEY01,KOHLDSN,NRTPORT,TGTDVS</t>
  </si>
  <si>
    <t>35737104-000-003</t>
  </si>
  <si>
    <t>4/21/2021</t>
  </si>
  <si>
    <t>4/29/2021</t>
  </si>
  <si>
    <t>MPS10-546</t>
  </si>
  <si>
    <t>Reed</t>
  </si>
  <si>
    <t>MPS10-547</t>
  </si>
  <si>
    <t>MT100-0166</t>
  </si>
  <si>
    <t>Remo</t>
  </si>
  <si>
    <t>Light Green</t>
  </si>
  <si>
    <t>40536890-000-000</t>
  </si>
  <si>
    <t>ID10-2294</t>
  </si>
  <si>
    <t>Alden</t>
  </si>
  <si>
    <t>Sutton</t>
  </si>
  <si>
    <t>Quilted Chevron Comforter Set</t>
  </si>
  <si>
    <t>PP001931;PF006160</t>
  </si>
  <si>
    <t>43626614-000-005</t>
  </si>
  <si>
    <t>ID10-2298</t>
  </si>
  <si>
    <t>PP001931;PF006162</t>
  </si>
  <si>
    <t>43626614-000-003</t>
  </si>
  <si>
    <t>ID10-2299</t>
  </si>
  <si>
    <t>2/21/2024</t>
  </si>
  <si>
    <t>43626614-000-000</t>
  </si>
  <si>
    <t>ID10-2297</t>
  </si>
  <si>
    <t>PP001931;PF006161</t>
  </si>
  <si>
    <t>43626614-000-001</t>
  </si>
  <si>
    <t>II116-0070</t>
  </si>
  <si>
    <t>HEADBOARD</t>
  </si>
  <si>
    <t>Headboard</t>
  </si>
  <si>
    <t>Renu</t>
  </si>
  <si>
    <t>Queen Headboard</t>
  </si>
  <si>
    <t>Light Brown Multi/Gun Metal</t>
  </si>
  <si>
    <t>PF000864;PP000048</t>
  </si>
  <si>
    <t>ASHFURNDS,OLLIIX,ROOMECOM</t>
  </si>
  <si>
    <t>20812996-000-000</t>
  </si>
  <si>
    <t>2/15/2017</t>
  </si>
  <si>
    <t>II150-0132</t>
  </si>
  <si>
    <t>Renzetti</t>
  </si>
  <si>
    <t>6-Light Contemporary Candelabra Styled Chandelier</t>
  </si>
  <si>
    <t>40565602-000-000</t>
  </si>
  <si>
    <t>II13-1194</t>
  </si>
  <si>
    <t>Rhea AZ</t>
  </si>
  <si>
    <t>Cotton Coverlet Set</t>
  </si>
  <si>
    <t>White/ Charcoal</t>
  </si>
  <si>
    <t>6/18/2021</t>
  </si>
  <si>
    <t>43947861-000-000</t>
  </si>
  <si>
    <t>MP12-8373</t>
  </si>
  <si>
    <t>Nico</t>
  </si>
  <si>
    <t>Toby</t>
  </si>
  <si>
    <t>3 Piece Stripe Duvet Cover Set</t>
  </si>
  <si>
    <t>Grey/Multi</t>
  </si>
  <si>
    <t>PP001920;PF006135</t>
  </si>
  <si>
    <t>2/16/2024</t>
  </si>
  <si>
    <t>43642763-000-001</t>
  </si>
  <si>
    <t>MP10-8372</t>
  </si>
  <si>
    <t>4 Piece Stripe Comforter Set with Throw Pillow</t>
  </si>
  <si>
    <t>2/17/2024</t>
  </si>
  <si>
    <t>AMAZON,AMAZONDS,JCPENNEY01,KOHLDSN,OLLIIX,TGTDVS</t>
  </si>
  <si>
    <t>43626574-000-000</t>
  </si>
  <si>
    <t>MP12-8374</t>
  </si>
  <si>
    <t>43642763-000-000</t>
  </si>
  <si>
    <t>ST54-0175</t>
  </si>
  <si>
    <t>Ribbed Micro Fleece</t>
  </si>
  <si>
    <t>38579612-000-021</t>
  </si>
  <si>
    <t>ST54-0160</t>
  </si>
  <si>
    <t>38579612-000-024</t>
  </si>
  <si>
    <t>10/26/2021</t>
  </si>
  <si>
    <t>ST54-0179</t>
  </si>
  <si>
    <t>FINGERHUTDS,KOHLDSN</t>
  </si>
  <si>
    <t>38579612-000-004</t>
  </si>
  <si>
    <t>ST54-0180</t>
  </si>
  <si>
    <t>CSNSTORES,JCPENNEY01,KOHLDSN,OLLIIX,WALMARTDS</t>
  </si>
  <si>
    <t>38579612-000-014</t>
  </si>
  <si>
    <t>9/21/2021</t>
  </si>
  <si>
    <t>ST54-0166</t>
  </si>
  <si>
    <t>FINGERHUTDS,JCPENNEY01,KOHLDSN</t>
  </si>
  <si>
    <t>38579612-000-018</t>
  </si>
  <si>
    <t>ST54-0168</t>
  </si>
  <si>
    <t>38579612-000-013</t>
  </si>
  <si>
    <t>ST54-0154</t>
  </si>
  <si>
    <t>CSNSTORES,KOHLDSN,MACY02,WALMARTDS</t>
  </si>
  <si>
    <t>38579612-000-006</t>
  </si>
  <si>
    <t>ST54-0156</t>
  </si>
  <si>
    <t>38579612-000-008</t>
  </si>
  <si>
    <t>ST54-0157</t>
  </si>
  <si>
    <t>CSNSTORES,DESINC,JCPENNEY01,KOHLDSN,MACY02,TGTDVS</t>
  </si>
  <si>
    <t>38579612-000-007</t>
  </si>
  <si>
    <t>9/22/2021</t>
  </si>
  <si>
    <t>ST54-0170</t>
  </si>
  <si>
    <t>FINGERHUTDS,JCPENNEY01,KOHLDSN,MACY02</t>
  </si>
  <si>
    <t>38579612-000-022</t>
  </si>
  <si>
    <t>ST54-0171</t>
  </si>
  <si>
    <t>38579612-000-016</t>
  </si>
  <si>
    <t>9/3/2021</t>
  </si>
  <si>
    <t>ST54-0172</t>
  </si>
  <si>
    <t>38579612-000-005</t>
  </si>
  <si>
    <t>ST54-0165</t>
  </si>
  <si>
    <t>CSNSTORES,FINGERHUTDS,KOHLDSN,MACY02,WALMARTDS</t>
  </si>
  <si>
    <t>38579612-000-025</t>
  </si>
  <si>
    <t>MP13-8388</t>
  </si>
  <si>
    <t>Daybed Cover</t>
  </si>
  <si>
    <t>Ridge</t>
  </si>
  <si>
    <t>Pioneer</t>
  </si>
  <si>
    <t>Warren</t>
  </si>
  <si>
    <t>6 Piece Reversible Plaid Daybed Cover Set</t>
  </si>
  <si>
    <t>Daybed</t>
  </si>
  <si>
    <t>PP001537;PF006171</t>
  </si>
  <si>
    <t>CSNSTORES,HDDS,KOHLDSN</t>
  </si>
  <si>
    <t>34496498-000-002</t>
  </si>
  <si>
    <t>MP13-8387</t>
  </si>
  <si>
    <t>PP001537;PF005192</t>
  </si>
  <si>
    <t>AMAZON,CSNSTORES,DESINC,HDDS,KOHLDSN,TGTDVS</t>
  </si>
  <si>
    <t>34496498-000-001</t>
  </si>
  <si>
    <t>MP12-4672</t>
  </si>
  <si>
    <t>6 Piece Herringbone Duvet Cover Set</t>
  </si>
  <si>
    <t>9/6/2017</t>
  </si>
  <si>
    <t>23443926-000-000</t>
  </si>
  <si>
    <t>8/10/2017</t>
  </si>
  <si>
    <t>WR50-1627</t>
  </si>
  <si>
    <t>Ridley</t>
  </si>
  <si>
    <t>PF002056</t>
  </si>
  <si>
    <t>17651625-000-000</t>
  </si>
  <si>
    <t>MP35-8042</t>
  </si>
  <si>
    <t>Riley</t>
  </si>
  <si>
    <t>Cadence</t>
  </si>
  <si>
    <t>Karly</t>
  </si>
  <si>
    <t>Watercolor Abstract Stripe Woven Area Rug</t>
  </si>
  <si>
    <t>PP001795;PF005783</t>
  </si>
  <si>
    <t>AMAZONDS,CSNSTORES,JCPENNEY01</t>
  </si>
  <si>
    <t>38754881-000-006</t>
  </si>
  <si>
    <t>MP35-8043</t>
  </si>
  <si>
    <t>38754881-000-007</t>
  </si>
  <si>
    <t>MP35-8044</t>
  </si>
  <si>
    <t>38754881-000-004</t>
  </si>
  <si>
    <t>MP35-8045</t>
  </si>
  <si>
    <t>38754881-000-005</t>
  </si>
  <si>
    <t>MP35-7587</t>
  </si>
  <si>
    <t>Blue/Tan</t>
  </si>
  <si>
    <t>AMAZON,BIGLOTSDS,CSNSTORES,OLLIIX</t>
  </si>
  <si>
    <t>38754881-000-001</t>
  </si>
  <si>
    <t>MP35-7588</t>
  </si>
  <si>
    <t>38754881-000-002</t>
  </si>
  <si>
    <t>MP35-7589</t>
  </si>
  <si>
    <t>38754881-000-003</t>
  </si>
  <si>
    <t>10/7/2021</t>
  </si>
  <si>
    <t>MP10-8399</t>
  </si>
  <si>
    <t>Riordan</t>
  </si>
  <si>
    <t>Waffle Knit Chenille Comforter Set</t>
  </si>
  <si>
    <t>PP001944;PF006196</t>
  </si>
  <si>
    <t>Chenille</t>
  </si>
  <si>
    <t>44432077-000-001</t>
  </si>
  <si>
    <t>MP10-8401</t>
  </si>
  <si>
    <t>44432077-000-000</t>
  </si>
  <si>
    <t>ID10-2430</t>
  </si>
  <si>
    <t>Robbie</t>
  </si>
  <si>
    <t>Roger</t>
  </si>
  <si>
    <t>Rick</t>
  </si>
  <si>
    <t>Plaid Comforter Set with Bed Sheets</t>
  </si>
  <si>
    <t>Teal/Black</t>
  </si>
  <si>
    <t>PP001972;PF006282</t>
  </si>
  <si>
    <t>22967950-000-007</t>
  </si>
  <si>
    <t>ID10-2431</t>
  </si>
  <si>
    <t>22967950-000-006</t>
  </si>
  <si>
    <t>II95C-0061</t>
  </si>
  <si>
    <t>Rolling Waves</t>
  </si>
  <si>
    <t>Triptych 3-piece Canvas Wall Art Set</t>
  </si>
  <si>
    <t>PF001917</t>
  </si>
  <si>
    <t>AMERSIGNDS,ASHFURNDS,HDDS,KIRKLANDDS,MACY02,OLLIIX,ROOMECOM,TGTDVS</t>
  </si>
  <si>
    <t>18800513-000-000</t>
  </si>
  <si>
    <t>6/6/2016</t>
  </si>
  <si>
    <t>CCA40-0015</t>
  </si>
  <si>
    <t>Romo</t>
  </si>
  <si>
    <t>Dual-colored Curtain Panel (Single)</t>
  </si>
  <si>
    <t>White/Grey</t>
  </si>
  <si>
    <t>42036992-000-000</t>
  </si>
  <si>
    <t>12/7/2023</t>
  </si>
  <si>
    <t>CCA40-0014</t>
  </si>
  <si>
    <t>42036992-000-001</t>
  </si>
  <si>
    <t>UHK13-0165</t>
  </si>
  <si>
    <t>Rory</t>
  </si>
  <si>
    <t>Jessie</t>
  </si>
  <si>
    <t>Erin</t>
  </si>
  <si>
    <t>Rainbow Sunburst Reversible Cotton Quilt Set with Throw Pillow</t>
  </si>
  <si>
    <t>PF005390</t>
  </si>
  <si>
    <t>AMAZON,BLK01,CSNSTORES,DESINC,HDDS,JCPENNEY01,KOHLDSN,MACY02,OLLIIX,TGTDVS</t>
  </si>
  <si>
    <t>37625049-000-001</t>
  </si>
  <si>
    <t>3/13/2021</t>
  </si>
  <si>
    <t>MZ10-0653</t>
  </si>
  <si>
    <t>Rosalie</t>
  </si>
  <si>
    <t>Jenna</t>
  </si>
  <si>
    <t>Metallic Printed Plush Comforter Set with Throw Pillow</t>
  </si>
  <si>
    <t>PP000980;PF006273</t>
  </si>
  <si>
    <t>28695320-000-008</t>
  </si>
  <si>
    <t>7/13/2024</t>
  </si>
  <si>
    <t>MZ10-0650</t>
  </si>
  <si>
    <t>PP000980;PF006272</t>
  </si>
  <si>
    <t>28695320-000-007</t>
  </si>
  <si>
    <t>MZ10-0651</t>
  </si>
  <si>
    <t>28695320-000-006</t>
  </si>
  <si>
    <t>MP40-5647</t>
  </si>
  <si>
    <t>Rosette</t>
  </si>
  <si>
    <t>Florah</t>
  </si>
  <si>
    <t>Bloom</t>
  </si>
  <si>
    <t>Floral Embellished Cuff Tab Top Solid Curtain Panel</t>
  </si>
  <si>
    <t>PP000857;PF004200</t>
  </si>
  <si>
    <t>AMAZON,BLK01,JCPENNEY01,KOHLDSN,OLLIIX</t>
  </si>
  <si>
    <t>26441688-000-003</t>
  </si>
  <si>
    <t>3/16/2018</t>
  </si>
  <si>
    <t>3/26/2018</t>
  </si>
  <si>
    <t>MP40-5652</t>
  </si>
  <si>
    <t>PP000857;PF004201</t>
  </si>
  <si>
    <t>3/20/2018</t>
  </si>
  <si>
    <t>AMAZON,ASHFURNDS,BLK01,CSNSTORES,HDDS,JCPENNEY01,KOHLDSN,MACY02,TGTDVS</t>
  </si>
  <si>
    <t>26441688-000-008</t>
  </si>
  <si>
    <t>MP40-6831</t>
  </si>
  <si>
    <t>PP000857;PF004966</t>
  </si>
  <si>
    <t>AMAZONDS,ASHFURNDS,CSNSTORES,JCPENNEY01,KOHLDSN,OLLIIX,TGTDVS,Zulily</t>
  </si>
  <si>
    <t>26441688-000-010</t>
  </si>
  <si>
    <t>11/29/2019</t>
  </si>
  <si>
    <t>1/14/2020</t>
  </si>
  <si>
    <t>MP40-5644</t>
  </si>
  <si>
    <t>PP000857;PF004199</t>
  </si>
  <si>
    <t>26441688-000-000</t>
  </si>
  <si>
    <t>MP95B-0296</t>
  </si>
  <si>
    <t>Rossi</t>
  </si>
  <si>
    <t>Jax</t>
  </si>
  <si>
    <t>Textured Feather 3-piece Metal Disc Wall Decor Set</t>
  </si>
  <si>
    <t>PP001773</t>
  </si>
  <si>
    <t>11/3/2024</t>
  </si>
  <si>
    <t>AMAZONDS,CSNSTORES,JCPENNEY01,KIRKLANDDS,KOHLDSN,LAMPDS,OLLIIX,TGTDVS,Zulily</t>
  </si>
  <si>
    <t>22457691-000-002</t>
  </si>
  <si>
    <t>UH10-2480</t>
  </si>
  <si>
    <t>Rowan</t>
  </si>
  <si>
    <t>Cillian</t>
  </si>
  <si>
    <t>Kylar</t>
  </si>
  <si>
    <t>Striped Clipped Jacquard Comforter Set</t>
  </si>
  <si>
    <t>PP001906;PF006077</t>
  </si>
  <si>
    <t>43251733-000-000</t>
  </si>
  <si>
    <t>12/24/2023</t>
  </si>
  <si>
    <t>UH12-2483</t>
  </si>
  <si>
    <t>Striped Clipped Jacquard Duvet Cover Set</t>
  </si>
  <si>
    <t>43251734-000-002</t>
  </si>
  <si>
    <t>6/25/2024</t>
  </si>
  <si>
    <t>UH12-2484</t>
  </si>
  <si>
    <t>43251734-000-001</t>
  </si>
  <si>
    <t>MP50-8272</t>
  </si>
  <si>
    <t>Waffle Knit Chenille Throw</t>
  </si>
  <si>
    <t>PP001876;PF005987</t>
  </si>
  <si>
    <t>BLK01,KOHLDSN,OLLIIX,TGTDVS</t>
  </si>
  <si>
    <t>42657468-000-000</t>
  </si>
  <si>
    <t>UH10-2485</t>
  </si>
  <si>
    <t>PP001906;PF006078</t>
  </si>
  <si>
    <t>43251733-000-005</t>
  </si>
  <si>
    <t>UH12-2488</t>
  </si>
  <si>
    <t>43251734-000-000</t>
  </si>
  <si>
    <t>1/17/2024</t>
  </si>
  <si>
    <t>UH10-2487</t>
  </si>
  <si>
    <t>CSNSTORES,JCPENNEY01,KOHLDSN,MACY02,NRTPORT,OLLIIX,TGTDVS</t>
  </si>
  <si>
    <t>43251733-000-002</t>
  </si>
  <si>
    <t>MP50-8269</t>
  </si>
  <si>
    <t>PP001876;PF005984</t>
  </si>
  <si>
    <t>42657468-000-001</t>
  </si>
  <si>
    <t>II100-0462</t>
  </si>
  <si>
    <t>Roxie</t>
  </si>
  <si>
    <t>39491039-000-000</t>
  </si>
  <si>
    <t>4/28/2022</t>
  </si>
  <si>
    <t>MP103-1158</t>
  </si>
  <si>
    <t>Ryker</t>
  </si>
  <si>
    <t>Rileigh</t>
  </si>
  <si>
    <t>Upholstered Barrel 360 Degree Swivel chair</t>
  </si>
  <si>
    <t>40152099-000-000</t>
  </si>
  <si>
    <t>II151-0120</t>
  </si>
  <si>
    <t>saben</t>
  </si>
  <si>
    <t>2-Tier Layered Shade Pendant</t>
  </si>
  <si>
    <t>39821743-000-000</t>
  </si>
  <si>
    <t>MPE10-167</t>
  </si>
  <si>
    <t>Saben</t>
  </si>
  <si>
    <t>Barret</t>
  </si>
  <si>
    <t>Seth</t>
  </si>
  <si>
    <t>PF003676;PP000497</t>
  </si>
  <si>
    <t>AMAZON,CSNSTORES,FINGERHUTDS,KOHLDSN</t>
  </si>
  <si>
    <t>18100355-000-004</t>
  </si>
  <si>
    <t>1/13/2016</t>
  </si>
  <si>
    <t>CC30-0033</t>
  </si>
  <si>
    <t>Sable</t>
  </si>
  <si>
    <t>Solid Faux Fur Square Decor Pillow</t>
  </si>
  <si>
    <t>AMAZON,MACY02,OLLIIX</t>
  </si>
  <si>
    <t>42031209-000-003</t>
  </si>
  <si>
    <t>CC30-0032</t>
  </si>
  <si>
    <t>Golden</t>
  </si>
  <si>
    <t>42031209-000-000</t>
  </si>
  <si>
    <t>CC30-0031</t>
  </si>
  <si>
    <t>42031209-000-001</t>
  </si>
  <si>
    <t>CC30-0030</t>
  </si>
  <si>
    <t>42031209-000-002</t>
  </si>
  <si>
    <t>CC50-0026</t>
  </si>
  <si>
    <t>Solid Faux Fur Throw</t>
  </si>
  <si>
    <t>42031428-000-002</t>
  </si>
  <si>
    <t>MP108-1254</t>
  </si>
  <si>
    <t>Salma</t>
  </si>
  <si>
    <t>Skirted Dining Arm Chair with Casters</t>
  </si>
  <si>
    <t>44655759-000-000</t>
  </si>
  <si>
    <t>MP40-8460</t>
  </si>
  <si>
    <t>Samara</t>
  </si>
  <si>
    <t>Valentina</t>
  </si>
  <si>
    <t>Poly Printed Curtain Panel with Tufted Stripe and Lining</t>
  </si>
  <si>
    <t>White/Brown</t>
  </si>
  <si>
    <t>PP001969;PF006278</t>
  </si>
  <si>
    <t>44335238-000-000</t>
  </si>
  <si>
    <t>MP40-8461</t>
  </si>
  <si>
    <t>44335238-000-001</t>
  </si>
  <si>
    <t>MT100-0149</t>
  </si>
  <si>
    <t>Samba</t>
  </si>
  <si>
    <t>Accent chair</t>
  </si>
  <si>
    <t>6/7/2022</t>
  </si>
  <si>
    <t>40067138-000-000</t>
  </si>
  <si>
    <t>MP40-1575</t>
  </si>
  <si>
    <t>Saratoga</t>
  </si>
  <si>
    <t>Westmont</t>
  </si>
  <si>
    <t>Sereno</t>
  </si>
  <si>
    <t>Fretwork Print Grommet Top Window Curtain Panel</t>
  </si>
  <si>
    <t>PF003998;PP000501</t>
  </si>
  <si>
    <t>AMAZON,AMAZONDS,CSNSTORES,HSNDS,JCPENNEY01,KOHLDSN,TGTDVS</t>
  </si>
  <si>
    <t>16667967-000-014</t>
  </si>
  <si>
    <t>7/12/2016</t>
  </si>
  <si>
    <t>MP40-1284</t>
  </si>
  <si>
    <t>PF003997;PP000501</t>
  </si>
  <si>
    <t>AMAZON,AMAZONDS,CSNSTORES,DESINC,JCPENNEY01,KOHLDSN,WALMARTDS</t>
  </si>
  <si>
    <t>16667967-000-002</t>
  </si>
  <si>
    <t>MP40-2407</t>
  </si>
  <si>
    <t>Khaki/Black</t>
  </si>
  <si>
    <t>PF004003;PP000501</t>
  </si>
  <si>
    <t>CSNSTORES,JCPENNEY01,KOHLDSN,OLLIIX,TGTDVS,WALMARTDS</t>
  </si>
  <si>
    <t>16667967-000-020</t>
  </si>
  <si>
    <t>7/14/2016</t>
  </si>
  <si>
    <t>MP40-2410</t>
  </si>
  <si>
    <t>16667967-000-023</t>
  </si>
  <si>
    <t>MP40-2404</t>
  </si>
  <si>
    <t>Seafoam/White</t>
  </si>
  <si>
    <t>PF004002;PP000501</t>
  </si>
  <si>
    <t>16667967-000-031</t>
  </si>
  <si>
    <t>6/29/2016</t>
  </si>
  <si>
    <t>MPE20-1098</t>
  </si>
  <si>
    <t>Luxury Sheet Set</t>
  </si>
  <si>
    <t>PF001730;PP001032</t>
  </si>
  <si>
    <t>9/27/2024</t>
  </si>
  <si>
    <t>MPE20-1110</t>
  </si>
  <si>
    <t>Split King</t>
  </si>
  <si>
    <t>MPE20-1130</t>
  </si>
  <si>
    <t>PP001032;PF006318</t>
  </si>
  <si>
    <t>MPE20-1131</t>
  </si>
  <si>
    <t>MPE20-1132</t>
  </si>
  <si>
    <t>MPE21-1136</t>
  </si>
  <si>
    <t>Luxury 2 PC Pillowcases</t>
  </si>
  <si>
    <t>8/7/2024</t>
  </si>
  <si>
    <t>MPE20-1133</t>
  </si>
  <si>
    <t>MPE20-1134</t>
  </si>
  <si>
    <t>MPE21-1135</t>
  </si>
  <si>
    <t>MPE20-1100</t>
  </si>
  <si>
    <t>PP001032;PF004513</t>
  </si>
  <si>
    <t>MPE20-1158</t>
  </si>
  <si>
    <t>PP001032;PF006317</t>
  </si>
  <si>
    <t>MPE20-1159</t>
  </si>
  <si>
    <t>MPE20-1160</t>
  </si>
  <si>
    <t>MPE21-1164</t>
  </si>
  <si>
    <t>MPE20-1161</t>
  </si>
  <si>
    <t>MPE20-1162</t>
  </si>
  <si>
    <t>MPE21-1163</t>
  </si>
  <si>
    <t>MPE20-1144</t>
  </si>
  <si>
    <t>Emerald</t>
  </si>
  <si>
    <t>PP001032;PF006387</t>
  </si>
  <si>
    <t>MPE20-1145</t>
  </si>
  <si>
    <t>MPE20-1146</t>
  </si>
  <si>
    <t>MPE21-1150</t>
  </si>
  <si>
    <t>MPE20-1147</t>
  </si>
  <si>
    <t>MPE20-1148</t>
  </si>
  <si>
    <t>MPE21-1149</t>
  </si>
  <si>
    <t>MPE20-1099</t>
  </si>
  <si>
    <t>PP001032;PF004512</t>
  </si>
  <si>
    <t>MPE20-1111</t>
  </si>
  <si>
    <t>MPE20-1102</t>
  </si>
  <si>
    <t>PP001032;PF005159</t>
  </si>
  <si>
    <t>MPE20-1112</t>
  </si>
  <si>
    <t>MPE20-1103</t>
  </si>
  <si>
    <t>PP001032;PF005160</t>
  </si>
  <si>
    <t>MPE20-1151</t>
  </si>
  <si>
    <t>PP001032;PF006315</t>
  </si>
  <si>
    <t>MPE20-1152</t>
  </si>
  <si>
    <t>MPE20-1153</t>
  </si>
  <si>
    <t>MPE21-1157</t>
  </si>
  <si>
    <t>MPE20-1154</t>
  </si>
  <si>
    <t>MPE20-1155</t>
  </si>
  <si>
    <t>MPE21-1156</t>
  </si>
  <si>
    <t>MPE20-1137</t>
  </si>
  <si>
    <t>Midnight Blue</t>
  </si>
  <si>
    <t>PP001032</t>
  </si>
  <si>
    <t>MPE20-1138</t>
  </si>
  <si>
    <t>MPE20-1139</t>
  </si>
  <si>
    <t>MPE21-1143</t>
  </si>
  <si>
    <t>MPE20-1140</t>
  </si>
  <si>
    <t>MPE20-1141</t>
  </si>
  <si>
    <t>MPE21-1142</t>
  </si>
  <si>
    <t>MPE20-1123</t>
  </si>
  <si>
    <t>PP001032;PF006319</t>
  </si>
  <si>
    <t>MPE20-1124</t>
  </si>
  <si>
    <t>MPE20-1125</t>
  </si>
  <si>
    <t>MPE21-1129</t>
  </si>
  <si>
    <t>MPE20-1126</t>
  </si>
  <si>
    <t>MPE20-1127</t>
  </si>
  <si>
    <t>MPE21-1128</t>
  </si>
  <si>
    <t>MPE21-781</t>
  </si>
  <si>
    <t>PF001734;PP001032</t>
  </si>
  <si>
    <t>12/11/2018</t>
  </si>
  <si>
    <t>BLK01,CSNSTORES,FINGERHUTDS,JCPENNEY01,KOHLDSN,MACY02,TGTDVS,WALMARTDS</t>
  </si>
  <si>
    <t>31010805-000-002</t>
  </si>
  <si>
    <t>12/12/2018</t>
  </si>
  <si>
    <t>1/7/2019</t>
  </si>
  <si>
    <t>MPE20-1101</t>
  </si>
  <si>
    <t>PP001032;PF005158</t>
  </si>
  <si>
    <t>MP10-8111</t>
  </si>
  <si>
    <t>Sawyer</t>
  </si>
  <si>
    <t>Everett</t>
  </si>
  <si>
    <t>Faux Fur to Mink Down Alternative Comforter Set</t>
  </si>
  <si>
    <t>PP001811;PF005809</t>
  </si>
  <si>
    <t>Global Inspired|Southwest|Transitional</t>
  </si>
  <si>
    <t>40769015-000-000</t>
  </si>
  <si>
    <t>12/29/2022</t>
  </si>
  <si>
    <t>II100-0078</t>
  </si>
  <si>
    <t>Scott</t>
  </si>
  <si>
    <t>Cream/Morrocco</t>
  </si>
  <si>
    <t>PF000836</t>
  </si>
  <si>
    <t>ASHFURNDS,CSNSTORES,MACY02F,OLLIIX</t>
  </si>
  <si>
    <t>21236710-000-000</t>
  </si>
  <si>
    <t>3/23/2017</t>
  </si>
  <si>
    <t>II130-0497</t>
  </si>
  <si>
    <t>Seagate</t>
  </si>
  <si>
    <t>Handcrafted Seagrass 2-Door Accent chest</t>
  </si>
  <si>
    <t>2/23/2023</t>
  </si>
  <si>
    <t>CSNSTORES,KOHLDSN,LAMPDS,OLLIIX</t>
  </si>
  <si>
    <t>41162297-000-000</t>
  </si>
  <si>
    <t>MP95C-0146A</t>
  </si>
  <si>
    <t>Seascape</t>
  </si>
  <si>
    <t>PP000790</t>
  </si>
  <si>
    <t>AMAZON,AMAZONDS,BEALLSDS,DESINC,KIRKLANDDS,KOHLDSN,LAMPDS,OLLIIX,ROOMECOM,TGTDVS</t>
  </si>
  <si>
    <t>25658387-000-000</t>
  </si>
  <si>
    <t>ID10-416</t>
  </si>
  <si>
    <t>Senna</t>
  </si>
  <si>
    <t>Sabrina</t>
  </si>
  <si>
    <t>Chelsea</t>
  </si>
  <si>
    <t>PF001621;PP000503</t>
  </si>
  <si>
    <t>15997988-000-005</t>
  </si>
  <si>
    <t>7/23/2015</t>
  </si>
  <si>
    <t>II12-1216</t>
  </si>
  <si>
    <t>Serena</t>
  </si>
  <si>
    <t>3 Piece Cotton Printed Duvet Cover Set w/ trims</t>
  </si>
  <si>
    <t>PP001725;PF005641</t>
  </si>
  <si>
    <t>11/17/2021</t>
  </si>
  <si>
    <t>39209913-000-000</t>
  </si>
  <si>
    <t>12/27/2021</t>
  </si>
  <si>
    <t>II10-1215</t>
  </si>
  <si>
    <t>3 Piece Cotton Printed Comforter Set w/ trims</t>
  </si>
  <si>
    <t>39209888-000-001</t>
  </si>
  <si>
    <t>II12-1217</t>
  </si>
  <si>
    <t>39209913-000-001</t>
  </si>
  <si>
    <t>5/19/2022</t>
  </si>
  <si>
    <t>MP10-3538</t>
  </si>
  <si>
    <t>Serendipity</t>
  </si>
  <si>
    <t>Harmony</t>
  </si>
  <si>
    <t>Desiree</t>
  </si>
  <si>
    <t>Cotton Percale Comforter Set</t>
  </si>
  <si>
    <t>Peach</t>
  </si>
  <si>
    <t>PF002628</t>
  </si>
  <si>
    <t>AMAZON,BLK01,CSNSTORES,DESINC,JCPENNEY01,KOHLDSN,MACY02,NRTPORT,OLLIIX,TGTDVS</t>
  </si>
  <si>
    <t>19595467-000-003</t>
  </si>
  <si>
    <t>9/25/2016</t>
  </si>
  <si>
    <t>11/4/2016</t>
  </si>
  <si>
    <t>MP40-3504</t>
  </si>
  <si>
    <t>Serene</t>
  </si>
  <si>
    <t>Belle</t>
  </si>
  <si>
    <t>Embroidered Curtain Panel</t>
  </si>
  <si>
    <t>PF003398;PP000505</t>
  </si>
  <si>
    <t>AMAZON,BLK01,JCPENNEY01,KOHLDSN</t>
  </si>
  <si>
    <t>17226346-000-001</t>
  </si>
  <si>
    <t>11/25/2016</t>
  </si>
  <si>
    <t>MP41-3507</t>
  </si>
  <si>
    <t>Embroidered Window Valance</t>
  </si>
  <si>
    <t>PF003400;PP000505</t>
  </si>
  <si>
    <t>4/11/2017</t>
  </si>
  <si>
    <t>17226345-000-002</t>
  </si>
  <si>
    <t>MP10-3451</t>
  </si>
  <si>
    <t>Embroidered 7 Piece Comforter Set</t>
  </si>
  <si>
    <t>PF003404;PP000505</t>
  </si>
  <si>
    <t>AMAZON,AMAZONDS,BLK01,CSNSTORES,JCPENNEY01,KOHLDSN,MACY02,NRTPORT</t>
  </si>
  <si>
    <t>19461714-000-002</t>
  </si>
  <si>
    <t>MP10-309</t>
  </si>
  <si>
    <t>PF003399;PP000505</t>
  </si>
  <si>
    <t>AMAZON,BLK01,CSNSTORES,JCPENNEY01,KOHLDSN,MACY02,TGTDVS</t>
  </si>
  <si>
    <t>14605961-000-002</t>
  </si>
  <si>
    <t>MP72-8341</t>
  </si>
  <si>
    <t>21x34"</t>
  </si>
  <si>
    <t>PP001960;PF006244</t>
  </si>
  <si>
    <t>43762085-000-001</t>
  </si>
  <si>
    <t>MP40-5478</t>
  </si>
  <si>
    <t>PF003405;PP000505</t>
  </si>
  <si>
    <t>AMAZON,AMAZONDS,BIGLOTSDS,BLK01,CSNSTORES,JCPENNEY01,KOHLDSN,OLLIIX,TGTDVS,WALMARTDS</t>
  </si>
  <si>
    <t>17226346-000-006</t>
  </si>
  <si>
    <t>II150-0149</t>
  </si>
  <si>
    <t>Serenitie</t>
  </si>
  <si>
    <t>5-Light Linear Chandelier</t>
  </si>
  <si>
    <t>42825749-000-000</t>
  </si>
  <si>
    <t>MPE10-150</t>
  </si>
  <si>
    <t>Serenity</t>
  </si>
  <si>
    <t>Odisha</t>
  </si>
  <si>
    <t>Nepal</t>
  </si>
  <si>
    <t>7 Piece Comforter Set with Cotton Bed Sheets</t>
  </si>
  <si>
    <t>PF003665;PP000507</t>
  </si>
  <si>
    <t>AMAZON,CSNSTORES,JCPENNEY01,MACY02</t>
  </si>
  <si>
    <t>18100172-000-000</t>
  </si>
  <si>
    <t>1/29/2016</t>
  </si>
  <si>
    <t>FUR105-0052</t>
  </si>
  <si>
    <t>Shandra</t>
  </si>
  <si>
    <t>Sasha</t>
  </si>
  <si>
    <t>Selah</t>
  </si>
  <si>
    <t>Tufted Top Soft Close Storage Bench</t>
  </si>
  <si>
    <t>PF000819;PP000259</t>
  </si>
  <si>
    <t>5/9/2017</t>
  </si>
  <si>
    <t>AMERSIGNDS,ASHFURNDS,BLK01,CSNSTORES,HDDS,KIRKLANDDS,KOHLDSN,MACY02F,OLLIIX,ROOMECOM</t>
  </si>
  <si>
    <t>16689616-000-003</t>
  </si>
  <si>
    <t>12/20/2018</t>
  </si>
  <si>
    <t>MT122-0092</t>
  </si>
  <si>
    <t>Sharkey</t>
  </si>
  <si>
    <t>Morocco/Gold</t>
  </si>
  <si>
    <t>3/11/2020</t>
  </si>
  <si>
    <t>35899869-000-000</t>
  </si>
  <si>
    <t>3/26/2020</t>
  </si>
  <si>
    <t>4/13/2020</t>
  </si>
  <si>
    <t>II100-0267</t>
  </si>
  <si>
    <t>Shasta</t>
  </si>
  <si>
    <t>PP000646</t>
  </si>
  <si>
    <t>1/11/2018</t>
  </si>
  <si>
    <t>ASHFURNDS,CSNSTORES,HOUZZ,MACY02F,OLLIIX</t>
  </si>
  <si>
    <t>26315655-000-000</t>
  </si>
  <si>
    <t>3/5/2018</t>
  </si>
  <si>
    <t>4/3/2018</t>
  </si>
  <si>
    <t>ID10-2424</t>
  </si>
  <si>
    <t>Shay</t>
  </si>
  <si>
    <t>Monica</t>
  </si>
  <si>
    <t>Colorblock Clip Jacquard Comforter Set</t>
  </si>
  <si>
    <t>PF006271</t>
  </si>
  <si>
    <t>44432186-000-000</t>
  </si>
  <si>
    <t>ID12-2427</t>
  </si>
  <si>
    <t>Colorblock Clip Jacquard Duvet Cover Set</t>
  </si>
  <si>
    <t>44432051-000-000</t>
  </si>
  <si>
    <t>ID12-2428</t>
  </si>
  <si>
    <t>44432051-000-002</t>
  </si>
  <si>
    <t>ID12-2429</t>
  </si>
  <si>
    <t>44432051-000-001</t>
  </si>
  <si>
    <t>II10-1325</t>
  </si>
  <si>
    <t>3 Piece Striped Cotton Comforter Set</t>
  </si>
  <si>
    <t>PP001961;PF006246</t>
  </si>
  <si>
    <t>AMAZON,JCPENNEY01,OLLIIX,ZOLA</t>
  </si>
  <si>
    <t>44236460-000-002</t>
  </si>
  <si>
    <t>6/26/2024</t>
  </si>
  <si>
    <t>TN54-0495</t>
  </si>
  <si>
    <t>Sherpa</t>
  </si>
  <si>
    <t>PP001893;PF006038</t>
  </si>
  <si>
    <t>42738933-000-011</t>
  </si>
  <si>
    <t>TN54-0498</t>
  </si>
  <si>
    <t>42738933-000-005</t>
  </si>
  <si>
    <t>11/9/2023</t>
  </si>
  <si>
    <t>TN54-0503</t>
  </si>
  <si>
    <t>PP001893;PF006040</t>
  </si>
  <si>
    <t>42738933-000-012</t>
  </si>
  <si>
    <t>TN54-0504</t>
  </si>
  <si>
    <t>BLK01,KOHLDSN,MACY02</t>
  </si>
  <si>
    <t>42738933-000-008</t>
  </si>
  <si>
    <t>TN54-0505</t>
  </si>
  <si>
    <t>42738933-000-007</t>
  </si>
  <si>
    <t>TN54-0506</t>
  </si>
  <si>
    <t>42738933-000-009</t>
  </si>
  <si>
    <t>TN54-0499</t>
  </si>
  <si>
    <t>PP001893;PF006039</t>
  </si>
  <si>
    <t>42738933-000-010</t>
  </si>
  <si>
    <t>TN54-0500</t>
  </si>
  <si>
    <t>42738933-000-000</t>
  </si>
  <si>
    <t>TN54-0492</t>
  </si>
  <si>
    <t>PP001893;PF006037</t>
  </si>
  <si>
    <t>CSNSTORES,KOHLDSN,MACY02</t>
  </si>
  <si>
    <t>42738933-000-013</t>
  </si>
  <si>
    <t>TN54-0493</t>
  </si>
  <si>
    <t>42738933-000-001</t>
  </si>
  <si>
    <t>TN54-0494</t>
  </si>
  <si>
    <t>42738933-000-003</t>
  </si>
  <si>
    <t>CC10-0017</t>
  </si>
  <si>
    <t>Signature</t>
  </si>
  <si>
    <t>Dobby Cotton Down Alternative Comforter</t>
  </si>
  <si>
    <t>42078396-000-001</t>
  </si>
  <si>
    <t>8/7/2023</t>
  </si>
  <si>
    <t>CC10-0018</t>
  </si>
  <si>
    <t>AMAZON,HDDS,JCPENNEY01,KOHLDSN,MACY02,OLLIIX</t>
  </si>
  <si>
    <t>42078396-000-000</t>
  </si>
  <si>
    <t>CCS20-016</t>
  </si>
  <si>
    <t>Signature Hem</t>
  </si>
  <si>
    <t>300TC Cotton Sheet Set</t>
  </si>
  <si>
    <t>BLK01,CSNSTORES,JCPENNEY01,MACY02,OLLIIX</t>
  </si>
  <si>
    <t>42025512-000-000</t>
  </si>
  <si>
    <t>10/20/2023</t>
  </si>
  <si>
    <t>CCS20-017</t>
  </si>
  <si>
    <t>CSNSTORES,DLCROSCILL,JCPENNEY01,KOHLDSN,MACY02</t>
  </si>
  <si>
    <t>42025512-000-004</t>
  </si>
  <si>
    <t>CCS20-020</t>
  </si>
  <si>
    <t>300TC Cotton Pillowcases</t>
  </si>
  <si>
    <t>42024798-000-000</t>
  </si>
  <si>
    <t>12/20/2023</t>
  </si>
  <si>
    <t>CCS20-018</t>
  </si>
  <si>
    <t>42025512-000-002</t>
  </si>
  <si>
    <t>CCS20-019</t>
  </si>
  <si>
    <t>42024798-000-003</t>
  </si>
  <si>
    <t>CCS20-022</t>
  </si>
  <si>
    <t>CSNSTORES,DLCROSCILL,JCPENNEY01,KOHLDSN,MACY02,OLLIIX</t>
  </si>
  <si>
    <t>42025512-000-001</t>
  </si>
  <si>
    <t>CCS20-025</t>
  </si>
  <si>
    <t>DLCROSCILL,JCPENNEY01,MACY02,NRTPORT,OLLIIX</t>
  </si>
  <si>
    <t>42024798-000-002</t>
  </si>
  <si>
    <t>CCS20-023</t>
  </si>
  <si>
    <t>CSNSTORES,JCPENNEY01,MACY02,NRTPORT,OLLIIX</t>
  </si>
  <si>
    <t>42025512-000-005</t>
  </si>
  <si>
    <t>2/2/2024</t>
  </si>
  <si>
    <t>MP103-1186</t>
  </si>
  <si>
    <t>Sikora</t>
  </si>
  <si>
    <t>Gayley</t>
  </si>
  <si>
    <t>Felipe</t>
  </si>
  <si>
    <t>Channel Tufted Swivel Armchair</t>
  </si>
  <si>
    <t>40537064-000-000</t>
  </si>
  <si>
    <t>MP21-7480</t>
  </si>
  <si>
    <t>Silk</t>
  </si>
  <si>
    <t>100% Mulberry Single Pillowcase</t>
  </si>
  <si>
    <t>PP001555;PF005229</t>
  </si>
  <si>
    <t>36796333-000-010</t>
  </si>
  <si>
    <t>II95C-0151</t>
  </si>
  <si>
    <t>Silver Sand</t>
  </si>
  <si>
    <t>Hand Embellished Abstract 3-piece Canvas Wall Art Set</t>
  </si>
  <si>
    <t>PP001870</t>
  </si>
  <si>
    <t>41392108-000-000</t>
  </si>
  <si>
    <t>MP104-0514</t>
  </si>
  <si>
    <t>Simon</t>
  </si>
  <si>
    <t>Gunther</t>
  </si>
  <si>
    <t>PP000622</t>
  </si>
  <si>
    <t>CSNSTORES,MACY02F,OLLIIX,ROOMECOM</t>
  </si>
  <si>
    <t>26569391-000-000</t>
  </si>
  <si>
    <t>3/28/2018</t>
  </si>
  <si>
    <t>MP40-8119</t>
  </si>
  <si>
    <t>Simone</t>
  </si>
  <si>
    <t>Abelia</t>
  </si>
  <si>
    <t>Printed Floral Rod Pocket and Back Tab Voile Sheer Curtain</t>
  </si>
  <si>
    <t>PP001352;PF005873</t>
  </si>
  <si>
    <t>AMAZONDS,DESINC,JCPENNEY01,KOHLDSN,MACY02</t>
  </si>
  <si>
    <t>35137211-000-009</t>
  </si>
  <si>
    <t>MP40-8118</t>
  </si>
  <si>
    <t>Printed Floral Twist Tab Top Voile Sheer Curtain</t>
  </si>
  <si>
    <t>AMAZONDS,CSNSTORES,JCPENNEY01,OLLIIX</t>
  </si>
  <si>
    <t>35137197-000-009</t>
  </si>
  <si>
    <t>MP40-8120</t>
  </si>
  <si>
    <t>AMAZONDS,JCPENNEY01,NRTPORT</t>
  </si>
  <si>
    <t>35137211-000-008</t>
  </si>
  <si>
    <t>MP40-6614</t>
  </si>
  <si>
    <t>PP001352;PF004832</t>
  </si>
  <si>
    <t>AMAZON,BEALLSDS,CSNSTORES,JCPENNEY01,KOHLDSN,OLLIIX,TGTDVS</t>
  </si>
  <si>
    <t>35137197-000-000</t>
  </si>
  <si>
    <t>1/2/2020</t>
  </si>
  <si>
    <t>MP40-6617</t>
  </si>
  <si>
    <t>AMAZON,ASHFURNDS,CSNSTORES,JCPENNEY01,OLLIIX,TGTDVS</t>
  </si>
  <si>
    <t>35137211-000-003</t>
  </si>
  <si>
    <t>2/4/2020</t>
  </si>
  <si>
    <t>MP40-6620</t>
  </si>
  <si>
    <t>PP001352;PF004833</t>
  </si>
  <si>
    <t>AMAZON,AMAZONDS,CSNSTORES,JCPENNEY01,KOHLDSN,OLLIIX,TGTDVS,WALMARTDS</t>
  </si>
  <si>
    <t>35137197-000-003</t>
  </si>
  <si>
    <t>MP40-6621</t>
  </si>
  <si>
    <t>35137197-000-002</t>
  </si>
  <si>
    <t>5/11/2020</t>
  </si>
  <si>
    <t>MP40-6623</t>
  </si>
  <si>
    <t>35137211-000-001</t>
  </si>
  <si>
    <t>2/10/2020</t>
  </si>
  <si>
    <t>MP40-6624</t>
  </si>
  <si>
    <t>Printed Floral Voile Sheer Scarf</t>
  </si>
  <si>
    <t>35137203-000-002</t>
  </si>
  <si>
    <t>2/6/2020</t>
  </si>
  <si>
    <t>MP40-6775</t>
  </si>
  <si>
    <t>PP001352;PF004944</t>
  </si>
  <si>
    <t>35137211-000-005</t>
  </si>
  <si>
    <t>4/16/2020</t>
  </si>
  <si>
    <t>II120-0566</t>
  </si>
  <si>
    <t>43921503-000-000</t>
  </si>
  <si>
    <t>BASI10-0460</t>
  </si>
  <si>
    <t>Sloan</t>
  </si>
  <si>
    <t>Kaplan</t>
  </si>
  <si>
    <t>Plush Down Alternative Comforter Mini Set</t>
  </si>
  <si>
    <t>PF002146</t>
  </si>
  <si>
    <t>CSNSTORES,JCPENNEY01,KOHLDSN,MACY02,OLLIIX</t>
  </si>
  <si>
    <t>19616067-000-004</t>
  </si>
  <si>
    <t>BASI10-0461</t>
  </si>
  <si>
    <t>19616067-000-005</t>
  </si>
  <si>
    <t>10/11/2016</t>
  </si>
  <si>
    <t>SHET20-970</t>
  </si>
  <si>
    <t>Smart Cool Microfiber</t>
  </si>
  <si>
    <t>PF002218</t>
  </si>
  <si>
    <t>Coolmax</t>
  </si>
  <si>
    <t>4/13/2017</t>
  </si>
  <si>
    <t>BLK01,HDDS,JCPENNEY01,KOHLDSN,MACY02,NRTPORT,TGTDVS,WALMARTDS</t>
  </si>
  <si>
    <t>19599624-000-010</t>
  </si>
  <si>
    <t>5/16/2017</t>
  </si>
  <si>
    <t>SHET20-971</t>
  </si>
  <si>
    <t>19599624-000-011</t>
  </si>
  <si>
    <t>2/24/2017</t>
  </si>
  <si>
    <t>SHET20-974</t>
  </si>
  <si>
    <t>19599624-000-014</t>
  </si>
  <si>
    <t>SHET20-1193</t>
  </si>
  <si>
    <t>PP001565;PF005247</t>
  </si>
  <si>
    <t>12/21/2020</t>
  </si>
  <si>
    <t>BLK01,JCPENNEY01,KOHLDSN,MACY02,NRTPORT</t>
  </si>
  <si>
    <t>19599624-000-034</t>
  </si>
  <si>
    <t>SHET20-960</t>
  </si>
  <si>
    <t>PF002216</t>
  </si>
  <si>
    <t>AMAZON,AMAZONDS,BLK01,KOHLDSN,MACY02,TGTDVS,WALMARTDS</t>
  </si>
  <si>
    <t>19599624-000-000</t>
  </si>
  <si>
    <t>SHET20-961</t>
  </si>
  <si>
    <t>AMAZON,BLK01,CSNSTORES,HDDS,JCPENNEY01,KOHLDSN,MACY02,NRTPORT,TGTDVS,ZOLA</t>
  </si>
  <si>
    <t>19599624-000-001</t>
  </si>
  <si>
    <t>SHET20-962</t>
  </si>
  <si>
    <t>AMAZON,BLK01,HDDS,JCPENNEY01,KOHLDSN,MACY02,NRTPORT,OLLIIX,TGTDVS,ZOLA</t>
  </si>
  <si>
    <t>19599624-000-002</t>
  </si>
  <si>
    <t>SHET20-976</t>
  </si>
  <si>
    <t>PF002219</t>
  </si>
  <si>
    <t>19599624-000-016</t>
  </si>
  <si>
    <t>11/14/2016</t>
  </si>
  <si>
    <t>SHET20-979</t>
  </si>
  <si>
    <t>19599624-000-019</t>
  </si>
  <si>
    <t>SHET20-965</t>
  </si>
  <si>
    <t>PF002217</t>
  </si>
  <si>
    <t>KOHLDSN,MACY02,TGTDVS,Zulily</t>
  </si>
  <si>
    <t>19599624-000-005</t>
  </si>
  <si>
    <t>SHET20-969</t>
  </si>
  <si>
    <t>BLK01,JCPENNEY01,MACY02,NRTPORT,TGTDVS</t>
  </si>
  <si>
    <t>19599624-000-009</t>
  </si>
  <si>
    <t>12/14/2016</t>
  </si>
  <si>
    <t>MP95B-0358</t>
  </si>
  <si>
    <t>Solana</t>
  </si>
  <si>
    <t>Framed Abstract Coastal Rice Shadowbox Wall Decor</t>
  </si>
  <si>
    <t>KIRKLANDDS,OLLIIX,TGTDVS</t>
  </si>
  <si>
    <t xml:space="preserve"> 39673879-000-001</t>
  </si>
  <si>
    <t>CS40-1263</t>
  </si>
  <si>
    <t>Solid Thermal Panel Pair</t>
  </si>
  <si>
    <t>8/22/2020</t>
  </si>
  <si>
    <t>WALMARTDS</t>
  </si>
  <si>
    <t>43972756-000-000</t>
  </si>
  <si>
    <t>BL20-0604</t>
  </si>
  <si>
    <t>Soloft Plush</t>
  </si>
  <si>
    <t>Micro Plush Sheet Set</t>
  </si>
  <si>
    <t>PF001708</t>
  </si>
  <si>
    <t>13709538-000-014</t>
  </si>
  <si>
    <t>9/30/2015</t>
  </si>
  <si>
    <t>BL20-0453</t>
  </si>
  <si>
    <t>PF001697</t>
  </si>
  <si>
    <t>13709538-000-010</t>
  </si>
  <si>
    <t>BL20-0456</t>
  </si>
  <si>
    <t>AMAZON,AMAZONDS,CSNSTORES,DESINC,KOHLDSN,MACY02,NRTPORT,OLLIIX</t>
  </si>
  <si>
    <t>13709538-000-016</t>
  </si>
  <si>
    <t>BL20-0451</t>
  </si>
  <si>
    <t>PF001675</t>
  </si>
  <si>
    <t>4/6/2017</t>
  </si>
  <si>
    <t>8/22/2024</t>
  </si>
  <si>
    <t>AMAZON,AMAZONDS,BLK01,CSNSTORES,KOHLDSN,MACY02,NRTPORT,OLLIIX</t>
  </si>
  <si>
    <t>13709538-000-001</t>
  </si>
  <si>
    <t>2/11/2015</t>
  </si>
  <si>
    <t>TN20-0581</t>
  </si>
  <si>
    <t>PP001621;PF006391</t>
  </si>
  <si>
    <t>TN20-0582</t>
  </si>
  <si>
    <t>TN20-0583</t>
  </si>
  <si>
    <t>TN20-0584</t>
  </si>
  <si>
    <t>BL20-0870</t>
  </si>
  <si>
    <t>PF001719</t>
  </si>
  <si>
    <t>13709538-000-019</t>
  </si>
  <si>
    <t>10/20/2016</t>
  </si>
  <si>
    <t>BL20-0445</t>
  </si>
  <si>
    <t>PF001663</t>
  </si>
  <si>
    <t>13709538-000-012</t>
  </si>
  <si>
    <t>TN20-0585</t>
  </si>
  <si>
    <t>PP001621;PF006392</t>
  </si>
  <si>
    <t>TN20-0586</t>
  </si>
  <si>
    <t>TN20-0587</t>
  </si>
  <si>
    <t>TN20-0588</t>
  </si>
  <si>
    <t>II100-0324</t>
  </si>
  <si>
    <t>Sonia</t>
  </si>
  <si>
    <t>Camel</t>
  </si>
  <si>
    <t>ASHFURNDS,CSNSTORES,HDDS,HOUZZ,KOHLDSN,MACY02F,OLLIIX,ROOMECOM</t>
  </si>
  <si>
    <t>27118735-000-000</t>
  </si>
  <si>
    <t>II90-0538</t>
  </si>
  <si>
    <t>Dining Bench|Dining Table</t>
  </si>
  <si>
    <t>Sonoma</t>
  </si>
  <si>
    <t>Natural 6-Piece Set</t>
  </si>
  <si>
    <t>8/3/2021</t>
  </si>
  <si>
    <t>42099720-000-001</t>
  </si>
  <si>
    <t>II90-0539</t>
  </si>
  <si>
    <t>Natural 7-Piece Set</t>
  </si>
  <si>
    <t>42099719-000-002</t>
  </si>
  <si>
    <t>II121-0311</t>
  </si>
  <si>
    <t>Rectangle Dining Table</t>
  </si>
  <si>
    <t>AMERSIGNDS,CASTLEGATE,CSNSTORES,KIRKLANDDS,KOHLDSN,LAMPDS,OLLIIX,TGTDVS</t>
  </si>
  <si>
    <t>26801769-000-000</t>
  </si>
  <si>
    <t>7/20/2018</t>
  </si>
  <si>
    <t>II90-0542</t>
  </si>
  <si>
    <t>Gray 7-Piece Set</t>
  </si>
  <si>
    <t>7/16/2021</t>
  </si>
  <si>
    <t>42099719-000-001</t>
  </si>
  <si>
    <t>II121-0446</t>
  </si>
  <si>
    <t>5/3/2021</t>
  </si>
  <si>
    <t>AMAZONDS,CSNSTORES,HOUZZ,OLLIIX</t>
  </si>
  <si>
    <t>26801769-000-002</t>
  </si>
  <si>
    <t>II112-0447</t>
  </si>
  <si>
    <t>26778501-000-001</t>
  </si>
  <si>
    <t>II90-0540</t>
  </si>
  <si>
    <t>White 6-Piece Set</t>
  </si>
  <si>
    <t>42099720-000-000</t>
  </si>
  <si>
    <t>II108-0449</t>
  </si>
  <si>
    <t xml:space="preserve">Dining  Side Chair(Set of 2pcs)</t>
  </si>
  <si>
    <t>26779704-000-001</t>
  </si>
  <si>
    <t>II90-0541</t>
  </si>
  <si>
    <t>White 7-Piece Set</t>
  </si>
  <si>
    <t>42099719-000-000</t>
  </si>
  <si>
    <t>ST35-0253</t>
  </si>
  <si>
    <t>Sophia</t>
  </si>
  <si>
    <t>Talas Trellis Area Rug in Cream</t>
  </si>
  <si>
    <t>38830014-000-001</t>
  </si>
  <si>
    <t>ID40-1797</t>
  </si>
  <si>
    <t>Pom Pom Embellished Curtain Panel</t>
  </si>
  <si>
    <t>PF001530;PP001619</t>
  </si>
  <si>
    <t>9/10/2019</t>
  </si>
  <si>
    <t>AMAZON,AMAZONDS,HDDS,KIRKLANDDS,TGTDVS</t>
  </si>
  <si>
    <t>34389959-000-005</t>
  </si>
  <si>
    <t>11/5/2019</t>
  </si>
  <si>
    <t>ID40-1798</t>
  </si>
  <si>
    <t>AMAZON,AMAZONDS,ASHFURNDS,CSNSTORES,HDDS,KOHLDSN,MACY02,OLLIIX,TGTDVS</t>
  </si>
  <si>
    <t>34389959-000-004</t>
  </si>
  <si>
    <t>MP35-8040</t>
  </si>
  <si>
    <t>PP001794;PF005781</t>
  </si>
  <si>
    <t>40587885-000-003</t>
  </si>
  <si>
    <t>MP35-8041</t>
  </si>
  <si>
    <t>40587885-000-002</t>
  </si>
  <si>
    <t>MP35-8037</t>
  </si>
  <si>
    <t>Talas Trellis Area Rug in Grey and Cream</t>
  </si>
  <si>
    <t>PP001794;PF005780</t>
  </si>
  <si>
    <t>40587885-000-000</t>
  </si>
  <si>
    <t>MP35-8036</t>
  </si>
  <si>
    <t>40587885-000-004</t>
  </si>
  <si>
    <t>MP35-8038</t>
  </si>
  <si>
    <t>40587885-000-001</t>
  </si>
  <si>
    <t>MP35-8039</t>
  </si>
  <si>
    <t>40587885-000-005</t>
  </si>
  <si>
    <t>MP72-2490</t>
  </si>
  <si>
    <t>Spa Cotton</t>
  </si>
  <si>
    <t>Reversible Bath Rug</t>
  </si>
  <si>
    <t>24x72"</t>
  </si>
  <si>
    <t>PF001448;PP000510</t>
  </si>
  <si>
    <t>AMAZON,AMAZONDS,CSNSTORES,HDDS,JCPENNEY01,KIRKLANDDS,KOHLDSN,MACY02,TGTDVS</t>
  </si>
  <si>
    <t>17404250-000-008</t>
  </si>
  <si>
    <t>11/2/2016</t>
  </si>
  <si>
    <t>MP73-7179</t>
  </si>
  <si>
    <t>Spa Waffle</t>
  </si>
  <si>
    <t>Cotton Waffle Jacquard Antimicrobial Bath Towel 6 Piece Set</t>
  </si>
  <si>
    <t>PP000511</t>
  </si>
  <si>
    <t>8/20/2020</t>
  </si>
  <si>
    <t>AMAZON,AMAZONDS,BLK01,CSNSTORES,HDDS,JCPENNEY01,KIRKLANDDS,KOHLDSN,MACY02,OLLIIX,TGTDVS,ZOLA</t>
  </si>
  <si>
    <t>27555573-000-007</t>
  </si>
  <si>
    <t>9/9/2020</t>
  </si>
  <si>
    <t>MP73-5915</t>
  </si>
  <si>
    <t>AMAZON,BLK01,CSNSTORES,DESINC,HDDS,JCPENNEY01,KOHLDSN,MACY02,OLLIIX,TGTDVS,ZOLA</t>
  </si>
  <si>
    <t>27555573-000-002</t>
  </si>
  <si>
    <t>MP73-6220</t>
  </si>
  <si>
    <t>AMAZON,AMAZONDS,BLK01,CSNSTORES,JCPENNEY01,KOHLDSN,MACY02,TGTDVS,WALMARTDS,ZOLA</t>
  </si>
  <si>
    <t>27555573-000-005</t>
  </si>
  <si>
    <t>3/31/2019</t>
  </si>
  <si>
    <t>MP73-5912</t>
  </si>
  <si>
    <t>27555573-000-001</t>
  </si>
  <si>
    <t>MP73-5974</t>
  </si>
  <si>
    <t>AMAZON,AMAZONDS,BLK01,CSNSTORES,DESINC,HDDS,JCPENNEY01,KOHLDSN,MACY02,OLLIIX,TGTDVS,ZOLA</t>
  </si>
  <si>
    <t>27555573-000-003</t>
  </si>
  <si>
    <t>10/29/2018</t>
  </si>
  <si>
    <t>MP95G-0324</t>
  </si>
  <si>
    <t>Sparkling Sea</t>
  </si>
  <si>
    <t>Framed Glass and Single Matted Abstract Landscape Coastal Wall Art</t>
  </si>
  <si>
    <t>42762477-000-000</t>
  </si>
  <si>
    <t>MT95B-0083</t>
  </si>
  <si>
    <t>Staggered Stones</t>
  </si>
  <si>
    <t>Blue Natural Agate Double Mat Shadow Box Wall Decor</t>
  </si>
  <si>
    <t>43932324-000-000</t>
  </si>
  <si>
    <t>MT95B-0085</t>
  </si>
  <si>
    <t>Off-White Natural Agate Double Mat Shadow Box Wall Decor</t>
  </si>
  <si>
    <t>43932324-000-001</t>
  </si>
  <si>
    <t>MP21-8447</t>
  </si>
  <si>
    <t>Stay Puffed</t>
  </si>
  <si>
    <t>Overfilled Pillow Protector Single Piece</t>
  </si>
  <si>
    <t>PP001903;PF006239</t>
  </si>
  <si>
    <t>42656856-000-003</t>
  </si>
  <si>
    <t>MP21-8446</t>
  </si>
  <si>
    <t>42656856-000-002</t>
  </si>
  <si>
    <t>MP21-8301</t>
  </si>
  <si>
    <t>PP001903;PF006070</t>
  </si>
  <si>
    <t>42656856-000-000</t>
  </si>
  <si>
    <t>MP21-8300</t>
  </si>
  <si>
    <t>42656856-000-001</t>
  </si>
  <si>
    <t>MP95C-0171</t>
  </si>
  <si>
    <t>Sterling Mist</t>
  </si>
  <si>
    <t>100% Hand Brush Embellished Canvas 3 Piece Set</t>
  </si>
  <si>
    <t>PP001033;PF004515</t>
  </si>
  <si>
    <t>Hotel|Modern/Contemporary</t>
  </si>
  <si>
    <t>11/5/2018</t>
  </si>
  <si>
    <t>AMAZON,ASHFURNDS,KOHLDSN,OLLIIX,ROOMECOM</t>
  </si>
  <si>
    <t>30776137-000-000</t>
  </si>
  <si>
    <t>11/8/2018</t>
  </si>
  <si>
    <t>II105-0567</t>
  </si>
  <si>
    <t>Steve</t>
  </si>
  <si>
    <t>Boucle Waterfall Bench</t>
  </si>
  <si>
    <t>52"W</t>
  </si>
  <si>
    <t>41775209-000-002</t>
  </si>
  <si>
    <t>II105-0595</t>
  </si>
  <si>
    <t>42"W</t>
  </si>
  <si>
    <t>PP001874</t>
  </si>
  <si>
    <t>41775209-000-005</t>
  </si>
  <si>
    <t>MP104-1212</t>
  </si>
  <si>
    <t>Stewart</t>
  </si>
  <si>
    <t>Rachel</t>
  </si>
  <si>
    <t>Upholstered 360 Degree Swivel Counter Stool 25" H</t>
  </si>
  <si>
    <t>40968535-000-000</t>
  </si>
  <si>
    <t>II136-0307</t>
  </si>
  <si>
    <t>Stinson</t>
  </si>
  <si>
    <t>27161554-000-000</t>
  </si>
  <si>
    <t>II50-1031</t>
  </si>
  <si>
    <t>Stockholm</t>
  </si>
  <si>
    <t>Halmstad</t>
  </si>
  <si>
    <t>Color Block Faux Cashmere Throw</t>
  </si>
  <si>
    <t>PP000943</t>
  </si>
  <si>
    <t>6/27/2018</t>
  </si>
  <si>
    <t>17161563-000-003</t>
  </si>
  <si>
    <t>II50-1030</t>
  </si>
  <si>
    <t>AMERSIGNDS,CSNSTORES,JCPENNEY01,KIRKLANDDS,KOHLDSN,MACY02,OLLIIX,TGTDVS</t>
  </si>
  <si>
    <t>17161563-000-004</t>
  </si>
  <si>
    <t>ID95B-0025</t>
  </si>
  <si>
    <t>Summer Bliss</t>
  </si>
  <si>
    <t>Silver Framed Floral Medallion 3-piece Wall Decor Set</t>
  </si>
  <si>
    <t>PF001929</t>
  </si>
  <si>
    <t>BIGLOTSDS,KIRKLANDDS,KOHLDSN,OLLIIX,ROOMECOM,TGTDVS</t>
  </si>
  <si>
    <t>19320826-000-000</t>
  </si>
  <si>
    <t>MPS95A-0023</t>
  </si>
  <si>
    <t>Alt. Graphics</t>
  </si>
  <si>
    <t>Sunburst</t>
  </si>
  <si>
    <t>Hand Painted Dimensional Resin Wall Art</t>
  </si>
  <si>
    <t>30x30"</t>
  </si>
  <si>
    <t>PF002029</t>
  </si>
  <si>
    <t>AMAZON,AMAZONDS,AMERSIGNDS,BLK01,CSNSTORES,HDDS,KIRKLANDDS,KOHLDSN,LAMPDS,OLLIIX,ROOMECOM,TGTDVS</t>
  </si>
  <si>
    <t>25582544-000-000</t>
  </si>
  <si>
    <t>1/26/2018</t>
  </si>
  <si>
    <t>MPS95B-0045</t>
  </si>
  <si>
    <t>Hand Painted Triptych 3-piece Dimensional Resin Wall Art Set</t>
  </si>
  <si>
    <t>40050368-000-001</t>
  </si>
  <si>
    <t>PET66BP6026</t>
  </si>
  <si>
    <t>Sunrise</t>
  </si>
  <si>
    <t>Dog Backpack</t>
  </si>
  <si>
    <t>43808189-000-000</t>
  </si>
  <si>
    <t>II115-0502</t>
  </si>
  <si>
    <t>Sunset Cliff</t>
  </si>
  <si>
    <t>Wood Queen Bed</t>
  </si>
  <si>
    <t>5/18/2023</t>
  </si>
  <si>
    <t>41825209-000-000</t>
  </si>
  <si>
    <t>6/25/2023</t>
  </si>
  <si>
    <t>II136-0503</t>
  </si>
  <si>
    <t>1-Drawer Nightstand with Shelf</t>
  </si>
  <si>
    <t>MACY02F,OLLIIX</t>
  </si>
  <si>
    <t>41825221-000-000</t>
  </si>
  <si>
    <t>ID95C-0051</t>
  </si>
  <si>
    <t>Sunshine Animals</t>
  </si>
  <si>
    <t>Chicks Canvas Wall Art</t>
  </si>
  <si>
    <t>Chicks/Green Multi</t>
  </si>
  <si>
    <t>42721560-000-002</t>
  </si>
  <si>
    <t>ID95C-0053</t>
  </si>
  <si>
    <t>Cow Canvas Wall Art</t>
  </si>
  <si>
    <t>Cow/Green Multi</t>
  </si>
  <si>
    <t>42721560-000-003</t>
  </si>
  <si>
    <t>ID95C-0052</t>
  </si>
  <si>
    <t>Goat Canvas Wall Art</t>
  </si>
  <si>
    <t>Goat/Green Multi</t>
  </si>
  <si>
    <t>42721560-000-004</t>
  </si>
  <si>
    <t>ID95C-0049</t>
  </si>
  <si>
    <t>Lamb Canvas Wall Art</t>
  </si>
  <si>
    <t>Lamb/Green Multi</t>
  </si>
  <si>
    <t>42721560-000-005</t>
  </si>
  <si>
    <t>ID95C-0050</t>
  </si>
  <si>
    <t>Llama Canvas Wall Art</t>
  </si>
  <si>
    <t>Llama/Green Multi</t>
  </si>
  <si>
    <t>42721560-000-001</t>
  </si>
  <si>
    <t>ID95C-0048</t>
  </si>
  <si>
    <t>Pig Canvas Wall Art</t>
  </si>
  <si>
    <t>Pig/Green Multi</t>
  </si>
  <si>
    <t>42721560-000-000</t>
  </si>
  <si>
    <t>II10-047</t>
  </si>
  <si>
    <t>Cotton Seersucker Comfoter Set</t>
  </si>
  <si>
    <t>PF001590</t>
  </si>
  <si>
    <t>Casual|Mid-Century</t>
  </si>
  <si>
    <t>BEALLSDS,BLK01,CSNSTORES,JCPENNEY01,KOHLDSN,MACY02,OLLIIX,TGTDVS,ZOLA</t>
  </si>
  <si>
    <t>18154134-000-001</t>
  </si>
  <si>
    <t>2/8/2016</t>
  </si>
  <si>
    <t>HH12-1347</t>
  </si>
  <si>
    <t>Suzanna</t>
  </si>
  <si>
    <t>PF003327</t>
  </si>
  <si>
    <t>17626824-000-000</t>
  </si>
  <si>
    <t>11/13/2015</t>
  </si>
  <si>
    <t>II104-0251</t>
  </si>
  <si>
    <t>Tacoma</t>
  </si>
  <si>
    <t>24" Counter stool</t>
  </si>
  <si>
    <t>PP000055</t>
  </si>
  <si>
    <t>CSNSTORES,HDDS,OLLIIX,ROOMECOM</t>
  </si>
  <si>
    <t>26568496-000-000</t>
  </si>
  <si>
    <t>4/2/2018</t>
  </si>
  <si>
    <t>FPF20-0337</t>
  </si>
  <si>
    <t>PF000793;PP000055</t>
  </si>
  <si>
    <t>19902861-000-000</t>
  </si>
  <si>
    <t>MP100-1187</t>
  </si>
  <si>
    <t>Tage</t>
  </si>
  <si>
    <t>Marlee</t>
  </si>
  <si>
    <t>41353964-000-000</t>
  </si>
  <si>
    <t>5/26/2023</t>
  </si>
  <si>
    <t>II12-1314</t>
  </si>
  <si>
    <t>Tahli</t>
  </si>
  <si>
    <t>3 Piece Cotton Blend Chenille Duvet Cover Set</t>
  </si>
  <si>
    <t>PF006075</t>
  </si>
  <si>
    <t>43080747-000-001</t>
  </si>
  <si>
    <t>ID80-276</t>
  </si>
  <si>
    <t>Tamira</t>
  </si>
  <si>
    <t>Lacie</t>
  </si>
  <si>
    <t>Dana</t>
  </si>
  <si>
    <t>Reversible Quilt Set with Throw Pillows</t>
  </si>
  <si>
    <t>PF001646</t>
  </si>
  <si>
    <t>JCPENNEY01,KOHLDSN,MACY02,NRTPORT</t>
  </si>
  <si>
    <t>16943033-000-000</t>
  </si>
  <si>
    <t>2/25/2015</t>
  </si>
  <si>
    <t>SS40-0148</t>
  </si>
  <si>
    <t>Taren</t>
  </si>
  <si>
    <t>Brent</t>
  </si>
  <si>
    <t>Aljed</t>
  </si>
  <si>
    <t>Solid Blackout Triple Weave Grommet Top Curtain Panel Pair</t>
  </si>
  <si>
    <t>PP001545;PF005212</t>
  </si>
  <si>
    <t>10/9/2020</t>
  </si>
  <si>
    <t>36788979-000-002</t>
  </si>
  <si>
    <t>11/11/2020</t>
  </si>
  <si>
    <t>WR50-1349</t>
  </si>
  <si>
    <t>Tasha</t>
  </si>
  <si>
    <t xml:space="preserve">Oversized Sofstpun Down Alternative  Throw</t>
  </si>
  <si>
    <t>PF002055</t>
  </si>
  <si>
    <t>16606696-000-000</t>
  </si>
  <si>
    <t>FPF18-0253</t>
  </si>
  <si>
    <t>PF000677;PP000270</t>
  </si>
  <si>
    <t>CSNSTORES,HDDS,OLLIIX,ROOMECOM,ZOLA</t>
  </si>
  <si>
    <t>17880200-000-000</t>
  </si>
  <si>
    <t>12/1/2015</t>
  </si>
  <si>
    <t>MP40-8432</t>
  </si>
  <si>
    <t>Bryn</t>
  </si>
  <si>
    <t>River</t>
  </si>
  <si>
    <t>Clipped Jacquard Light Filtering Rod Pocket/Back Tab Single Curtain Panel</t>
  </si>
  <si>
    <t>PP001860;PF005952</t>
  </si>
  <si>
    <t>AMAZON,AMAZONDS,CSNSTORES,DESINC,KOHLDSN</t>
  </si>
  <si>
    <t>44092529-000-000</t>
  </si>
  <si>
    <t>BR20-3896</t>
  </si>
  <si>
    <t>Tencel Polyester Blend</t>
  </si>
  <si>
    <t>PP001850;PF005924</t>
  </si>
  <si>
    <t>Tencel</t>
  </si>
  <si>
    <t>41028508-000-001</t>
  </si>
  <si>
    <t>1/27/2023</t>
  </si>
  <si>
    <t>BR20-3897</t>
  </si>
  <si>
    <t>41028508-000-011</t>
  </si>
  <si>
    <t>12/22/2023</t>
  </si>
  <si>
    <t>BR20-3899</t>
  </si>
  <si>
    <t>AMAZONDS,JCPENNEY01,KOHLDSN,TGTDVS</t>
  </si>
  <si>
    <t>41028508-000-013</t>
  </si>
  <si>
    <t>BR20-3904</t>
  </si>
  <si>
    <t>PP001850;PF005926</t>
  </si>
  <si>
    <t>DESINC,MACY02,TGTDVS</t>
  </si>
  <si>
    <t>41028508-000-003</t>
  </si>
  <si>
    <t>BR20-3905</t>
  </si>
  <si>
    <t>41028508-000-000</t>
  </si>
  <si>
    <t>BR20-3900</t>
  </si>
  <si>
    <t>PP001850;PF005925</t>
  </si>
  <si>
    <t>41028508-000-012</t>
  </si>
  <si>
    <t>BR20-3901</t>
  </si>
  <si>
    <t>41028508-000-015</t>
  </si>
  <si>
    <t>4/12/2023</t>
  </si>
  <si>
    <t>BR20-3902</t>
  </si>
  <si>
    <t>41028508-000-010</t>
  </si>
  <si>
    <t>3/15/2023</t>
  </si>
  <si>
    <t>BR20-3903</t>
  </si>
  <si>
    <t>41028508-000-004</t>
  </si>
  <si>
    <t>3/17/2023</t>
  </si>
  <si>
    <t>BR20-3892</t>
  </si>
  <si>
    <t>PP001850;PF005923</t>
  </si>
  <si>
    <t>41028508-000-008</t>
  </si>
  <si>
    <t>BR20-3893</t>
  </si>
  <si>
    <t>BLK01,CSNSTORES,KOHLDSN</t>
  </si>
  <si>
    <t>41028508-000-002</t>
  </si>
  <si>
    <t>ID10-2227</t>
  </si>
  <si>
    <t>Terra</t>
  </si>
  <si>
    <t>Althea</t>
  </si>
  <si>
    <t>Modern Comforter Set</t>
  </si>
  <si>
    <t>PF005944</t>
  </si>
  <si>
    <t>AMAZON,CSNSTORES,JCPENNEY01,KOHLDSN,MACY02,TGTDVS,Zulily</t>
  </si>
  <si>
    <t>41294100-000-000</t>
  </si>
  <si>
    <t>7/18/2023</t>
  </si>
  <si>
    <t>MT101-0179</t>
  </si>
  <si>
    <t>Terri</t>
  </si>
  <si>
    <t>Skirted Tufted 32" Round Ottoman</t>
  </si>
  <si>
    <t>WR13-2057</t>
  </si>
  <si>
    <t>Teton</t>
  </si>
  <si>
    <t>Embroidered Plush Quilt Set</t>
  </si>
  <si>
    <t>PF002180</t>
  </si>
  <si>
    <t>AMAZON,ASHFURNDS,CSNSTORES,JCPENNEY01,KOHLDSN,MACY02,TGTDVS</t>
  </si>
  <si>
    <t>23298025-000-000</t>
  </si>
  <si>
    <t>8/28/2017</t>
  </si>
  <si>
    <t>UH95C-0019</t>
  </si>
  <si>
    <t>This and That Way</t>
  </si>
  <si>
    <t>Blue/Grey</t>
  </si>
  <si>
    <t>PP000593</t>
  </si>
  <si>
    <t>9/12/2017</t>
  </si>
  <si>
    <t>AMAZON,DESINC,KOHLDSN,OLLIIX,TGTDVS</t>
  </si>
  <si>
    <t>23715695-000-000</t>
  </si>
  <si>
    <t>10/10/2017</t>
  </si>
  <si>
    <t>MP13-8470</t>
  </si>
  <si>
    <t>Timber</t>
  </si>
  <si>
    <t>Heavenly</t>
  </si>
  <si>
    <t>Hilltop</t>
  </si>
  <si>
    <t>3 Piece Reversible Printed Quilt Set</t>
  </si>
  <si>
    <t>PP001028;PF006311</t>
  </si>
  <si>
    <t>30915340-000-004</t>
  </si>
  <si>
    <t>MP13-8471</t>
  </si>
  <si>
    <t>30915340-000-005</t>
  </si>
  <si>
    <t>IIF22-0039</t>
  </si>
  <si>
    <t>Topi</t>
  </si>
  <si>
    <t>Natural Wood Slice Mosaic Wall Decor</t>
  </si>
  <si>
    <t>PF000990;PP000059</t>
  </si>
  <si>
    <t>5/11/2017</t>
  </si>
  <si>
    <t>CSNSTORES,KOHLDSN,OLLIIX,ROOMECOM,TGTDVS</t>
  </si>
  <si>
    <t>19247050-000-000</t>
  </si>
  <si>
    <t>9/11/2016</t>
  </si>
  <si>
    <t>MP101-1135</t>
  </si>
  <si>
    <t>Tracey</t>
  </si>
  <si>
    <t>Sally</t>
  </si>
  <si>
    <t>Faux Leather Cocktail Ottoman</t>
  </si>
  <si>
    <t>39771180-000-000</t>
  </si>
  <si>
    <t>ST54-0246</t>
  </si>
  <si>
    <t>Travis AZ</t>
  </si>
  <si>
    <t>Heated Tri-Rib Microfleece Blanket</t>
  </si>
  <si>
    <t>Berry Red</t>
  </si>
  <si>
    <t>43942077-000-017</t>
  </si>
  <si>
    <t>ST54-0247</t>
  </si>
  <si>
    <t>43942077-000-000</t>
  </si>
  <si>
    <t>ST54-0248</t>
  </si>
  <si>
    <t>43942077-000-013</t>
  </si>
  <si>
    <t>ST54-0249</t>
  </si>
  <si>
    <t>43942077-000-001</t>
  </si>
  <si>
    <t>ST54-0234</t>
  </si>
  <si>
    <t>43942077-000-024</t>
  </si>
  <si>
    <t>ST54-0235</t>
  </si>
  <si>
    <t>43942077-000-011</t>
  </si>
  <si>
    <t>ST54-0236</t>
  </si>
  <si>
    <t>43942077-000-023</t>
  </si>
  <si>
    <t>ST54-0237</t>
  </si>
  <si>
    <t>43942077-000-016</t>
  </si>
  <si>
    <t>ST54-0223</t>
  </si>
  <si>
    <t>43942077-000-015</t>
  </si>
  <si>
    <t>ST54-0224</t>
  </si>
  <si>
    <t>43942077-000-020</t>
  </si>
  <si>
    <t>ST54-0225</t>
  </si>
  <si>
    <t>43942077-000-026</t>
  </si>
  <si>
    <t>ST54-0242</t>
  </si>
  <si>
    <t>Dusty Blue</t>
  </si>
  <si>
    <t>43942077-000-018</t>
  </si>
  <si>
    <t>ST54-0243</t>
  </si>
  <si>
    <t>43942077-000-008</t>
  </si>
  <si>
    <t>ST54-0244</t>
  </si>
  <si>
    <t>43942077-000-007</t>
  </si>
  <si>
    <t>ST54-0245</t>
  </si>
  <si>
    <t>43942077-000-009</t>
  </si>
  <si>
    <t>ST54-0238</t>
  </si>
  <si>
    <t>43942077-000-010</t>
  </si>
  <si>
    <t>ST54-0239</t>
  </si>
  <si>
    <t>43942077-000-004</t>
  </si>
  <si>
    <t>ST54-0240</t>
  </si>
  <si>
    <t>43942077-000-027</t>
  </si>
  <si>
    <t>ST54-0241</t>
  </si>
  <si>
    <t>43942077-000-019</t>
  </si>
  <si>
    <t>ST54-0230</t>
  </si>
  <si>
    <t>Latte Tan</t>
  </si>
  <si>
    <t>43942077-000-003</t>
  </si>
  <si>
    <t>ST54-0231</t>
  </si>
  <si>
    <t>43942077-000-006</t>
  </si>
  <si>
    <t>ST54-0232</t>
  </si>
  <si>
    <t>43942077-000-022</t>
  </si>
  <si>
    <t>ST54-0233</t>
  </si>
  <si>
    <t>43942077-000-014</t>
  </si>
  <si>
    <t>ST54-0226</t>
  </si>
  <si>
    <t>Stone Brown</t>
  </si>
  <si>
    <t>43942077-000-012</t>
  </si>
  <si>
    <t>ST54-0227</t>
  </si>
  <si>
    <t>43942077-000-002</t>
  </si>
  <si>
    <t>ST54-0228</t>
  </si>
  <si>
    <t>43942077-000-021</t>
  </si>
  <si>
    <t>ST54-0229</t>
  </si>
  <si>
    <t>43942077-000-005</t>
  </si>
  <si>
    <t>II153-0160</t>
  </si>
  <si>
    <t>Trilluxe</t>
  </si>
  <si>
    <t>8/17/2024</t>
  </si>
  <si>
    <t>44671081-000-000</t>
  </si>
  <si>
    <t>PET63CC6031</t>
  </si>
  <si>
    <t>Trucker</t>
  </si>
  <si>
    <t>Crate Cover</t>
  </si>
  <si>
    <t>43827766-000-001</t>
  </si>
  <si>
    <t>PET63CC6032</t>
  </si>
  <si>
    <t>43827766-000-002</t>
  </si>
  <si>
    <t>PET63CC6033</t>
  </si>
  <si>
    <t>43827766-000-000</t>
  </si>
  <si>
    <t>PET63CC6034</t>
  </si>
  <si>
    <t>43827766-000-003</t>
  </si>
  <si>
    <t>MPS73-532</t>
  </si>
  <si>
    <t>Turkish</t>
  </si>
  <si>
    <t>100% Cotton Bath Sheet 2 Piece Set</t>
  </si>
  <si>
    <t>35x70" - 2PK</t>
  </si>
  <si>
    <t>PP001361</t>
  </si>
  <si>
    <t>AMAZON,KOHLDSN,ZOLA</t>
  </si>
  <si>
    <t>44154278-000-002</t>
  </si>
  <si>
    <t>MPS73-543</t>
  </si>
  <si>
    <t>Cotton 6 Piece Bath Towel Set</t>
  </si>
  <si>
    <t>PP001361;PF006305</t>
  </si>
  <si>
    <t>AMAZON,AMAZONDS,MACY02,OLLIIX</t>
  </si>
  <si>
    <t>24280451-000-012</t>
  </si>
  <si>
    <t>MPS73-533</t>
  </si>
  <si>
    <t>44154278-000-001</t>
  </si>
  <si>
    <t>MPS73-534</t>
  </si>
  <si>
    <t>44154278-000-000</t>
  </si>
  <si>
    <t>MPS73-531</t>
  </si>
  <si>
    <t>AMAZON,BLK01,KOHLDSN</t>
  </si>
  <si>
    <t>44154278-000-003</t>
  </si>
  <si>
    <t>MP13-8497</t>
  </si>
  <si>
    <t>Tuscany</t>
  </si>
  <si>
    <t>Marino</t>
  </si>
  <si>
    <t>Genoa</t>
  </si>
  <si>
    <t>3 Piece Reversible Scalloped Edge Quilt Set</t>
  </si>
  <si>
    <t>PP001886;PF006370</t>
  </si>
  <si>
    <t>Traditional|Transitional</t>
  </si>
  <si>
    <t>8/24/2024</t>
  </si>
  <si>
    <t>18384445-000-008</t>
  </si>
  <si>
    <t>MP13-8498</t>
  </si>
  <si>
    <t>18384445-000-009</t>
  </si>
  <si>
    <t>MP50-4302</t>
  </si>
  <si>
    <t>Oversized Quilted Throw with Scalloped Edges</t>
  </si>
  <si>
    <t>60x72"</t>
  </si>
  <si>
    <t>PF003553</t>
  </si>
  <si>
    <t>AMAZON,AMAZONDS,BLK01,CSNSTORES,HSNDS,KOHLDSN,MACY02,OLLIIX,TGTDVS,Zulily</t>
  </si>
  <si>
    <t>16643550-000-003</t>
  </si>
  <si>
    <t>3/27/2017</t>
  </si>
  <si>
    <t>MP13-8499</t>
  </si>
  <si>
    <t>6 Piece Reversible Scalloped Edge Daybed Cover Set</t>
  </si>
  <si>
    <t>23494576-000-004</t>
  </si>
  <si>
    <t>MP103-0481</t>
  </si>
  <si>
    <t>Tyler</t>
  </si>
  <si>
    <t>Memo</t>
  </si>
  <si>
    <t>ASHFURNDS,CASTLEGATE,CSNSTORES,HDDS,KOHLDSN,MACY02F,OLLIIX</t>
  </si>
  <si>
    <t>22701114-000-005</t>
  </si>
  <si>
    <t>11/22/2017</t>
  </si>
  <si>
    <t>TN54-0200</t>
  </si>
  <si>
    <t>Ultra Soft</t>
  </si>
  <si>
    <t>Plush Reverses to Berber Heated Blanket</t>
  </si>
  <si>
    <t>PF003495</t>
  </si>
  <si>
    <t>24091825-000-012</t>
  </si>
  <si>
    <t>TN54-0201</t>
  </si>
  <si>
    <t>24091825-000-013</t>
  </si>
  <si>
    <t>11/20/2017</t>
  </si>
  <si>
    <t>TN54-0202</t>
  </si>
  <si>
    <t>24091825-000-014</t>
  </si>
  <si>
    <t>TN54-0397</t>
  </si>
  <si>
    <t>PF004403</t>
  </si>
  <si>
    <t>24091825-000-018</t>
  </si>
  <si>
    <t>10/13/2020</t>
  </si>
  <si>
    <t>TN54-0398</t>
  </si>
  <si>
    <t>7/16/2019</t>
  </si>
  <si>
    <t>24091825-000-017</t>
  </si>
  <si>
    <t>3/9/2020</t>
  </si>
  <si>
    <t>TN54-0399</t>
  </si>
  <si>
    <t>24091825-000-016</t>
  </si>
  <si>
    <t>10/26/2020</t>
  </si>
  <si>
    <t>TN54-0197</t>
  </si>
  <si>
    <t>PF003494</t>
  </si>
  <si>
    <t>24091825-000-009</t>
  </si>
  <si>
    <t>TN54-0199</t>
  </si>
  <si>
    <t>24091825-000-011</t>
  </si>
  <si>
    <t>10/24/2017</t>
  </si>
  <si>
    <t>TN54-0402</t>
  </si>
  <si>
    <t>PF004404</t>
  </si>
  <si>
    <t>JCPENNEY01,KOHLDSN,MACY02,OLLIIX,TGTDVS</t>
  </si>
  <si>
    <t>24091825-000-021</t>
  </si>
  <si>
    <t>TN54-0403</t>
  </si>
  <si>
    <t>DESINC,JCPENNEY01,KOHLDSN,OLLIIX</t>
  </si>
  <si>
    <t>24091825-000-020</t>
  </si>
  <si>
    <t>TN54-0404</t>
  </si>
  <si>
    <t>24091825-000-019</t>
  </si>
  <si>
    <t>TN54-0192</t>
  </si>
  <si>
    <t>PF003493</t>
  </si>
  <si>
    <t>24091825-000-004</t>
  </si>
  <si>
    <t>10/16/2017</t>
  </si>
  <si>
    <t>TN54-0194</t>
  </si>
  <si>
    <t>BLK01,CSNSTORES,KOHLDSN,MACY02,OLLIIX,TGTDVS</t>
  </si>
  <si>
    <t>24091825-000-006</t>
  </si>
  <si>
    <t>TN54-0188</t>
  </si>
  <si>
    <t>PF003492</t>
  </si>
  <si>
    <t>24091825-000-000</t>
  </si>
  <si>
    <t>TN54-0191</t>
  </si>
  <si>
    <t>DESINC,JCPENNEY01,KOHLDSN,MACY02</t>
  </si>
  <si>
    <t>24091825-000-003</t>
  </si>
  <si>
    <t>MPS10-544</t>
  </si>
  <si>
    <t>Urban Cabin</t>
  </si>
  <si>
    <t>PP001989;PF006386</t>
  </si>
  <si>
    <t>Glam/Luxury|Lodge/Cabin</t>
  </si>
  <si>
    <t>MPS10-545</t>
  </si>
  <si>
    <t>II153-0162</t>
  </si>
  <si>
    <t>Veluna</t>
  </si>
  <si>
    <t>Textured Ceramic Table Lamp with Fluted Fabric Shade</t>
  </si>
  <si>
    <t>ID10-2339</t>
  </si>
  <si>
    <t>Velvet Dream Puff</t>
  </si>
  <si>
    <t>2 Piece Comforter Set</t>
  </si>
  <si>
    <t>PP001942;PF006190</t>
  </si>
  <si>
    <t>43800402-000-004</t>
  </si>
  <si>
    <t>ID10-2340</t>
  </si>
  <si>
    <t>3 Piece Comforter Set</t>
  </si>
  <si>
    <t>43800402-000-002</t>
  </si>
  <si>
    <t>ID10-2341</t>
  </si>
  <si>
    <t>43800402-000-003</t>
  </si>
  <si>
    <t>ID10-2336</t>
  </si>
  <si>
    <t>PP001942;PF006189</t>
  </si>
  <si>
    <t>43800402-000-007</t>
  </si>
  <si>
    <t>ID10-2338</t>
  </si>
  <si>
    <t>43800402-000-005</t>
  </si>
  <si>
    <t>ID10-2343</t>
  </si>
  <si>
    <t>PP001942;PF006191</t>
  </si>
  <si>
    <t>AMAZON,CSNSTORES,HDDS,JCPENNEY01,KOHLDSN,MACY02,TGTDVS</t>
  </si>
  <si>
    <t>43800402-000-000</t>
  </si>
  <si>
    <t>ID10-2344</t>
  </si>
  <si>
    <t>43800402-000-008</t>
  </si>
  <si>
    <t>II100-0332</t>
  </si>
  <si>
    <t>Ventura</t>
  </si>
  <si>
    <t>1/13/2018</t>
  </si>
  <si>
    <t>CSNSTORES,HOUZZ</t>
  </si>
  <si>
    <t>27118754-000-000</t>
  </si>
  <si>
    <t>MP40-8462</t>
  </si>
  <si>
    <t>Veronica</t>
  </si>
  <si>
    <t>Scarlett</t>
  </si>
  <si>
    <t>White/Navy</t>
  </si>
  <si>
    <t>PP001970;PF006279</t>
  </si>
  <si>
    <t>44433942-000-000</t>
  </si>
  <si>
    <t>MP40-8463</t>
  </si>
  <si>
    <t>44433942-000-001</t>
  </si>
  <si>
    <t>CCL13-0017</t>
  </si>
  <si>
    <t>Versailles</t>
  </si>
  <si>
    <t>3 Piece Champagne Quilt Set</t>
  </si>
  <si>
    <t>42041894-000-002</t>
  </si>
  <si>
    <t>CCL40-0059</t>
  </si>
  <si>
    <t>Vicenza</t>
  </si>
  <si>
    <t>Invertible Curtain Panel (Single)</t>
  </si>
  <si>
    <t>Navy/Silver</t>
  </si>
  <si>
    <t>42037925-000-001</t>
  </si>
  <si>
    <t>SS40-0091</t>
  </si>
  <si>
    <t>Victorio</t>
  </si>
  <si>
    <t>Laurent</t>
  </si>
  <si>
    <t>Printed Jacquard Grommet Top Total Blackout Curtain Panel</t>
  </si>
  <si>
    <t>PP000999;PF004468</t>
  </si>
  <si>
    <t>29074578-000-003</t>
  </si>
  <si>
    <t>12/3/2018</t>
  </si>
  <si>
    <t>SS40-0092</t>
  </si>
  <si>
    <t>29074578-000-000</t>
  </si>
  <si>
    <t>1/29/2019</t>
  </si>
  <si>
    <t>MP13-7959</t>
  </si>
  <si>
    <t>Vienna</t>
  </si>
  <si>
    <t>Marcella</t>
  </si>
  <si>
    <t>PP001783;PF005736</t>
  </si>
  <si>
    <t>26144025-000-002</t>
  </si>
  <si>
    <t>10/2/2022</t>
  </si>
  <si>
    <t>CHM12-0003</t>
  </si>
  <si>
    <t>Villa</t>
  </si>
  <si>
    <t>3 Piece Grey Duvet Set</t>
  </si>
  <si>
    <t>Steel Gray</t>
  </si>
  <si>
    <t>42062413-000-000</t>
  </si>
  <si>
    <t>MT95C-0035</t>
  </si>
  <si>
    <t>Vista</t>
  </si>
  <si>
    <t>Abstract Landscape 5-piece Gallery Canvas Wall Art Set</t>
  </si>
  <si>
    <t>PF005278</t>
  </si>
  <si>
    <t>11/20/2020</t>
  </si>
  <si>
    <t>AMAZON,AMAZONDS,CSNSTORES,JCPENNEY01,KIRKLANDDS,KOHLDSN,OLLIIX,ROOMECOM,TGTDVS,ZOLA</t>
  </si>
  <si>
    <t>37047531-000-000</t>
  </si>
  <si>
    <t>11/28/2020</t>
  </si>
  <si>
    <t>CS40-1554</t>
  </si>
  <si>
    <t>Pair Total Blackout</t>
  </si>
  <si>
    <t>2-PK 50x84"</t>
  </si>
  <si>
    <t>1/25/2022</t>
  </si>
  <si>
    <t>43971899-000-005</t>
  </si>
  <si>
    <t>CS40-1553</t>
  </si>
  <si>
    <t>43971899-000-004</t>
  </si>
  <si>
    <t>CS40-1549</t>
  </si>
  <si>
    <t>43971899-000-001</t>
  </si>
  <si>
    <t>MP50-8255</t>
  </si>
  <si>
    <t>Vivienne</t>
  </si>
  <si>
    <t>Camille</t>
  </si>
  <si>
    <t>PP001889;PF006020</t>
  </si>
  <si>
    <t>43349208-000-001</t>
  </si>
  <si>
    <t>CS10-0255-1</t>
  </si>
  <si>
    <t>Vixie</t>
  </si>
  <si>
    <t>Lacey</t>
  </si>
  <si>
    <t>Reversible Down Alternative Comforter Set</t>
  </si>
  <si>
    <t>Grey/Yellow</t>
  </si>
  <si>
    <t>PP001375;PF004883</t>
  </si>
  <si>
    <t>33488805-000-017</t>
  </si>
  <si>
    <t>CS10-1342</t>
  </si>
  <si>
    <t>Wallace</t>
  </si>
  <si>
    <t>Complete Bed with Sheet Set</t>
  </si>
  <si>
    <t>Navy/Red</t>
  </si>
  <si>
    <t>43956680-000-002</t>
  </si>
  <si>
    <t>MP10-7087</t>
  </si>
  <si>
    <t>Walter</t>
  </si>
  <si>
    <t>Clayton</t>
  </si>
  <si>
    <t>Kelan</t>
  </si>
  <si>
    <t>7 Piece Printed Seersucker Comforter Set</t>
  </si>
  <si>
    <t>PP001162;PF005033</t>
  </si>
  <si>
    <t>Transitional|Farm House</t>
  </si>
  <si>
    <t>1/15/2020</t>
  </si>
  <si>
    <t>AMAZONDS,BLK01,CSNSTORES,HOUZZ,JCPENNEY01,KOHLDSN,MACY02,NRTPORT,TGTDVS</t>
  </si>
  <si>
    <t>33195402-000-004</t>
  </si>
  <si>
    <t>1/27/2020</t>
  </si>
  <si>
    <t>UH95C-0033</t>
  </si>
  <si>
    <t>Wandering Strokes</t>
  </si>
  <si>
    <t>Abstract Framed Canvas 3 Piece Set</t>
  </si>
  <si>
    <t>PP001666</t>
  </si>
  <si>
    <t>38501113-000-000</t>
  </si>
  <si>
    <t>7/19/2021</t>
  </si>
  <si>
    <t>7/4/2022</t>
  </si>
  <si>
    <t>MP105-1267</t>
  </si>
  <si>
    <t>Welburn</t>
  </si>
  <si>
    <t>Antonio</t>
  </si>
  <si>
    <t>Madera</t>
  </si>
  <si>
    <t>PP000673</t>
  </si>
  <si>
    <t>MP121-1221</t>
  </si>
  <si>
    <t>Phelps</t>
  </si>
  <si>
    <t>Rectangle Extension Dining Table</t>
  </si>
  <si>
    <t>41594063-000-000</t>
  </si>
  <si>
    <t>MP13-3240</t>
  </si>
  <si>
    <t>Willa</t>
  </si>
  <si>
    <t>Felicity</t>
  </si>
  <si>
    <t>6 Piece Cotton Quilt Set with Throw Pillows</t>
  </si>
  <si>
    <t>PF002608;PP000533</t>
  </si>
  <si>
    <t>AMAZON,AMAZONDS,BEALLSDS,BLK01,CASTLEGATE,CSNSTORES,HDDS,JCPENNEY01,KOHLDSN,LAMPDS,MACY02,TGTDVS,WALMARTDS</t>
  </si>
  <si>
    <t>19156152-000-000</t>
  </si>
  <si>
    <t>MP13-3241</t>
  </si>
  <si>
    <t>AMAZON,BEALLSDS,BLK01,CASTLEGATE,CSNSTORES,JCPENNEY01,KOHLDSN,MACY02,OLLIIX,ROOMECOM,TGTDVS</t>
  </si>
  <si>
    <t>19156152-000-001</t>
  </si>
  <si>
    <t>MP120-0971</t>
  </si>
  <si>
    <t>Larris</t>
  </si>
  <si>
    <t>Cocktail Table</t>
  </si>
  <si>
    <t>6/11/2020</t>
  </si>
  <si>
    <t>36328403-000-000</t>
  </si>
  <si>
    <t>MP120-0972</t>
  </si>
  <si>
    <t>36328404-000-000</t>
  </si>
  <si>
    <t>CCL30-0038</t>
  </si>
  <si>
    <t>Winchester</t>
  </si>
  <si>
    <t>AMAZON,CSNSTORES,DLCROSCILL,KOHLDSN</t>
  </si>
  <si>
    <t>42067841-000-003</t>
  </si>
  <si>
    <t>CCL30-0036</t>
  </si>
  <si>
    <t>AMAZON,CSNSTORES,DLCROSCILL,JCPENNEY01,KOHLDSN,MACY02</t>
  </si>
  <si>
    <t>42067841-000-002</t>
  </si>
  <si>
    <t>CCL30-0035</t>
  </si>
  <si>
    <t>42067841-000-000</t>
  </si>
  <si>
    <t>MP51-8500</t>
  </si>
  <si>
    <t>Windom</t>
  </si>
  <si>
    <t>Prospect</t>
  </si>
  <si>
    <t>Lightweight Down Alternative Blanket with Satin Trim</t>
  </si>
  <si>
    <t>PP001377;PF006380</t>
  </si>
  <si>
    <t>15910786-000-041</t>
  </si>
  <si>
    <t>MP51-8501</t>
  </si>
  <si>
    <t>15910786-000-040</t>
  </si>
  <si>
    <t>MP51-8502</t>
  </si>
  <si>
    <t>15910786-000-039</t>
  </si>
  <si>
    <t>MP51-5156</t>
  </si>
  <si>
    <t>AMAZON,AMAZONDS,CSNSTORES,HDDS,JCPENNEY01,KOHLDSN,MACY02,OLLIIX,TGTDVS,WALMARTDS</t>
  </si>
  <si>
    <t>15910786-000-023</t>
  </si>
  <si>
    <t>11/17/2017</t>
  </si>
  <si>
    <t>MP10-7846</t>
  </si>
  <si>
    <t>Windom AZ</t>
  </si>
  <si>
    <t>3M Solid Down Alt Comforter</t>
  </si>
  <si>
    <t>43944076-000-001</t>
  </si>
  <si>
    <t>MP10-7843</t>
  </si>
  <si>
    <t>43944076-000-002</t>
  </si>
  <si>
    <t>MP10-7844</t>
  </si>
  <si>
    <t>43944076-000-003</t>
  </si>
  <si>
    <t>II95C-0158</t>
  </si>
  <si>
    <t>Windswept</t>
  </si>
  <si>
    <t>Hand Embellished Highland Bull Canvas Wall Art</t>
  </si>
  <si>
    <t>42794699-000-000</t>
  </si>
  <si>
    <t>AMFBA10-0303</t>
  </si>
  <si>
    <t>Winfield</t>
  </si>
  <si>
    <t>Solid Comforter Set</t>
  </si>
  <si>
    <t>7/21/2021</t>
  </si>
  <si>
    <t>AMFBA10-0304</t>
  </si>
  <si>
    <t>AMFBA10-0305</t>
  </si>
  <si>
    <t>AMFBA10-0294</t>
  </si>
  <si>
    <t>AMFBA10-0295</t>
  </si>
  <si>
    <t>AMFBA10-0296</t>
  </si>
  <si>
    <t>AMFBA10-0297</t>
  </si>
  <si>
    <t>AMFBA10-0298</t>
  </si>
  <si>
    <t>AMFBA10-0299</t>
  </si>
  <si>
    <t>AMFBA10-0309</t>
  </si>
  <si>
    <t>AMFBA10-0310</t>
  </si>
  <si>
    <t>AMFBA10-0311</t>
  </si>
  <si>
    <t>MP10-8361</t>
  </si>
  <si>
    <t>Westport</t>
  </si>
  <si>
    <t>300 Thread Count Cotton Shell Luxury Down Alternative Comforter</t>
  </si>
  <si>
    <t>PP001919;PF006133</t>
  </si>
  <si>
    <t>16663861-000-003</t>
  </si>
  <si>
    <t>MP10-8363</t>
  </si>
  <si>
    <t>16663861-000-004</t>
  </si>
  <si>
    <t>MP10-8364</t>
  </si>
  <si>
    <t>PP001919;PF006134</t>
  </si>
  <si>
    <t>BLK01,KOHLDSN,MACY02,TGTDVS</t>
  </si>
  <si>
    <t>16663861-000-007</t>
  </si>
  <si>
    <t>MP10-8365</t>
  </si>
  <si>
    <t>16663861-000-006</t>
  </si>
  <si>
    <t>MP10-8366</t>
  </si>
  <si>
    <t>16663861-000-008</t>
  </si>
  <si>
    <t>CHM40-0025</t>
  </si>
  <si>
    <t>Winslow</t>
  </si>
  <si>
    <t>Floral Curtain Panel (Single)</t>
  </si>
  <si>
    <t>42036993-000-001</t>
  </si>
  <si>
    <t>CHM40-0023</t>
  </si>
  <si>
    <t>42036993-000-003</t>
  </si>
  <si>
    <t>CHM40-0022</t>
  </si>
  <si>
    <t>42036993-000-002</t>
  </si>
  <si>
    <t>WR10-1511</t>
  </si>
  <si>
    <t>Woodsman</t>
  </si>
  <si>
    <t>Softspun Down Alternative Comforter Mini Set</t>
  </si>
  <si>
    <t>PF002052</t>
  </si>
  <si>
    <t>17639206-000-000</t>
  </si>
  <si>
    <t>WR10-1512</t>
  </si>
  <si>
    <t>AMAZON,AMAZONDS,BLK01,CSNSTORES,KOHLDSN,MACY02,TGTDVS</t>
  </si>
  <si>
    <t>17639206-000-001</t>
  </si>
  <si>
    <t>II151-0138</t>
  </si>
  <si>
    <t>Bell Shaped Bamboo Pendant</t>
  </si>
  <si>
    <t>40632363-000-000</t>
  </si>
  <si>
    <t>UH12-2479</t>
  </si>
  <si>
    <t>Finley</t>
  </si>
  <si>
    <t>3 Piece Knitted Jersey Duvet Cover Set</t>
  </si>
  <si>
    <t>PF005973</t>
  </si>
  <si>
    <t>CSNSTORES,DESINC,MACY02,TGTDVS</t>
  </si>
  <si>
    <t>42072616-000-001</t>
  </si>
  <si>
    <t>MP10-8429</t>
  </si>
  <si>
    <t>Wynne</t>
  </si>
  <si>
    <t>Dawson</t>
  </si>
  <si>
    <t>PP001954;PF006225</t>
  </si>
  <si>
    <t>44344938-000-002</t>
  </si>
  <si>
    <t>MP10-8430</t>
  </si>
  <si>
    <t>44344938-000-001</t>
  </si>
  <si>
    <t>MP10-8431</t>
  </si>
  <si>
    <t>44344938-000-000</t>
  </si>
  <si>
    <t>BASI10-0291</t>
  </si>
  <si>
    <t>Year Round Warmth</t>
  </si>
  <si>
    <t>17651643-000-001</t>
  </si>
  <si>
    <t>ID10-818</t>
  </si>
  <si>
    <t>Zana</t>
  </si>
  <si>
    <t>Jade</t>
  </si>
  <si>
    <t>Elisa</t>
  </si>
  <si>
    <t>PF001678</t>
  </si>
  <si>
    <t>18525644-000-000</t>
  </si>
  <si>
    <t>FB153-1187</t>
  </si>
  <si>
    <t>Zazie</t>
  </si>
  <si>
    <t>Ceramic Genie Table Lamp</t>
  </si>
  <si>
    <t>43888470-000-002</t>
  </si>
  <si>
    <t>FB153-1186</t>
  </si>
  <si>
    <t>43888470-000-001</t>
  </si>
  <si>
    <t>FB153-1185</t>
  </si>
  <si>
    <t>43888470-000-000</t>
  </si>
  <si>
    <t>II153-0155</t>
  </si>
  <si>
    <t>ZenGlossy</t>
  </si>
  <si>
    <t>Asymmetrical Ceramic Table Lamp</t>
  </si>
  <si>
    <t>44415372-000-000</t>
  </si>
  <si>
    <t>PET66-0036UPC</t>
  </si>
  <si>
    <t>Zippered Pouch</t>
  </si>
  <si>
    <t>Waste Bag Holder</t>
  </si>
  <si>
    <t>43976073-000-000</t>
  </si>
  <si>
    <t>FB153-1182</t>
  </si>
  <si>
    <t>Zirconia</t>
  </si>
  <si>
    <t>Faceted Blue Glass Table Lamp</t>
  </si>
  <si>
    <t>43888694-000-002</t>
  </si>
  <si>
    <t>FB153-1184</t>
  </si>
  <si>
    <t>Faceted Brown Glass Table Lamp</t>
  </si>
  <si>
    <t>43888694-000-000</t>
  </si>
  <si>
    <t>FB153-1183</t>
  </si>
  <si>
    <t>Faceted Green Glass Table Lamp</t>
  </si>
  <si>
    <t>43888694-000-001</t>
  </si>
  <si>
    <t>ID10-1704</t>
  </si>
  <si>
    <t>Zoey</t>
  </si>
  <si>
    <t>Liv</t>
  </si>
  <si>
    <t>Metallic Triangle Print Comforter Set</t>
  </si>
  <si>
    <t>PP000812;PF004132</t>
  </si>
  <si>
    <t>5/13/2019</t>
  </si>
  <si>
    <t>26107588-000-006</t>
  </si>
  <si>
    <t>BR54-4697</t>
  </si>
  <si>
    <t>Marselle</t>
  </si>
  <si>
    <t>Oversized Faux Fur Heated Throw</t>
  </si>
  <si>
    <t>Black Texture</t>
  </si>
  <si>
    <t>PP000539;PF006353</t>
  </si>
  <si>
    <t>BR54-2784</t>
  </si>
  <si>
    <t>Faux Fur Heated Wrap with Built-in Controller</t>
  </si>
  <si>
    <t>7/15/2021</t>
  </si>
  <si>
    <t>CSNSTORES,JCPENNEY01,KOHLDSN,MACY02,ZOLA</t>
  </si>
  <si>
    <t>38580937-000-000</t>
  </si>
  <si>
    <t>BR54-0853</t>
  </si>
  <si>
    <t>PF003516</t>
  </si>
  <si>
    <t>AMAZON,ASHFURNDS,BIGLOTSDS,BLK01,CSNSTORES,FINGERHUTDS,JCPENNEY01,KOHLDSN,MACY02,OLLIIX,TGTDVS</t>
  </si>
  <si>
    <t>24157350-000-000</t>
  </si>
  <si>
    <t>10/3/2017</t>
  </si>
  <si>
    <t>MP30-1914</t>
  </si>
  <si>
    <t>PF002117;PP000539</t>
  </si>
  <si>
    <t>AMAZON,AMAZONDS,ASHFURNDS,FINGERHUTDS,JCPENNEY01,KOHLDSN,MACY02,OLLIIX,TGTDVS,WALMARTDS</t>
  </si>
  <si>
    <t>17690757-000-001</t>
  </si>
  <si>
    <t>11/3/2015</t>
  </si>
  <si>
    <t>MP50-1912</t>
  </si>
  <si>
    <t>Oversized Faux Fur Throw</t>
  </si>
  <si>
    <t>AMAZON,AMAZONDS,ASHFURNDS,BLK01,CSNSTORES,FINGERHUTDS,HSNDS,JCPENNEY01,KIRKLANDDS,KOHLDSN,MACY02,OLLIIX,TGTDVS,ZOLA</t>
  </si>
  <si>
    <t>17690761-000-001</t>
  </si>
  <si>
    <t>10/13/2015</t>
  </si>
  <si>
    <t>MP50-2919</t>
  </si>
  <si>
    <t>Faux Fur Oversized Bed Throw</t>
  </si>
  <si>
    <t>96x80"</t>
  </si>
  <si>
    <t>AMAZON,AMAZONDS,ASHFURNDS,FINGERHUTDS,JCPENNEY01,KOHLDSN,MACY02,OLLIIX,TGTDVS</t>
  </si>
  <si>
    <t>18791834-000-001</t>
  </si>
  <si>
    <t>6/9/2016</t>
  </si>
  <si>
    <t>BR54-4699</t>
  </si>
  <si>
    <t>Brown Texture</t>
  </si>
  <si>
    <t>BR54-2781</t>
  </si>
  <si>
    <t>38580937-000-003</t>
  </si>
  <si>
    <t>MP30-2831</t>
  </si>
  <si>
    <t>PF002118;PP000539</t>
  </si>
  <si>
    <t>AMAZON,AMAZONDS,BLK01,CSNSTORES,FINGERHUTDS,HOUZZ,JCPENNEY01,KIRKLANDDS,KOHLDSN,MACY02,OLLIIX,TGTDVS</t>
  </si>
  <si>
    <t>17690757-000-002</t>
  </si>
  <si>
    <t>MP50-2830</t>
  </si>
  <si>
    <t>AMAZON,AMAZONDS,BLK01,CSNSTORES,FINGERHUTDS,HOUZZ,HSNDS,JCPENNEY01,KIRKLANDDS,KOHLDSN,MACY02,OLLIIX,TGTDVS,ZOLA</t>
  </si>
  <si>
    <t>17690761-000-002</t>
  </si>
  <si>
    <t>MP50-2920</t>
  </si>
  <si>
    <t>AMAZON,AMAZONDS,ASHFURNDS,CSNSTORES,FINGERHUTDS,JCPENNEY01,KOHLDSN,MACY02,OLLIIX,TGTDVS,ZOLA</t>
  </si>
  <si>
    <t>18791834-000-002</t>
  </si>
  <si>
    <t>5/31/2016</t>
  </si>
  <si>
    <t>BR54-4698</t>
  </si>
  <si>
    <t>Grey Texture</t>
  </si>
  <si>
    <t>BR54-4696</t>
  </si>
  <si>
    <t>Ivory Texture</t>
  </si>
  <si>
    <t>MP50-6675</t>
  </si>
  <si>
    <t>Leopard</t>
  </si>
  <si>
    <t>PP000539;PF004889</t>
  </si>
  <si>
    <t>AMAZON,AMAZONDS,ASHFURNDS,BIGLOTSDS,BLK01,CSNSTORES,DESINC,FINGERHUTDS,HSNDS,JCPENNEY01,KIRKLANDDS,KOHLDSN,MACY02,NRTPORT,OLLIIX,TGTDVS</t>
  </si>
  <si>
    <t>17690761-000-006</t>
  </si>
  <si>
    <t>MP30-4814</t>
  </si>
  <si>
    <t>PF002119</t>
  </si>
  <si>
    <t>AMAZON,AMAZONDS,ASHFURNDS,FINGERHUTDS,JCPENNEY01,KIRKLANDDS,KOHLDSN,MACY02,TGTDVS,Zulily</t>
  </si>
  <si>
    <t>17690757-000-003</t>
  </si>
  <si>
    <t>MP10-8012</t>
  </si>
  <si>
    <t>3PC Faux Fur Comforter Set</t>
  </si>
  <si>
    <t>Snow Leopard</t>
  </si>
  <si>
    <t>PP000539;PF004644</t>
  </si>
  <si>
    <t>AMAZON,AMAZONDS,CSNSTORES,FINGERHUTDS,KOHLDSN,MACY02,OLLIIX,TGTDVS</t>
  </si>
  <si>
    <t>19310146-000-014</t>
  </si>
  <si>
    <t>MP30-6234</t>
  </si>
  <si>
    <t>PP000539;PF004399</t>
  </si>
  <si>
    <t>AMAZONDS,ASHFURNDS,BLK01,JCPENNEY01,KIRKLANDDS,KOHLDSN,MACY02,OLLIIX,TGTDVS</t>
  </si>
  <si>
    <t>17690757-000-005</t>
  </si>
  <si>
    <t>7/26/2019</t>
  </si>
  <si>
    <t>8/15/2019</t>
  </si>
  <si>
    <t>MP50-6233</t>
  </si>
  <si>
    <t>6/16/2019</t>
  </si>
  <si>
    <t>AMAZON,AMAZONDS,ASHFURNDS,BIGLOTSDS,BLK01,CSNSTORES,FINGERHUTDS,JCPENNEY01,KOHLDSN,MACY02,NEBFUR01,OLLIIX,TGTDVS,ZOLA</t>
  </si>
  <si>
    <t>17690761-000-005</t>
  </si>
  <si>
    <t>7/10/2019</t>
  </si>
  <si>
    <t>8/2/2019</t>
  </si>
  <si>
    <t>BR54-2783</t>
  </si>
  <si>
    <t>38580937-000-002</t>
  </si>
  <si>
    <t>MP50-1911</t>
  </si>
  <si>
    <t>PF002116;PP000539</t>
  </si>
  <si>
    <t>AMAZON,AMAZONDS,ASHFURNDS,CSNSTORES,FINGERHUTDS,JCPENNEY01,KIRKLANDDS,KOHLDSN,MACY02,OLLIIX,TGTDVS,ZOLA</t>
  </si>
  <si>
    <t>17690761-000-000</t>
  </si>
  <si>
    <t>10/14/2015</t>
  </si>
  <si>
    <t>MP50-2918</t>
  </si>
  <si>
    <t>AMAZON,AMAZONDS,ASHFURNDS,BLK01,CSNSTORES,FINGERHUTDS,JCPENNEY01,KOHLDSN,MACY02,OLLIIX,TGTDVS</t>
  </si>
  <si>
    <t>18791834-000-000</t>
  </si>
  <si>
    <t>6/30/2016</t>
  </si>
  <si>
    <t>MP50-7191</t>
  </si>
  <si>
    <t>PP000539;PF005111</t>
  </si>
  <si>
    <t>8/17/2020</t>
  </si>
  <si>
    <t>AMAZON,AMAZONDS,BLK01,CSNSTORES,HDDS,KIRKLANDDS,KOHLDSN,MACY02,OLLIIX,TGTDVS</t>
  </si>
  <si>
    <t>17690761-000-009</t>
  </si>
  <si>
    <t>8/24/2020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</si>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</sst>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HE243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18</v>
      </c>
      <c r="EB3" s="1" t="s">
        <v>18</v>
      </c>
      <c r="EC3" s="1" t="s">
        <v>18</v>
      </c>
      <c r="ED3" s="1" t="s">
        <v>18</v>
      </c>
      <c r="EE3" s="1" t="s">
        <v>18</v>
      </c>
      <c r="EF3" s="1" t="s">
        <v>18</v>
      </c>
      <c r="EG3" s="1" t="s">
        <v>18</v>
      </c>
      <c r="EH3" s="1" t="s">
        <v>18</v>
      </c>
      <c r="EI3" s="1" t="s">
        <v>18</v>
      </c>
      <c r="EJ3" s="1" t="s">
        <v>18</v>
      </c>
      <c r="EK3" s="1" t="s">
        <v>18</v>
      </c>
      <c r="EL3" s="1" t="s">
        <v>18</v>
      </c>
      <c r="EM3" s="1" t="s">
        <v>18</v>
      </c>
      <c r="EN3" s="1" t="s">
        <v>18</v>
      </c>
      <c r="EO3" s="1" t="s">
        <v>18</v>
      </c>
      <c r="EP3" s="1" t="s">
        <v>18</v>
      </c>
      <c r="EQ3" s="1" t="s">
        <v>18</v>
      </c>
      <c r="ER3" s="1" t="s">
        <v>18</v>
      </c>
      <c r="ES3" s="1" t="s">
        <v>18</v>
      </c>
      <c r="ET3" s="1" t="s">
        <v>18</v>
      </c>
      <c r="EU3" s="1" t="s">
        <v>18</v>
      </c>
      <c r="EV3" s="1" t="s">
        <v>18</v>
      </c>
      <c r="EW3" s="1" t="s">
        <v>18</v>
      </c>
      <c r="EX3" s="1" t="s">
        <v>18</v>
      </c>
      <c r="EY3" s="1" t="s">
        <v>18</v>
      </c>
      <c r="EZ3" s="1" t="s">
        <v>18</v>
      </c>
      <c r="FA3" s="1" t="s">
        <v>18</v>
      </c>
      <c r="FB3" s="1" t="s">
        <v>18</v>
      </c>
      <c r="FC3" s="1" t="s">
        <v>18</v>
      </c>
      <c r="FD3" s="1" t="s">
        <v>18</v>
      </c>
      <c r="FE3" s="1" t="s">
        <v>18</v>
      </c>
      <c r="FF3" s="1" t="s">
        <v>18</v>
      </c>
      <c r="FG3" s="1" t="s">
        <v>18</v>
      </c>
      <c r="FH3" s="1" t="s">
        <v>18</v>
      </c>
      <c r="FI3" s="1" t="s">
        <v>18</v>
      </c>
      <c r="FJ3" s="1" t="s">
        <v>18</v>
      </c>
      <c r="FK3" s="1" t="s">
        <v>18</v>
      </c>
      <c r="FL3" s="1" t="s">
        <v>18</v>
      </c>
      <c r="FM3" s="1" t="s">
        <v>18</v>
      </c>
      <c r="FN3" s="1" t="s">
        <v>18</v>
      </c>
      <c r="FO3" s="1" t="s">
        <v>18</v>
      </c>
      <c r="FP3" s="1" t="s">
        <v>18</v>
      </c>
      <c r="FQ3" s="1" t="s">
        <v>18</v>
      </c>
      <c r="FR3" s="1" t="s">
        <v>18</v>
      </c>
      <c r="FS3" s="1" t="s">
        <v>18</v>
      </c>
      <c r="FT3" s="1" t="s">
        <v>18</v>
      </c>
      <c r="FU3" s="1" t="s">
        <v>18</v>
      </c>
      <c r="FV3" s="1" t="s">
        <v>18</v>
      </c>
      <c r="FW3" s="1" t="s">
        <v>18</v>
      </c>
      <c r="FX3" s="1" t="s">
        <v>18</v>
      </c>
      <c r="FY3" s="1" t="s">
        <v>18</v>
      </c>
      <c r="FZ3" s="1" t="s">
        <v>18</v>
      </c>
      <c r="GA3" s="1" t="s">
        <v>18</v>
      </c>
      <c r="GB3" s="1" t="s">
        <v>18</v>
      </c>
      <c r="GC3" s="1" t="s">
        <v>18</v>
      </c>
      <c r="GD3" s="1" t="s">
        <v>18</v>
      </c>
      <c r="GE3" s="1" t="s">
        <v>18</v>
      </c>
      <c r="GF3" s="1" t="s">
        <v>18</v>
      </c>
      <c r="GG3" s="1" t="s">
        <v>18</v>
      </c>
      <c r="GH3" s="1" t="s">
        <v>18</v>
      </c>
      <c r="GI3" s="1" t="s">
        <v>18</v>
      </c>
      <c r="GJ3" s="1" t="s">
        <v>18</v>
      </c>
      <c r="GK3" s="1" t="s">
        <v>18</v>
      </c>
      <c r="GL3" s="1" t="s">
        <v>18</v>
      </c>
      <c r="GM3" s="1" t="s">
        <v>18</v>
      </c>
      <c r="GN3" s="1" t="s">
        <v>18</v>
      </c>
      <c r="GO3" s="1" t="s">
        <v>18</v>
      </c>
      <c r="GP3" s="1" t="s">
        <v>18</v>
      </c>
      <c r="GQ3" s="1" t="s">
        <v>18</v>
      </c>
      <c r="GR3" s="1" t="s">
        <v>18</v>
      </c>
      <c r="GS3" s="1" t="s">
        <v>18</v>
      </c>
      <c r="GT3" s="1" t="s">
        <v>18</v>
      </c>
      <c r="GU3" s="1" t="s">
        <v>18</v>
      </c>
      <c r="GV3" s="1" t="s">
        <v>18</v>
      </c>
      <c r="GW3" s="1" t="s">
        <v>18</v>
      </c>
      <c r="GX3" s="1" t="s">
        <v>18</v>
      </c>
      <c r="GY3" s="1" t="s">
        <v>18</v>
      </c>
      <c r="GZ3" s="1" t="s">
        <v>18</v>
      </c>
      <c r="HA3" s="1" t="s">
        <v>18</v>
      </c>
      <c r="HB3" s="1" t="s">
        <v>18</v>
      </c>
      <c r="HC3" s="1" t="s">
        <v>18</v>
      </c>
      <c r="HD3" s="1" t="s">
        <v>18</v>
      </c>
      <c r="HE3" s="1" t="s">
        <v>18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19</v>
      </c>
      <c r="Z4" s="1" t="s">
        <v>20</v>
      </c>
      <c r="AA4" s="1" t="s">
        <v>21</v>
      </c>
      <c r="AB4" s="1" t="s">
        <v>22</v>
      </c>
      <c r="AC4" s="1" t="s">
        <v>23</v>
      </c>
      <c r="AD4" s="1" t="s">
        <v>24</v>
      </c>
      <c r="AE4" s="1" t="s">
        <v>25</v>
      </c>
      <c r="AF4" s="1" t="s">
        <v>26</v>
      </c>
      <c r="AG4" s="1" t="s">
        <v>26</v>
      </c>
      <c r="AH4" s="1" t="s">
        <v>27</v>
      </c>
      <c r="AI4" s="1" t="s">
        <v>28</v>
      </c>
      <c r="AJ4" s="1" t="s">
        <v>29</v>
      </c>
      <c r="AK4" s="1" t="s">
        <v>30</v>
      </c>
      <c r="AL4" s="1" t="s">
        <v>31</v>
      </c>
      <c r="AM4" s="1" t="s">
        <v>32</v>
      </c>
      <c r="AN4" s="1" t="s">
        <v>33</v>
      </c>
      <c r="AO4" s="1" t="s">
        <v>34</v>
      </c>
      <c r="AP4" s="1" t="s">
        <v>35</v>
      </c>
      <c r="AQ4" s="1" t="s">
        <v>35</v>
      </c>
      <c r="AR4" s="1" t="s">
        <v>36</v>
      </c>
      <c r="AS4" s="1" t="s">
        <v>36</v>
      </c>
      <c r="AT4" s="1" t="s">
        <v>37</v>
      </c>
      <c r="AU4" s="1" t="s">
        <v>38</v>
      </c>
      <c r="AV4" s="1" t="s">
        <v>35</v>
      </c>
      <c r="AW4" s="1" t="s">
        <v>35</v>
      </c>
      <c r="AX4" s="1" t="s">
        <v>36</v>
      </c>
      <c r="AY4" s="1" t="s">
        <v>36</v>
      </c>
      <c r="AZ4" s="1" t="s">
        <v>39</v>
      </c>
      <c r="BA4" s="1" t="s">
        <v>40</v>
      </c>
      <c r="BB4" s="1" t="s">
        <v>41</v>
      </c>
      <c r="BC4" s="1" t="s">
        <v>35</v>
      </c>
      <c r="BD4" s="1" t="s">
        <v>35</v>
      </c>
      <c r="BE4" s="1" t="s">
        <v>36</v>
      </c>
      <c r="BF4" s="1" t="s">
        <v>36</v>
      </c>
      <c r="BG4" s="1" t="s">
        <v>42</v>
      </c>
      <c r="BH4" s="1" t="s">
        <v>43</v>
      </c>
      <c r="BI4" s="1" t="s">
        <v>44</v>
      </c>
      <c r="BJ4" s="1" t="s">
        <v>45</v>
      </c>
      <c r="BK4" s="1" t="s">
        <v>45</v>
      </c>
      <c r="BL4" s="1" t="s">
        <v>45</v>
      </c>
      <c r="BM4" s="1" t="s">
        <v>46</v>
      </c>
      <c r="BN4" s="1" t="s">
        <v>46</v>
      </c>
      <c r="BO4" s="1" t="s">
        <v>35</v>
      </c>
      <c r="BP4" s="1" t="s">
        <v>35</v>
      </c>
      <c r="BQ4" s="1" t="s">
        <v>36</v>
      </c>
      <c r="BR4" s="1" t="s">
        <v>36</v>
      </c>
      <c r="BS4" s="1" t="s">
        <v>37</v>
      </c>
      <c r="BT4" s="1" t="s">
        <v>38</v>
      </c>
      <c r="BU4" s="1" t="s">
        <v>47</v>
      </c>
      <c r="BV4" s="1" t="s">
        <v>48</v>
      </c>
      <c r="BW4" s="1" t="s">
        <v>49</v>
      </c>
      <c r="BX4" s="1" t="s">
        <v>50</v>
      </c>
      <c r="BY4" s="1" t="s">
        <v>51</v>
      </c>
      <c r="BZ4" s="1" t="s">
        <v>52</v>
      </c>
      <c r="CA4" s="1" t="s">
        <v>53</v>
      </c>
      <c r="CB4" s="1" t="s">
        <v>54</v>
      </c>
      <c r="CC4" s="1" t="s">
        <v>55</v>
      </c>
      <c r="CD4" s="1" t="s">
        <v>56</v>
      </c>
      <c r="CE4" s="1" t="s">
        <v>17</v>
      </c>
      <c r="CF4" s="1" t="s">
        <v>17</v>
      </c>
      <c r="CG4" s="1" t="s">
        <v>17</v>
      </c>
      <c r="CH4" s="1" t="s">
        <v>17</v>
      </c>
      <c r="CI4" s="1" t="s">
        <v>17</v>
      </c>
      <c r="CJ4" s="1" t="s">
        <v>17</v>
      </c>
      <c r="CK4" s="1" t="s">
        <v>17</v>
      </c>
      <c r="CL4" s="1" t="s">
        <v>17</v>
      </c>
      <c r="CM4" s="1" t="s">
        <v>17</v>
      </c>
      <c r="CN4" s="1" t="s">
        <v>17</v>
      </c>
      <c r="CO4" s="1" t="s">
        <v>17</v>
      </c>
      <c r="CP4" s="1" t="s">
        <v>17</v>
      </c>
      <c r="CQ4" s="1" t="s">
        <v>17</v>
      </c>
      <c r="CR4" s="1" t="s">
        <v>17</v>
      </c>
      <c r="CS4" s="1" t="s">
        <v>18</v>
      </c>
      <c r="CT4" s="1" t="s">
        <v>18</v>
      </c>
      <c r="CU4" s="1" t="s">
        <v>18</v>
      </c>
      <c r="CV4" s="1" t="s">
        <v>18</v>
      </c>
      <c r="CW4" s="1" t="s">
        <v>18</v>
      </c>
      <c r="CX4" s="1" t="s">
        <v>18</v>
      </c>
      <c r="CY4" s="1" t="s">
        <v>18</v>
      </c>
      <c r="CZ4" s="1" t="s">
        <v>18</v>
      </c>
      <c r="DA4" s="1" t="s">
        <v>18</v>
      </c>
      <c r="DB4" s="1" t="s">
        <v>18</v>
      </c>
      <c r="DC4" s="1" t="s">
        <v>18</v>
      </c>
      <c r="DD4" s="1" t="s">
        <v>18</v>
      </c>
      <c r="DE4" s="1" t="s">
        <v>18</v>
      </c>
      <c r="DF4" s="1" t="s">
        <v>18</v>
      </c>
      <c r="DG4" s="1" t="s">
        <v>18</v>
      </c>
      <c r="DH4" s="1" t="s">
        <v>18</v>
      </c>
      <c r="DI4" s="1" t="s">
        <v>18</v>
      </c>
      <c r="DJ4" s="1" t="s">
        <v>18</v>
      </c>
      <c r="DK4" s="1" t="s">
        <v>18</v>
      </c>
      <c r="DL4" s="1" t="s">
        <v>18</v>
      </c>
      <c r="DM4" s="1" t="s">
        <v>18</v>
      </c>
      <c r="DN4" s="1" t="s">
        <v>18</v>
      </c>
      <c r="DO4" s="1" t="s">
        <v>18</v>
      </c>
      <c r="DP4" s="1" t="s">
        <v>18</v>
      </c>
      <c r="DQ4" s="1" t="s">
        <v>18</v>
      </c>
      <c r="DR4" s="1" t="s">
        <v>18</v>
      </c>
      <c r="DS4" s="1" t="s">
        <v>18</v>
      </c>
      <c r="DT4" s="1" t="s">
        <v>18</v>
      </c>
      <c r="DU4" s="1" t="s">
        <v>18</v>
      </c>
      <c r="DV4" s="1" t="s">
        <v>18</v>
      </c>
      <c r="DW4" s="1" t="s">
        <v>18</v>
      </c>
      <c r="DX4" s="1" t="s">
        <v>18</v>
      </c>
      <c r="DY4" s="1" t="s">
        <v>18</v>
      </c>
      <c r="DZ4" s="1" t="s">
        <v>18</v>
      </c>
      <c r="EA4" s="1" t="s">
        <v>18</v>
      </c>
      <c r="EB4" s="1" t="s">
        <v>18</v>
      </c>
      <c r="EC4" s="1" t="s">
        <v>18</v>
      </c>
      <c r="ED4" s="1" t="s">
        <v>18</v>
      </c>
      <c r="EE4" s="1" t="s">
        <v>18</v>
      </c>
      <c r="EF4" s="1" t="s">
        <v>18</v>
      </c>
      <c r="EG4" s="1" t="s">
        <v>18</v>
      </c>
      <c r="EH4" s="1" t="s">
        <v>18</v>
      </c>
      <c r="EI4" s="1" t="s">
        <v>18</v>
      </c>
      <c r="EJ4" s="1" t="s">
        <v>18</v>
      </c>
      <c r="EK4" s="1" t="s">
        <v>18</v>
      </c>
      <c r="EL4" s="1" t="s">
        <v>18</v>
      </c>
      <c r="EM4" s="1" t="s">
        <v>18</v>
      </c>
      <c r="EN4" s="1" t="s">
        <v>18</v>
      </c>
      <c r="EO4" s="1" t="s">
        <v>18</v>
      </c>
      <c r="EP4" s="1" t="s">
        <v>18</v>
      </c>
      <c r="EQ4" s="1" t="s">
        <v>18</v>
      </c>
      <c r="ER4" s="1" t="s">
        <v>18</v>
      </c>
      <c r="ES4" s="1" t="s">
        <v>18</v>
      </c>
      <c r="ET4" s="1" t="s">
        <v>18</v>
      </c>
      <c r="EU4" s="1" t="s">
        <v>18</v>
      </c>
      <c r="EV4" s="1" t="s">
        <v>18</v>
      </c>
      <c r="EW4" s="1" t="s">
        <v>18</v>
      </c>
      <c r="EX4" s="1" t="s">
        <v>18</v>
      </c>
      <c r="EY4" s="1" t="s">
        <v>18</v>
      </c>
      <c r="EZ4" s="1" t="s">
        <v>18</v>
      </c>
      <c r="FA4" s="1" t="s">
        <v>18</v>
      </c>
      <c r="FB4" s="1" t="s">
        <v>18</v>
      </c>
      <c r="FC4" s="1" t="s">
        <v>18</v>
      </c>
      <c r="FD4" s="1" t="s">
        <v>18</v>
      </c>
      <c r="FE4" s="1" t="s">
        <v>18</v>
      </c>
      <c r="FF4" s="1" t="s">
        <v>18</v>
      </c>
      <c r="FG4" s="1" t="s">
        <v>18</v>
      </c>
      <c r="FH4" s="1" t="s">
        <v>18</v>
      </c>
      <c r="FI4" s="1" t="s">
        <v>18</v>
      </c>
      <c r="FJ4" s="1" t="s">
        <v>18</v>
      </c>
      <c r="FK4" s="1" t="s">
        <v>18</v>
      </c>
      <c r="FL4" s="1" t="s">
        <v>18</v>
      </c>
      <c r="FM4" s="1" t="s">
        <v>18</v>
      </c>
      <c r="FN4" s="1" t="s">
        <v>18</v>
      </c>
      <c r="FO4" s="1" t="s">
        <v>18</v>
      </c>
      <c r="FP4" s="1" t="s">
        <v>18</v>
      </c>
      <c r="FQ4" s="1" t="s">
        <v>18</v>
      </c>
      <c r="FR4" s="1" t="s">
        <v>18</v>
      </c>
      <c r="FS4" s="1" t="s">
        <v>18</v>
      </c>
      <c r="FT4" s="1" t="s">
        <v>18</v>
      </c>
      <c r="FU4" s="1" t="s">
        <v>18</v>
      </c>
      <c r="FV4" s="1" t="s">
        <v>18</v>
      </c>
      <c r="FW4" s="1" t="s">
        <v>18</v>
      </c>
      <c r="FX4" s="1" t="s">
        <v>18</v>
      </c>
      <c r="FY4" s="1" t="s">
        <v>18</v>
      </c>
      <c r="FZ4" s="1" t="s">
        <v>18</v>
      </c>
      <c r="GA4" s="1" t="s">
        <v>18</v>
      </c>
      <c r="GB4" s="1" t="s">
        <v>18</v>
      </c>
      <c r="GC4" s="1" t="s">
        <v>18</v>
      </c>
      <c r="GD4" s="1" t="s">
        <v>18</v>
      </c>
      <c r="GE4" s="1" t="s">
        <v>18</v>
      </c>
      <c r="GF4" s="1" t="s">
        <v>18</v>
      </c>
      <c r="GG4" s="1" t="s">
        <v>18</v>
      </c>
      <c r="GH4" s="1" t="s">
        <v>18</v>
      </c>
      <c r="GI4" s="1" t="s">
        <v>18</v>
      </c>
      <c r="GJ4" s="1" t="s">
        <v>18</v>
      </c>
      <c r="GK4" s="1" t="s">
        <v>18</v>
      </c>
      <c r="GL4" s="1" t="s">
        <v>18</v>
      </c>
      <c r="GM4" s="1" t="s">
        <v>18</v>
      </c>
      <c r="GN4" s="1" t="s">
        <v>18</v>
      </c>
      <c r="GO4" s="1" t="s">
        <v>18</v>
      </c>
      <c r="GP4" s="1" t="s">
        <v>18</v>
      </c>
      <c r="GQ4" s="1" t="s">
        <v>18</v>
      </c>
      <c r="GR4" s="1" t="s">
        <v>18</v>
      </c>
      <c r="GS4" s="1" t="s">
        <v>18</v>
      </c>
      <c r="GT4" s="1" t="s">
        <v>18</v>
      </c>
      <c r="GU4" s="1" t="s">
        <v>18</v>
      </c>
      <c r="GV4" s="1" t="s">
        <v>18</v>
      </c>
      <c r="GW4" s="1" t="s">
        <v>18</v>
      </c>
      <c r="GX4" s="1" t="s">
        <v>18</v>
      </c>
      <c r="GY4" s="1" t="s">
        <v>18</v>
      </c>
      <c r="GZ4" s="1" t="s">
        <v>18</v>
      </c>
      <c r="HA4" s="1" t="s">
        <v>18</v>
      </c>
      <c r="HB4" s="1" t="s">
        <v>18</v>
      </c>
      <c r="HC4" s="1" t="s">
        <v>18</v>
      </c>
      <c r="HD4" s="1" t="s">
        <v>18</v>
      </c>
      <c r="HE4" s="1" t="s">
        <v>18</v>
      </c>
    </row>
    <row r="5">
      <c r="A5" s="1" t="s">
        <v>57</v>
      </c>
      <c r="B5" s="1" t="s">
        <v>58</v>
      </c>
      <c r="C5" s="1" t="s">
        <v>59</v>
      </c>
      <c r="D5" s="1" t="s">
        <v>60</v>
      </c>
      <c r="E5" s="1" t="s">
        <v>61</v>
      </c>
      <c r="F5" s="1" t="s">
        <v>62</v>
      </c>
      <c r="G5" s="1" t="s">
        <v>63</v>
      </c>
      <c r="H5" s="1" t="s">
        <v>64</v>
      </c>
      <c r="I5" s="1" t="s">
        <v>65</v>
      </c>
      <c r="J5" s="1" t="s">
        <v>66</v>
      </c>
      <c r="K5" s="1" t="s">
        <v>67</v>
      </c>
      <c r="L5" s="1" t="s">
        <v>68</v>
      </c>
      <c r="M5" s="1" t="s">
        <v>69</v>
      </c>
      <c r="N5" s="1" t="s">
        <v>70</v>
      </c>
      <c r="O5" s="1" t="s">
        <v>71</v>
      </c>
      <c r="P5" s="1" t="s">
        <v>72</v>
      </c>
      <c r="Q5" s="1" t="s">
        <v>73</v>
      </c>
      <c r="R5" s="1" t="s">
        <v>74</v>
      </c>
      <c r="S5" s="1" t="s">
        <v>75</v>
      </c>
      <c r="T5" s="1" t="s">
        <v>76</v>
      </c>
      <c r="U5" s="1" t="s">
        <v>77</v>
      </c>
      <c r="V5" s="1" t="s">
        <v>78</v>
      </c>
      <c r="W5" s="1" t="s">
        <v>79</v>
      </c>
      <c r="X5" s="1" t="s">
        <v>80</v>
      </c>
      <c r="Y5" s="1" t="s">
        <v>19</v>
      </c>
      <c r="Z5" s="1" t="s">
        <v>20</v>
      </c>
      <c r="AA5" s="1" t="s">
        <v>21</v>
      </c>
      <c r="AB5" s="1" t="s">
        <v>22</v>
      </c>
      <c r="AC5" s="1" t="s">
        <v>23</v>
      </c>
      <c r="AD5" s="1" t="s">
        <v>24</v>
      </c>
      <c r="AE5" s="1" t="s">
        <v>25</v>
      </c>
      <c r="AF5" s="1" t="s">
        <v>81</v>
      </c>
      <c r="AG5" s="1" t="s">
        <v>82</v>
      </c>
      <c r="AH5" s="1" t="s">
        <v>27</v>
      </c>
      <c r="AI5" s="1" t="s">
        <v>28</v>
      </c>
      <c r="AJ5" s="1" t="s">
        <v>29</v>
      </c>
      <c r="AK5" s="1" t="s">
        <v>30</v>
      </c>
      <c r="AL5" s="1" t="s">
        <v>31</v>
      </c>
      <c r="AM5" s="1" t="s">
        <v>32</v>
      </c>
      <c r="AN5" s="1" t="s">
        <v>33</v>
      </c>
      <c r="AO5" s="1" t="s">
        <v>34</v>
      </c>
      <c r="AP5" s="1" t="s">
        <v>83</v>
      </c>
      <c r="AQ5" s="1" t="s">
        <v>84</v>
      </c>
      <c r="AR5" s="1" t="s">
        <v>83</v>
      </c>
      <c r="AS5" s="1" t="s">
        <v>84</v>
      </c>
      <c r="AT5" s="1" t="s">
        <v>37</v>
      </c>
      <c r="AU5" s="1" t="s">
        <v>38</v>
      </c>
      <c r="AV5" s="1" t="s">
        <v>85</v>
      </c>
      <c r="AW5" s="1" t="s">
        <v>86</v>
      </c>
      <c r="AX5" s="1" t="s">
        <v>85</v>
      </c>
      <c r="AY5" s="1" t="s">
        <v>86</v>
      </c>
      <c r="AZ5" s="1" t="s">
        <v>39</v>
      </c>
      <c r="BA5" s="1" t="s">
        <v>40</v>
      </c>
      <c r="BB5" s="1" t="s">
        <v>41</v>
      </c>
      <c r="BC5" s="1" t="s">
        <v>87</v>
      </c>
      <c r="BD5" s="1" t="s">
        <v>88</v>
      </c>
      <c r="BE5" s="1" t="s">
        <v>87</v>
      </c>
      <c r="BF5" s="1" t="s">
        <v>88</v>
      </c>
      <c r="BG5" s="1" t="s">
        <v>42</v>
      </c>
      <c r="BH5" s="1" t="s">
        <v>43</v>
      </c>
      <c r="BI5" s="1" t="s">
        <v>44</v>
      </c>
      <c r="BJ5" s="1" t="s">
        <v>83</v>
      </c>
      <c r="BK5" s="1" t="s">
        <v>84</v>
      </c>
      <c r="BL5" s="1" t="s">
        <v>89</v>
      </c>
      <c r="BM5" s="1" t="s">
        <v>83</v>
      </c>
      <c r="BN5" s="1" t="s">
        <v>84</v>
      </c>
      <c r="BO5" s="1" t="s">
        <v>90</v>
      </c>
      <c r="BP5" s="1" t="s">
        <v>91</v>
      </c>
      <c r="BQ5" s="1" t="s">
        <v>90</v>
      </c>
      <c r="BR5" s="1" t="s">
        <v>91</v>
      </c>
      <c r="BS5" s="1" t="s">
        <v>37</v>
      </c>
      <c r="BT5" s="1" t="s">
        <v>38</v>
      </c>
      <c r="BU5" s="1" t="s">
        <v>47</v>
      </c>
      <c r="BV5" s="1" t="s">
        <v>48</v>
      </c>
      <c r="BW5" s="1" t="s">
        <v>49</v>
      </c>
      <c r="BX5" s="1" t="s">
        <v>50</v>
      </c>
      <c r="BY5" s="1" t="s">
        <v>51</v>
      </c>
      <c r="BZ5" s="1" t="s">
        <v>52</v>
      </c>
      <c r="CA5" s="1" t="s">
        <v>53</v>
      </c>
      <c r="CB5" s="1" t="s">
        <v>54</v>
      </c>
      <c r="CC5" s="1" t="s">
        <v>55</v>
      </c>
      <c r="CD5" s="1" t="s">
        <v>56</v>
      </c>
      <c r="CE5" s="1" t="s">
        <v>92</v>
      </c>
      <c r="CF5" s="1" t="s">
        <v>93</v>
      </c>
      <c r="CG5" s="1" t="s">
        <v>94</v>
      </c>
      <c r="CH5" s="1" t="s">
        <v>95</v>
      </c>
      <c r="CI5" s="1" t="s">
        <v>96</v>
      </c>
      <c r="CJ5" s="1" t="s">
        <v>97</v>
      </c>
      <c r="CK5" s="1" t="s">
        <v>98</v>
      </c>
      <c r="CL5" s="1" t="s">
        <v>99</v>
      </c>
      <c r="CM5" s="1" t="s">
        <v>100</v>
      </c>
      <c r="CN5" s="1" t="s">
        <v>101</v>
      </c>
      <c r="CO5" s="1" t="s">
        <v>102</v>
      </c>
      <c r="CP5" s="1" t="s">
        <v>103</v>
      </c>
      <c r="CQ5" s="1" t="s">
        <v>104</v>
      </c>
      <c r="CR5" s="1" t="s">
        <v>105</v>
      </c>
      <c r="CS5" s="1" t="s">
        <v>106</v>
      </c>
      <c r="CT5" s="1" t="s">
        <v>107</v>
      </c>
      <c r="CU5" s="1" t="s">
        <v>108</v>
      </c>
      <c r="CV5" s="1" t="s">
        <v>109</v>
      </c>
      <c r="CW5" s="1" t="s">
        <v>110</v>
      </c>
      <c r="CX5" s="1" t="s">
        <v>111</v>
      </c>
      <c r="CY5" s="1" t="s">
        <v>112</v>
      </c>
      <c r="CZ5" s="1" t="s">
        <v>113</v>
      </c>
      <c r="DA5" s="1" t="s">
        <v>114</v>
      </c>
      <c r="DB5" s="1" t="s">
        <v>115</v>
      </c>
      <c r="DC5" s="1" t="s">
        <v>116</v>
      </c>
      <c r="DD5" s="1" t="s">
        <v>117</v>
      </c>
      <c r="DE5" s="1" t="s">
        <v>118</v>
      </c>
      <c r="DF5" s="1" t="s">
        <v>119</v>
      </c>
      <c r="DG5" s="1" t="s">
        <v>120</v>
      </c>
      <c r="DH5" s="1" t="s">
        <v>121</v>
      </c>
      <c r="DI5" s="1" t="s">
        <v>7</v>
      </c>
      <c r="DJ5" s="1" t="s">
        <v>122</v>
      </c>
      <c r="DK5" s="1" t="s">
        <v>123</v>
      </c>
      <c r="DL5" s="1" t="s">
        <v>124</v>
      </c>
      <c r="DM5" s="1" t="s">
        <v>125</v>
      </c>
      <c r="DN5" s="1" t="s">
        <v>126</v>
      </c>
      <c r="DO5" s="1" t="s">
        <v>127</v>
      </c>
      <c r="DP5" s="1" t="s">
        <v>128</v>
      </c>
      <c r="DQ5" s="1" t="s">
        <v>129</v>
      </c>
      <c r="DR5" s="1" t="s">
        <v>130</v>
      </c>
      <c r="DS5" s="1" t="s">
        <v>131</v>
      </c>
      <c r="DT5" s="1" t="s">
        <v>132</v>
      </c>
      <c r="DU5" s="1" t="s">
        <v>133</v>
      </c>
      <c r="DV5" s="1" t="s">
        <v>134</v>
      </c>
      <c r="DW5" s="1" t="s">
        <v>135</v>
      </c>
      <c r="DX5" s="1" t="s">
        <v>136</v>
      </c>
      <c r="DY5" s="1" t="s">
        <v>137</v>
      </c>
      <c r="DZ5" s="1" t="s">
        <v>138</v>
      </c>
      <c r="EA5" s="1" t="s">
        <v>139</v>
      </c>
      <c r="EB5" s="1" t="s">
        <v>140</v>
      </c>
      <c r="EC5" s="1" t="s">
        <v>141</v>
      </c>
      <c r="ED5" s="1" t="s">
        <v>142</v>
      </c>
      <c r="EE5" s="1" t="s">
        <v>143</v>
      </c>
      <c r="EF5" s="1" t="s">
        <v>144</v>
      </c>
      <c r="EG5" s="1" t="s">
        <v>145</v>
      </c>
      <c r="EH5" s="1" t="s">
        <v>146</v>
      </c>
      <c r="EI5" s="1" t="s">
        <v>147</v>
      </c>
      <c r="EJ5" s="1" t="s">
        <v>148</v>
      </c>
      <c r="EK5" s="1" t="s">
        <v>149</v>
      </c>
      <c r="EL5" s="1" t="s">
        <v>150</v>
      </c>
      <c r="EM5" s="1" t="s">
        <v>151</v>
      </c>
      <c r="EN5" s="1" t="s">
        <v>152</v>
      </c>
      <c r="EO5" s="1" t="s">
        <v>153</v>
      </c>
      <c r="EP5" s="1" t="s">
        <v>154</v>
      </c>
      <c r="EQ5" s="1" t="s">
        <v>155</v>
      </c>
      <c r="ER5" s="1" t="s">
        <v>156</v>
      </c>
      <c r="ES5" s="1" t="s">
        <v>157</v>
      </c>
      <c r="ET5" s="1" t="s">
        <v>158</v>
      </c>
      <c r="EU5" s="1" t="s">
        <v>159</v>
      </c>
      <c r="EV5" s="1" t="s">
        <v>160</v>
      </c>
      <c r="EW5" s="1" t="s">
        <v>161</v>
      </c>
      <c r="EX5" s="1" t="s">
        <v>162</v>
      </c>
      <c r="EY5" s="1" t="s">
        <v>163</v>
      </c>
      <c r="EZ5" s="1" t="s">
        <v>164</v>
      </c>
      <c r="FA5" s="1" t="s">
        <v>165</v>
      </c>
      <c r="FB5" s="1" t="s">
        <v>166</v>
      </c>
      <c r="FC5" s="1" t="s">
        <v>167</v>
      </c>
      <c r="FD5" s="1" t="s">
        <v>168</v>
      </c>
      <c r="FE5" s="1" t="s">
        <v>169</v>
      </c>
      <c r="FF5" s="1" t="s">
        <v>170</v>
      </c>
      <c r="FG5" s="1" t="s">
        <v>171</v>
      </c>
      <c r="FH5" s="1" t="s">
        <v>172</v>
      </c>
      <c r="FI5" s="1" t="s">
        <v>173</v>
      </c>
      <c r="FJ5" s="1" t="s">
        <v>174</v>
      </c>
      <c r="FK5" s="1" t="s">
        <v>175</v>
      </c>
      <c r="FL5" s="1" t="s">
        <v>176</v>
      </c>
      <c r="FM5" s="1" t="s">
        <v>177</v>
      </c>
      <c r="FN5" s="1" t="s">
        <v>178</v>
      </c>
      <c r="FO5" s="1" t="s">
        <v>179</v>
      </c>
      <c r="FP5" s="1" t="s">
        <v>180</v>
      </c>
      <c r="FQ5" s="1" t="s">
        <v>181</v>
      </c>
      <c r="FR5" s="1" t="s">
        <v>182</v>
      </c>
      <c r="FS5" s="1" t="s">
        <v>183</v>
      </c>
      <c r="FT5" s="1" t="s">
        <v>184</v>
      </c>
      <c r="FU5" s="1" t="s">
        <v>185</v>
      </c>
      <c r="FV5" s="1" t="s">
        <v>186</v>
      </c>
      <c r="FW5" s="1" t="s">
        <v>187</v>
      </c>
      <c r="FX5" s="1" t="s">
        <v>188</v>
      </c>
      <c r="FY5" s="1" t="s">
        <v>189</v>
      </c>
      <c r="FZ5" s="1" t="s">
        <v>190</v>
      </c>
      <c r="GA5" s="1" t="s">
        <v>191</v>
      </c>
      <c r="GB5" s="1" t="s">
        <v>192</v>
      </c>
      <c r="GC5" s="1" t="s">
        <v>193</v>
      </c>
      <c r="GD5" s="1" t="s">
        <v>194</v>
      </c>
      <c r="GE5" s="1" t="s">
        <v>195</v>
      </c>
      <c r="GF5" s="1" t="s">
        <v>196</v>
      </c>
      <c r="GG5" s="1" t="s">
        <v>197</v>
      </c>
      <c r="GH5" s="1" t="s">
        <v>198</v>
      </c>
      <c r="GI5" s="1" t="s">
        <v>199</v>
      </c>
      <c r="GJ5" s="1" t="s">
        <v>200</v>
      </c>
      <c r="GK5" s="1" t="s">
        <v>201</v>
      </c>
      <c r="GL5" s="1" t="s">
        <v>202</v>
      </c>
      <c r="GM5" s="1" t="s">
        <v>203</v>
      </c>
      <c r="GN5" s="1" t="s">
        <v>204</v>
      </c>
      <c r="GO5" s="1" t="s">
        <v>205</v>
      </c>
      <c r="GP5" s="1" t="s">
        <v>206</v>
      </c>
      <c r="GQ5" s="1" t="s">
        <v>207</v>
      </c>
      <c r="GR5" s="1" t="s">
        <v>208</v>
      </c>
      <c r="GS5" s="1" t="s">
        <v>209</v>
      </c>
      <c r="GT5" s="1" t="s">
        <v>210</v>
      </c>
      <c r="GU5" s="1" t="s">
        <v>211</v>
      </c>
      <c r="GV5" s="1" t="s">
        <v>212</v>
      </c>
      <c r="GW5" s="1" t="s">
        <v>213</v>
      </c>
      <c r="GX5" s="1" t="s">
        <v>214</v>
      </c>
      <c r="GY5" s="1" t="s">
        <v>215</v>
      </c>
      <c r="GZ5" s="1" t="s">
        <v>216</v>
      </c>
      <c r="HA5" s="1" t="s">
        <v>217</v>
      </c>
      <c r="HB5" s="1" t="s">
        <v>218</v>
      </c>
      <c r="HC5" s="1" t="s">
        <v>219</v>
      </c>
      <c r="HD5" s="1" t="s">
        <v>220</v>
      </c>
      <c r="HE5" s="1" t="s">
        <v>221</v>
      </c>
    </row>
    <row r="6">
      <c r="A6" s="2" t="s">
        <v>222</v>
      </c>
      <c r="B6" s="2" t="s">
        <v>223</v>
      </c>
      <c r="C6" s="2" t="s">
        <v>224</v>
      </c>
      <c r="D6" s="2" t="s">
        <v>225</v>
      </c>
      <c r="E6" s="2" t="s">
        <v>226</v>
      </c>
      <c r="F6" s="2" t="s">
        <v>227</v>
      </c>
      <c r="G6" s="2" t="s">
        <v>228</v>
      </c>
      <c r="H6" s="2" t="s">
        <v>228</v>
      </c>
      <c r="I6" s="2" t="s">
        <v>229</v>
      </c>
      <c r="J6" s="2" t="s">
        <v>230</v>
      </c>
      <c r="K6" s="2" t="s">
        <v>231</v>
      </c>
      <c r="L6" s="3">
        <v>69.99</v>
      </c>
      <c r="M6" s="3">
        <v>73.49</v>
      </c>
      <c r="N6" s="3"/>
      <c r="O6" s="2" t="s">
        <v>232</v>
      </c>
      <c r="P6" s="2" t="s">
        <v>233</v>
      </c>
      <c r="Q6" s="2" t="s">
        <v>234</v>
      </c>
      <c r="R6" s="2" t="s">
        <v>235</v>
      </c>
      <c r="S6" s="2" t="s">
        <v>228</v>
      </c>
      <c r="T6" s="2" t="s">
        <v>228</v>
      </c>
      <c r="U6" s="2" t="s">
        <v>228</v>
      </c>
      <c r="V6" s="2" t="s">
        <v>236</v>
      </c>
      <c r="W6" s="2" t="s">
        <v>228</v>
      </c>
      <c r="X6" s="2" t="s">
        <v>228</v>
      </c>
      <c r="Y6" s="2" t="s">
        <v>237</v>
      </c>
      <c r="Z6" s="4"/>
      <c r="AA6" s="4">
        <f>=ROUNDDOWN({0},0)</f>
      </c>
      <c r="AB6" s="5"/>
      <c r="AC6" s="2" t="s">
        <v>228</v>
      </c>
      <c r="AD6" s="4"/>
      <c r="AE6" s="4"/>
      <c r="AF6" s="6"/>
      <c r="AG6" s="6"/>
      <c r="AH6" s="7"/>
      <c r="AI6" s="4"/>
      <c r="AJ6" s="4">
        <f>=ROUNDDOWN({0},0)</f>
      </c>
      <c r="AK6" s="5"/>
      <c r="AL6" s="2" t="s">
        <v>228</v>
      </c>
      <c r="AM6" s="4"/>
      <c r="AN6" s="4"/>
      <c r="AO6" s="7"/>
      <c r="AP6" s="4"/>
      <c r="AQ6" s="8"/>
      <c r="AR6" s="4"/>
      <c r="AS6" s="8"/>
      <c r="AT6" s="7"/>
      <c r="AU6" s="7"/>
      <c r="AV6" s="4" t="s">
        <v>228</v>
      </c>
      <c r="AW6" s="8" t="s">
        <v>228</v>
      </c>
      <c r="AX6" s="4" t="s">
        <v>228</v>
      </c>
      <c r="AY6" s="8" t="s">
        <v>228</v>
      </c>
      <c r="AZ6" s="7" t="s">
        <v>228</v>
      </c>
      <c r="BA6" s="7" t="s">
        <v>228</v>
      </c>
      <c r="BB6" s="7" t="s">
        <v>228</v>
      </c>
      <c r="BC6" s="4" t="s">
        <v>228</v>
      </c>
      <c r="BD6" s="8" t="s">
        <v>228</v>
      </c>
      <c r="BE6" s="4" t="s">
        <v>228</v>
      </c>
      <c r="BF6" s="8" t="s">
        <v>228</v>
      </c>
      <c r="BG6" s="7" t="s">
        <v>228</v>
      </c>
      <c r="BH6" s="7" t="s">
        <v>228</v>
      </c>
      <c r="BI6" s="7"/>
      <c r="BJ6" s="4"/>
      <c r="BK6" s="8"/>
      <c r="BL6" s="2" t="s">
        <v>228</v>
      </c>
      <c r="BM6" s="7"/>
      <c r="BN6" s="7"/>
      <c r="BO6" s="4"/>
      <c r="BP6" s="8"/>
      <c r="BQ6" s="4"/>
      <c r="BR6" s="8"/>
      <c r="BS6" s="7"/>
      <c r="BT6" s="7"/>
      <c r="BU6" s="2" t="s">
        <v>238</v>
      </c>
      <c r="BV6" s="2" t="s">
        <v>228</v>
      </c>
      <c r="BW6" s="2" t="s">
        <v>228</v>
      </c>
      <c r="BX6" s="2" t="s">
        <v>228</v>
      </c>
      <c r="BY6" s="2" t="s">
        <v>239</v>
      </c>
      <c r="BZ6" s="2" t="s">
        <v>240</v>
      </c>
      <c r="CA6" s="2" t="s">
        <v>228</v>
      </c>
      <c r="CB6" s="2" t="s">
        <v>228</v>
      </c>
      <c r="CC6" s="2" t="s">
        <v>241</v>
      </c>
      <c r="CD6" s="2" t="s">
        <v>228</v>
      </c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</row>
    <row r="7">
      <c r="A7" s="2" t="s">
        <v>242</v>
      </c>
      <c r="B7" s="2" t="s">
        <v>223</v>
      </c>
      <c r="C7" s="2" t="s">
        <v>224</v>
      </c>
      <c r="D7" s="2" t="s">
        <v>225</v>
      </c>
      <c r="E7" s="2" t="s">
        <v>226</v>
      </c>
      <c r="F7" s="2" t="s">
        <v>227</v>
      </c>
      <c r="G7" s="2" t="s">
        <v>228</v>
      </c>
      <c r="H7" s="2" t="s">
        <v>228</v>
      </c>
      <c r="I7" s="2" t="s">
        <v>229</v>
      </c>
      <c r="J7" s="2" t="s">
        <v>230</v>
      </c>
      <c r="K7" s="2" t="s">
        <v>231</v>
      </c>
      <c r="L7" s="3">
        <v>54.99</v>
      </c>
      <c r="M7" s="3">
        <v>57.74</v>
      </c>
      <c r="N7" s="3"/>
      <c r="O7" s="2" t="s">
        <v>232</v>
      </c>
      <c r="P7" s="2" t="s">
        <v>233</v>
      </c>
      <c r="Q7" s="2" t="s">
        <v>234</v>
      </c>
      <c r="R7" s="2" t="s">
        <v>235</v>
      </c>
      <c r="S7" s="2" t="s">
        <v>228</v>
      </c>
      <c r="T7" s="2" t="s">
        <v>228</v>
      </c>
      <c r="U7" s="2" t="s">
        <v>228</v>
      </c>
      <c r="V7" s="2" t="s">
        <v>236</v>
      </c>
      <c r="W7" s="2" t="s">
        <v>228</v>
      </c>
      <c r="X7" s="2" t="s">
        <v>228</v>
      </c>
      <c r="Y7" s="2" t="s">
        <v>237</v>
      </c>
      <c r="Z7" s="4"/>
      <c r="AA7" s="4">
        <f>=ROUNDDOWN({0},0)</f>
      </c>
      <c r="AB7" s="5"/>
      <c r="AC7" s="2" t="s">
        <v>228</v>
      </c>
      <c r="AD7" s="4"/>
      <c r="AE7" s="4"/>
      <c r="AF7" s="6"/>
      <c r="AG7" s="6"/>
      <c r="AH7" s="7"/>
      <c r="AI7" s="4"/>
      <c r="AJ7" s="4">
        <f>=ROUNDDOWN({0},0)</f>
      </c>
      <c r="AK7" s="5"/>
      <c r="AL7" s="2" t="s">
        <v>228</v>
      </c>
      <c r="AM7" s="4"/>
      <c r="AN7" s="4"/>
      <c r="AO7" s="7"/>
      <c r="AP7" s="4"/>
      <c r="AQ7" s="8"/>
      <c r="AR7" s="4"/>
      <c r="AS7" s="8"/>
      <c r="AT7" s="7"/>
      <c r="AU7" s="7"/>
      <c r="AV7" s="4" t="s">
        <v>228</v>
      </c>
      <c r="AW7" s="8" t="s">
        <v>228</v>
      </c>
      <c r="AX7" s="4" t="s">
        <v>228</v>
      </c>
      <c r="AY7" s="8" t="s">
        <v>228</v>
      </c>
      <c r="AZ7" s="7" t="s">
        <v>228</v>
      </c>
      <c r="BA7" s="7" t="s">
        <v>228</v>
      </c>
      <c r="BB7" s="7" t="s">
        <v>228</v>
      </c>
      <c r="BC7" s="4" t="s">
        <v>228</v>
      </c>
      <c r="BD7" s="8" t="s">
        <v>228</v>
      </c>
      <c r="BE7" s="4" t="s">
        <v>228</v>
      </c>
      <c r="BF7" s="8" t="s">
        <v>228</v>
      </c>
      <c r="BG7" s="7" t="s">
        <v>228</v>
      </c>
      <c r="BH7" s="7" t="s">
        <v>228</v>
      </c>
      <c r="BI7" s="7"/>
      <c r="BJ7" s="4"/>
      <c r="BK7" s="8"/>
      <c r="BL7" s="2" t="s">
        <v>228</v>
      </c>
      <c r="BM7" s="7"/>
      <c r="BN7" s="7"/>
      <c r="BO7" s="4"/>
      <c r="BP7" s="8"/>
      <c r="BQ7" s="4"/>
      <c r="BR7" s="8"/>
      <c r="BS7" s="7"/>
      <c r="BT7" s="7"/>
      <c r="BU7" s="2" t="s">
        <v>238</v>
      </c>
      <c r="BV7" s="2" t="s">
        <v>228</v>
      </c>
      <c r="BW7" s="2" t="s">
        <v>228</v>
      </c>
      <c r="BX7" s="2" t="s">
        <v>228</v>
      </c>
      <c r="BY7" s="2" t="s">
        <v>239</v>
      </c>
      <c r="BZ7" s="2" t="s">
        <v>240</v>
      </c>
      <c r="CA7" s="2" t="s">
        <v>228</v>
      </c>
      <c r="CB7" s="2" t="s">
        <v>228</v>
      </c>
      <c r="CC7" s="2" t="s">
        <v>241</v>
      </c>
      <c r="CD7" s="2" t="s">
        <v>228</v>
      </c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</row>
    <row r="8">
      <c r="A8" s="2" t="s">
        <v>243</v>
      </c>
      <c r="B8" s="2" t="s">
        <v>223</v>
      </c>
      <c r="C8" s="2" t="s">
        <v>224</v>
      </c>
      <c r="D8" s="2" t="s">
        <v>225</v>
      </c>
      <c r="E8" s="2" t="s">
        <v>226</v>
      </c>
      <c r="F8" s="2" t="s">
        <v>227</v>
      </c>
      <c r="G8" s="2" t="s">
        <v>228</v>
      </c>
      <c r="H8" s="2" t="s">
        <v>228</v>
      </c>
      <c r="I8" s="2" t="s">
        <v>229</v>
      </c>
      <c r="J8" s="2" t="s">
        <v>244</v>
      </c>
      <c r="K8" s="2" t="s">
        <v>231</v>
      </c>
      <c r="L8" s="3">
        <v>99.99</v>
      </c>
      <c r="M8" s="3">
        <v>104.99</v>
      </c>
      <c r="N8" s="3"/>
      <c r="O8" s="2" t="s">
        <v>232</v>
      </c>
      <c r="P8" s="2" t="s">
        <v>233</v>
      </c>
      <c r="Q8" s="2" t="s">
        <v>234</v>
      </c>
      <c r="R8" s="2" t="s">
        <v>235</v>
      </c>
      <c r="S8" s="2" t="s">
        <v>228</v>
      </c>
      <c r="T8" s="2" t="s">
        <v>228</v>
      </c>
      <c r="U8" s="2" t="s">
        <v>228</v>
      </c>
      <c r="V8" s="2" t="s">
        <v>236</v>
      </c>
      <c r="W8" s="2" t="s">
        <v>228</v>
      </c>
      <c r="X8" s="2" t="s">
        <v>228</v>
      </c>
      <c r="Y8" s="2" t="s">
        <v>237</v>
      </c>
      <c r="Z8" s="4"/>
      <c r="AA8" s="4">
        <f>=ROUNDDOWN({0},0)</f>
      </c>
      <c r="AB8" s="5"/>
      <c r="AC8" s="2" t="s">
        <v>228</v>
      </c>
      <c r="AD8" s="4"/>
      <c r="AE8" s="4"/>
      <c r="AF8" s="6"/>
      <c r="AG8" s="6"/>
      <c r="AH8" s="7">
        <v>0</v>
      </c>
      <c r="AI8" s="4"/>
      <c r="AJ8" s="4">
        <f>=ROUNDDOWN({0},0)</f>
      </c>
      <c r="AK8" s="5"/>
      <c r="AL8" s="2" t="s">
        <v>228</v>
      </c>
      <c r="AM8" s="4"/>
      <c r="AN8" s="4"/>
      <c r="AO8" s="7"/>
      <c r="AP8" s="4"/>
      <c r="AQ8" s="8"/>
      <c r="AR8" s="4"/>
      <c r="AS8" s="8"/>
      <c r="AT8" s="7"/>
      <c r="AU8" s="7"/>
      <c r="AV8" s="4" t="s">
        <v>228</v>
      </c>
      <c r="AW8" s="8" t="s">
        <v>228</v>
      </c>
      <c r="AX8" s="4" t="s">
        <v>228</v>
      </c>
      <c r="AY8" s="8" t="s">
        <v>228</v>
      </c>
      <c r="AZ8" s="7" t="s">
        <v>228</v>
      </c>
      <c r="BA8" s="7" t="s">
        <v>228</v>
      </c>
      <c r="BB8" s="7"/>
      <c r="BC8" s="4" t="s">
        <v>228</v>
      </c>
      <c r="BD8" s="8" t="s">
        <v>228</v>
      </c>
      <c r="BE8" s="4" t="s">
        <v>228</v>
      </c>
      <c r="BF8" s="8" t="s">
        <v>228</v>
      </c>
      <c r="BG8" s="7" t="s">
        <v>228</v>
      </c>
      <c r="BH8" s="7" t="s">
        <v>228</v>
      </c>
      <c r="BI8" s="7"/>
      <c r="BJ8" s="4"/>
      <c r="BK8" s="8"/>
      <c r="BL8" s="2" t="s">
        <v>228</v>
      </c>
      <c r="BM8" s="7"/>
      <c r="BN8" s="7"/>
      <c r="BO8" s="4"/>
      <c r="BP8" s="8"/>
      <c r="BQ8" s="4"/>
      <c r="BR8" s="8"/>
      <c r="BS8" s="7"/>
      <c r="BT8" s="7"/>
      <c r="BU8" s="2" t="s">
        <v>238</v>
      </c>
      <c r="BV8" s="2" t="s">
        <v>228</v>
      </c>
      <c r="BW8" s="2" t="s">
        <v>228</v>
      </c>
      <c r="BX8" s="2" t="s">
        <v>228</v>
      </c>
      <c r="BY8" s="2" t="s">
        <v>239</v>
      </c>
      <c r="BZ8" s="2" t="s">
        <v>240</v>
      </c>
      <c r="CA8" s="2" t="s">
        <v>228</v>
      </c>
      <c r="CB8" s="2" t="s">
        <v>228</v>
      </c>
      <c r="CC8" s="2" t="s">
        <v>241</v>
      </c>
      <c r="CD8" s="2" t="s">
        <v>228</v>
      </c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</row>
    <row r="9">
      <c r="A9" s="2" t="s">
        <v>245</v>
      </c>
      <c r="B9" s="2" t="s">
        <v>223</v>
      </c>
      <c r="C9" s="2" t="s">
        <v>224</v>
      </c>
      <c r="D9" s="2" t="s">
        <v>225</v>
      </c>
      <c r="E9" s="2" t="s">
        <v>226</v>
      </c>
      <c r="F9" s="2" t="s">
        <v>227</v>
      </c>
      <c r="G9" s="2" t="s">
        <v>228</v>
      </c>
      <c r="H9" s="2" t="s">
        <v>228</v>
      </c>
      <c r="I9" s="2" t="s">
        <v>229</v>
      </c>
      <c r="J9" s="2" t="s">
        <v>246</v>
      </c>
      <c r="K9" s="2" t="s">
        <v>231</v>
      </c>
      <c r="L9" s="3">
        <v>104.99</v>
      </c>
      <c r="M9" s="3">
        <v>110.24</v>
      </c>
      <c r="N9" s="3"/>
      <c r="O9" s="2" t="s">
        <v>232</v>
      </c>
      <c r="P9" s="2" t="s">
        <v>233</v>
      </c>
      <c r="Q9" s="2" t="s">
        <v>234</v>
      </c>
      <c r="R9" s="2" t="s">
        <v>235</v>
      </c>
      <c r="S9" s="2" t="s">
        <v>228</v>
      </c>
      <c r="T9" s="2" t="s">
        <v>228</v>
      </c>
      <c r="U9" s="2" t="s">
        <v>228</v>
      </c>
      <c r="V9" s="2" t="s">
        <v>236</v>
      </c>
      <c r="W9" s="2" t="s">
        <v>228</v>
      </c>
      <c r="X9" s="2" t="s">
        <v>228</v>
      </c>
      <c r="Y9" s="2" t="s">
        <v>237</v>
      </c>
      <c r="Z9" s="4"/>
      <c r="AA9" s="4">
        <f>=ROUNDDOWN({0},0)</f>
      </c>
      <c r="AB9" s="5"/>
      <c r="AC9" s="2" t="s">
        <v>228</v>
      </c>
      <c r="AD9" s="4"/>
      <c r="AE9" s="4"/>
      <c r="AF9" s="6"/>
      <c r="AG9" s="6"/>
      <c r="AH9" s="7">
        <v>0</v>
      </c>
      <c r="AI9" s="4"/>
      <c r="AJ9" s="4">
        <f>=ROUNDDOWN({0},0)</f>
      </c>
      <c r="AK9" s="5"/>
      <c r="AL9" s="2" t="s">
        <v>228</v>
      </c>
      <c r="AM9" s="4"/>
      <c r="AN9" s="4"/>
      <c r="AO9" s="7"/>
      <c r="AP9" s="4"/>
      <c r="AQ9" s="8"/>
      <c r="AR9" s="4"/>
      <c r="AS9" s="8"/>
      <c r="AT9" s="7"/>
      <c r="AU9" s="7"/>
      <c r="AV9" s="4" t="s">
        <v>228</v>
      </c>
      <c r="AW9" s="8" t="s">
        <v>228</v>
      </c>
      <c r="AX9" s="4" t="s">
        <v>228</v>
      </c>
      <c r="AY9" s="8" t="s">
        <v>228</v>
      </c>
      <c r="AZ9" s="7" t="s">
        <v>228</v>
      </c>
      <c r="BA9" s="7" t="s">
        <v>228</v>
      </c>
      <c r="BB9" s="7"/>
      <c r="BC9" s="4" t="s">
        <v>228</v>
      </c>
      <c r="BD9" s="8" t="s">
        <v>228</v>
      </c>
      <c r="BE9" s="4" t="s">
        <v>228</v>
      </c>
      <c r="BF9" s="8" t="s">
        <v>228</v>
      </c>
      <c r="BG9" s="7" t="s">
        <v>228</v>
      </c>
      <c r="BH9" s="7" t="s">
        <v>228</v>
      </c>
      <c r="BI9" s="7"/>
      <c r="BJ9" s="4"/>
      <c r="BK9" s="8"/>
      <c r="BL9" s="2" t="s">
        <v>228</v>
      </c>
      <c r="BM9" s="7"/>
      <c r="BN9" s="7"/>
      <c r="BO9" s="4"/>
      <c r="BP9" s="8"/>
      <c r="BQ9" s="4"/>
      <c r="BR9" s="8"/>
      <c r="BS9" s="7"/>
      <c r="BT9" s="7"/>
      <c r="BU9" s="2" t="s">
        <v>238</v>
      </c>
      <c r="BV9" s="2" t="s">
        <v>228</v>
      </c>
      <c r="BW9" s="2" t="s">
        <v>228</v>
      </c>
      <c r="BX9" s="2" t="s">
        <v>228</v>
      </c>
      <c r="BY9" s="2" t="s">
        <v>239</v>
      </c>
      <c r="BZ9" s="2" t="s">
        <v>240</v>
      </c>
      <c r="CA9" s="2" t="s">
        <v>228</v>
      </c>
      <c r="CB9" s="2" t="s">
        <v>228</v>
      </c>
      <c r="CC9" s="2" t="s">
        <v>241</v>
      </c>
      <c r="CD9" s="2" t="s">
        <v>228</v>
      </c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</row>
    <row r="10">
      <c r="A10" s="2" t="s">
        <v>247</v>
      </c>
      <c r="B10" s="2" t="s">
        <v>223</v>
      </c>
      <c r="C10" s="2" t="s">
        <v>224</v>
      </c>
      <c r="D10" s="2" t="s">
        <v>225</v>
      </c>
      <c r="E10" s="2" t="s">
        <v>226</v>
      </c>
      <c r="F10" s="2" t="s">
        <v>227</v>
      </c>
      <c r="G10" s="2" t="s">
        <v>228</v>
      </c>
      <c r="H10" s="2" t="s">
        <v>228</v>
      </c>
      <c r="I10" s="2" t="s">
        <v>229</v>
      </c>
      <c r="J10" s="2" t="s">
        <v>248</v>
      </c>
      <c r="K10" s="2" t="s">
        <v>249</v>
      </c>
      <c r="L10" s="3">
        <v>44.99</v>
      </c>
      <c r="M10" s="3">
        <v>47.24</v>
      </c>
      <c r="N10" s="3"/>
      <c r="O10" s="2" t="s">
        <v>232</v>
      </c>
      <c r="P10" s="2" t="s">
        <v>233</v>
      </c>
      <c r="Q10" s="2" t="s">
        <v>234</v>
      </c>
      <c r="R10" s="2" t="s">
        <v>235</v>
      </c>
      <c r="S10" s="2" t="s">
        <v>228</v>
      </c>
      <c r="T10" s="2" t="s">
        <v>228</v>
      </c>
      <c r="U10" s="2" t="s">
        <v>228</v>
      </c>
      <c r="V10" s="2" t="s">
        <v>236</v>
      </c>
      <c r="W10" s="2" t="s">
        <v>228</v>
      </c>
      <c r="X10" s="2" t="s">
        <v>228</v>
      </c>
      <c r="Y10" s="2" t="s">
        <v>237</v>
      </c>
      <c r="Z10" s="4"/>
      <c r="AA10" s="4">
        <f>=ROUNDDOWN({0},0)</f>
      </c>
      <c r="AB10" s="5"/>
      <c r="AC10" s="2" t="s">
        <v>228</v>
      </c>
      <c r="AD10" s="4"/>
      <c r="AE10" s="4"/>
      <c r="AF10" s="6"/>
      <c r="AG10" s="6"/>
      <c r="AH10" s="7"/>
      <c r="AI10" s="4"/>
      <c r="AJ10" s="4">
        <f>=ROUNDDOWN({0},0)</f>
      </c>
      <c r="AK10" s="5"/>
      <c r="AL10" s="2" t="s">
        <v>228</v>
      </c>
      <c r="AM10" s="4"/>
      <c r="AN10" s="4"/>
      <c r="AO10" s="7"/>
      <c r="AP10" s="4"/>
      <c r="AQ10" s="8"/>
      <c r="AR10" s="4"/>
      <c r="AS10" s="8"/>
      <c r="AT10" s="7"/>
      <c r="AU10" s="7"/>
      <c r="AV10" s="4"/>
      <c r="AW10" s="8"/>
      <c r="AX10" s="4"/>
      <c r="AY10" s="8"/>
      <c r="AZ10" s="7"/>
      <c r="BA10" s="7"/>
      <c r="BB10" s="7"/>
      <c r="BC10" s="4" t="s">
        <v>228</v>
      </c>
      <c r="BD10" s="8" t="s">
        <v>228</v>
      </c>
      <c r="BE10" s="4" t="s">
        <v>228</v>
      </c>
      <c r="BF10" s="8" t="s">
        <v>228</v>
      </c>
      <c r="BG10" s="7" t="s">
        <v>228</v>
      </c>
      <c r="BH10" s="7" t="s">
        <v>228</v>
      </c>
      <c r="BI10" s="7"/>
      <c r="BJ10" s="4"/>
      <c r="BK10" s="8"/>
      <c r="BL10" s="2" t="s">
        <v>228</v>
      </c>
      <c r="BM10" s="7"/>
      <c r="BN10" s="7"/>
      <c r="BO10" s="4"/>
      <c r="BP10" s="8"/>
      <c r="BQ10" s="4"/>
      <c r="BR10" s="8"/>
      <c r="BS10" s="7"/>
      <c r="BT10" s="7"/>
      <c r="BU10" s="2" t="s">
        <v>238</v>
      </c>
      <c r="BV10" s="2" t="s">
        <v>228</v>
      </c>
      <c r="BW10" s="2" t="s">
        <v>228</v>
      </c>
      <c r="BX10" s="2" t="s">
        <v>228</v>
      </c>
      <c r="BY10" s="2" t="s">
        <v>239</v>
      </c>
      <c r="BZ10" s="2" t="s">
        <v>240</v>
      </c>
      <c r="CA10" s="2" t="s">
        <v>228</v>
      </c>
      <c r="CB10" s="2" t="s">
        <v>228</v>
      </c>
      <c r="CC10" s="2" t="s">
        <v>241</v>
      </c>
      <c r="CD10" s="2" t="s">
        <v>228</v>
      </c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</row>
    <row r="11">
      <c r="A11" s="2" t="s">
        <v>250</v>
      </c>
      <c r="B11" s="2" t="s">
        <v>223</v>
      </c>
      <c r="C11" s="2" t="s">
        <v>224</v>
      </c>
      <c r="D11" s="2" t="s">
        <v>225</v>
      </c>
      <c r="E11" s="2" t="s">
        <v>226</v>
      </c>
      <c r="F11" s="2" t="s">
        <v>227</v>
      </c>
      <c r="G11" s="2" t="s">
        <v>228</v>
      </c>
      <c r="H11" s="2" t="s">
        <v>228</v>
      </c>
      <c r="I11" s="2" t="s">
        <v>229</v>
      </c>
      <c r="J11" s="2" t="s">
        <v>248</v>
      </c>
      <c r="K11" s="2" t="s">
        <v>251</v>
      </c>
      <c r="L11" s="3">
        <v>44.99</v>
      </c>
      <c r="M11" s="3">
        <v>47.24</v>
      </c>
      <c r="N11" s="3"/>
      <c r="O11" s="2" t="s">
        <v>232</v>
      </c>
      <c r="P11" s="2" t="s">
        <v>233</v>
      </c>
      <c r="Q11" s="2" t="s">
        <v>234</v>
      </c>
      <c r="R11" s="2" t="s">
        <v>235</v>
      </c>
      <c r="S11" s="2" t="s">
        <v>228</v>
      </c>
      <c r="T11" s="2" t="s">
        <v>228</v>
      </c>
      <c r="U11" s="2" t="s">
        <v>228</v>
      </c>
      <c r="V11" s="2" t="s">
        <v>236</v>
      </c>
      <c r="W11" s="2" t="s">
        <v>228</v>
      </c>
      <c r="X11" s="2" t="s">
        <v>228</v>
      </c>
      <c r="Y11" s="2" t="s">
        <v>237</v>
      </c>
      <c r="Z11" s="4"/>
      <c r="AA11" s="4">
        <f>=ROUNDDOWN({0},0)</f>
      </c>
      <c r="AB11" s="5"/>
      <c r="AC11" s="2" t="s">
        <v>228</v>
      </c>
      <c r="AD11" s="4"/>
      <c r="AE11" s="4"/>
      <c r="AF11" s="6"/>
      <c r="AG11" s="6"/>
      <c r="AH11" s="7"/>
      <c r="AI11" s="4"/>
      <c r="AJ11" s="4">
        <f>=ROUNDDOWN({0},0)</f>
      </c>
      <c r="AK11" s="5"/>
      <c r="AL11" s="2" t="s">
        <v>228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228</v>
      </c>
      <c r="AW11" s="8" t="s">
        <v>228</v>
      </c>
      <c r="AX11" s="4" t="s">
        <v>228</v>
      </c>
      <c r="AY11" s="8" t="s">
        <v>228</v>
      </c>
      <c r="AZ11" s="7" t="s">
        <v>228</v>
      </c>
      <c r="BA11" s="7" t="s">
        <v>228</v>
      </c>
      <c r="BB11" s="7"/>
      <c r="BC11" s="4" t="s">
        <v>228</v>
      </c>
      <c r="BD11" s="8" t="s">
        <v>228</v>
      </c>
      <c r="BE11" s="4" t="s">
        <v>228</v>
      </c>
      <c r="BF11" s="8" t="s">
        <v>228</v>
      </c>
      <c r="BG11" s="7" t="s">
        <v>228</v>
      </c>
      <c r="BH11" s="7" t="s">
        <v>228</v>
      </c>
      <c r="BI11" s="7"/>
      <c r="BJ11" s="4"/>
      <c r="BK11" s="8"/>
      <c r="BL11" s="2" t="s">
        <v>228</v>
      </c>
      <c r="BM11" s="7"/>
      <c r="BN11" s="7"/>
      <c r="BO11" s="4"/>
      <c r="BP11" s="8"/>
      <c r="BQ11" s="4"/>
      <c r="BR11" s="8"/>
      <c r="BS11" s="7"/>
      <c r="BT11" s="7"/>
      <c r="BU11" s="2" t="s">
        <v>238</v>
      </c>
      <c r="BV11" s="2" t="s">
        <v>228</v>
      </c>
      <c r="BW11" s="2" t="s">
        <v>228</v>
      </c>
      <c r="BX11" s="2" t="s">
        <v>228</v>
      </c>
      <c r="BY11" s="2" t="s">
        <v>239</v>
      </c>
      <c r="BZ11" s="2" t="s">
        <v>240</v>
      </c>
      <c r="CA11" s="2" t="s">
        <v>228</v>
      </c>
      <c r="CB11" s="2" t="s">
        <v>228</v>
      </c>
      <c r="CC11" s="2" t="s">
        <v>241</v>
      </c>
      <c r="CD11" s="2" t="s">
        <v>228</v>
      </c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</row>
    <row r="12">
      <c r="A12" s="2" t="s">
        <v>252</v>
      </c>
      <c r="B12" s="2" t="s">
        <v>223</v>
      </c>
      <c r="C12" s="2" t="s">
        <v>224</v>
      </c>
      <c r="D12" s="2" t="s">
        <v>225</v>
      </c>
      <c r="E12" s="2" t="s">
        <v>226</v>
      </c>
      <c r="F12" s="2" t="s">
        <v>227</v>
      </c>
      <c r="G12" s="2" t="s">
        <v>228</v>
      </c>
      <c r="H12" s="2" t="s">
        <v>228</v>
      </c>
      <c r="I12" s="2" t="s">
        <v>229</v>
      </c>
      <c r="J12" s="2" t="s">
        <v>230</v>
      </c>
      <c r="K12" s="2" t="s">
        <v>251</v>
      </c>
      <c r="L12" s="3">
        <v>54.99</v>
      </c>
      <c r="M12" s="3">
        <v>57.74</v>
      </c>
      <c r="N12" s="3"/>
      <c r="O12" s="2" t="s">
        <v>232</v>
      </c>
      <c r="P12" s="2" t="s">
        <v>233</v>
      </c>
      <c r="Q12" s="2" t="s">
        <v>234</v>
      </c>
      <c r="R12" s="2" t="s">
        <v>235</v>
      </c>
      <c r="S12" s="2" t="s">
        <v>228</v>
      </c>
      <c r="T12" s="2" t="s">
        <v>228</v>
      </c>
      <c r="U12" s="2" t="s">
        <v>228</v>
      </c>
      <c r="V12" s="2" t="s">
        <v>236</v>
      </c>
      <c r="W12" s="2" t="s">
        <v>228</v>
      </c>
      <c r="X12" s="2" t="s">
        <v>228</v>
      </c>
      <c r="Y12" s="2" t="s">
        <v>237</v>
      </c>
      <c r="Z12" s="4"/>
      <c r="AA12" s="4">
        <f>=ROUNDDOWN({0},0)</f>
      </c>
      <c r="AB12" s="5"/>
      <c r="AC12" s="2" t="s">
        <v>228</v>
      </c>
      <c r="AD12" s="4"/>
      <c r="AE12" s="4"/>
      <c r="AF12" s="6"/>
      <c r="AG12" s="6"/>
      <c r="AH12" s="7"/>
      <c r="AI12" s="4"/>
      <c r="AJ12" s="4">
        <f>=ROUNDDOWN({0},0)</f>
      </c>
      <c r="AK12" s="5"/>
      <c r="AL12" s="2" t="s">
        <v>228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228</v>
      </c>
      <c r="AW12" s="8" t="s">
        <v>228</v>
      </c>
      <c r="AX12" s="4" t="s">
        <v>228</v>
      </c>
      <c r="AY12" s="8" t="s">
        <v>228</v>
      </c>
      <c r="AZ12" s="7" t="s">
        <v>228</v>
      </c>
      <c r="BA12" s="7" t="s">
        <v>228</v>
      </c>
      <c r="BB12" s="7"/>
      <c r="BC12" s="4" t="s">
        <v>228</v>
      </c>
      <c r="BD12" s="8" t="s">
        <v>228</v>
      </c>
      <c r="BE12" s="4" t="s">
        <v>228</v>
      </c>
      <c r="BF12" s="8" t="s">
        <v>228</v>
      </c>
      <c r="BG12" s="7" t="s">
        <v>228</v>
      </c>
      <c r="BH12" s="7" t="s">
        <v>228</v>
      </c>
      <c r="BI12" s="7"/>
      <c r="BJ12" s="4"/>
      <c r="BK12" s="8"/>
      <c r="BL12" s="2" t="s">
        <v>228</v>
      </c>
      <c r="BM12" s="7"/>
      <c r="BN12" s="7"/>
      <c r="BO12" s="4"/>
      <c r="BP12" s="8"/>
      <c r="BQ12" s="4"/>
      <c r="BR12" s="8"/>
      <c r="BS12" s="7"/>
      <c r="BT12" s="7"/>
      <c r="BU12" s="2" t="s">
        <v>238</v>
      </c>
      <c r="BV12" s="2" t="s">
        <v>228</v>
      </c>
      <c r="BW12" s="2" t="s">
        <v>228</v>
      </c>
      <c r="BX12" s="2" t="s">
        <v>228</v>
      </c>
      <c r="BY12" s="2" t="s">
        <v>239</v>
      </c>
      <c r="BZ12" s="2" t="s">
        <v>240</v>
      </c>
      <c r="CA12" s="2" t="s">
        <v>228</v>
      </c>
      <c r="CB12" s="2" t="s">
        <v>228</v>
      </c>
      <c r="CC12" s="2" t="s">
        <v>241</v>
      </c>
      <c r="CD12" s="2" t="s">
        <v>228</v>
      </c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</row>
    <row r="13">
      <c r="A13" s="2" t="s">
        <v>253</v>
      </c>
      <c r="B13" s="2" t="s">
        <v>223</v>
      </c>
      <c r="C13" s="2" t="s">
        <v>224</v>
      </c>
      <c r="D13" s="2" t="s">
        <v>225</v>
      </c>
      <c r="E13" s="2" t="s">
        <v>226</v>
      </c>
      <c r="F13" s="2" t="s">
        <v>227</v>
      </c>
      <c r="G13" s="2" t="s">
        <v>228</v>
      </c>
      <c r="H13" s="2" t="s">
        <v>228</v>
      </c>
      <c r="I13" s="2" t="s">
        <v>229</v>
      </c>
      <c r="J13" s="2" t="s">
        <v>254</v>
      </c>
      <c r="K13" s="2" t="s">
        <v>251</v>
      </c>
      <c r="L13" s="3">
        <v>69.99</v>
      </c>
      <c r="M13" s="3">
        <v>73.49</v>
      </c>
      <c r="N13" s="3"/>
      <c r="O13" s="2" t="s">
        <v>232</v>
      </c>
      <c r="P13" s="2" t="s">
        <v>233</v>
      </c>
      <c r="Q13" s="2" t="s">
        <v>234</v>
      </c>
      <c r="R13" s="2" t="s">
        <v>235</v>
      </c>
      <c r="S13" s="2" t="s">
        <v>228</v>
      </c>
      <c r="T13" s="2" t="s">
        <v>228</v>
      </c>
      <c r="U13" s="2" t="s">
        <v>228</v>
      </c>
      <c r="V13" s="2" t="s">
        <v>236</v>
      </c>
      <c r="W13" s="2" t="s">
        <v>228</v>
      </c>
      <c r="X13" s="2" t="s">
        <v>228</v>
      </c>
      <c r="Y13" s="2" t="s">
        <v>237</v>
      </c>
      <c r="Z13" s="4"/>
      <c r="AA13" s="4">
        <f>=ROUNDDOWN({0},0)</f>
      </c>
      <c r="AB13" s="5"/>
      <c r="AC13" s="2" t="s">
        <v>228</v>
      </c>
      <c r="AD13" s="4"/>
      <c r="AE13" s="4"/>
      <c r="AF13" s="6"/>
      <c r="AG13" s="6"/>
      <c r="AH13" s="7"/>
      <c r="AI13" s="4"/>
      <c r="AJ13" s="4">
        <f>=ROUNDDOWN({0},0)</f>
      </c>
      <c r="AK13" s="5"/>
      <c r="AL13" s="2" t="s">
        <v>228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228</v>
      </c>
      <c r="AW13" s="8" t="s">
        <v>228</v>
      </c>
      <c r="AX13" s="4" t="s">
        <v>228</v>
      </c>
      <c r="AY13" s="8" t="s">
        <v>228</v>
      </c>
      <c r="AZ13" s="7" t="s">
        <v>228</v>
      </c>
      <c r="BA13" s="7" t="s">
        <v>228</v>
      </c>
      <c r="BB13" s="7"/>
      <c r="BC13" s="4" t="s">
        <v>228</v>
      </c>
      <c r="BD13" s="8" t="s">
        <v>228</v>
      </c>
      <c r="BE13" s="4" t="s">
        <v>228</v>
      </c>
      <c r="BF13" s="8" t="s">
        <v>228</v>
      </c>
      <c r="BG13" s="7" t="s">
        <v>228</v>
      </c>
      <c r="BH13" s="7" t="s">
        <v>228</v>
      </c>
      <c r="BI13" s="7"/>
      <c r="BJ13" s="4"/>
      <c r="BK13" s="8"/>
      <c r="BL13" s="2" t="s">
        <v>228</v>
      </c>
      <c r="BM13" s="7"/>
      <c r="BN13" s="7"/>
      <c r="BO13" s="4"/>
      <c r="BP13" s="8"/>
      <c r="BQ13" s="4"/>
      <c r="BR13" s="8"/>
      <c r="BS13" s="7"/>
      <c r="BT13" s="7"/>
      <c r="BU13" s="2" t="s">
        <v>238</v>
      </c>
      <c r="BV13" s="2" t="s">
        <v>228</v>
      </c>
      <c r="BW13" s="2" t="s">
        <v>228</v>
      </c>
      <c r="BX13" s="2" t="s">
        <v>228</v>
      </c>
      <c r="BY13" s="2" t="s">
        <v>239</v>
      </c>
      <c r="BZ13" s="2" t="s">
        <v>240</v>
      </c>
      <c r="CA13" s="2" t="s">
        <v>228</v>
      </c>
      <c r="CB13" s="2" t="s">
        <v>228</v>
      </c>
      <c r="CC13" s="2" t="s">
        <v>241</v>
      </c>
      <c r="CD13" s="2" t="s">
        <v>228</v>
      </c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</row>
    <row r="14">
      <c r="A14" s="2" t="s">
        <v>255</v>
      </c>
      <c r="B14" s="2" t="s">
        <v>223</v>
      </c>
      <c r="C14" s="2" t="s">
        <v>224</v>
      </c>
      <c r="D14" s="2" t="s">
        <v>225</v>
      </c>
      <c r="E14" s="2" t="s">
        <v>226</v>
      </c>
      <c r="F14" s="2" t="s">
        <v>227</v>
      </c>
      <c r="G14" s="2" t="s">
        <v>228</v>
      </c>
      <c r="H14" s="2" t="s">
        <v>228</v>
      </c>
      <c r="I14" s="2" t="s">
        <v>229</v>
      </c>
      <c r="J14" s="2" t="s">
        <v>244</v>
      </c>
      <c r="K14" s="2" t="s">
        <v>251</v>
      </c>
      <c r="L14" s="3">
        <v>99.99</v>
      </c>
      <c r="M14" s="3">
        <v>104.99</v>
      </c>
      <c r="N14" s="3"/>
      <c r="O14" s="2" t="s">
        <v>232</v>
      </c>
      <c r="P14" s="2" t="s">
        <v>233</v>
      </c>
      <c r="Q14" s="2" t="s">
        <v>234</v>
      </c>
      <c r="R14" s="2" t="s">
        <v>235</v>
      </c>
      <c r="S14" s="2" t="s">
        <v>228</v>
      </c>
      <c r="T14" s="2" t="s">
        <v>228</v>
      </c>
      <c r="U14" s="2" t="s">
        <v>228</v>
      </c>
      <c r="V14" s="2" t="s">
        <v>236</v>
      </c>
      <c r="W14" s="2" t="s">
        <v>228</v>
      </c>
      <c r="X14" s="2" t="s">
        <v>228</v>
      </c>
      <c r="Y14" s="2" t="s">
        <v>237</v>
      </c>
      <c r="Z14" s="4"/>
      <c r="AA14" s="4">
        <f>=ROUNDDOWN({0},0)</f>
      </c>
      <c r="AB14" s="5"/>
      <c r="AC14" s="2" t="s">
        <v>228</v>
      </c>
      <c r="AD14" s="4"/>
      <c r="AE14" s="4"/>
      <c r="AF14" s="6"/>
      <c r="AG14" s="6"/>
      <c r="AH14" s="7">
        <v>0</v>
      </c>
      <c r="AI14" s="4"/>
      <c r="AJ14" s="4">
        <f>=ROUNDDOWN({0},0)</f>
      </c>
      <c r="AK14" s="5"/>
      <c r="AL14" s="2" t="s">
        <v>228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228</v>
      </c>
      <c r="AW14" s="8" t="s">
        <v>228</v>
      </c>
      <c r="AX14" s="4" t="s">
        <v>228</v>
      </c>
      <c r="AY14" s="8" t="s">
        <v>228</v>
      </c>
      <c r="AZ14" s="7" t="s">
        <v>228</v>
      </c>
      <c r="BA14" s="7" t="s">
        <v>228</v>
      </c>
      <c r="BB14" s="7"/>
      <c r="BC14" s="4" t="s">
        <v>228</v>
      </c>
      <c r="BD14" s="8" t="s">
        <v>228</v>
      </c>
      <c r="BE14" s="4" t="s">
        <v>228</v>
      </c>
      <c r="BF14" s="8" t="s">
        <v>228</v>
      </c>
      <c r="BG14" s="7" t="s">
        <v>228</v>
      </c>
      <c r="BH14" s="7" t="s">
        <v>228</v>
      </c>
      <c r="BI14" s="7"/>
      <c r="BJ14" s="4"/>
      <c r="BK14" s="8"/>
      <c r="BL14" s="2" t="s">
        <v>228</v>
      </c>
      <c r="BM14" s="7"/>
      <c r="BN14" s="7"/>
      <c r="BO14" s="4"/>
      <c r="BP14" s="8"/>
      <c r="BQ14" s="4"/>
      <c r="BR14" s="8"/>
      <c r="BS14" s="7"/>
      <c r="BT14" s="7"/>
      <c r="BU14" s="2" t="s">
        <v>238</v>
      </c>
      <c r="BV14" s="2" t="s">
        <v>228</v>
      </c>
      <c r="BW14" s="2" t="s">
        <v>228</v>
      </c>
      <c r="BX14" s="2" t="s">
        <v>228</v>
      </c>
      <c r="BY14" s="2" t="s">
        <v>239</v>
      </c>
      <c r="BZ14" s="2" t="s">
        <v>240</v>
      </c>
      <c r="CA14" s="2" t="s">
        <v>228</v>
      </c>
      <c r="CB14" s="2" t="s">
        <v>228</v>
      </c>
      <c r="CC14" s="2" t="s">
        <v>241</v>
      </c>
      <c r="CD14" s="2" t="s">
        <v>228</v>
      </c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</row>
    <row r="15">
      <c r="A15" s="2" t="s">
        <v>256</v>
      </c>
      <c r="B15" s="2" t="s">
        <v>223</v>
      </c>
      <c r="C15" s="2" t="s">
        <v>224</v>
      </c>
      <c r="D15" s="2" t="s">
        <v>225</v>
      </c>
      <c r="E15" s="2" t="s">
        <v>226</v>
      </c>
      <c r="F15" s="2" t="s">
        <v>227</v>
      </c>
      <c r="G15" s="2" t="s">
        <v>228</v>
      </c>
      <c r="H15" s="2" t="s">
        <v>228</v>
      </c>
      <c r="I15" s="2" t="s">
        <v>229</v>
      </c>
      <c r="J15" s="2" t="s">
        <v>246</v>
      </c>
      <c r="K15" s="2" t="s">
        <v>251</v>
      </c>
      <c r="L15" s="3">
        <v>104.99</v>
      </c>
      <c r="M15" s="3">
        <v>110.24</v>
      </c>
      <c r="N15" s="3"/>
      <c r="O15" s="2" t="s">
        <v>232</v>
      </c>
      <c r="P15" s="2" t="s">
        <v>233</v>
      </c>
      <c r="Q15" s="2" t="s">
        <v>234</v>
      </c>
      <c r="R15" s="2" t="s">
        <v>235</v>
      </c>
      <c r="S15" s="2" t="s">
        <v>228</v>
      </c>
      <c r="T15" s="2" t="s">
        <v>228</v>
      </c>
      <c r="U15" s="2" t="s">
        <v>228</v>
      </c>
      <c r="V15" s="2" t="s">
        <v>236</v>
      </c>
      <c r="W15" s="2" t="s">
        <v>228</v>
      </c>
      <c r="X15" s="2" t="s">
        <v>228</v>
      </c>
      <c r="Y15" s="2" t="s">
        <v>237</v>
      </c>
      <c r="Z15" s="4"/>
      <c r="AA15" s="4">
        <f>=ROUNDDOWN({0},0)</f>
      </c>
      <c r="AB15" s="5"/>
      <c r="AC15" s="2" t="s">
        <v>228</v>
      </c>
      <c r="AD15" s="4"/>
      <c r="AE15" s="4"/>
      <c r="AF15" s="6"/>
      <c r="AG15" s="6"/>
      <c r="AH15" s="7">
        <v>0</v>
      </c>
      <c r="AI15" s="4"/>
      <c r="AJ15" s="4">
        <f>=ROUNDDOWN({0},0)</f>
      </c>
      <c r="AK15" s="5"/>
      <c r="AL15" s="2" t="s">
        <v>228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228</v>
      </c>
      <c r="AW15" s="8" t="s">
        <v>228</v>
      </c>
      <c r="AX15" s="4" t="s">
        <v>228</v>
      </c>
      <c r="AY15" s="8" t="s">
        <v>228</v>
      </c>
      <c r="AZ15" s="7" t="s">
        <v>228</v>
      </c>
      <c r="BA15" s="7" t="s">
        <v>228</v>
      </c>
      <c r="BB15" s="7"/>
      <c r="BC15" s="4" t="s">
        <v>228</v>
      </c>
      <c r="BD15" s="8" t="s">
        <v>228</v>
      </c>
      <c r="BE15" s="4" t="s">
        <v>228</v>
      </c>
      <c r="BF15" s="8" t="s">
        <v>228</v>
      </c>
      <c r="BG15" s="7" t="s">
        <v>228</v>
      </c>
      <c r="BH15" s="7" t="s">
        <v>228</v>
      </c>
      <c r="BI15" s="7"/>
      <c r="BJ15" s="4"/>
      <c r="BK15" s="8"/>
      <c r="BL15" s="2" t="s">
        <v>228</v>
      </c>
      <c r="BM15" s="7"/>
      <c r="BN15" s="7"/>
      <c r="BO15" s="4"/>
      <c r="BP15" s="8"/>
      <c r="BQ15" s="4"/>
      <c r="BR15" s="8"/>
      <c r="BS15" s="7"/>
      <c r="BT15" s="7"/>
      <c r="BU15" s="2" t="s">
        <v>238</v>
      </c>
      <c r="BV15" s="2" t="s">
        <v>228</v>
      </c>
      <c r="BW15" s="2" t="s">
        <v>228</v>
      </c>
      <c r="BX15" s="2" t="s">
        <v>228</v>
      </c>
      <c r="BY15" s="2" t="s">
        <v>239</v>
      </c>
      <c r="BZ15" s="2" t="s">
        <v>240</v>
      </c>
      <c r="CA15" s="2" t="s">
        <v>228</v>
      </c>
      <c r="CB15" s="2" t="s">
        <v>228</v>
      </c>
      <c r="CC15" s="2" t="s">
        <v>241</v>
      </c>
      <c r="CD15" s="2" t="s">
        <v>228</v>
      </c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</row>
    <row r="16">
      <c r="A16" s="2" t="s">
        <v>257</v>
      </c>
      <c r="B16" s="2" t="s">
        <v>258</v>
      </c>
      <c r="C16" s="2" t="s">
        <v>259</v>
      </c>
      <c r="D16" s="2" t="s">
        <v>260</v>
      </c>
      <c r="E16" s="2" t="s">
        <v>261</v>
      </c>
      <c r="F16" s="2" t="s">
        <v>262</v>
      </c>
      <c r="G16" s="2" t="s">
        <v>262</v>
      </c>
      <c r="H16" s="2" t="s">
        <v>262</v>
      </c>
      <c r="I16" s="2" t="s">
        <v>263</v>
      </c>
      <c r="J16" s="2" t="s">
        <v>264</v>
      </c>
      <c r="K16" s="2" t="s">
        <v>265</v>
      </c>
      <c r="L16" s="3">
        <v>25.3</v>
      </c>
      <c r="M16" s="3">
        <v>26.56</v>
      </c>
      <c r="N16" s="3">
        <v>54.99</v>
      </c>
      <c r="O16" s="2" t="s">
        <v>240</v>
      </c>
      <c r="P16" s="2" t="s">
        <v>266</v>
      </c>
      <c r="Q16" s="2" t="s">
        <v>234</v>
      </c>
      <c r="R16" s="2" t="s">
        <v>228</v>
      </c>
      <c r="S16" s="2" t="s">
        <v>267</v>
      </c>
      <c r="T16" s="2" t="s">
        <v>268</v>
      </c>
      <c r="U16" s="2" t="s">
        <v>228</v>
      </c>
      <c r="V16" s="2" t="s">
        <v>236</v>
      </c>
      <c r="W16" s="2" t="s">
        <v>269</v>
      </c>
      <c r="X16" s="2" t="s">
        <v>228</v>
      </c>
      <c r="Y16" s="2" t="s">
        <v>270</v>
      </c>
      <c r="Z16" s="4">
        <v>135</v>
      </c>
      <c r="AA16" s="4">
        <f>=ROUNDDOWN(16.875,0)</f>
      </c>
      <c r="AB16" s="5">
        <v>8</v>
      </c>
      <c r="AC16" s="2" t="s">
        <v>156</v>
      </c>
      <c r="AD16" s="4">
        <v>170</v>
      </c>
      <c r="AE16" s="4">
        <v>170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228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228</v>
      </c>
      <c r="AW16" s="8" t="s">
        <v>228</v>
      </c>
      <c r="AX16" s="4" t="s">
        <v>228</v>
      </c>
      <c r="AY16" s="8" t="s">
        <v>228</v>
      </c>
      <c r="AZ16" s="7" t="s">
        <v>228</v>
      </c>
      <c r="BA16" s="7" t="s">
        <v>228</v>
      </c>
      <c r="BB16" s="7"/>
      <c r="BC16" s="4" t="s">
        <v>228</v>
      </c>
      <c r="BD16" s="8" t="s">
        <v>228</v>
      </c>
      <c r="BE16" s="4" t="s">
        <v>228</v>
      </c>
      <c r="BF16" s="8" t="s">
        <v>228</v>
      </c>
      <c r="BG16" s="7" t="s">
        <v>228</v>
      </c>
      <c r="BH16" s="7" t="s">
        <v>228</v>
      </c>
      <c r="BI16" s="7"/>
      <c r="BJ16" s="4">
        <v>75</v>
      </c>
      <c r="BK16" s="8">
        <v>1990.33</v>
      </c>
      <c r="BL16" s="2" t="s">
        <v>271</v>
      </c>
      <c r="BM16" s="7"/>
      <c r="BN16" s="7"/>
      <c r="BO16" s="4"/>
      <c r="BP16" s="8"/>
      <c r="BQ16" s="4"/>
      <c r="BR16" s="8"/>
      <c r="BS16" s="7"/>
      <c r="BT16" s="7"/>
      <c r="BU16" s="2" t="s">
        <v>272</v>
      </c>
      <c r="BV16" s="2" t="s">
        <v>228</v>
      </c>
      <c r="BW16" s="2" t="s">
        <v>228</v>
      </c>
      <c r="BX16" s="2" t="s">
        <v>273</v>
      </c>
      <c r="BY16" s="2" t="s">
        <v>274</v>
      </c>
      <c r="BZ16" s="2" t="s">
        <v>240</v>
      </c>
      <c r="CA16" s="2" t="s">
        <v>275</v>
      </c>
      <c r="CB16" s="2" t="s">
        <v>276</v>
      </c>
      <c r="CC16" s="2" t="s">
        <v>241</v>
      </c>
      <c r="CD16" s="2" t="s">
        <v>228</v>
      </c>
      <c r="CE16" s="4">
        <v>135</v>
      </c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>
        <v>170</v>
      </c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</row>
    <row r="17">
      <c r="A17" s="2" t="s">
        <v>277</v>
      </c>
      <c r="B17" s="2" t="s">
        <v>258</v>
      </c>
      <c r="C17" s="2" t="s">
        <v>259</v>
      </c>
      <c r="D17" s="2" t="s">
        <v>260</v>
      </c>
      <c r="E17" s="2" t="s">
        <v>261</v>
      </c>
      <c r="F17" s="2" t="s">
        <v>262</v>
      </c>
      <c r="G17" s="2" t="s">
        <v>262</v>
      </c>
      <c r="H17" s="2" t="s">
        <v>262</v>
      </c>
      <c r="I17" s="2" t="s">
        <v>263</v>
      </c>
      <c r="J17" s="2" t="s">
        <v>278</v>
      </c>
      <c r="K17" s="2" t="s">
        <v>265</v>
      </c>
      <c r="L17" s="3">
        <v>27.6</v>
      </c>
      <c r="M17" s="3">
        <v>28.98</v>
      </c>
      <c r="N17" s="3">
        <v>59.99</v>
      </c>
      <c r="O17" s="2" t="s">
        <v>240</v>
      </c>
      <c r="P17" s="2" t="s">
        <v>266</v>
      </c>
      <c r="Q17" s="2" t="s">
        <v>234</v>
      </c>
      <c r="R17" s="2" t="s">
        <v>228</v>
      </c>
      <c r="S17" s="2" t="s">
        <v>267</v>
      </c>
      <c r="T17" s="2" t="s">
        <v>268</v>
      </c>
      <c r="U17" s="2" t="s">
        <v>228</v>
      </c>
      <c r="V17" s="2" t="s">
        <v>236</v>
      </c>
      <c r="W17" s="2" t="s">
        <v>269</v>
      </c>
      <c r="X17" s="2" t="s">
        <v>228</v>
      </c>
      <c r="Y17" s="2" t="s">
        <v>270</v>
      </c>
      <c r="Z17" s="4">
        <v>598</v>
      </c>
      <c r="AA17" s="4">
        <f>=ROUNDDOWN(59.8,0)</f>
      </c>
      <c r="AB17" s="5">
        <v>10</v>
      </c>
      <c r="AC17" s="2" t="s">
        <v>228</v>
      </c>
      <c r="AD17" s="4"/>
      <c r="AE17" s="4"/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228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228</v>
      </c>
      <c r="AW17" s="8" t="s">
        <v>228</v>
      </c>
      <c r="AX17" s="4" t="s">
        <v>228</v>
      </c>
      <c r="AY17" s="8" t="s">
        <v>228</v>
      </c>
      <c r="AZ17" s="7" t="s">
        <v>228</v>
      </c>
      <c r="BA17" s="7" t="s">
        <v>228</v>
      </c>
      <c r="BB17" s="7"/>
      <c r="BC17" s="4" t="s">
        <v>228</v>
      </c>
      <c r="BD17" s="8" t="s">
        <v>228</v>
      </c>
      <c r="BE17" s="4" t="s">
        <v>228</v>
      </c>
      <c r="BF17" s="8" t="s">
        <v>228</v>
      </c>
      <c r="BG17" s="7" t="s">
        <v>228</v>
      </c>
      <c r="BH17" s="7" t="s">
        <v>228</v>
      </c>
      <c r="BI17" s="7"/>
      <c r="BJ17" s="4">
        <v>227</v>
      </c>
      <c r="BK17" s="8">
        <v>6197.99</v>
      </c>
      <c r="BL17" s="2" t="s">
        <v>279</v>
      </c>
      <c r="BM17" s="7"/>
      <c r="BN17" s="7"/>
      <c r="BO17" s="4"/>
      <c r="BP17" s="8"/>
      <c r="BQ17" s="4"/>
      <c r="BR17" s="8"/>
      <c r="BS17" s="7"/>
      <c r="BT17" s="7"/>
      <c r="BU17" s="2" t="s">
        <v>280</v>
      </c>
      <c r="BV17" s="2" t="s">
        <v>228</v>
      </c>
      <c r="BW17" s="2" t="s">
        <v>228</v>
      </c>
      <c r="BX17" s="2" t="s">
        <v>273</v>
      </c>
      <c r="BY17" s="2" t="s">
        <v>274</v>
      </c>
      <c r="BZ17" s="2" t="s">
        <v>240</v>
      </c>
      <c r="CA17" s="2" t="s">
        <v>281</v>
      </c>
      <c r="CB17" s="2" t="s">
        <v>282</v>
      </c>
      <c r="CC17" s="2" t="s">
        <v>241</v>
      </c>
      <c r="CD17" s="2" t="s">
        <v>228</v>
      </c>
      <c r="CE17" s="4">
        <v>598</v>
      </c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</row>
    <row r="18">
      <c r="A18" s="2" t="s">
        <v>283</v>
      </c>
      <c r="B18" s="2" t="s">
        <v>258</v>
      </c>
      <c r="C18" s="2" t="s">
        <v>259</v>
      </c>
      <c r="D18" s="2" t="s">
        <v>260</v>
      </c>
      <c r="E18" s="2" t="s">
        <v>261</v>
      </c>
      <c r="F18" s="2" t="s">
        <v>262</v>
      </c>
      <c r="G18" s="2" t="s">
        <v>262</v>
      </c>
      <c r="H18" s="2" t="s">
        <v>262</v>
      </c>
      <c r="I18" s="2" t="s">
        <v>263</v>
      </c>
      <c r="J18" s="2" t="s">
        <v>284</v>
      </c>
      <c r="K18" s="2" t="s">
        <v>265</v>
      </c>
      <c r="L18" s="3">
        <v>32.2</v>
      </c>
      <c r="M18" s="3">
        <v>33.81</v>
      </c>
      <c r="N18" s="3">
        <v>69.99</v>
      </c>
      <c r="O18" s="2" t="s">
        <v>240</v>
      </c>
      <c r="P18" s="2" t="s">
        <v>266</v>
      </c>
      <c r="Q18" s="2" t="s">
        <v>234</v>
      </c>
      <c r="R18" s="2" t="s">
        <v>228</v>
      </c>
      <c r="S18" s="2" t="s">
        <v>267</v>
      </c>
      <c r="T18" s="2" t="s">
        <v>268</v>
      </c>
      <c r="U18" s="2" t="s">
        <v>228</v>
      </c>
      <c r="V18" s="2" t="s">
        <v>236</v>
      </c>
      <c r="W18" s="2" t="s">
        <v>269</v>
      </c>
      <c r="X18" s="2" t="s">
        <v>228</v>
      </c>
      <c r="Y18" s="2" t="s">
        <v>270</v>
      </c>
      <c r="Z18" s="4">
        <v>185</v>
      </c>
      <c r="AA18" s="4">
        <f>=ROUNDDOWN(26.4285714285714,0)</f>
      </c>
      <c r="AB18" s="5">
        <v>7</v>
      </c>
      <c r="AC18" s="2" t="s">
        <v>156</v>
      </c>
      <c r="AD18" s="4">
        <v>100</v>
      </c>
      <c r="AE18" s="4">
        <v>100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228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228</v>
      </c>
      <c r="AW18" s="8" t="s">
        <v>228</v>
      </c>
      <c r="AX18" s="4" t="s">
        <v>228</v>
      </c>
      <c r="AY18" s="8" t="s">
        <v>228</v>
      </c>
      <c r="AZ18" s="7" t="s">
        <v>228</v>
      </c>
      <c r="BA18" s="7" t="s">
        <v>228</v>
      </c>
      <c r="BB18" s="7"/>
      <c r="BC18" s="4" t="s">
        <v>228</v>
      </c>
      <c r="BD18" s="8" t="s">
        <v>228</v>
      </c>
      <c r="BE18" s="4" t="s">
        <v>228</v>
      </c>
      <c r="BF18" s="8" t="s">
        <v>228</v>
      </c>
      <c r="BG18" s="7" t="s">
        <v>228</v>
      </c>
      <c r="BH18" s="7" t="s">
        <v>228</v>
      </c>
      <c r="BI18" s="7"/>
      <c r="BJ18" s="4">
        <v>33</v>
      </c>
      <c r="BK18" s="8">
        <v>1152.81</v>
      </c>
      <c r="BL18" s="2" t="s">
        <v>285</v>
      </c>
      <c r="BM18" s="7"/>
      <c r="BN18" s="7"/>
      <c r="BO18" s="4"/>
      <c r="BP18" s="8"/>
      <c r="BQ18" s="4"/>
      <c r="BR18" s="8"/>
      <c r="BS18" s="7"/>
      <c r="BT18" s="7"/>
      <c r="BU18" s="2" t="s">
        <v>286</v>
      </c>
      <c r="BV18" s="2" t="s">
        <v>228</v>
      </c>
      <c r="BW18" s="2" t="s">
        <v>228</v>
      </c>
      <c r="BX18" s="2" t="s">
        <v>273</v>
      </c>
      <c r="BY18" s="2" t="s">
        <v>274</v>
      </c>
      <c r="BZ18" s="2" t="s">
        <v>240</v>
      </c>
      <c r="CA18" s="2" t="s">
        <v>275</v>
      </c>
      <c r="CB18" s="2" t="s">
        <v>287</v>
      </c>
      <c r="CC18" s="2" t="s">
        <v>241</v>
      </c>
      <c r="CD18" s="2" t="s">
        <v>228</v>
      </c>
      <c r="CE18" s="4">
        <v>185</v>
      </c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>
        <v>100</v>
      </c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</row>
    <row r="19">
      <c r="A19" s="2" t="s">
        <v>288</v>
      </c>
      <c r="B19" s="2" t="s">
        <v>258</v>
      </c>
      <c r="C19" s="2" t="s">
        <v>259</v>
      </c>
      <c r="D19" s="2" t="s">
        <v>260</v>
      </c>
      <c r="E19" s="2" t="s">
        <v>261</v>
      </c>
      <c r="F19" s="2" t="s">
        <v>262</v>
      </c>
      <c r="G19" s="2" t="s">
        <v>262</v>
      </c>
      <c r="H19" s="2" t="s">
        <v>262</v>
      </c>
      <c r="I19" s="2" t="s">
        <v>263</v>
      </c>
      <c r="J19" s="2" t="s">
        <v>289</v>
      </c>
      <c r="K19" s="2" t="s">
        <v>265</v>
      </c>
      <c r="L19" s="3">
        <v>36.8</v>
      </c>
      <c r="M19" s="3">
        <v>38.64</v>
      </c>
      <c r="N19" s="3">
        <v>79.99</v>
      </c>
      <c r="O19" s="2" t="s">
        <v>240</v>
      </c>
      <c r="P19" s="2" t="s">
        <v>266</v>
      </c>
      <c r="Q19" s="2" t="s">
        <v>234</v>
      </c>
      <c r="R19" s="2" t="s">
        <v>228</v>
      </c>
      <c r="S19" s="2" t="s">
        <v>267</v>
      </c>
      <c r="T19" s="2" t="s">
        <v>268</v>
      </c>
      <c r="U19" s="2" t="s">
        <v>228</v>
      </c>
      <c r="V19" s="2" t="s">
        <v>236</v>
      </c>
      <c r="W19" s="2" t="s">
        <v>269</v>
      </c>
      <c r="X19" s="2" t="s">
        <v>228</v>
      </c>
      <c r="Y19" s="2" t="s">
        <v>270</v>
      </c>
      <c r="Z19" s="4">
        <v>376</v>
      </c>
      <c r="AA19" s="4">
        <f>=ROUNDDOWN(31.3333333333333,0)</f>
      </c>
      <c r="AB19" s="5">
        <v>12</v>
      </c>
      <c r="AC19" s="2" t="s">
        <v>228</v>
      </c>
      <c r="AD19" s="4"/>
      <c r="AE19" s="4"/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228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228</v>
      </c>
      <c r="AW19" s="8" t="s">
        <v>228</v>
      </c>
      <c r="AX19" s="4" t="s">
        <v>228</v>
      </c>
      <c r="AY19" s="8" t="s">
        <v>228</v>
      </c>
      <c r="AZ19" s="7" t="s">
        <v>228</v>
      </c>
      <c r="BA19" s="7" t="s">
        <v>228</v>
      </c>
      <c r="BB19" s="7"/>
      <c r="BC19" s="4" t="s">
        <v>228</v>
      </c>
      <c r="BD19" s="8" t="s">
        <v>228</v>
      </c>
      <c r="BE19" s="4" t="s">
        <v>228</v>
      </c>
      <c r="BF19" s="8" t="s">
        <v>228</v>
      </c>
      <c r="BG19" s="7" t="s">
        <v>228</v>
      </c>
      <c r="BH19" s="7" t="s">
        <v>228</v>
      </c>
      <c r="BI19" s="7"/>
      <c r="BJ19" s="4">
        <v>45</v>
      </c>
      <c r="BK19" s="8">
        <v>1823.59</v>
      </c>
      <c r="BL19" s="2" t="s">
        <v>290</v>
      </c>
      <c r="BM19" s="7"/>
      <c r="BN19" s="7"/>
      <c r="BO19" s="4"/>
      <c r="BP19" s="8"/>
      <c r="BQ19" s="4"/>
      <c r="BR19" s="8"/>
      <c r="BS19" s="7"/>
      <c r="BT19" s="7"/>
      <c r="BU19" s="2" t="s">
        <v>291</v>
      </c>
      <c r="BV19" s="2" t="s">
        <v>228</v>
      </c>
      <c r="BW19" s="2" t="s">
        <v>228</v>
      </c>
      <c r="BX19" s="2" t="s">
        <v>273</v>
      </c>
      <c r="BY19" s="2" t="s">
        <v>274</v>
      </c>
      <c r="BZ19" s="2" t="s">
        <v>240</v>
      </c>
      <c r="CA19" s="2" t="s">
        <v>275</v>
      </c>
      <c r="CB19" s="2" t="s">
        <v>292</v>
      </c>
      <c r="CC19" s="2" t="s">
        <v>241</v>
      </c>
      <c r="CD19" s="2" t="s">
        <v>228</v>
      </c>
      <c r="CE19" s="4">
        <v>376</v>
      </c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</row>
    <row r="20">
      <c r="A20" s="2" t="s">
        <v>293</v>
      </c>
      <c r="B20" s="2" t="s">
        <v>258</v>
      </c>
      <c r="C20" s="2" t="s">
        <v>259</v>
      </c>
      <c r="D20" s="2" t="s">
        <v>260</v>
      </c>
      <c r="E20" s="2" t="s">
        <v>261</v>
      </c>
      <c r="F20" s="2" t="s">
        <v>262</v>
      </c>
      <c r="G20" s="2" t="s">
        <v>262</v>
      </c>
      <c r="H20" s="2" t="s">
        <v>262</v>
      </c>
      <c r="I20" s="2" t="s">
        <v>263</v>
      </c>
      <c r="J20" s="2" t="s">
        <v>294</v>
      </c>
      <c r="K20" s="2" t="s">
        <v>265</v>
      </c>
      <c r="L20" s="3">
        <v>46</v>
      </c>
      <c r="M20" s="3">
        <v>48.3</v>
      </c>
      <c r="N20" s="3">
        <v>99.99</v>
      </c>
      <c r="O20" s="2" t="s">
        <v>240</v>
      </c>
      <c r="P20" s="2" t="s">
        <v>266</v>
      </c>
      <c r="Q20" s="2" t="s">
        <v>234</v>
      </c>
      <c r="R20" s="2" t="s">
        <v>228</v>
      </c>
      <c r="S20" s="2" t="s">
        <v>267</v>
      </c>
      <c r="T20" s="2" t="s">
        <v>268</v>
      </c>
      <c r="U20" s="2" t="s">
        <v>228</v>
      </c>
      <c r="V20" s="2" t="s">
        <v>236</v>
      </c>
      <c r="W20" s="2" t="s">
        <v>269</v>
      </c>
      <c r="X20" s="2" t="s">
        <v>228</v>
      </c>
      <c r="Y20" s="2" t="s">
        <v>270</v>
      </c>
      <c r="Z20" s="4">
        <v>272</v>
      </c>
      <c r="AA20" s="4">
        <f>=ROUNDDOWN(38.8571428571429,0)</f>
      </c>
      <c r="AB20" s="5">
        <v>7</v>
      </c>
      <c r="AC20" s="2" t="s">
        <v>228</v>
      </c>
      <c r="AD20" s="4"/>
      <c r="AE20" s="4"/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228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228</v>
      </c>
      <c r="AW20" s="8" t="s">
        <v>228</v>
      </c>
      <c r="AX20" s="4" t="s">
        <v>228</v>
      </c>
      <c r="AY20" s="8" t="s">
        <v>228</v>
      </c>
      <c r="AZ20" s="7" t="s">
        <v>228</v>
      </c>
      <c r="BA20" s="7" t="s">
        <v>228</v>
      </c>
      <c r="BB20" s="7"/>
      <c r="BC20" s="4" t="s">
        <v>228</v>
      </c>
      <c r="BD20" s="8" t="s">
        <v>228</v>
      </c>
      <c r="BE20" s="4" t="s">
        <v>228</v>
      </c>
      <c r="BF20" s="8" t="s">
        <v>228</v>
      </c>
      <c r="BG20" s="7" t="s">
        <v>228</v>
      </c>
      <c r="BH20" s="7" t="s">
        <v>228</v>
      </c>
      <c r="BI20" s="7"/>
      <c r="BJ20" s="4">
        <v>13</v>
      </c>
      <c r="BK20" s="8">
        <v>674.88</v>
      </c>
      <c r="BL20" s="2" t="s">
        <v>295</v>
      </c>
      <c r="BM20" s="7"/>
      <c r="BN20" s="7"/>
      <c r="BO20" s="4"/>
      <c r="BP20" s="8"/>
      <c r="BQ20" s="4"/>
      <c r="BR20" s="8"/>
      <c r="BS20" s="7"/>
      <c r="BT20" s="7"/>
      <c r="BU20" s="2" t="s">
        <v>296</v>
      </c>
      <c r="BV20" s="2" t="s">
        <v>228</v>
      </c>
      <c r="BW20" s="2" t="s">
        <v>228</v>
      </c>
      <c r="BX20" s="2" t="s">
        <v>273</v>
      </c>
      <c r="BY20" s="2" t="s">
        <v>274</v>
      </c>
      <c r="BZ20" s="2" t="s">
        <v>240</v>
      </c>
      <c r="CA20" s="2" t="s">
        <v>275</v>
      </c>
      <c r="CB20" s="2" t="s">
        <v>297</v>
      </c>
      <c r="CC20" s="2" t="s">
        <v>241</v>
      </c>
      <c r="CD20" s="2" t="s">
        <v>228</v>
      </c>
      <c r="CE20" s="4">
        <v>272</v>
      </c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</row>
    <row r="21">
      <c r="A21" s="2" t="s">
        <v>298</v>
      </c>
      <c r="B21" s="2" t="s">
        <v>299</v>
      </c>
      <c r="C21" s="2" t="s">
        <v>300</v>
      </c>
      <c r="D21" s="2" t="s">
        <v>301</v>
      </c>
      <c r="E21" s="2" t="s">
        <v>302</v>
      </c>
      <c r="F21" s="2" t="s">
        <v>303</v>
      </c>
      <c r="G21" s="2" t="s">
        <v>303</v>
      </c>
      <c r="H21" s="2" t="s">
        <v>303</v>
      </c>
      <c r="I21" s="2" t="s">
        <v>304</v>
      </c>
      <c r="J21" s="2" t="s">
        <v>289</v>
      </c>
      <c r="K21" s="2" t="s">
        <v>305</v>
      </c>
      <c r="L21" s="3">
        <v>41.4</v>
      </c>
      <c r="M21" s="3">
        <v>43.47</v>
      </c>
      <c r="N21" s="3">
        <v>89.99</v>
      </c>
      <c r="O21" s="2" t="s">
        <v>240</v>
      </c>
      <c r="P21" s="2" t="s">
        <v>233</v>
      </c>
      <c r="Q21" s="2" t="s">
        <v>234</v>
      </c>
      <c r="R21" s="2" t="s">
        <v>228</v>
      </c>
      <c r="S21" s="2" t="s">
        <v>306</v>
      </c>
      <c r="T21" s="2" t="s">
        <v>307</v>
      </c>
      <c r="U21" s="2" t="s">
        <v>308</v>
      </c>
      <c r="V21" s="2" t="s">
        <v>236</v>
      </c>
      <c r="W21" s="2" t="s">
        <v>269</v>
      </c>
      <c r="X21" s="2" t="s">
        <v>309</v>
      </c>
      <c r="Y21" s="2" t="s">
        <v>228</v>
      </c>
      <c r="Z21" s="4"/>
      <c r="AA21" s="4">
        <f>=ROUNDDOWN({0},0)</f>
      </c>
      <c r="AB21" s="5"/>
      <c r="AC21" s="2" t="s">
        <v>154</v>
      </c>
      <c r="AD21" s="4">
        <v>390</v>
      </c>
      <c r="AE21" s="4">
        <v>780</v>
      </c>
      <c r="AF21" s="6">
        <v>69</v>
      </c>
      <c r="AG21" s="6"/>
      <c r="AH21" s="7"/>
      <c r="AI21" s="4"/>
      <c r="AJ21" s="4">
        <f>=ROUNDDOWN({0},0)</f>
      </c>
      <c r="AK21" s="5"/>
      <c r="AL21" s="2" t="s">
        <v>228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228</v>
      </c>
      <c r="AW21" s="8" t="s">
        <v>228</v>
      </c>
      <c r="AX21" s="4" t="s">
        <v>228</v>
      </c>
      <c r="AY21" s="8" t="s">
        <v>228</v>
      </c>
      <c r="AZ21" s="7" t="s">
        <v>228</v>
      </c>
      <c r="BA21" s="7" t="s">
        <v>228</v>
      </c>
      <c r="BB21" s="7"/>
      <c r="BC21" s="4" t="s">
        <v>228</v>
      </c>
      <c r="BD21" s="8" t="s">
        <v>228</v>
      </c>
      <c r="BE21" s="4" t="s">
        <v>228</v>
      </c>
      <c r="BF21" s="8" t="s">
        <v>228</v>
      </c>
      <c r="BG21" s="7" t="s">
        <v>228</v>
      </c>
      <c r="BH21" s="7" t="s">
        <v>228</v>
      </c>
      <c r="BI21" s="7"/>
      <c r="BJ21" s="4"/>
      <c r="BK21" s="8"/>
      <c r="BL21" s="2" t="s">
        <v>228</v>
      </c>
      <c r="BM21" s="7"/>
      <c r="BN21" s="7"/>
      <c r="BO21" s="4"/>
      <c r="BP21" s="8"/>
      <c r="BQ21" s="4"/>
      <c r="BR21" s="8"/>
      <c r="BS21" s="7"/>
      <c r="BT21" s="7"/>
      <c r="BU21" s="2" t="s">
        <v>238</v>
      </c>
      <c r="BV21" s="2" t="s">
        <v>228</v>
      </c>
      <c r="BW21" s="2" t="s">
        <v>228</v>
      </c>
      <c r="BX21" s="2" t="s">
        <v>238</v>
      </c>
      <c r="BY21" s="2" t="s">
        <v>239</v>
      </c>
      <c r="BZ21" s="2" t="s">
        <v>240</v>
      </c>
      <c r="CA21" s="2" t="s">
        <v>228</v>
      </c>
      <c r="CB21" s="2" t="s">
        <v>228</v>
      </c>
      <c r="CC21" s="2" t="s">
        <v>241</v>
      </c>
      <c r="CD21" s="2" t="s">
        <v>228</v>
      </c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>
        <v>390</v>
      </c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>
        <v>390</v>
      </c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</row>
    <row r="22">
      <c r="A22" s="2" t="s">
        <v>310</v>
      </c>
      <c r="B22" s="2" t="s">
        <v>299</v>
      </c>
      <c r="C22" s="2" t="s">
        <v>300</v>
      </c>
      <c r="D22" s="2" t="s">
        <v>301</v>
      </c>
      <c r="E22" s="2" t="s">
        <v>302</v>
      </c>
      <c r="F22" s="2" t="s">
        <v>303</v>
      </c>
      <c r="G22" s="2" t="s">
        <v>303</v>
      </c>
      <c r="H22" s="2" t="s">
        <v>303</v>
      </c>
      <c r="I22" s="2" t="s">
        <v>304</v>
      </c>
      <c r="J22" s="2" t="s">
        <v>294</v>
      </c>
      <c r="K22" s="2" t="s">
        <v>305</v>
      </c>
      <c r="L22" s="3">
        <v>46</v>
      </c>
      <c r="M22" s="3">
        <v>48.3</v>
      </c>
      <c r="N22" s="3">
        <v>99.99</v>
      </c>
      <c r="O22" s="2" t="s">
        <v>240</v>
      </c>
      <c r="P22" s="2" t="s">
        <v>233</v>
      </c>
      <c r="Q22" s="2" t="s">
        <v>234</v>
      </c>
      <c r="R22" s="2" t="s">
        <v>228</v>
      </c>
      <c r="S22" s="2" t="s">
        <v>306</v>
      </c>
      <c r="T22" s="2" t="s">
        <v>307</v>
      </c>
      <c r="U22" s="2" t="s">
        <v>308</v>
      </c>
      <c r="V22" s="2" t="s">
        <v>236</v>
      </c>
      <c r="W22" s="2" t="s">
        <v>269</v>
      </c>
      <c r="X22" s="2" t="s">
        <v>309</v>
      </c>
      <c r="Y22" s="2" t="s">
        <v>228</v>
      </c>
      <c r="Z22" s="4"/>
      <c r="AA22" s="4">
        <f>=ROUNDDOWN({0},0)</f>
      </c>
      <c r="AB22" s="5"/>
      <c r="AC22" s="2" t="s">
        <v>154</v>
      </c>
      <c r="AD22" s="4">
        <v>380</v>
      </c>
      <c r="AE22" s="4">
        <v>750</v>
      </c>
      <c r="AF22" s="6">
        <v>69</v>
      </c>
      <c r="AG22" s="6"/>
      <c r="AH22" s="7"/>
      <c r="AI22" s="4"/>
      <c r="AJ22" s="4">
        <f>=ROUNDDOWN({0},0)</f>
      </c>
      <c r="AK22" s="5"/>
      <c r="AL22" s="2" t="s">
        <v>228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228</v>
      </c>
      <c r="AW22" s="8" t="s">
        <v>228</v>
      </c>
      <c r="AX22" s="4" t="s">
        <v>228</v>
      </c>
      <c r="AY22" s="8" t="s">
        <v>228</v>
      </c>
      <c r="AZ22" s="7" t="s">
        <v>228</v>
      </c>
      <c r="BA22" s="7" t="s">
        <v>228</v>
      </c>
      <c r="BB22" s="7"/>
      <c r="BC22" s="4" t="s">
        <v>228</v>
      </c>
      <c r="BD22" s="8" t="s">
        <v>228</v>
      </c>
      <c r="BE22" s="4" t="s">
        <v>228</v>
      </c>
      <c r="BF22" s="8" t="s">
        <v>228</v>
      </c>
      <c r="BG22" s="7" t="s">
        <v>228</v>
      </c>
      <c r="BH22" s="7" t="s">
        <v>228</v>
      </c>
      <c r="BI22" s="7"/>
      <c r="BJ22" s="4"/>
      <c r="BK22" s="8"/>
      <c r="BL22" s="2" t="s">
        <v>228</v>
      </c>
      <c r="BM22" s="7"/>
      <c r="BN22" s="7"/>
      <c r="BO22" s="4"/>
      <c r="BP22" s="8"/>
      <c r="BQ22" s="4"/>
      <c r="BR22" s="8"/>
      <c r="BS22" s="7"/>
      <c r="BT22" s="7"/>
      <c r="BU22" s="2" t="s">
        <v>238</v>
      </c>
      <c r="BV22" s="2" t="s">
        <v>228</v>
      </c>
      <c r="BW22" s="2" t="s">
        <v>228</v>
      </c>
      <c r="BX22" s="2" t="s">
        <v>238</v>
      </c>
      <c r="BY22" s="2" t="s">
        <v>239</v>
      </c>
      <c r="BZ22" s="2" t="s">
        <v>240</v>
      </c>
      <c r="CA22" s="2" t="s">
        <v>228</v>
      </c>
      <c r="CB22" s="2" t="s">
        <v>228</v>
      </c>
      <c r="CC22" s="2" t="s">
        <v>241</v>
      </c>
      <c r="CD22" s="2" t="s">
        <v>228</v>
      </c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>
        <v>380</v>
      </c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>
        <v>370</v>
      </c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</row>
    <row r="23">
      <c r="A23" s="2" t="s">
        <v>311</v>
      </c>
      <c r="B23" s="2" t="s">
        <v>299</v>
      </c>
      <c r="C23" s="2" t="s">
        <v>300</v>
      </c>
      <c r="D23" s="2" t="s">
        <v>301</v>
      </c>
      <c r="E23" s="2" t="s">
        <v>302</v>
      </c>
      <c r="F23" s="2" t="s">
        <v>303</v>
      </c>
      <c r="G23" s="2" t="s">
        <v>303</v>
      </c>
      <c r="H23" s="2" t="s">
        <v>303</v>
      </c>
      <c r="I23" s="2" t="s">
        <v>304</v>
      </c>
      <c r="J23" s="2" t="s">
        <v>312</v>
      </c>
      <c r="K23" s="2" t="s">
        <v>305</v>
      </c>
      <c r="L23" s="3">
        <v>46</v>
      </c>
      <c r="M23" s="3">
        <v>48.3</v>
      </c>
      <c r="N23" s="3">
        <v>99.99</v>
      </c>
      <c r="O23" s="2" t="s">
        <v>240</v>
      </c>
      <c r="P23" s="2" t="s">
        <v>233</v>
      </c>
      <c r="Q23" s="2" t="s">
        <v>234</v>
      </c>
      <c r="R23" s="2" t="s">
        <v>228</v>
      </c>
      <c r="S23" s="2" t="s">
        <v>306</v>
      </c>
      <c r="T23" s="2" t="s">
        <v>307</v>
      </c>
      <c r="U23" s="2" t="s">
        <v>308</v>
      </c>
      <c r="V23" s="2" t="s">
        <v>236</v>
      </c>
      <c r="W23" s="2" t="s">
        <v>269</v>
      </c>
      <c r="X23" s="2" t="s">
        <v>309</v>
      </c>
      <c r="Y23" s="2" t="s">
        <v>228</v>
      </c>
      <c r="Z23" s="4"/>
      <c r="AA23" s="4">
        <f>=ROUNDDOWN({0},0)</f>
      </c>
      <c r="AB23" s="5"/>
      <c r="AC23" s="2" t="s">
        <v>154</v>
      </c>
      <c r="AD23" s="4">
        <v>150</v>
      </c>
      <c r="AE23" s="4">
        <v>290</v>
      </c>
      <c r="AF23" s="6">
        <v>69</v>
      </c>
      <c r="AG23" s="6"/>
      <c r="AH23" s="7"/>
      <c r="AI23" s="4"/>
      <c r="AJ23" s="4">
        <f>=ROUNDDOWN({0},0)</f>
      </c>
      <c r="AK23" s="5"/>
      <c r="AL23" s="2" t="s">
        <v>228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228</v>
      </c>
      <c r="AW23" s="8" t="s">
        <v>228</v>
      </c>
      <c r="AX23" s="4" t="s">
        <v>228</v>
      </c>
      <c r="AY23" s="8" t="s">
        <v>228</v>
      </c>
      <c r="AZ23" s="7" t="s">
        <v>228</v>
      </c>
      <c r="BA23" s="7" t="s">
        <v>228</v>
      </c>
      <c r="BB23" s="7"/>
      <c r="BC23" s="4" t="s">
        <v>228</v>
      </c>
      <c r="BD23" s="8" t="s">
        <v>228</v>
      </c>
      <c r="BE23" s="4" t="s">
        <v>228</v>
      </c>
      <c r="BF23" s="8" t="s">
        <v>228</v>
      </c>
      <c r="BG23" s="7" t="s">
        <v>228</v>
      </c>
      <c r="BH23" s="7" t="s">
        <v>228</v>
      </c>
      <c r="BI23" s="7"/>
      <c r="BJ23" s="4"/>
      <c r="BK23" s="8"/>
      <c r="BL23" s="2" t="s">
        <v>228</v>
      </c>
      <c r="BM23" s="7"/>
      <c r="BN23" s="7"/>
      <c r="BO23" s="4"/>
      <c r="BP23" s="8"/>
      <c r="BQ23" s="4"/>
      <c r="BR23" s="8"/>
      <c r="BS23" s="7"/>
      <c r="BT23" s="7"/>
      <c r="BU23" s="2" t="s">
        <v>238</v>
      </c>
      <c r="BV23" s="2" t="s">
        <v>228</v>
      </c>
      <c r="BW23" s="2" t="s">
        <v>228</v>
      </c>
      <c r="BX23" s="2" t="s">
        <v>238</v>
      </c>
      <c r="BY23" s="2" t="s">
        <v>239</v>
      </c>
      <c r="BZ23" s="2" t="s">
        <v>240</v>
      </c>
      <c r="CA23" s="2" t="s">
        <v>228</v>
      </c>
      <c r="CB23" s="2" t="s">
        <v>228</v>
      </c>
      <c r="CC23" s="2" t="s">
        <v>241</v>
      </c>
      <c r="CD23" s="2" t="s">
        <v>228</v>
      </c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>
        <v>150</v>
      </c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>
        <v>140</v>
      </c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</row>
    <row r="24">
      <c r="A24" s="2" t="s">
        <v>313</v>
      </c>
      <c r="B24" s="2" t="s">
        <v>258</v>
      </c>
      <c r="C24" s="2" t="s">
        <v>259</v>
      </c>
      <c r="D24" s="2" t="s">
        <v>260</v>
      </c>
      <c r="E24" s="2" t="s">
        <v>261</v>
      </c>
      <c r="F24" s="2" t="s">
        <v>314</v>
      </c>
      <c r="G24" s="2" t="s">
        <v>314</v>
      </c>
      <c r="H24" s="2" t="s">
        <v>314</v>
      </c>
      <c r="I24" s="2" t="s">
        <v>315</v>
      </c>
      <c r="J24" s="2" t="s">
        <v>264</v>
      </c>
      <c r="K24" s="2" t="s">
        <v>316</v>
      </c>
      <c r="L24" s="3">
        <v>58.29</v>
      </c>
      <c r="M24" s="3">
        <v>61.2</v>
      </c>
      <c r="N24" s="3">
        <v>109.99</v>
      </c>
      <c r="O24" s="2" t="s">
        <v>240</v>
      </c>
      <c r="P24" s="2" t="s">
        <v>266</v>
      </c>
      <c r="Q24" s="2" t="s">
        <v>234</v>
      </c>
      <c r="R24" s="2" t="s">
        <v>228</v>
      </c>
      <c r="S24" s="2" t="s">
        <v>317</v>
      </c>
      <c r="T24" s="2" t="s">
        <v>268</v>
      </c>
      <c r="U24" s="2" t="s">
        <v>228</v>
      </c>
      <c r="V24" s="2" t="s">
        <v>236</v>
      </c>
      <c r="W24" s="2" t="s">
        <v>269</v>
      </c>
      <c r="X24" s="2" t="s">
        <v>228</v>
      </c>
      <c r="Y24" s="2" t="s">
        <v>270</v>
      </c>
      <c r="Z24" s="4">
        <v>264</v>
      </c>
      <c r="AA24" s="4">
        <f>=ROUNDDOWN(66,0)</f>
      </c>
      <c r="AB24" s="5">
        <v>4</v>
      </c>
      <c r="AC24" s="2" t="s">
        <v>228</v>
      </c>
      <c r="AD24" s="4"/>
      <c r="AE24" s="4"/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228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228</v>
      </c>
      <c r="AW24" s="8" t="s">
        <v>228</v>
      </c>
      <c r="AX24" s="4" t="s">
        <v>228</v>
      </c>
      <c r="AY24" s="8" t="s">
        <v>228</v>
      </c>
      <c r="AZ24" s="7" t="s">
        <v>228</v>
      </c>
      <c r="BA24" s="7" t="s">
        <v>228</v>
      </c>
      <c r="BB24" s="7"/>
      <c r="BC24" s="4" t="s">
        <v>228</v>
      </c>
      <c r="BD24" s="8" t="s">
        <v>228</v>
      </c>
      <c r="BE24" s="4" t="s">
        <v>228</v>
      </c>
      <c r="BF24" s="8" t="s">
        <v>228</v>
      </c>
      <c r="BG24" s="7" t="s">
        <v>228</v>
      </c>
      <c r="BH24" s="7" t="s">
        <v>228</v>
      </c>
      <c r="BI24" s="7"/>
      <c r="BJ24" s="4">
        <v>6</v>
      </c>
      <c r="BK24" s="8">
        <v>327.86</v>
      </c>
      <c r="BL24" s="2" t="s">
        <v>318</v>
      </c>
      <c r="BM24" s="7"/>
      <c r="BN24" s="7"/>
      <c r="BO24" s="4"/>
      <c r="BP24" s="8"/>
      <c r="BQ24" s="4"/>
      <c r="BR24" s="8"/>
      <c r="BS24" s="7"/>
      <c r="BT24" s="7"/>
      <c r="BU24" s="2" t="s">
        <v>319</v>
      </c>
      <c r="BV24" s="2" t="s">
        <v>228</v>
      </c>
      <c r="BW24" s="2" t="s">
        <v>228</v>
      </c>
      <c r="BX24" s="2" t="s">
        <v>273</v>
      </c>
      <c r="BY24" s="2" t="s">
        <v>274</v>
      </c>
      <c r="BZ24" s="2" t="s">
        <v>240</v>
      </c>
      <c r="CA24" s="2" t="s">
        <v>275</v>
      </c>
      <c r="CB24" s="2" t="s">
        <v>320</v>
      </c>
      <c r="CC24" s="2" t="s">
        <v>241</v>
      </c>
      <c r="CD24" s="2" t="s">
        <v>228</v>
      </c>
      <c r="CE24" s="4">
        <v>264</v>
      </c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</row>
    <row r="25">
      <c r="A25" s="2" t="s">
        <v>321</v>
      </c>
      <c r="B25" s="2" t="s">
        <v>258</v>
      </c>
      <c r="C25" s="2" t="s">
        <v>259</v>
      </c>
      <c r="D25" s="2" t="s">
        <v>260</v>
      </c>
      <c r="E25" s="2" t="s">
        <v>261</v>
      </c>
      <c r="F25" s="2" t="s">
        <v>314</v>
      </c>
      <c r="G25" s="2" t="s">
        <v>314</v>
      </c>
      <c r="H25" s="2" t="s">
        <v>314</v>
      </c>
      <c r="I25" s="2" t="s">
        <v>315</v>
      </c>
      <c r="J25" s="2" t="s">
        <v>284</v>
      </c>
      <c r="K25" s="2" t="s">
        <v>316</v>
      </c>
      <c r="L25" s="3">
        <v>74.19</v>
      </c>
      <c r="M25" s="3">
        <v>77.9</v>
      </c>
      <c r="N25" s="3">
        <v>139.99</v>
      </c>
      <c r="O25" s="2" t="s">
        <v>240</v>
      </c>
      <c r="P25" s="2" t="s">
        <v>266</v>
      </c>
      <c r="Q25" s="2" t="s">
        <v>234</v>
      </c>
      <c r="R25" s="2" t="s">
        <v>228</v>
      </c>
      <c r="S25" s="2" t="s">
        <v>317</v>
      </c>
      <c r="T25" s="2" t="s">
        <v>268</v>
      </c>
      <c r="U25" s="2" t="s">
        <v>228</v>
      </c>
      <c r="V25" s="2" t="s">
        <v>236</v>
      </c>
      <c r="W25" s="2" t="s">
        <v>269</v>
      </c>
      <c r="X25" s="2" t="s">
        <v>228</v>
      </c>
      <c r="Y25" s="2" t="s">
        <v>270</v>
      </c>
      <c r="Z25" s="4">
        <v>264</v>
      </c>
      <c r="AA25" s="4">
        <f>=ROUNDDOWN(66,0)</f>
      </c>
      <c r="AB25" s="5">
        <v>4</v>
      </c>
      <c r="AC25" s="2" t="s">
        <v>228</v>
      </c>
      <c r="AD25" s="4"/>
      <c r="AE25" s="4"/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228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228</v>
      </c>
      <c r="AW25" s="8" t="s">
        <v>228</v>
      </c>
      <c r="AX25" s="4" t="s">
        <v>228</v>
      </c>
      <c r="AY25" s="8" t="s">
        <v>228</v>
      </c>
      <c r="AZ25" s="7" t="s">
        <v>228</v>
      </c>
      <c r="BA25" s="7" t="s">
        <v>228</v>
      </c>
      <c r="BB25" s="7"/>
      <c r="BC25" s="4" t="s">
        <v>228</v>
      </c>
      <c r="BD25" s="8" t="s">
        <v>228</v>
      </c>
      <c r="BE25" s="4" t="s">
        <v>228</v>
      </c>
      <c r="BF25" s="8" t="s">
        <v>228</v>
      </c>
      <c r="BG25" s="7" t="s">
        <v>228</v>
      </c>
      <c r="BH25" s="7" t="s">
        <v>228</v>
      </c>
      <c r="BI25" s="7"/>
      <c r="BJ25" s="4">
        <v>3</v>
      </c>
      <c r="BK25" s="8">
        <v>238.08</v>
      </c>
      <c r="BL25" s="2" t="s">
        <v>322</v>
      </c>
      <c r="BM25" s="7"/>
      <c r="BN25" s="7"/>
      <c r="BO25" s="4"/>
      <c r="BP25" s="8"/>
      <c r="BQ25" s="4"/>
      <c r="BR25" s="8"/>
      <c r="BS25" s="7"/>
      <c r="BT25" s="7"/>
      <c r="BU25" s="2" t="s">
        <v>323</v>
      </c>
      <c r="BV25" s="2" t="s">
        <v>228</v>
      </c>
      <c r="BW25" s="2" t="s">
        <v>228</v>
      </c>
      <c r="BX25" s="2" t="s">
        <v>273</v>
      </c>
      <c r="BY25" s="2" t="s">
        <v>274</v>
      </c>
      <c r="BZ25" s="2" t="s">
        <v>240</v>
      </c>
      <c r="CA25" s="2" t="s">
        <v>275</v>
      </c>
      <c r="CB25" s="2" t="s">
        <v>324</v>
      </c>
      <c r="CC25" s="2" t="s">
        <v>241</v>
      </c>
      <c r="CD25" s="2" t="s">
        <v>228</v>
      </c>
      <c r="CE25" s="4">
        <v>264</v>
      </c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</row>
    <row r="26">
      <c r="A26" s="2" t="s">
        <v>325</v>
      </c>
      <c r="B26" s="2" t="s">
        <v>258</v>
      </c>
      <c r="C26" s="2" t="s">
        <v>259</v>
      </c>
      <c r="D26" s="2" t="s">
        <v>260</v>
      </c>
      <c r="E26" s="2" t="s">
        <v>261</v>
      </c>
      <c r="F26" s="2" t="s">
        <v>314</v>
      </c>
      <c r="G26" s="2" t="s">
        <v>314</v>
      </c>
      <c r="H26" s="2" t="s">
        <v>314</v>
      </c>
      <c r="I26" s="2" t="s">
        <v>315</v>
      </c>
      <c r="J26" s="2" t="s">
        <v>294</v>
      </c>
      <c r="K26" s="2" t="s">
        <v>316</v>
      </c>
      <c r="L26" s="3">
        <v>100.69</v>
      </c>
      <c r="M26" s="3">
        <v>105.72</v>
      </c>
      <c r="N26" s="3">
        <v>189.99</v>
      </c>
      <c r="O26" s="2" t="s">
        <v>240</v>
      </c>
      <c r="P26" s="2" t="s">
        <v>266</v>
      </c>
      <c r="Q26" s="2" t="s">
        <v>234</v>
      </c>
      <c r="R26" s="2" t="s">
        <v>228</v>
      </c>
      <c r="S26" s="2" t="s">
        <v>317</v>
      </c>
      <c r="T26" s="2" t="s">
        <v>268</v>
      </c>
      <c r="U26" s="2" t="s">
        <v>228</v>
      </c>
      <c r="V26" s="2" t="s">
        <v>236</v>
      </c>
      <c r="W26" s="2" t="s">
        <v>269</v>
      </c>
      <c r="X26" s="2" t="s">
        <v>228</v>
      </c>
      <c r="Y26" s="2" t="s">
        <v>270</v>
      </c>
      <c r="Z26" s="4">
        <v>253</v>
      </c>
      <c r="AA26" s="4">
        <f>=ROUNDDOWN(50.6,0)</f>
      </c>
      <c r="AB26" s="5">
        <v>5</v>
      </c>
      <c r="AC26" s="2" t="s">
        <v>228</v>
      </c>
      <c r="AD26" s="4"/>
      <c r="AE26" s="4"/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228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228</v>
      </c>
      <c r="AW26" s="8" t="s">
        <v>228</v>
      </c>
      <c r="AX26" s="4" t="s">
        <v>228</v>
      </c>
      <c r="AY26" s="8" t="s">
        <v>228</v>
      </c>
      <c r="AZ26" s="7" t="s">
        <v>228</v>
      </c>
      <c r="BA26" s="7" t="s">
        <v>228</v>
      </c>
      <c r="BB26" s="7"/>
      <c r="BC26" s="4" t="s">
        <v>228</v>
      </c>
      <c r="BD26" s="8" t="s">
        <v>228</v>
      </c>
      <c r="BE26" s="4" t="s">
        <v>228</v>
      </c>
      <c r="BF26" s="8" t="s">
        <v>228</v>
      </c>
      <c r="BG26" s="7" t="s">
        <v>228</v>
      </c>
      <c r="BH26" s="7" t="s">
        <v>228</v>
      </c>
      <c r="BI26" s="7"/>
      <c r="BJ26" s="4">
        <v>2</v>
      </c>
      <c r="BK26" s="8">
        <v>225.2</v>
      </c>
      <c r="BL26" s="2" t="s">
        <v>326</v>
      </c>
      <c r="BM26" s="7"/>
      <c r="BN26" s="7"/>
      <c r="BO26" s="4"/>
      <c r="BP26" s="8"/>
      <c r="BQ26" s="4"/>
      <c r="BR26" s="8"/>
      <c r="BS26" s="7"/>
      <c r="BT26" s="7"/>
      <c r="BU26" s="2" t="s">
        <v>327</v>
      </c>
      <c r="BV26" s="2" t="s">
        <v>228</v>
      </c>
      <c r="BW26" s="2" t="s">
        <v>228</v>
      </c>
      <c r="BX26" s="2" t="s">
        <v>273</v>
      </c>
      <c r="BY26" s="2" t="s">
        <v>274</v>
      </c>
      <c r="BZ26" s="2" t="s">
        <v>240</v>
      </c>
      <c r="CA26" s="2" t="s">
        <v>275</v>
      </c>
      <c r="CB26" s="2" t="s">
        <v>328</v>
      </c>
      <c r="CC26" s="2" t="s">
        <v>241</v>
      </c>
      <c r="CD26" s="2" t="s">
        <v>228</v>
      </c>
      <c r="CE26" s="4">
        <v>253</v>
      </c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</row>
    <row r="27">
      <c r="A27" s="2" t="s">
        <v>329</v>
      </c>
      <c r="B27" s="2" t="s">
        <v>258</v>
      </c>
      <c r="C27" s="2" t="s">
        <v>259</v>
      </c>
      <c r="D27" s="2" t="s">
        <v>260</v>
      </c>
      <c r="E27" s="2" t="s">
        <v>261</v>
      </c>
      <c r="F27" s="2" t="s">
        <v>330</v>
      </c>
      <c r="G27" s="2" t="s">
        <v>331</v>
      </c>
      <c r="H27" s="2" t="s">
        <v>330</v>
      </c>
      <c r="I27" s="2" t="s">
        <v>332</v>
      </c>
      <c r="J27" s="2" t="s">
        <v>284</v>
      </c>
      <c r="K27" s="2" t="s">
        <v>316</v>
      </c>
      <c r="L27" s="3">
        <v>79.49</v>
      </c>
      <c r="M27" s="3">
        <v>83.46</v>
      </c>
      <c r="N27" s="3">
        <v>149.99</v>
      </c>
      <c r="O27" s="2" t="s">
        <v>240</v>
      </c>
      <c r="P27" s="2" t="s">
        <v>333</v>
      </c>
      <c r="Q27" s="2" t="s">
        <v>234</v>
      </c>
      <c r="R27" s="2" t="s">
        <v>228</v>
      </c>
      <c r="S27" s="2" t="s">
        <v>334</v>
      </c>
      <c r="T27" s="2" t="s">
        <v>268</v>
      </c>
      <c r="U27" s="2" t="s">
        <v>228</v>
      </c>
      <c r="V27" s="2" t="s">
        <v>236</v>
      </c>
      <c r="W27" s="2" t="s">
        <v>269</v>
      </c>
      <c r="X27" s="2" t="s">
        <v>228</v>
      </c>
      <c r="Y27" s="2" t="s">
        <v>270</v>
      </c>
      <c r="Z27" s="4">
        <v>73</v>
      </c>
      <c r="AA27" s="4">
        <f>=ROUNDDOWN(18.25,0)</f>
      </c>
      <c r="AB27" s="5">
        <v>4</v>
      </c>
      <c r="AC27" s="2" t="s">
        <v>228</v>
      </c>
      <c r="AD27" s="4"/>
      <c r="AE27" s="4"/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228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228</v>
      </c>
      <c r="AW27" s="8" t="s">
        <v>228</v>
      </c>
      <c r="AX27" s="4" t="s">
        <v>228</v>
      </c>
      <c r="AY27" s="8" t="s">
        <v>228</v>
      </c>
      <c r="AZ27" s="7" t="s">
        <v>228</v>
      </c>
      <c r="BA27" s="7" t="s">
        <v>228</v>
      </c>
      <c r="BB27" s="7"/>
      <c r="BC27" s="4" t="s">
        <v>228</v>
      </c>
      <c r="BD27" s="8" t="s">
        <v>228</v>
      </c>
      <c r="BE27" s="4" t="s">
        <v>228</v>
      </c>
      <c r="BF27" s="8" t="s">
        <v>228</v>
      </c>
      <c r="BG27" s="7" t="s">
        <v>228</v>
      </c>
      <c r="BH27" s="7" t="s">
        <v>228</v>
      </c>
      <c r="BI27" s="7"/>
      <c r="BJ27" s="4">
        <v>18</v>
      </c>
      <c r="BK27" s="8">
        <v>954.31</v>
      </c>
      <c r="BL27" s="2" t="s">
        <v>335</v>
      </c>
      <c r="BM27" s="7"/>
      <c r="BN27" s="7"/>
      <c r="BO27" s="4"/>
      <c r="BP27" s="8"/>
      <c r="BQ27" s="4"/>
      <c r="BR27" s="8"/>
      <c r="BS27" s="7"/>
      <c r="BT27" s="7"/>
      <c r="BU27" s="2" t="s">
        <v>336</v>
      </c>
      <c r="BV27" s="2" t="s">
        <v>228</v>
      </c>
      <c r="BW27" s="2" t="s">
        <v>228</v>
      </c>
      <c r="BX27" s="2" t="s">
        <v>337</v>
      </c>
      <c r="BY27" s="2" t="s">
        <v>274</v>
      </c>
      <c r="BZ27" s="2" t="s">
        <v>240</v>
      </c>
      <c r="CA27" s="2" t="s">
        <v>338</v>
      </c>
      <c r="CB27" s="2" t="s">
        <v>339</v>
      </c>
      <c r="CC27" s="2" t="s">
        <v>241</v>
      </c>
      <c r="CD27" s="2" t="s">
        <v>228</v>
      </c>
      <c r="CE27" s="4">
        <v>73</v>
      </c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</row>
    <row r="28">
      <c r="A28" s="2" t="s">
        <v>340</v>
      </c>
      <c r="B28" s="2" t="s">
        <v>258</v>
      </c>
      <c r="C28" s="2" t="s">
        <v>259</v>
      </c>
      <c r="D28" s="2" t="s">
        <v>260</v>
      </c>
      <c r="E28" s="2" t="s">
        <v>261</v>
      </c>
      <c r="F28" s="2" t="s">
        <v>330</v>
      </c>
      <c r="G28" s="2" t="s">
        <v>331</v>
      </c>
      <c r="H28" s="2" t="s">
        <v>330</v>
      </c>
      <c r="I28" s="2" t="s">
        <v>332</v>
      </c>
      <c r="J28" s="2" t="s">
        <v>294</v>
      </c>
      <c r="K28" s="2" t="s">
        <v>316</v>
      </c>
      <c r="L28" s="3">
        <v>111.29</v>
      </c>
      <c r="M28" s="3">
        <v>116.85</v>
      </c>
      <c r="N28" s="3">
        <v>209.99</v>
      </c>
      <c r="O28" s="2" t="s">
        <v>240</v>
      </c>
      <c r="P28" s="2" t="s">
        <v>333</v>
      </c>
      <c r="Q28" s="2" t="s">
        <v>234</v>
      </c>
      <c r="R28" s="2" t="s">
        <v>228</v>
      </c>
      <c r="S28" s="2" t="s">
        <v>334</v>
      </c>
      <c r="T28" s="2" t="s">
        <v>268</v>
      </c>
      <c r="U28" s="2" t="s">
        <v>228</v>
      </c>
      <c r="V28" s="2" t="s">
        <v>236</v>
      </c>
      <c r="W28" s="2" t="s">
        <v>269</v>
      </c>
      <c r="X28" s="2" t="s">
        <v>228</v>
      </c>
      <c r="Y28" s="2" t="s">
        <v>270</v>
      </c>
      <c r="Z28" s="4">
        <v>53</v>
      </c>
      <c r="AA28" s="4">
        <f>=ROUNDDOWN(26.5,0)</f>
      </c>
      <c r="AB28" s="5">
        <v>2</v>
      </c>
      <c r="AC28" s="2" t="s">
        <v>228</v>
      </c>
      <c r="AD28" s="4"/>
      <c r="AE28" s="4"/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228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228</v>
      </c>
      <c r="AW28" s="8" t="s">
        <v>228</v>
      </c>
      <c r="AX28" s="4" t="s">
        <v>228</v>
      </c>
      <c r="AY28" s="8" t="s">
        <v>228</v>
      </c>
      <c r="AZ28" s="7" t="s">
        <v>228</v>
      </c>
      <c r="BA28" s="7" t="s">
        <v>228</v>
      </c>
      <c r="BB28" s="7"/>
      <c r="BC28" s="4" t="s">
        <v>228</v>
      </c>
      <c r="BD28" s="8" t="s">
        <v>228</v>
      </c>
      <c r="BE28" s="4" t="s">
        <v>228</v>
      </c>
      <c r="BF28" s="8" t="s">
        <v>228</v>
      </c>
      <c r="BG28" s="7" t="s">
        <v>228</v>
      </c>
      <c r="BH28" s="7" t="s">
        <v>228</v>
      </c>
      <c r="BI28" s="7"/>
      <c r="BJ28" s="4">
        <v>3</v>
      </c>
      <c r="BK28" s="8">
        <v>250.56</v>
      </c>
      <c r="BL28" s="2" t="s">
        <v>341</v>
      </c>
      <c r="BM28" s="7"/>
      <c r="BN28" s="7"/>
      <c r="BO28" s="4"/>
      <c r="BP28" s="8"/>
      <c r="BQ28" s="4"/>
      <c r="BR28" s="8"/>
      <c r="BS28" s="7"/>
      <c r="BT28" s="7"/>
      <c r="BU28" s="2" t="s">
        <v>342</v>
      </c>
      <c r="BV28" s="2" t="s">
        <v>228</v>
      </c>
      <c r="BW28" s="2" t="s">
        <v>228</v>
      </c>
      <c r="BX28" s="2" t="s">
        <v>337</v>
      </c>
      <c r="BY28" s="2" t="s">
        <v>274</v>
      </c>
      <c r="BZ28" s="2" t="s">
        <v>240</v>
      </c>
      <c r="CA28" s="2" t="s">
        <v>338</v>
      </c>
      <c r="CB28" s="2" t="s">
        <v>343</v>
      </c>
      <c r="CC28" s="2" t="s">
        <v>241</v>
      </c>
      <c r="CD28" s="2" t="s">
        <v>228</v>
      </c>
      <c r="CE28" s="4">
        <v>53</v>
      </c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</row>
    <row r="29">
      <c r="A29" s="2" t="s">
        <v>344</v>
      </c>
      <c r="B29" s="2" t="s">
        <v>299</v>
      </c>
      <c r="C29" s="2" t="s">
        <v>345</v>
      </c>
      <c r="D29" s="2" t="s">
        <v>301</v>
      </c>
      <c r="E29" s="2" t="s">
        <v>302</v>
      </c>
      <c r="F29" s="2" t="s">
        <v>346</v>
      </c>
      <c r="G29" s="2" t="s">
        <v>346</v>
      </c>
      <c r="H29" s="2" t="s">
        <v>346</v>
      </c>
      <c r="I29" s="2" t="s">
        <v>347</v>
      </c>
      <c r="J29" s="2" t="s">
        <v>284</v>
      </c>
      <c r="K29" s="2" t="s">
        <v>348</v>
      </c>
      <c r="L29" s="3">
        <v>23.75</v>
      </c>
      <c r="M29" s="3">
        <v>24.94</v>
      </c>
      <c r="N29" s="3">
        <v>49.99</v>
      </c>
      <c r="O29" s="2" t="s">
        <v>240</v>
      </c>
      <c r="P29" s="2" t="s">
        <v>233</v>
      </c>
      <c r="Q29" s="2" t="s">
        <v>234</v>
      </c>
      <c r="R29" s="2" t="s">
        <v>228</v>
      </c>
      <c r="S29" s="2" t="s">
        <v>349</v>
      </c>
      <c r="T29" s="2" t="s">
        <v>350</v>
      </c>
      <c r="U29" s="2" t="s">
        <v>308</v>
      </c>
      <c r="V29" s="2" t="s">
        <v>351</v>
      </c>
      <c r="W29" s="2" t="s">
        <v>351</v>
      </c>
      <c r="X29" s="2" t="s">
        <v>269</v>
      </c>
      <c r="Y29" s="2" t="s">
        <v>352</v>
      </c>
      <c r="Z29" s="4">
        <v>102</v>
      </c>
      <c r="AA29" s="4">
        <f>=ROUNDDOWN(51,0)</f>
      </c>
      <c r="AB29" s="5">
        <v>2</v>
      </c>
      <c r="AC29" s="2" t="s">
        <v>228</v>
      </c>
      <c r="AD29" s="4"/>
      <c r="AE29" s="4"/>
      <c r="AF29" s="6">
        <v>70</v>
      </c>
      <c r="AG29" s="6"/>
      <c r="AH29" s="7">
        <v>1</v>
      </c>
      <c r="AI29" s="4"/>
      <c r="AJ29" s="4">
        <f>=ROUNDDOWN({0},0)</f>
      </c>
      <c r="AK29" s="5"/>
      <c r="AL29" s="2" t="s">
        <v>228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228</v>
      </c>
      <c r="AW29" s="8" t="s">
        <v>228</v>
      </c>
      <c r="AX29" s="4" t="s">
        <v>228</v>
      </c>
      <c r="AY29" s="8" t="s">
        <v>228</v>
      </c>
      <c r="AZ29" s="7" t="s">
        <v>228</v>
      </c>
      <c r="BA29" s="7" t="s">
        <v>228</v>
      </c>
      <c r="BB29" s="7"/>
      <c r="BC29" s="4" t="s">
        <v>228</v>
      </c>
      <c r="BD29" s="8" t="s">
        <v>228</v>
      </c>
      <c r="BE29" s="4" t="s">
        <v>228</v>
      </c>
      <c r="BF29" s="8" t="s">
        <v>228</v>
      </c>
      <c r="BG29" s="7" t="s">
        <v>228</v>
      </c>
      <c r="BH29" s="7" t="s">
        <v>228</v>
      </c>
      <c r="BI29" s="7"/>
      <c r="BJ29" s="4">
        <v>3</v>
      </c>
      <c r="BK29" s="8">
        <v>79.67</v>
      </c>
      <c r="BL29" s="2" t="s">
        <v>353</v>
      </c>
      <c r="BM29" s="7"/>
      <c r="BN29" s="7"/>
      <c r="BO29" s="4"/>
      <c r="BP29" s="8"/>
      <c r="BQ29" s="4"/>
      <c r="BR29" s="8"/>
      <c r="BS29" s="7"/>
      <c r="BT29" s="7"/>
      <c r="BU29" s="2" t="s">
        <v>354</v>
      </c>
      <c r="BV29" s="2" t="s">
        <v>228</v>
      </c>
      <c r="BW29" s="2" t="s">
        <v>228</v>
      </c>
      <c r="BX29" s="2" t="s">
        <v>273</v>
      </c>
      <c r="BY29" s="2" t="s">
        <v>274</v>
      </c>
      <c r="BZ29" s="2" t="s">
        <v>240</v>
      </c>
      <c r="CA29" s="2" t="s">
        <v>355</v>
      </c>
      <c r="CB29" s="2" t="s">
        <v>228</v>
      </c>
      <c r="CC29" s="2" t="s">
        <v>241</v>
      </c>
      <c r="CD29" s="2" t="s">
        <v>228</v>
      </c>
      <c r="CE29" s="4">
        <v>102</v>
      </c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</row>
    <row r="30">
      <c r="A30" s="2" t="s">
        <v>356</v>
      </c>
      <c r="B30" s="2" t="s">
        <v>299</v>
      </c>
      <c r="C30" s="2" t="s">
        <v>345</v>
      </c>
      <c r="D30" s="2" t="s">
        <v>301</v>
      </c>
      <c r="E30" s="2" t="s">
        <v>302</v>
      </c>
      <c r="F30" s="2" t="s">
        <v>346</v>
      </c>
      <c r="G30" s="2" t="s">
        <v>346</v>
      </c>
      <c r="H30" s="2" t="s">
        <v>346</v>
      </c>
      <c r="I30" s="2" t="s">
        <v>347</v>
      </c>
      <c r="J30" s="2" t="s">
        <v>289</v>
      </c>
      <c r="K30" s="2" t="s">
        <v>348</v>
      </c>
      <c r="L30" s="3">
        <v>25</v>
      </c>
      <c r="M30" s="3">
        <v>26.25</v>
      </c>
      <c r="N30" s="3">
        <v>54.99</v>
      </c>
      <c r="O30" s="2" t="s">
        <v>240</v>
      </c>
      <c r="P30" s="2" t="s">
        <v>233</v>
      </c>
      <c r="Q30" s="2" t="s">
        <v>234</v>
      </c>
      <c r="R30" s="2" t="s">
        <v>228</v>
      </c>
      <c r="S30" s="2" t="s">
        <v>349</v>
      </c>
      <c r="T30" s="2" t="s">
        <v>350</v>
      </c>
      <c r="U30" s="2" t="s">
        <v>308</v>
      </c>
      <c r="V30" s="2" t="s">
        <v>351</v>
      </c>
      <c r="W30" s="2" t="s">
        <v>351</v>
      </c>
      <c r="X30" s="2" t="s">
        <v>269</v>
      </c>
      <c r="Y30" s="2" t="s">
        <v>352</v>
      </c>
      <c r="Z30" s="4">
        <v>254</v>
      </c>
      <c r="AA30" s="4">
        <f>=ROUNDDOWN(84.6666666666667,0)</f>
      </c>
      <c r="AB30" s="5">
        <v>3</v>
      </c>
      <c r="AC30" s="2" t="s">
        <v>228</v>
      </c>
      <c r="AD30" s="4"/>
      <c r="AE30" s="4"/>
      <c r="AF30" s="6">
        <v>70</v>
      </c>
      <c r="AG30" s="6"/>
      <c r="AH30" s="7">
        <v>1</v>
      </c>
      <c r="AI30" s="4"/>
      <c r="AJ30" s="4">
        <f>=ROUNDDOWN({0},0)</f>
      </c>
      <c r="AK30" s="5"/>
      <c r="AL30" s="2" t="s">
        <v>228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228</v>
      </c>
      <c r="AW30" s="8" t="s">
        <v>228</v>
      </c>
      <c r="AX30" s="4" t="s">
        <v>228</v>
      </c>
      <c r="AY30" s="8" t="s">
        <v>228</v>
      </c>
      <c r="AZ30" s="7" t="s">
        <v>228</v>
      </c>
      <c r="BA30" s="7" t="s">
        <v>228</v>
      </c>
      <c r="BB30" s="7"/>
      <c r="BC30" s="4" t="s">
        <v>228</v>
      </c>
      <c r="BD30" s="8" t="s">
        <v>228</v>
      </c>
      <c r="BE30" s="4" t="s">
        <v>228</v>
      </c>
      <c r="BF30" s="8" t="s">
        <v>228</v>
      </c>
      <c r="BG30" s="7" t="s">
        <v>228</v>
      </c>
      <c r="BH30" s="7" t="s">
        <v>228</v>
      </c>
      <c r="BI30" s="7"/>
      <c r="BJ30" s="4">
        <v>4</v>
      </c>
      <c r="BK30" s="8">
        <v>109.72</v>
      </c>
      <c r="BL30" s="2" t="s">
        <v>357</v>
      </c>
      <c r="BM30" s="7"/>
      <c r="BN30" s="7"/>
      <c r="BO30" s="4"/>
      <c r="BP30" s="8"/>
      <c r="BQ30" s="4"/>
      <c r="BR30" s="8"/>
      <c r="BS30" s="7"/>
      <c r="BT30" s="7"/>
      <c r="BU30" s="2" t="s">
        <v>358</v>
      </c>
      <c r="BV30" s="2" t="s">
        <v>228</v>
      </c>
      <c r="BW30" s="2" t="s">
        <v>228</v>
      </c>
      <c r="BX30" s="2" t="s">
        <v>273</v>
      </c>
      <c r="BY30" s="2" t="s">
        <v>274</v>
      </c>
      <c r="BZ30" s="2" t="s">
        <v>240</v>
      </c>
      <c r="CA30" s="2" t="s">
        <v>355</v>
      </c>
      <c r="CB30" s="2" t="s">
        <v>228</v>
      </c>
      <c r="CC30" s="2" t="s">
        <v>241</v>
      </c>
      <c r="CD30" s="2" t="s">
        <v>228</v>
      </c>
      <c r="CE30" s="4">
        <v>254</v>
      </c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</row>
    <row r="31">
      <c r="A31" s="2" t="s">
        <v>359</v>
      </c>
      <c r="B31" s="2" t="s">
        <v>299</v>
      </c>
      <c r="C31" s="2" t="s">
        <v>345</v>
      </c>
      <c r="D31" s="2" t="s">
        <v>301</v>
      </c>
      <c r="E31" s="2" t="s">
        <v>302</v>
      </c>
      <c r="F31" s="2" t="s">
        <v>346</v>
      </c>
      <c r="G31" s="2" t="s">
        <v>346</v>
      </c>
      <c r="H31" s="2" t="s">
        <v>346</v>
      </c>
      <c r="I31" s="2" t="s">
        <v>347</v>
      </c>
      <c r="J31" s="2" t="s">
        <v>294</v>
      </c>
      <c r="K31" s="2" t="s">
        <v>348</v>
      </c>
      <c r="L31" s="3">
        <v>28.5</v>
      </c>
      <c r="M31" s="3">
        <v>29.93</v>
      </c>
      <c r="N31" s="3">
        <v>59.99</v>
      </c>
      <c r="O31" s="2" t="s">
        <v>240</v>
      </c>
      <c r="P31" s="2" t="s">
        <v>233</v>
      </c>
      <c r="Q31" s="2" t="s">
        <v>234</v>
      </c>
      <c r="R31" s="2" t="s">
        <v>228</v>
      </c>
      <c r="S31" s="2" t="s">
        <v>349</v>
      </c>
      <c r="T31" s="2" t="s">
        <v>350</v>
      </c>
      <c r="U31" s="2" t="s">
        <v>308</v>
      </c>
      <c r="V31" s="2" t="s">
        <v>351</v>
      </c>
      <c r="W31" s="2" t="s">
        <v>351</v>
      </c>
      <c r="X31" s="2" t="s">
        <v>269</v>
      </c>
      <c r="Y31" s="2" t="s">
        <v>352</v>
      </c>
      <c r="Z31" s="4">
        <v>152</v>
      </c>
      <c r="AA31" s="4">
        <f>=ROUNDDOWN(76,0)</f>
      </c>
      <c r="AB31" s="5">
        <v>2</v>
      </c>
      <c r="AC31" s="2" t="s">
        <v>228</v>
      </c>
      <c r="AD31" s="4"/>
      <c r="AE31" s="4"/>
      <c r="AF31" s="6">
        <v>70</v>
      </c>
      <c r="AG31" s="6"/>
      <c r="AH31" s="7">
        <v>1</v>
      </c>
      <c r="AI31" s="4"/>
      <c r="AJ31" s="4">
        <f>=ROUNDDOWN({0},0)</f>
      </c>
      <c r="AK31" s="5"/>
      <c r="AL31" s="2" t="s">
        <v>228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228</v>
      </c>
      <c r="AW31" s="8" t="s">
        <v>228</v>
      </c>
      <c r="AX31" s="4" t="s">
        <v>228</v>
      </c>
      <c r="AY31" s="8" t="s">
        <v>228</v>
      </c>
      <c r="AZ31" s="7" t="s">
        <v>228</v>
      </c>
      <c r="BA31" s="7" t="s">
        <v>228</v>
      </c>
      <c r="BB31" s="7"/>
      <c r="BC31" s="4" t="s">
        <v>228</v>
      </c>
      <c r="BD31" s="8" t="s">
        <v>228</v>
      </c>
      <c r="BE31" s="4" t="s">
        <v>228</v>
      </c>
      <c r="BF31" s="8" t="s">
        <v>228</v>
      </c>
      <c r="BG31" s="7" t="s">
        <v>228</v>
      </c>
      <c r="BH31" s="7" t="s">
        <v>228</v>
      </c>
      <c r="BI31" s="7"/>
      <c r="BJ31" s="4">
        <v>7</v>
      </c>
      <c r="BK31" s="8">
        <v>224.46</v>
      </c>
      <c r="BL31" s="2" t="s">
        <v>360</v>
      </c>
      <c r="BM31" s="7"/>
      <c r="BN31" s="7"/>
      <c r="BO31" s="4"/>
      <c r="BP31" s="8"/>
      <c r="BQ31" s="4"/>
      <c r="BR31" s="8"/>
      <c r="BS31" s="7"/>
      <c r="BT31" s="7"/>
      <c r="BU31" s="2" t="s">
        <v>361</v>
      </c>
      <c r="BV31" s="2" t="s">
        <v>228</v>
      </c>
      <c r="BW31" s="2" t="s">
        <v>228</v>
      </c>
      <c r="BX31" s="2" t="s">
        <v>273</v>
      </c>
      <c r="BY31" s="2" t="s">
        <v>274</v>
      </c>
      <c r="BZ31" s="2" t="s">
        <v>240</v>
      </c>
      <c r="CA31" s="2" t="s">
        <v>355</v>
      </c>
      <c r="CB31" s="2" t="s">
        <v>362</v>
      </c>
      <c r="CC31" s="2" t="s">
        <v>241</v>
      </c>
      <c r="CD31" s="2" t="s">
        <v>228</v>
      </c>
      <c r="CE31" s="4">
        <v>152</v>
      </c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</row>
    <row r="32">
      <c r="A32" s="2" t="s">
        <v>363</v>
      </c>
      <c r="B32" s="2" t="s">
        <v>299</v>
      </c>
      <c r="C32" s="2" t="s">
        <v>345</v>
      </c>
      <c r="D32" s="2" t="s">
        <v>301</v>
      </c>
      <c r="E32" s="2" t="s">
        <v>302</v>
      </c>
      <c r="F32" s="2" t="s">
        <v>346</v>
      </c>
      <c r="G32" s="2" t="s">
        <v>346</v>
      </c>
      <c r="H32" s="2" t="s">
        <v>346</v>
      </c>
      <c r="I32" s="2" t="s">
        <v>347</v>
      </c>
      <c r="J32" s="2" t="s">
        <v>284</v>
      </c>
      <c r="K32" s="2" t="s">
        <v>364</v>
      </c>
      <c r="L32" s="3">
        <v>23.75</v>
      </c>
      <c r="M32" s="3">
        <v>24.94</v>
      </c>
      <c r="N32" s="3">
        <v>49.99</v>
      </c>
      <c r="O32" s="2" t="s">
        <v>240</v>
      </c>
      <c r="P32" s="2" t="s">
        <v>233</v>
      </c>
      <c r="Q32" s="2" t="s">
        <v>234</v>
      </c>
      <c r="R32" s="2" t="s">
        <v>228</v>
      </c>
      <c r="S32" s="2" t="s">
        <v>365</v>
      </c>
      <c r="T32" s="2" t="s">
        <v>350</v>
      </c>
      <c r="U32" s="2" t="s">
        <v>308</v>
      </c>
      <c r="V32" s="2" t="s">
        <v>351</v>
      </c>
      <c r="W32" s="2" t="s">
        <v>351</v>
      </c>
      <c r="X32" s="2" t="s">
        <v>269</v>
      </c>
      <c r="Y32" s="2" t="s">
        <v>352</v>
      </c>
      <c r="Z32" s="4">
        <v>112</v>
      </c>
      <c r="AA32" s="4">
        <f>=ROUNDDOWN(37.3333333333333,0)</f>
      </c>
      <c r="AB32" s="5">
        <v>3</v>
      </c>
      <c r="AC32" s="2" t="s">
        <v>228</v>
      </c>
      <c r="AD32" s="4"/>
      <c r="AE32" s="4"/>
      <c r="AF32" s="6">
        <v>70</v>
      </c>
      <c r="AG32" s="6"/>
      <c r="AH32" s="7">
        <v>1</v>
      </c>
      <c r="AI32" s="4"/>
      <c r="AJ32" s="4">
        <f>=ROUNDDOWN({0},0)</f>
      </c>
      <c r="AK32" s="5"/>
      <c r="AL32" s="2" t="s">
        <v>228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228</v>
      </c>
      <c r="AW32" s="8" t="s">
        <v>228</v>
      </c>
      <c r="AX32" s="4" t="s">
        <v>228</v>
      </c>
      <c r="AY32" s="8" t="s">
        <v>228</v>
      </c>
      <c r="AZ32" s="7" t="s">
        <v>228</v>
      </c>
      <c r="BA32" s="7" t="s">
        <v>228</v>
      </c>
      <c r="BB32" s="7"/>
      <c r="BC32" s="4" t="s">
        <v>228</v>
      </c>
      <c r="BD32" s="8" t="s">
        <v>228</v>
      </c>
      <c r="BE32" s="4" t="s">
        <v>228</v>
      </c>
      <c r="BF32" s="8" t="s">
        <v>228</v>
      </c>
      <c r="BG32" s="7" t="s">
        <v>228</v>
      </c>
      <c r="BH32" s="7" t="s">
        <v>228</v>
      </c>
      <c r="BI32" s="7"/>
      <c r="BJ32" s="4">
        <v>2</v>
      </c>
      <c r="BK32" s="8">
        <v>53.11</v>
      </c>
      <c r="BL32" s="2" t="s">
        <v>366</v>
      </c>
      <c r="BM32" s="7"/>
      <c r="BN32" s="7"/>
      <c r="BO32" s="4"/>
      <c r="BP32" s="8"/>
      <c r="BQ32" s="4"/>
      <c r="BR32" s="8"/>
      <c r="BS32" s="7"/>
      <c r="BT32" s="7"/>
      <c r="BU32" s="2" t="s">
        <v>367</v>
      </c>
      <c r="BV32" s="2" t="s">
        <v>228</v>
      </c>
      <c r="BW32" s="2" t="s">
        <v>228</v>
      </c>
      <c r="BX32" s="2" t="s">
        <v>273</v>
      </c>
      <c r="BY32" s="2" t="s">
        <v>274</v>
      </c>
      <c r="BZ32" s="2" t="s">
        <v>240</v>
      </c>
      <c r="CA32" s="2" t="s">
        <v>355</v>
      </c>
      <c r="CB32" s="2" t="s">
        <v>228</v>
      </c>
      <c r="CC32" s="2" t="s">
        <v>241</v>
      </c>
      <c r="CD32" s="2" t="s">
        <v>228</v>
      </c>
      <c r="CE32" s="4">
        <v>112</v>
      </c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</row>
    <row r="33">
      <c r="A33" s="2" t="s">
        <v>368</v>
      </c>
      <c r="B33" s="2" t="s">
        <v>299</v>
      </c>
      <c r="C33" s="2" t="s">
        <v>345</v>
      </c>
      <c r="D33" s="2" t="s">
        <v>301</v>
      </c>
      <c r="E33" s="2" t="s">
        <v>302</v>
      </c>
      <c r="F33" s="2" t="s">
        <v>346</v>
      </c>
      <c r="G33" s="2" t="s">
        <v>346</v>
      </c>
      <c r="H33" s="2" t="s">
        <v>346</v>
      </c>
      <c r="I33" s="2" t="s">
        <v>347</v>
      </c>
      <c r="J33" s="2" t="s">
        <v>294</v>
      </c>
      <c r="K33" s="2" t="s">
        <v>364</v>
      </c>
      <c r="L33" s="3">
        <v>28.5</v>
      </c>
      <c r="M33" s="3">
        <v>29.93</v>
      </c>
      <c r="N33" s="3">
        <v>59.99</v>
      </c>
      <c r="O33" s="2" t="s">
        <v>240</v>
      </c>
      <c r="P33" s="2" t="s">
        <v>233</v>
      </c>
      <c r="Q33" s="2" t="s">
        <v>234</v>
      </c>
      <c r="R33" s="2" t="s">
        <v>228</v>
      </c>
      <c r="S33" s="2" t="s">
        <v>365</v>
      </c>
      <c r="T33" s="2" t="s">
        <v>350</v>
      </c>
      <c r="U33" s="2" t="s">
        <v>308</v>
      </c>
      <c r="V33" s="2" t="s">
        <v>351</v>
      </c>
      <c r="W33" s="2" t="s">
        <v>351</v>
      </c>
      <c r="X33" s="2" t="s">
        <v>269</v>
      </c>
      <c r="Y33" s="2" t="s">
        <v>352</v>
      </c>
      <c r="Z33" s="4">
        <v>138</v>
      </c>
      <c r="AA33" s="4">
        <f>=ROUNDDOWN(46,0)</f>
      </c>
      <c r="AB33" s="5">
        <v>3</v>
      </c>
      <c r="AC33" s="2" t="s">
        <v>228</v>
      </c>
      <c r="AD33" s="4"/>
      <c r="AE33" s="4"/>
      <c r="AF33" s="6">
        <v>70</v>
      </c>
      <c r="AG33" s="6"/>
      <c r="AH33" s="7">
        <v>1</v>
      </c>
      <c r="AI33" s="4"/>
      <c r="AJ33" s="4">
        <f>=ROUNDDOWN({0},0)</f>
      </c>
      <c r="AK33" s="5"/>
      <c r="AL33" s="2" t="s">
        <v>228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228</v>
      </c>
      <c r="AW33" s="8" t="s">
        <v>228</v>
      </c>
      <c r="AX33" s="4" t="s">
        <v>228</v>
      </c>
      <c r="AY33" s="8" t="s">
        <v>228</v>
      </c>
      <c r="AZ33" s="7" t="s">
        <v>228</v>
      </c>
      <c r="BA33" s="7" t="s">
        <v>228</v>
      </c>
      <c r="BB33" s="7"/>
      <c r="BC33" s="4" t="s">
        <v>228</v>
      </c>
      <c r="BD33" s="8" t="s">
        <v>228</v>
      </c>
      <c r="BE33" s="4" t="s">
        <v>228</v>
      </c>
      <c r="BF33" s="8" t="s">
        <v>228</v>
      </c>
      <c r="BG33" s="7" t="s">
        <v>228</v>
      </c>
      <c r="BH33" s="7" t="s">
        <v>228</v>
      </c>
      <c r="BI33" s="7"/>
      <c r="BJ33" s="4">
        <v>7</v>
      </c>
      <c r="BK33" s="8">
        <v>253.03</v>
      </c>
      <c r="BL33" s="2" t="s">
        <v>369</v>
      </c>
      <c r="BM33" s="7"/>
      <c r="BN33" s="7"/>
      <c r="BO33" s="4"/>
      <c r="BP33" s="8"/>
      <c r="BQ33" s="4"/>
      <c r="BR33" s="8"/>
      <c r="BS33" s="7"/>
      <c r="BT33" s="7"/>
      <c r="BU33" s="2" t="s">
        <v>370</v>
      </c>
      <c r="BV33" s="2" t="s">
        <v>228</v>
      </c>
      <c r="BW33" s="2" t="s">
        <v>228</v>
      </c>
      <c r="BX33" s="2" t="s">
        <v>273</v>
      </c>
      <c r="BY33" s="2" t="s">
        <v>274</v>
      </c>
      <c r="BZ33" s="2" t="s">
        <v>240</v>
      </c>
      <c r="CA33" s="2" t="s">
        <v>355</v>
      </c>
      <c r="CB33" s="2" t="s">
        <v>362</v>
      </c>
      <c r="CC33" s="2" t="s">
        <v>241</v>
      </c>
      <c r="CD33" s="2" t="s">
        <v>228</v>
      </c>
      <c r="CE33" s="4">
        <v>138</v>
      </c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</row>
    <row r="34">
      <c r="A34" s="2" t="s">
        <v>371</v>
      </c>
      <c r="B34" s="2" t="s">
        <v>299</v>
      </c>
      <c r="C34" s="2" t="s">
        <v>345</v>
      </c>
      <c r="D34" s="2" t="s">
        <v>301</v>
      </c>
      <c r="E34" s="2" t="s">
        <v>302</v>
      </c>
      <c r="F34" s="2" t="s">
        <v>346</v>
      </c>
      <c r="G34" s="2" t="s">
        <v>346</v>
      </c>
      <c r="H34" s="2" t="s">
        <v>346</v>
      </c>
      <c r="I34" s="2" t="s">
        <v>347</v>
      </c>
      <c r="J34" s="2" t="s">
        <v>284</v>
      </c>
      <c r="K34" s="2" t="s">
        <v>372</v>
      </c>
      <c r="L34" s="3">
        <v>23.75</v>
      </c>
      <c r="M34" s="3">
        <v>24.94</v>
      </c>
      <c r="N34" s="3">
        <v>49.99</v>
      </c>
      <c r="O34" s="2" t="s">
        <v>240</v>
      </c>
      <c r="P34" s="2" t="s">
        <v>266</v>
      </c>
      <c r="Q34" s="2" t="s">
        <v>234</v>
      </c>
      <c r="R34" s="2" t="s">
        <v>228</v>
      </c>
      <c r="S34" s="2" t="s">
        <v>373</v>
      </c>
      <c r="T34" s="2" t="s">
        <v>350</v>
      </c>
      <c r="U34" s="2" t="s">
        <v>308</v>
      </c>
      <c r="V34" s="2" t="s">
        <v>374</v>
      </c>
      <c r="W34" s="2" t="s">
        <v>269</v>
      </c>
      <c r="X34" s="2" t="s">
        <v>228</v>
      </c>
      <c r="Y34" s="2" t="s">
        <v>375</v>
      </c>
      <c r="Z34" s="4">
        <v>23</v>
      </c>
      <c r="AA34" s="4">
        <f>=ROUNDDOWN(2.3,0)</f>
      </c>
      <c r="AB34" s="5">
        <v>10</v>
      </c>
      <c r="AC34" s="2" t="s">
        <v>197</v>
      </c>
      <c r="AD34" s="4">
        <v>150</v>
      </c>
      <c r="AE34" s="4">
        <v>230</v>
      </c>
      <c r="AF34" s="6">
        <v>70</v>
      </c>
      <c r="AG34" s="6"/>
      <c r="AH34" s="7">
        <v>1</v>
      </c>
      <c r="AI34" s="4"/>
      <c r="AJ34" s="4">
        <f>=ROUNDDOWN({0},0)</f>
      </c>
      <c r="AK34" s="5"/>
      <c r="AL34" s="2" t="s">
        <v>228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228</v>
      </c>
      <c r="AW34" s="8" t="s">
        <v>228</v>
      </c>
      <c r="AX34" s="4" t="s">
        <v>228</v>
      </c>
      <c r="AY34" s="8" t="s">
        <v>228</v>
      </c>
      <c r="AZ34" s="7" t="s">
        <v>228</v>
      </c>
      <c r="BA34" s="7" t="s">
        <v>228</v>
      </c>
      <c r="BB34" s="7"/>
      <c r="BC34" s="4" t="s">
        <v>228</v>
      </c>
      <c r="BD34" s="8" t="s">
        <v>228</v>
      </c>
      <c r="BE34" s="4" t="s">
        <v>228</v>
      </c>
      <c r="BF34" s="8" t="s">
        <v>228</v>
      </c>
      <c r="BG34" s="7" t="s">
        <v>228</v>
      </c>
      <c r="BH34" s="7" t="s">
        <v>228</v>
      </c>
      <c r="BI34" s="7"/>
      <c r="BJ34" s="4">
        <v>37</v>
      </c>
      <c r="BK34" s="8">
        <v>1001.01</v>
      </c>
      <c r="BL34" s="2" t="s">
        <v>376</v>
      </c>
      <c r="BM34" s="7"/>
      <c r="BN34" s="7"/>
      <c r="BO34" s="4"/>
      <c r="BP34" s="8"/>
      <c r="BQ34" s="4"/>
      <c r="BR34" s="8"/>
      <c r="BS34" s="7"/>
      <c r="BT34" s="7"/>
      <c r="BU34" s="2" t="s">
        <v>377</v>
      </c>
      <c r="BV34" s="2" t="s">
        <v>228</v>
      </c>
      <c r="BW34" s="2" t="s">
        <v>228</v>
      </c>
      <c r="BX34" s="2" t="s">
        <v>273</v>
      </c>
      <c r="BY34" s="2" t="s">
        <v>274</v>
      </c>
      <c r="BZ34" s="2" t="s">
        <v>240</v>
      </c>
      <c r="CA34" s="2" t="s">
        <v>378</v>
      </c>
      <c r="CB34" s="2" t="s">
        <v>379</v>
      </c>
      <c r="CC34" s="2" t="s">
        <v>241</v>
      </c>
      <c r="CD34" s="2" t="s">
        <v>228</v>
      </c>
      <c r="CE34" s="4">
        <v>23</v>
      </c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>
        <v>150</v>
      </c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>
        <v>40</v>
      </c>
      <c r="GX34" s="4"/>
      <c r="GY34" s="4"/>
      <c r="GZ34" s="4"/>
      <c r="HA34" s="4"/>
      <c r="HB34" s="4"/>
      <c r="HC34" s="4"/>
      <c r="HD34" s="4"/>
      <c r="HE34" s="4">
        <v>40</v>
      </c>
    </row>
    <row r="35">
      <c r="A35" s="2" t="s">
        <v>380</v>
      </c>
      <c r="B35" s="2" t="s">
        <v>299</v>
      </c>
      <c r="C35" s="2" t="s">
        <v>345</v>
      </c>
      <c r="D35" s="2" t="s">
        <v>301</v>
      </c>
      <c r="E35" s="2" t="s">
        <v>302</v>
      </c>
      <c r="F35" s="2" t="s">
        <v>346</v>
      </c>
      <c r="G35" s="2" t="s">
        <v>346</v>
      </c>
      <c r="H35" s="2" t="s">
        <v>346</v>
      </c>
      <c r="I35" s="2" t="s">
        <v>347</v>
      </c>
      <c r="J35" s="2" t="s">
        <v>294</v>
      </c>
      <c r="K35" s="2" t="s">
        <v>372</v>
      </c>
      <c r="L35" s="3">
        <v>28.5</v>
      </c>
      <c r="M35" s="3">
        <v>29.93</v>
      </c>
      <c r="N35" s="3">
        <v>59.99</v>
      </c>
      <c r="O35" s="2" t="s">
        <v>240</v>
      </c>
      <c r="P35" s="2" t="s">
        <v>266</v>
      </c>
      <c r="Q35" s="2" t="s">
        <v>234</v>
      </c>
      <c r="R35" s="2" t="s">
        <v>228</v>
      </c>
      <c r="S35" s="2" t="s">
        <v>373</v>
      </c>
      <c r="T35" s="2" t="s">
        <v>350</v>
      </c>
      <c r="U35" s="2" t="s">
        <v>308</v>
      </c>
      <c r="V35" s="2" t="s">
        <v>374</v>
      </c>
      <c r="W35" s="2" t="s">
        <v>269</v>
      </c>
      <c r="X35" s="2" t="s">
        <v>228</v>
      </c>
      <c r="Y35" s="2" t="s">
        <v>375</v>
      </c>
      <c r="Z35" s="4">
        <v>71</v>
      </c>
      <c r="AA35" s="4">
        <f>=ROUNDDOWN(4.17647058823529,0)</f>
      </c>
      <c r="AB35" s="5">
        <v>17</v>
      </c>
      <c r="AC35" s="2" t="s">
        <v>213</v>
      </c>
      <c r="AD35" s="4">
        <v>200</v>
      </c>
      <c r="AE35" s="4">
        <v>300</v>
      </c>
      <c r="AF35" s="6">
        <v>70</v>
      </c>
      <c r="AG35" s="6"/>
      <c r="AH35" s="7">
        <v>1</v>
      </c>
      <c r="AI35" s="4"/>
      <c r="AJ35" s="4">
        <f>=ROUNDDOWN({0},0)</f>
      </c>
      <c r="AK35" s="5"/>
      <c r="AL35" s="2" t="s">
        <v>228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228</v>
      </c>
      <c r="AW35" s="8" t="s">
        <v>228</v>
      </c>
      <c r="AX35" s="4" t="s">
        <v>228</v>
      </c>
      <c r="AY35" s="8" t="s">
        <v>228</v>
      </c>
      <c r="AZ35" s="7" t="s">
        <v>228</v>
      </c>
      <c r="BA35" s="7" t="s">
        <v>228</v>
      </c>
      <c r="BB35" s="7"/>
      <c r="BC35" s="4" t="s">
        <v>228</v>
      </c>
      <c r="BD35" s="8" t="s">
        <v>228</v>
      </c>
      <c r="BE35" s="4" t="s">
        <v>228</v>
      </c>
      <c r="BF35" s="8" t="s">
        <v>228</v>
      </c>
      <c r="BG35" s="7" t="s">
        <v>228</v>
      </c>
      <c r="BH35" s="7" t="s">
        <v>228</v>
      </c>
      <c r="BI35" s="7"/>
      <c r="BJ35" s="4">
        <v>56</v>
      </c>
      <c r="BK35" s="8">
        <v>1771.3</v>
      </c>
      <c r="BL35" s="2" t="s">
        <v>381</v>
      </c>
      <c r="BM35" s="7"/>
      <c r="BN35" s="7"/>
      <c r="BO35" s="4"/>
      <c r="BP35" s="8"/>
      <c r="BQ35" s="4"/>
      <c r="BR35" s="8"/>
      <c r="BS35" s="7"/>
      <c r="BT35" s="7"/>
      <c r="BU35" s="2" t="s">
        <v>382</v>
      </c>
      <c r="BV35" s="2" t="s">
        <v>228</v>
      </c>
      <c r="BW35" s="2" t="s">
        <v>228</v>
      </c>
      <c r="BX35" s="2" t="s">
        <v>273</v>
      </c>
      <c r="BY35" s="2" t="s">
        <v>274</v>
      </c>
      <c r="BZ35" s="2" t="s">
        <v>240</v>
      </c>
      <c r="CA35" s="2" t="s">
        <v>378</v>
      </c>
      <c r="CB35" s="2" t="s">
        <v>383</v>
      </c>
      <c r="CC35" s="2" t="s">
        <v>241</v>
      </c>
      <c r="CD35" s="2" t="s">
        <v>228</v>
      </c>
      <c r="CE35" s="4">
        <v>71</v>
      </c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>
        <v>200</v>
      </c>
      <c r="GX35" s="4"/>
      <c r="GY35" s="4"/>
      <c r="GZ35" s="4"/>
      <c r="HA35" s="4"/>
      <c r="HB35" s="4"/>
      <c r="HC35" s="4"/>
      <c r="HD35" s="4"/>
      <c r="HE35" s="4">
        <v>100</v>
      </c>
    </row>
    <row r="36">
      <c r="A36" s="2" t="s">
        <v>384</v>
      </c>
      <c r="B36" s="2" t="s">
        <v>299</v>
      </c>
      <c r="C36" s="2" t="s">
        <v>345</v>
      </c>
      <c r="D36" s="2" t="s">
        <v>301</v>
      </c>
      <c r="E36" s="2" t="s">
        <v>302</v>
      </c>
      <c r="F36" s="2" t="s">
        <v>346</v>
      </c>
      <c r="G36" s="2" t="s">
        <v>346</v>
      </c>
      <c r="H36" s="2" t="s">
        <v>346</v>
      </c>
      <c r="I36" s="2" t="s">
        <v>347</v>
      </c>
      <c r="J36" s="2" t="s">
        <v>284</v>
      </c>
      <c r="K36" s="2" t="s">
        <v>385</v>
      </c>
      <c r="L36" s="3">
        <v>23.75</v>
      </c>
      <c r="M36" s="3">
        <v>24.94</v>
      </c>
      <c r="N36" s="3">
        <v>49.99</v>
      </c>
      <c r="O36" s="2" t="s">
        <v>240</v>
      </c>
      <c r="P36" s="2" t="s">
        <v>266</v>
      </c>
      <c r="Q36" s="2" t="s">
        <v>234</v>
      </c>
      <c r="R36" s="2" t="s">
        <v>228</v>
      </c>
      <c r="S36" s="2" t="s">
        <v>386</v>
      </c>
      <c r="T36" s="2" t="s">
        <v>350</v>
      </c>
      <c r="U36" s="2" t="s">
        <v>308</v>
      </c>
      <c r="V36" s="2" t="s">
        <v>387</v>
      </c>
      <c r="W36" s="2" t="s">
        <v>269</v>
      </c>
      <c r="X36" s="2" t="s">
        <v>228</v>
      </c>
      <c r="Y36" s="2" t="s">
        <v>375</v>
      </c>
      <c r="Z36" s="4">
        <v>12</v>
      </c>
      <c r="AA36" s="4">
        <f>=ROUNDDOWN(1.09090909090909,0)</f>
      </c>
      <c r="AB36" s="5">
        <v>11</v>
      </c>
      <c r="AC36" s="2" t="s">
        <v>162</v>
      </c>
      <c r="AD36" s="4">
        <v>100</v>
      </c>
      <c r="AE36" s="4">
        <v>320</v>
      </c>
      <c r="AF36" s="6">
        <v>70</v>
      </c>
      <c r="AG36" s="6"/>
      <c r="AH36" s="7">
        <v>1</v>
      </c>
      <c r="AI36" s="4"/>
      <c r="AJ36" s="4">
        <f>=ROUNDDOWN({0},0)</f>
      </c>
      <c r="AK36" s="5"/>
      <c r="AL36" s="2" t="s">
        <v>228</v>
      </c>
      <c r="AM36" s="4"/>
      <c r="AN36" s="4"/>
      <c r="AO36" s="7"/>
      <c r="AP36" s="4"/>
      <c r="AQ36" s="8"/>
      <c r="AR36" s="4"/>
      <c r="AS36" s="8"/>
      <c r="AT36" s="7"/>
      <c r="AU36" s="7"/>
      <c r="AV36" s="4"/>
      <c r="AW36" s="8"/>
      <c r="AX36" s="4"/>
      <c r="AY36" s="8"/>
      <c r="AZ36" s="7"/>
      <c r="BA36" s="7"/>
      <c r="BB36" s="7"/>
      <c r="BC36" s="4" t="s">
        <v>228</v>
      </c>
      <c r="BD36" s="8" t="s">
        <v>228</v>
      </c>
      <c r="BE36" s="4" t="s">
        <v>228</v>
      </c>
      <c r="BF36" s="8" t="s">
        <v>228</v>
      </c>
      <c r="BG36" s="7" t="s">
        <v>228</v>
      </c>
      <c r="BH36" s="7" t="s">
        <v>228</v>
      </c>
      <c r="BI36" s="7"/>
      <c r="BJ36" s="4">
        <v>42</v>
      </c>
      <c r="BK36" s="8">
        <v>1099.34</v>
      </c>
      <c r="BL36" s="2" t="s">
        <v>388</v>
      </c>
      <c r="BM36" s="7"/>
      <c r="BN36" s="7"/>
      <c r="BO36" s="4"/>
      <c r="BP36" s="8"/>
      <c r="BQ36" s="4"/>
      <c r="BR36" s="8"/>
      <c r="BS36" s="7"/>
      <c r="BT36" s="7"/>
      <c r="BU36" s="2" t="s">
        <v>389</v>
      </c>
      <c r="BV36" s="2" t="s">
        <v>228</v>
      </c>
      <c r="BW36" s="2" t="s">
        <v>228</v>
      </c>
      <c r="BX36" s="2" t="s">
        <v>273</v>
      </c>
      <c r="BY36" s="2" t="s">
        <v>274</v>
      </c>
      <c r="BZ36" s="2" t="s">
        <v>240</v>
      </c>
      <c r="CA36" s="2" t="s">
        <v>378</v>
      </c>
      <c r="CB36" s="2" t="s">
        <v>390</v>
      </c>
      <c r="CC36" s="2" t="s">
        <v>241</v>
      </c>
      <c r="CD36" s="2" t="s">
        <v>228</v>
      </c>
      <c r="CE36" s="4">
        <v>12</v>
      </c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>
        <v>100</v>
      </c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>
        <v>20</v>
      </c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>
        <v>100</v>
      </c>
      <c r="GX36" s="4"/>
      <c r="GY36" s="4"/>
      <c r="GZ36" s="4"/>
      <c r="HA36" s="4"/>
      <c r="HB36" s="4"/>
      <c r="HC36" s="4"/>
      <c r="HD36" s="4"/>
      <c r="HE36" s="4">
        <v>100</v>
      </c>
    </row>
    <row r="37">
      <c r="A37" s="2" t="s">
        <v>391</v>
      </c>
      <c r="B37" s="2" t="s">
        <v>299</v>
      </c>
      <c r="C37" s="2" t="s">
        <v>345</v>
      </c>
      <c r="D37" s="2" t="s">
        <v>301</v>
      </c>
      <c r="E37" s="2" t="s">
        <v>302</v>
      </c>
      <c r="F37" s="2" t="s">
        <v>346</v>
      </c>
      <c r="G37" s="2" t="s">
        <v>346</v>
      </c>
      <c r="H37" s="2" t="s">
        <v>346</v>
      </c>
      <c r="I37" s="2" t="s">
        <v>347</v>
      </c>
      <c r="J37" s="2" t="s">
        <v>289</v>
      </c>
      <c r="K37" s="2" t="s">
        <v>392</v>
      </c>
      <c r="L37" s="3">
        <v>25</v>
      </c>
      <c r="M37" s="3">
        <v>26.25</v>
      </c>
      <c r="N37" s="3">
        <v>54.99</v>
      </c>
      <c r="O37" s="2" t="s">
        <v>240</v>
      </c>
      <c r="P37" s="2" t="s">
        <v>266</v>
      </c>
      <c r="Q37" s="2" t="s">
        <v>234</v>
      </c>
      <c r="R37" s="2" t="s">
        <v>228</v>
      </c>
      <c r="S37" s="2" t="s">
        <v>393</v>
      </c>
      <c r="T37" s="2" t="s">
        <v>350</v>
      </c>
      <c r="U37" s="2" t="s">
        <v>308</v>
      </c>
      <c r="V37" s="2" t="s">
        <v>374</v>
      </c>
      <c r="W37" s="2" t="s">
        <v>269</v>
      </c>
      <c r="X37" s="2" t="s">
        <v>228</v>
      </c>
      <c r="Y37" s="2" t="s">
        <v>375</v>
      </c>
      <c r="Z37" s="4">
        <v>134</v>
      </c>
      <c r="AA37" s="4">
        <f>=ROUNDDOWN(4.96296296296296,0)</f>
      </c>
      <c r="AB37" s="5">
        <v>27</v>
      </c>
      <c r="AC37" s="2" t="s">
        <v>197</v>
      </c>
      <c r="AD37" s="4">
        <v>150</v>
      </c>
      <c r="AE37" s="4">
        <v>450</v>
      </c>
      <c r="AF37" s="6">
        <v>70</v>
      </c>
      <c r="AG37" s="6"/>
      <c r="AH37" s="7">
        <v>1</v>
      </c>
      <c r="AI37" s="4"/>
      <c r="AJ37" s="4">
        <f>=ROUNDDOWN({0},0)</f>
      </c>
      <c r="AK37" s="5"/>
      <c r="AL37" s="2" t="s">
        <v>228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228</v>
      </c>
      <c r="AW37" s="8" t="s">
        <v>228</v>
      </c>
      <c r="AX37" s="4" t="s">
        <v>228</v>
      </c>
      <c r="AY37" s="8" t="s">
        <v>228</v>
      </c>
      <c r="AZ37" s="7" t="s">
        <v>228</v>
      </c>
      <c r="BA37" s="7" t="s">
        <v>228</v>
      </c>
      <c r="BB37" s="7"/>
      <c r="BC37" s="4" t="s">
        <v>228</v>
      </c>
      <c r="BD37" s="8" t="s">
        <v>228</v>
      </c>
      <c r="BE37" s="4" t="s">
        <v>228</v>
      </c>
      <c r="BF37" s="8" t="s">
        <v>228</v>
      </c>
      <c r="BG37" s="7" t="s">
        <v>228</v>
      </c>
      <c r="BH37" s="7" t="s">
        <v>228</v>
      </c>
      <c r="BI37" s="7"/>
      <c r="BJ37" s="4">
        <v>100</v>
      </c>
      <c r="BK37" s="8">
        <v>2802.06</v>
      </c>
      <c r="BL37" s="2" t="s">
        <v>394</v>
      </c>
      <c r="BM37" s="7"/>
      <c r="BN37" s="7"/>
      <c r="BO37" s="4"/>
      <c r="BP37" s="8"/>
      <c r="BQ37" s="4"/>
      <c r="BR37" s="8"/>
      <c r="BS37" s="7"/>
      <c r="BT37" s="7"/>
      <c r="BU37" s="2" t="s">
        <v>395</v>
      </c>
      <c r="BV37" s="2" t="s">
        <v>228</v>
      </c>
      <c r="BW37" s="2" t="s">
        <v>228</v>
      </c>
      <c r="BX37" s="2" t="s">
        <v>273</v>
      </c>
      <c r="BY37" s="2" t="s">
        <v>274</v>
      </c>
      <c r="BZ37" s="2" t="s">
        <v>240</v>
      </c>
      <c r="CA37" s="2" t="s">
        <v>378</v>
      </c>
      <c r="CB37" s="2" t="s">
        <v>396</v>
      </c>
      <c r="CC37" s="2" t="s">
        <v>241</v>
      </c>
      <c r="CD37" s="2" t="s">
        <v>228</v>
      </c>
      <c r="CE37" s="4">
        <v>134</v>
      </c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>
        <v>150</v>
      </c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>
        <v>160</v>
      </c>
      <c r="GX37" s="4"/>
      <c r="GY37" s="4"/>
      <c r="GZ37" s="4"/>
      <c r="HA37" s="4"/>
      <c r="HB37" s="4"/>
      <c r="HC37" s="4"/>
      <c r="HD37" s="4"/>
      <c r="HE37" s="4">
        <v>140</v>
      </c>
    </row>
    <row r="38">
      <c r="A38" s="2" t="s">
        <v>397</v>
      </c>
      <c r="B38" s="2" t="s">
        <v>299</v>
      </c>
      <c r="C38" s="2" t="s">
        <v>345</v>
      </c>
      <c r="D38" s="2" t="s">
        <v>301</v>
      </c>
      <c r="E38" s="2" t="s">
        <v>302</v>
      </c>
      <c r="F38" s="2" t="s">
        <v>346</v>
      </c>
      <c r="G38" s="2" t="s">
        <v>346</v>
      </c>
      <c r="H38" s="2" t="s">
        <v>346</v>
      </c>
      <c r="I38" s="2" t="s">
        <v>347</v>
      </c>
      <c r="J38" s="2" t="s">
        <v>294</v>
      </c>
      <c r="K38" s="2" t="s">
        <v>392</v>
      </c>
      <c r="L38" s="3">
        <v>28.5</v>
      </c>
      <c r="M38" s="3">
        <v>29.93</v>
      </c>
      <c r="N38" s="3">
        <v>59.99</v>
      </c>
      <c r="O38" s="2" t="s">
        <v>240</v>
      </c>
      <c r="P38" s="2" t="s">
        <v>266</v>
      </c>
      <c r="Q38" s="2" t="s">
        <v>234</v>
      </c>
      <c r="R38" s="2" t="s">
        <v>228</v>
      </c>
      <c r="S38" s="2" t="s">
        <v>393</v>
      </c>
      <c r="T38" s="2" t="s">
        <v>350</v>
      </c>
      <c r="U38" s="2" t="s">
        <v>308</v>
      </c>
      <c r="V38" s="2" t="s">
        <v>374</v>
      </c>
      <c r="W38" s="2" t="s">
        <v>269</v>
      </c>
      <c r="X38" s="2" t="s">
        <v>228</v>
      </c>
      <c r="Y38" s="2" t="s">
        <v>375</v>
      </c>
      <c r="Z38" s="4">
        <v>27</v>
      </c>
      <c r="AA38" s="4">
        <f>=ROUNDDOWN(1.17391304347826,0)</f>
      </c>
      <c r="AB38" s="5">
        <v>23</v>
      </c>
      <c r="AC38" s="2" t="s">
        <v>197</v>
      </c>
      <c r="AD38" s="4">
        <v>70</v>
      </c>
      <c r="AE38" s="4">
        <v>400</v>
      </c>
      <c r="AF38" s="6">
        <v>70</v>
      </c>
      <c r="AG38" s="6"/>
      <c r="AH38" s="7">
        <v>1</v>
      </c>
      <c r="AI38" s="4"/>
      <c r="AJ38" s="4">
        <f>=ROUNDDOWN({0},0)</f>
      </c>
      <c r="AK38" s="5"/>
      <c r="AL38" s="2" t="s">
        <v>228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228</v>
      </c>
      <c r="AW38" s="8" t="s">
        <v>228</v>
      </c>
      <c r="AX38" s="4" t="s">
        <v>228</v>
      </c>
      <c r="AY38" s="8" t="s">
        <v>228</v>
      </c>
      <c r="AZ38" s="7" t="s">
        <v>228</v>
      </c>
      <c r="BA38" s="7" t="s">
        <v>228</v>
      </c>
      <c r="BB38" s="7"/>
      <c r="BC38" s="4" t="s">
        <v>228</v>
      </c>
      <c r="BD38" s="8" t="s">
        <v>228</v>
      </c>
      <c r="BE38" s="4" t="s">
        <v>228</v>
      </c>
      <c r="BF38" s="8" t="s">
        <v>228</v>
      </c>
      <c r="BG38" s="7" t="s">
        <v>228</v>
      </c>
      <c r="BH38" s="7" t="s">
        <v>228</v>
      </c>
      <c r="BI38" s="7"/>
      <c r="BJ38" s="4">
        <v>73</v>
      </c>
      <c r="BK38" s="8">
        <v>2303</v>
      </c>
      <c r="BL38" s="2" t="s">
        <v>398</v>
      </c>
      <c r="BM38" s="7"/>
      <c r="BN38" s="7"/>
      <c r="BO38" s="4"/>
      <c r="BP38" s="8"/>
      <c r="BQ38" s="4"/>
      <c r="BR38" s="8"/>
      <c r="BS38" s="7"/>
      <c r="BT38" s="7"/>
      <c r="BU38" s="2" t="s">
        <v>399</v>
      </c>
      <c r="BV38" s="2" t="s">
        <v>228</v>
      </c>
      <c r="BW38" s="2" t="s">
        <v>228</v>
      </c>
      <c r="BX38" s="2" t="s">
        <v>273</v>
      </c>
      <c r="BY38" s="2" t="s">
        <v>274</v>
      </c>
      <c r="BZ38" s="2" t="s">
        <v>240</v>
      </c>
      <c r="CA38" s="2" t="s">
        <v>378</v>
      </c>
      <c r="CB38" s="2" t="s">
        <v>400</v>
      </c>
      <c r="CC38" s="2" t="s">
        <v>241</v>
      </c>
      <c r="CD38" s="2" t="s">
        <v>228</v>
      </c>
      <c r="CE38" s="4">
        <v>27</v>
      </c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>
        <v>70</v>
      </c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>
        <v>200</v>
      </c>
      <c r="GX38" s="4"/>
      <c r="GY38" s="4"/>
      <c r="GZ38" s="4"/>
      <c r="HA38" s="4"/>
      <c r="HB38" s="4"/>
      <c r="HC38" s="4"/>
      <c r="HD38" s="4"/>
      <c r="HE38" s="4">
        <v>130</v>
      </c>
    </row>
    <row r="39">
      <c r="A39" s="2" t="s">
        <v>401</v>
      </c>
      <c r="B39" s="2" t="s">
        <v>299</v>
      </c>
      <c r="C39" s="2" t="s">
        <v>345</v>
      </c>
      <c r="D39" s="2" t="s">
        <v>301</v>
      </c>
      <c r="E39" s="2" t="s">
        <v>302</v>
      </c>
      <c r="F39" s="2" t="s">
        <v>346</v>
      </c>
      <c r="G39" s="2" t="s">
        <v>346</v>
      </c>
      <c r="H39" s="2" t="s">
        <v>346</v>
      </c>
      <c r="I39" s="2" t="s">
        <v>347</v>
      </c>
      <c r="J39" s="2" t="s">
        <v>284</v>
      </c>
      <c r="K39" s="2" t="s">
        <v>402</v>
      </c>
      <c r="L39" s="3">
        <v>23.75</v>
      </c>
      <c r="M39" s="3">
        <v>24.94</v>
      </c>
      <c r="N39" s="3">
        <v>49.99</v>
      </c>
      <c r="O39" s="2" t="s">
        <v>240</v>
      </c>
      <c r="P39" s="2" t="s">
        <v>266</v>
      </c>
      <c r="Q39" s="2" t="s">
        <v>234</v>
      </c>
      <c r="R39" s="2" t="s">
        <v>228</v>
      </c>
      <c r="S39" s="2" t="s">
        <v>403</v>
      </c>
      <c r="T39" s="2" t="s">
        <v>350</v>
      </c>
      <c r="U39" s="2" t="s">
        <v>308</v>
      </c>
      <c r="V39" s="2" t="s">
        <v>387</v>
      </c>
      <c r="W39" s="2" t="s">
        <v>269</v>
      </c>
      <c r="X39" s="2" t="s">
        <v>228</v>
      </c>
      <c r="Y39" s="2" t="s">
        <v>375</v>
      </c>
      <c r="Z39" s="4">
        <v>59</v>
      </c>
      <c r="AA39" s="4">
        <f>=ROUNDDOWN(10.3508771929825,0)</f>
      </c>
      <c r="AB39" s="5">
        <v>5.7</v>
      </c>
      <c r="AC39" s="2" t="s">
        <v>197</v>
      </c>
      <c r="AD39" s="4">
        <v>30</v>
      </c>
      <c r="AE39" s="4">
        <v>100</v>
      </c>
      <c r="AF39" s="6">
        <v>70</v>
      </c>
      <c r="AG39" s="6"/>
      <c r="AH39" s="7">
        <v>1</v>
      </c>
      <c r="AI39" s="4"/>
      <c r="AJ39" s="4">
        <f>=ROUNDDOWN({0},0)</f>
      </c>
      <c r="AK39" s="5"/>
      <c r="AL39" s="2" t="s">
        <v>228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228</v>
      </c>
      <c r="AW39" s="8" t="s">
        <v>228</v>
      </c>
      <c r="AX39" s="4" t="s">
        <v>228</v>
      </c>
      <c r="AY39" s="8" t="s">
        <v>228</v>
      </c>
      <c r="AZ39" s="7" t="s">
        <v>228</v>
      </c>
      <c r="BA39" s="7" t="s">
        <v>228</v>
      </c>
      <c r="BB39" s="7"/>
      <c r="BC39" s="4" t="s">
        <v>228</v>
      </c>
      <c r="BD39" s="8" t="s">
        <v>228</v>
      </c>
      <c r="BE39" s="4" t="s">
        <v>228</v>
      </c>
      <c r="BF39" s="8" t="s">
        <v>228</v>
      </c>
      <c r="BG39" s="7" t="s">
        <v>228</v>
      </c>
      <c r="BH39" s="7" t="s">
        <v>228</v>
      </c>
      <c r="BI39" s="7"/>
      <c r="BJ39" s="4">
        <v>24</v>
      </c>
      <c r="BK39" s="8">
        <v>629.82</v>
      </c>
      <c r="BL39" s="2" t="s">
        <v>404</v>
      </c>
      <c r="BM39" s="7"/>
      <c r="BN39" s="7"/>
      <c r="BO39" s="4"/>
      <c r="BP39" s="8"/>
      <c r="BQ39" s="4"/>
      <c r="BR39" s="8"/>
      <c r="BS39" s="7"/>
      <c r="BT39" s="7"/>
      <c r="BU39" s="2" t="s">
        <v>405</v>
      </c>
      <c r="BV39" s="2" t="s">
        <v>228</v>
      </c>
      <c r="BW39" s="2" t="s">
        <v>228</v>
      </c>
      <c r="BX39" s="2" t="s">
        <v>273</v>
      </c>
      <c r="BY39" s="2" t="s">
        <v>274</v>
      </c>
      <c r="BZ39" s="2" t="s">
        <v>240</v>
      </c>
      <c r="CA39" s="2" t="s">
        <v>378</v>
      </c>
      <c r="CB39" s="2" t="s">
        <v>228</v>
      </c>
      <c r="CC39" s="2" t="s">
        <v>241</v>
      </c>
      <c r="CD39" s="2" t="s">
        <v>228</v>
      </c>
      <c r="CE39" s="4">
        <v>59</v>
      </c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>
        <v>30</v>
      </c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>
        <v>50</v>
      </c>
      <c r="GX39" s="4"/>
      <c r="GY39" s="4"/>
      <c r="GZ39" s="4"/>
      <c r="HA39" s="4"/>
      <c r="HB39" s="4"/>
      <c r="HC39" s="4"/>
      <c r="HD39" s="4"/>
      <c r="HE39" s="4">
        <v>20</v>
      </c>
    </row>
    <row r="40">
      <c r="A40" s="2" t="s">
        <v>406</v>
      </c>
      <c r="B40" s="2" t="s">
        <v>299</v>
      </c>
      <c r="C40" s="2" t="s">
        <v>345</v>
      </c>
      <c r="D40" s="2" t="s">
        <v>301</v>
      </c>
      <c r="E40" s="2" t="s">
        <v>302</v>
      </c>
      <c r="F40" s="2" t="s">
        <v>346</v>
      </c>
      <c r="G40" s="2" t="s">
        <v>346</v>
      </c>
      <c r="H40" s="2" t="s">
        <v>346</v>
      </c>
      <c r="I40" s="2" t="s">
        <v>347</v>
      </c>
      <c r="J40" s="2" t="s">
        <v>294</v>
      </c>
      <c r="K40" s="2" t="s">
        <v>402</v>
      </c>
      <c r="L40" s="3">
        <v>28.5</v>
      </c>
      <c r="M40" s="3">
        <v>29.93</v>
      </c>
      <c r="N40" s="3">
        <v>59.99</v>
      </c>
      <c r="O40" s="2" t="s">
        <v>240</v>
      </c>
      <c r="P40" s="2" t="s">
        <v>266</v>
      </c>
      <c r="Q40" s="2" t="s">
        <v>234</v>
      </c>
      <c r="R40" s="2" t="s">
        <v>228</v>
      </c>
      <c r="S40" s="2" t="s">
        <v>403</v>
      </c>
      <c r="T40" s="2" t="s">
        <v>350</v>
      </c>
      <c r="U40" s="2" t="s">
        <v>308</v>
      </c>
      <c r="V40" s="2" t="s">
        <v>387</v>
      </c>
      <c r="W40" s="2" t="s">
        <v>269</v>
      </c>
      <c r="X40" s="2" t="s">
        <v>228</v>
      </c>
      <c r="Y40" s="2" t="s">
        <v>375</v>
      </c>
      <c r="Z40" s="4">
        <v>59</v>
      </c>
      <c r="AA40" s="4">
        <f>=ROUNDDOWN(3.47058823529412,0)</f>
      </c>
      <c r="AB40" s="5">
        <v>17</v>
      </c>
      <c r="AC40" s="2" t="s">
        <v>197</v>
      </c>
      <c r="AD40" s="4">
        <v>120</v>
      </c>
      <c r="AE40" s="4">
        <v>400</v>
      </c>
      <c r="AF40" s="6">
        <v>70</v>
      </c>
      <c r="AG40" s="6"/>
      <c r="AH40" s="7">
        <v>1</v>
      </c>
      <c r="AI40" s="4"/>
      <c r="AJ40" s="4">
        <f>=ROUNDDOWN({0},0)</f>
      </c>
      <c r="AK40" s="5"/>
      <c r="AL40" s="2" t="s">
        <v>228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228</v>
      </c>
      <c r="AW40" s="8" t="s">
        <v>228</v>
      </c>
      <c r="AX40" s="4" t="s">
        <v>228</v>
      </c>
      <c r="AY40" s="8" t="s">
        <v>228</v>
      </c>
      <c r="AZ40" s="7" t="s">
        <v>228</v>
      </c>
      <c r="BA40" s="7" t="s">
        <v>228</v>
      </c>
      <c r="BB40" s="7"/>
      <c r="BC40" s="4" t="s">
        <v>228</v>
      </c>
      <c r="BD40" s="8" t="s">
        <v>228</v>
      </c>
      <c r="BE40" s="4" t="s">
        <v>228</v>
      </c>
      <c r="BF40" s="8" t="s">
        <v>228</v>
      </c>
      <c r="BG40" s="7" t="s">
        <v>228</v>
      </c>
      <c r="BH40" s="7" t="s">
        <v>228</v>
      </c>
      <c r="BI40" s="7"/>
      <c r="BJ40" s="4">
        <v>65</v>
      </c>
      <c r="BK40" s="8">
        <v>2065.28</v>
      </c>
      <c r="BL40" s="2" t="s">
        <v>407</v>
      </c>
      <c r="BM40" s="7"/>
      <c r="BN40" s="7"/>
      <c r="BO40" s="4"/>
      <c r="BP40" s="8"/>
      <c r="BQ40" s="4"/>
      <c r="BR40" s="8"/>
      <c r="BS40" s="7"/>
      <c r="BT40" s="7"/>
      <c r="BU40" s="2" t="s">
        <v>408</v>
      </c>
      <c r="BV40" s="2" t="s">
        <v>228</v>
      </c>
      <c r="BW40" s="2" t="s">
        <v>228</v>
      </c>
      <c r="BX40" s="2" t="s">
        <v>273</v>
      </c>
      <c r="BY40" s="2" t="s">
        <v>274</v>
      </c>
      <c r="BZ40" s="2" t="s">
        <v>240</v>
      </c>
      <c r="CA40" s="2" t="s">
        <v>378</v>
      </c>
      <c r="CB40" s="2" t="s">
        <v>409</v>
      </c>
      <c r="CC40" s="2" t="s">
        <v>241</v>
      </c>
      <c r="CD40" s="2" t="s">
        <v>228</v>
      </c>
      <c r="CE40" s="4">
        <v>59</v>
      </c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>
        <v>120</v>
      </c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>
        <v>100</v>
      </c>
      <c r="GX40" s="4"/>
      <c r="GY40" s="4"/>
      <c r="GZ40" s="4"/>
      <c r="HA40" s="4"/>
      <c r="HB40" s="4"/>
      <c r="HC40" s="4"/>
      <c r="HD40" s="4"/>
      <c r="HE40" s="4">
        <v>180</v>
      </c>
    </row>
    <row r="41">
      <c r="A41" s="2" t="s">
        <v>410</v>
      </c>
      <c r="B41" s="2" t="s">
        <v>258</v>
      </c>
      <c r="C41" s="2" t="s">
        <v>259</v>
      </c>
      <c r="D41" s="2" t="s">
        <v>260</v>
      </c>
      <c r="E41" s="2" t="s">
        <v>411</v>
      </c>
      <c r="F41" s="2" t="s">
        <v>412</v>
      </c>
      <c r="G41" s="2" t="s">
        <v>412</v>
      </c>
      <c r="H41" s="2" t="s">
        <v>412</v>
      </c>
      <c r="I41" s="2" t="s">
        <v>413</v>
      </c>
      <c r="J41" s="2" t="s">
        <v>294</v>
      </c>
      <c r="K41" s="2" t="s">
        <v>316</v>
      </c>
      <c r="L41" s="3">
        <v>23.8</v>
      </c>
      <c r="M41" s="3">
        <v>24.99</v>
      </c>
      <c r="N41" s="3">
        <v>49.99</v>
      </c>
      <c r="O41" s="2" t="s">
        <v>240</v>
      </c>
      <c r="P41" s="2" t="s">
        <v>333</v>
      </c>
      <c r="Q41" s="2" t="s">
        <v>234</v>
      </c>
      <c r="R41" s="2" t="s">
        <v>228</v>
      </c>
      <c r="S41" s="2" t="s">
        <v>414</v>
      </c>
      <c r="T41" s="2" t="s">
        <v>415</v>
      </c>
      <c r="U41" s="2" t="s">
        <v>416</v>
      </c>
      <c r="V41" s="2" t="s">
        <v>236</v>
      </c>
      <c r="W41" s="2" t="s">
        <v>269</v>
      </c>
      <c r="X41" s="2" t="s">
        <v>417</v>
      </c>
      <c r="Y41" s="2" t="s">
        <v>418</v>
      </c>
      <c r="Z41" s="4">
        <v>68</v>
      </c>
      <c r="AA41" s="4">
        <f>=ROUNDDOWN(8.5,0)</f>
      </c>
      <c r="AB41" s="5">
        <v>8</v>
      </c>
      <c r="AC41" s="2" t="s">
        <v>228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228</v>
      </c>
      <c r="AM41" s="4"/>
      <c r="AN41" s="4"/>
      <c r="AO41" s="7"/>
      <c r="AP41" s="4"/>
      <c r="AQ41" s="8"/>
      <c r="AR41" s="4"/>
      <c r="AS41" s="8"/>
      <c r="AT41" s="7"/>
      <c r="AU41" s="7"/>
      <c r="AV41" s="4"/>
      <c r="AW41" s="8"/>
      <c r="AX41" s="4"/>
      <c r="AY41" s="8"/>
      <c r="AZ41" s="7"/>
      <c r="BA41" s="7"/>
      <c r="BB41" s="7"/>
      <c r="BC41" s="4"/>
      <c r="BD41" s="8"/>
      <c r="BE41" s="4"/>
      <c r="BF41" s="8"/>
      <c r="BG41" s="7"/>
      <c r="BH41" s="7"/>
      <c r="BI41" s="7"/>
      <c r="BJ41" s="4">
        <v>35</v>
      </c>
      <c r="BK41" s="8">
        <v>926.28</v>
      </c>
      <c r="BL41" s="2" t="s">
        <v>419</v>
      </c>
      <c r="BM41" s="7"/>
      <c r="BN41" s="7"/>
      <c r="BO41" s="4"/>
      <c r="BP41" s="8"/>
      <c r="BQ41" s="4"/>
      <c r="BR41" s="8"/>
      <c r="BS41" s="7"/>
      <c r="BT41" s="7"/>
      <c r="BU41" s="2" t="s">
        <v>420</v>
      </c>
      <c r="BV41" s="2" t="s">
        <v>228</v>
      </c>
      <c r="BW41" s="2" t="s">
        <v>228</v>
      </c>
      <c r="BX41" s="2" t="s">
        <v>337</v>
      </c>
      <c r="BY41" s="2" t="s">
        <v>274</v>
      </c>
      <c r="BZ41" s="2" t="s">
        <v>240</v>
      </c>
      <c r="CA41" s="2" t="s">
        <v>421</v>
      </c>
      <c r="CB41" s="2" t="s">
        <v>422</v>
      </c>
      <c r="CC41" s="2" t="s">
        <v>241</v>
      </c>
      <c r="CD41" s="2" t="s">
        <v>228</v>
      </c>
      <c r="CE41" s="4">
        <v>68</v>
      </c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</row>
    <row r="42">
      <c r="A42" s="2" t="s">
        <v>423</v>
      </c>
      <c r="B42" s="2" t="s">
        <v>258</v>
      </c>
      <c r="C42" s="2" t="s">
        <v>259</v>
      </c>
      <c r="D42" s="2" t="s">
        <v>260</v>
      </c>
      <c r="E42" s="2" t="s">
        <v>261</v>
      </c>
      <c r="F42" s="2" t="s">
        <v>424</v>
      </c>
      <c r="G42" s="2" t="s">
        <v>424</v>
      </c>
      <c r="H42" s="2" t="s">
        <v>424</v>
      </c>
      <c r="I42" s="2" t="s">
        <v>332</v>
      </c>
      <c r="J42" s="2" t="s">
        <v>264</v>
      </c>
      <c r="K42" s="2" t="s">
        <v>265</v>
      </c>
      <c r="L42" s="3">
        <v>41.4</v>
      </c>
      <c r="M42" s="3">
        <v>43.47</v>
      </c>
      <c r="N42" s="3">
        <v>89.99</v>
      </c>
      <c r="O42" s="2" t="s">
        <v>240</v>
      </c>
      <c r="P42" s="2" t="s">
        <v>266</v>
      </c>
      <c r="Q42" s="2" t="s">
        <v>234</v>
      </c>
      <c r="R42" s="2" t="s">
        <v>228</v>
      </c>
      <c r="S42" s="2" t="s">
        <v>425</v>
      </c>
      <c r="T42" s="2" t="s">
        <v>268</v>
      </c>
      <c r="U42" s="2" t="s">
        <v>228</v>
      </c>
      <c r="V42" s="2" t="s">
        <v>236</v>
      </c>
      <c r="W42" s="2" t="s">
        <v>269</v>
      </c>
      <c r="X42" s="2" t="s">
        <v>228</v>
      </c>
      <c r="Y42" s="2" t="s">
        <v>270</v>
      </c>
      <c r="Z42" s="4">
        <v>379</v>
      </c>
      <c r="AA42" s="4">
        <f>=ROUNDDOWN(31.5833333333333,0)</f>
      </c>
      <c r="AB42" s="5">
        <v>12</v>
      </c>
      <c r="AC42" s="2" t="s">
        <v>156</v>
      </c>
      <c r="AD42" s="4">
        <v>150</v>
      </c>
      <c r="AE42" s="4">
        <v>150</v>
      </c>
      <c r="AF42" s="6">
        <v>65</v>
      </c>
      <c r="AG42" s="6"/>
      <c r="AH42" s="7">
        <v>0.7742</v>
      </c>
      <c r="AI42" s="4"/>
      <c r="AJ42" s="4">
        <f>=ROUNDDOWN({0},0)</f>
      </c>
      <c r="AK42" s="5"/>
      <c r="AL42" s="2" t="s">
        <v>228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228</v>
      </c>
      <c r="AW42" s="8" t="s">
        <v>228</v>
      </c>
      <c r="AX42" s="4" t="s">
        <v>228</v>
      </c>
      <c r="AY42" s="8" t="s">
        <v>228</v>
      </c>
      <c r="AZ42" s="7" t="s">
        <v>228</v>
      </c>
      <c r="BA42" s="7" t="s">
        <v>228</v>
      </c>
      <c r="BB42" s="7"/>
      <c r="BC42" s="4" t="s">
        <v>228</v>
      </c>
      <c r="BD42" s="8" t="s">
        <v>228</v>
      </c>
      <c r="BE42" s="4" t="s">
        <v>228</v>
      </c>
      <c r="BF42" s="8" t="s">
        <v>228</v>
      </c>
      <c r="BG42" s="7" t="s">
        <v>228</v>
      </c>
      <c r="BH42" s="7" t="s">
        <v>228</v>
      </c>
      <c r="BI42" s="7"/>
      <c r="BJ42" s="4">
        <v>51</v>
      </c>
      <c r="BK42" s="8">
        <v>2290.81</v>
      </c>
      <c r="BL42" s="2" t="s">
        <v>426</v>
      </c>
      <c r="BM42" s="7"/>
      <c r="BN42" s="7"/>
      <c r="BO42" s="4"/>
      <c r="BP42" s="8"/>
      <c r="BQ42" s="4"/>
      <c r="BR42" s="8"/>
      <c r="BS42" s="7"/>
      <c r="BT42" s="7"/>
      <c r="BU42" s="2" t="s">
        <v>427</v>
      </c>
      <c r="BV42" s="2" t="s">
        <v>228</v>
      </c>
      <c r="BW42" s="2" t="s">
        <v>228</v>
      </c>
      <c r="BX42" s="2" t="s">
        <v>273</v>
      </c>
      <c r="BY42" s="2" t="s">
        <v>274</v>
      </c>
      <c r="BZ42" s="2" t="s">
        <v>240</v>
      </c>
      <c r="CA42" s="2" t="s">
        <v>428</v>
      </c>
      <c r="CB42" s="2" t="s">
        <v>429</v>
      </c>
      <c r="CC42" s="2" t="s">
        <v>241</v>
      </c>
      <c r="CD42" s="2" t="s">
        <v>228</v>
      </c>
      <c r="CE42" s="4">
        <v>379</v>
      </c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>
        <v>150</v>
      </c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</row>
    <row r="43">
      <c r="A43" s="2" t="s">
        <v>430</v>
      </c>
      <c r="B43" s="2" t="s">
        <v>258</v>
      </c>
      <c r="C43" s="2" t="s">
        <v>259</v>
      </c>
      <c r="D43" s="2" t="s">
        <v>260</v>
      </c>
      <c r="E43" s="2" t="s">
        <v>261</v>
      </c>
      <c r="F43" s="2" t="s">
        <v>424</v>
      </c>
      <c r="G43" s="2" t="s">
        <v>424</v>
      </c>
      <c r="H43" s="2" t="s">
        <v>424</v>
      </c>
      <c r="I43" s="2" t="s">
        <v>332</v>
      </c>
      <c r="J43" s="2" t="s">
        <v>289</v>
      </c>
      <c r="K43" s="2" t="s">
        <v>265</v>
      </c>
      <c r="L43" s="3">
        <v>62.1</v>
      </c>
      <c r="M43" s="3">
        <v>65.2</v>
      </c>
      <c r="N43" s="3">
        <v>134.99</v>
      </c>
      <c r="O43" s="2" t="s">
        <v>240</v>
      </c>
      <c r="P43" s="2" t="s">
        <v>266</v>
      </c>
      <c r="Q43" s="2" t="s">
        <v>234</v>
      </c>
      <c r="R43" s="2" t="s">
        <v>228</v>
      </c>
      <c r="S43" s="2" t="s">
        <v>425</v>
      </c>
      <c r="T43" s="2" t="s">
        <v>268</v>
      </c>
      <c r="U43" s="2" t="s">
        <v>228</v>
      </c>
      <c r="V43" s="2" t="s">
        <v>236</v>
      </c>
      <c r="W43" s="2" t="s">
        <v>269</v>
      </c>
      <c r="X43" s="2" t="s">
        <v>228</v>
      </c>
      <c r="Y43" s="2" t="s">
        <v>270</v>
      </c>
      <c r="Z43" s="4">
        <v>506</v>
      </c>
      <c r="AA43" s="4">
        <f>=ROUNDDOWN(29.7647058823529,0)</f>
      </c>
      <c r="AB43" s="5">
        <v>17</v>
      </c>
      <c r="AC43" s="2" t="s">
        <v>156</v>
      </c>
      <c r="AD43" s="4">
        <v>80</v>
      </c>
      <c r="AE43" s="4">
        <v>80</v>
      </c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228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228</v>
      </c>
      <c r="AW43" s="8" t="s">
        <v>228</v>
      </c>
      <c r="AX43" s="4" t="s">
        <v>228</v>
      </c>
      <c r="AY43" s="8" t="s">
        <v>228</v>
      </c>
      <c r="AZ43" s="7" t="s">
        <v>228</v>
      </c>
      <c r="BA43" s="7" t="s">
        <v>228</v>
      </c>
      <c r="BB43" s="7"/>
      <c r="BC43" s="4" t="s">
        <v>228</v>
      </c>
      <c r="BD43" s="8" t="s">
        <v>228</v>
      </c>
      <c r="BE43" s="4" t="s">
        <v>228</v>
      </c>
      <c r="BF43" s="8" t="s">
        <v>228</v>
      </c>
      <c r="BG43" s="7" t="s">
        <v>228</v>
      </c>
      <c r="BH43" s="7" t="s">
        <v>228</v>
      </c>
      <c r="BI43" s="7"/>
      <c r="BJ43" s="4">
        <v>64</v>
      </c>
      <c r="BK43" s="8">
        <v>4383.45</v>
      </c>
      <c r="BL43" s="2" t="s">
        <v>431</v>
      </c>
      <c r="BM43" s="7"/>
      <c r="BN43" s="7"/>
      <c r="BO43" s="4"/>
      <c r="BP43" s="8"/>
      <c r="BQ43" s="4"/>
      <c r="BR43" s="8"/>
      <c r="BS43" s="7"/>
      <c r="BT43" s="7"/>
      <c r="BU43" s="2" t="s">
        <v>432</v>
      </c>
      <c r="BV43" s="2" t="s">
        <v>228</v>
      </c>
      <c r="BW43" s="2" t="s">
        <v>228</v>
      </c>
      <c r="BX43" s="2" t="s">
        <v>273</v>
      </c>
      <c r="BY43" s="2" t="s">
        <v>274</v>
      </c>
      <c r="BZ43" s="2" t="s">
        <v>240</v>
      </c>
      <c r="CA43" s="2" t="s">
        <v>428</v>
      </c>
      <c r="CB43" s="2" t="s">
        <v>433</v>
      </c>
      <c r="CC43" s="2" t="s">
        <v>241</v>
      </c>
      <c r="CD43" s="2" t="s">
        <v>228</v>
      </c>
      <c r="CE43" s="4">
        <v>506</v>
      </c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>
        <v>80</v>
      </c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</row>
    <row r="44">
      <c r="A44" s="2" t="s">
        <v>434</v>
      </c>
      <c r="B44" s="2" t="s">
        <v>258</v>
      </c>
      <c r="C44" s="2" t="s">
        <v>259</v>
      </c>
      <c r="D44" s="2" t="s">
        <v>260</v>
      </c>
      <c r="E44" s="2" t="s">
        <v>261</v>
      </c>
      <c r="F44" s="2" t="s">
        <v>424</v>
      </c>
      <c r="G44" s="2" t="s">
        <v>424</v>
      </c>
      <c r="H44" s="2" t="s">
        <v>424</v>
      </c>
      <c r="I44" s="2" t="s">
        <v>332</v>
      </c>
      <c r="J44" s="2" t="s">
        <v>294</v>
      </c>
      <c r="K44" s="2" t="s">
        <v>265</v>
      </c>
      <c r="L44" s="3">
        <v>76.8</v>
      </c>
      <c r="M44" s="3">
        <v>80.64</v>
      </c>
      <c r="N44" s="3">
        <v>159.99</v>
      </c>
      <c r="O44" s="2" t="s">
        <v>240</v>
      </c>
      <c r="P44" s="2" t="s">
        <v>266</v>
      </c>
      <c r="Q44" s="2" t="s">
        <v>234</v>
      </c>
      <c r="R44" s="2" t="s">
        <v>228</v>
      </c>
      <c r="S44" s="2" t="s">
        <v>425</v>
      </c>
      <c r="T44" s="2" t="s">
        <v>268</v>
      </c>
      <c r="U44" s="2" t="s">
        <v>228</v>
      </c>
      <c r="V44" s="2" t="s">
        <v>236</v>
      </c>
      <c r="W44" s="2" t="s">
        <v>269</v>
      </c>
      <c r="X44" s="2" t="s">
        <v>228</v>
      </c>
      <c r="Y44" s="2" t="s">
        <v>270</v>
      </c>
      <c r="Z44" s="4">
        <v>307</v>
      </c>
      <c r="AA44" s="4">
        <f>=ROUNDDOWN(51.1666666666667,0)</f>
      </c>
      <c r="AB44" s="5">
        <v>6</v>
      </c>
      <c r="AC44" s="2" t="s">
        <v>156</v>
      </c>
      <c r="AD44" s="4">
        <v>50</v>
      </c>
      <c r="AE44" s="4">
        <v>50</v>
      </c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228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228</v>
      </c>
      <c r="AW44" s="8" t="s">
        <v>228</v>
      </c>
      <c r="AX44" s="4" t="s">
        <v>228</v>
      </c>
      <c r="AY44" s="8" t="s">
        <v>228</v>
      </c>
      <c r="AZ44" s="7" t="s">
        <v>228</v>
      </c>
      <c r="BA44" s="7" t="s">
        <v>228</v>
      </c>
      <c r="BB44" s="7"/>
      <c r="BC44" s="4" t="s">
        <v>228</v>
      </c>
      <c r="BD44" s="8" t="s">
        <v>228</v>
      </c>
      <c r="BE44" s="4" t="s">
        <v>228</v>
      </c>
      <c r="BF44" s="8" t="s">
        <v>228</v>
      </c>
      <c r="BG44" s="7" t="s">
        <v>228</v>
      </c>
      <c r="BH44" s="7" t="s">
        <v>228</v>
      </c>
      <c r="BI44" s="7"/>
      <c r="BJ44" s="4">
        <v>17</v>
      </c>
      <c r="BK44" s="8">
        <v>1437.89</v>
      </c>
      <c r="BL44" s="2" t="s">
        <v>435</v>
      </c>
      <c r="BM44" s="7"/>
      <c r="BN44" s="7"/>
      <c r="BO44" s="4"/>
      <c r="BP44" s="8"/>
      <c r="BQ44" s="4"/>
      <c r="BR44" s="8"/>
      <c r="BS44" s="7"/>
      <c r="BT44" s="7"/>
      <c r="BU44" s="2" t="s">
        <v>436</v>
      </c>
      <c r="BV44" s="2" t="s">
        <v>228</v>
      </c>
      <c r="BW44" s="2" t="s">
        <v>228</v>
      </c>
      <c r="BX44" s="2" t="s">
        <v>273</v>
      </c>
      <c r="BY44" s="2" t="s">
        <v>274</v>
      </c>
      <c r="BZ44" s="2" t="s">
        <v>240</v>
      </c>
      <c r="CA44" s="2" t="s">
        <v>428</v>
      </c>
      <c r="CB44" s="2" t="s">
        <v>437</v>
      </c>
      <c r="CC44" s="2" t="s">
        <v>241</v>
      </c>
      <c r="CD44" s="2" t="s">
        <v>228</v>
      </c>
      <c r="CE44" s="4">
        <v>307</v>
      </c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>
        <v>50</v>
      </c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</row>
    <row r="45">
      <c r="A45" s="2" t="s">
        <v>438</v>
      </c>
      <c r="B45" s="2" t="s">
        <v>258</v>
      </c>
      <c r="C45" s="2" t="s">
        <v>259</v>
      </c>
      <c r="D45" s="2" t="s">
        <v>260</v>
      </c>
      <c r="E45" s="2" t="s">
        <v>261</v>
      </c>
      <c r="F45" s="2" t="s">
        <v>439</v>
      </c>
      <c r="G45" s="2" t="s">
        <v>439</v>
      </c>
      <c r="H45" s="2" t="s">
        <v>439</v>
      </c>
      <c r="I45" s="2" t="s">
        <v>315</v>
      </c>
      <c r="J45" s="2" t="s">
        <v>264</v>
      </c>
      <c r="K45" s="2" t="s">
        <v>316</v>
      </c>
      <c r="L45" s="3">
        <v>68.26</v>
      </c>
      <c r="M45" s="3">
        <v>71.67</v>
      </c>
      <c r="N45" s="3">
        <v>129.99</v>
      </c>
      <c r="O45" s="2" t="s">
        <v>240</v>
      </c>
      <c r="P45" s="2" t="s">
        <v>266</v>
      </c>
      <c r="Q45" s="2" t="s">
        <v>234</v>
      </c>
      <c r="R45" s="2" t="s">
        <v>228</v>
      </c>
      <c r="S45" s="2" t="s">
        <v>440</v>
      </c>
      <c r="T45" s="2" t="s">
        <v>268</v>
      </c>
      <c r="U45" s="2" t="s">
        <v>228</v>
      </c>
      <c r="V45" s="2" t="s">
        <v>236</v>
      </c>
      <c r="W45" s="2" t="s">
        <v>269</v>
      </c>
      <c r="X45" s="2" t="s">
        <v>228</v>
      </c>
      <c r="Y45" s="2" t="s">
        <v>270</v>
      </c>
      <c r="Z45" s="4">
        <v>175</v>
      </c>
      <c r="AA45" s="4">
        <f>=ROUNDDOWN(35,0)</f>
      </c>
      <c r="AB45" s="5">
        <v>5</v>
      </c>
      <c r="AC45" s="2" t="s">
        <v>160</v>
      </c>
      <c r="AD45" s="4">
        <v>50</v>
      </c>
      <c r="AE45" s="4">
        <v>50</v>
      </c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228</v>
      </c>
      <c r="AM45" s="4"/>
      <c r="AN45" s="4"/>
      <c r="AO45" s="7"/>
      <c r="AP45" s="4"/>
      <c r="AQ45" s="8"/>
      <c r="AR45" s="4"/>
      <c r="AS45" s="8"/>
      <c r="AT45" s="7"/>
      <c r="AU45" s="7"/>
      <c r="AV45" s="4"/>
      <c r="AW45" s="8"/>
      <c r="AX45" s="4"/>
      <c r="AY45" s="8"/>
      <c r="AZ45" s="7"/>
      <c r="BA45" s="7"/>
      <c r="BB45" s="7"/>
      <c r="BC45" s="4"/>
      <c r="BD45" s="8"/>
      <c r="BE45" s="4"/>
      <c r="BF45" s="8"/>
      <c r="BG45" s="7"/>
      <c r="BH45" s="7"/>
      <c r="BI45" s="7"/>
      <c r="BJ45" s="4">
        <v>45</v>
      </c>
      <c r="BK45" s="8">
        <v>3132.29</v>
      </c>
      <c r="BL45" s="2" t="s">
        <v>441</v>
      </c>
      <c r="BM45" s="7"/>
      <c r="BN45" s="7"/>
      <c r="BO45" s="4"/>
      <c r="BP45" s="8"/>
      <c r="BQ45" s="4"/>
      <c r="BR45" s="8"/>
      <c r="BS45" s="7"/>
      <c r="BT45" s="7"/>
      <c r="BU45" s="2" t="s">
        <v>442</v>
      </c>
      <c r="BV45" s="2" t="s">
        <v>228</v>
      </c>
      <c r="BW45" s="2" t="s">
        <v>228</v>
      </c>
      <c r="BX45" s="2" t="s">
        <v>273</v>
      </c>
      <c r="BY45" s="2" t="s">
        <v>274</v>
      </c>
      <c r="BZ45" s="2" t="s">
        <v>240</v>
      </c>
      <c r="CA45" s="2" t="s">
        <v>275</v>
      </c>
      <c r="CB45" s="2" t="s">
        <v>443</v>
      </c>
      <c r="CC45" s="2" t="s">
        <v>241</v>
      </c>
      <c r="CD45" s="2" t="s">
        <v>228</v>
      </c>
      <c r="CE45" s="4">
        <v>175</v>
      </c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>
        <v>50</v>
      </c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</row>
    <row r="46">
      <c r="A46" s="2" t="s">
        <v>444</v>
      </c>
      <c r="B46" s="2" t="s">
        <v>258</v>
      </c>
      <c r="C46" s="2" t="s">
        <v>259</v>
      </c>
      <c r="D46" s="2" t="s">
        <v>260</v>
      </c>
      <c r="E46" s="2" t="s">
        <v>261</v>
      </c>
      <c r="F46" s="2" t="s">
        <v>445</v>
      </c>
      <c r="G46" s="2" t="s">
        <v>446</v>
      </c>
      <c r="H46" s="2" t="s">
        <v>445</v>
      </c>
      <c r="I46" s="2" t="s">
        <v>447</v>
      </c>
      <c r="J46" s="2" t="s">
        <v>264</v>
      </c>
      <c r="K46" s="2" t="s">
        <v>316</v>
      </c>
      <c r="L46" s="3">
        <v>79.49</v>
      </c>
      <c r="M46" s="3">
        <v>83.46</v>
      </c>
      <c r="N46" s="3">
        <v>149.99</v>
      </c>
      <c r="O46" s="2" t="s">
        <v>240</v>
      </c>
      <c r="P46" s="2" t="s">
        <v>266</v>
      </c>
      <c r="Q46" s="2" t="s">
        <v>234</v>
      </c>
      <c r="R46" s="2" t="s">
        <v>228</v>
      </c>
      <c r="S46" s="2" t="s">
        <v>448</v>
      </c>
      <c r="T46" s="2" t="s">
        <v>268</v>
      </c>
      <c r="U46" s="2" t="s">
        <v>228</v>
      </c>
      <c r="V46" s="2" t="s">
        <v>236</v>
      </c>
      <c r="W46" s="2" t="s">
        <v>269</v>
      </c>
      <c r="X46" s="2" t="s">
        <v>228</v>
      </c>
      <c r="Y46" s="2" t="s">
        <v>270</v>
      </c>
      <c r="Z46" s="4">
        <v>169</v>
      </c>
      <c r="AA46" s="4">
        <f>=ROUNDDOWN(42.25,0)</f>
      </c>
      <c r="AB46" s="5">
        <v>4</v>
      </c>
      <c r="AC46" s="2" t="s">
        <v>228</v>
      </c>
      <c r="AD46" s="4"/>
      <c r="AE46" s="4"/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228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228</v>
      </c>
      <c r="AW46" s="8" t="s">
        <v>228</v>
      </c>
      <c r="AX46" s="4" t="s">
        <v>228</v>
      </c>
      <c r="AY46" s="8" t="s">
        <v>228</v>
      </c>
      <c r="AZ46" s="7" t="s">
        <v>228</v>
      </c>
      <c r="BA46" s="7" t="s">
        <v>228</v>
      </c>
      <c r="BB46" s="7"/>
      <c r="BC46" s="4" t="s">
        <v>228</v>
      </c>
      <c r="BD46" s="8" t="s">
        <v>228</v>
      </c>
      <c r="BE46" s="4" t="s">
        <v>228</v>
      </c>
      <c r="BF46" s="8" t="s">
        <v>228</v>
      </c>
      <c r="BG46" s="7" t="s">
        <v>228</v>
      </c>
      <c r="BH46" s="7" t="s">
        <v>228</v>
      </c>
      <c r="BI46" s="7"/>
      <c r="BJ46" s="4">
        <v>33</v>
      </c>
      <c r="BK46" s="8">
        <v>2415.5</v>
      </c>
      <c r="BL46" s="2" t="s">
        <v>449</v>
      </c>
      <c r="BM46" s="7"/>
      <c r="BN46" s="7"/>
      <c r="BO46" s="4"/>
      <c r="BP46" s="8"/>
      <c r="BQ46" s="4"/>
      <c r="BR46" s="8"/>
      <c r="BS46" s="7"/>
      <c r="BT46" s="7"/>
      <c r="BU46" s="2" t="s">
        <v>450</v>
      </c>
      <c r="BV46" s="2" t="s">
        <v>228</v>
      </c>
      <c r="BW46" s="2" t="s">
        <v>228</v>
      </c>
      <c r="BX46" s="2" t="s">
        <v>273</v>
      </c>
      <c r="BY46" s="2" t="s">
        <v>274</v>
      </c>
      <c r="BZ46" s="2" t="s">
        <v>240</v>
      </c>
      <c r="CA46" s="2" t="s">
        <v>338</v>
      </c>
      <c r="CB46" s="2" t="s">
        <v>451</v>
      </c>
      <c r="CC46" s="2" t="s">
        <v>241</v>
      </c>
      <c r="CD46" s="2" t="s">
        <v>228</v>
      </c>
      <c r="CE46" s="4">
        <v>169</v>
      </c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</row>
    <row r="47">
      <c r="A47" s="2" t="s">
        <v>452</v>
      </c>
      <c r="B47" s="2" t="s">
        <v>258</v>
      </c>
      <c r="C47" s="2" t="s">
        <v>259</v>
      </c>
      <c r="D47" s="2" t="s">
        <v>260</v>
      </c>
      <c r="E47" s="2" t="s">
        <v>261</v>
      </c>
      <c r="F47" s="2" t="s">
        <v>445</v>
      </c>
      <c r="G47" s="2" t="s">
        <v>446</v>
      </c>
      <c r="H47" s="2" t="s">
        <v>445</v>
      </c>
      <c r="I47" s="2" t="s">
        <v>447</v>
      </c>
      <c r="J47" s="2" t="s">
        <v>294</v>
      </c>
      <c r="K47" s="2" t="s">
        <v>316</v>
      </c>
      <c r="L47" s="3">
        <v>137.79</v>
      </c>
      <c r="M47" s="3">
        <v>144.68</v>
      </c>
      <c r="N47" s="3">
        <v>259.99</v>
      </c>
      <c r="O47" s="2" t="s">
        <v>240</v>
      </c>
      <c r="P47" s="2" t="s">
        <v>266</v>
      </c>
      <c r="Q47" s="2" t="s">
        <v>234</v>
      </c>
      <c r="R47" s="2" t="s">
        <v>228</v>
      </c>
      <c r="S47" s="2" t="s">
        <v>448</v>
      </c>
      <c r="T47" s="2" t="s">
        <v>268</v>
      </c>
      <c r="U47" s="2" t="s">
        <v>228</v>
      </c>
      <c r="V47" s="2" t="s">
        <v>236</v>
      </c>
      <c r="W47" s="2" t="s">
        <v>269</v>
      </c>
      <c r="X47" s="2" t="s">
        <v>228</v>
      </c>
      <c r="Y47" s="2" t="s">
        <v>270</v>
      </c>
      <c r="Z47" s="4">
        <v>181</v>
      </c>
      <c r="AA47" s="4">
        <f>=ROUNDDOWN(36.2,0)</f>
      </c>
      <c r="AB47" s="5">
        <v>5</v>
      </c>
      <c r="AC47" s="2" t="s">
        <v>192</v>
      </c>
      <c r="AD47" s="4">
        <v>50</v>
      </c>
      <c r="AE47" s="4">
        <v>50</v>
      </c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228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228</v>
      </c>
      <c r="AW47" s="8" t="s">
        <v>228</v>
      </c>
      <c r="AX47" s="4" t="s">
        <v>228</v>
      </c>
      <c r="AY47" s="8" t="s">
        <v>228</v>
      </c>
      <c r="AZ47" s="7" t="s">
        <v>228</v>
      </c>
      <c r="BA47" s="7" t="s">
        <v>228</v>
      </c>
      <c r="BB47" s="7"/>
      <c r="BC47" s="4" t="s">
        <v>228</v>
      </c>
      <c r="BD47" s="8" t="s">
        <v>228</v>
      </c>
      <c r="BE47" s="4" t="s">
        <v>228</v>
      </c>
      <c r="BF47" s="8" t="s">
        <v>228</v>
      </c>
      <c r="BG47" s="7" t="s">
        <v>228</v>
      </c>
      <c r="BH47" s="7" t="s">
        <v>228</v>
      </c>
      <c r="BI47" s="7"/>
      <c r="BJ47" s="4">
        <v>12</v>
      </c>
      <c r="BK47" s="8">
        <v>1750.94</v>
      </c>
      <c r="BL47" s="2" t="s">
        <v>453</v>
      </c>
      <c r="BM47" s="7"/>
      <c r="BN47" s="7"/>
      <c r="BO47" s="4"/>
      <c r="BP47" s="8"/>
      <c r="BQ47" s="4"/>
      <c r="BR47" s="8"/>
      <c r="BS47" s="7"/>
      <c r="BT47" s="7"/>
      <c r="BU47" s="2" t="s">
        <v>454</v>
      </c>
      <c r="BV47" s="2" t="s">
        <v>228</v>
      </c>
      <c r="BW47" s="2" t="s">
        <v>228</v>
      </c>
      <c r="BX47" s="2" t="s">
        <v>273</v>
      </c>
      <c r="BY47" s="2" t="s">
        <v>274</v>
      </c>
      <c r="BZ47" s="2" t="s">
        <v>240</v>
      </c>
      <c r="CA47" s="2" t="s">
        <v>338</v>
      </c>
      <c r="CB47" s="2" t="s">
        <v>455</v>
      </c>
      <c r="CC47" s="2" t="s">
        <v>241</v>
      </c>
      <c r="CD47" s="2" t="s">
        <v>228</v>
      </c>
      <c r="CE47" s="4">
        <v>181</v>
      </c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>
        <v>50</v>
      </c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</row>
    <row r="48">
      <c r="A48" s="2" t="s">
        <v>456</v>
      </c>
      <c r="B48" s="2" t="s">
        <v>258</v>
      </c>
      <c r="C48" s="2" t="s">
        <v>457</v>
      </c>
      <c r="D48" s="2" t="s">
        <v>260</v>
      </c>
      <c r="E48" s="2" t="s">
        <v>261</v>
      </c>
      <c r="F48" s="2" t="s">
        <v>458</v>
      </c>
      <c r="G48" s="2" t="s">
        <v>458</v>
      </c>
      <c r="H48" s="2" t="s">
        <v>458</v>
      </c>
      <c r="I48" s="2" t="s">
        <v>459</v>
      </c>
      <c r="J48" s="2" t="s">
        <v>284</v>
      </c>
      <c r="K48" s="2" t="s">
        <v>460</v>
      </c>
      <c r="L48" s="3">
        <v>80.95</v>
      </c>
      <c r="M48" s="3">
        <v>85</v>
      </c>
      <c r="N48" s="3">
        <v>169.99</v>
      </c>
      <c r="O48" s="2" t="s">
        <v>461</v>
      </c>
      <c r="P48" s="2" t="s">
        <v>333</v>
      </c>
      <c r="Q48" s="2" t="s">
        <v>234</v>
      </c>
      <c r="R48" s="2" t="s">
        <v>228</v>
      </c>
      <c r="S48" s="2" t="s">
        <v>462</v>
      </c>
      <c r="T48" s="2" t="s">
        <v>268</v>
      </c>
      <c r="U48" s="2" t="s">
        <v>416</v>
      </c>
      <c r="V48" s="2" t="s">
        <v>236</v>
      </c>
      <c r="W48" s="2" t="s">
        <v>269</v>
      </c>
      <c r="X48" s="2" t="s">
        <v>463</v>
      </c>
      <c r="Y48" s="2" t="s">
        <v>464</v>
      </c>
      <c r="Z48" s="4">
        <v>122</v>
      </c>
      <c r="AA48" s="4">
        <f>=ROUNDDOWN(61,0)</f>
      </c>
      <c r="AB48" s="5">
        <v>2</v>
      </c>
      <c r="AC48" s="2" t="s">
        <v>228</v>
      </c>
      <c r="AD48" s="4"/>
      <c r="AE48" s="4"/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228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228</v>
      </c>
      <c r="AW48" s="8" t="s">
        <v>228</v>
      </c>
      <c r="AX48" s="4" t="s">
        <v>228</v>
      </c>
      <c r="AY48" s="8" t="s">
        <v>228</v>
      </c>
      <c r="AZ48" s="7" t="s">
        <v>228</v>
      </c>
      <c r="BA48" s="7" t="s">
        <v>228</v>
      </c>
      <c r="BB48" s="7"/>
      <c r="BC48" s="4" t="s">
        <v>228</v>
      </c>
      <c r="BD48" s="8" t="s">
        <v>228</v>
      </c>
      <c r="BE48" s="4" t="s">
        <v>228</v>
      </c>
      <c r="BF48" s="8" t="s">
        <v>228</v>
      </c>
      <c r="BG48" s="7" t="s">
        <v>228</v>
      </c>
      <c r="BH48" s="7" t="s">
        <v>228</v>
      </c>
      <c r="BI48" s="7"/>
      <c r="BJ48" s="4">
        <v>5</v>
      </c>
      <c r="BK48" s="8">
        <v>392.23</v>
      </c>
      <c r="BL48" s="2" t="s">
        <v>465</v>
      </c>
      <c r="BM48" s="7"/>
      <c r="BN48" s="7"/>
      <c r="BO48" s="4"/>
      <c r="BP48" s="8"/>
      <c r="BQ48" s="4"/>
      <c r="BR48" s="8"/>
      <c r="BS48" s="7"/>
      <c r="BT48" s="7"/>
      <c r="BU48" s="2" t="s">
        <v>466</v>
      </c>
      <c r="BV48" s="2" t="s">
        <v>228</v>
      </c>
      <c r="BW48" s="2" t="s">
        <v>228</v>
      </c>
      <c r="BX48" s="2" t="s">
        <v>337</v>
      </c>
      <c r="BY48" s="2" t="s">
        <v>274</v>
      </c>
      <c r="BZ48" s="2" t="s">
        <v>240</v>
      </c>
      <c r="CA48" s="2" t="s">
        <v>467</v>
      </c>
      <c r="CB48" s="2" t="s">
        <v>468</v>
      </c>
      <c r="CC48" s="2" t="s">
        <v>241</v>
      </c>
      <c r="CD48" s="2" t="s">
        <v>228</v>
      </c>
      <c r="CE48" s="4">
        <v>122</v>
      </c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</row>
    <row r="49">
      <c r="A49" s="2" t="s">
        <v>469</v>
      </c>
      <c r="B49" s="2" t="s">
        <v>258</v>
      </c>
      <c r="C49" s="2" t="s">
        <v>457</v>
      </c>
      <c r="D49" s="2" t="s">
        <v>260</v>
      </c>
      <c r="E49" s="2" t="s">
        <v>261</v>
      </c>
      <c r="F49" s="2" t="s">
        <v>458</v>
      </c>
      <c r="G49" s="2" t="s">
        <v>458</v>
      </c>
      <c r="H49" s="2" t="s">
        <v>458</v>
      </c>
      <c r="I49" s="2" t="s">
        <v>459</v>
      </c>
      <c r="J49" s="2" t="s">
        <v>289</v>
      </c>
      <c r="K49" s="2" t="s">
        <v>460</v>
      </c>
      <c r="L49" s="3">
        <v>95.23</v>
      </c>
      <c r="M49" s="3">
        <v>99.99</v>
      </c>
      <c r="N49" s="3">
        <v>199.99</v>
      </c>
      <c r="O49" s="2" t="s">
        <v>461</v>
      </c>
      <c r="P49" s="2" t="s">
        <v>333</v>
      </c>
      <c r="Q49" s="2" t="s">
        <v>234</v>
      </c>
      <c r="R49" s="2" t="s">
        <v>228</v>
      </c>
      <c r="S49" s="2" t="s">
        <v>462</v>
      </c>
      <c r="T49" s="2" t="s">
        <v>268</v>
      </c>
      <c r="U49" s="2" t="s">
        <v>416</v>
      </c>
      <c r="V49" s="2" t="s">
        <v>236</v>
      </c>
      <c r="W49" s="2" t="s">
        <v>269</v>
      </c>
      <c r="X49" s="2" t="s">
        <v>463</v>
      </c>
      <c r="Y49" s="2" t="s">
        <v>464</v>
      </c>
      <c r="Z49" s="4">
        <v>21</v>
      </c>
      <c r="AA49" s="4">
        <f>=ROUNDDOWN(5.25,0)</f>
      </c>
      <c r="AB49" s="5">
        <v>4</v>
      </c>
      <c r="AC49" s="2" t="s">
        <v>228</v>
      </c>
      <c r="AD49" s="4"/>
      <c r="AE49" s="4"/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228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228</v>
      </c>
      <c r="AW49" s="8" t="s">
        <v>228</v>
      </c>
      <c r="AX49" s="4" t="s">
        <v>228</v>
      </c>
      <c r="AY49" s="8" t="s">
        <v>228</v>
      </c>
      <c r="AZ49" s="7" t="s">
        <v>228</v>
      </c>
      <c r="BA49" s="7" t="s">
        <v>228</v>
      </c>
      <c r="BB49" s="7"/>
      <c r="BC49" s="4" t="s">
        <v>228</v>
      </c>
      <c r="BD49" s="8" t="s">
        <v>228</v>
      </c>
      <c r="BE49" s="4" t="s">
        <v>228</v>
      </c>
      <c r="BF49" s="8" t="s">
        <v>228</v>
      </c>
      <c r="BG49" s="7" t="s">
        <v>228</v>
      </c>
      <c r="BH49" s="7" t="s">
        <v>228</v>
      </c>
      <c r="BI49" s="7"/>
      <c r="BJ49" s="4">
        <v>8</v>
      </c>
      <c r="BK49" s="8">
        <v>745.56</v>
      </c>
      <c r="BL49" s="2" t="s">
        <v>470</v>
      </c>
      <c r="BM49" s="7"/>
      <c r="BN49" s="7"/>
      <c r="BO49" s="4"/>
      <c r="BP49" s="8"/>
      <c r="BQ49" s="4"/>
      <c r="BR49" s="8"/>
      <c r="BS49" s="7"/>
      <c r="BT49" s="7"/>
      <c r="BU49" s="2" t="s">
        <v>471</v>
      </c>
      <c r="BV49" s="2" t="s">
        <v>228</v>
      </c>
      <c r="BW49" s="2" t="s">
        <v>228</v>
      </c>
      <c r="BX49" s="2" t="s">
        <v>337</v>
      </c>
      <c r="BY49" s="2" t="s">
        <v>274</v>
      </c>
      <c r="BZ49" s="2" t="s">
        <v>240</v>
      </c>
      <c r="CA49" s="2" t="s">
        <v>467</v>
      </c>
      <c r="CB49" s="2" t="s">
        <v>472</v>
      </c>
      <c r="CC49" s="2" t="s">
        <v>241</v>
      </c>
      <c r="CD49" s="2" t="s">
        <v>228</v>
      </c>
      <c r="CE49" s="4">
        <v>21</v>
      </c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</row>
    <row r="50">
      <c r="A50" s="2" t="s">
        <v>473</v>
      </c>
      <c r="B50" s="2" t="s">
        <v>258</v>
      </c>
      <c r="C50" s="2" t="s">
        <v>457</v>
      </c>
      <c r="D50" s="2" t="s">
        <v>260</v>
      </c>
      <c r="E50" s="2" t="s">
        <v>261</v>
      </c>
      <c r="F50" s="2" t="s">
        <v>458</v>
      </c>
      <c r="G50" s="2" t="s">
        <v>458</v>
      </c>
      <c r="H50" s="2" t="s">
        <v>458</v>
      </c>
      <c r="I50" s="2" t="s">
        <v>459</v>
      </c>
      <c r="J50" s="2" t="s">
        <v>294</v>
      </c>
      <c r="K50" s="2" t="s">
        <v>460</v>
      </c>
      <c r="L50" s="3">
        <v>119.04</v>
      </c>
      <c r="M50" s="3">
        <v>124.99</v>
      </c>
      <c r="N50" s="3">
        <v>249.99</v>
      </c>
      <c r="O50" s="2" t="s">
        <v>461</v>
      </c>
      <c r="P50" s="2" t="s">
        <v>333</v>
      </c>
      <c r="Q50" s="2" t="s">
        <v>234</v>
      </c>
      <c r="R50" s="2" t="s">
        <v>228</v>
      </c>
      <c r="S50" s="2" t="s">
        <v>462</v>
      </c>
      <c r="T50" s="2" t="s">
        <v>268</v>
      </c>
      <c r="U50" s="2" t="s">
        <v>416</v>
      </c>
      <c r="V50" s="2" t="s">
        <v>236</v>
      </c>
      <c r="W50" s="2" t="s">
        <v>269</v>
      </c>
      <c r="X50" s="2" t="s">
        <v>463</v>
      </c>
      <c r="Y50" s="2" t="s">
        <v>464</v>
      </c>
      <c r="Z50" s="4">
        <v>174</v>
      </c>
      <c r="AA50" s="4">
        <f>=ROUNDDOWN(87,0)</f>
      </c>
      <c r="AB50" s="5">
        <v>2</v>
      </c>
      <c r="AC50" s="2" t="s">
        <v>228</v>
      </c>
      <c r="AD50" s="4"/>
      <c r="AE50" s="4"/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228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228</v>
      </c>
      <c r="AW50" s="8" t="s">
        <v>228</v>
      </c>
      <c r="AX50" s="4" t="s">
        <v>228</v>
      </c>
      <c r="AY50" s="8" t="s">
        <v>228</v>
      </c>
      <c r="AZ50" s="7" t="s">
        <v>228</v>
      </c>
      <c r="BA50" s="7" t="s">
        <v>228</v>
      </c>
      <c r="BB50" s="7"/>
      <c r="BC50" s="4" t="s">
        <v>228</v>
      </c>
      <c r="BD50" s="8" t="s">
        <v>228</v>
      </c>
      <c r="BE50" s="4" t="s">
        <v>228</v>
      </c>
      <c r="BF50" s="8" t="s">
        <v>228</v>
      </c>
      <c r="BG50" s="7" t="s">
        <v>228</v>
      </c>
      <c r="BH50" s="7" t="s">
        <v>228</v>
      </c>
      <c r="BI50" s="7"/>
      <c r="BJ50" s="4">
        <v>3</v>
      </c>
      <c r="BK50" s="8">
        <v>351.47</v>
      </c>
      <c r="BL50" s="2" t="s">
        <v>474</v>
      </c>
      <c r="BM50" s="7"/>
      <c r="BN50" s="7"/>
      <c r="BO50" s="4"/>
      <c r="BP50" s="8"/>
      <c r="BQ50" s="4"/>
      <c r="BR50" s="8"/>
      <c r="BS50" s="7"/>
      <c r="BT50" s="7"/>
      <c r="BU50" s="2" t="s">
        <v>475</v>
      </c>
      <c r="BV50" s="2" t="s">
        <v>228</v>
      </c>
      <c r="BW50" s="2" t="s">
        <v>228</v>
      </c>
      <c r="BX50" s="2" t="s">
        <v>337</v>
      </c>
      <c r="BY50" s="2" t="s">
        <v>274</v>
      </c>
      <c r="BZ50" s="2" t="s">
        <v>240</v>
      </c>
      <c r="CA50" s="2" t="s">
        <v>467</v>
      </c>
      <c r="CB50" s="2" t="s">
        <v>476</v>
      </c>
      <c r="CC50" s="2" t="s">
        <v>241</v>
      </c>
      <c r="CD50" s="2" t="s">
        <v>228</v>
      </c>
      <c r="CE50" s="4">
        <v>174</v>
      </c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</row>
    <row r="51">
      <c r="A51" s="2" t="s">
        <v>477</v>
      </c>
      <c r="B51" s="2" t="s">
        <v>299</v>
      </c>
      <c r="C51" s="2" t="s">
        <v>300</v>
      </c>
      <c r="D51" s="2" t="s">
        <v>301</v>
      </c>
      <c r="E51" s="2" t="s">
        <v>302</v>
      </c>
      <c r="F51" s="2" t="s">
        <v>478</v>
      </c>
      <c r="G51" s="2" t="s">
        <v>478</v>
      </c>
      <c r="H51" s="2" t="s">
        <v>478</v>
      </c>
      <c r="I51" s="2" t="s">
        <v>479</v>
      </c>
      <c r="J51" s="2" t="s">
        <v>294</v>
      </c>
      <c r="K51" s="2" t="s">
        <v>480</v>
      </c>
      <c r="L51" s="3">
        <v>33</v>
      </c>
      <c r="M51" s="3">
        <v>34.65</v>
      </c>
      <c r="N51" s="3">
        <v>69.99</v>
      </c>
      <c r="O51" s="2" t="s">
        <v>240</v>
      </c>
      <c r="P51" s="2" t="s">
        <v>266</v>
      </c>
      <c r="Q51" s="2" t="s">
        <v>234</v>
      </c>
      <c r="R51" s="2" t="s">
        <v>228</v>
      </c>
      <c r="S51" s="2" t="s">
        <v>481</v>
      </c>
      <c r="T51" s="2" t="s">
        <v>350</v>
      </c>
      <c r="U51" s="2" t="s">
        <v>308</v>
      </c>
      <c r="V51" s="2" t="s">
        <v>236</v>
      </c>
      <c r="W51" s="2" t="s">
        <v>269</v>
      </c>
      <c r="X51" s="2" t="s">
        <v>228</v>
      </c>
      <c r="Y51" s="2" t="s">
        <v>482</v>
      </c>
      <c r="Z51" s="4"/>
      <c r="AA51" s="4">
        <f>=ROUNDDOWN({0},0)</f>
      </c>
      <c r="AB51" s="5">
        <v>9</v>
      </c>
      <c r="AC51" s="2" t="s">
        <v>483</v>
      </c>
      <c r="AD51" s="4">
        <v>200</v>
      </c>
      <c r="AE51" s="4">
        <v>250</v>
      </c>
      <c r="AF51" s="6">
        <v>69</v>
      </c>
      <c r="AG51" s="6"/>
      <c r="AH51" s="7">
        <v>0</v>
      </c>
      <c r="AI51" s="4"/>
      <c r="AJ51" s="4">
        <f>=ROUNDDOWN({0},0)</f>
      </c>
      <c r="AK51" s="5"/>
      <c r="AL51" s="2" t="s">
        <v>228</v>
      </c>
      <c r="AM51" s="4"/>
      <c r="AN51" s="4"/>
      <c r="AO51" s="7"/>
      <c r="AP51" s="4"/>
      <c r="AQ51" s="8"/>
      <c r="AR51" s="4"/>
      <c r="AS51" s="8"/>
      <c r="AT51" s="7"/>
      <c r="AU51" s="7"/>
      <c r="AV51" s="4"/>
      <c r="AW51" s="8"/>
      <c r="AX51" s="4"/>
      <c r="AY51" s="8"/>
      <c r="AZ51" s="7"/>
      <c r="BA51" s="7"/>
      <c r="BB51" s="7"/>
      <c r="BC51" s="4"/>
      <c r="BD51" s="8"/>
      <c r="BE51" s="4"/>
      <c r="BF51" s="8"/>
      <c r="BG51" s="7"/>
      <c r="BH51" s="7"/>
      <c r="BI51" s="7"/>
      <c r="BJ51" s="4"/>
      <c r="BK51" s="8"/>
      <c r="BL51" s="2" t="s">
        <v>484</v>
      </c>
      <c r="BM51" s="7"/>
      <c r="BN51" s="7"/>
      <c r="BO51" s="4"/>
      <c r="BP51" s="8"/>
      <c r="BQ51" s="4"/>
      <c r="BR51" s="8"/>
      <c r="BS51" s="7"/>
      <c r="BT51" s="7"/>
      <c r="BU51" s="2" t="s">
        <v>485</v>
      </c>
      <c r="BV51" s="2" t="s">
        <v>228</v>
      </c>
      <c r="BW51" s="2" t="s">
        <v>228</v>
      </c>
      <c r="BX51" s="2" t="s">
        <v>273</v>
      </c>
      <c r="BY51" s="2" t="s">
        <v>274</v>
      </c>
      <c r="BZ51" s="2" t="s">
        <v>240</v>
      </c>
      <c r="CA51" s="2" t="s">
        <v>486</v>
      </c>
      <c r="CB51" s="2" t="s">
        <v>487</v>
      </c>
      <c r="CC51" s="2" t="s">
        <v>241</v>
      </c>
      <c r="CD51" s="2" t="s">
        <v>228</v>
      </c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>
        <v>200</v>
      </c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>
        <v>50</v>
      </c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</row>
    <row r="52">
      <c r="A52" s="2" t="s">
        <v>488</v>
      </c>
      <c r="B52" s="2" t="s">
        <v>299</v>
      </c>
      <c r="C52" s="2" t="s">
        <v>457</v>
      </c>
      <c r="D52" s="2" t="s">
        <v>301</v>
      </c>
      <c r="E52" s="2" t="s">
        <v>302</v>
      </c>
      <c r="F52" s="2" t="s">
        <v>489</v>
      </c>
      <c r="G52" s="2" t="s">
        <v>489</v>
      </c>
      <c r="H52" s="2" t="s">
        <v>489</v>
      </c>
      <c r="I52" s="2" t="s">
        <v>490</v>
      </c>
      <c r="J52" s="2" t="s">
        <v>284</v>
      </c>
      <c r="K52" s="2" t="s">
        <v>265</v>
      </c>
      <c r="L52" s="3">
        <v>32</v>
      </c>
      <c r="M52" s="3">
        <v>33.6</v>
      </c>
      <c r="N52" s="3">
        <v>59.99</v>
      </c>
      <c r="O52" s="2" t="s">
        <v>491</v>
      </c>
      <c r="P52" s="2" t="s">
        <v>333</v>
      </c>
      <c r="Q52" s="2" t="s">
        <v>234</v>
      </c>
      <c r="R52" s="2" t="s">
        <v>228</v>
      </c>
      <c r="S52" s="2" t="s">
        <v>492</v>
      </c>
      <c r="T52" s="2" t="s">
        <v>350</v>
      </c>
      <c r="U52" s="2" t="s">
        <v>308</v>
      </c>
      <c r="V52" s="2" t="s">
        <v>236</v>
      </c>
      <c r="W52" s="2" t="s">
        <v>269</v>
      </c>
      <c r="X52" s="2" t="s">
        <v>269</v>
      </c>
      <c r="Y52" s="2" t="s">
        <v>493</v>
      </c>
      <c r="Z52" s="4">
        <v>28</v>
      </c>
      <c r="AA52" s="4">
        <f>=ROUNDDOWN(28,0)</f>
      </c>
      <c r="AB52" s="5">
        <v>1</v>
      </c>
      <c r="AC52" s="2" t="s">
        <v>228</v>
      </c>
      <c r="AD52" s="4"/>
      <c r="AE52" s="4"/>
      <c r="AF52" s="6">
        <v>70</v>
      </c>
      <c r="AG52" s="6"/>
      <c r="AH52" s="7">
        <v>1</v>
      </c>
      <c r="AI52" s="4"/>
      <c r="AJ52" s="4">
        <f>=ROUNDDOWN({0},0)</f>
      </c>
      <c r="AK52" s="5"/>
      <c r="AL52" s="2" t="s">
        <v>228</v>
      </c>
      <c r="AM52" s="4"/>
      <c r="AN52" s="4"/>
      <c r="AO52" s="7"/>
      <c r="AP52" s="4"/>
      <c r="AQ52" s="8"/>
      <c r="AR52" s="4"/>
      <c r="AS52" s="8"/>
      <c r="AT52" s="7"/>
      <c r="AU52" s="7"/>
      <c r="AV52" s="4"/>
      <c r="AW52" s="8"/>
      <c r="AX52" s="4"/>
      <c r="AY52" s="8"/>
      <c r="AZ52" s="7"/>
      <c r="BA52" s="7"/>
      <c r="BB52" s="7"/>
      <c r="BC52" s="4" t="s">
        <v>228</v>
      </c>
      <c r="BD52" s="8" t="s">
        <v>228</v>
      </c>
      <c r="BE52" s="4" t="s">
        <v>228</v>
      </c>
      <c r="BF52" s="8" t="s">
        <v>228</v>
      </c>
      <c r="BG52" s="7" t="s">
        <v>228</v>
      </c>
      <c r="BH52" s="7" t="s">
        <v>228</v>
      </c>
      <c r="BI52" s="7"/>
      <c r="BJ52" s="4">
        <v>5</v>
      </c>
      <c r="BK52" s="8">
        <v>148.06</v>
      </c>
      <c r="BL52" s="2" t="s">
        <v>494</v>
      </c>
      <c r="BM52" s="7"/>
      <c r="BN52" s="7"/>
      <c r="BO52" s="4"/>
      <c r="BP52" s="8"/>
      <c r="BQ52" s="4"/>
      <c r="BR52" s="8"/>
      <c r="BS52" s="7"/>
      <c r="BT52" s="7"/>
      <c r="BU52" s="2" t="s">
        <v>495</v>
      </c>
      <c r="BV52" s="2" t="s">
        <v>228</v>
      </c>
      <c r="BW52" s="2" t="s">
        <v>228</v>
      </c>
      <c r="BX52" s="2" t="s">
        <v>337</v>
      </c>
      <c r="BY52" s="2" t="s">
        <v>274</v>
      </c>
      <c r="BZ52" s="2" t="s">
        <v>240</v>
      </c>
      <c r="CA52" s="2" t="s">
        <v>496</v>
      </c>
      <c r="CB52" s="2" t="s">
        <v>497</v>
      </c>
      <c r="CC52" s="2" t="s">
        <v>241</v>
      </c>
      <c r="CD52" s="2" t="s">
        <v>228</v>
      </c>
      <c r="CE52" s="4">
        <v>28</v>
      </c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</row>
    <row r="53">
      <c r="A53" s="2" t="s">
        <v>498</v>
      </c>
      <c r="B53" s="2" t="s">
        <v>299</v>
      </c>
      <c r="C53" s="2" t="s">
        <v>457</v>
      </c>
      <c r="D53" s="2" t="s">
        <v>301</v>
      </c>
      <c r="E53" s="2" t="s">
        <v>302</v>
      </c>
      <c r="F53" s="2" t="s">
        <v>489</v>
      </c>
      <c r="G53" s="2" t="s">
        <v>489</v>
      </c>
      <c r="H53" s="2" t="s">
        <v>489</v>
      </c>
      <c r="I53" s="2" t="s">
        <v>490</v>
      </c>
      <c r="J53" s="2" t="s">
        <v>264</v>
      </c>
      <c r="K53" s="2" t="s">
        <v>249</v>
      </c>
      <c r="L53" s="3">
        <v>26.5</v>
      </c>
      <c r="M53" s="3">
        <v>27.83</v>
      </c>
      <c r="N53" s="3">
        <v>49.99</v>
      </c>
      <c r="O53" s="2" t="s">
        <v>491</v>
      </c>
      <c r="P53" s="2" t="s">
        <v>333</v>
      </c>
      <c r="Q53" s="2" t="s">
        <v>234</v>
      </c>
      <c r="R53" s="2" t="s">
        <v>228</v>
      </c>
      <c r="S53" s="2" t="s">
        <v>499</v>
      </c>
      <c r="T53" s="2" t="s">
        <v>350</v>
      </c>
      <c r="U53" s="2" t="s">
        <v>500</v>
      </c>
      <c r="V53" s="2" t="s">
        <v>236</v>
      </c>
      <c r="W53" s="2" t="s">
        <v>269</v>
      </c>
      <c r="X53" s="2" t="s">
        <v>269</v>
      </c>
      <c r="Y53" s="2" t="s">
        <v>493</v>
      </c>
      <c r="Z53" s="4">
        <v>22</v>
      </c>
      <c r="AA53" s="4">
        <f>=ROUNDDOWN(22,0)</f>
      </c>
      <c r="AB53" s="5">
        <v>1</v>
      </c>
      <c r="AC53" s="2" t="s">
        <v>228</v>
      </c>
      <c r="AD53" s="4"/>
      <c r="AE53" s="4"/>
      <c r="AF53" s="6">
        <v>70</v>
      </c>
      <c r="AG53" s="6"/>
      <c r="AH53" s="7">
        <v>1</v>
      </c>
      <c r="AI53" s="4"/>
      <c r="AJ53" s="4">
        <f>=ROUNDDOWN({0},0)</f>
      </c>
      <c r="AK53" s="5"/>
      <c r="AL53" s="2" t="s">
        <v>228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228</v>
      </c>
      <c r="AW53" s="8" t="s">
        <v>228</v>
      </c>
      <c r="AX53" s="4" t="s">
        <v>228</v>
      </c>
      <c r="AY53" s="8" t="s">
        <v>228</v>
      </c>
      <c r="AZ53" s="7" t="s">
        <v>228</v>
      </c>
      <c r="BA53" s="7" t="s">
        <v>228</v>
      </c>
      <c r="BB53" s="7"/>
      <c r="BC53" s="4" t="s">
        <v>228</v>
      </c>
      <c r="BD53" s="8" t="s">
        <v>228</v>
      </c>
      <c r="BE53" s="4" t="s">
        <v>228</v>
      </c>
      <c r="BF53" s="8" t="s">
        <v>228</v>
      </c>
      <c r="BG53" s="7" t="s">
        <v>228</v>
      </c>
      <c r="BH53" s="7" t="s">
        <v>228</v>
      </c>
      <c r="BI53" s="7"/>
      <c r="BJ53" s="4">
        <v>2</v>
      </c>
      <c r="BK53" s="8">
        <v>56.72</v>
      </c>
      <c r="BL53" s="2" t="s">
        <v>501</v>
      </c>
      <c r="BM53" s="7"/>
      <c r="BN53" s="7"/>
      <c r="BO53" s="4"/>
      <c r="BP53" s="8"/>
      <c r="BQ53" s="4"/>
      <c r="BR53" s="8"/>
      <c r="BS53" s="7"/>
      <c r="BT53" s="7"/>
      <c r="BU53" s="2" t="s">
        <v>502</v>
      </c>
      <c r="BV53" s="2" t="s">
        <v>228</v>
      </c>
      <c r="BW53" s="2" t="s">
        <v>228</v>
      </c>
      <c r="BX53" s="2" t="s">
        <v>337</v>
      </c>
      <c r="BY53" s="2" t="s">
        <v>274</v>
      </c>
      <c r="BZ53" s="2" t="s">
        <v>240</v>
      </c>
      <c r="CA53" s="2" t="s">
        <v>503</v>
      </c>
      <c r="CB53" s="2" t="s">
        <v>504</v>
      </c>
      <c r="CC53" s="2" t="s">
        <v>241</v>
      </c>
      <c r="CD53" s="2" t="s">
        <v>228</v>
      </c>
      <c r="CE53" s="4">
        <v>22</v>
      </c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</row>
    <row r="54">
      <c r="A54" s="2" t="s">
        <v>505</v>
      </c>
      <c r="B54" s="2" t="s">
        <v>299</v>
      </c>
      <c r="C54" s="2" t="s">
        <v>457</v>
      </c>
      <c r="D54" s="2" t="s">
        <v>301</v>
      </c>
      <c r="E54" s="2" t="s">
        <v>302</v>
      </c>
      <c r="F54" s="2" t="s">
        <v>489</v>
      </c>
      <c r="G54" s="2" t="s">
        <v>489</v>
      </c>
      <c r="H54" s="2" t="s">
        <v>489</v>
      </c>
      <c r="I54" s="2" t="s">
        <v>490</v>
      </c>
      <c r="J54" s="2" t="s">
        <v>284</v>
      </c>
      <c r="K54" s="2" t="s">
        <v>249</v>
      </c>
      <c r="L54" s="3">
        <v>32</v>
      </c>
      <c r="M54" s="3">
        <v>33.6</v>
      </c>
      <c r="N54" s="3">
        <v>59.99</v>
      </c>
      <c r="O54" s="2" t="s">
        <v>461</v>
      </c>
      <c r="P54" s="2" t="s">
        <v>333</v>
      </c>
      <c r="Q54" s="2" t="s">
        <v>234</v>
      </c>
      <c r="R54" s="2" t="s">
        <v>228</v>
      </c>
      <c r="S54" s="2" t="s">
        <v>499</v>
      </c>
      <c r="T54" s="2" t="s">
        <v>350</v>
      </c>
      <c r="U54" s="2" t="s">
        <v>308</v>
      </c>
      <c r="V54" s="2" t="s">
        <v>236</v>
      </c>
      <c r="W54" s="2" t="s">
        <v>269</v>
      </c>
      <c r="X54" s="2" t="s">
        <v>269</v>
      </c>
      <c r="Y54" s="2" t="s">
        <v>493</v>
      </c>
      <c r="Z54" s="4">
        <v>153</v>
      </c>
      <c r="AA54" s="4">
        <f>=ROUNDDOWN(153,0)</f>
      </c>
      <c r="AB54" s="5">
        <v>1</v>
      </c>
      <c r="AC54" s="2" t="s">
        <v>228</v>
      </c>
      <c r="AD54" s="4"/>
      <c r="AE54" s="4"/>
      <c r="AF54" s="6">
        <v>70</v>
      </c>
      <c r="AG54" s="6"/>
      <c r="AH54" s="7">
        <v>1</v>
      </c>
      <c r="AI54" s="4"/>
      <c r="AJ54" s="4">
        <f>=ROUNDDOWN({0},0)</f>
      </c>
      <c r="AK54" s="5"/>
      <c r="AL54" s="2" t="s">
        <v>228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228</v>
      </c>
      <c r="AW54" s="8" t="s">
        <v>228</v>
      </c>
      <c r="AX54" s="4" t="s">
        <v>228</v>
      </c>
      <c r="AY54" s="8" t="s">
        <v>228</v>
      </c>
      <c r="AZ54" s="7" t="s">
        <v>228</v>
      </c>
      <c r="BA54" s="7" t="s">
        <v>228</v>
      </c>
      <c r="BB54" s="7"/>
      <c r="BC54" s="4" t="s">
        <v>228</v>
      </c>
      <c r="BD54" s="8" t="s">
        <v>228</v>
      </c>
      <c r="BE54" s="4" t="s">
        <v>228</v>
      </c>
      <c r="BF54" s="8" t="s">
        <v>228</v>
      </c>
      <c r="BG54" s="7" t="s">
        <v>228</v>
      </c>
      <c r="BH54" s="7" t="s">
        <v>228</v>
      </c>
      <c r="BI54" s="7"/>
      <c r="BJ54" s="4">
        <v>2</v>
      </c>
      <c r="BK54" s="8">
        <v>68.28</v>
      </c>
      <c r="BL54" s="2" t="s">
        <v>501</v>
      </c>
      <c r="BM54" s="7"/>
      <c r="BN54" s="7"/>
      <c r="BO54" s="4"/>
      <c r="BP54" s="8"/>
      <c r="BQ54" s="4"/>
      <c r="BR54" s="8"/>
      <c r="BS54" s="7"/>
      <c r="BT54" s="7"/>
      <c r="BU54" s="2" t="s">
        <v>506</v>
      </c>
      <c r="BV54" s="2" t="s">
        <v>228</v>
      </c>
      <c r="BW54" s="2" t="s">
        <v>228</v>
      </c>
      <c r="BX54" s="2" t="s">
        <v>337</v>
      </c>
      <c r="BY54" s="2" t="s">
        <v>274</v>
      </c>
      <c r="BZ54" s="2" t="s">
        <v>240</v>
      </c>
      <c r="CA54" s="2" t="s">
        <v>507</v>
      </c>
      <c r="CB54" s="2" t="s">
        <v>468</v>
      </c>
      <c r="CC54" s="2" t="s">
        <v>241</v>
      </c>
      <c r="CD54" s="2" t="s">
        <v>228</v>
      </c>
      <c r="CE54" s="4">
        <v>153</v>
      </c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</row>
    <row r="55">
      <c r="A55" s="2" t="s">
        <v>508</v>
      </c>
      <c r="B55" s="2" t="s">
        <v>299</v>
      </c>
      <c r="C55" s="2" t="s">
        <v>457</v>
      </c>
      <c r="D55" s="2" t="s">
        <v>301</v>
      </c>
      <c r="E55" s="2" t="s">
        <v>302</v>
      </c>
      <c r="F55" s="2" t="s">
        <v>489</v>
      </c>
      <c r="G55" s="2" t="s">
        <v>489</v>
      </c>
      <c r="H55" s="2" t="s">
        <v>489</v>
      </c>
      <c r="I55" s="2" t="s">
        <v>490</v>
      </c>
      <c r="J55" s="2" t="s">
        <v>289</v>
      </c>
      <c r="K55" s="2" t="s">
        <v>249</v>
      </c>
      <c r="L55" s="3">
        <v>35</v>
      </c>
      <c r="M55" s="3">
        <v>36.75</v>
      </c>
      <c r="N55" s="3">
        <v>69.99</v>
      </c>
      <c r="O55" s="2" t="s">
        <v>461</v>
      </c>
      <c r="P55" s="2" t="s">
        <v>333</v>
      </c>
      <c r="Q55" s="2" t="s">
        <v>234</v>
      </c>
      <c r="R55" s="2" t="s">
        <v>228</v>
      </c>
      <c r="S55" s="2" t="s">
        <v>499</v>
      </c>
      <c r="T55" s="2" t="s">
        <v>350</v>
      </c>
      <c r="U55" s="2" t="s">
        <v>308</v>
      </c>
      <c r="V55" s="2" t="s">
        <v>236</v>
      </c>
      <c r="W55" s="2" t="s">
        <v>269</v>
      </c>
      <c r="X55" s="2" t="s">
        <v>269</v>
      </c>
      <c r="Y55" s="2" t="s">
        <v>493</v>
      </c>
      <c r="Z55" s="4">
        <v>157</v>
      </c>
      <c r="AA55" s="4">
        <f>=ROUNDDOWN(157,0)</f>
      </c>
      <c r="AB55" s="5">
        <v>1</v>
      </c>
      <c r="AC55" s="2" t="s">
        <v>228</v>
      </c>
      <c r="AD55" s="4"/>
      <c r="AE55" s="4"/>
      <c r="AF55" s="6">
        <v>70</v>
      </c>
      <c r="AG55" s="6"/>
      <c r="AH55" s="7">
        <v>1</v>
      </c>
      <c r="AI55" s="4"/>
      <c r="AJ55" s="4">
        <f>=ROUNDDOWN({0},0)</f>
      </c>
      <c r="AK55" s="5"/>
      <c r="AL55" s="2" t="s">
        <v>228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228</v>
      </c>
      <c r="AW55" s="8" t="s">
        <v>228</v>
      </c>
      <c r="AX55" s="4" t="s">
        <v>228</v>
      </c>
      <c r="AY55" s="8" t="s">
        <v>228</v>
      </c>
      <c r="AZ55" s="7" t="s">
        <v>228</v>
      </c>
      <c r="BA55" s="7" t="s">
        <v>228</v>
      </c>
      <c r="BB55" s="7"/>
      <c r="BC55" s="4" t="s">
        <v>228</v>
      </c>
      <c r="BD55" s="8" t="s">
        <v>228</v>
      </c>
      <c r="BE55" s="4" t="s">
        <v>228</v>
      </c>
      <c r="BF55" s="8" t="s">
        <v>228</v>
      </c>
      <c r="BG55" s="7" t="s">
        <v>228</v>
      </c>
      <c r="BH55" s="7" t="s">
        <v>228</v>
      </c>
      <c r="BI55" s="7"/>
      <c r="BJ55" s="4">
        <v>6</v>
      </c>
      <c r="BK55" s="8">
        <v>162.07</v>
      </c>
      <c r="BL55" s="2" t="s">
        <v>509</v>
      </c>
      <c r="BM55" s="7"/>
      <c r="BN55" s="7"/>
      <c r="BO55" s="4"/>
      <c r="BP55" s="8"/>
      <c r="BQ55" s="4"/>
      <c r="BR55" s="8"/>
      <c r="BS55" s="7"/>
      <c r="BT55" s="7"/>
      <c r="BU55" s="2" t="s">
        <v>510</v>
      </c>
      <c r="BV55" s="2" t="s">
        <v>228</v>
      </c>
      <c r="BW55" s="2" t="s">
        <v>228</v>
      </c>
      <c r="BX55" s="2" t="s">
        <v>337</v>
      </c>
      <c r="BY55" s="2" t="s">
        <v>274</v>
      </c>
      <c r="BZ55" s="2" t="s">
        <v>240</v>
      </c>
      <c r="CA55" s="2" t="s">
        <v>507</v>
      </c>
      <c r="CB55" s="2" t="s">
        <v>511</v>
      </c>
      <c r="CC55" s="2" t="s">
        <v>241</v>
      </c>
      <c r="CD55" s="2" t="s">
        <v>228</v>
      </c>
      <c r="CE55" s="4">
        <v>157</v>
      </c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</row>
    <row r="56">
      <c r="A56" s="2" t="s">
        <v>512</v>
      </c>
      <c r="B56" s="2" t="s">
        <v>299</v>
      </c>
      <c r="C56" s="2" t="s">
        <v>457</v>
      </c>
      <c r="D56" s="2" t="s">
        <v>301</v>
      </c>
      <c r="E56" s="2" t="s">
        <v>302</v>
      </c>
      <c r="F56" s="2" t="s">
        <v>489</v>
      </c>
      <c r="G56" s="2" t="s">
        <v>489</v>
      </c>
      <c r="H56" s="2" t="s">
        <v>489</v>
      </c>
      <c r="I56" s="2" t="s">
        <v>490</v>
      </c>
      <c r="J56" s="2" t="s">
        <v>294</v>
      </c>
      <c r="K56" s="2" t="s">
        <v>249</v>
      </c>
      <c r="L56" s="3">
        <v>40</v>
      </c>
      <c r="M56" s="3">
        <v>42</v>
      </c>
      <c r="N56" s="3">
        <v>79.99</v>
      </c>
      <c r="O56" s="2" t="s">
        <v>461</v>
      </c>
      <c r="P56" s="2" t="s">
        <v>333</v>
      </c>
      <c r="Q56" s="2" t="s">
        <v>234</v>
      </c>
      <c r="R56" s="2" t="s">
        <v>228</v>
      </c>
      <c r="S56" s="2" t="s">
        <v>499</v>
      </c>
      <c r="T56" s="2" t="s">
        <v>350</v>
      </c>
      <c r="U56" s="2" t="s">
        <v>308</v>
      </c>
      <c r="V56" s="2" t="s">
        <v>236</v>
      </c>
      <c r="W56" s="2" t="s">
        <v>269</v>
      </c>
      <c r="X56" s="2" t="s">
        <v>269</v>
      </c>
      <c r="Y56" s="2" t="s">
        <v>493</v>
      </c>
      <c r="Z56" s="4">
        <v>116</v>
      </c>
      <c r="AA56" s="4">
        <f>=ROUNDDOWN(116,0)</f>
      </c>
      <c r="AB56" s="5">
        <v>1</v>
      </c>
      <c r="AC56" s="2" t="s">
        <v>228</v>
      </c>
      <c r="AD56" s="4"/>
      <c r="AE56" s="4"/>
      <c r="AF56" s="6">
        <v>70</v>
      </c>
      <c r="AG56" s="6"/>
      <c r="AH56" s="7">
        <v>1</v>
      </c>
      <c r="AI56" s="4"/>
      <c r="AJ56" s="4">
        <f>=ROUNDDOWN({0},0)</f>
      </c>
      <c r="AK56" s="5"/>
      <c r="AL56" s="2" t="s">
        <v>228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228</v>
      </c>
      <c r="AW56" s="8" t="s">
        <v>228</v>
      </c>
      <c r="AX56" s="4" t="s">
        <v>228</v>
      </c>
      <c r="AY56" s="8" t="s">
        <v>228</v>
      </c>
      <c r="AZ56" s="7" t="s">
        <v>228</v>
      </c>
      <c r="BA56" s="7" t="s">
        <v>228</v>
      </c>
      <c r="BB56" s="7"/>
      <c r="BC56" s="4" t="s">
        <v>228</v>
      </c>
      <c r="BD56" s="8" t="s">
        <v>228</v>
      </c>
      <c r="BE56" s="4" t="s">
        <v>228</v>
      </c>
      <c r="BF56" s="8" t="s">
        <v>228</v>
      </c>
      <c r="BG56" s="7" t="s">
        <v>228</v>
      </c>
      <c r="BH56" s="7" t="s">
        <v>228</v>
      </c>
      <c r="BI56" s="7"/>
      <c r="BJ56" s="4">
        <v>1</v>
      </c>
      <c r="BK56" s="8">
        <v>38.58</v>
      </c>
      <c r="BL56" s="2" t="s">
        <v>501</v>
      </c>
      <c r="BM56" s="7"/>
      <c r="BN56" s="7"/>
      <c r="BO56" s="4"/>
      <c r="BP56" s="8"/>
      <c r="BQ56" s="4"/>
      <c r="BR56" s="8"/>
      <c r="BS56" s="7"/>
      <c r="BT56" s="7"/>
      <c r="BU56" s="2" t="s">
        <v>513</v>
      </c>
      <c r="BV56" s="2" t="s">
        <v>228</v>
      </c>
      <c r="BW56" s="2" t="s">
        <v>228</v>
      </c>
      <c r="BX56" s="2" t="s">
        <v>337</v>
      </c>
      <c r="BY56" s="2" t="s">
        <v>274</v>
      </c>
      <c r="BZ56" s="2" t="s">
        <v>240</v>
      </c>
      <c r="CA56" s="2" t="s">
        <v>507</v>
      </c>
      <c r="CB56" s="2" t="s">
        <v>514</v>
      </c>
      <c r="CC56" s="2" t="s">
        <v>241</v>
      </c>
      <c r="CD56" s="2" t="s">
        <v>228</v>
      </c>
      <c r="CE56" s="4">
        <v>116</v>
      </c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</row>
    <row r="57">
      <c r="A57" s="2" t="s">
        <v>515</v>
      </c>
      <c r="B57" s="2" t="s">
        <v>299</v>
      </c>
      <c r="C57" s="2" t="s">
        <v>457</v>
      </c>
      <c r="D57" s="2" t="s">
        <v>516</v>
      </c>
      <c r="E57" s="2" t="s">
        <v>517</v>
      </c>
      <c r="F57" s="2" t="s">
        <v>489</v>
      </c>
      <c r="G57" s="2" t="s">
        <v>489</v>
      </c>
      <c r="H57" s="2" t="s">
        <v>489</v>
      </c>
      <c r="I57" s="2" t="s">
        <v>518</v>
      </c>
      <c r="J57" s="2" t="s">
        <v>519</v>
      </c>
      <c r="K57" s="2" t="s">
        <v>249</v>
      </c>
      <c r="L57" s="3">
        <v>10</v>
      </c>
      <c r="M57" s="3">
        <v>10.5</v>
      </c>
      <c r="N57" s="3">
        <v>24.99</v>
      </c>
      <c r="O57" s="2" t="s">
        <v>491</v>
      </c>
      <c r="P57" s="2" t="s">
        <v>333</v>
      </c>
      <c r="Q57" s="2" t="s">
        <v>234</v>
      </c>
      <c r="R57" s="2" t="s">
        <v>228</v>
      </c>
      <c r="S57" s="2" t="s">
        <v>499</v>
      </c>
      <c r="T57" s="2" t="s">
        <v>350</v>
      </c>
      <c r="U57" s="2" t="s">
        <v>520</v>
      </c>
      <c r="V57" s="2" t="s">
        <v>236</v>
      </c>
      <c r="W57" s="2" t="s">
        <v>269</v>
      </c>
      <c r="X57" s="2" t="s">
        <v>269</v>
      </c>
      <c r="Y57" s="2" t="s">
        <v>493</v>
      </c>
      <c r="Z57" s="4">
        <v>1</v>
      </c>
      <c r="AA57" s="4">
        <f>=ROUNDDOWN(1,0)</f>
      </c>
      <c r="AB57" s="5">
        <v>1</v>
      </c>
      <c r="AC57" s="2" t="s">
        <v>228</v>
      </c>
      <c r="AD57" s="4"/>
      <c r="AE57" s="4"/>
      <c r="AF57" s="6">
        <v>70</v>
      </c>
      <c r="AG57" s="6"/>
      <c r="AH57" s="7">
        <v>1</v>
      </c>
      <c r="AI57" s="4"/>
      <c r="AJ57" s="4">
        <f>=ROUNDDOWN({0},0)</f>
      </c>
      <c r="AK57" s="5"/>
      <c r="AL57" s="2" t="s">
        <v>228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228</v>
      </c>
      <c r="AW57" s="8" t="s">
        <v>228</v>
      </c>
      <c r="AX57" s="4" t="s">
        <v>228</v>
      </c>
      <c r="AY57" s="8" t="s">
        <v>228</v>
      </c>
      <c r="AZ57" s="7" t="s">
        <v>228</v>
      </c>
      <c r="BA57" s="7" t="s">
        <v>228</v>
      </c>
      <c r="BB57" s="7"/>
      <c r="BC57" s="4" t="s">
        <v>228</v>
      </c>
      <c r="BD57" s="8" t="s">
        <v>228</v>
      </c>
      <c r="BE57" s="4" t="s">
        <v>228</v>
      </c>
      <c r="BF57" s="8" t="s">
        <v>228</v>
      </c>
      <c r="BG57" s="7" t="s">
        <v>228</v>
      </c>
      <c r="BH57" s="7" t="s">
        <v>228</v>
      </c>
      <c r="BI57" s="7"/>
      <c r="BJ57" s="4">
        <v>7</v>
      </c>
      <c r="BK57" s="8">
        <v>74.87</v>
      </c>
      <c r="BL57" s="2" t="s">
        <v>521</v>
      </c>
      <c r="BM57" s="7"/>
      <c r="BN57" s="7"/>
      <c r="BO57" s="4"/>
      <c r="BP57" s="8"/>
      <c r="BQ57" s="4"/>
      <c r="BR57" s="8"/>
      <c r="BS57" s="7"/>
      <c r="BT57" s="7"/>
      <c r="BU57" s="2" t="s">
        <v>522</v>
      </c>
      <c r="BV57" s="2" t="s">
        <v>228</v>
      </c>
      <c r="BW57" s="2" t="s">
        <v>228</v>
      </c>
      <c r="BX57" s="2" t="s">
        <v>337</v>
      </c>
      <c r="BY57" s="2" t="s">
        <v>274</v>
      </c>
      <c r="BZ57" s="2" t="s">
        <v>240</v>
      </c>
      <c r="CA57" s="2" t="s">
        <v>503</v>
      </c>
      <c r="CB57" s="2" t="s">
        <v>523</v>
      </c>
      <c r="CC57" s="2" t="s">
        <v>241</v>
      </c>
      <c r="CD57" s="2" t="s">
        <v>228</v>
      </c>
      <c r="CE57" s="4">
        <v>1</v>
      </c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</row>
    <row r="58">
      <c r="A58" s="2" t="s">
        <v>524</v>
      </c>
      <c r="B58" s="2" t="s">
        <v>299</v>
      </c>
      <c r="C58" s="2" t="s">
        <v>457</v>
      </c>
      <c r="D58" s="2" t="s">
        <v>301</v>
      </c>
      <c r="E58" s="2" t="s">
        <v>302</v>
      </c>
      <c r="F58" s="2" t="s">
        <v>489</v>
      </c>
      <c r="G58" s="2" t="s">
        <v>489</v>
      </c>
      <c r="H58" s="2" t="s">
        <v>489</v>
      </c>
      <c r="I58" s="2" t="s">
        <v>490</v>
      </c>
      <c r="J58" s="2" t="s">
        <v>284</v>
      </c>
      <c r="K58" s="2" t="s">
        <v>525</v>
      </c>
      <c r="L58" s="3">
        <v>32</v>
      </c>
      <c r="M58" s="3">
        <v>33.6</v>
      </c>
      <c r="N58" s="3">
        <v>59.99</v>
      </c>
      <c r="O58" s="2" t="s">
        <v>491</v>
      </c>
      <c r="P58" s="2" t="s">
        <v>333</v>
      </c>
      <c r="Q58" s="2" t="s">
        <v>234</v>
      </c>
      <c r="R58" s="2" t="s">
        <v>228</v>
      </c>
      <c r="S58" s="2" t="s">
        <v>526</v>
      </c>
      <c r="T58" s="2" t="s">
        <v>350</v>
      </c>
      <c r="U58" s="2" t="s">
        <v>308</v>
      </c>
      <c r="V58" s="2" t="s">
        <v>236</v>
      </c>
      <c r="W58" s="2" t="s">
        <v>269</v>
      </c>
      <c r="X58" s="2" t="s">
        <v>269</v>
      </c>
      <c r="Y58" s="2" t="s">
        <v>493</v>
      </c>
      <c r="Z58" s="4">
        <v>11</v>
      </c>
      <c r="AA58" s="4">
        <f>=ROUNDDOWN(11,0)</f>
      </c>
      <c r="AB58" s="5">
        <v>1</v>
      </c>
      <c r="AC58" s="2" t="s">
        <v>228</v>
      </c>
      <c r="AD58" s="4"/>
      <c r="AE58" s="4"/>
      <c r="AF58" s="6">
        <v>70</v>
      </c>
      <c r="AG58" s="6"/>
      <c r="AH58" s="7">
        <v>1</v>
      </c>
      <c r="AI58" s="4"/>
      <c r="AJ58" s="4">
        <f>=ROUNDDOWN({0},0)</f>
      </c>
      <c r="AK58" s="5"/>
      <c r="AL58" s="2" t="s">
        <v>228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228</v>
      </c>
      <c r="AW58" s="8" t="s">
        <v>228</v>
      </c>
      <c r="AX58" s="4" t="s">
        <v>228</v>
      </c>
      <c r="AY58" s="8" t="s">
        <v>228</v>
      </c>
      <c r="AZ58" s="7" t="s">
        <v>228</v>
      </c>
      <c r="BA58" s="7" t="s">
        <v>228</v>
      </c>
      <c r="BB58" s="7"/>
      <c r="BC58" s="4" t="s">
        <v>228</v>
      </c>
      <c r="BD58" s="8" t="s">
        <v>228</v>
      </c>
      <c r="BE58" s="4" t="s">
        <v>228</v>
      </c>
      <c r="BF58" s="8" t="s">
        <v>228</v>
      </c>
      <c r="BG58" s="7" t="s">
        <v>228</v>
      </c>
      <c r="BH58" s="7" t="s">
        <v>228</v>
      </c>
      <c r="BI58" s="7"/>
      <c r="BJ58" s="4">
        <v>7</v>
      </c>
      <c r="BK58" s="8">
        <v>186.22</v>
      </c>
      <c r="BL58" s="2" t="s">
        <v>527</v>
      </c>
      <c r="BM58" s="7"/>
      <c r="BN58" s="7"/>
      <c r="BO58" s="4"/>
      <c r="BP58" s="8"/>
      <c r="BQ58" s="4"/>
      <c r="BR58" s="8"/>
      <c r="BS58" s="7"/>
      <c r="BT58" s="7"/>
      <c r="BU58" s="2" t="s">
        <v>528</v>
      </c>
      <c r="BV58" s="2" t="s">
        <v>228</v>
      </c>
      <c r="BW58" s="2" t="s">
        <v>228</v>
      </c>
      <c r="BX58" s="2" t="s">
        <v>337</v>
      </c>
      <c r="BY58" s="2" t="s">
        <v>274</v>
      </c>
      <c r="BZ58" s="2" t="s">
        <v>240</v>
      </c>
      <c r="CA58" s="2" t="s">
        <v>496</v>
      </c>
      <c r="CB58" s="2" t="s">
        <v>529</v>
      </c>
      <c r="CC58" s="2" t="s">
        <v>241</v>
      </c>
      <c r="CD58" s="2" t="s">
        <v>228</v>
      </c>
      <c r="CE58" s="4">
        <v>11</v>
      </c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</row>
    <row r="59">
      <c r="A59" s="2" t="s">
        <v>530</v>
      </c>
      <c r="B59" s="2" t="s">
        <v>299</v>
      </c>
      <c r="C59" s="2" t="s">
        <v>457</v>
      </c>
      <c r="D59" s="2" t="s">
        <v>301</v>
      </c>
      <c r="E59" s="2" t="s">
        <v>302</v>
      </c>
      <c r="F59" s="2" t="s">
        <v>489</v>
      </c>
      <c r="G59" s="2" t="s">
        <v>489</v>
      </c>
      <c r="H59" s="2" t="s">
        <v>489</v>
      </c>
      <c r="I59" s="2" t="s">
        <v>490</v>
      </c>
      <c r="J59" s="2" t="s">
        <v>289</v>
      </c>
      <c r="K59" s="2" t="s">
        <v>525</v>
      </c>
      <c r="L59" s="3">
        <v>35</v>
      </c>
      <c r="M59" s="3">
        <v>36.75</v>
      </c>
      <c r="N59" s="3">
        <v>69.99</v>
      </c>
      <c r="O59" s="2" t="s">
        <v>461</v>
      </c>
      <c r="P59" s="2" t="s">
        <v>333</v>
      </c>
      <c r="Q59" s="2" t="s">
        <v>234</v>
      </c>
      <c r="R59" s="2" t="s">
        <v>228</v>
      </c>
      <c r="S59" s="2" t="s">
        <v>526</v>
      </c>
      <c r="T59" s="2" t="s">
        <v>350</v>
      </c>
      <c r="U59" s="2" t="s">
        <v>308</v>
      </c>
      <c r="V59" s="2" t="s">
        <v>236</v>
      </c>
      <c r="W59" s="2" t="s">
        <v>269</v>
      </c>
      <c r="X59" s="2" t="s">
        <v>269</v>
      </c>
      <c r="Y59" s="2" t="s">
        <v>493</v>
      </c>
      <c r="Z59" s="4">
        <v>32</v>
      </c>
      <c r="AA59" s="4">
        <f>=ROUNDDOWN(16,0)</f>
      </c>
      <c r="AB59" s="5">
        <v>2</v>
      </c>
      <c r="AC59" s="2" t="s">
        <v>228</v>
      </c>
      <c r="AD59" s="4"/>
      <c r="AE59" s="4"/>
      <c r="AF59" s="6">
        <v>70</v>
      </c>
      <c r="AG59" s="6"/>
      <c r="AH59" s="7">
        <v>1</v>
      </c>
      <c r="AI59" s="4"/>
      <c r="AJ59" s="4">
        <f>=ROUNDDOWN({0},0)</f>
      </c>
      <c r="AK59" s="5"/>
      <c r="AL59" s="2" t="s">
        <v>228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228</v>
      </c>
      <c r="AW59" s="8" t="s">
        <v>228</v>
      </c>
      <c r="AX59" s="4" t="s">
        <v>228</v>
      </c>
      <c r="AY59" s="8" t="s">
        <v>228</v>
      </c>
      <c r="AZ59" s="7" t="s">
        <v>228</v>
      </c>
      <c r="BA59" s="7" t="s">
        <v>228</v>
      </c>
      <c r="BB59" s="7"/>
      <c r="BC59" s="4" t="s">
        <v>228</v>
      </c>
      <c r="BD59" s="8" t="s">
        <v>228</v>
      </c>
      <c r="BE59" s="4" t="s">
        <v>228</v>
      </c>
      <c r="BF59" s="8" t="s">
        <v>228</v>
      </c>
      <c r="BG59" s="7" t="s">
        <v>228</v>
      </c>
      <c r="BH59" s="7" t="s">
        <v>228</v>
      </c>
      <c r="BI59" s="7"/>
      <c r="BJ59" s="4">
        <v>5</v>
      </c>
      <c r="BK59" s="8">
        <v>108.83</v>
      </c>
      <c r="BL59" s="2" t="s">
        <v>509</v>
      </c>
      <c r="BM59" s="7"/>
      <c r="BN59" s="7"/>
      <c r="BO59" s="4"/>
      <c r="BP59" s="8"/>
      <c r="BQ59" s="4"/>
      <c r="BR59" s="8"/>
      <c r="BS59" s="7"/>
      <c r="BT59" s="7"/>
      <c r="BU59" s="2" t="s">
        <v>531</v>
      </c>
      <c r="BV59" s="2" t="s">
        <v>228</v>
      </c>
      <c r="BW59" s="2" t="s">
        <v>228</v>
      </c>
      <c r="BX59" s="2" t="s">
        <v>337</v>
      </c>
      <c r="BY59" s="2" t="s">
        <v>274</v>
      </c>
      <c r="BZ59" s="2" t="s">
        <v>240</v>
      </c>
      <c r="CA59" s="2" t="s">
        <v>507</v>
      </c>
      <c r="CB59" s="2" t="s">
        <v>532</v>
      </c>
      <c r="CC59" s="2" t="s">
        <v>241</v>
      </c>
      <c r="CD59" s="2" t="s">
        <v>228</v>
      </c>
      <c r="CE59" s="4">
        <v>32</v>
      </c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</row>
    <row r="60">
      <c r="A60" s="2" t="s">
        <v>533</v>
      </c>
      <c r="B60" s="2" t="s">
        <v>299</v>
      </c>
      <c r="C60" s="2" t="s">
        <v>457</v>
      </c>
      <c r="D60" s="2" t="s">
        <v>301</v>
      </c>
      <c r="E60" s="2" t="s">
        <v>302</v>
      </c>
      <c r="F60" s="2" t="s">
        <v>489</v>
      </c>
      <c r="G60" s="2" t="s">
        <v>489</v>
      </c>
      <c r="H60" s="2" t="s">
        <v>489</v>
      </c>
      <c r="I60" s="2" t="s">
        <v>490</v>
      </c>
      <c r="J60" s="2" t="s">
        <v>294</v>
      </c>
      <c r="K60" s="2" t="s">
        <v>525</v>
      </c>
      <c r="L60" s="3">
        <v>40</v>
      </c>
      <c r="M60" s="3">
        <v>42</v>
      </c>
      <c r="N60" s="3">
        <v>79.99</v>
      </c>
      <c r="O60" s="2" t="s">
        <v>461</v>
      </c>
      <c r="P60" s="2" t="s">
        <v>333</v>
      </c>
      <c r="Q60" s="2" t="s">
        <v>234</v>
      </c>
      <c r="R60" s="2" t="s">
        <v>228</v>
      </c>
      <c r="S60" s="2" t="s">
        <v>526</v>
      </c>
      <c r="T60" s="2" t="s">
        <v>350</v>
      </c>
      <c r="U60" s="2" t="s">
        <v>308</v>
      </c>
      <c r="V60" s="2" t="s">
        <v>236</v>
      </c>
      <c r="W60" s="2" t="s">
        <v>269</v>
      </c>
      <c r="X60" s="2" t="s">
        <v>269</v>
      </c>
      <c r="Y60" s="2" t="s">
        <v>493</v>
      </c>
      <c r="Z60" s="4">
        <v>55</v>
      </c>
      <c r="AA60" s="4">
        <f>=ROUNDDOWN(55,0)</f>
      </c>
      <c r="AB60" s="5">
        <v>1</v>
      </c>
      <c r="AC60" s="2" t="s">
        <v>228</v>
      </c>
      <c r="AD60" s="4"/>
      <c r="AE60" s="4"/>
      <c r="AF60" s="6">
        <v>70</v>
      </c>
      <c r="AG60" s="6"/>
      <c r="AH60" s="7">
        <v>1</v>
      </c>
      <c r="AI60" s="4"/>
      <c r="AJ60" s="4">
        <f>=ROUNDDOWN({0},0)</f>
      </c>
      <c r="AK60" s="5"/>
      <c r="AL60" s="2" t="s">
        <v>228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228</v>
      </c>
      <c r="AW60" s="8" t="s">
        <v>228</v>
      </c>
      <c r="AX60" s="4" t="s">
        <v>228</v>
      </c>
      <c r="AY60" s="8" t="s">
        <v>228</v>
      </c>
      <c r="AZ60" s="7" t="s">
        <v>228</v>
      </c>
      <c r="BA60" s="7" t="s">
        <v>228</v>
      </c>
      <c r="BB60" s="7"/>
      <c r="BC60" s="4" t="s">
        <v>228</v>
      </c>
      <c r="BD60" s="8" t="s">
        <v>228</v>
      </c>
      <c r="BE60" s="4" t="s">
        <v>228</v>
      </c>
      <c r="BF60" s="8" t="s">
        <v>228</v>
      </c>
      <c r="BG60" s="7" t="s">
        <v>228</v>
      </c>
      <c r="BH60" s="7" t="s">
        <v>228</v>
      </c>
      <c r="BI60" s="7"/>
      <c r="BJ60" s="4">
        <v>2</v>
      </c>
      <c r="BK60" s="8">
        <v>82.68</v>
      </c>
      <c r="BL60" s="2" t="s">
        <v>509</v>
      </c>
      <c r="BM60" s="7"/>
      <c r="BN60" s="7"/>
      <c r="BO60" s="4"/>
      <c r="BP60" s="8"/>
      <c r="BQ60" s="4"/>
      <c r="BR60" s="8"/>
      <c r="BS60" s="7"/>
      <c r="BT60" s="7"/>
      <c r="BU60" s="2" t="s">
        <v>534</v>
      </c>
      <c r="BV60" s="2" t="s">
        <v>228</v>
      </c>
      <c r="BW60" s="2" t="s">
        <v>228</v>
      </c>
      <c r="BX60" s="2" t="s">
        <v>337</v>
      </c>
      <c r="BY60" s="2" t="s">
        <v>274</v>
      </c>
      <c r="BZ60" s="2" t="s">
        <v>240</v>
      </c>
      <c r="CA60" s="2" t="s">
        <v>503</v>
      </c>
      <c r="CB60" s="2" t="s">
        <v>514</v>
      </c>
      <c r="CC60" s="2" t="s">
        <v>241</v>
      </c>
      <c r="CD60" s="2" t="s">
        <v>228</v>
      </c>
      <c r="CE60" s="4">
        <v>55</v>
      </c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</row>
    <row r="61">
      <c r="A61" s="2" t="s">
        <v>535</v>
      </c>
      <c r="B61" s="2" t="s">
        <v>299</v>
      </c>
      <c r="C61" s="2" t="s">
        <v>457</v>
      </c>
      <c r="D61" s="2" t="s">
        <v>301</v>
      </c>
      <c r="E61" s="2" t="s">
        <v>302</v>
      </c>
      <c r="F61" s="2" t="s">
        <v>489</v>
      </c>
      <c r="G61" s="2" t="s">
        <v>489</v>
      </c>
      <c r="H61" s="2" t="s">
        <v>489</v>
      </c>
      <c r="I61" s="2" t="s">
        <v>490</v>
      </c>
      <c r="J61" s="2" t="s">
        <v>284</v>
      </c>
      <c r="K61" s="2" t="s">
        <v>316</v>
      </c>
      <c r="L61" s="3">
        <v>32</v>
      </c>
      <c r="M61" s="3">
        <v>33.6</v>
      </c>
      <c r="N61" s="3">
        <v>59.99</v>
      </c>
      <c r="O61" s="2" t="s">
        <v>461</v>
      </c>
      <c r="P61" s="2" t="s">
        <v>333</v>
      </c>
      <c r="Q61" s="2" t="s">
        <v>234</v>
      </c>
      <c r="R61" s="2" t="s">
        <v>228</v>
      </c>
      <c r="S61" s="2" t="s">
        <v>536</v>
      </c>
      <c r="T61" s="2" t="s">
        <v>350</v>
      </c>
      <c r="U61" s="2" t="s">
        <v>308</v>
      </c>
      <c r="V61" s="2" t="s">
        <v>236</v>
      </c>
      <c r="W61" s="2" t="s">
        <v>269</v>
      </c>
      <c r="X61" s="2" t="s">
        <v>269</v>
      </c>
      <c r="Y61" s="2" t="s">
        <v>493</v>
      </c>
      <c r="Z61" s="4">
        <v>149</v>
      </c>
      <c r="AA61" s="4">
        <f>=ROUNDDOWN(149,0)</f>
      </c>
      <c r="AB61" s="5">
        <v>1</v>
      </c>
      <c r="AC61" s="2" t="s">
        <v>228</v>
      </c>
      <c r="AD61" s="4"/>
      <c r="AE61" s="4"/>
      <c r="AF61" s="6">
        <v>70</v>
      </c>
      <c r="AG61" s="6"/>
      <c r="AH61" s="7">
        <v>1</v>
      </c>
      <c r="AI61" s="4"/>
      <c r="AJ61" s="4">
        <f>=ROUNDDOWN({0},0)</f>
      </c>
      <c r="AK61" s="5"/>
      <c r="AL61" s="2" t="s">
        <v>228</v>
      </c>
      <c r="AM61" s="4"/>
      <c r="AN61" s="4"/>
      <c r="AO61" s="7"/>
      <c r="AP61" s="4"/>
      <c r="AQ61" s="8"/>
      <c r="AR61" s="4"/>
      <c r="AS61" s="8"/>
      <c r="AT61" s="7"/>
      <c r="AU61" s="7"/>
      <c r="AV61" s="4"/>
      <c r="AW61" s="8"/>
      <c r="AX61" s="4"/>
      <c r="AY61" s="8"/>
      <c r="AZ61" s="7"/>
      <c r="BA61" s="7"/>
      <c r="BB61" s="7"/>
      <c r="BC61" s="4" t="s">
        <v>228</v>
      </c>
      <c r="BD61" s="8" t="s">
        <v>228</v>
      </c>
      <c r="BE61" s="4" t="s">
        <v>228</v>
      </c>
      <c r="BF61" s="8" t="s">
        <v>228</v>
      </c>
      <c r="BG61" s="7" t="s">
        <v>228</v>
      </c>
      <c r="BH61" s="7" t="s">
        <v>228</v>
      </c>
      <c r="BI61" s="7"/>
      <c r="BJ61" s="4">
        <v>2</v>
      </c>
      <c r="BK61" s="8">
        <v>49.06</v>
      </c>
      <c r="BL61" s="2" t="s">
        <v>537</v>
      </c>
      <c r="BM61" s="7"/>
      <c r="BN61" s="7"/>
      <c r="BO61" s="4"/>
      <c r="BP61" s="8"/>
      <c r="BQ61" s="4"/>
      <c r="BR61" s="8"/>
      <c r="BS61" s="7"/>
      <c r="BT61" s="7"/>
      <c r="BU61" s="2" t="s">
        <v>538</v>
      </c>
      <c r="BV61" s="2" t="s">
        <v>228</v>
      </c>
      <c r="BW61" s="2" t="s">
        <v>228</v>
      </c>
      <c r="BX61" s="2" t="s">
        <v>337</v>
      </c>
      <c r="BY61" s="2" t="s">
        <v>274</v>
      </c>
      <c r="BZ61" s="2" t="s">
        <v>240</v>
      </c>
      <c r="CA61" s="2" t="s">
        <v>507</v>
      </c>
      <c r="CB61" s="2" t="s">
        <v>539</v>
      </c>
      <c r="CC61" s="2" t="s">
        <v>241</v>
      </c>
      <c r="CD61" s="2" t="s">
        <v>228</v>
      </c>
      <c r="CE61" s="4">
        <v>149</v>
      </c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</row>
    <row r="62">
      <c r="A62" s="2" t="s">
        <v>540</v>
      </c>
      <c r="B62" s="2" t="s">
        <v>299</v>
      </c>
      <c r="C62" s="2" t="s">
        <v>300</v>
      </c>
      <c r="D62" s="2" t="s">
        <v>301</v>
      </c>
      <c r="E62" s="2" t="s">
        <v>302</v>
      </c>
      <c r="F62" s="2" t="s">
        <v>541</v>
      </c>
      <c r="G62" s="2" t="s">
        <v>541</v>
      </c>
      <c r="H62" s="2" t="s">
        <v>541</v>
      </c>
      <c r="I62" s="2" t="s">
        <v>542</v>
      </c>
      <c r="J62" s="2" t="s">
        <v>264</v>
      </c>
      <c r="K62" s="2" t="s">
        <v>265</v>
      </c>
      <c r="L62" s="3">
        <v>13.44</v>
      </c>
      <c r="M62" s="3">
        <v>14.11</v>
      </c>
      <c r="N62" s="3">
        <v>27.99</v>
      </c>
      <c r="O62" s="2" t="s">
        <v>240</v>
      </c>
      <c r="P62" s="2" t="s">
        <v>266</v>
      </c>
      <c r="Q62" s="2" t="s">
        <v>234</v>
      </c>
      <c r="R62" s="2" t="s">
        <v>228</v>
      </c>
      <c r="S62" s="2" t="s">
        <v>543</v>
      </c>
      <c r="T62" s="2" t="s">
        <v>415</v>
      </c>
      <c r="U62" s="2" t="s">
        <v>228</v>
      </c>
      <c r="V62" s="2" t="s">
        <v>236</v>
      </c>
      <c r="W62" s="2" t="s">
        <v>269</v>
      </c>
      <c r="X62" s="2" t="s">
        <v>228</v>
      </c>
      <c r="Y62" s="2" t="s">
        <v>270</v>
      </c>
      <c r="Z62" s="4">
        <v>90</v>
      </c>
      <c r="AA62" s="4">
        <f>=ROUNDDOWN(15,0)</f>
      </c>
      <c r="AB62" s="5">
        <v>6</v>
      </c>
      <c r="AC62" s="2" t="s">
        <v>187</v>
      </c>
      <c r="AD62" s="4">
        <v>30</v>
      </c>
      <c r="AE62" s="4">
        <v>120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228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228</v>
      </c>
      <c r="AW62" s="8" t="s">
        <v>228</v>
      </c>
      <c r="AX62" s="4" t="s">
        <v>228</v>
      </c>
      <c r="AY62" s="8" t="s">
        <v>228</v>
      </c>
      <c r="AZ62" s="7" t="s">
        <v>228</v>
      </c>
      <c r="BA62" s="7" t="s">
        <v>228</v>
      </c>
      <c r="BB62" s="7"/>
      <c r="BC62" s="4" t="s">
        <v>228</v>
      </c>
      <c r="BD62" s="8" t="s">
        <v>228</v>
      </c>
      <c r="BE62" s="4" t="s">
        <v>228</v>
      </c>
      <c r="BF62" s="8" t="s">
        <v>228</v>
      </c>
      <c r="BG62" s="7" t="s">
        <v>228</v>
      </c>
      <c r="BH62" s="7" t="s">
        <v>228</v>
      </c>
      <c r="BI62" s="7"/>
      <c r="BJ62" s="4">
        <v>24</v>
      </c>
      <c r="BK62" s="8">
        <v>331.29</v>
      </c>
      <c r="BL62" s="2" t="s">
        <v>544</v>
      </c>
      <c r="BM62" s="7"/>
      <c r="BN62" s="7"/>
      <c r="BO62" s="4"/>
      <c r="BP62" s="8"/>
      <c r="BQ62" s="4"/>
      <c r="BR62" s="8"/>
      <c r="BS62" s="7"/>
      <c r="BT62" s="7"/>
      <c r="BU62" s="2" t="s">
        <v>545</v>
      </c>
      <c r="BV62" s="2" t="s">
        <v>228</v>
      </c>
      <c r="BW62" s="2" t="s">
        <v>228</v>
      </c>
      <c r="BX62" s="2" t="s">
        <v>273</v>
      </c>
      <c r="BY62" s="2" t="s">
        <v>274</v>
      </c>
      <c r="BZ62" s="2" t="s">
        <v>240</v>
      </c>
      <c r="CA62" s="2" t="s">
        <v>275</v>
      </c>
      <c r="CB62" s="2" t="s">
        <v>546</v>
      </c>
      <c r="CC62" s="2" t="s">
        <v>241</v>
      </c>
      <c r="CD62" s="2" t="s">
        <v>228</v>
      </c>
      <c r="CE62" s="4">
        <v>90</v>
      </c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>
        <v>30</v>
      </c>
      <c r="FX62" s="4"/>
      <c r="FY62" s="4"/>
      <c r="FZ62" s="4"/>
      <c r="GA62" s="4"/>
      <c r="GB62" s="4">
        <v>30</v>
      </c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>
        <v>60</v>
      </c>
      <c r="HA62" s="4"/>
      <c r="HB62" s="4"/>
      <c r="HC62" s="4"/>
      <c r="HD62" s="4"/>
      <c r="HE62" s="4"/>
    </row>
    <row r="63">
      <c r="A63" s="2" t="s">
        <v>547</v>
      </c>
      <c r="B63" s="2" t="s">
        <v>299</v>
      </c>
      <c r="C63" s="2" t="s">
        <v>300</v>
      </c>
      <c r="D63" s="2" t="s">
        <v>301</v>
      </c>
      <c r="E63" s="2" t="s">
        <v>302</v>
      </c>
      <c r="F63" s="2" t="s">
        <v>541</v>
      </c>
      <c r="G63" s="2" t="s">
        <v>541</v>
      </c>
      <c r="H63" s="2" t="s">
        <v>541</v>
      </c>
      <c r="I63" s="2" t="s">
        <v>542</v>
      </c>
      <c r="J63" s="2" t="s">
        <v>278</v>
      </c>
      <c r="K63" s="2" t="s">
        <v>265</v>
      </c>
      <c r="L63" s="3">
        <v>15.19</v>
      </c>
      <c r="M63" s="3">
        <v>15.95</v>
      </c>
      <c r="N63" s="3">
        <v>30.99</v>
      </c>
      <c r="O63" s="2" t="s">
        <v>240</v>
      </c>
      <c r="P63" s="2" t="s">
        <v>266</v>
      </c>
      <c r="Q63" s="2" t="s">
        <v>234</v>
      </c>
      <c r="R63" s="2" t="s">
        <v>228</v>
      </c>
      <c r="S63" s="2" t="s">
        <v>543</v>
      </c>
      <c r="T63" s="2" t="s">
        <v>415</v>
      </c>
      <c r="U63" s="2" t="s">
        <v>228</v>
      </c>
      <c r="V63" s="2" t="s">
        <v>236</v>
      </c>
      <c r="W63" s="2" t="s">
        <v>269</v>
      </c>
      <c r="X63" s="2" t="s">
        <v>228</v>
      </c>
      <c r="Y63" s="2" t="s">
        <v>270</v>
      </c>
      <c r="Z63" s="4">
        <v>250</v>
      </c>
      <c r="AA63" s="4">
        <f>=ROUNDDOWN(50,0)</f>
      </c>
      <c r="AB63" s="5">
        <v>5</v>
      </c>
      <c r="AC63" s="2" t="s">
        <v>228</v>
      </c>
      <c r="AD63" s="4"/>
      <c r="AE63" s="4"/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228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228</v>
      </c>
      <c r="AW63" s="8" t="s">
        <v>228</v>
      </c>
      <c r="AX63" s="4" t="s">
        <v>228</v>
      </c>
      <c r="AY63" s="8" t="s">
        <v>228</v>
      </c>
      <c r="AZ63" s="7" t="s">
        <v>228</v>
      </c>
      <c r="BA63" s="7" t="s">
        <v>228</v>
      </c>
      <c r="BB63" s="7"/>
      <c r="BC63" s="4" t="s">
        <v>228</v>
      </c>
      <c r="BD63" s="8" t="s">
        <v>228</v>
      </c>
      <c r="BE63" s="4" t="s">
        <v>228</v>
      </c>
      <c r="BF63" s="8" t="s">
        <v>228</v>
      </c>
      <c r="BG63" s="7" t="s">
        <v>228</v>
      </c>
      <c r="BH63" s="7" t="s">
        <v>228</v>
      </c>
      <c r="BI63" s="7"/>
      <c r="BJ63" s="4">
        <v>73</v>
      </c>
      <c r="BK63" s="8">
        <v>1111.79</v>
      </c>
      <c r="BL63" s="2" t="s">
        <v>548</v>
      </c>
      <c r="BM63" s="7"/>
      <c r="BN63" s="7"/>
      <c r="BO63" s="4"/>
      <c r="BP63" s="8"/>
      <c r="BQ63" s="4"/>
      <c r="BR63" s="8"/>
      <c r="BS63" s="7"/>
      <c r="BT63" s="7"/>
      <c r="BU63" s="2" t="s">
        <v>549</v>
      </c>
      <c r="BV63" s="2" t="s">
        <v>228</v>
      </c>
      <c r="BW63" s="2" t="s">
        <v>228</v>
      </c>
      <c r="BX63" s="2" t="s">
        <v>273</v>
      </c>
      <c r="BY63" s="2" t="s">
        <v>274</v>
      </c>
      <c r="BZ63" s="2" t="s">
        <v>240</v>
      </c>
      <c r="CA63" s="2" t="s">
        <v>275</v>
      </c>
      <c r="CB63" s="2" t="s">
        <v>550</v>
      </c>
      <c r="CC63" s="2" t="s">
        <v>241</v>
      </c>
      <c r="CD63" s="2" t="s">
        <v>228</v>
      </c>
      <c r="CE63" s="4">
        <v>250</v>
      </c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</row>
    <row r="64">
      <c r="A64" s="2" t="s">
        <v>551</v>
      </c>
      <c r="B64" s="2" t="s">
        <v>299</v>
      </c>
      <c r="C64" s="2" t="s">
        <v>300</v>
      </c>
      <c r="D64" s="2" t="s">
        <v>301</v>
      </c>
      <c r="E64" s="2" t="s">
        <v>302</v>
      </c>
      <c r="F64" s="2" t="s">
        <v>541</v>
      </c>
      <c r="G64" s="2" t="s">
        <v>541</v>
      </c>
      <c r="H64" s="2" t="s">
        <v>541</v>
      </c>
      <c r="I64" s="2" t="s">
        <v>542</v>
      </c>
      <c r="J64" s="2" t="s">
        <v>312</v>
      </c>
      <c r="K64" s="2" t="s">
        <v>265</v>
      </c>
      <c r="L64" s="3">
        <v>21.5</v>
      </c>
      <c r="M64" s="3">
        <v>22.58</v>
      </c>
      <c r="N64" s="3">
        <v>42.99</v>
      </c>
      <c r="O64" s="2" t="s">
        <v>240</v>
      </c>
      <c r="P64" s="2" t="s">
        <v>266</v>
      </c>
      <c r="Q64" s="2" t="s">
        <v>234</v>
      </c>
      <c r="R64" s="2" t="s">
        <v>228</v>
      </c>
      <c r="S64" s="2" t="s">
        <v>543</v>
      </c>
      <c r="T64" s="2" t="s">
        <v>415</v>
      </c>
      <c r="U64" s="2" t="s">
        <v>228</v>
      </c>
      <c r="V64" s="2" t="s">
        <v>236</v>
      </c>
      <c r="W64" s="2" t="s">
        <v>269</v>
      </c>
      <c r="X64" s="2" t="s">
        <v>228</v>
      </c>
      <c r="Y64" s="2" t="s">
        <v>270</v>
      </c>
      <c r="Z64" s="4">
        <v>152</v>
      </c>
      <c r="AA64" s="4">
        <f>=ROUNDDOWN(38,0)</f>
      </c>
      <c r="AB64" s="5">
        <v>4</v>
      </c>
      <c r="AC64" s="2" t="s">
        <v>228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228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228</v>
      </c>
      <c r="AW64" s="8" t="s">
        <v>228</v>
      </c>
      <c r="AX64" s="4" t="s">
        <v>228</v>
      </c>
      <c r="AY64" s="8" t="s">
        <v>228</v>
      </c>
      <c r="AZ64" s="7" t="s">
        <v>228</v>
      </c>
      <c r="BA64" s="7" t="s">
        <v>228</v>
      </c>
      <c r="BB64" s="7"/>
      <c r="BC64" s="4" t="s">
        <v>228</v>
      </c>
      <c r="BD64" s="8" t="s">
        <v>228</v>
      </c>
      <c r="BE64" s="4" t="s">
        <v>228</v>
      </c>
      <c r="BF64" s="8" t="s">
        <v>228</v>
      </c>
      <c r="BG64" s="7" t="s">
        <v>228</v>
      </c>
      <c r="BH64" s="7" t="s">
        <v>228</v>
      </c>
      <c r="BI64" s="7"/>
      <c r="BJ64" s="4">
        <v>12</v>
      </c>
      <c r="BK64" s="8">
        <v>275</v>
      </c>
      <c r="BL64" s="2" t="s">
        <v>552</v>
      </c>
      <c r="BM64" s="7"/>
      <c r="BN64" s="7"/>
      <c r="BO64" s="4"/>
      <c r="BP64" s="8"/>
      <c r="BQ64" s="4"/>
      <c r="BR64" s="8"/>
      <c r="BS64" s="7"/>
      <c r="BT64" s="7"/>
      <c r="BU64" s="2" t="s">
        <v>553</v>
      </c>
      <c r="BV64" s="2" t="s">
        <v>228</v>
      </c>
      <c r="BW64" s="2" t="s">
        <v>228</v>
      </c>
      <c r="BX64" s="2" t="s">
        <v>273</v>
      </c>
      <c r="BY64" s="2" t="s">
        <v>274</v>
      </c>
      <c r="BZ64" s="2" t="s">
        <v>240</v>
      </c>
      <c r="CA64" s="2" t="s">
        <v>275</v>
      </c>
      <c r="CB64" s="2" t="s">
        <v>554</v>
      </c>
      <c r="CC64" s="2" t="s">
        <v>241</v>
      </c>
      <c r="CD64" s="2" t="s">
        <v>228</v>
      </c>
      <c r="CE64" s="4">
        <v>152</v>
      </c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</row>
    <row r="65">
      <c r="A65" s="2" t="s">
        <v>555</v>
      </c>
      <c r="B65" s="2" t="s">
        <v>299</v>
      </c>
      <c r="C65" s="2" t="s">
        <v>300</v>
      </c>
      <c r="D65" s="2" t="s">
        <v>301</v>
      </c>
      <c r="E65" s="2" t="s">
        <v>302</v>
      </c>
      <c r="F65" s="2" t="s">
        <v>541</v>
      </c>
      <c r="G65" s="2" t="s">
        <v>541</v>
      </c>
      <c r="H65" s="2" t="s">
        <v>541</v>
      </c>
      <c r="I65" s="2" t="s">
        <v>542</v>
      </c>
      <c r="J65" s="2" t="s">
        <v>264</v>
      </c>
      <c r="K65" s="2" t="s">
        <v>556</v>
      </c>
      <c r="L65" s="3">
        <v>13.44</v>
      </c>
      <c r="M65" s="3">
        <v>14.11</v>
      </c>
      <c r="N65" s="3">
        <v>27.99</v>
      </c>
      <c r="O65" s="2" t="s">
        <v>240</v>
      </c>
      <c r="P65" s="2" t="s">
        <v>266</v>
      </c>
      <c r="Q65" s="2" t="s">
        <v>234</v>
      </c>
      <c r="R65" s="2" t="s">
        <v>228</v>
      </c>
      <c r="S65" s="2" t="s">
        <v>557</v>
      </c>
      <c r="T65" s="2" t="s">
        <v>415</v>
      </c>
      <c r="U65" s="2" t="s">
        <v>228</v>
      </c>
      <c r="V65" s="2" t="s">
        <v>236</v>
      </c>
      <c r="W65" s="2" t="s">
        <v>269</v>
      </c>
      <c r="X65" s="2" t="s">
        <v>228</v>
      </c>
      <c r="Y65" s="2" t="s">
        <v>558</v>
      </c>
      <c r="Z65" s="4">
        <v>172</v>
      </c>
      <c r="AA65" s="4">
        <f>=ROUNDDOWN(86,0)</f>
      </c>
      <c r="AB65" s="5">
        <v>2</v>
      </c>
      <c r="AC65" s="2" t="s">
        <v>228</v>
      </c>
      <c r="AD65" s="4"/>
      <c r="AE65" s="4"/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228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228</v>
      </c>
      <c r="AW65" s="8" t="s">
        <v>228</v>
      </c>
      <c r="AX65" s="4" t="s">
        <v>228</v>
      </c>
      <c r="AY65" s="8" t="s">
        <v>228</v>
      </c>
      <c r="AZ65" s="7" t="s">
        <v>228</v>
      </c>
      <c r="BA65" s="7" t="s">
        <v>228</v>
      </c>
      <c r="BB65" s="7"/>
      <c r="BC65" s="4" t="s">
        <v>228</v>
      </c>
      <c r="BD65" s="8" t="s">
        <v>228</v>
      </c>
      <c r="BE65" s="4" t="s">
        <v>228</v>
      </c>
      <c r="BF65" s="8" t="s">
        <v>228</v>
      </c>
      <c r="BG65" s="7" t="s">
        <v>228</v>
      </c>
      <c r="BH65" s="7" t="s">
        <v>228</v>
      </c>
      <c r="BI65" s="7"/>
      <c r="BJ65" s="4">
        <v>8</v>
      </c>
      <c r="BK65" s="8">
        <v>115.42</v>
      </c>
      <c r="BL65" s="2" t="s">
        <v>559</v>
      </c>
      <c r="BM65" s="7"/>
      <c r="BN65" s="7"/>
      <c r="BO65" s="4"/>
      <c r="BP65" s="8"/>
      <c r="BQ65" s="4"/>
      <c r="BR65" s="8"/>
      <c r="BS65" s="7"/>
      <c r="BT65" s="7"/>
      <c r="BU65" s="2" t="s">
        <v>560</v>
      </c>
      <c r="BV65" s="2" t="s">
        <v>228</v>
      </c>
      <c r="BW65" s="2" t="s">
        <v>228</v>
      </c>
      <c r="BX65" s="2" t="s">
        <v>273</v>
      </c>
      <c r="BY65" s="2" t="s">
        <v>274</v>
      </c>
      <c r="BZ65" s="2" t="s">
        <v>240</v>
      </c>
      <c r="CA65" s="2" t="s">
        <v>561</v>
      </c>
      <c r="CB65" s="2" t="s">
        <v>562</v>
      </c>
      <c r="CC65" s="2" t="s">
        <v>241</v>
      </c>
      <c r="CD65" s="2" t="s">
        <v>228</v>
      </c>
      <c r="CE65" s="4">
        <v>172</v>
      </c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</row>
    <row r="66">
      <c r="A66" s="2" t="s">
        <v>563</v>
      </c>
      <c r="B66" s="2" t="s">
        <v>299</v>
      </c>
      <c r="C66" s="2" t="s">
        <v>300</v>
      </c>
      <c r="D66" s="2" t="s">
        <v>301</v>
      </c>
      <c r="E66" s="2" t="s">
        <v>302</v>
      </c>
      <c r="F66" s="2" t="s">
        <v>541</v>
      </c>
      <c r="G66" s="2" t="s">
        <v>541</v>
      </c>
      <c r="H66" s="2" t="s">
        <v>541</v>
      </c>
      <c r="I66" s="2" t="s">
        <v>542</v>
      </c>
      <c r="J66" s="2" t="s">
        <v>289</v>
      </c>
      <c r="K66" s="2" t="s">
        <v>556</v>
      </c>
      <c r="L66" s="3">
        <v>19</v>
      </c>
      <c r="M66" s="3">
        <v>19.95</v>
      </c>
      <c r="N66" s="3">
        <v>37.99</v>
      </c>
      <c r="O66" s="2" t="s">
        <v>240</v>
      </c>
      <c r="P66" s="2" t="s">
        <v>266</v>
      </c>
      <c r="Q66" s="2" t="s">
        <v>234</v>
      </c>
      <c r="R66" s="2" t="s">
        <v>228</v>
      </c>
      <c r="S66" s="2" t="s">
        <v>557</v>
      </c>
      <c r="T66" s="2" t="s">
        <v>415</v>
      </c>
      <c r="U66" s="2" t="s">
        <v>228</v>
      </c>
      <c r="V66" s="2" t="s">
        <v>236</v>
      </c>
      <c r="W66" s="2" t="s">
        <v>269</v>
      </c>
      <c r="X66" s="2" t="s">
        <v>228</v>
      </c>
      <c r="Y66" s="2" t="s">
        <v>558</v>
      </c>
      <c r="Z66" s="4">
        <v>903</v>
      </c>
      <c r="AA66" s="4">
        <f>=ROUNDDOWN(41.0454545454545,0)</f>
      </c>
      <c r="AB66" s="5">
        <v>22</v>
      </c>
      <c r="AC66" s="2" t="s">
        <v>564</v>
      </c>
      <c r="AD66" s="4">
        <v>220</v>
      </c>
      <c r="AE66" s="4">
        <v>220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228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228</v>
      </c>
      <c r="AW66" s="8" t="s">
        <v>228</v>
      </c>
      <c r="AX66" s="4" t="s">
        <v>228</v>
      </c>
      <c r="AY66" s="8" t="s">
        <v>228</v>
      </c>
      <c r="AZ66" s="7" t="s">
        <v>228</v>
      </c>
      <c r="BA66" s="7" t="s">
        <v>228</v>
      </c>
      <c r="BB66" s="7"/>
      <c r="BC66" s="4" t="s">
        <v>228</v>
      </c>
      <c r="BD66" s="8" t="s">
        <v>228</v>
      </c>
      <c r="BE66" s="4" t="s">
        <v>228</v>
      </c>
      <c r="BF66" s="8" t="s">
        <v>228</v>
      </c>
      <c r="BG66" s="7" t="s">
        <v>228</v>
      </c>
      <c r="BH66" s="7" t="s">
        <v>228</v>
      </c>
      <c r="BI66" s="7"/>
      <c r="BJ66" s="4">
        <v>92</v>
      </c>
      <c r="BK66" s="8">
        <v>1858.52</v>
      </c>
      <c r="BL66" s="2" t="s">
        <v>565</v>
      </c>
      <c r="BM66" s="7"/>
      <c r="BN66" s="7"/>
      <c r="BO66" s="4"/>
      <c r="BP66" s="8"/>
      <c r="BQ66" s="4"/>
      <c r="BR66" s="8"/>
      <c r="BS66" s="7"/>
      <c r="BT66" s="7"/>
      <c r="BU66" s="2" t="s">
        <v>566</v>
      </c>
      <c r="BV66" s="2" t="s">
        <v>228</v>
      </c>
      <c r="BW66" s="2" t="s">
        <v>228</v>
      </c>
      <c r="BX66" s="2" t="s">
        <v>273</v>
      </c>
      <c r="BY66" s="2" t="s">
        <v>274</v>
      </c>
      <c r="BZ66" s="2" t="s">
        <v>240</v>
      </c>
      <c r="CA66" s="2" t="s">
        <v>561</v>
      </c>
      <c r="CB66" s="2" t="s">
        <v>567</v>
      </c>
      <c r="CC66" s="2" t="s">
        <v>241</v>
      </c>
      <c r="CD66" s="2" t="s">
        <v>228</v>
      </c>
      <c r="CE66" s="4">
        <v>903</v>
      </c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>
        <v>220</v>
      </c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</row>
    <row r="67">
      <c r="A67" s="2" t="s">
        <v>568</v>
      </c>
      <c r="B67" s="2" t="s">
        <v>299</v>
      </c>
      <c r="C67" s="2" t="s">
        <v>300</v>
      </c>
      <c r="D67" s="2" t="s">
        <v>301</v>
      </c>
      <c r="E67" s="2" t="s">
        <v>302</v>
      </c>
      <c r="F67" s="2" t="s">
        <v>541</v>
      </c>
      <c r="G67" s="2" t="s">
        <v>541</v>
      </c>
      <c r="H67" s="2" t="s">
        <v>541</v>
      </c>
      <c r="I67" s="2" t="s">
        <v>542</v>
      </c>
      <c r="J67" s="2" t="s">
        <v>294</v>
      </c>
      <c r="K67" s="2" t="s">
        <v>556</v>
      </c>
      <c r="L67" s="3">
        <v>21.5</v>
      </c>
      <c r="M67" s="3">
        <v>22.58</v>
      </c>
      <c r="N67" s="3">
        <v>42.99</v>
      </c>
      <c r="O67" s="2" t="s">
        <v>240</v>
      </c>
      <c r="P67" s="2" t="s">
        <v>266</v>
      </c>
      <c r="Q67" s="2" t="s">
        <v>234</v>
      </c>
      <c r="R67" s="2" t="s">
        <v>228</v>
      </c>
      <c r="S67" s="2" t="s">
        <v>557</v>
      </c>
      <c r="T67" s="2" t="s">
        <v>415</v>
      </c>
      <c r="U67" s="2" t="s">
        <v>228</v>
      </c>
      <c r="V67" s="2" t="s">
        <v>236</v>
      </c>
      <c r="W67" s="2" t="s">
        <v>269</v>
      </c>
      <c r="X67" s="2" t="s">
        <v>228</v>
      </c>
      <c r="Y67" s="2" t="s">
        <v>558</v>
      </c>
      <c r="Z67" s="4">
        <v>307</v>
      </c>
      <c r="AA67" s="4">
        <f>=ROUNDDOWN(21.9285714285714,0)</f>
      </c>
      <c r="AB67" s="5">
        <v>14</v>
      </c>
      <c r="AC67" s="2" t="s">
        <v>564</v>
      </c>
      <c r="AD67" s="4">
        <v>100</v>
      </c>
      <c r="AE67" s="4">
        <v>250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228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228</v>
      </c>
      <c r="AW67" s="8" t="s">
        <v>228</v>
      </c>
      <c r="AX67" s="4" t="s">
        <v>228</v>
      </c>
      <c r="AY67" s="8" t="s">
        <v>228</v>
      </c>
      <c r="AZ67" s="7" t="s">
        <v>228</v>
      </c>
      <c r="BA67" s="7" t="s">
        <v>228</v>
      </c>
      <c r="BB67" s="7"/>
      <c r="BC67" s="4" t="s">
        <v>228</v>
      </c>
      <c r="BD67" s="8" t="s">
        <v>228</v>
      </c>
      <c r="BE67" s="4" t="s">
        <v>228</v>
      </c>
      <c r="BF67" s="8" t="s">
        <v>228</v>
      </c>
      <c r="BG67" s="7" t="s">
        <v>228</v>
      </c>
      <c r="BH67" s="7" t="s">
        <v>228</v>
      </c>
      <c r="BI67" s="7"/>
      <c r="BJ67" s="4">
        <v>50</v>
      </c>
      <c r="BK67" s="8">
        <v>1112.66</v>
      </c>
      <c r="BL67" s="2" t="s">
        <v>569</v>
      </c>
      <c r="BM67" s="7"/>
      <c r="BN67" s="7"/>
      <c r="BO67" s="4"/>
      <c r="BP67" s="8"/>
      <c r="BQ67" s="4"/>
      <c r="BR67" s="8"/>
      <c r="BS67" s="7"/>
      <c r="BT67" s="7"/>
      <c r="BU67" s="2" t="s">
        <v>570</v>
      </c>
      <c r="BV67" s="2" t="s">
        <v>228</v>
      </c>
      <c r="BW67" s="2" t="s">
        <v>228</v>
      </c>
      <c r="BX67" s="2" t="s">
        <v>273</v>
      </c>
      <c r="BY67" s="2" t="s">
        <v>274</v>
      </c>
      <c r="BZ67" s="2" t="s">
        <v>240</v>
      </c>
      <c r="CA67" s="2" t="s">
        <v>561</v>
      </c>
      <c r="CB67" s="2" t="s">
        <v>571</v>
      </c>
      <c r="CC67" s="2" t="s">
        <v>241</v>
      </c>
      <c r="CD67" s="2" t="s">
        <v>228</v>
      </c>
      <c r="CE67" s="4">
        <v>307</v>
      </c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>
        <v>100</v>
      </c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>
        <v>150</v>
      </c>
      <c r="HA67" s="4"/>
      <c r="HB67" s="4"/>
      <c r="HC67" s="4"/>
      <c r="HD67" s="4"/>
      <c r="HE67" s="4"/>
    </row>
    <row r="68">
      <c r="A68" s="2" t="s">
        <v>572</v>
      </c>
      <c r="B68" s="2" t="s">
        <v>299</v>
      </c>
      <c r="C68" s="2" t="s">
        <v>300</v>
      </c>
      <c r="D68" s="2" t="s">
        <v>301</v>
      </c>
      <c r="E68" s="2" t="s">
        <v>302</v>
      </c>
      <c r="F68" s="2" t="s">
        <v>541</v>
      </c>
      <c r="G68" s="2" t="s">
        <v>541</v>
      </c>
      <c r="H68" s="2" t="s">
        <v>541</v>
      </c>
      <c r="I68" s="2" t="s">
        <v>542</v>
      </c>
      <c r="J68" s="2" t="s">
        <v>312</v>
      </c>
      <c r="K68" s="2" t="s">
        <v>556</v>
      </c>
      <c r="L68" s="3">
        <v>21.5</v>
      </c>
      <c r="M68" s="3">
        <v>22.58</v>
      </c>
      <c r="N68" s="3">
        <v>42.99</v>
      </c>
      <c r="O68" s="2" t="s">
        <v>240</v>
      </c>
      <c r="P68" s="2" t="s">
        <v>266</v>
      </c>
      <c r="Q68" s="2" t="s">
        <v>234</v>
      </c>
      <c r="R68" s="2" t="s">
        <v>228</v>
      </c>
      <c r="S68" s="2" t="s">
        <v>557</v>
      </c>
      <c r="T68" s="2" t="s">
        <v>415</v>
      </c>
      <c r="U68" s="2" t="s">
        <v>228</v>
      </c>
      <c r="V68" s="2" t="s">
        <v>236</v>
      </c>
      <c r="W68" s="2" t="s">
        <v>269</v>
      </c>
      <c r="X68" s="2" t="s">
        <v>228</v>
      </c>
      <c r="Y68" s="2" t="s">
        <v>558</v>
      </c>
      <c r="Z68" s="4">
        <v>118</v>
      </c>
      <c r="AA68" s="4">
        <f>=ROUNDDOWN(29.5,0)</f>
      </c>
      <c r="AB68" s="5">
        <v>4</v>
      </c>
      <c r="AC68" s="2" t="s">
        <v>564</v>
      </c>
      <c r="AD68" s="4">
        <v>20</v>
      </c>
      <c r="AE68" s="4">
        <v>20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228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228</v>
      </c>
      <c r="AW68" s="8" t="s">
        <v>228</v>
      </c>
      <c r="AX68" s="4" t="s">
        <v>228</v>
      </c>
      <c r="AY68" s="8" t="s">
        <v>228</v>
      </c>
      <c r="AZ68" s="7" t="s">
        <v>228</v>
      </c>
      <c r="BA68" s="7" t="s">
        <v>228</v>
      </c>
      <c r="BB68" s="7"/>
      <c r="BC68" s="4" t="s">
        <v>228</v>
      </c>
      <c r="BD68" s="8" t="s">
        <v>228</v>
      </c>
      <c r="BE68" s="4" t="s">
        <v>228</v>
      </c>
      <c r="BF68" s="8" t="s">
        <v>228</v>
      </c>
      <c r="BG68" s="7" t="s">
        <v>228</v>
      </c>
      <c r="BH68" s="7" t="s">
        <v>228</v>
      </c>
      <c r="BI68" s="7"/>
      <c r="BJ68" s="4">
        <v>13</v>
      </c>
      <c r="BK68" s="8">
        <v>304.44</v>
      </c>
      <c r="BL68" s="2" t="s">
        <v>573</v>
      </c>
      <c r="BM68" s="7"/>
      <c r="BN68" s="7"/>
      <c r="BO68" s="4"/>
      <c r="BP68" s="8"/>
      <c r="BQ68" s="4"/>
      <c r="BR68" s="8"/>
      <c r="BS68" s="7"/>
      <c r="BT68" s="7"/>
      <c r="BU68" s="2" t="s">
        <v>574</v>
      </c>
      <c r="BV68" s="2" t="s">
        <v>228</v>
      </c>
      <c r="BW68" s="2" t="s">
        <v>228</v>
      </c>
      <c r="BX68" s="2" t="s">
        <v>273</v>
      </c>
      <c r="BY68" s="2" t="s">
        <v>274</v>
      </c>
      <c r="BZ68" s="2" t="s">
        <v>240</v>
      </c>
      <c r="CA68" s="2" t="s">
        <v>561</v>
      </c>
      <c r="CB68" s="2" t="s">
        <v>575</v>
      </c>
      <c r="CC68" s="2" t="s">
        <v>241</v>
      </c>
      <c r="CD68" s="2" t="s">
        <v>228</v>
      </c>
      <c r="CE68" s="4">
        <v>118</v>
      </c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>
        <v>20</v>
      </c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</row>
    <row r="69">
      <c r="A69" s="2" t="s">
        <v>576</v>
      </c>
      <c r="B69" s="2" t="s">
        <v>299</v>
      </c>
      <c r="C69" s="2" t="s">
        <v>300</v>
      </c>
      <c r="D69" s="2" t="s">
        <v>301</v>
      </c>
      <c r="E69" s="2" t="s">
        <v>302</v>
      </c>
      <c r="F69" s="2" t="s">
        <v>541</v>
      </c>
      <c r="G69" s="2" t="s">
        <v>541</v>
      </c>
      <c r="H69" s="2" t="s">
        <v>541</v>
      </c>
      <c r="I69" s="2" t="s">
        <v>542</v>
      </c>
      <c r="J69" s="2" t="s">
        <v>264</v>
      </c>
      <c r="K69" s="2" t="s">
        <v>249</v>
      </c>
      <c r="L69" s="3">
        <v>13.44</v>
      </c>
      <c r="M69" s="3">
        <v>14.11</v>
      </c>
      <c r="N69" s="3">
        <v>27.99</v>
      </c>
      <c r="O69" s="2" t="s">
        <v>240</v>
      </c>
      <c r="P69" s="2" t="s">
        <v>266</v>
      </c>
      <c r="Q69" s="2" t="s">
        <v>234</v>
      </c>
      <c r="R69" s="2" t="s">
        <v>228</v>
      </c>
      <c r="S69" s="2" t="s">
        <v>577</v>
      </c>
      <c r="T69" s="2" t="s">
        <v>415</v>
      </c>
      <c r="U69" s="2" t="s">
        <v>228</v>
      </c>
      <c r="V69" s="2" t="s">
        <v>236</v>
      </c>
      <c r="W69" s="2" t="s">
        <v>269</v>
      </c>
      <c r="X69" s="2" t="s">
        <v>228</v>
      </c>
      <c r="Y69" s="2" t="s">
        <v>270</v>
      </c>
      <c r="Z69" s="4">
        <v>64</v>
      </c>
      <c r="AA69" s="4">
        <f>=ROUNDDOWN(12.8,0)</f>
      </c>
      <c r="AB69" s="5">
        <v>5</v>
      </c>
      <c r="AC69" s="2" t="s">
        <v>564</v>
      </c>
      <c r="AD69" s="4">
        <v>20</v>
      </c>
      <c r="AE69" s="4">
        <v>170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228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228</v>
      </c>
      <c r="AW69" s="8" t="s">
        <v>228</v>
      </c>
      <c r="AX69" s="4" t="s">
        <v>228</v>
      </c>
      <c r="AY69" s="8" t="s">
        <v>228</v>
      </c>
      <c r="AZ69" s="7" t="s">
        <v>228</v>
      </c>
      <c r="BA69" s="7" t="s">
        <v>228</v>
      </c>
      <c r="BB69" s="7"/>
      <c r="BC69" s="4" t="s">
        <v>228</v>
      </c>
      <c r="BD69" s="8" t="s">
        <v>228</v>
      </c>
      <c r="BE69" s="4" t="s">
        <v>228</v>
      </c>
      <c r="BF69" s="8" t="s">
        <v>228</v>
      </c>
      <c r="BG69" s="7" t="s">
        <v>228</v>
      </c>
      <c r="BH69" s="7" t="s">
        <v>228</v>
      </c>
      <c r="BI69" s="7"/>
      <c r="BJ69" s="4">
        <v>19</v>
      </c>
      <c r="BK69" s="8">
        <v>259.05</v>
      </c>
      <c r="BL69" s="2" t="s">
        <v>578</v>
      </c>
      <c r="BM69" s="7"/>
      <c r="BN69" s="7"/>
      <c r="BO69" s="4"/>
      <c r="BP69" s="8"/>
      <c r="BQ69" s="4"/>
      <c r="BR69" s="8"/>
      <c r="BS69" s="7"/>
      <c r="BT69" s="7"/>
      <c r="BU69" s="2" t="s">
        <v>579</v>
      </c>
      <c r="BV69" s="2" t="s">
        <v>228</v>
      </c>
      <c r="BW69" s="2" t="s">
        <v>228</v>
      </c>
      <c r="BX69" s="2" t="s">
        <v>273</v>
      </c>
      <c r="BY69" s="2" t="s">
        <v>274</v>
      </c>
      <c r="BZ69" s="2" t="s">
        <v>240</v>
      </c>
      <c r="CA69" s="2" t="s">
        <v>275</v>
      </c>
      <c r="CB69" s="2" t="s">
        <v>580</v>
      </c>
      <c r="CC69" s="2" t="s">
        <v>241</v>
      </c>
      <c r="CD69" s="2" t="s">
        <v>228</v>
      </c>
      <c r="CE69" s="4">
        <v>64</v>
      </c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>
        <v>20</v>
      </c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>
        <v>30</v>
      </c>
      <c r="FX69" s="4"/>
      <c r="FY69" s="4"/>
      <c r="FZ69" s="4"/>
      <c r="GA69" s="4"/>
      <c r="GB69" s="4">
        <v>30</v>
      </c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>
        <v>90</v>
      </c>
      <c r="HA69" s="4"/>
      <c r="HB69" s="4"/>
      <c r="HC69" s="4"/>
      <c r="HD69" s="4"/>
      <c r="HE69" s="4"/>
    </row>
    <row r="70">
      <c r="A70" s="2" t="s">
        <v>581</v>
      </c>
      <c r="B70" s="2" t="s">
        <v>299</v>
      </c>
      <c r="C70" s="2" t="s">
        <v>300</v>
      </c>
      <c r="D70" s="2" t="s">
        <v>301</v>
      </c>
      <c r="E70" s="2" t="s">
        <v>302</v>
      </c>
      <c r="F70" s="2" t="s">
        <v>541</v>
      </c>
      <c r="G70" s="2" t="s">
        <v>541</v>
      </c>
      <c r="H70" s="2" t="s">
        <v>541</v>
      </c>
      <c r="I70" s="2" t="s">
        <v>542</v>
      </c>
      <c r="J70" s="2" t="s">
        <v>284</v>
      </c>
      <c r="K70" s="2" t="s">
        <v>249</v>
      </c>
      <c r="L70" s="3">
        <v>16.5</v>
      </c>
      <c r="M70" s="3">
        <v>17.32</v>
      </c>
      <c r="N70" s="3">
        <v>32.99</v>
      </c>
      <c r="O70" s="2" t="s">
        <v>240</v>
      </c>
      <c r="P70" s="2" t="s">
        <v>266</v>
      </c>
      <c r="Q70" s="2" t="s">
        <v>234</v>
      </c>
      <c r="R70" s="2" t="s">
        <v>228</v>
      </c>
      <c r="S70" s="2" t="s">
        <v>577</v>
      </c>
      <c r="T70" s="2" t="s">
        <v>415</v>
      </c>
      <c r="U70" s="2" t="s">
        <v>228</v>
      </c>
      <c r="V70" s="2" t="s">
        <v>236</v>
      </c>
      <c r="W70" s="2" t="s">
        <v>269</v>
      </c>
      <c r="X70" s="2" t="s">
        <v>228</v>
      </c>
      <c r="Y70" s="2" t="s">
        <v>270</v>
      </c>
      <c r="Z70" s="4">
        <v>192</v>
      </c>
      <c r="AA70" s="4">
        <f>=ROUNDDOWN(32,0)</f>
      </c>
      <c r="AB70" s="5">
        <v>6</v>
      </c>
      <c r="AC70" s="2" t="s">
        <v>192</v>
      </c>
      <c r="AD70" s="4">
        <v>20</v>
      </c>
      <c r="AE70" s="4">
        <v>80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228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228</v>
      </c>
      <c r="AW70" s="8" t="s">
        <v>228</v>
      </c>
      <c r="AX70" s="4" t="s">
        <v>228</v>
      </c>
      <c r="AY70" s="8" t="s">
        <v>228</v>
      </c>
      <c r="AZ70" s="7" t="s">
        <v>228</v>
      </c>
      <c r="BA70" s="7" t="s">
        <v>228</v>
      </c>
      <c r="BB70" s="7"/>
      <c r="BC70" s="4" t="s">
        <v>228</v>
      </c>
      <c r="BD70" s="8" t="s">
        <v>228</v>
      </c>
      <c r="BE70" s="4" t="s">
        <v>228</v>
      </c>
      <c r="BF70" s="8" t="s">
        <v>228</v>
      </c>
      <c r="BG70" s="7" t="s">
        <v>228</v>
      </c>
      <c r="BH70" s="7" t="s">
        <v>228</v>
      </c>
      <c r="BI70" s="7"/>
      <c r="BJ70" s="4">
        <v>34</v>
      </c>
      <c r="BK70" s="8">
        <v>625.54</v>
      </c>
      <c r="BL70" s="2" t="s">
        <v>582</v>
      </c>
      <c r="BM70" s="7"/>
      <c r="BN70" s="7"/>
      <c r="BO70" s="4"/>
      <c r="BP70" s="8"/>
      <c r="BQ70" s="4"/>
      <c r="BR70" s="8"/>
      <c r="BS70" s="7"/>
      <c r="BT70" s="7"/>
      <c r="BU70" s="2" t="s">
        <v>583</v>
      </c>
      <c r="BV70" s="2" t="s">
        <v>228</v>
      </c>
      <c r="BW70" s="2" t="s">
        <v>228</v>
      </c>
      <c r="BX70" s="2" t="s">
        <v>273</v>
      </c>
      <c r="BY70" s="2" t="s">
        <v>274</v>
      </c>
      <c r="BZ70" s="2" t="s">
        <v>240</v>
      </c>
      <c r="CA70" s="2" t="s">
        <v>275</v>
      </c>
      <c r="CB70" s="2" t="s">
        <v>584</v>
      </c>
      <c r="CC70" s="2" t="s">
        <v>241</v>
      </c>
      <c r="CD70" s="2" t="s">
        <v>228</v>
      </c>
      <c r="CE70" s="4">
        <v>192</v>
      </c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>
        <v>20</v>
      </c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>
        <v>60</v>
      </c>
      <c r="HA70" s="4"/>
      <c r="HB70" s="4"/>
      <c r="HC70" s="4"/>
      <c r="HD70" s="4"/>
      <c r="HE70" s="4"/>
    </row>
    <row r="71">
      <c r="A71" s="2" t="s">
        <v>585</v>
      </c>
      <c r="B71" s="2" t="s">
        <v>299</v>
      </c>
      <c r="C71" s="2" t="s">
        <v>300</v>
      </c>
      <c r="D71" s="2" t="s">
        <v>301</v>
      </c>
      <c r="E71" s="2" t="s">
        <v>302</v>
      </c>
      <c r="F71" s="2" t="s">
        <v>541</v>
      </c>
      <c r="G71" s="2" t="s">
        <v>541</v>
      </c>
      <c r="H71" s="2" t="s">
        <v>541</v>
      </c>
      <c r="I71" s="2" t="s">
        <v>542</v>
      </c>
      <c r="J71" s="2" t="s">
        <v>312</v>
      </c>
      <c r="K71" s="2" t="s">
        <v>249</v>
      </c>
      <c r="L71" s="3">
        <v>21.5</v>
      </c>
      <c r="M71" s="3">
        <v>22.58</v>
      </c>
      <c r="N71" s="3">
        <v>42.99</v>
      </c>
      <c r="O71" s="2" t="s">
        <v>240</v>
      </c>
      <c r="P71" s="2" t="s">
        <v>266</v>
      </c>
      <c r="Q71" s="2" t="s">
        <v>234</v>
      </c>
      <c r="R71" s="2" t="s">
        <v>228</v>
      </c>
      <c r="S71" s="2" t="s">
        <v>577</v>
      </c>
      <c r="T71" s="2" t="s">
        <v>415</v>
      </c>
      <c r="U71" s="2" t="s">
        <v>228</v>
      </c>
      <c r="V71" s="2" t="s">
        <v>236</v>
      </c>
      <c r="W71" s="2" t="s">
        <v>269</v>
      </c>
      <c r="X71" s="2" t="s">
        <v>228</v>
      </c>
      <c r="Y71" s="2" t="s">
        <v>270</v>
      </c>
      <c r="Z71" s="4">
        <v>155</v>
      </c>
      <c r="AA71" s="4">
        <f>=ROUNDDOWN(38.75,0)</f>
      </c>
      <c r="AB71" s="5">
        <v>4</v>
      </c>
      <c r="AC71" s="2" t="s">
        <v>228</v>
      </c>
      <c r="AD71" s="4"/>
      <c r="AE71" s="4"/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228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228</v>
      </c>
      <c r="AW71" s="8" t="s">
        <v>228</v>
      </c>
      <c r="AX71" s="4" t="s">
        <v>228</v>
      </c>
      <c r="AY71" s="8" t="s">
        <v>228</v>
      </c>
      <c r="AZ71" s="7" t="s">
        <v>228</v>
      </c>
      <c r="BA71" s="7" t="s">
        <v>228</v>
      </c>
      <c r="BB71" s="7"/>
      <c r="BC71" s="4" t="s">
        <v>228</v>
      </c>
      <c r="BD71" s="8" t="s">
        <v>228</v>
      </c>
      <c r="BE71" s="4" t="s">
        <v>228</v>
      </c>
      <c r="BF71" s="8" t="s">
        <v>228</v>
      </c>
      <c r="BG71" s="7" t="s">
        <v>228</v>
      </c>
      <c r="BH71" s="7" t="s">
        <v>228</v>
      </c>
      <c r="BI71" s="7"/>
      <c r="BJ71" s="4">
        <v>13</v>
      </c>
      <c r="BK71" s="8">
        <v>300.87</v>
      </c>
      <c r="BL71" s="2" t="s">
        <v>586</v>
      </c>
      <c r="BM71" s="7"/>
      <c r="BN71" s="7"/>
      <c r="BO71" s="4"/>
      <c r="BP71" s="8"/>
      <c r="BQ71" s="4"/>
      <c r="BR71" s="8"/>
      <c r="BS71" s="7"/>
      <c r="BT71" s="7"/>
      <c r="BU71" s="2" t="s">
        <v>587</v>
      </c>
      <c r="BV71" s="2" t="s">
        <v>228</v>
      </c>
      <c r="BW71" s="2" t="s">
        <v>228</v>
      </c>
      <c r="BX71" s="2" t="s">
        <v>273</v>
      </c>
      <c r="BY71" s="2" t="s">
        <v>274</v>
      </c>
      <c r="BZ71" s="2" t="s">
        <v>240</v>
      </c>
      <c r="CA71" s="2" t="s">
        <v>275</v>
      </c>
      <c r="CB71" s="2" t="s">
        <v>588</v>
      </c>
      <c r="CC71" s="2" t="s">
        <v>241</v>
      </c>
      <c r="CD71" s="2" t="s">
        <v>228</v>
      </c>
      <c r="CE71" s="4">
        <v>155</v>
      </c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</row>
    <row r="72">
      <c r="A72" s="2" t="s">
        <v>589</v>
      </c>
      <c r="B72" s="2" t="s">
        <v>299</v>
      </c>
      <c r="C72" s="2" t="s">
        <v>300</v>
      </c>
      <c r="D72" s="2" t="s">
        <v>301</v>
      </c>
      <c r="E72" s="2" t="s">
        <v>302</v>
      </c>
      <c r="F72" s="2" t="s">
        <v>541</v>
      </c>
      <c r="G72" s="2" t="s">
        <v>541</v>
      </c>
      <c r="H72" s="2" t="s">
        <v>541</v>
      </c>
      <c r="I72" s="2" t="s">
        <v>542</v>
      </c>
      <c r="J72" s="2" t="s">
        <v>264</v>
      </c>
      <c r="K72" s="2" t="s">
        <v>480</v>
      </c>
      <c r="L72" s="3">
        <v>13.44</v>
      </c>
      <c r="M72" s="3">
        <v>14.11</v>
      </c>
      <c r="N72" s="3">
        <v>27.99</v>
      </c>
      <c r="O72" s="2" t="s">
        <v>240</v>
      </c>
      <c r="P72" s="2" t="s">
        <v>266</v>
      </c>
      <c r="Q72" s="2" t="s">
        <v>234</v>
      </c>
      <c r="R72" s="2" t="s">
        <v>228</v>
      </c>
      <c r="S72" s="2" t="s">
        <v>590</v>
      </c>
      <c r="T72" s="2" t="s">
        <v>415</v>
      </c>
      <c r="U72" s="2" t="s">
        <v>228</v>
      </c>
      <c r="V72" s="2" t="s">
        <v>236</v>
      </c>
      <c r="W72" s="2" t="s">
        <v>269</v>
      </c>
      <c r="X72" s="2" t="s">
        <v>228</v>
      </c>
      <c r="Y72" s="2" t="s">
        <v>270</v>
      </c>
      <c r="Z72" s="4">
        <v>118</v>
      </c>
      <c r="AA72" s="4">
        <f>=ROUNDDOWN(59,0)</f>
      </c>
      <c r="AB72" s="5">
        <v>2</v>
      </c>
      <c r="AC72" s="2" t="s">
        <v>228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228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228</v>
      </c>
      <c r="AW72" s="8" t="s">
        <v>228</v>
      </c>
      <c r="AX72" s="4" t="s">
        <v>228</v>
      </c>
      <c r="AY72" s="8" t="s">
        <v>228</v>
      </c>
      <c r="AZ72" s="7" t="s">
        <v>228</v>
      </c>
      <c r="BA72" s="7" t="s">
        <v>228</v>
      </c>
      <c r="BB72" s="7"/>
      <c r="BC72" s="4" t="s">
        <v>228</v>
      </c>
      <c r="BD72" s="8" t="s">
        <v>228</v>
      </c>
      <c r="BE72" s="4" t="s">
        <v>228</v>
      </c>
      <c r="BF72" s="8" t="s">
        <v>228</v>
      </c>
      <c r="BG72" s="7" t="s">
        <v>228</v>
      </c>
      <c r="BH72" s="7" t="s">
        <v>228</v>
      </c>
      <c r="BI72" s="7"/>
      <c r="BJ72" s="4">
        <v>19</v>
      </c>
      <c r="BK72" s="8">
        <v>263.69</v>
      </c>
      <c r="BL72" s="2" t="s">
        <v>591</v>
      </c>
      <c r="BM72" s="7"/>
      <c r="BN72" s="7"/>
      <c r="BO72" s="4"/>
      <c r="BP72" s="8"/>
      <c r="BQ72" s="4"/>
      <c r="BR72" s="8"/>
      <c r="BS72" s="7"/>
      <c r="BT72" s="7"/>
      <c r="BU72" s="2" t="s">
        <v>592</v>
      </c>
      <c r="BV72" s="2" t="s">
        <v>228</v>
      </c>
      <c r="BW72" s="2" t="s">
        <v>228</v>
      </c>
      <c r="BX72" s="2" t="s">
        <v>273</v>
      </c>
      <c r="BY72" s="2" t="s">
        <v>274</v>
      </c>
      <c r="BZ72" s="2" t="s">
        <v>240</v>
      </c>
      <c r="CA72" s="2" t="s">
        <v>275</v>
      </c>
      <c r="CB72" s="2" t="s">
        <v>593</v>
      </c>
      <c r="CC72" s="2" t="s">
        <v>241</v>
      </c>
      <c r="CD72" s="2" t="s">
        <v>228</v>
      </c>
      <c r="CE72" s="4">
        <v>118</v>
      </c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</row>
    <row r="73">
      <c r="A73" s="2" t="s">
        <v>594</v>
      </c>
      <c r="B73" s="2" t="s">
        <v>299</v>
      </c>
      <c r="C73" s="2" t="s">
        <v>300</v>
      </c>
      <c r="D73" s="2" t="s">
        <v>301</v>
      </c>
      <c r="E73" s="2" t="s">
        <v>302</v>
      </c>
      <c r="F73" s="2" t="s">
        <v>541</v>
      </c>
      <c r="G73" s="2" t="s">
        <v>541</v>
      </c>
      <c r="H73" s="2" t="s">
        <v>541</v>
      </c>
      <c r="I73" s="2" t="s">
        <v>542</v>
      </c>
      <c r="J73" s="2" t="s">
        <v>284</v>
      </c>
      <c r="K73" s="2" t="s">
        <v>480</v>
      </c>
      <c r="L73" s="3">
        <v>16.5</v>
      </c>
      <c r="M73" s="3">
        <v>17.32</v>
      </c>
      <c r="N73" s="3">
        <v>32.99</v>
      </c>
      <c r="O73" s="2" t="s">
        <v>240</v>
      </c>
      <c r="P73" s="2" t="s">
        <v>266</v>
      </c>
      <c r="Q73" s="2" t="s">
        <v>234</v>
      </c>
      <c r="R73" s="2" t="s">
        <v>228</v>
      </c>
      <c r="S73" s="2" t="s">
        <v>590</v>
      </c>
      <c r="T73" s="2" t="s">
        <v>415</v>
      </c>
      <c r="U73" s="2" t="s">
        <v>228</v>
      </c>
      <c r="V73" s="2" t="s">
        <v>236</v>
      </c>
      <c r="W73" s="2" t="s">
        <v>269</v>
      </c>
      <c r="X73" s="2" t="s">
        <v>228</v>
      </c>
      <c r="Y73" s="2" t="s">
        <v>270</v>
      </c>
      <c r="Z73" s="4">
        <v>187</v>
      </c>
      <c r="AA73" s="4">
        <f>=ROUNDDOWN(37.4,0)</f>
      </c>
      <c r="AB73" s="5">
        <v>5</v>
      </c>
      <c r="AC73" s="2" t="s">
        <v>228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228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228</v>
      </c>
      <c r="AW73" s="8" t="s">
        <v>228</v>
      </c>
      <c r="AX73" s="4" t="s">
        <v>228</v>
      </c>
      <c r="AY73" s="8" t="s">
        <v>228</v>
      </c>
      <c r="AZ73" s="7" t="s">
        <v>228</v>
      </c>
      <c r="BA73" s="7" t="s">
        <v>228</v>
      </c>
      <c r="BB73" s="7"/>
      <c r="BC73" s="4" t="s">
        <v>228</v>
      </c>
      <c r="BD73" s="8" t="s">
        <v>228</v>
      </c>
      <c r="BE73" s="4" t="s">
        <v>228</v>
      </c>
      <c r="BF73" s="8" t="s">
        <v>228</v>
      </c>
      <c r="BG73" s="7" t="s">
        <v>228</v>
      </c>
      <c r="BH73" s="7" t="s">
        <v>228</v>
      </c>
      <c r="BI73" s="7"/>
      <c r="BJ73" s="4">
        <v>17</v>
      </c>
      <c r="BK73" s="8">
        <v>275.03</v>
      </c>
      <c r="BL73" s="2" t="s">
        <v>595</v>
      </c>
      <c r="BM73" s="7"/>
      <c r="BN73" s="7"/>
      <c r="BO73" s="4"/>
      <c r="BP73" s="8"/>
      <c r="BQ73" s="4"/>
      <c r="BR73" s="8"/>
      <c r="BS73" s="7"/>
      <c r="BT73" s="7"/>
      <c r="BU73" s="2" t="s">
        <v>596</v>
      </c>
      <c r="BV73" s="2" t="s">
        <v>228</v>
      </c>
      <c r="BW73" s="2" t="s">
        <v>228</v>
      </c>
      <c r="BX73" s="2" t="s">
        <v>273</v>
      </c>
      <c r="BY73" s="2" t="s">
        <v>274</v>
      </c>
      <c r="BZ73" s="2" t="s">
        <v>240</v>
      </c>
      <c r="CA73" s="2" t="s">
        <v>275</v>
      </c>
      <c r="CB73" s="2" t="s">
        <v>593</v>
      </c>
      <c r="CC73" s="2" t="s">
        <v>241</v>
      </c>
      <c r="CD73" s="2" t="s">
        <v>228</v>
      </c>
      <c r="CE73" s="4">
        <v>187</v>
      </c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</row>
    <row r="74">
      <c r="A74" s="2" t="s">
        <v>597</v>
      </c>
      <c r="B74" s="2" t="s">
        <v>299</v>
      </c>
      <c r="C74" s="2" t="s">
        <v>300</v>
      </c>
      <c r="D74" s="2" t="s">
        <v>301</v>
      </c>
      <c r="E74" s="2" t="s">
        <v>302</v>
      </c>
      <c r="F74" s="2" t="s">
        <v>541</v>
      </c>
      <c r="G74" s="2" t="s">
        <v>541</v>
      </c>
      <c r="H74" s="2" t="s">
        <v>541</v>
      </c>
      <c r="I74" s="2" t="s">
        <v>542</v>
      </c>
      <c r="J74" s="2" t="s">
        <v>264</v>
      </c>
      <c r="K74" s="2" t="s">
        <v>598</v>
      </c>
      <c r="L74" s="3">
        <v>13.44</v>
      </c>
      <c r="M74" s="3">
        <v>14.11</v>
      </c>
      <c r="N74" s="3">
        <v>27.99</v>
      </c>
      <c r="O74" s="2" t="s">
        <v>240</v>
      </c>
      <c r="P74" s="2" t="s">
        <v>266</v>
      </c>
      <c r="Q74" s="2" t="s">
        <v>234</v>
      </c>
      <c r="R74" s="2" t="s">
        <v>228</v>
      </c>
      <c r="S74" s="2" t="s">
        <v>599</v>
      </c>
      <c r="T74" s="2" t="s">
        <v>415</v>
      </c>
      <c r="U74" s="2" t="s">
        <v>228</v>
      </c>
      <c r="V74" s="2" t="s">
        <v>236</v>
      </c>
      <c r="W74" s="2" t="s">
        <v>269</v>
      </c>
      <c r="X74" s="2" t="s">
        <v>228</v>
      </c>
      <c r="Y74" s="2" t="s">
        <v>270</v>
      </c>
      <c r="Z74" s="4">
        <v>126</v>
      </c>
      <c r="AA74" s="4">
        <f>=ROUNDDOWN(31.5,0)</f>
      </c>
      <c r="AB74" s="5">
        <v>4</v>
      </c>
      <c r="AC74" s="2" t="s">
        <v>228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228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228</v>
      </c>
      <c r="AW74" s="8" t="s">
        <v>228</v>
      </c>
      <c r="AX74" s="4" t="s">
        <v>228</v>
      </c>
      <c r="AY74" s="8" t="s">
        <v>228</v>
      </c>
      <c r="AZ74" s="7" t="s">
        <v>228</v>
      </c>
      <c r="BA74" s="7" t="s">
        <v>228</v>
      </c>
      <c r="BB74" s="7"/>
      <c r="BC74" s="4" t="s">
        <v>228</v>
      </c>
      <c r="BD74" s="8" t="s">
        <v>228</v>
      </c>
      <c r="BE74" s="4" t="s">
        <v>228</v>
      </c>
      <c r="BF74" s="8" t="s">
        <v>228</v>
      </c>
      <c r="BG74" s="7" t="s">
        <v>228</v>
      </c>
      <c r="BH74" s="7" t="s">
        <v>228</v>
      </c>
      <c r="BI74" s="7"/>
      <c r="BJ74" s="4">
        <v>29</v>
      </c>
      <c r="BK74" s="8">
        <v>403.01</v>
      </c>
      <c r="BL74" s="2" t="s">
        <v>600</v>
      </c>
      <c r="BM74" s="7"/>
      <c r="BN74" s="7"/>
      <c r="BO74" s="4"/>
      <c r="BP74" s="8"/>
      <c r="BQ74" s="4"/>
      <c r="BR74" s="8"/>
      <c r="BS74" s="7"/>
      <c r="BT74" s="7"/>
      <c r="BU74" s="2" t="s">
        <v>601</v>
      </c>
      <c r="BV74" s="2" t="s">
        <v>228</v>
      </c>
      <c r="BW74" s="2" t="s">
        <v>228</v>
      </c>
      <c r="BX74" s="2" t="s">
        <v>273</v>
      </c>
      <c r="BY74" s="2" t="s">
        <v>274</v>
      </c>
      <c r="BZ74" s="2" t="s">
        <v>240</v>
      </c>
      <c r="CA74" s="2" t="s">
        <v>275</v>
      </c>
      <c r="CB74" s="2" t="s">
        <v>602</v>
      </c>
      <c r="CC74" s="2" t="s">
        <v>241</v>
      </c>
      <c r="CD74" s="2" t="s">
        <v>228</v>
      </c>
      <c r="CE74" s="4">
        <v>126</v>
      </c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</row>
    <row r="75">
      <c r="A75" s="2" t="s">
        <v>603</v>
      </c>
      <c r="B75" s="2" t="s">
        <v>299</v>
      </c>
      <c r="C75" s="2" t="s">
        <v>300</v>
      </c>
      <c r="D75" s="2" t="s">
        <v>301</v>
      </c>
      <c r="E75" s="2" t="s">
        <v>302</v>
      </c>
      <c r="F75" s="2" t="s">
        <v>541</v>
      </c>
      <c r="G75" s="2" t="s">
        <v>541</v>
      </c>
      <c r="H75" s="2" t="s">
        <v>541</v>
      </c>
      <c r="I75" s="2" t="s">
        <v>542</v>
      </c>
      <c r="J75" s="2" t="s">
        <v>284</v>
      </c>
      <c r="K75" s="2" t="s">
        <v>598</v>
      </c>
      <c r="L75" s="3">
        <v>16.5</v>
      </c>
      <c r="M75" s="3">
        <v>17.32</v>
      </c>
      <c r="N75" s="3">
        <v>32.99</v>
      </c>
      <c r="O75" s="2" t="s">
        <v>240</v>
      </c>
      <c r="P75" s="2" t="s">
        <v>266</v>
      </c>
      <c r="Q75" s="2" t="s">
        <v>234</v>
      </c>
      <c r="R75" s="2" t="s">
        <v>228</v>
      </c>
      <c r="S75" s="2" t="s">
        <v>599</v>
      </c>
      <c r="T75" s="2" t="s">
        <v>415</v>
      </c>
      <c r="U75" s="2" t="s">
        <v>228</v>
      </c>
      <c r="V75" s="2" t="s">
        <v>236</v>
      </c>
      <c r="W75" s="2" t="s">
        <v>269</v>
      </c>
      <c r="X75" s="2" t="s">
        <v>228</v>
      </c>
      <c r="Y75" s="2" t="s">
        <v>270</v>
      </c>
      <c r="Z75" s="4">
        <v>97</v>
      </c>
      <c r="AA75" s="4">
        <f>=ROUNDDOWN(23.6585365853659,0)</f>
      </c>
      <c r="AB75" s="5">
        <v>4.1</v>
      </c>
      <c r="AC75" s="2" t="s">
        <v>192</v>
      </c>
      <c r="AD75" s="4">
        <v>50</v>
      </c>
      <c r="AE75" s="4">
        <v>50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228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228</v>
      </c>
      <c r="AW75" s="8" t="s">
        <v>228</v>
      </c>
      <c r="AX75" s="4" t="s">
        <v>228</v>
      </c>
      <c r="AY75" s="8" t="s">
        <v>228</v>
      </c>
      <c r="AZ75" s="7" t="s">
        <v>228</v>
      </c>
      <c r="BA75" s="7" t="s">
        <v>228</v>
      </c>
      <c r="BB75" s="7"/>
      <c r="BC75" s="4" t="s">
        <v>228</v>
      </c>
      <c r="BD75" s="8" t="s">
        <v>228</v>
      </c>
      <c r="BE75" s="4" t="s">
        <v>228</v>
      </c>
      <c r="BF75" s="8" t="s">
        <v>228</v>
      </c>
      <c r="BG75" s="7" t="s">
        <v>228</v>
      </c>
      <c r="BH75" s="7" t="s">
        <v>228</v>
      </c>
      <c r="BI75" s="7"/>
      <c r="BJ75" s="4">
        <v>15</v>
      </c>
      <c r="BK75" s="8">
        <v>247.87</v>
      </c>
      <c r="BL75" s="2" t="s">
        <v>595</v>
      </c>
      <c r="BM75" s="7"/>
      <c r="BN75" s="7"/>
      <c r="BO75" s="4"/>
      <c r="BP75" s="8"/>
      <c r="BQ75" s="4"/>
      <c r="BR75" s="8"/>
      <c r="BS75" s="7"/>
      <c r="BT75" s="7"/>
      <c r="BU75" s="2" t="s">
        <v>604</v>
      </c>
      <c r="BV75" s="2" t="s">
        <v>228</v>
      </c>
      <c r="BW75" s="2" t="s">
        <v>228</v>
      </c>
      <c r="BX75" s="2" t="s">
        <v>273</v>
      </c>
      <c r="BY75" s="2" t="s">
        <v>274</v>
      </c>
      <c r="BZ75" s="2" t="s">
        <v>240</v>
      </c>
      <c r="CA75" s="2" t="s">
        <v>275</v>
      </c>
      <c r="CB75" s="2" t="s">
        <v>605</v>
      </c>
      <c r="CC75" s="2" t="s">
        <v>241</v>
      </c>
      <c r="CD75" s="2" t="s">
        <v>228</v>
      </c>
      <c r="CE75" s="4">
        <v>97</v>
      </c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>
        <v>50</v>
      </c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</row>
    <row r="76">
      <c r="A76" s="2" t="s">
        <v>606</v>
      </c>
      <c r="B76" s="2" t="s">
        <v>299</v>
      </c>
      <c r="C76" s="2" t="s">
        <v>300</v>
      </c>
      <c r="D76" s="2" t="s">
        <v>301</v>
      </c>
      <c r="E76" s="2" t="s">
        <v>302</v>
      </c>
      <c r="F76" s="2" t="s">
        <v>541</v>
      </c>
      <c r="G76" s="2" t="s">
        <v>541</v>
      </c>
      <c r="H76" s="2" t="s">
        <v>541</v>
      </c>
      <c r="I76" s="2" t="s">
        <v>542</v>
      </c>
      <c r="J76" s="2" t="s">
        <v>289</v>
      </c>
      <c r="K76" s="2" t="s">
        <v>598</v>
      </c>
      <c r="L76" s="3">
        <v>19</v>
      </c>
      <c r="M76" s="3">
        <v>19.95</v>
      </c>
      <c r="N76" s="3">
        <v>37.99</v>
      </c>
      <c r="O76" s="2" t="s">
        <v>240</v>
      </c>
      <c r="P76" s="2" t="s">
        <v>266</v>
      </c>
      <c r="Q76" s="2" t="s">
        <v>234</v>
      </c>
      <c r="R76" s="2" t="s">
        <v>228</v>
      </c>
      <c r="S76" s="2" t="s">
        <v>599</v>
      </c>
      <c r="T76" s="2" t="s">
        <v>415</v>
      </c>
      <c r="U76" s="2" t="s">
        <v>228</v>
      </c>
      <c r="V76" s="2" t="s">
        <v>236</v>
      </c>
      <c r="W76" s="2" t="s">
        <v>269</v>
      </c>
      <c r="X76" s="2" t="s">
        <v>228</v>
      </c>
      <c r="Y76" s="2" t="s">
        <v>270</v>
      </c>
      <c r="Z76" s="4">
        <v>249</v>
      </c>
      <c r="AA76" s="4">
        <f>=ROUNDDOWN(15.5625,0)</f>
      </c>
      <c r="AB76" s="5">
        <v>16</v>
      </c>
      <c r="AC76" s="2" t="s">
        <v>187</v>
      </c>
      <c r="AD76" s="4">
        <v>180</v>
      </c>
      <c r="AE76" s="4">
        <v>350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228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228</v>
      </c>
      <c r="AW76" s="8" t="s">
        <v>228</v>
      </c>
      <c r="AX76" s="4" t="s">
        <v>228</v>
      </c>
      <c r="AY76" s="8" t="s">
        <v>228</v>
      </c>
      <c r="AZ76" s="7" t="s">
        <v>228</v>
      </c>
      <c r="BA76" s="7" t="s">
        <v>228</v>
      </c>
      <c r="BB76" s="7"/>
      <c r="BC76" s="4" t="s">
        <v>228</v>
      </c>
      <c r="BD76" s="8" t="s">
        <v>228</v>
      </c>
      <c r="BE76" s="4" t="s">
        <v>228</v>
      </c>
      <c r="BF76" s="8" t="s">
        <v>228</v>
      </c>
      <c r="BG76" s="7" t="s">
        <v>228</v>
      </c>
      <c r="BH76" s="7" t="s">
        <v>228</v>
      </c>
      <c r="BI76" s="7"/>
      <c r="BJ76" s="4">
        <v>70</v>
      </c>
      <c r="BK76" s="8">
        <v>1353.72</v>
      </c>
      <c r="BL76" s="2" t="s">
        <v>607</v>
      </c>
      <c r="BM76" s="7"/>
      <c r="BN76" s="7"/>
      <c r="BO76" s="4"/>
      <c r="BP76" s="8"/>
      <c r="BQ76" s="4"/>
      <c r="BR76" s="8"/>
      <c r="BS76" s="7"/>
      <c r="BT76" s="7"/>
      <c r="BU76" s="2" t="s">
        <v>608</v>
      </c>
      <c r="BV76" s="2" t="s">
        <v>228</v>
      </c>
      <c r="BW76" s="2" t="s">
        <v>228</v>
      </c>
      <c r="BX76" s="2" t="s">
        <v>273</v>
      </c>
      <c r="BY76" s="2" t="s">
        <v>274</v>
      </c>
      <c r="BZ76" s="2" t="s">
        <v>240</v>
      </c>
      <c r="CA76" s="2" t="s">
        <v>275</v>
      </c>
      <c r="CB76" s="2" t="s">
        <v>609</v>
      </c>
      <c r="CC76" s="2" t="s">
        <v>241</v>
      </c>
      <c r="CD76" s="2" t="s">
        <v>228</v>
      </c>
      <c r="CE76" s="4">
        <v>249</v>
      </c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>
        <v>180</v>
      </c>
      <c r="FX76" s="4"/>
      <c r="FY76" s="4"/>
      <c r="FZ76" s="4"/>
      <c r="GA76" s="4"/>
      <c r="GB76" s="4">
        <v>170</v>
      </c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</row>
    <row r="77">
      <c r="A77" s="2" t="s">
        <v>610</v>
      </c>
      <c r="B77" s="2" t="s">
        <v>299</v>
      </c>
      <c r="C77" s="2" t="s">
        <v>300</v>
      </c>
      <c r="D77" s="2" t="s">
        <v>301</v>
      </c>
      <c r="E77" s="2" t="s">
        <v>302</v>
      </c>
      <c r="F77" s="2" t="s">
        <v>541</v>
      </c>
      <c r="G77" s="2" t="s">
        <v>541</v>
      </c>
      <c r="H77" s="2" t="s">
        <v>541</v>
      </c>
      <c r="I77" s="2" t="s">
        <v>542</v>
      </c>
      <c r="J77" s="2" t="s">
        <v>312</v>
      </c>
      <c r="K77" s="2" t="s">
        <v>598</v>
      </c>
      <c r="L77" s="3">
        <v>21.5</v>
      </c>
      <c r="M77" s="3">
        <v>22.58</v>
      </c>
      <c r="N77" s="3">
        <v>42.99</v>
      </c>
      <c r="O77" s="2" t="s">
        <v>240</v>
      </c>
      <c r="P77" s="2" t="s">
        <v>266</v>
      </c>
      <c r="Q77" s="2" t="s">
        <v>234</v>
      </c>
      <c r="R77" s="2" t="s">
        <v>228</v>
      </c>
      <c r="S77" s="2" t="s">
        <v>599</v>
      </c>
      <c r="T77" s="2" t="s">
        <v>415</v>
      </c>
      <c r="U77" s="2" t="s">
        <v>228</v>
      </c>
      <c r="V77" s="2" t="s">
        <v>236</v>
      </c>
      <c r="W77" s="2" t="s">
        <v>269</v>
      </c>
      <c r="X77" s="2" t="s">
        <v>228</v>
      </c>
      <c r="Y77" s="2" t="s">
        <v>270</v>
      </c>
      <c r="Z77" s="4">
        <v>116</v>
      </c>
      <c r="AA77" s="4">
        <f>=ROUNDDOWN(64.4444444444444,0)</f>
      </c>
      <c r="AB77" s="5">
        <v>1.8</v>
      </c>
      <c r="AC77" s="2" t="s">
        <v>228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228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228</v>
      </c>
      <c r="AW77" s="8" t="s">
        <v>228</v>
      </c>
      <c r="AX77" s="4" t="s">
        <v>228</v>
      </c>
      <c r="AY77" s="8" t="s">
        <v>228</v>
      </c>
      <c r="AZ77" s="7" t="s">
        <v>228</v>
      </c>
      <c r="BA77" s="7" t="s">
        <v>228</v>
      </c>
      <c r="BB77" s="7"/>
      <c r="BC77" s="4" t="s">
        <v>228</v>
      </c>
      <c r="BD77" s="8" t="s">
        <v>228</v>
      </c>
      <c r="BE77" s="4" t="s">
        <v>228</v>
      </c>
      <c r="BF77" s="8" t="s">
        <v>228</v>
      </c>
      <c r="BG77" s="7" t="s">
        <v>228</v>
      </c>
      <c r="BH77" s="7" t="s">
        <v>228</v>
      </c>
      <c r="BI77" s="7"/>
      <c r="BJ77" s="4">
        <v>8</v>
      </c>
      <c r="BK77" s="8">
        <v>166.62</v>
      </c>
      <c r="BL77" s="2" t="s">
        <v>611</v>
      </c>
      <c r="BM77" s="7"/>
      <c r="BN77" s="7"/>
      <c r="BO77" s="4"/>
      <c r="BP77" s="8"/>
      <c r="BQ77" s="4"/>
      <c r="BR77" s="8"/>
      <c r="BS77" s="7"/>
      <c r="BT77" s="7"/>
      <c r="BU77" s="2" t="s">
        <v>612</v>
      </c>
      <c r="BV77" s="2" t="s">
        <v>228</v>
      </c>
      <c r="BW77" s="2" t="s">
        <v>228</v>
      </c>
      <c r="BX77" s="2" t="s">
        <v>273</v>
      </c>
      <c r="BY77" s="2" t="s">
        <v>274</v>
      </c>
      <c r="BZ77" s="2" t="s">
        <v>240</v>
      </c>
      <c r="CA77" s="2" t="s">
        <v>275</v>
      </c>
      <c r="CB77" s="2" t="s">
        <v>546</v>
      </c>
      <c r="CC77" s="2" t="s">
        <v>241</v>
      </c>
      <c r="CD77" s="2" t="s">
        <v>228</v>
      </c>
      <c r="CE77" s="4">
        <v>116</v>
      </c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</row>
    <row r="78">
      <c r="A78" s="2" t="s">
        <v>613</v>
      </c>
      <c r="B78" s="2" t="s">
        <v>299</v>
      </c>
      <c r="C78" s="2" t="s">
        <v>300</v>
      </c>
      <c r="D78" s="2" t="s">
        <v>301</v>
      </c>
      <c r="E78" s="2" t="s">
        <v>302</v>
      </c>
      <c r="F78" s="2" t="s">
        <v>541</v>
      </c>
      <c r="G78" s="2" t="s">
        <v>541</v>
      </c>
      <c r="H78" s="2" t="s">
        <v>541</v>
      </c>
      <c r="I78" s="2" t="s">
        <v>542</v>
      </c>
      <c r="J78" s="2" t="s">
        <v>278</v>
      </c>
      <c r="K78" s="2" t="s">
        <v>614</v>
      </c>
      <c r="L78" s="3">
        <v>15.19</v>
      </c>
      <c r="M78" s="3">
        <v>15.95</v>
      </c>
      <c r="N78" s="3">
        <v>30.99</v>
      </c>
      <c r="O78" s="2" t="s">
        <v>491</v>
      </c>
      <c r="P78" s="2" t="s">
        <v>333</v>
      </c>
      <c r="Q78" s="2" t="s">
        <v>234</v>
      </c>
      <c r="R78" s="2" t="s">
        <v>228</v>
      </c>
      <c r="S78" s="2" t="s">
        <v>615</v>
      </c>
      <c r="T78" s="2" t="s">
        <v>415</v>
      </c>
      <c r="U78" s="2" t="s">
        <v>500</v>
      </c>
      <c r="V78" s="2" t="s">
        <v>236</v>
      </c>
      <c r="W78" s="2" t="s">
        <v>269</v>
      </c>
      <c r="X78" s="2" t="s">
        <v>228</v>
      </c>
      <c r="Y78" s="2" t="s">
        <v>616</v>
      </c>
      <c r="Z78" s="4">
        <v>127</v>
      </c>
      <c r="AA78" s="4">
        <f>=ROUNDDOWN(90.7142857142857,0)</f>
      </c>
      <c r="AB78" s="5">
        <v>1.4</v>
      </c>
      <c r="AC78" s="2" t="s">
        <v>228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228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228</v>
      </c>
      <c r="AW78" s="8" t="s">
        <v>228</v>
      </c>
      <c r="AX78" s="4" t="s">
        <v>228</v>
      </c>
      <c r="AY78" s="8" t="s">
        <v>228</v>
      </c>
      <c r="AZ78" s="7" t="s">
        <v>228</v>
      </c>
      <c r="BA78" s="7" t="s">
        <v>228</v>
      </c>
      <c r="BB78" s="7"/>
      <c r="BC78" s="4" t="s">
        <v>228</v>
      </c>
      <c r="BD78" s="8" t="s">
        <v>228</v>
      </c>
      <c r="BE78" s="4" t="s">
        <v>228</v>
      </c>
      <c r="BF78" s="8" t="s">
        <v>228</v>
      </c>
      <c r="BG78" s="7" t="s">
        <v>228</v>
      </c>
      <c r="BH78" s="7" t="s">
        <v>228</v>
      </c>
      <c r="BI78" s="7"/>
      <c r="BJ78" s="4">
        <v>34</v>
      </c>
      <c r="BK78" s="8">
        <v>524.9</v>
      </c>
      <c r="BL78" s="2" t="s">
        <v>617</v>
      </c>
      <c r="BM78" s="7"/>
      <c r="BN78" s="7"/>
      <c r="BO78" s="4"/>
      <c r="BP78" s="8"/>
      <c r="BQ78" s="4"/>
      <c r="BR78" s="8"/>
      <c r="BS78" s="7"/>
      <c r="BT78" s="7"/>
      <c r="BU78" s="2" t="s">
        <v>618</v>
      </c>
      <c r="BV78" s="2" t="s">
        <v>228</v>
      </c>
      <c r="BW78" s="2" t="s">
        <v>228</v>
      </c>
      <c r="BX78" s="2" t="s">
        <v>337</v>
      </c>
      <c r="BY78" s="2" t="s">
        <v>274</v>
      </c>
      <c r="BZ78" s="2" t="s">
        <v>240</v>
      </c>
      <c r="CA78" s="2" t="s">
        <v>619</v>
      </c>
      <c r="CB78" s="2" t="s">
        <v>620</v>
      </c>
      <c r="CC78" s="2" t="s">
        <v>241</v>
      </c>
      <c r="CD78" s="2" t="s">
        <v>228</v>
      </c>
      <c r="CE78" s="4">
        <v>127</v>
      </c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</row>
    <row r="79">
      <c r="A79" s="2" t="s">
        <v>621</v>
      </c>
      <c r="B79" s="2" t="s">
        <v>299</v>
      </c>
      <c r="C79" s="2" t="s">
        <v>300</v>
      </c>
      <c r="D79" s="2" t="s">
        <v>301</v>
      </c>
      <c r="E79" s="2" t="s">
        <v>302</v>
      </c>
      <c r="F79" s="2" t="s">
        <v>541</v>
      </c>
      <c r="G79" s="2" t="s">
        <v>541</v>
      </c>
      <c r="H79" s="2" t="s">
        <v>541</v>
      </c>
      <c r="I79" s="2" t="s">
        <v>542</v>
      </c>
      <c r="J79" s="2" t="s">
        <v>312</v>
      </c>
      <c r="K79" s="2" t="s">
        <v>614</v>
      </c>
      <c r="L79" s="3">
        <v>21.5</v>
      </c>
      <c r="M79" s="3">
        <v>22.58</v>
      </c>
      <c r="N79" s="3">
        <v>42.99</v>
      </c>
      <c r="O79" s="2" t="s">
        <v>491</v>
      </c>
      <c r="P79" s="2" t="s">
        <v>333</v>
      </c>
      <c r="Q79" s="2" t="s">
        <v>234</v>
      </c>
      <c r="R79" s="2" t="s">
        <v>228</v>
      </c>
      <c r="S79" s="2" t="s">
        <v>615</v>
      </c>
      <c r="T79" s="2" t="s">
        <v>415</v>
      </c>
      <c r="U79" s="2" t="s">
        <v>308</v>
      </c>
      <c r="V79" s="2" t="s">
        <v>236</v>
      </c>
      <c r="W79" s="2" t="s">
        <v>269</v>
      </c>
      <c r="X79" s="2" t="s">
        <v>228</v>
      </c>
      <c r="Y79" s="2" t="s">
        <v>616</v>
      </c>
      <c r="Z79" s="4">
        <v>7</v>
      </c>
      <c r="AA79" s="4">
        <f>=ROUNDDOWN(35,0)</f>
      </c>
      <c r="AB79" s="5">
        <v>0.2</v>
      </c>
      <c r="AC79" s="2" t="s">
        <v>228</v>
      </c>
      <c r="AD79" s="4"/>
      <c r="AE79" s="4"/>
      <c r="AF79" s="6">
        <v>65</v>
      </c>
      <c r="AG79" s="6"/>
      <c r="AH79" s="7">
        <v>0.6452</v>
      </c>
      <c r="AI79" s="4"/>
      <c r="AJ79" s="4">
        <f>=ROUNDDOWN({0},0)</f>
      </c>
      <c r="AK79" s="5"/>
      <c r="AL79" s="2" t="s">
        <v>228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228</v>
      </c>
      <c r="AW79" s="8" t="s">
        <v>228</v>
      </c>
      <c r="AX79" s="4" t="s">
        <v>228</v>
      </c>
      <c r="AY79" s="8" t="s">
        <v>228</v>
      </c>
      <c r="AZ79" s="7" t="s">
        <v>228</v>
      </c>
      <c r="BA79" s="7" t="s">
        <v>228</v>
      </c>
      <c r="BB79" s="7"/>
      <c r="BC79" s="4" t="s">
        <v>228</v>
      </c>
      <c r="BD79" s="8" t="s">
        <v>228</v>
      </c>
      <c r="BE79" s="4" t="s">
        <v>228</v>
      </c>
      <c r="BF79" s="8" t="s">
        <v>228</v>
      </c>
      <c r="BG79" s="7" t="s">
        <v>228</v>
      </c>
      <c r="BH79" s="7" t="s">
        <v>228</v>
      </c>
      <c r="BI79" s="7"/>
      <c r="BJ79" s="4"/>
      <c r="BK79" s="8"/>
      <c r="BL79" s="2" t="s">
        <v>622</v>
      </c>
      <c r="BM79" s="7"/>
      <c r="BN79" s="7"/>
      <c r="BO79" s="4"/>
      <c r="BP79" s="8"/>
      <c r="BQ79" s="4"/>
      <c r="BR79" s="8"/>
      <c r="BS79" s="7"/>
      <c r="BT79" s="7"/>
      <c r="BU79" s="2" t="s">
        <v>623</v>
      </c>
      <c r="BV79" s="2" t="s">
        <v>228</v>
      </c>
      <c r="BW79" s="2" t="s">
        <v>228</v>
      </c>
      <c r="BX79" s="2" t="s">
        <v>337</v>
      </c>
      <c r="BY79" s="2" t="s">
        <v>274</v>
      </c>
      <c r="BZ79" s="2" t="s">
        <v>240</v>
      </c>
      <c r="CA79" s="2" t="s">
        <v>619</v>
      </c>
      <c r="CB79" s="2" t="s">
        <v>624</v>
      </c>
      <c r="CC79" s="2" t="s">
        <v>241</v>
      </c>
      <c r="CD79" s="2" t="s">
        <v>228</v>
      </c>
      <c r="CE79" s="4">
        <v>7</v>
      </c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</row>
    <row r="80">
      <c r="A80" s="2" t="s">
        <v>625</v>
      </c>
      <c r="B80" s="2" t="s">
        <v>299</v>
      </c>
      <c r="C80" s="2" t="s">
        <v>300</v>
      </c>
      <c r="D80" s="2" t="s">
        <v>301</v>
      </c>
      <c r="E80" s="2" t="s">
        <v>302</v>
      </c>
      <c r="F80" s="2" t="s">
        <v>541</v>
      </c>
      <c r="G80" s="2" t="s">
        <v>541</v>
      </c>
      <c r="H80" s="2" t="s">
        <v>541</v>
      </c>
      <c r="I80" s="2" t="s">
        <v>542</v>
      </c>
      <c r="J80" s="2" t="s">
        <v>264</v>
      </c>
      <c r="K80" s="2" t="s">
        <v>525</v>
      </c>
      <c r="L80" s="3">
        <v>13.44</v>
      </c>
      <c r="M80" s="3">
        <v>14.11</v>
      </c>
      <c r="N80" s="3">
        <v>27.99</v>
      </c>
      <c r="O80" s="2" t="s">
        <v>240</v>
      </c>
      <c r="P80" s="2" t="s">
        <v>266</v>
      </c>
      <c r="Q80" s="2" t="s">
        <v>234</v>
      </c>
      <c r="R80" s="2" t="s">
        <v>228</v>
      </c>
      <c r="S80" s="2" t="s">
        <v>626</v>
      </c>
      <c r="T80" s="2" t="s">
        <v>415</v>
      </c>
      <c r="U80" s="2" t="s">
        <v>228</v>
      </c>
      <c r="V80" s="2" t="s">
        <v>236</v>
      </c>
      <c r="W80" s="2" t="s">
        <v>269</v>
      </c>
      <c r="X80" s="2" t="s">
        <v>228</v>
      </c>
      <c r="Y80" s="2" t="s">
        <v>270</v>
      </c>
      <c r="Z80" s="4">
        <v>103</v>
      </c>
      <c r="AA80" s="4">
        <f>=ROUNDDOWN(17.1666666666667,0)</f>
      </c>
      <c r="AB80" s="5">
        <v>6</v>
      </c>
      <c r="AC80" s="2" t="s">
        <v>564</v>
      </c>
      <c r="AD80" s="4">
        <v>130</v>
      </c>
      <c r="AE80" s="4">
        <v>180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228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228</v>
      </c>
      <c r="AW80" s="8" t="s">
        <v>228</v>
      </c>
      <c r="AX80" s="4" t="s">
        <v>228</v>
      </c>
      <c r="AY80" s="8" t="s">
        <v>228</v>
      </c>
      <c r="AZ80" s="7" t="s">
        <v>228</v>
      </c>
      <c r="BA80" s="7" t="s">
        <v>228</v>
      </c>
      <c r="BB80" s="7"/>
      <c r="BC80" s="4" t="s">
        <v>228</v>
      </c>
      <c r="BD80" s="8" t="s">
        <v>228</v>
      </c>
      <c r="BE80" s="4" t="s">
        <v>228</v>
      </c>
      <c r="BF80" s="8" t="s">
        <v>228</v>
      </c>
      <c r="BG80" s="7" t="s">
        <v>228</v>
      </c>
      <c r="BH80" s="7" t="s">
        <v>228</v>
      </c>
      <c r="BI80" s="7"/>
      <c r="BJ80" s="4">
        <v>22</v>
      </c>
      <c r="BK80" s="8">
        <v>310.34</v>
      </c>
      <c r="BL80" s="2" t="s">
        <v>627</v>
      </c>
      <c r="BM80" s="7"/>
      <c r="BN80" s="7"/>
      <c r="BO80" s="4"/>
      <c r="BP80" s="8"/>
      <c r="BQ80" s="4"/>
      <c r="BR80" s="8"/>
      <c r="BS80" s="7"/>
      <c r="BT80" s="7"/>
      <c r="BU80" s="2" t="s">
        <v>628</v>
      </c>
      <c r="BV80" s="2" t="s">
        <v>228</v>
      </c>
      <c r="BW80" s="2" t="s">
        <v>228</v>
      </c>
      <c r="BX80" s="2" t="s">
        <v>273</v>
      </c>
      <c r="BY80" s="2" t="s">
        <v>274</v>
      </c>
      <c r="BZ80" s="2" t="s">
        <v>240</v>
      </c>
      <c r="CA80" s="2" t="s">
        <v>275</v>
      </c>
      <c r="CB80" s="2" t="s">
        <v>629</v>
      </c>
      <c r="CC80" s="2" t="s">
        <v>241</v>
      </c>
      <c r="CD80" s="2" t="s">
        <v>228</v>
      </c>
      <c r="CE80" s="4">
        <v>103</v>
      </c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>
        <v>130</v>
      </c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>
        <v>50</v>
      </c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</row>
    <row r="81">
      <c r="A81" s="2" t="s">
        <v>630</v>
      </c>
      <c r="B81" s="2" t="s">
        <v>299</v>
      </c>
      <c r="C81" s="2" t="s">
        <v>300</v>
      </c>
      <c r="D81" s="2" t="s">
        <v>301</v>
      </c>
      <c r="E81" s="2" t="s">
        <v>302</v>
      </c>
      <c r="F81" s="2" t="s">
        <v>541</v>
      </c>
      <c r="G81" s="2" t="s">
        <v>541</v>
      </c>
      <c r="H81" s="2" t="s">
        <v>541</v>
      </c>
      <c r="I81" s="2" t="s">
        <v>542</v>
      </c>
      <c r="J81" s="2" t="s">
        <v>278</v>
      </c>
      <c r="K81" s="2" t="s">
        <v>525</v>
      </c>
      <c r="L81" s="3">
        <v>15.19</v>
      </c>
      <c r="M81" s="3">
        <v>15.95</v>
      </c>
      <c r="N81" s="3">
        <v>30.99</v>
      </c>
      <c r="O81" s="2" t="s">
        <v>240</v>
      </c>
      <c r="P81" s="2" t="s">
        <v>266</v>
      </c>
      <c r="Q81" s="2" t="s">
        <v>234</v>
      </c>
      <c r="R81" s="2" t="s">
        <v>228</v>
      </c>
      <c r="S81" s="2" t="s">
        <v>626</v>
      </c>
      <c r="T81" s="2" t="s">
        <v>415</v>
      </c>
      <c r="U81" s="2" t="s">
        <v>228</v>
      </c>
      <c r="V81" s="2" t="s">
        <v>236</v>
      </c>
      <c r="W81" s="2" t="s">
        <v>269</v>
      </c>
      <c r="X81" s="2" t="s">
        <v>228</v>
      </c>
      <c r="Y81" s="2" t="s">
        <v>270</v>
      </c>
      <c r="Z81" s="4">
        <v>589</v>
      </c>
      <c r="AA81" s="4">
        <f>=ROUNDDOWN(196.333333333333,0)</f>
      </c>
      <c r="AB81" s="5">
        <v>3</v>
      </c>
      <c r="AC81" s="2" t="s">
        <v>228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228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228</v>
      </c>
      <c r="AW81" s="8" t="s">
        <v>228</v>
      </c>
      <c r="AX81" s="4" t="s">
        <v>228</v>
      </c>
      <c r="AY81" s="8" t="s">
        <v>228</v>
      </c>
      <c r="AZ81" s="7" t="s">
        <v>228</v>
      </c>
      <c r="BA81" s="7" t="s">
        <v>228</v>
      </c>
      <c r="BB81" s="7"/>
      <c r="BC81" s="4" t="s">
        <v>228</v>
      </c>
      <c r="BD81" s="8" t="s">
        <v>228</v>
      </c>
      <c r="BE81" s="4" t="s">
        <v>228</v>
      </c>
      <c r="BF81" s="8" t="s">
        <v>228</v>
      </c>
      <c r="BG81" s="7" t="s">
        <v>228</v>
      </c>
      <c r="BH81" s="7" t="s">
        <v>228</v>
      </c>
      <c r="BI81" s="7"/>
      <c r="BJ81" s="4">
        <v>57</v>
      </c>
      <c r="BK81" s="8">
        <v>894.23</v>
      </c>
      <c r="BL81" s="2" t="s">
        <v>631</v>
      </c>
      <c r="BM81" s="7"/>
      <c r="BN81" s="7"/>
      <c r="BO81" s="4"/>
      <c r="BP81" s="8"/>
      <c r="BQ81" s="4"/>
      <c r="BR81" s="8"/>
      <c r="BS81" s="7"/>
      <c r="BT81" s="7"/>
      <c r="BU81" s="2" t="s">
        <v>632</v>
      </c>
      <c r="BV81" s="2" t="s">
        <v>228</v>
      </c>
      <c r="BW81" s="2" t="s">
        <v>228</v>
      </c>
      <c r="BX81" s="2" t="s">
        <v>273</v>
      </c>
      <c r="BY81" s="2" t="s">
        <v>274</v>
      </c>
      <c r="BZ81" s="2" t="s">
        <v>240</v>
      </c>
      <c r="CA81" s="2" t="s">
        <v>275</v>
      </c>
      <c r="CB81" s="2" t="s">
        <v>633</v>
      </c>
      <c r="CC81" s="2" t="s">
        <v>241</v>
      </c>
      <c r="CD81" s="2" t="s">
        <v>228</v>
      </c>
      <c r="CE81" s="4">
        <v>589</v>
      </c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</row>
    <row r="82">
      <c r="A82" s="2" t="s">
        <v>634</v>
      </c>
      <c r="B82" s="2" t="s">
        <v>299</v>
      </c>
      <c r="C82" s="2" t="s">
        <v>300</v>
      </c>
      <c r="D82" s="2" t="s">
        <v>301</v>
      </c>
      <c r="E82" s="2" t="s">
        <v>302</v>
      </c>
      <c r="F82" s="2" t="s">
        <v>541</v>
      </c>
      <c r="G82" s="2" t="s">
        <v>541</v>
      </c>
      <c r="H82" s="2" t="s">
        <v>541</v>
      </c>
      <c r="I82" s="2" t="s">
        <v>542</v>
      </c>
      <c r="J82" s="2" t="s">
        <v>284</v>
      </c>
      <c r="K82" s="2" t="s">
        <v>525</v>
      </c>
      <c r="L82" s="3">
        <v>16.5</v>
      </c>
      <c r="M82" s="3">
        <v>17.32</v>
      </c>
      <c r="N82" s="3">
        <v>32.99</v>
      </c>
      <c r="O82" s="2" t="s">
        <v>240</v>
      </c>
      <c r="P82" s="2" t="s">
        <v>266</v>
      </c>
      <c r="Q82" s="2" t="s">
        <v>234</v>
      </c>
      <c r="R82" s="2" t="s">
        <v>228</v>
      </c>
      <c r="S82" s="2" t="s">
        <v>626</v>
      </c>
      <c r="T82" s="2" t="s">
        <v>415</v>
      </c>
      <c r="U82" s="2" t="s">
        <v>228</v>
      </c>
      <c r="V82" s="2" t="s">
        <v>236</v>
      </c>
      <c r="W82" s="2" t="s">
        <v>269</v>
      </c>
      <c r="X82" s="2" t="s">
        <v>228</v>
      </c>
      <c r="Y82" s="2" t="s">
        <v>270</v>
      </c>
      <c r="Z82" s="4">
        <v>209</v>
      </c>
      <c r="AA82" s="4">
        <f>=ROUNDDOWN(25.1807228915663,0)</f>
      </c>
      <c r="AB82" s="5">
        <v>8.3</v>
      </c>
      <c r="AC82" s="2" t="s">
        <v>187</v>
      </c>
      <c r="AD82" s="4">
        <v>30</v>
      </c>
      <c r="AE82" s="4">
        <v>110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228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228</v>
      </c>
      <c r="AW82" s="8" t="s">
        <v>228</v>
      </c>
      <c r="AX82" s="4" t="s">
        <v>228</v>
      </c>
      <c r="AY82" s="8" t="s">
        <v>228</v>
      </c>
      <c r="AZ82" s="7" t="s">
        <v>228</v>
      </c>
      <c r="BA82" s="7" t="s">
        <v>228</v>
      </c>
      <c r="BB82" s="7"/>
      <c r="BC82" s="4" t="s">
        <v>228</v>
      </c>
      <c r="BD82" s="8" t="s">
        <v>228</v>
      </c>
      <c r="BE82" s="4" t="s">
        <v>228</v>
      </c>
      <c r="BF82" s="8" t="s">
        <v>228</v>
      </c>
      <c r="BG82" s="7" t="s">
        <v>228</v>
      </c>
      <c r="BH82" s="7" t="s">
        <v>228</v>
      </c>
      <c r="BI82" s="7"/>
      <c r="BJ82" s="4">
        <v>45</v>
      </c>
      <c r="BK82" s="8">
        <v>773.47</v>
      </c>
      <c r="BL82" s="2" t="s">
        <v>635</v>
      </c>
      <c r="BM82" s="7"/>
      <c r="BN82" s="7"/>
      <c r="BO82" s="4"/>
      <c r="BP82" s="8"/>
      <c r="BQ82" s="4"/>
      <c r="BR82" s="8"/>
      <c r="BS82" s="7"/>
      <c r="BT82" s="7"/>
      <c r="BU82" s="2" t="s">
        <v>636</v>
      </c>
      <c r="BV82" s="2" t="s">
        <v>228</v>
      </c>
      <c r="BW82" s="2" t="s">
        <v>228</v>
      </c>
      <c r="BX82" s="2" t="s">
        <v>273</v>
      </c>
      <c r="BY82" s="2" t="s">
        <v>274</v>
      </c>
      <c r="BZ82" s="2" t="s">
        <v>240</v>
      </c>
      <c r="CA82" s="2" t="s">
        <v>275</v>
      </c>
      <c r="CB82" s="2" t="s">
        <v>637</v>
      </c>
      <c r="CC82" s="2" t="s">
        <v>241</v>
      </c>
      <c r="CD82" s="2" t="s">
        <v>228</v>
      </c>
      <c r="CE82" s="4">
        <v>209</v>
      </c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>
        <v>30</v>
      </c>
      <c r="FX82" s="4"/>
      <c r="FY82" s="4"/>
      <c r="FZ82" s="4"/>
      <c r="GA82" s="4"/>
      <c r="GB82" s="4">
        <v>80</v>
      </c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</row>
    <row r="83">
      <c r="A83" s="2" t="s">
        <v>638</v>
      </c>
      <c r="B83" s="2" t="s">
        <v>299</v>
      </c>
      <c r="C83" s="2" t="s">
        <v>300</v>
      </c>
      <c r="D83" s="2" t="s">
        <v>301</v>
      </c>
      <c r="E83" s="2" t="s">
        <v>302</v>
      </c>
      <c r="F83" s="2" t="s">
        <v>541</v>
      </c>
      <c r="G83" s="2" t="s">
        <v>541</v>
      </c>
      <c r="H83" s="2" t="s">
        <v>541</v>
      </c>
      <c r="I83" s="2" t="s">
        <v>542</v>
      </c>
      <c r="J83" s="2" t="s">
        <v>289</v>
      </c>
      <c r="K83" s="2" t="s">
        <v>525</v>
      </c>
      <c r="L83" s="3">
        <v>19</v>
      </c>
      <c r="M83" s="3">
        <v>19.95</v>
      </c>
      <c r="N83" s="3">
        <v>37.99</v>
      </c>
      <c r="O83" s="2" t="s">
        <v>240</v>
      </c>
      <c r="P83" s="2" t="s">
        <v>266</v>
      </c>
      <c r="Q83" s="2" t="s">
        <v>234</v>
      </c>
      <c r="R83" s="2" t="s">
        <v>228</v>
      </c>
      <c r="S83" s="2" t="s">
        <v>626</v>
      </c>
      <c r="T83" s="2" t="s">
        <v>415</v>
      </c>
      <c r="U83" s="2" t="s">
        <v>228</v>
      </c>
      <c r="V83" s="2" t="s">
        <v>236</v>
      </c>
      <c r="W83" s="2" t="s">
        <v>269</v>
      </c>
      <c r="X83" s="2" t="s">
        <v>228</v>
      </c>
      <c r="Y83" s="2" t="s">
        <v>270</v>
      </c>
      <c r="Z83" s="4">
        <v>804</v>
      </c>
      <c r="AA83" s="4">
        <f>=ROUNDDOWN(30.9230769230769,0)</f>
      </c>
      <c r="AB83" s="5">
        <v>26</v>
      </c>
      <c r="AC83" s="2" t="s">
        <v>564</v>
      </c>
      <c r="AD83" s="4">
        <v>280</v>
      </c>
      <c r="AE83" s="4">
        <v>280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228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228</v>
      </c>
      <c r="AW83" s="8" t="s">
        <v>228</v>
      </c>
      <c r="AX83" s="4" t="s">
        <v>228</v>
      </c>
      <c r="AY83" s="8" t="s">
        <v>228</v>
      </c>
      <c r="AZ83" s="7" t="s">
        <v>228</v>
      </c>
      <c r="BA83" s="7" t="s">
        <v>228</v>
      </c>
      <c r="BB83" s="7"/>
      <c r="BC83" s="4" t="s">
        <v>228</v>
      </c>
      <c r="BD83" s="8" t="s">
        <v>228</v>
      </c>
      <c r="BE83" s="4" t="s">
        <v>228</v>
      </c>
      <c r="BF83" s="8" t="s">
        <v>228</v>
      </c>
      <c r="BG83" s="7" t="s">
        <v>228</v>
      </c>
      <c r="BH83" s="7" t="s">
        <v>228</v>
      </c>
      <c r="BI83" s="7"/>
      <c r="BJ83" s="4">
        <v>124</v>
      </c>
      <c r="BK83" s="8">
        <v>2472.28</v>
      </c>
      <c r="BL83" s="2" t="s">
        <v>639</v>
      </c>
      <c r="BM83" s="7"/>
      <c r="BN83" s="7"/>
      <c r="BO83" s="4"/>
      <c r="BP83" s="8"/>
      <c r="BQ83" s="4"/>
      <c r="BR83" s="8"/>
      <c r="BS83" s="7"/>
      <c r="BT83" s="7"/>
      <c r="BU83" s="2" t="s">
        <v>640</v>
      </c>
      <c r="BV83" s="2" t="s">
        <v>228</v>
      </c>
      <c r="BW83" s="2" t="s">
        <v>228</v>
      </c>
      <c r="BX83" s="2" t="s">
        <v>273</v>
      </c>
      <c r="BY83" s="2" t="s">
        <v>274</v>
      </c>
      <c r="BZ83" s="2" t="s">
        <v>240</v>
      </c>
      <c r="CA83" s="2" t="s">
        <v>275</v>
      </c>
      <c r="CB83" s="2" t="s">
        <v>641</v>
      </c>
      <c r="CC83" s="2" t="s">
        <v>241</v>
      </c>
      <c r="CD83" s="2" t="s">
        <v>228</v>
      </c>
      <c r="CE83" s="4">
        <v>804</v>
      </c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>
        <v>280</v>
      </c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</row>
    <row r="84">
      <c r="A84" s="2" t="s">
        <v>642</v>
      </c>
      <c r="B84" s="2" t="s">
        <v>299</v>
      </c>
      <c r="C84" s="2" t="s">
        <v>300</v>
      </c>
      <c r="D84" s="2" t="s">
        <v>301</v>
      </c>
      <c r="E84" s="2" t="s">
        <v>302</v>
      </c>
      <c r="F84" s="2" t="s">
        <v>541</v>
      </c>
      <c r="G84" s="2" t="s">
        <v>541</v>
      </c>
      <c r="H84" s="2" t="s">
        <v>541</v>
      </c>
      <c r="I84" s="2" t="s">
        <v>542</v>
      </c>
      <c r="J84" s="2" t="s">
        <v>294</v>
      </c>
      <c r="K84" s="2" t="s">
        <v>525</v>
      </c>
      <c r="L84" s="3">
        <v>21.5</v>
      </c>
      <c r="M84" s="3">
        <v>22.58</v>
      </c>
      <c r="N84" s="3">
        <v>42.99</v>
      </c>
      <c r="O84" s="2" t="s">
        <v>240</v>
      </c>
      <c r="P84" s="2" t="s">
        <v>266</v>
      </c>
      <c r="Q84" s="2" t="s">
        <v>234</v>
      </c>
      <c r="R84" s="2" t="s">
        <v>228</v>
      </c>
      <c r="S84" s="2" t="s">
        <v>626</v>
      </c>
      <c r="T84" s="2" t="s">
        <v>415</v>
      </c>
      <c r="U84" s="2" t="s">
        <v>228</v>
      </c>
      <c r="V84" s="2" t="s">
        <v>236</v>
      </c>
      <c r="W84" s="2" t="s">
        <v>269</v>
      </c>
      <c r="X84" s="2" t="s">
        <v>228</v>
      </c>
      <c r="Y84" s="2" t="s">
        <v>270</v>
      </c>
      <c r="Z84" s="4">
        <v>240</v>
      </c>
      <c r="AA84" s="4">
        <f>=ROUNDDOWN(11.2676056338028,0)</f>
      </c>
      <c r="AB84" s="5">
        <v>21.3</v>
      </c>
      <c r="AC84" s="2" t="s">
        <v>564</v>
      </c>
      <c r="AD84" s="4">
        <v>190</v>
      </c>
      <c r="AE84" s="4">
        <v>440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228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228</v>
      </c>
      <c r="AW84" s="8" t="s">
        <v>228</v>
      </c>
      <c r="AX84" s="4" t="s">
        <v>228</v>
      </c>
      <c r="AY84" s="8" t="s">
        <v>228</v>
      </c>
      <c r="AZ84" s="7" t="s">
        <v>228</v>
      </c>
      <c r="BA84" s="7" t="s">
        <v>228</v>
      </c>
      <c r="BB84" s="7"/>
      <c r="BC84" s="4" t="s">
        <v>228</v>
      </c>
      <c r="BD84" s="8" t="s">
        <v>228</v>
      </c>
      <c r="BE84" s="4" t="s">
        <v>228</v>
      </c>
      <c r="BF84" s="8" t="s">
        <v>228</v>
      </c>
      <c r="BG84" s="7" t="s">
        <v>228</v>
      </c>
      <c r="BH84" s="7" t="s">
        <v>228</v>
      </c>
      <c r="BI84" s="7"/>
      <c r="BJ84" s="4">
        <v>91</v>
      </c>
      <c r="BK84" s="8">
        <v>2078.71</v>
      </c>
      <c r="BL84" s="2" t="s">
        <v>643</v>
      </c>
      <c r="BM84" s="7"/>
      <c r="BN84" s="7"/>
      <c r="BO84" s="4"/>
      <c r="BP84" s="8"/>
      <c r="BQ84" s="4"/>
      <c r="BR84" s="8"/>
      <c r="BS84" s="7"/>
      <c r="BT84" s="7"/>
      <c r="BU84" s="2" t="s">
        <v>644</v>
      </c>
      <c r="BV84" s="2" t="s">
        <v>228</v>
      </c>
      <c r="BW84" s="2" t="s">
        <v>228</v>
      </c>
      <c r="BX84" s="2" t="s">
        <v>273</v>
      </c>
      <c r="BY84" s="2" t="s">
        <v>274</v>
      </c>
      <c r="BZ84" s="2" t="s">
        <v>240</v>
      </c>
      <c r="CA84" s="2" t="s">
        <v>275</v>
      </c>
      <c r="CB84" s="2" t="s">
        <v>645</v>
      </c>
      <c r="CC84" s="2" t="s">
        <v>241</v>
      </c>
      <c r="CD84" s="2" t="s">
        <v>228</v>
      </c>
      <c r="CE84" s="4">
        <v>240</v>
      </c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>
        <v>190</v>
      </c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>
        <v>60</v>
      </c>
      <c r="FX84" s="4"/>
      <c r="FY84" s="4"/>
      <c r="FZ84" s="4"/>
      <c r="GA84" s="4"/>
      <c r="GB84" s="4">
        <v>190</v>
      </c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</row>
    <row r="85">
      <c r="A85" s="2" t="s">
        <v>646</v>
      </c>
      <c r="B85" s="2" t="s">
        <v>299</v>
      </c>
      <c r="C85" s="2" t="s">
        <v>300</v>
      </c>
      <c r="D85" s="2" t="s">
        <v>301</v>
      </c>
      <c r="E85" s="2" t="s">
        <v>302</v>
      </c>
      <c r="F85" s="2" t="s">
        <v>541</v>
      </c>
      <c r="G85" s="2" t="s">
        <v>541</v>
      </c>
      <c r="H85" s="2" t="s">
        <v>541</v>
      </c>
      <c r="I85" s="2" t="s">
        <v>542</v>
      </c>
      <c r="J85" s="2" t="s">
        <v>312</v>
      </c>
      <c r="K85" s="2" t="s">
        <v>525</v>
      </c>
      <c r="L85" s="3">
        <v>21.5</v>
      </c>
      <c r="M85" s="3">
        <v>22.58</v>
      </c>
      <c r="N85" s="3">
        <v>42.99</v>
      </c>
      <c r="O85" s="2" t="s">
        <v>240</v>
      </c>
      <c r="P85" s="2" t="s">
        <v>266</v>
      </c>
      <c r="Q85" s="2" t="s">
        <v>234</v>
      </c>
      <c r="R85" s="2" t="s">
        <v>228</v>
      </c>
      <c r="S85" s="2" t="s">
        <v>626</v>
      </c>
      <c r="T85" s="2" t="s">
        <v>415</v>
      </c>
      <c r="U85" s="2" t="s">
        <v>228</v>
      </c>
      <c r="V85" s="2" t="s">
        <v>236</v>
      </c>
      <c r="W85" s="2" t="s">
        <v>269</v>
      </c>
      <c r="X85" s="2" t="s">
        <v>228</v>
      </c>
      <c r="Y85" s="2" t="s">
        <v>270</v>
      </c>
      <c r="Z85" s="4">
        <v>94</v>
      </c>
      <c r="AA85" s="4">
        <f>=ROUNDDOWN(18.8,0)</f>
      </c>
      <c r="AB85" s="5">
        <v>5</v>
      </c>
      <c r="AC85" s="2" t="s">
        <v>564</v>
      </c>
      <c r="AD85" s="4">
        <v>40</v>
      </c>
      <c r="AE85" s="4">
        <v>130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228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228</v>
      </c>
      <c r="AW85" s="8" t="s">
        <v>228</v>
      </c>
      <c r="AX85" s="4" t="s">
        <v>228</v>
      </c>
      <c r="AY85" s="8" t="s">
        <v>228</v>
      </c>
      <c r="AZ85" s="7" t="s">
        <v>228</v>
      </c>
      <c r="BA85" s="7" t="s">
        <v>228</v>
      </c>
      <c r="BB85" s="7"/>
      <c r="BC85" s="4" t="s">
        <v>228</v>
      </c>
      <c r="BD85" s="8" t="s">
        <v>228</v>
      </c>
      <c r="BE85" s="4" t="s">
        <v>228</v>
      </c>
      <c r="BF85" s="8" t="s">
        <v>228</v>
      </c>
      <c r="BG85" s="7" t="s">
        <v>228</v>
      </c>
      <c r="BH85" s="7" t="s">
        <v>228</v>
      </c>
      <c r="BI85" s="7"/>
      <c r="BJ85" s="4">
        <v>15</v>
      </c>
      <c r="BK85" s="8">
        <v>353.82</v>
      </c>
      <c r="BL85" s="2" t="s">
        <v>647</v>
      </c>
      <c r="BM85" s="7"/>
      <c r="BN85" s="7"/>
      <c r="BO85" s="4"/>
      <c r="BP85" s="8"/>
      <c r="BQ85" s="4"/>
      <c r="BR85" s="8"/>
      <c r="BS85" s="7"/>
      <c r="BT85" s="7"/>
      <c r="BU85" s="2" t="s">
        <v>648</v>
      </c>
      <c r="BV85" s="2" t="s">
        <v>228</v>
      </c>
      <c r="BW85" s="2" t="s">
        <v>228</v>
      </c>
      <c r="BX85" s="2" t="s">
        <v>273</v>
      </c>
      <c r="BY85" s="2" t="s">
        <v>274</v>
      </c>
      <c r="BZ85" s="2" t="s">
        <v>240</v>
      </c>
      <c r="CA85" s="2" t="s">
        <v>275</v>
      </c>
      <c r="CB85" s="2" t="s">
        <v>584</v>
      </c>
      <c r="CC85" s="2" t="s">
        <v>241</v>
      </c>
      <c r="CD85" s="2" t="s">
        <v>228</v>
      </c>
      <c r="CE85" s="4">
        <v>94</v>
      </c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>
        <v>40</v>
      </c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>
        <v>40</v>
      </c>
      <c r="FX85" s="4"/>
      <c r="FY85" s="4"/>
      <c r="FZ85" s="4"/>
      <c r="GA85" s="4"/>
      <c r="GB85" s="4">
        <v>50</v>
      </c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</row>
    <row r="86">
      <c r="A86" s="2" t="s">
        <v>649</v>
      </c>
      <c r="B86" s="2" t="s">
        <v>299</v>
      </c>
      <c r="C86" s="2" t="s">
        <v>300</v>
      </c>
      <c r="D86" s="2" t="s">
        <v>301</v>
      </c>
      <c r="E86" s="2" t="s">
        <v>302</v>
      </c>
      <c r="F86" s="2" t="s">
        <v>541</v>
      </c>
      <c r="G86" s="2" t="s">
        <v>541</v>
      </c>
      <c r="H86" s="2" t="s">
        <v>541</v>
      </c>
      <c r="I86" s="2" t="s">
        <v>542</v>
      </c>
      <c r="J86" s="2" t="s">
        <v>278</v>
      </c>
      <c r="K86" s="2" t="s">
        <v>650</v>
      </c>
      <c r="L86" s="3">
        <v>15.19</v>
      </c>
      <c r="M86" s="3">
        <v>15.95</v>
      </c>
      <c r="N86" s="3">
        <v>30.99</v>
      </c>
      <c r="O86" s="2" t="s">
        <v>491</v>
      </c>
      <c r="P86" s="2" t="s">
        <v>333</v>
      </c>
      <c r="Q86" s="2" t="s">
        <v>234</v>
      </c>
      <c r="R86" s="2" t="s">
        <v>228</v>
      </c>
      <c r="S86" s="2" t="s">
        <v>651</v>
      </c>
      <c r="T86" s="2" t="s">
        <v>415</v>
      </c>
      <c r="U86" s="2" t="s">
        <v>500</v>
      </c>
      <c r="V86" s="2" t="s">
        <v>236</v>
      </c>
      <c r="W86" s="2" t="s">
        <v>269</v>
      </c>
      <c r="X86" s="2" t="s">
        <v>228</v>
      </c>
      <c r="Y86" s="2" t="s">
        <v>616</v>
      </c>
      <c r="Z86" s="4">
        <v>5</v>
      </c>
      <c r="AA86" s="4">
        <f>=ROUNDDOWN(2.5,0)</f>
      </c>
      <c r="AB86" s="5">
        <v>2</v>
      </c>
      <c r="AC86" s="2" t="s">
        <v>228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228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228</v>
      </c>
      <c r="AW86" s="8" t="s">
        <v>228</v>
      </c>
      <c r="AX86" s="4" t="s">
        <v>228</v>
      </c>
      <c r="AY86" s="8" t="s">
        <v>228</v>
      </c>
      <c r="AZ86" s="7" t="s">
        <v>228</v>
      </c>
      <c r="BA86" s="7" t="s">
        <v>228</v>
      </c>
      <c r="BB86" s="7"/>
      <c r="BC86" s="4" t="s">
        <v>228</v>
      </c>
      <c r="BD86" s="8" t="s">
        <v>228</v>
      </c>
      <c r="BE86" s="4" t="s">
        <v>228</v>
      </c>
      <c r="BF86" s="8" t="s">
        <v>228</v>
      </c>
      <c r="BG86" s="7" t="s">
        <v>228</v>
      </c>
      <c r="BH86" s="7" t="s">
        <v>228</v>
      </c>
      <c r="BI86" s="7"/>
      <c r="BJ86" s="4">
        <v>45</v>
      </c>
      <c r="BK86" s="8">
        <v>601.24</v>
      </c>
      <c r="BL86" s="2" t="s">
        <v>652</v>
      </c>
      <c r="BM86" s="7"/>
      <c r="BN86" s="7"/>
      <c r="BO86" s="4"/>
      <c r="BP86" s="8"/>
      <c r="BQ86" s="4"/>
      <c r="BR86" s="8"/>
      <c r="BS86" s="7"/>
      <c r="BT86" s="7"/>
      <c r="BU86" s="2" t="s">
        <v>653</v>
      </c>
      <c r="BV86" s="2" t="s">
        <v>228</v>
      </c>
      <c r="BW86" s="2" t="s">
        <v>228</v>
      </c>
      <c r="BX86" s="2" t="s">
        <v>337</v>
      </c>
      <c r="BY86" s="2" t="s">
        <v>274</v>
      </c>
      <c r="BZ86" s="2" t="s">
        <v>240</v>
      </c>
      <c r="CA86" s="2" t="s">
        <v>619</v>
      </c>
      <c r="CB86" s="2" t="s">
        <v>654</v>
      </c>
      <c r="CC86" s="2" t="s">
        <v>241</v>
      </c>
      <c r="CD86" s="2" t="s">
        <v>228</v>
      </c>
      <c r="CE86" s="4">
        <v>5</v>
      </c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</row>
    <row r="87">
      <c r="A87" s="2" t="s">
        <v>655</v>
      </c>
      <c r="B87" s="2" t="s">
        <v>299</v>
      </c>
      <c r="C87" s="2" t="s">
        <v>300</v>
      </c>
      <c r="D87" s="2" t="s">
        <v>301</v>
      </c>
      <c r="E87" s="2" t="s">
        <v>302</v>
      </c>
      <c r="F87" s="2" t="s">
        <v>541</v>
      </c>
      <c r="G87" s="2" t="s">
        <v>541</v>
      </c>
      <c r="H87" s="2" t="s">
        <v>541</v>
      </c>
      <c r="I87" s="2" t="s">
        <v>542</v>
      </c>
      <c r="J87" s="2" t="s">
        <v>312</v>
      </c>
      <c r="K87" s="2" t="s">
        <v>650</v>
      </c>
      <c r="L87" s="3">
        <v>21.5</v>
      </c>
      <c r="M87" s="3">
        <v>22.58</v>
      </c>
      <c r="N87" s="3">
        <v>42.99</v>
      </c>
      <c r="O87" s="2" t="s">
        <v>491</v>
      </c>
      <c r="P87" s="2" t="s">
        <v>333</v>
      </c>
      <c r="Q87" s="2" t="s">
        <v>234</v>
      </c>
      <c r="R87" s="2" t="s">
        <v>228</v>
      </c>
      <c r="S87" s="2" t="s">
        <v>651</v>
      </c>
      <c r="T87" s="2" t="s">
        <v>415</v>
      </c>
      <c r="U87" s="2" t="s">
        <v>308</v>
      </c>
      <c r="V87" s="2" t="s">
        <v>236</v>
      </c>
      <c r="W87" s="2" t="s">
        <v>269</v>
      </c>
      <c r="X87" s="2" t="s">
        <v>228</v>
      </c>
      <c r="Y87" s="2" t="s">
        <v>616</v>
      </c>
      <c r="Z87" s="4">
        <v>97</v>
      </c>
      <c r="AA87" s="4">
        <f>=ROUNDDOWN(48.5,0)</f>
      </c>
      <c r="AB87" s="5">
        <v>2</v>
      </c>
      <c r="AC87" s="2" t="s">
        <v>228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228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228</v>
      </c>
      <c r="AW87" s="8" t="s">
        <v>228</v>
      </c>
      <c r="AX87" s="4" t="s">
        <v>228</v>
      </c>
      <c r="AY87" s="8" t="s">
        <v>228</v>
      </c>
      <c r="AZ87" s="7" t="s">
        <v>228</v>
      </c>
      <c r="BA87" s="7" t="s">
        <v>228</v>
      </c>
      <c r="BB87" s="7"/>
      <c r="BC87" s="4" t="s">
        <v>228</v>
      </c>
      <c r="BD87" s="8" t="s">
        <v>228</v>
      </c>
      <c r="BE87" s="4" t="s">
        <v>228</v>
      </c>
      <c r="BF87" s="8" t="s">
        <v>228</v>
      </c>
      <c r="BG87" s="7" t="s">
        <v>228</v>
      </c>
      <c r="BH87" s="7" t="s">
        <v>228</v>
      </c>
      <c r="BI87" s="7"/>
      <c r="BJ87" s="4">
        <v>6</v>
      </c>
      <c r="BK87" s="8">
        <v>117.19</v>
      </c>
      <c r="BL87" s="2" t="s">
        <v>656</v>
      </c>
      <c r="BM87" s="7"/>
      <c r="BN87" s="7"/>
      <c r="BO87" s="4"/>
      <c r="BP87" s="8"/>
      <c r="BQ87" s="4"/>
      <c r="BR87" s="8"/>
      <c r="BS87" s="7"/>
      <c r="BT87" s="7"/>
      <c r="BU87" s="2" t="s">
        <v>657</v>
      </c>
      <c r="BV87" s="2" t="s">
        <v>228</v>
      </c>
      <c r="BW87" s="2" t="s">
        <v>228</v>
      </c>
      <c r="BX87" s="2" t="s">
        <v>337</v>
      </c>
      <c r="BY87" s="2" t="s">
        <v>274</v>
      </c>
      <c r="BZ87" s="2" t="s">
        <v>240</v>
      </c>
      <c r="CA87" s="2" t="s">
        <v>619</v>
      </c>
      <c r="CB87" s="2" t="s">
        <v>658</v>
      </c>
      <c r="CC87" s="2" t="s">
        <v>241</v>
      </c>
      <c r="CD87" s="2" t="s">
        <v>228</v>
      </c>
      <c r="CE87" s="4">
        <v>97</v>
      </c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</row>
    <row r="88">
      <c r="A88" s="2" t="s">
        <v>659</v>
      </c>
      <c r="B88" s="2" t="s">
        <v>299</v>
      </c>
      <c r="C88" s="2" t="s">
        <v>300</v>
      </c>
      <c r="D88" s="2" t="s">
        <v>301</v>
      </c>
      <c r="E88" s="2" t="s">
        <v>302</v>
      </c>
      <c r="F88" s="2" t="s">
        <v>541</v>
      </c>
      <c r="G88" s="2" t="s">
        <v>541</v>
      </c>
      <c r="H88" s="2" t="s">
        <v>541</v>
      </c>
      <c r="I88" s="2" t="s">
        <v>542</v>
      </c>
      <c r="J88" s="2" t="s">
        <v>278</v>
      </c>
      <c r="K88" s="2" t="s">
        <v>316</v>
      </c>
      <c r="L88" s="3">
        <v>15.19</v>
      </c>
      <c r="M88" s="3">
        <v>15.95</v>
      </c>
      <c r="N88" s="3">
        <v>30.99</v>
      </c>
      <c r="O88" s="2" t="s">
        <v>240</v>
      </c>
      <c r="P88" s="2" t="s">
        <v>266</v>
      </c>
      <c r="Q88" s="2" t="s">
        <v>234</v>
      </c>
      <c r="R88" s="2" t="s">
        <v>228</v>
      </c>
      <c r="S88" s="2" t="s">
        <v>660</v>
      </c>
      <c r="T88" s="2" t="s">
        <v>415</v>
      </c>
      <c r="U88" s="2" t="s">
        <v>228</v>
      </c>
      <c r="V88" s="2" t="s">
        <v>236</v>
      </c>
      <c r="W88" s="2" t="s">
        <v>269</v>
      </c>
      <c r="X88" s="2" t="s">
        <v>228</v>
      </c>
      <c r="Y88" s="2" t="s">
        <v>270</v>
      </c>
      <c r="Z88" s="4">
        <v>362</v>
      </c>
      <c r="AA88" s="4">
        <f>=ROUNDDOWN(124.827586206897,0)</f>
      </c>
      <c r="AB88" s="5">
        <v>2.9</v>
      </c>
      <c r="AC88" s="2" t="s">
        <v>228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228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228</v>
      </c>
      <c r="AW88" s="8" t="s">
        <v>228</v>
      </c>
      <c r="AX88" s="4" t="s">
        <v>228</v>
      </c>
      <c r="AY88" s="8" t="s">
        <v>228</v>
      </c>
      <c r="AZ88" s="7" t="s">
        <v>228</v>
      </c>
      <c r="BA88" s="7" t="s">
        <v>228</v>
      </c>
      <c r="BB88" s="7"/>
      <c r="BC88" s="4" t="s">
        <v>228</v>
      </c>
      <c r="BD88" s="8" t="s">
        <v>228</v>
      </c>
      <c r="BE88" s="4" t="s">
        <v>228</v>
      </c>
      <c r="BF88" s="8" t="s">
        <v>228</v>
      </c>
      <c r="BG88" s="7" t="s">
        <v>228</v>
      </c>
      <c r="BH88" s="7" t="s">
        <v>228</v>
      </c>
      <c r="BI88" s="7"/>
      <c r="BJ88" s="4">
        <v>70</v>
      </c>
      <c r="BK88" s="8">
        <v>1118.13</v>
      </c>
      <c r="BL88" s="2" t="s">
        <v>661</v>
      </c>
      <c r="BM88" s="7"/>
      <c r="BN88" s="7"/>
      <c r="BO88" s="4"/>
      <c r="BP88" s="8"/>
      <c r="BQ88" s="4"/>
      <c r="BR88" s="8"/>
      <c r="BS88" s="7"/>
      <c r="BT88" s="7"/>
      <c r="BU88" s="2" t="s">
        <v>662</v>
      </c>
      <c r="BV88" s="2" t="s">
        <v>228</v>
      </c>
      <c r="BW88" s="2" t="s">
        <v>228</v>
      </c>
      <c r="BX88" s="2" t="s">
        <v>273</v>
      </c>
      <c r="BY88" s="2" t="s">
        <v>274</v>
      </c>
      <c r="BZ88" s="2" t="s">
        <v>240</v>
      </c>
      <c r="CA88" s="2" t="s">
        <v>275</v>
      </c>
      <c r="CB88" s="2" t="s">
        <v>633</v>
      </c>
      <c r="CC88" s="2" t="s">
        <v>241</v>
      </c>
      <c r="CD88" s="2" t="s">
        <v>228</v>
      </c>
      <c r="CE88" s="4">
        <v>362</v>
      </c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</row>
    <row r="89">
      <c r="A89" s="2" t="s">
        <v>663</v>
      </c>
      <c r="B89" s="2" t="s">
        <v>299</v>
      </c>
      <c r="C89" s="2" t="s">
        <v>300</v>
      </c>
      <c r="D89" s="2" t="s">
        <v>301</v>
      </c>
      <c r="E89" s="2" t="s">
        <v>302</v>
      </c>
      <c r="F89" s="2" t="s">
        <v>541</v>
      </c>
      <c r="G89" s="2" t="s">
        <v>541</v>
      </c>
      <c r="H89" s="2" t="s">
        <v>541</v>
      </c>
      <c r="I89" s="2" t="s">
        <v>542</v>
      </c>
      <c r="J89" s="2" t="s">
        <v>289</v>
      </c>
      <c r="K89" s="2" t="s">
        <v>316</v>
      </c>
      <c r="L89" s="3">
        <v>19</v>
      </c>
      <c r="M89" s="3">
        <v>19.95</v>
      </c>
      <c r="N89" s="3">
        <v>37.99</v>
      </c>
      <c r="O89" s="2" t="s">
        <v>240</v>
      </c>
      <c r="P89" s="2" t="s">
        <v>266</v>
      </c>
      <c r="Q89" s="2" t="s">
        <v>234</v>
      </c>
      <c r="R89" s="2" t="s">
        <v>228</v>
      </c>
      <c r="S89" s="2" t="s">
        <v>660</v>
      </c>
      <c r="T89" s="2" t="s">
        <v>415</v>
      </c>
      <c r="U89" s="2" t="s">
        <v>228</v>
      </c>
      <c r="V89" s="2" t="s">
        <v>236</v>
      </c>
      <c r="W89" s="2" t="s">
        <v>269</v>
      </c>
      <c r="X89" s="2" t="s">
        <v>228</v>
      </c>
      <c r="Y89" s="2" t="s">
        <v>270</v>
      </c>
      <c r="Z89" s="4">
        <v>335</v>
      </c>
      <c r="AA89" s="4">
        <f>=ROUNDDOWN(16.75,0)</f>
      </c>
      <c r="AB89" s="5">
        <v>20</v>
      </c>
      <c r="AC89" s="2" t="s">
        <v>564</v>
      </c>
      <c r="AD89" s="4">
        <v>132</v>
      </c>
      <c r="AE89" s="4">
        <v>382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228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228</v>
      </c>
      <c r="AW89" s="8" t="s">
        <v>228</v>
      </c>
      <c r="AX89" s="4" t="s">
        <v>228</v>
      </c>
      <c r="AY89" s="8" t="s">
        <v>228</v>
      </c>
      <c r="AZ89" s="7" t="s">
        <v>228</v>
      </c>
      <c r="BA89" s="7" t="s">
        <v>228</v>
      </c>
      <c r="BB89" s="7"/>
      <c r="BC89" s="4" t="s">
        <v>228</v>
      </c>
      <c r="BD89" s="8" t="s">
        <v>228</v>
      </c>
      <c r="BE89" s="4" t="s">
        <v>228</v>
      </c>
      <c r="BF89" s="8" t="s">
        <v>228</v>
      </c>
      <c r="BG89" s="7" t="s">
        <v>228</v>
      </c>
      <c r="BH89" s="7" t="s">
        <v>228</v>
      </c>
      <c r="BI89" s="7"/>
      <c r="BJ89" s="4">
        <v>86</v>
      </c>
      <c r="BK89" s="8">
        <v>1671.98</v>
      </c>
      <c r="BL89" s="2" t="s">
        <v>664</v>
      </c>
      <c r="BM89" s="7"/>
      <c r="BN89" s="7"/>
      <c r="BO89" s="4"/>
      <c r="BP89" s="8"/>
      <c r="BQ89" s="4"/>
      <c r="BR89" s="8"/>
      <c r="BS89" s="7"/>
      <c r="BT89" s="7"/>
      <c r="BU89" s="2" t="s">
        <v>665</v>
      </c>
      <c r="BV89" s="2" t="s">
        <v>228</v>
      </c>
      <c r="BW89" s="2" t="s">
        <v>228</v>
      </c>
      <c r="BX89" s="2" t="s">
        <v>273</v>
      </c>
      <c r="BY89" s="2" t="s">
        <v>274</v>
      </c>
      <c r="BZ89" s="2" t="s">
        <v>240</v>
      </c>
      <c r="CA89" s="2" t="s">
        <v>275</v>
      </c>
      <c r="CB89" s="2" t="s">
        <v>666</v>
      </c>
      <c r="CC89" s="2" t="s">
        <v>241</v>
      </c>
      <c r="CD89" s="2" t="s">
        <v>228</v>
      </c>
      <c r="CE89" s="4">
        <v>335</v>
      </c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>
        <v>132</v>
      </c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>
        <v>250</v>
      </c>
      <c r="HA89" s="4"/>
      <c r="HB89" s="4"/>
      <c r="HC89" s="4"/>
      <c r="HD89" s="4"/>
      <c r="HE89" s="4"/>
    </row>
    <row r="90">
      <c r="A90" s="2" t="s">
        <v>667</v>
      </c>
      <c r="B90" s="2" t="s">
        <v>299</v>
      </c>
      <c r="C90" s="2" t="s">
        <v>300</v>
      </c>
      <c r="D90" s="2" t="s">
        <v>301</v>
      </c>
      <c r="E90" s="2" t="s">
        <v>302</v>
      </c>
      <c r="F90" s="2" t="s">
        <v>541</v>
      </c>
      <c r="G90" s="2" t="s">
        <v>541</v>
      </c>
      <c r="H90" s="2" t="s">
        <v>541</v>
      </c>
      <c r="I90" s="2" t="s">
        <v>542</v>
      </c>
      <c r="J90" s="2" t="s">
        <v>312</v>
      </c>
      <c r="K90" s="2" t="s">
        <v>316</v>
      </c>
      <c r="L90" s="3">
        <v>21.5</v>
      </c>
      <c r="M90" s="3">
        <v>22.58</v>
      </c>
      <c r="N90" s="3">
        <v>42.99</v>
      </c>
      <c r="O90" s="2" t="s">
        <v>240</v>
      </c>
      <c r="P90" s="2" t="s">
        <v>266</v>
      </c>
      <c r="Q90" s="2" t="s">
        <v>234</v>
      </c>
      <c r="R90" s="2" t="s">
        <v>228</v>
      </c>
      <c r="S90" s="2" t="s">
        <v>660</v>
      </c>
      <c r="T90" s="2" t="s">
        <v>415</v>
      </c>
      <c r="U90" s="2" t="s">
        <v>228</v>
      </c>
      <c r="V90" s="2" t="s">
        <v>236</v>
      </c>
      <c r="W90" s="2" t="s">
        <v>269</v>
      </c>
      <c r="X90" s="2" t="s">
        <v>228</v>
      </c>
      <c r="Y90" s="2" t="s">
        <v>270</v>
      </c>
      <c r="Z90" s="4">
        <v>83</v>
      </c>
      <c r="AA90" s="4">
        <f>=ROUNDDOWN(69.1666666666667,0)</f>
      </c>
      <c r="AB90" s="5">
        <v>1.2</v>
      </c>
      <c r="AC90" s="2" t="s">
        <v>564</v>
      </c>
      <c r="AD90" s="4">
        <v>20</v>
      </c>
      <c r="AE90" s="4">
        <v>20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228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228</v>
      </c>
      <c r="AW90" s="8" t="s">
        <v>228</v>
      </c>
      <c r="AX90" s="4" t="s">
        <v>228</v>
      </c>
      <c r="AY90" s="8" t="s">
        <v>228</v>
      </c>
      <c r="AZ90" s="7" t="s">
        <v>228</v>
      </c>
      <c r="BA90" s="7" t="s">
        <v>228</v>
      </c>
      <c r="BB90" s="7"/>
      <c r="BC90" s="4" t="s">
        <v>228</v>
      </c>
      <c r="BD90" s="8" t="s">
        <v>228</v>
      </c>
      <c r="BE90" s="4" t="s">
        <v>228</v>
      </c>
      <c r="BF90" s="8" t="s">
        <v>228</v>
      </c>
      <c r="BG90" s="7" t="s">
        <v>228</v>
      </c>
      <c r="BH90" s="7" t="s">
        <v>228</v>
      </c>
      <c r="BI90" s="7"/>
      <c r="BJ90" s="4">
        <v>5</v>
      </c>
      <c r="BK90" s="8">
        <v>113.4</v>
      </c>
      <c r="BL90" s="2" t="s">
        <v>404</v>
      </c>
      <c r="BM90" s="7"/>
      <c r="BN90" s="7"/>
      <c r="BO90" s="4"/>
      <c r="BP90" s="8"/>
      <c r="BQ90" s="4"/>
      <c r="BR90" s="8"/>
      <c r="BS90" s="7"/>
      <c r="BT90" s="7"/>
      <c r="BU90" s="2" t="s">
        <v>668</v>
      </c>
      <c r="BV90" s="2" t="s">
        <v>228</v>
      </c>
      <c r="BW90" s="2" t="s">
        <v>228</v>
      </c>
      <c r="BX90" s="2" t="s">
        <v>273</v>
      </c>
      <c r="BY90" s="2" t="s">
        <v>274</v>
      </c>
      <c r="BZ90" s="2" t="s">
        <v>240</v>
      </c>
      <c r="CA90" s="2" t="s">
        <v>275</v>
      </c>
      <c r="CB90" s="2" t="s">
        <v>669</v>
      </c>
      <c r="CC90" s="2" t="s">
        <v>241</v>
      </c>
      <c r="CD90" s="2" t="s">
        <v>228</v>
      </c>
      <c r="CE90" s="4">
        <v>83</v>
      </c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>
        <v>20</v>
      </c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</row>
    <row r="91">
      <c r="A91" s="2" t="s">
        <v>670</v>
      </c>
      <c r="B91" s="2" t="s">
        <v>299</v>
      </c>
      <c r="C91" s="2" t="s">
        <v>671</v>
      </c>
      <c r="D91" s="2" t="s">
        <v>301</v>
      </c>
      <c r="E91" s="2" t="s">
        <v>302</v>
      </c>
      <c r="F91" s="2" t="s">
        <v>672</v>
      </c>
      <c r="G91" s="2" t="s">
        <v>672</v>
      </c>
      <c r="H91" s="2" t="s">
        <v>228</v>
      </c>
      <c r="I91" s="2" t="s">
        <v>673</v>
      </c>
      <c r="J91" s="2" t="s">
        <v>284</v>
      </c>
      <c r="K91" s="2" t="s">
        <v>305</v>
      </c>
      <c r="L91" s="3">
        <v>31.68</v>
      </c>
      <c r="M91" s="3">
        <v>33.26</v>
      </c>
      <c r="N91" s="3">
        <v>64.99</v>
      </c>
      <c r="O91" s="2" t="s">
        <v>461</v>
      </c>
      <c r="P91" s="2" t="s">
        <v>333</v>
      </c>
      <c r="Q91" s="2" t="s">
        <v>234</v>
      </c>
      <c r="R91" s="2" t="s">
        <v>228</v>
      </c>
      <c r="S91" s="2" t="s">
        <v>674</v>
      </c>
      <c r="T91" s="2" t="s">
        <v>675</v>
      </c>
      <c r="U91" s="2" t="s">
        <v>228</v>
      </c>
      <c r="V91" s="2" t="s">
        <v>236</v>
      </c>
      <c r="W91" s="2" t="s">
        <v>269</v>
      </c>
      <c r="X91" s="2" t="s">
        <v>228</v>
      </c>
      <c r="Y91" s="2" t="s">
        <v>270</v>
      </c>
      <c r="Z91" s="4">
        <v>231</v>
      </c>
      <c r="AA91" s="4">
        <f>=ROUNDDOWN(385,0)</f>
      </c>
      <c r="AB91" s="5">
        <v>0.6</v>
      </c>
      <c r="AC91" s="2" t="s">
        <v>228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228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228</v>
      </c>
      <c r="AW91" s="8" t="s">
        <v>228</v>
      </c>
      <c r="AX91" s="4" t="s">
        <v>228</v>
      </c>
      <c r="AY91" s="8" t="s">
        <v>228</v>
      </c>
      <c r="AZ91" s="7" t="s">
        <v>228</v>
      </c>
      <c r="BA91" s="7" t="s">
        <v>228</v>
      </c>
      <c r="BB91" s="7"/>
      <c r="BC91" s="4" t="s">
        <v>228</v>
      </c>
      <c r="BD91" s="8" t="s">
        <v>228</v>
      </c>
      <c r="BE91" s="4" t="s">
        <v>228</v>
      </c>
      <c r="BF91" s="8" t="s">
        <v>228</v>
      </c>
      <c r="BG91" s="7" t="s">
        <v>228</v>
      </c>
      <c r="BH91" s="7" t="s">
        <v>228</v>
      </c>
      <c r="BI91" s="7"/>
      <c r="BJ91" s="4">
        <v>1</v>
      </c>
      <c r="BK91" s="8">
        <v>34.71</v>
      </c>
      <c r="BL91" s="2" t="s">
        <v>676</v>
      </c>
      <c r="BM91" s="7"/>
      <c r="BN91" s="7"/>
      <c r="BO91" s="4"/>
      <c r="BP91" s="8"/>
      <c r="BQ91" s="4"/>
      <c r="BR91" s="8"/>
      <c r="BS91" s="7"/>
      <c r="BT91" s="7"/>
      <c r="BU91" s="2" t="s">
        <v>677</v>
      </c>
      <c r="BV91" s="2" t="s">
        <v>228</v>
      </c>
      <c r="BW91" s="2" t="s">
        <v>228</v>
      </c>
      <c r="BX91" s="2" t="s">
        <v>337</v>
      </c>
      <c r="BY91" s="2" t="s">
        <v>274</v>
      </c>
      <c r="BZ91" s="2" t="s">
        <v>240</v>
      </c>
      <c r="CA91" s="2" t="s">
        <v>275</v>
      </c>
      <c r="CB91" s="2" t="s">
        <v>678</v>
      </c>
      <c r="CC91" s="2" t="s">
        <v>241</v>
      </c>
      <c r="CD91" s="2" t="s">
        <v>228</v>
      </c>
      <c r="CE91" s="4">
        <v>231</v>
      </c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</row>
    <row r="92">
      <c r="A92" s="2" t="s">
        <v>679</v>
      </c>
      <c r="B92" s="2" t="s">
        <v>299</v>
      </c>
      <c r="C92" s="2" t="s">
        <v>671</v>
      </c>
      <c r="D92" s="2" t="s">
        <v>301</v>
      </c>
      <c r="E92" s="2" t="s">
        <v>302</v>
      </c>
      <c r="F92" s="2" t="s">
        <v>672</v>
      </c>
      <c r="G92" s="2" t="s">
        <v>672</v>
      </c>
      <c r="H92" s="2" t="s">
        <v>228</v>
      </c>
      <c r="I92" s="2" t="s">
        <v>673</v>
      </c>
      <c r="J92" s="2" t="s">
        <v>289</v>
      </c>
      <c r="K92" s="2" t="s">
        <v>305</v>
      </c>
      <c r="L92" s="3">
        <v>34.32</v>
      </c>
      <c r="M92" s="3">
        <v>36.04</v>
      </c>
      <c r="N92" s="3">
        <v>69.99</v>
      </c>
      <c r="O92" s="2" t="s">
        <v>461</v>
      </c>
      <c r="P92" s="2" t="s">
        <v>333</v>
      </c>
      <c r="Q92" s="2" t="s">
        <v>234</v>
      </c>
      <c r="R92" s="2" t="s">
        <v>228</v>
      </c>
      <c r="S92" s="2" t="s">
        <v>674</v>
      </c>
      <c r="T92" s="2" t="s">
        <v>675</v>
      </c>
      <c r="U92" s="2" t="s">
        <v>228</v>
      </c>
      <c r="V92" s="2" t="s">
        <v>236</v>
      </c>
      <c r="W92" s="2" t="s">
        <v>269</v>
      </c>
      <c r="X92" s="2" t="s">
        <v>228</v>
      </c>
      <c r="Y92" s="2" t="s">
        <v>680</v>
      </c>
      <c r="Z92" s="4">
        <v>385</v>
      </c>
      <c r="AA92" s="4">
        <f>=ROUNDDOWN(93.9024390243902,0)</f>
      </c>
      <c r="AB92" s="5">
        <v>4.1</v>
      </c>
      <c r="AC92" s="2" t="s">
        <v>228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228</v>
      </c>
      <c r="AM92" s="4"/>
      <c r="AN92" s="4"/>
      <c r="AO92" s="7"/>
      <c r="AP92" s="4"/>
      <c r="AQ92" s="8"/>
      <c r="AR92" s="4"/>
      <c r="AS92" s="8"/>
      <c r="AT92" s="7"/>
      <c r="AU92" s="7"/>
      <c r="AV92" s="4" t="s">
        <v>228</v>
      </c>
      <c r="AW92" s="8" t="s">
        <v>228</v>
      </c>
      <c r="AX92" s="4" t="s">
        <v>228</v>
      </c>
      <c r="AY92" s="8" t="s">
        <v>228</v>
      </c>
      <c r="AZ92" s="7" t="s">
        <v>228</v>
      </c>
      <c r="BA92" s="7" t="s">
        <v>228</v>
      </c>
      <c r="BB92" s="7"/>
      <c r="BC92" s="4" t="s">
        <v>228</v>
      </c>
      <c r="BD92" s="8" t="s">
        <v>228</v>
      </c>
      <c r="BE92" s="4" t="s">
        <v>228</v>
      </c>
      <c r="BF92" s="8" t="s">
        <v>228</v>
      </c>
      <c r="BG92" s="7" t="s">
        <v>228</v>
      </c>
      <c r="BH92" s="7" t="s">
        <v>228</v>
      </c>
      <c r="BI92" s="7"/>
      <c r="BJ92" s="4">
        <v>5</v>
      </c>
      <c r="BK92" s="8">
        <v>137.54</v>
      </c>
      <c r="BL92" s="2" t="s">
        <v>681</v>
      </c>
      <c r="BM92" s="7"/>
      <c r="BN92" s="7"/>
      <c r="BO92" s="4"/>
      <c r="BP92" s="8"/>
      <c r="BQ92" s="4"/>
      <c r="BR92" s="8"/>
      <c r="BS92" s="7"/>
      <c r="BT92" s="7"/>
      <c r="BU92" s="2" t="s">
        <v>682</v>
      </c>
      <c r="BV92" s="2" t="s">
        <v>228</v>
      </c>
      <c r="BW92" s="2" t="s">
        <v>228</v>
      </c>
      <c r="BX92" s="2" t="s">
        <v>337</v>
      </c>
      <c r="BY92" s="2" t="s">
        <v>274</v>
      </c>
      <c r="BZ92" s="2" t="s">
        <v>240</v>
      </c>
      <c r="CA92" s="2" t="s">
        <v>275</v>
      </c>
      <c r="CB92" s="2" t="s">
        <v>683</v>
      </c>
      <c r="CC92" s="2" t="s">
        <v>241</v>
      </c>
      <c r="CD92" s="2" t="s">
        <v>228</v>
      </c>
      <c r="CE92" s="4">
        <v>385</v>
      </c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</row>
    <row r="93">
      <c r="A93" s="2" t="s">
        <v>684</v>
      </c>
      <c r="B93" s="2" t="s">
        <v>299</v>
      </c>
      <c r="C93" s="2" t="s">
        <v>671</v>
      </c>
      <c r="D93" s="2" t="s">
        <v>301</v>
      </c>
      <c r="E93" s="2" t="s">
        <v>302</v>
      </c>
      <c r="F93" s="2" t="s">
        <v>672</v>
      </c>
      <c r="G93" s="2" t="s">
        <v>672</v>
      </c>
      <c r="H93" s="2" t="s">
        <v>228</v>
      </c>
      <c r="I93" s="2" t="s">
        <v>673</v>
      </c>
      <c r="J93" s="2" t="s">
        <v>294</v>
      </c>
      <c r="K93" s="2" t="s">
        <v>305</v>
      </c>
      <c r="L93" s="3">
        <v>37.49</v>
      </c>
      <c r="M93" s="3">
        <v>39.36</v>
      </c>
      <c r="N93" s="3">
        <v>75.99</v>
      </c>
      <c r="O93" s="2" t="s">
        <v>461</v>
      </c>
      <c r="P93" s="2" t="s">
        <v>333</v>
      </c>
      <c r="Q93" s="2" t="s">
        <v>234</v>
      </c>
      <c r="R93" s="2" t="s">
        <v>228</v>
      </c>
      <c r="S93" s="2" t="s">
        <v>674</v>
      </c>
      <c r="T93" s="2" t="s">
        <v>675</v>
      </c>
      <c r="U93" s="2" t="s">
        <v>228</v>
      </c>
      <c r="V93" s="2" t="s">
        <v>236</v>
      </c>
      <c r="W93" s="2" t="s">
        <v>269</v>
      </c>
      <c r="X93" s="2" t="s">
        <v>228</v>
      </c>
      <c r="Y93" s="2" t="s">
        <v>270</v>
      </c>
      <c r="Z93" s="4">
        <v>342</v>
      </c>
      <c r="AA93" s="4">
        <f>=ROUNDDOWN({0},0)</f>
      </c>
      <c r="AB93" s="5"/>
      <c r="AC93" s="2" t="s">
        <v>228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228</v>
      </c>
      <c r="AM93" s="4"/>
      <c r="AN93" s="4"/>
      <c r="AO93" s="7"/>
      <c r="AP93" s="4"/>
      <c r="AQ93" s="8"/>
      <c r="AR93" s="4"/>
      <c r="AS93" s="8"/>
      <c r="AT93" s="7"/>
      <c r="AU93" s="7"/>
      <c r="AV93" s="4" t="s">
        <v>228</v>
      </c>
      <c r="AW93" s="8" t="s">
        <v>228</v>
      </c>
      <c r="AX93" s="4" t="s">
        <v>228</v>
      </c>
      <c r="AY93" s="8" t="s">
        <v>228</v>
      </c>
      <c r="AZ93" s="7" t="s">
        <v>228</v>
      </c>
      <c r="BA93" s="7" t="s">
        <v>228</v>
      </c>
      <c r="BB93" s="7"/>
      <c r="BC93" s="4" t="s">
        <v>228</v>
      </c>
      <c r="BD93" s="8" t="s">
        <v>228</v>
      </c>
      <c r="BE93" s="4" t="s">
        <v>228</v>
      </c>
      <c r="BF93" s="8" t="s">
        <v>228</v>
      </c>
      <c r="BG93" s="7" t="s">
        <v>228</v>
      </c>
      <c r="BH93" s="7" t="s">
        <v>228</v>
      </c>
      <c r="BI93" s="7"/>
      <c r="BJ93" s="4"/>
      <c r="BK93" s="8"/>
      <c r="BL93" s="2" t="s">
        <v>685</v>
      </c>
      <c r="BM93" s="7"/>
      <c r="BN93" s="7"/>
      <c r="BO93" s="4"/>
      <c r="BP93" s="8"/>
      <c r="BQ93" s="4"/>
      <c r="BR93" s="8"/>
      <c r="BS93" s="7"/>
      <c r="BT93" s="7"/>
      <c r="BU93" s="2" t="s">
        <v>686</v>
      </c>
      <c r="BV93" s="2" t="s">
        <v>228</v>
      </c>
      <c r="BW93" s="2" t="s">
        <v>228</v>
      </c>
      <c r="BX93" s="2" t="s">
        <v>337</v>
      </c>
      <c r="BY93" s="2" t="s">
        <v>274</v>
      </c>
      <c r="BZ93" s="2" t="s">
        <v>240</v>
      </c>
      <c r="CA93" s="2" t="s">
        <v>275</v>
      </c>
      <c r="CB93" s="2" t="s">
        <v>687</v>
      </c>
      <c r="CC93" s="2" t="s">
        <v>241</v>
      </c>
      <c r="CD93" s="2" t="s">
        <v>228</v>
      </c>
      <c r="CE93" s="4">
        <v>342</v>
      </c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</row>
    <row r="94">
      <c r="A94" s="2" t="s">
        <v>688</v>
      </c>
      <c r="B94" s="2" t="s">
        <v>299</v>
      </c>
      <c r="C94" s="2" t="s">
        <v>671</v>
      </c>
      <c r="D94" s="2" t="s">
        <v>301</v>
      </c>
      <c r="E94" s="2" t="s">
        <v>302</v>
      </c>
      <c r="F94" s="2" t="s">
        <v>672</v>
      </c>
      <c r="G94" s="2" t="s">
        <v>672</v>
      </c>
      <c r="H94" s="2" t="s">
        <v>228</v>
      </c>
      <c r="I94" s="2" t="s">
        <v>673</v>
      </c>
      <c r="J94" s="2" t="s">
        <v>284</v>
      </c>
      <c r="K94" s="2" t="s">
        <v>249</v>
      </c>
      <c r="L94" s="3">
        <v>31.68</v>
      </c>
      <c r="M94" s="3">
        <v>33.26</v>
      </c>
      <c r="N94" s="3">
        <v>64.99</v>
      </c>
      <c r="O94" s="2" t="s">
        <v>461</v>
      </c>
      <c r="P94" s="2" t="s">
        <v>333</v>
      </c>
      <c r="Q94" s="2" t="s">
        <v>234</v>
      </c>
      <c r="R94" s="2" t="s">
        <v>228</v>
      </c>
      <c r="S94" s="2" t="s">
        <v>689</v>
      </c>
      <c r="T94" s="2" t="s">
        <v>675</v>
      </c>
      <c r="U94" s="2" t="s">
        <v>228</v>
      </c>
      <c r="V94" s="2" t="s">
        <v>236</v>
      </c>
      <c r="W94" s="2" t="s">
        <v>269</v>
      </c>
      <c r="X94" s="2" t="s">
        <v>228</v>
      </c>
      <c r="Y94" s="2" t="s">
        <v>270</v>
      </c>
      <c r="Z94" s="4">
        <v>247</v>
      </c>
      <c r="AA94" s="4">
        <f>=ROUNDDOWN({0},0)</f>
      </c>
      <c r="AB94" s="5"/>
      <c r="AC94" s="2" t="s">
        <v>228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228</v>
      </c>
      <c r="AM94" s="4"/>
      <c r="AN94" s="4"/>
      <c r="AO94" s="7"/>
      <c r="AP94" s="4"/>
      <c r="AQ94" s="8"/>
      <c r="AR94" s="4"/>
      <c r="AS94" s="8"/>
      <c r="AT94" s="7"/>
      <c r="AU94" s="7"/>
      <c r="AV94" s="4" t="s">
        <v>228</v>
      </c>
      <c r="AW94" s="8" t="s">
        <v>228</v>
      </c>
      <c r="AX94" s="4" t="s">
        <v>228</v>
      </c>
      <c r="AY94" s="8" t="s">
        <v>228</v>
      </c>
      <c r="AZ94" s="7" t="s">
        <v>228</v>
      </c>
      <c r="BA94" s="7" t="s">
        <v>228</v>
      </c>
      <c r="BB94" s="7"/>
      <c r="BC94" s="4" t="s">
        <v>228</v>
      </c>
      <c r="BD94" s="8" t="s">
        <v>228</v>
      </c>
      <c r="BE94" s="4" t="s">
        <v>228</v>
      </c>
      <c r="BF94" s="8" t="s">
        <v>228</v>
      </c>
      <c r="BG94" s="7" t="s">
        <v>228</v>
      </c>
      <c r="BH94" s="7" t="s">
        <v>228</v>
      </c>
      <c r="BI94" s="7"/>
      <c r="BJ94" s="4"/>
      <c r="BK94" s="8"/>
      <c r="BL94" s="2" t="s">
        <v>690</v>
      </c>
      <c r="BM94" s="7"/>
      <c r="BN94" s="7"/>
      <c r="BO94" s="4"/>
      <c r="BP94" s="8"/>
      <c r="BQ94" s="4"/>
      <c r="BR94" s="8"/>
      <c r="BS94" s="7"/>
      <c r="BT94" s="7"/>
      <c r="BU94" s="2" t="s">
        <v>691</v>
      </c>
      <c r="BV94" s="2" t="s">
        <v>228</v>
      </c>
      <c r="BW94" s="2" t="s">
        <v>228</v>
      </c>
      <c r="BX94" s="2" t="s">
        <v>337</v>
      </c>
      <c r="BY94" s="2" t="s">
        <v>274</v>
      </c>
      <c r="BZ94" s="2" t="s">
        <v>240</v>
      </c>
      <c r="CA94" s="2" t="s">
        <v>275</v>
      </c>
      <c r="CB94" s="2" t="s">
        <v>692</v>
      </c>
      <c r="CC94" s="2" t="s">
        <v>241</v>
      </c>
      <c r="CD94" s="2" t="s">
        <v>228</v>
      </c>
      <c r="CE94" s="4">
        <v>247</v>
      </c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</row>
    <row r="95">
      <c r="A95" s="2" t="s">
        <v>693</v>
      </c>
      <c r="B95" s="2" t="s">
        <v>299</v>
      </c>
      <c r="C95" s="2" t="s">
        <v>671</v>
      </c>
      <c r="D95" s="2" t="s">
        <v>301</v>
      </c>
      <c r="E95" s="2" t="s">
        <v>302</v>
      </c>
      <c r="F95" s="2" t="s">
        <v>672</v>
      </c>
      <c r="G95" s="2" t="s">
        <v>672</v>
      </c>
      <c r="H95" s="2" t="s">
        <v>228</v>
      </c>
      <c r="I95" s="2" t="s">
        <v>673</v>
      </c>
      <c r="J95" s="2" t="s">
        <v>289</v>
      </c>
      <c r="K95" s="2" t="s">
        <v>249</v>
      </c>
      <c r="L95" s="3">
        <v>34.32</v>
      </c>
      <c r="M95" s="3">
        <v>36.04</v>
      </c>
      <c r="N95" s="3">
        <v>69.99</v>
      </c>
      <c r="O95" s="2" t="s">
        <v>461</v>
      </c>
      <c r="P95" s="2" t="s">
        <v>333</v>
      </c>
      <c r="Q95" s="2" t="s">
        <v>234</v>
      </c>
      <c r="R95" s="2" t="s">
        <v>228</v>
      </c>
      <c r="S95" s="2" t="s">
        <v>689</v>
      </c>
      <c r="T95" s="2" t="s">
        <v>675</v>
      </c>
      <c r="U95" s="2" t="s">
        <v>228</v>
      </c>
      <c r="V95" s="2" t="s">
        <v>236</v>
      </c>
      <c r="W95" s="2" t="s">
        <v>269</v>
      </c>
      <c r="X95" s="2" t="s">
        <v>228</v>
      </c>
      <c r="Y95" s="2" t="s">
        <v>270</v>
      </c>
      <c r="Z95" s="4">
        <v>165</v>
      </c>
      <c r="AA95" s="4">
        <f>=ROUNDDOWN(33,0)</f>
      </c>
      <c r="AB95" s="5">
        <v>5</v>
      </c>
      <c r="AC95" s="2" t="s">
        <v>228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228</v>
      </c>
      <c r="AM95" s="4"/>
      <c r="AN95" s="4"/>
      <c r="AO95" s="7"/>
      <c r="AP95" s="4"/>
      <c r="AQ95" s="8"/>
      <c r="AR95" s="4"/>
      <c r="AS95" s="8"/>
      <c r="AT95" s="7"/>
      <c r="AU95" s="7"/>
      <c r="AV95" s="4" t="s">
        <v>228</v>
      </c>
      <c r="AW95" s="8" t="s">
        <v>228</v>
      </c>
      <c r="AX95" s="4" t="s">
        <v>228</v>
      </c>
      <c r="AY95" s="8" t="s">
        <v>228</v>
      </c>
      <c r="AZ95" s="7" t="s">
        <v>228</v>
      </c>
      <c r="BA95" s="7" t="s">
        <v>228</v>
      </c>
      <c r="BB95" s="7"/>
      <c r="BC95" s="4" t="s">
        <v>228</v>
      </c>
      <c r="BD95" s="8" t="s">
        <v>228</v>
      </c>
      <c r="BE95" s="4" t="s">
        <v>228</v>
      </c>
      <c r="BF95" s="8" t="s">
        <v>228</v>
      </c>
      <c r="BG95" s="7" t="s">
        <v>228</v>
      </c>
      <c r="BH95" s="7" t="s">
        <v>228</v>
      </c>
      <c r="BI95" s="7"/>
      <c r="BJ95" s="4">
        <v>5</v>
      </c>
      <c r="BK95" s="8">
        <v>127.75</v>
      </c>
      <c r="BL95" s="2" t="s">
        <v>681</v>
      </c>
      <c r="BM95" s="7"/>
      <c r="BN95" s="7"/>
      <c r="BO95" s="4"/>
      <c r="BP95" s="8"/>
      <c r="BQ95" s="4"/>
      <c r="BR95" s="8"/>
      <c r="BS95" s="7"/>
      <c r="BT95" s="7"/>
      <c r="BU95" s="2" t="s">
        <v>694</v>
      </c>
      <c r="BV95" s="2" t="s">
        <v>228</v>
      </c>
      <c r="BW95" s="2" t="s">
        <v>228</v>
      </c>
      <c r="BX95" s="2" t="s">
        <v>337</v>
      </c>
      <c r="BY95" s="2" t="s">
        <v>274</v>
      </c>
      <c r="BZ95" s="2" t="s">
        <v>240</v>
      </c>
      <c r="CA95" s="2" t="s">
        <v>275</v>
      </c>
      <c r="CB95" s="2" t="s">
        <v>695</v>
      </c>
      <c r="CC95" s="2" t="s">
        <v>241</v>
      </c>
      <c r="CD95" s="2" t="s">
        <v>228</v>
      </c>
      <c r="CE95" s="4">
        <v>165</v>
      </c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</row>
    <row r="96">
      <c r="A96" s="2" t="s">
        <v>696</v>
      </c>
      <c r="B96" s="2" t="s">
        <v>299</v>
      </c>
      <c r="C96" s="2" t="s">
        <v>671</v>
      </c>
      <c r="D96" s="2" t="s">
        <v>301</v>
      </c>
      <c r="E96" s="2" t="s">
        <v>302</v>
      </c>
      <c r="F96" s="2" t="s">
        <v>672</v>
      </c>
      <c r="G96" s="2" t="s">
        <v>672</v>
      </c>
      <c r="H96" s="2" t="s">
        <v>228</v>
      </c>
      <c r="I96" s="2" t="s">
        <v>673</v>
      </c>
      <c r="J96" s="2" t="s">
        <v>264</v>
      </c>
      <c r="K96" s="2" t="s">
        <v>697</v>
      </c>
      <c r="L96" s="3">
        <v>25.34</v>
      </c>
      <c r="M96" s="3">
        <v>26.61</v>
      </c>
      <c r="N96" s="3">
        <v>52.99</v>
      </c>
      <c r="O96" s="2" t="s">
        <v>461</v>
      </c>
      <c r="P96" s="2" t="s">
        <v>333</v>
      </c>
      <c r="Q96" s="2" t="s">
        <v>234</v>
      </c>
      <c r="R96" s="2" t="s">
        <v>228</v>
      </c>
      <c r="S96" s="2" t="s">
        <v>698</v>
      </c>
      <c r="T96" s="2" t="s">
        <v>675</v>
      </c>
      <c r="U96" s="2" t="s">
        <v>228</v>
      </c>
      <c r="V96" s="2" t="s">
        <v>236</v>
      </c>
      <c r="W96" s="2" t="s">
        <v>269</v>
      </c>
      <c r="X96" s="2" t="s">
        <v>228</v>
      </c>
      <c r="Y96" s="2" t="s">
        <v>270</v>
      </c>
      <c r="Z96" s="4">
        <v>81</v>
      </c>
      <c r="AA96" s="4">
        <f>=ROUNDDOWN(67.5,0)</f>
      </c>
      <c r="AB96" s="5">
        <v>1.2</v>
      </c>
      <c r="AC96" s="2" t="s">
        <v>228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228</v>
      </c>
      <c r="AM96" s="4"/>
      <c r="AN96" s="4"/>
      <c r="AO96" s="7"/>
      <c r="AP96" s="4"/>
      <c r="AQ96" s="8"/>
      <c r="AR96" s="4"/>
      <c r="AS96" s="8"/>
      <c r="AT96" s="7"/>
      <c r="AU96" s="7"/>
      <c r="AV96" s="4" t="s">
        <v>228</v>
      </c>
      <c r="AW96" s="8" t="s">
        <v>228</v>
      </c>
      <c r="AX96" s="4" t="s">
        <v>228</v>
      </c>
      <c r="AY96" s="8" t="s">
        <v>228</v>
      </c>
      <c r="AZ96" s="7" t="s">
        <v>228</v>
      </c>
      <c r="BA96" s="7" t="s">
        <v>228</v>
      </c>
      <c r="BB96" s="7"/>
      <c r="BC96" s="4" t="s">
        <v>228</v>
      </c>
      <c r="BD96" s="8" t="s">
        <v>228</v>
      </c>
      <c r="BE96" s="4" t="s">
        <v>228</v>
      </c>
      <c r="BF96" s="8" t="s">
        <v>228</v>
      </c>
      <c r="BG96" s="7" t="s">
        <v>228</v>
      </c>
      <c r="BH96" s="7" t="s">
        <v>228</v>
      </c>
      <c r="BI96" s="7"/>
      <c r="BJ96" s="4"/>
      <c r="BK96" s="8"/>
      <c r="BL96" s="2" t="s">
        <v>699</v>
      </c>
      <c r="BM96" s="7"/>
      <c r="BN96" s="7"/>
      <c r="BO96" s="4"/>
      <c r="BP96" s="8"/>
      <c r="BQ96" s="4"/>
      <c r="BR96" s="8"/>
      <c r="BS96" s="7"/>
      <c r="BT96" s="7"/>
      <c r="BU96" s="2" t="s">
        <v>700</v>
      </c>
      <c r="BV96" s="2" t="s">
        <v>228</v>
      </c>
      <c r="BW96" s="2" t="s">
        <v>228</v>
      </c>
      <c r="BX96" s="2" t="s">
        <v>337</v>
      </c>
      <c r="BY96" s="2" t="s">
        <v>274</v>
      </c>
      <c r="BZ96" s="2" t="s">
        <v>240</v>
      </c>
      <c r="CA96" s="2" t="s">
        <v>275</v>
      </c>
      <c r="CB96" s="2" t="s">
        <v>701</v>
      </c>
      <c r="CC96" s="2" t="s">
        <v>241</v>
      </c>
      <c r="CD96" s="2" t="s">
        <v>228</v>
      </c>
      <c r="CE96" s="4">
        <v>81</v>
      </c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</row>
    <row r="97">
      <c r="A97" s="2" t="s">
        <v>702</v>
      </c>
      <c r="B97" s="2" t="s">
        <v>299</v>
      </c>
      <c r="C97" s="2" t="s">
        <v>671</v>
      </c>
      <c r="D97" s="2" t="s">
        <v>301</v>
      </c>
      <c r="E97" s="2" t="s">
        <v>302</v>
      </c>
      <c r="F97" s="2" t="s">
        <v>672</v>
      </c>
      <c r="G97" s="2" t="s">
        <v>672</v>
      </c>
      <c r="H97" s="2" t="s">
        <v>228</v>
      </c>
      <c r="I97" s="2" t="s">
        <v>673</v>
      </c>
      <c r="J97" s="2" t="s">
        <v>284</v>
      </c>
      <c r="K97" s="2" t="s">
        <v>697</v>
      </c>
      <c r="L97" s="3">
        <v>31.68</v>
      </c>
      <c r="M97" s="3">
        <v>33.26</v>
      </c>
      <c r="N97" s="3">
        <v>64.99</v>
      </c>
      <c r="O97" s="2" t="s">
        <v>461</v>
      </c>
      <c r="P97" s="2" t="s">
        <v>333</v>
      </c>
      <c r="Q97" s="2" t="s">
        <v>234</v>
      </c>
      <c r="R97" s="2" t="s">
        <v>228</v>
      </c>
      <c r="S97" s="2" t="s">
        <v>698</v>
      </c>
      <c r="T97" s="2" t="s">
        <v>675</v>
      </c>
      <c r="U97" s="2" t="s">
        <v>228</v>
      </c>
      <c r="V97" s="2" t="s">
        <v>236</v>
      </c>
      <c r="W97" s="2" t="s">
        <v>269</v>
      </c>
      <c r="X97" s="2" t="s">
        <v>228</v>
      </c>
      <c r="Y97" s="2" t="s">
        <v>270</v>
      </c>
      <c r="Z97" s="4">
        <v>60</v>
      </c>
      <c r="AA97" s="4">
        <f>=ROUNDDOWN(75,0)</f>
      </c>
      <c r="AB97" s="5">
        <v>0.8</v>
      </c>
      <c r="AC97" s="2" t="s">
        <v>228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228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228</v>
      </c>
      <c r="AW97" s="8" t="s">
        <v>228</v>
      </c>
      <c r="AX97" s="4" t="s">
        <v>228</v>
      </c>
      <c r="AY97" s="8" t="s">
        <v>228</v>
      </c>
      <c r="AZ97" s="7" t="s">
        <v>228</v>
      </c>
      <c r="BA97" s="7" t="s">
        <v>228</v>
      </c>
      <c r="BB97" s="7"/>
      <c r="BC97" s="4" t="s">
        <v>228</v>
      </c>
      <c r="BD97" s="8" t="s">
        <v>228</v>
      </c>
      <c r="BE97" s="4" t="s">
        <v>228</v>
      </c>
      <c r="BF97" s="8" t="s">
        <v>228</v>
      </c>
      <c r="BG97" s="7" t="s">
        <v>228</v>
      </c>
      <c r="BH97" s="7" t="s">
        <v>228</v>
      </c>
      <c r="BI97" s="7"/>
      <c r="BJ97" s="4"/>
      <c r="BK97" s="8"/>
      <c r="BL97" s="2" t="s">
        <v>622</v>
      </c>
      <c r="BM97" s="7"/>
      <c r="BN97" s="7"/>
      <c r="BO97" s="4"/>
      <c r="BP97" s="8"/>
      <c r="BQ97" s="4"/>
      <c r="BR97" s="8"/>
      <c r="BS97" s="7"/>
      <c r="BT97" s="7"/>
      <c r="BU97" s="2" t="s">
        <v>703</v>
      </c>
      <c r="BV97" s="2" t="s">
        <v>228</v>
      </c>
      <c r="BW97" s="2" t="s">
        <v>228</v>
      </c>
      <c r="BX97" s="2" t="s">
        <v>337</v>
      </c>
      <c r="BY97" s="2" t="s">
        <v>274</v>
      </c>
      <c r="BZ97" s="2" t="s">
        <v>240</v>
      </c>
      <c r="CA97" s="2" t="s">
        <v>275</v>
      </c>
      <c r="CB97" s="2" t="s">
        <v>704</v>
      </c>
      <c r="CC97" s="2" t="s">
        <v>241</v>
      </c>
      <c r="CD97" s="2" t="s">
        <v>228</v>
      </c>
      <c r="CE97" s="4">
        <v>60</v>
      </c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</row>
    <row r="98">
      <c r="A98" s="2" t="s">
        <v>705</v>
      </c>
      <c r="B98" s="2" t="s">
        <v>299</v>
      </c>
      <c r="C98" s="2" t="s">
        <v>671</v>
      </c>
      <c r="D98" s="2" t="s">
        <v>301</v>
      </c>
      <c r="E98" s="2" t="s">
        <v>302</v>
      </c>
      <c r="F98" s="2" t="s">
        <v>672</v>
      </c>
      <c r="G98" s="2" t="s">
        <v>672</v>
      </c>
      <c r="H98" s="2" t="s">
        <v>228</v>
      </c>
      <c r="I98" s="2" t="s">
        <v>673</v>
      </c>
      <c r="J98" s="2" t="s">
        <v>264</v>
      </c>
      <c r="K98" s="2" t="s">
        <v>251</v>
      </c>
      <c r="L98" s="3">
        <v>25.34</v>
      </c>
      <c r="M98" s="3">
        <v>26.61</v>
      </c>
      <c r="N98" s="3">
        <v>52.99</v>
      </c>
      <c r="O98" s="2" t="s">
        <v>461</v>
      </c>
      <c r="P98" s="2" t="s">
        <v>333</v>
      </c>
      <c r="Q98" s="2" t="s">
        <v>234</v>
      </c>
      <c r="R98" s="2" t="s">
        <v>228</v>
      </c>
      <c r="S98" s="2" t="s">
        <v>706</v>
      </c>
      <c r="T98" s="2" t="s">
        <v>675</v>
      </c>
      <c r="U98" s="2" t="s">
        <v>228</v>
      </c>
      <c r="V98" s="2" t="s">
        <v>236</v>
      </c>
      <c r="W98" s="2" t="s">
        <v>269</v>
      </c>
      <c r="X98" s="2" t="s">
        <v>228</v>
      </c>
      <c r="Y98" s="2" t="s">
        <v>707</v>
      </c>
      <c r="Z98" s="4">
        <v>105</v>
      </c>
      <c r="AA98" s="4">
        <f>=ROUNDDOWN(61.7647058823529,0)</f>
      </c>
      <c r="AB98" s="5">
        <v>1.7</v>
      </c>
      <c r="AC98" s="2" t="s">
        <v>228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228</v>
      </c>
      <c r="AM98" s="4"/>
      <c r="AN98" s="4"/>
      <c r="AO98" s="7"/>
      <c r="AP98" s="4"/>
      <c r="AQ98" s="8"/>
      <c r="AR98" s="4"/>
      <c r="AS98" s="8"/>
      <c r="AT98" s="7"/>
      <c r="AU98" s="7"/>
      <c r="AV98" s="4" t="s">
        <v>228</v>
      </c>
      <c r="AW98" s="8" t="s">
        <v>228</v>
      </c>
      <c r="AX98" s="4" t="s">
        <v>228</v>
      </c>
      <c r="AY98" s="8" t="s">
        <v>228</v>
      </c>
      <c r="AZ98" s="7" t="s">
        <v>228</v>
      </c>
      <c r="BA98" s="7" t="s">
        <v>228</v>
      </c>
      <c r="BB98" s="7"/>
      <c r="BC98" s="4" t="s">
        <v>228</v>
      </c>
      <c r="BD98" s="8" t="s">
        <v>228</v>
      </c>
      <c r="BE98" s="4" t="s">
        <v>228</v>
      </c>
      <c r="BF98" s="8" t="s">
        <v>228</v>
      </c>
      <c r="BG98" s="7" t="s">
        <v>228</v>
      </c>
      <c r="BH98" s="7" t="s">
        <v>228</v>
      </c>
      <c r="BI98" s="7"/>
      <c r="BJ98" s="4">
        <v>1</v>
      </c>
      <c r="BK98" s="8">
        <v>18.97</v>
      </c>
      <c r="BL98" s="2" t="s">
        <v>708</v>
      </c>
      <c r="BM98" s="7"/>
      <c r="BN98" s="7"/>
      <c r="BO98" s="4"/>
      <c r="BP98" s="8"/>
      <c r="BQ98" s="4"/>
      <c r="BR98" s="8"/>
      <c r="BS98" s="7"/>
      <c r="BT98" s="7"/>
      <c r="BU98" s="2" t="s">
        <v>709</v>
      </c>
      <c r="BV98" s="2" t="s">
        <v>228</v>
      </c>
      <c r="BW98" s="2" t="s">
        <v>228</v>
      </c>
      <c r="BX98" s="2" t="s">
        <v>337</v>
      </c>
      <c r="BY98" s="2" t="s">
        <v>274</v>
      </c>
      <c r="BZ98" s="2" t="s">
        <v>240</v>
      </c>
      <c r="CA98" s="2" t="s">
        <v>275</v>
      </c>
      <c r="CB98" s="2" t="s">
        <v>609</v>
      </c>
      <c r="CC98" s="2" t="s">
        <v>241</v>
      </c>
      <c r="CD98" s="2" t="s">
        <v>228</v>
      </c>
      <c r="CE98" s="4">
        <v>105</v>
      </c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</row>
    <row r="99">
      <c r="A99" s="2" t="s">
        <v>710</v>
      </c>
      <c r="B99" s="2" t="s">
        <v>299</v>
      </c>
      <c r="C99" s="2" t="s">
        <v>671</v>
      </c>
      <c r="D99" s="2" t="s">
        <v>301</v>
      </c>
      <c r="E99" s="2" t="s">
        <v>302</v>
      </c>
      <c r="F99" s="2" t="s">
        <v>672</v>
      </c>
      <c r="G99" s="2" t="s">
        <v>672</v>
      </c>
      <c r="H99" s="2" t="s">
        <v>228</v>
      </c>
      <c r="I99" s="2" t="s">
        <v>673</v>
      </c>
      <c r="J99" s="2" t="s">
        <v>289</v>
      </c>
      <c r="K99" s="2" t="s">
        <v>251</v>
      </c>
      <c r="L99" s="3">
        <v>34.32</v>
      </c>
      <c r="M99" s="3">
        <v>36.04</v>
      </c>
      <c r="N99" s="3">
        <v>69.99</v>
      </c>
      <c r="O99" s="2" t="s">
        <v>461</v>
      </c>
      <c r="P99" s="2" t="s">
        <v>333</v>
      </c>
      <c r="Q99" s="2" t="s">
        <v>234</v>
      </c>
      <c r="R99" s="2" t="s">
        <v>228</v>
      </c>
      <c r="S99" s="2" t="s">
        <v>706</v>
      </c>
      <c r="T99" s="2" t="s">
        <v>675</v>
      </c>
      <c r="U99" s="2" t="s">
        <v>228</v>
      </c>
      <c r="V99" s="2" t="s">
        <v>236</v>
      </c>
      <c r="W99" s="2" t="s">
        <v>269</v>
      </c>
      <c r="X99" s="2" t="s">
        <v>228</v>
      </c>
      <c r="Y99" s="2" t="s">
        <v>270</v>
      </c>
      <c r="Z99" s="4">
        <v>295</v>
      </c>
      <c r="AA99" s="4">
        <f>=ROUNDDOWN(98.3333333333333,0)</f>
      </c>
      <c r="AB99" s="5">
        <v>3</v>
      </c>
      <c r="AC99" s="2" t="s">
        <v>228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228</v>
      </c>
      <c r="AM99" s="4"/>
      <c r="AN99" s="4"/>
      <c r="AO99" s="7"/>
      <c r="AP99" s="4"/>
      <c r="AQ99" s="8"/>
      <c r="AR99" s="4"/>
      <c r="AS99" s="8"/>
      <c r="AT99" s="7"/>
      <c r="AU99" s="7"/>
      <c r="AV99" s="4" t="s">
        <v>228</v>
      </c>
      <c r="AW99" s="8" t="s">
        <v>228</v>
      </c>
      <c r="AX99" s="4" t="s">
        <v>228</v>
      </c>
      <c r="AY99" s="8" t="s">
        <v>228</v>
      </c>
      <c r="AZ99" s="7" t="s">
        <v>228</v>
      </c>
      <c r="BA99" s="7" t="s">
        <v>228</v>
      </c>
      <c r="BB99" s="7"/>
      <c r="BC99" s="4" t="s">
        <v>228</v>
      </c>
      <c r="BD99" s="8" t="s">
        <v>228</v>
      </c>
      <c r="BE99" s="4" t="s">
        <v>228</v>
      </c>
      <c r="BF99" s="8" t="s">
        <v>228</v>
      </c>
      <c r="BG99" s="7" t="s">
        <v>228</v>
      </c>
      <c r="BH99" s="7" t="s">
        <v>228</v>
      </c>
      <c r="BI99" s="7"/>
      <c r="BJ99" s="4">
        <v>3</v>
      </c>
      <c r="BK99" s="8">
        <v>94.19</v>
      </c>
      <c r="BL99" s="2" t="s">
        <v>711</v>
      </c>
      <c r="BM99" s="7"/>
      <c r="BN99" s="7"/>
      <c r="BO99" s="4"/>
      <c r="BP99" s="8"/>
      <c r="BQ99" s="4"/>
      <c r="BR99" s="8"/>
      <c r="BS99" s="7"/>
      <c r="BT99" s="7"/>
      <c r="BU99" s="2" t="s">
        <v>712</v>
      </c>
      <c r="BV99" s="2" t="s">
        <v>228</v>
      </c>
      <c r="BW99" s="2" t="s">
        <v>228</v>
      </c>
      <c r="BX99" s="2" t="s">
        <v>337</v>
      </c>
      <c r="BY99" s="2" t="s">
        <v>274</v>
      </c>
      <c r="BZ99" s="2" t="s">
        <v>240</v>
      </c>
      <c r="CA99" s="2" t="s">
        <v>275</v>
      </c>
      <c r="CB99" s="2" t="s">
        <v>692</v>
      </c>
      <c r="CC99" s="2" t="s">
        <v>241</v>
      </c>
      <c r="CD99" s="2" t="s">
        <v>228</v>
      </c>
      <c r="CE99" s="4">
        <v>295</v>
      </c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</row>
    <row r="100">
      <c r="A100" s="2" t="s">
        <v>713</v>
      </c>
      <c r="B100" s="2" t="s">
        <v>299</v>
      </c>
      <c r="C100" s="2" t="s">
        <v>300</v>
      </c>
      <c r="D100" s="2" t="s">
        <v>301</v>
      </c>
      <c r="E100" s="2" t="s">
        <v>302</v>
      </c>
      <c r="F100" s="2" t="s">
        <v>714</v>
      </c>
      <c r="G100" s="2" t="s">
        <v>714</v>
      </c>
      <c r="H100" s="2" t="s">
        <v>714</v>
      </c>
      <c r="I100" s="2" t="s">
        <v>479</v>
      </c>
      <c r="J100" s="2" t="s">
        <v>289</v>
      </c>
      <c r="K100" s="2" t="s">
        <v>265</v>
      </c>
      <c r="L100" s="3">
        <v>40.25</v>
      </c>
      <c r="M100" s="3">
        <v>42.26</v>
      </c>
      <c r="N100" s="3">
        <v>89.99</v>
      </c>
      <c r="O100" s="2" t="s">
        <v>240</v>
      </c>
      <c r="P100" s="2" t="s">
        <v>715</v>
      </c>
      <c r="Q100" s="2" t="s">
        <v>234</v>
      </c>
      <c r="R100" s="2" t="s">
        <v>228</v>
      </c>
      <c r="S100" s="2" t="s">
        <v>716</v>
      </c>
      <c r="T100" s="2" t="s">
        <v>350</v>
      </c>
      <c r="U100" s="2" t="s">
        <v>308</v>
      </c>
      <c r="V100" s="2" t="s">
        <v>236</v>
      </c>
      <c r="W100" s="2" t="s">
        <v>309</v>
      </c>
      <c r="X100" s="2" t="s">
        <v>269</v>
      </c>
      <c r="Y100" s="2" t="s">
        <v>482</v>
      </c>
      <c r="Z100" s="4"/>
      <c r="AA100" s="4">
        <f>=ROUNDDOWN({0},0)</f>
      </c>
      <c r="AB100" s="5">
        <v>33</v>
      </c>
      <c r="AC100" s="2" t="s">
        <v>717</v>
      </c>
      <c r="AD100" s="4">
        <v>200</v>
      </c>
      <c r="AE100" s="4">
        <v>970</v>
      </c>
      <c r="AF100" s="6">
        <v>73</v>
      </c>
      <c r="AG100" s="6"/>
      <c r="AH100" s="7">
        <v>0</v>
      </c>
      <c r="AI100" s="4"/>
      <c r="AJ100" s="4">
        <f>=ROUNDDOWN({0},0)</f>
      </c>
      <c r="AK100" s="5"/>
      <c r="AL100" s="2" t="s">
        <v>228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 t="s">
        <v>228</v>
      </c>
      <c r="AW100" s="8" t="s">
        <v>228</v>
      </c>
      <c r="AX100" s="4" t="s">
        <v>228</v>
      </c>
      <c r="AY100" s="8" t="s">
        <v>228</v>
      </c>
      <c r="AZ100" s="7" t="s">
        <v>228</v>
      </c>
      <c r="BA100" s="7" t="s">
        <v>228</v>
      </c>
      <c r="BB100" s="7"/>
      <c r="BC100" s="4" t="s">
        <v>228</v>
      </c>
      <c r="BD100" s="8" t="s">
        <v>228</v>
      </c>
      <c r="BE100" s="4" t="s">
        <v>228</v>
      </c>
      <c r="BF100" s="8" t="s">
        <v>228</v>
      </c>
      <c r="BG100" s="7" t="s">
        <v>228</v>
      </c>
      <c r="BH100" s="7" t="s">
        <v>228</v>
      </c>
      <c r="BI100" s="7"/>
      <c r="BJ100" s="4"/>
      <c r="BK100" s="8"/>
      <c r="BL100" s="2" t="s">
        <v>228</v>
      </c>
      <c r="BM100" s="7"/>
      <c r="BN100" s="7"/>
      <c r="BO100" s="4"/>
      <c r="BP100" s="8"/>
      <c r="BQ100" s="4"/>
      <c r="BR100" s="8"/>
      <c r="BS100" s="7"/>
      <c r="BT100" s="7"/>
      <c r="BU100" s="2" t="s">
        <v>718</v>
      </c>
      <c r="BV100" s="2" t="s">
        <v>228</v>
      </c>
      <c r="BW100" s="2" t="s">
        <v>228</v>
      </c>
      <c r="BX100" s="2" t="s">
        <v>273</v>
      </c>
      <c r="BY100" s="2" t="s">
        <v>274</v>
      </c>
      <c r="BZ100" s="2" t="s">
        <v>240</v>
      </c>
      <c r="CA100" s="2" t="s">
        <v>486</v>
      </c>
      <c r="CB100" s="2" t="s">
        <v>719</v>
      </c>
      <c r="CC100" s="2" t="s">
        <v>241</v>
      </c>
      <c r="CD100" s="2" t="s">
        <v>228</v>
      </c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>
        <v>200</v>
      </c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>
        <v>130</v>
      </c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>
        <v>210</v>
      </c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>
        <v>150</v>
      </c>
      <c r="GC100" s="4"/>
      <c r="GD100" s="4"/>
      <c r="GE100" s="4"/>
      <c r="GF100" s="4"/>
      <c r="GG100" s="4">
        <v>280</v>
      </c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</row>
    <row r="101">
      <c r="A101" s="2" t="s">
        <v>720</v>
      </c>
      <c r="B101" s="2" t="s">
        <v>299</v>
      </c>
      <c r="C101" s="2" t="s">
        <v>300</v>
      </c>
      <c r="D101" s="2" t="s">
        <v>301</v>
      </c>
      <c r="E101" s="2" t="s">
        <v>302</v>
      </c>
      <c r="F101" s="2" t="s">
        <v>714</v>
      </c>
      <c r="G101" s="2" t="s">
        <v>714</v>
      </c>
      <c r="H101" s="2" t="s">
        <v>714</v>
      </c>
      <c r="I101" s="2" t="s">
        <v>479</v>
      </c>
      <c r="J101" s="2" t="s">
        <v>294</v>
      </c>
      <c r="K101" s="2" t="s">
        <v>265</v>
      </c>
      <c r="L101" s="3">
        <v>45.5</v>
      </c>
      <c r="M101" s="3">
        <v>47.78</v>
      </c>
      <c r="N101" s="3">
        <v>99.99</v>
      </c>
      <c r="O101" s="2" t="s">
        <v>240</v>
      </c>
      <c r="P101" s="2" t="s">
        <v>266</v>
      </c>
      <c r="Q101" s="2" t="s">
        <v>234</v>
      </c>
      <c r="R101" s="2" t="s">
        <v>228</v>
      </c>
      <c r="S101" s="2" t="s">
        <v>716</v>
      </c>
      <c r="T101" s="2" t="s">
        <v>350</v>
      </c>
      <c r="U101" s="2" t="s">
        <v>308</v>
      </c>
      <c r="V101" s="2" t="s">
        <v>236</v>
      </c>
      <c r="W101" s="2" t="s">
        <v>309</v>
      </c>
      <c r="X101" s="2" t="s">
        <v>269</v>
      </c>
      <c r="Y101" s="2" t="s">
        <v>482</v>
      </c>
      <c r="Z101" s="4">
        <v>1</v>
      </c>
      <c r="AA101" s="4">
        <f>=ROUNDDOWN(0.0588235294117647,0)</f>
      </c>
      <c r="AB101" s="5">
        <v>17</v>
      </c>
      <c r="AC101" s="2" t="s">
        <v>717</v>
      </c>
      <c r="AD101" s="4">
        <v>140</v>
      </c>
      <c r="AE101" s="4">
        <v>440</v>
      </c>
      <c r="AF101" s="6">
        <v>73</v>
      </c>
      <c r="AG101" s="6"/>
      <c r="AH101" s="7">
        <v>0</v>
      </c>
      <c r="AI101" s="4"/>
      <c r="AJ101" s="4">
        <f>=ROUNDDOWN({0},0)</f>
      </c>
      <c r="AK101" s="5"/>
      <c r="AL101" s="2" t="s">
        <v>228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 t="s">
        <v>228</v>
      </c>
      <c r="AW101" s="8" t="s">
        <v>228</v>
      </c>
      <c r="AX101" s="4" t="s">
        <v>228</v>
      </c>
      <c r="AY101" s="8" t="s">
        <v>228</v>
      </c>
      <c r="AZ101" s="7" t="s">
        <v>228</v>
      </c>
      <c r="BA101" s="7" t="s">
        <v>228</v>
      </c>
      <c r="BB101" s="7"/>
      <c r="BC101" s="4" t="s">
        <v>228</v>
      </c>
      <c r="BD101" s="8" t="s">
        <v>228</v>
      </c>
      <c r="BE101" s="4" t="s">
        <v>228</v>
      </c>
      <c r="BF101" s="8" t="s">
        <v>228</v>
      </c>
      <c r="BG101" s="7" t="s">
        <v>228</v>
      </c>
      <c r="BH101" s="7" t="s">
        <v>228</v>
      </c>
      <c r="BI101" s="7"/>
      <c r="BJ101" s="4">
        <v>3</v>
      </c>
      <c r="BK101" s="8">
        <v>157.91</v>
      </c>
      <c r="BL101" s="2" t="s">
        <v>721</v>
      </c>
      <c r="BM101" s="7"/>
      <c r="BN101" s="7"/>
      <c r="BO101" s="4"/>
      <c r="BP101" s="8"/>
      <c r="BQ101" s="4"/>
      <c r="BR101" s="8"/>
      <c r="BS101" s="7"/>
      <c r="BT101" s="7"/>
      <c r="BU101" s="2" t="s">
        <v>722</v>
      </c>
      <c r="BV101" s="2" t="s">
        <v>228</v>
      </c>
      <c r="BW101" s="2" t="s">
        <v>228</v>
      </c>
      <c r="BX101" s="2" t="s">
        <v>273</v>
      </c>
      <c r="BY101" s="2" t="s">
        <v>274</v>
      </c>
      <c r="BZ101" s="2" t="s">
        <v>240</v>
      </c>
      <c r="CA101" s="2" t="s">
        <v>486</v>
      </c>
      <c r="CB101" s="2" t="s">
        <v>723</v>
      </c>
      <c r="CC101" s="2" t="s">
        <v>241</v>
      </c>
      <c r="CD101" s="2" t="s">
        <v>228</v>
      </c>
      <c r="CE101" s="4">
        <v>1</v>
      </c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>
        <v>140</v>
      </c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>
        <v>60</v>
      </c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>
        <v>80</v>
      </c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>
        <v>60</v>
      </c>
      <c r="GC101" s="4"/>
      <c r="GD101" s="4"/>
      <c r="GE101" s="4"/>
      <c r="GF101" s="4"/>
      <c r="GG101" s="4">
        <v>100</v>
      </c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</row>
    <row r="102">
      <c r="A102" s="2" t="s">
        <v>724</v>
      </c>
      <c r="B102" s="2" t="s">
        <v>299</v>
      </c>
      <c r="C102" s="2" t="s">
        <v>300</v>
      </c>
      <c r="D102" s="2" t="s">
        <v>301</v>
      </c>
      <c r="E102" s="2" t="s">
        <v>302</v>
      </c>
      <c r="F102" s="2" t="s">
        <v>714</v>
      </c>
      <c r="G102" s="2" t="s">
        <v>714</v>
      </c>
      <c r="H102" s="2" t="s">
        <v>714</v>
      </c>
      <c r="I102" s="2" t="s">
        <v>479</v>
      </c>
      <c r="J102" s="2" t="s">
        <v>289</v>
      </c>
      <c r="K102" s="2" t="s">
        <v>725</v>
      </c>
      <c r="L102" s="3">
        <v>40.25</v>
      </c>
      <c r="M102" s="3">
        <v>42.26</v>
      </c>
      <c r="N102" s="3">
        <v>89.99</v>
      </c>
      <c r="O102" s="2" t="s">
        <v>240</v>
      </c>
      <c r="P102" s="2" t="s">
        <v>715</v>
      </c>
      <c r="Q102" s="2" t="s">
        <v>234</v>
      </c>
      <c r="R102" s="2" t="s">
        <v>228</v>
      </c>
      <c r="S102" s="2" t="s">
        <v>726</v>
      </c>
      <c r="T102" s="2" t="s">
        <v>350</v>
      </c>
      <c r="U102" s="2" t="s">
        <v>308</v>
      </c>
      <c r="V102" s="2" t="s">
        <v>236</v>
      </c>
      <c r="W102" s="2" t="s">
        <v>309</v>
      </c>
      <c r="X102" s="2" t="s">
        <v>269</v>
      </c>
      <c r="Y102" s="2" t="s">
        <v>482</v>
      </c>
      <c r="Z102" s="4">
        <v>1</v>
      </c>
      <c r="AA102" s="4">
        <f>=ROUNDDOWN(0.037037037037037,0)</f>
      </c>
      <c r="AB102" s="5">
        <v>27</v>
      </c>
      <c r="AC102" s="2" t="s">
        <v>717</v>
      </c>
      <c r="AD102" s="4">
        <v>180</v>
      </c>
      <c r="AE102" s="4">
        <v>840</v>
      </c>
      <c r="AF102" s="6">
        <v>73</v>
      </c>
      <c r="AG102" s="6"/>
      <c r="AH102" s="7">
        <v>0</v>
      </c>
      <c r="AI102" s="4"/>
      <c r="AJ102" s="4">
        <f>=ROUNDDOWN({0},0)</f>
      </c>
      <c r="AK102" s="5"/>
      <c r="AL102" s="2" t="s">
        <v>228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/>
      <c r="AW102" s="8"/>
      <c r="AX102" s="4"/>
      <c r="AY102" s="8"/>
      <c r="AZ102" s="7"/>
      <c r="BA102" s="7"/>
      <c r="BB102" s="7"/>
      <c r="BC102" s="4" t="s">
        <v>228</v>
      </c>
      <c r="BD102" s="8" t="s">
        <v>228</v>
      </c>
      <c r="BE102" s="4" t="s">
        <v>228</v>
      </c>
      <c r="BF102" s="8" t="s">
        <v>228</v>
      </c>
      <c r="BG102" s="7" t="s">
        <v>228</v>
      </c>
      <c r="BH102" s="7" t="s">
        <v>228</v>
      </c>
      <c r="BI102" s="7"/>
      <c r="BJ102" s="4">
        <v>6</v>
      </c>
      <c r="BK102" s="8">
        <v>277.74</v>
      </c>
      <c r="BL102" s="2" t="s">
        <v>727</v>
      </c>
      <c r="BM102" s="7"/>
      <c r="BN102" s="7"/>
      <c r="BO102" s="4"/>
      <c r="BP102" s="8"/>
      <c r="BQ102" s="4"/>
      <c r="BR102" s="8"/>
      <c r="BS102" s="7"/>
      <c r="BT102" s="7"/>
      <c r="BU102" s="2" t="s">
        <v>728</v>
      </c>
      <c r="BV102" s="2" t="s">
        <v>228</v>
      </c>
      <c r="BW102" s="2" t="s">
        <v>228</v>
      </c>
      <c r="BX102" s="2" t="s">
        <v>273</v>
      </c>
      <c r="BY102" s="2" t="s">
        <v>274</v>
      </c>
      <c r="BZ102" s="2" t="s">
        <v>240</v>
      </c>
      <c r="CA102" s="2" t="s">
        <v>486</v>
      </c>
      <c r="CB102" s="2" t="s">
        <v>729</v>
      </c>
      <c r="CC102" s="2" t="s">
        <v>241</v>
      </c>
      <c r="CD102" s="2" t="s">
        <v>228</v>
      </c>
      <c r="CE102" s="4">
        <v>1</v>
      </c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>
        <v>180</v>
      </c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>
        <v>170</v>
      </c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>
        <v>200</v>
      </c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>
        <v>170</v>
      </c>
      <c r="GC102" s="4"/>
      <c r="GD102" s="4"/>
      <c r="GE102" s="4"/>
      <c r="GF102" s="4"/>
      <c r="GG102" s="4">
        <v>120</v>
      </c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</row>
    <row r="103">
      <c r="A103" s="2" t="s">
        <v>730</v>
      </c>
      <c r="B103" s="2" t="s">
        <v>299</v>
      </c>
      <c r="C103" s="2" t="s">
        <v>731</v>
      </c>
      <c r="D103" s="2" t="s">
        <v>301</v>
      </c>
      <c r="E103" s="2" t="s">
        <v>302</v>
      </c>
      <c r="F103" s="2" t="s">
        <v>732</v>
      </c>
      <c r="G103" s="2" t="s">
        <v>732</v>
      </c>
      <c r="H103" s="2" t="s">
        <v>732</v>
      </c>
      <c r="I103" s="2" t="s">
        <v>733</v>
      </c>
      <c r="J103" s="2" t="s">
        <v>284</v>
      </c>
      <c r="K103" s="2" t="s">
        <v>305</v>
      </c>
      <c r="L103" s="3">
        <v>27.72</v>
      </c>
      <c r="M103" s="3">
        <v>29.11</v>
      </c>
      <c r="N103" s="3">
        <v>59.99</v>
      </c>
      <c r="O103" s="2" t="s">
        <v>240</v>
      </c>
      <c r="P103" s="2" t="s">
        <v>233</v>
      </c>
      <c r="Q103" s="2" t="s">
        <v>234</v>
      </c>
      <c r="R103" s="2" t="s">
        <v>228</v>
      </c>
      <c r="S103" s="2" t="s">
        <v>734</v>
      </c>
      <c r="T103" s="2" t="s">
        <v>307</v>
      </c>
      <c r="U103" s="2" t="s">
        <v>308</v>
      </c>
      <c r="V103" s="2" t="s">
        <v>236</v>
      </c>
      <c r="W103" s="2" t="s">
        <v>269</v>
      </c>
      <c r="X103" s="2" t="s">
        <v>417</v>
      </c>
      <c r="Y103" s="2" t="s">
        <v>228</v>
      </c>
      <c r="Z103" s="4"/>
      <c r="AA103" s="4">
        <f>=ROUNDDOWN({0},0)</f>
      </c>
      <c r="AB103" s="5"/>
      <c r="AC103" s="2" t="s">
        <v>154</v>
      </c>
      <c r="AD103" s="4">
        <v>80</v>
      </c>
      <c r="AE103" s="4">
        <v>160</v>
      </c>
      <c r="AF103" s="6">
        <v>69</v>
      </c>
      <c r="AG103" s="6"/>
      <c r="AH103" s="7"/>
      <c r="AI103" s="4"/>
      <c r="AJ103" s="4">
        <f>=ROUNDDOWN({0},0)</f>
      </c>
      <c r="AK103" s="5"/>
      <c r="AL103" s="2" t="s">
        <v>228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 t="s">
        <v>228</v>
      </c>
      <c r="AW103" s="8" t="s">
        <v>228</v>
      </c>
      <c r="AX103" s="4" t="s">
        <v>228</v>
      </c>
      <c r="AY103" s="8" t="s">
        <v>228</v>
      </c>
      <c r="AZ103" s="7" t="s">
        <v>228</v>
      </c>
      <c r="BA103" s="7" t="s">
        <v>228</v>
      </c>
      <c r="BB103" s="7"/>
      <c r="BC103" s="4" t="s">
        <v>228</v>
      </c>
      <c r="BD103" s="8" t="s">
        <v>228</v>
      </c>
      <c r="BE103" s="4" t="s">
        <v>228</v>
      </c>
      <c r="BF103" s="8" t="s">
        <v>228</v>
      </c>
      <c r="BG103" s="7" t="s">
        <v>228</v>
      </c>
      <c r="BH103" s="7" t="s">
        <v>228</v>
      </c>
      <c r="BI103" s="7"/>
      <c r="BJ103" s="4"/>
      <c r="BK103" s="8"/>
      <c r="BL103" s="2" t="s">
        <v>228</v>
      </c>
      <c r="BM103" s="7"/>
      <c r="BN103" s="7"/>
      <c r="BO103" s="4"/>
      <c r="BP103" s="8"/>
      <c r="BQ103" s="4"/>
      <c r="BR103" s="8"/>
      <c r="BS103" s="7"/>
      <c r="BT103" s="7"/>
      <c r="BU103" s="2" t="s">
        <v>238</v>
      </c>
      <c r="BV103" s="2" t="s">
        <v>228</v>
      </c>
      <c r="BW103" s="2" t="s">
        <v>228</v>
      </c>
      <c r="BX103" s="2" t="s">
        <v>735</v>
      </c>
      <c r="BY103" s="2" t="s">
        <v>239</v>
      </c>
      <c r="BZ103" s="2" t="s">
        <v>240</v>
      </c>
      <c r="CA103" s="2" t="s">
        <v>228</v>
      </c>
      <c r="CB103" s="2" t="s">
        <v>228</v>
      </c>
      <c r="CC103" s="2" t="s">
        <v>241</v>
      </c>
      <c r="CD103" s="2" t="s">
        <v>228</v>
      </c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>
        <v>80</v>
      </c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>
        <v>80</v>
      </c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</row>
    <row r="104">
      <c r="A104" s="2" t="s">
        <v>736</v>
      </c>
      <c r="B104" s="2" t="s">
        <v>299</v>
      </c>
      <c r="C104" s="2" t="s">
        <v>731</v>
      </c>
      <c r="D104" s="2" t="s">
        <v>301</v>
      </c>
      <c r="E104" s="2" t="s">
        <v>302</v>
      </c>
      <c r="F104" s="2" t="s">
        <v>732</v>
      </c>
      <c r="G104" s="2" t="s">
        <v>732</v>
      </c>
      <c r="H104" s="2" t="s">
        <v>732</v>
      </c>
      <c r="I104" s="2" t="s">
        <v>733</v>
      </c>
      <c r="J104" s="2" t="s">
        <v>289</v>
      </c>
      <c r="K104" s="2" t="s">
        <v>305</v>
      </c>
      <c r="L104" s="3">
        <v>30.71</v>
      </c>
      <c r="M104" s="3">
        <v>32.25</v>
      </c>
      <c r="N104" s="3">
        <v>64.99</v>
      </c>
      <c r="O104" s="2" t="s">
        <v>240</v>
      </c>
      <c r="P104" s="2" t="s">
        <v>233</v>
      </c>
      <c r="Q104" s="2" t="s">
        <v>234</v>
      </c>
      <c r="R104" s="2" t="s">
        <v>228</v>
      </c>
      <c r="S104" s="2" t="s">
        <v>734</v>
      </c>
      <c r="T104" s="2" t="s">
        <v>307</v>
      </c>
      <c r="U104" s="2" t="s">
        <v>308</v>
      </c>
      <c r="V104" s="2" t="s">
        <v>236</v>
      </c>
      <c r="W104" s="2" t="s">
        <v>269</v>
      </c>
      <c r="X104" s="2" t="s">
        <v>417</v>
      </c>
      <c r="Y104" s="2" t="s">
        <v>228</v>
      </c>
      <c r="Z104" s="4"/>
      <c r="AA104" s="4">
        <f>=ROUNDDOWN({0},0)</f>
      </c>
      <c r="AB104" s="5"/>
      <c r="AC104" s="2" t="s">
        <v>154</v>
      </c>
      <c r="AD104" s="4">
        <v>310</v>
      </c>
      <c r="AE104" s="4">
        <v>620</v>
      </c>
      <c r="AF104" s="6">
        <v>69</v>
      </c>
      <c r="AG104" s="6"/>
      <c r="AH104" s="7"/>
      <c r="AI104" s="4"/>
      <c r="AJ104" s="4">
        <f>=ROUNDDOWN({0},0)</f>
      </c>
      <c r="AK104" s="5"/>
      <c r="AL104" s="2" t="s">
        <v>228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 t="s">
        <v>228</v>
      </c>
      <c r="AW104" s="8" t="s">
        <v>228</v>
      </c>
      <c r="AX104" s="4" t="s">
        <v>228</v>
      </c>
      <c r="AY104" s="8" t="s">
        <v>228</v>
      </c>
      <c r="AZ104" s="7" t="s">
        <v>228</v>
      </c>
      <c r="BA104" s="7" t="s">
        <v>228</v>
      </c>
      <c r="BB104" s="7"/>
      <c r="BC104" s="4" t="s">
        <v>228</v>
      </c>
      <c r="BD104" s="8" t="s">
        <v>228</v>
      </c>
      <c r="BE104" s="4" t="s">
        <v>228</v>
      </c>
      <c r="BF104" s="8" t="s">
        <v>228</v>
      </c>
      <c r="BG104" s="7" t="s">
        <v>228</v>
      </c>
      <c r="BH104" s="7" t="s">
        <v>228</v>
      </c>
      <c r="BI104" s="7"/>
      <c r="BJ104" s="4"/>
      <c r="BK104" s="8"/>
      <c r="BL104" s="2" t="s">
        <v>228</v>
      </c>
      <c r="BM104" s="7"/>
      <c r="BN104" s="7"/>
      <c r="BO104" s="4"/>
      <c r="BP104" s="8"/>
      <c r="BQ104" s="4"/>
      <c r="BR104" s="8"/>
      <c r="BS104" s="7"/>
      <c r="BT104" s="7"/>
      <c r="BU104" s="2" t="s">
        <v>238</v>
      </c>
      <c r="BV104" s="2" t="s">
        <v>228</v>
      </c>
      <c r="BW104" s="2" t="s">
        <v>228</v>
      </c>
      <c r="BX104" s="2" t="s">
        <v>735</v>
      </c>
      <c r="BY104" s="2" t="s">
        <v>239</v>
      </c>
      <c r="BZ104" s="2" t="s">
        <v>240</v>
      </c>
      <c r="CA104" s="2" t="s">
        <v>228</v>
      </c>
      <c r="CB104" s="2" t="s">
        <v>228</v>
      </c>
      <c r="CC104" s="2" t="s">
        <v>241</v>
      </c>
      <c r="CD104" s="2" t="s">
        <v>228</v>
      </c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>
        <v>310</v>
      </c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>
        <v>310</v>
      </c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</row>
    <row r="105">
      <c r="A105" s="2" t="s">
        <v>737</v>
      </c>
      <c r="B105" s="2" t="s">
        <v>299</v>
      </c>
      <c r="C105" s="2" t="s">
        <v>731</v>
      </c>
      <c r="D105" s="2" t="s">
        <v>301</v>
      </c>
      <c r="E105" s="2" t="s">
        <v>302</v>
      </c>
      <c r="F105" s="2" t="s">
        <v>732</v>
      </c>
      <c r="G105" s="2" t="s">
        <v>732</v>
      </c>
      <c r="H105" s="2" t="s">
        <v>732</v>
      </c>
      <c r="I105" s="2" t="s">
        <v>733</v>
      </c>
      <c r="J105" s="2" t="s">
        <v>294</v>
      </c>
      <c r="K105" s="2" t="s">
        <v>305</v>
      </c>
      <c r="L105" s="3">
        <v>33.08</v>
      </c>
      <c r="M105" s="3">
        <v>34.73</v>
      </c>
      <c r="N105" s="3">
        <v>69.99</v>
      </c>
      <c r="O105" s="2" t="s">
        <v>240</v>
      </c>
      <c r="P105" s="2" t="s">
        <v>233</v>
      </c>
      <c r="Q105" s="2" t="s">
        <v>234</v>
      </c>
      <c r="R105" s="2" t="s">
        <v>228</v>
      </c>
      <c r="S105" s="2" t="s">
        <v>734</v>
      </c>
      <c r="T105" s="2" t="s">
        <v>307</v>
      </c>
      <c r="U105" s="2" t="s">
        <v>308</v>
      </c>
      <c r="V105" s="2" t="s">
        <v>236</v>
      </c>
      <c r="W105" s="2" t="s">
        <v>269</v>
      </c>
      <c r="X105" s="2" t="s">
        <v>417</v>
      </c>
      <c r="Y105" s="2" t="s">
        <v>228</v>
      </c>
      <c r="Z105" s="4"/>
      <c r="AA105" s="4">
        <f>=ROUNDDOWN({0},0)</f>
      </c>
      <c r="AB105" s="5"/>
      <c r="AC105" s="2" t="s">
        <v>154</v>
      </c>
      <c r="AD105" s="4">
        <v>240</v>
      </c>
      <c r="AE105" s="4">
        <v>470</v>
      </c>
      <c r="AF105" s="6">
        <v>69</v>
      </c>
      <c r="AG105" s="6"/>
      <c r="AH105" s="7"/>
      <c r="AI105" s="4"/>
      <c r="AJ105" s="4">
        <f>=ROUNDDOWN({0},0)</f>
      </c>
      <c r="AK105" s="5"/>
      <c r="AL105" s="2" t="s">
        <v>228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228</v>
      </c>
      <c r="AW105" s="8" t="s">
        <v>228</v>
      </c>
      <c r="AX105" s="4" t="s">
        <v>228</v>
      </c>
      <c r="AY105" s="8" t="s">
        <v>228</v>
      </c>
      <c r="AZ105" s="7" t="s">
        <v>228</v>
      </c>
      <c r="BA105" s="7" t="s">
        <v>228</v>
      </c>
      <c r="BB105" s="7"/>
      <c r="BC105" s="4" t="s">
        <v>228</v>
      </c>
      <c r="BD105" s="8" t="s">
        <v>228</v>
      </c>
      <c r="BE105" s="4" t="s">
        <v>228</v>
      </c>
      <c r="BF105" s="8" t="s">
        <v>228</v>
      </c>
      <c r="BG105" s="7" t="s">
        <v>228</v>
      </c>
      <c r="BH105" s="7" t="s">
        <v>228</v>
      </c>
      <c r="BI105" s="7"/>
      <c r="BJ105" s="4"/>
      <c r="BK105" s="8"/>
      <c r="BL105" s="2" t="s">
        <v>228</v>
      </c>
      <c r="BM105" s="7"/>
      <c r="BN105" s="7"/>
      <c r="BO105" s="4"/>
      <c r="BP105" s="8"/>
      <c r="BQ105" s="4"/>
      <c r="BR105" s="8"/>
      <c r="BS105" s="7"/>
      <c r="BT105" s="7"/>
      <c r="BU105" s="2" t="s">
        <v>238</v>
      </c>
      <c r="BV105" s="2" t="s">
        <v>228</v>
      </c>
      <c r="BW105" s="2" t="s">
        <v>228</v>
      </c>
      <c r="BX105" s="2" t="s">
        <v>735</v>
      </c>
      <c r="BY105" s="2" t="s">
        <v>239</v>
      </c>
      <c r="BZ105" s="2" t="s">
        <v>240</v>
      </c>
      <c r="CA105" s="2" t="s">
        <v>228</v>
      </c>
      <c r="CB105" s="2" t="s">
        <v>228</v>
      </c>
      <c r="CC105" s="2" t="s">
        <v>241</v>
      </c>
      <c r="CD105" s="2" t="s">
        <v>228</v>
      </c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>
        <v>240</v>
      </c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>
        <v>230</v>
      </c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</row>
    <row r="106">
      <c r="A106" s="2" t="s">
        <v>738</v>
      </c>
      <c r="B106" s="2" t="s">
        <v>299</v>
      </c>
      <c r="C106" s="2" t="s">
        <v>731</v>
      </c>
      <c r="D106" s="2" t="s">
        <v>301</v>
      </c>
      <c r="E106" s="2" t="s">
        <v>302</v>
      </c>
      <c r="F106" s="2" t="s">
        <v>732</v>
      </c>
      <c r="G106" s="2" t="s">
        <v>732</v>
      </c>
      <c r="H106" s="2" t="s">
        <v>732</v>
      </c>
      <c r="I106" s="2" t="s">
        <v>733</v>
      </c>
      <c r="J106" s="2" t="s">
        <v>312</v>
      </c>
      <c r="K106" s="2" t="s">
        <v>305</v>
      </c>
      <c r="L106" s="3">
        <v>33.08</v>
      </c>
      <c r="M106" s="3">
        <v>34.73</v>
      </c>
      <c r="N106" s="3">
        <v>69.99</v>
      </c>
      <c r="O106" s="2" t="s">
        <v>240</v>
      </c>
      <c r="P106" s="2" t="s">
        <v>233</v>
      </c>
      <c r="Q106" s="2" t="s">
        <v>234</v>
      </c>
      <c r="R106" s="2" t="s">
        <v>228</v>
      </c>
      <c r="S106" s="2" t="s">
        <v>734</v>
      </c>
      <c r="T106" s="2" t="s">
        <v>307</v>
      </c>
      <c r="U106" s="2" t="s">
        <v>308</v>
      </c>
      <c r="V106" s="2" t="s">
        <v>236</v>
      </c>
      <c r="W106" s="2" t="s">
        <v>269</v>
      </c>
      <c r="X106" s="2" t="s">
        <v>417</v>
      </c>
      <c r="Y106" s="2" t="s">
        <v>228</v>
      </c>
      <c r="Z106" s="4"/>
      <c r="AA106" s="4">
        <f>=ROUNDDOWN({0},0)</f>
      </c>
      <c r="AB106" s="5"/>
      <c r="AC106" s="2" t="s">
        <v>154</v>
      </c>
      <c r="AD106" s="4">
        <v>100</v>
      </c>
      <c r="AE106" s="4">
        <v>200</v>
      </c>
      <c r="AF106" s="6">
        <v>69</v>
      </c>
      <c r="AG106" s="6"/>
      <c r="AH106" s="7"/>
      <c r="AI106" s="4"/>
      <c r="AJ106" s="4">
        <f>=ROUNDDOWN({0},0)</f>
      </c>
      <c r="AK106" s="5"/>
      <c r="AL106" s="2" t="s">
        <v>228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228</v>
      </c>
      <c r="AW106" s="8" t="s">
        <v>228</v>
      </c>
      <c r="AX106" s="4" t="s">
        <v>228</v>
      </c>
      <c r="AY106" s="8" t="s">
        <v>228</v>
      </c>
      <c r="AZ106" s="7" t="s">
        <v>228</v>
      </c>
      <c r="BA106" s="7" t="s">
        <v>228</v>
      </c>
      <c r="BB106" s="7"/>
      <c r="BC106" s="4" t="s">
        <v>228</v>
      </c>
      <c r="BD106" s="8" t="s">
        <v>228</v>
      </c>
      <c r="BE106" s="4" t="s">
        <v>228</v>
      </c>
      <c r="BF106" s="8" t="s">
        <v>228</v>
      </c>
      <c r="BG106" s="7" t="s">
        <v>228</v>
      </c>
      <c r="BH106" s="7" t="s">
        <v>228</v>
      </c>
      <c r="BI106" s="7"/>
      <c r="BJ106" s="4"/>
      <c r="BK106" s="8"/>
      <c r="BL106" s="2" t="s">
        <v>228</v>
      </c>
      <c r="BM106" s="7"/>
      <c r="BN106" s="7"/>
      <c r="BO106" s="4"/>
      <c r="BP106" s="8"/>
      <c r="BQ106" s="4"/>
      <c r="BR106" s="8"/>
      <c r="BS106" s="7"/>
      <c r="BT106" s="7"/>
      <c r="BU106" s="2" t="s">
        <v>238</v>
      </c>
      <c r="BV106" s="2" t="s">
        <v>228</v>
      </c>
      <c r="BW106" s="2" t="s">
        <v>228</v>
      </c>
      <c r="BX106" s="2" t="s">
        <v>735</v>
      </c>
      <c r="BY106" s="2" t="s">
        <v>239</v>
      </c>
      <c r="BZ106" s="2" t="s">
        <v>240</v>
      </c>
      <c r="CA106" s="2" t="s">
        <v>228</v>
      </c>
      <c r="CB106" s="2" t="s">
        <v>228</v>
      </c>
      <c r="CC106" s="2" t="s">
        <v>241</v>
      </c>
      <c r="CD106" s="2" t="s">
        <v>228</v>
      </c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>
        <v>100</v>
      </c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>
        <v>100</v>
      </c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</row>
    <row r="107">
      <c r="A107" s="2" t="s">
        <v>739</v>
      </c>
      <c r="B107" s="2" t="s">
        <v>299</v>
      </c>
      <c r="C107" s="2" t="s">
        <v>300</v>
      </c>
      <c r="D107" s="2" t="s">
        <v>301</v>
      </c>
      <c r="E107" s="2" t="s">
        <v>302</v>
      </c>
      <c r="F107" s="2" t="s">
        <v>732</v>
      </c>
      <c r="G107" s="2" t="s">
        <v>732</v>
      </c>
      <c r="H107" s="2" t="s">
        <v>732</v>
      </c>
      <c r="I107" s="2" t="s">
        <v>740</v>
      </c>
      <c r="J107" s="2" t="s">
        <v>312</v>
      </c>
      <c r="K107" s="2" t="s">
        <v>741</v>
      </c>
      <c r="L107" s="3">
        <v>63</v>
      </c>
      <c r="M107" s="3">
        <v>66.15</v>
      </c>
      <c r="N107" s="3">
        <v>124.99</v>
      </c>
      <c r="O107" s="2" t="s">
        <v>240</v>
      </c>
      <c r="P107" s="2" t="s">
        <v>266</v>
      </c>
      <c r="Q107" s="2" t="s">
        <v>234</v>
      </c>
      <c r="R107" s="2" t="s">
        <v>228</v>
      </c>
      <c r="S107" s="2" t="s">
        <v>742</v>
      </c>
      <c r="T107" s="2" t="s">
        <v>350</v>
      </c>
      <c r="U107" s="2" t="s">
        <v>308</v>
      </c>
      <c r="V107" s="2" t="s">
        <v>236</v>
      </c>
      <c r="W107" s="2" t="s">
        <v>269</v>
      </c>
      <c r="X107" s="2" t="s">
        <v>743</v>
      </c>
      <c r="Y107" s="2" t="s">
        <v>744</v>
      </c>
      <c r="Z107" s="4">
        <v>23</v>
      </c>
      <c r="AA107" s="4">
        <f>=ROUNDDOWN(23,0)</f>
      </c>
      <c r="AB107" s="5">
        <v>1</v>
      </c>
      <c r="AC107" s="2" t="s">
        <v>745</v>
      </c>
      <c r="AD107" s="4">
        <v>16</v>
      </c>
      <c r="AE107" s="4">
        <v>16</v>
      </c>
      <c r="AF107" s="6">
        <v>69</v>
      </c>
      <c r="AG107" s="6"/>
      <c r="AH107" s="7">
        <v>1</v>
      </c>
      <c r="AI107" s="4"/>
      <c r="AJ107" s="4">
        <f>=ROUNDDOWN({0},0)</f>
      </c>
      <c r="AK107" s="5"/>
      <c r="AL107" s="2" t="s">
        <v>228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/>
      <c r="AW107" s="8"/>
      <c r="AX107" s="4"/>
      <c r="AY107" s="8"/>
      <c r="AZ107" s="7"/>
      <c r="BA107" s="7"/>
      <c r="BB107" s="7"/>
      <c r="BC107" s="4" t="s">
        <v>228</v>
      </c>
      <c r="BD107" s="8" t="s">
        <v>228</v>
      </c>
      <c r="BE107" s="4" t="s">
        <v>228</v>
      </c>
      <c r="BF107" s="8" t="s">
        <v>228</v>
      </c>
      <c r="BG107" s="7" t="s">
        <v>228</v>
      </c>
      <c r="BH107" s="7" t="s">
        <v>228</v>
      </c>
      <c r="BI107" s="7"/>
      <c r="BJ107" s="4">
        <v>3</v>
      </c>
      <c r="BK107" s="8">
        <v>266.91</v>
      </c>
      <c r="BL107" s="2" t="s">
        <v>746</v>
      </c>
      <c r="BM107" s="7"/>
      <c r="BN107" s="7"/>
      <c r="BO107" s="4"/>
      <c r="BP107" s="8"/>
      <c r="BQ107" s="4"/>
      <c r="BR107" s="8"/>
      <c r="BS107" s="7"/>
      <c r="BT107" s="7"/>
      <c r="BU107" s="2" t="s">
        <v>747</v>
      </c>
      <c r="BV107" s="2" t="s">
        <v>228</v>
      </c>
      <c r="BW107" s="2" t="s">
        <v>228</v>
      </c>
      <c r="BX107" s="2" t="s">
        <v>273</v>
      </c>
      <c r="BY107" s="2" t="s">
        <v>274</v>
      </c>
      <c r="BZ107" s="2" t="s">
        <v>240</v>
      </c>
      <c r="CA107" s="2" t="s">
        <v>748</v>
      </c>
      <c r="CB107" s="2" t="s">
        <v>749</v>
      </c>
      <c r="CC107" s="2" t="s">
        <v>241</v>
      </c>
      <c r="CD107" s="2" t="s">
        <v>228</v>
      </c>
      <c r="CE107" s="4">
        <v>23</v>
      </c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>
        <v>16</v>
      </c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</row>
    <row r="108">
      <c r="A108" s="2" t="s">
        <v>750</v>
      </c>
      <c r="B108" s="2" t="s">
        <v>299</v>
      </c>
      <c r="C108" s="2" t="s">
        <v>731</v>
      </c>
      <c r="D108" s="2" t="s">
        <v>301</v>
      </c>
      <c r="E108" s="2" t="s">
        <v>302</v>
      </c>
      <c r="F108" s="2" t="s">
        <v>751</v>
      </c>
      <c r="G108" s="2" t="s">
        <v>751</v>
      </c>
      <c r="H108" s="2" t="s">
        <v>751</v>
      </c>
      <c r="I108" s="2" t="s">
        <v>752</v>
      </c>
      <c r="J108" s="2" t="s">
        <v>284</v>
      </c>
      <c r="K108" s="2" t="s">
        <v>265</v>
      </c>
      <c r="L108" s="3">
        <v>28.84</v>
      </c>
      <c r="M108" s="3">
        <v>30.28</v>
      </c>
      <c r="N108" s="3">
        <v>59.99</v>
      </c>
      <c r="O108" s="2" t="s">
        <v>240</v>
      </c>
      <c r="P108" s="2" t="s">
        <v>333</v>
      </c>
      <c r="Q108" s="2" t="s">
        <v>234</v>
      </c>
      <c r="R108" s="2" t="s">
        <v>228</v>
      </c>
      <c r="S108" s="2" t="s">
        <v>753</v>
      </c>
      <c r="T108" s="2" t="s">
        <v>307</v>
      </c>
      <c r="U108" s="2" t="s">
        <v>308</v>
      </c>
      <c r="V108" s="2" t="s">
        <v>236</v>
      </c>
      <c r="W108" s="2" t="s">
        <v>269</v>
      </c>
      <c r="X108" s="2" t="s">
        <v>417</v>
      </c>
      <c r="Y108" s="2" t="s">
        <v>754</v>
      </c>
      <c r="Z108" s="4">
        <v>5</v>
      </c>
      <c r="AA108" s="4">
        <f>=ROUNDDOWN(3.57142857142857,0)</f>
      </c>
      <c r="AB108" s="5">
        <v>1.4</v>
      </c>
      <c r="AC108" s="2" t="s">
        <v>228</v>
      </c>
      <c r="AD108" s="4"/>
      <c r="AE108" s="4"/>
      <c r="AF108" s="6">
        <v>70</v>
      </c>
      <c r="AG108" s="6"/>
      <c r="AH108" s="7">
        <v>1</v>
      </c>
      <c r="AI108" s="4"/>
      <c r="AJ108" s="4">
        <f>=ROUNDDOWN({0},0)</f>
      </c>
      <c r="AK108" s="5"/>
      <c r="AL108" s="2" t="s">
        <v>228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228</v>
      </c>
      <c r="AW108" s="8" t="s">
        <v>228</v>
      </c>
      <c r="AX108" s="4" t="s">
        <v>228</v>
      </c>
      <c r="AY108" s="8" t="s">
        <v>228</v>
      </c>
      <c r="AZ108" s="7" t="s">
        <v>228</v>
      </c>
      <c r="BA108" s="7" t="s">
        <v>228</v>
      </c>
      <c r="BB108" s="7"/>
      <c r="BC108" s="4" t="s">
        <v>228</v>
      </c>
      <c r="BD108" s="8" t="s">
        <v>228</v>
      </c>
      <c r="BE108" s="4" t="s">
        <v>228</v>
      </c>
      <c r="BF108" s="8" t="s">
        <v>228</v>
      </c>
      <c r="BG108" s="7" t="s">
        <v>228</v>
      </c>
      <c r="BH108" s="7" t="s">
        <v>228</v>
      </c>
      <c r="BI108" s="7"/>
      <c r="BJ108" s="4">
        <v>7</v>
      </c>
      <c r="BK108" s="8">
        <v>216.18</v>
      </c>
      <c r="BL108" s="2" t="s">
        <v>755</v>
      </c>
      <c r="BM108" s="7"/>
      <c r="BN108" s="7"/>
      <c r="BO108" s="4"/>
      <c r="BP108" s="8"/>
      <c r="BQ108" s="4"/>
      <c r="BR108" s="8"/>
      <c r="BS108" s="7"/>
      <c r="BT108" s="7"/>
      <c r="BU108" s="2" t="s">
        <v>756</v>
      </c>
      <c r="BV108" s="2" t="s">
        <v>228</v>
      </c>
      <c r="BW108" s="2" t="s">
        <v>228</v>
      </c>
      <c r="BX108" s="2" t="s">
        <v>337</v>
      </c>
      <c r="BY108" s="2" t="s">
        <v>274</v>
      </c>
      <c r="BZ108" s="2" t="s">
        <v>240</v>
      </c>
      <c r="CA108" s="2" t="s">
        <v>754</v>
      </c>
      <c r="CB108" s="2" t="s">
        <v>757</v>
      </c>
      <c r="CC108" s="2" t="s">
        <v>241</v>
      </c>
      <c r="CD108" s="2" t="s">
        <v>228</v>
      </c>
      <c r="CE108" s="4">
        <v>5</v>
      </c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</row>
    <row r="109">
      <c r="A109" s="2" t="s">
        <v>758</v>
      </c>
      <c r="B109" s="2" t="s">
        <v>299</v>
      </c>
      <c r="C109" s="2" t="s">
        <v>731</v>
      </c>
      <c r="D109" s="2" t="s">
        <v>301</v>
      </c>
      <c r="E109" s="2" t="s">
        <v>302</v>
      </c>
      <c r="F109" s="2" t="s">
        <v>751</v>
      </c>
      <c r="G109" s="2" t="s">
        <v>751</v>
      </c>
      <c r="H109" s="2" t="s">
        <v>751</v>
      </c>
      <c r="I109" s="2" t="s">
        <v>752</v>
      </c>
      <c r="J109" s="2" t="s">
        <v>289</v>
      </c>
      <c r="K109" s="2" t="s">
        <v>265</v>
      </c>
      <c r="L109" s="3">
        <v>30.82</v>
      </c>
      <c r="M109" s="3">
        <v>32.36</v>
      </c>
      <c r="N109" s="3">
        <v>64.99</v>
      </c>
      <c r="O109" s="2" t="s">
        <v>240</v>
      </c>
      <c r="P109" s="2" t="s">
        <v>333</v>
      </c>
      <c r="Q109" s="2" t="s">
        <v>234</v>
      </c>
      <c r="R109" s="2" t="s">
        <v>228</v>
      </c>
      <c r="S109" s="2" t="s">
        <v>753</v>
      </c>
      <c r="T109" s="2" t="s">
        <v>307</v>
      </c>
      <c r="U109" s="2" t="s">
        <v>308</v>
      </c>
      <c r="V109" s="2" t="s">
        <v>236</v>
      </c>
      <c r="W109" s="2" t="s">
        <v>269</v>
      </c>
      <c r="X109" s="2" t="s">
        <v>417</v>
      </c>
      <c r="Y109" s="2" t="s">
        <v>754</v>
      </c>
      <c r="Z109" s="4">
        <v>30</v>
      </c>
      <c r="AA109" s="4">
        <f>=ROUNDDOWN(4.28571428571429,0)</f>
      </c>
      <c r="AB109" s="5">
        <v>7</v>
      </c>
      <c r="AC109" s="2" t="s">
        <v>228</v>
      </c>
      <c r="AD109" s="4"/>
      <c r="AE109" s="4"/>
      <c r="AF109" s="6">
        <v>70</v>
      </c>
      <c r="AG109" s="6"/>
      <c r="AH109" s="7">
        <v>1</v>
      </c>
      <c r="AI109" s="4"/>
      <c r="AJ109" s="4">
        <f>=ROUNDDOWN({0},0)</f>
      </c>
      <c r="AK109" s="5"/>
      <c r="AL109" s="2" t="s">
        <v>228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228</v>
      </c>
      <c r="AW109" s="8" t="s">
        <v>228</v>
      </c>
      <c r="AX109" s="4" t="s">
        <v>228</v>
      </c>
      <c r="AY109" s="8" t="s">
        <v>228</v>
      </c>
      <c r="AZ109" s="7" t="s">
        <v>228</v>
      </c>
      <c r="BA109" s="7" t="s">
        <v>228</v>
      </c>
      <c r="BB109" s="7"/>
      <c r="BC109" s="4" t="s">
        <v>228</v>
      </c>
      <c r="BD109" s="8" t="s">
        <v>228</v>
      </c>
      <c r="BE109" s="4" t="s">
        <v>228</v>
      </c>
      <c r="BF109" s="8" t="s">
        <v>228</v>
      </c>
      <c r="BG109" s="7" t="s">
        <v>228</v>
      </c>
      <c r="BH109" s="7" t="s">
        <v>228</v>
      </c>
      <c r="BI109" s="7"/>
      <c r="BJ109" s="4">
        <v>38</v>
      </c>
      <c r="BK109" s="8">
        <v>1245.51</v>
      </c>
      <c r="BL109" s="2" t="s">
        <v>759</v>
      </c>
      <c r="BM109" s="7"/>
      <c r="BN109" s="7"/>
      <c r="BO109" s="4"/>
      <c r="BP109" s="8"/>
      <c r="BQ109" s="4"/>
      <c r="BR109" s="8"/>
      <c r="BS109" s="7"/>
      <c r="BT109" s="7"/>
      <c r="BU109" s="2" t="s">
        <v>760</v>
      </c>
      <c r="BV109" s="2" t="s">
        <v>228</v>
      </c>
      <c r="BW109" s="2" t="s">
        <v>228</v>
      </c>
      <c r="BX109" s="2" t="s">
        <v>337</v>
      </c>
      <c r="BY109" s="2" t="s">
        <v>274</v>
      </c>
      <c r="BZ109" s="2" t="s">
        <v>240</v>
      </c>
      <c r="CA109" s="2" t="s">
        <v>754</v>
      </c>
      <c r="CB109" s="2" t="s">
        <v>761</v>
      </c>
      <c r="CC109" s="2" t="s">
        <v>241</v>
      </c>
      <c r="CD109" s="2" t="s">
        <v>228</v>
      </c>
      <c r="CE109" s="4">
        <v>30</v>
      </c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</row>
    <row r="110">
      <c r="A110" s="2" t="s">
        <v>762</v>
      </c>
      <c r="B110" s="2" t="s">
        <v>299</v>
      </c>
      <c r="C110" s="2" t="s">
        <v>731</v>
      </c>
      <c r="D110" s="2" t="s">
        <v>301</v>
      </c>
      <c r="E110" s="2" t="s">
        <v>302</v>
      </c>
      <c r="F110" s="2" t="s">
        <v>751</v>
      </c>
      <c r="G110" s="2" t="s">
        <v>751</v>
      </c>
      <c r="H110" s="2" t="s">
        <v>751</v>
      </c>
      <c r="I110" s="2" t="s">
        <v>752</v>
      </c>
      <c r="J110" s="2" t="s">
        <v>284</v>
      </c>
      <c r="K110" s="2" t="s">
        <v>480</v>
      </c>
      <c r="L110" s="3">
        <v>28.84</v>
      </c>
      <c r="M110" s="3">
        <v>30.28</v>
      </c>
      <c r="N110" s="3">
        <v>59.99</v>
      </c>
      <c r="O110" s="2" t="s">
        <v>240</v>
      </c>
      <c r="P110" s="2" t="s">
        <v>333</v>
      </c>
      <c r="Q110" s="2" t="s">
        <v>234</v>
      </c>
      <c r="R110" s="2" t="s">
        <v>228</v>
      </c>
      <c r="S110" s="2" t="s">
        <v>763</v>
      </c>
      <c r="T110" s="2" t="s">
        <v>307</v>
      </c>
      <c r="U110" s="2" t="s">
        <v>308</v>
      </c>
      <c r="V110" s="2" t="s">
        <v>236</v>
      </c>
      <c r="W110" s="2" t="s">
        <v>269</v>
      </c>
      <c r="X110" s="2" t="s">
        <v>417</v>
      </c>
      <c r="Y110" s="2" t="s">
        <v>754</v>
      </c>
      <c r="Z110" s="4">
        <v>18</v>
      </c>
      <c r="AA110" s="4">
        <f>=ROUNDDOWN(4.5,0)</f>
      </c>
      <c r="AB110" s="5">
        <v>4</v>
      </c>
      <c r="AC110" s="2" t="s">
        <v>228</v>
      </c>
      <c r="AD110" s="4"/>
      <c r="AE110" s="4"/>
      <c r="AF110" s="6">
        <v>70</v>
      </c>
      <c r="AG110" s="6"/>
      <c r="AH110" s="7">
        <v>1</v>
      </c>
      <c r="AI110" s="4"/>
      <c r="AJ110" s="4">
        <f>=ROUNDDOWN({0},0)</f>
      </c>
      <c r="AK110" s="5"/>
      <c r="AL110" s="2" t="s">
        <v>228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228</v>
      </c>
      <c r="AW110" s="8" t="s">
        <v>228</v>
      </c>
      <c r="AX110" s="4" t="s">
        <v>228</v>
      </c>
      <c r="AY110" s="8" t="s">
        <v>228</v>
      </c>
      <c r="AZ110" s="7" t="s">
        <v>228</v>
      </c>
      <c r="BA110" s="7" t="s">
        <v>228</v>
      </c>
      <c r="BB110" s="7"/>
      <c r="BC110" s="4" t="s">
        <v>228</v>
      </c>
      <c r="BD110" s="8" t="s">
        <v>228</v>
      </c>
      <c r="BE110" s="4" t="s">
        <v>228</v>
      </c>
      <c r="BF110" s="8" t="s">
        <v>228</v>
      </c>
      <c r="BG110" s="7" t="s">
        <v>228</v>
      </c>
      <c r="BH110" s="7" t="s">
        <v>228</v>
      </c>
      <c r="BI110" s="7"/>
      <c r="BJ110" s="4">
        <v>10</v>
      </c>
      <c r="BK110" s="8">
        <v>298.79</v>
      </c>
      <c r="BL110" s="2" t="s">
        <v>764</v>
      </c>
      <c r="BM110" s="7"/>
      <c r="BN110" s="7"/>
      <c r="BO110" s="4"/>
      <c r="BP110" s="8"/>
      <c r="BQ110" s="4"/>
      <c r="BR110" s="8"/>
      <c r="BS110" s="7"/>
      <c r="BT110" s="7"/>
      <c r="BU110" s="2" t="s">
        <v>765</v>
      </c>
      <c r="BV110" s="2" t="s">
        <v>228</v>
      </c>
      <c r="BW110" s="2" t="s">
        <v>228</v>
      </c>
      <c r="BX110" s="2" t="s">
        <v>337</v>
      </c>
      <c r="BY110" s="2" t="s">
        <v>274</v>
      </c>
      <c r="BZ110" s="2" t="s">
        <v>240</v>
      </c>
      <c r="CA110" s="2" t="s">
        <v>754</v>
      </c>
      <c r="CB110" s="2" t="s">
        <v>766</v>
      </c>
      <c r="CC110" s="2" t="s">
        <v>241</v>
      </c>
      <c r="CD110" s="2" t="s">
        <v>228</v>
      </c>
      <c r="CE110" s="4">
        <v>18</v>
      </c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</row>
    <row r="111">
      <c r="A111" s="2" t="s">
        <v>767</v>
      </c>
      <c r="B111" s="2" t="s">
        <v>299</v>
      </c>
      <c r="C111" s="2" t="s">
        <v>731</v>
      </c>
      <c r="D111" s="2" t="s">
        <v>301</v>
      </c>
      <c r="E111" s="2" t="s">
        <v>302</v>
      </c>
      <c r="F111" s="2" t="s">
        <v>751</v>
      </c>
      <c r="G111" s="2" t="s">
        <v>751</v>
      </c>
      <c r="H111" s="2" t="s">
        <v>751</v>
      </c>
      <c r="I111" s="2" t="s">
        <v>752</v>
      </c>
      <c r="J111" s="2" t="s">
        <v>312</v>
      </c>
      <c r="K111" s="2" t="s">
        <v>480</v>
      </c>
      <c r="L111" s="3">
        <v>34.78</v>
      </c>
      <c r="M111" s="3">
        <v>36.52</v>
      </c>
      <c r="N111" s="3">
        <v>72.99</v>
      </c>
      <c r="O111" s="2" t="s">
        <v>240</v>
      </c>
      <c r="P111" s="2" t="s">
        <v>333</v>
      </c>
      <c r="Q111" s="2" t="s">
        <v>234</v>
      </c>
      <c r="R111" s="2" t="s">
        <v>228</v>
      </c>
      <c r="S111" s="2" t="s">
        <v>763</v>
      </c>
      <c r="T111" s="2" t="s">
        <v>307</v>
      </c>
      <c r="U111" s="2" t="s">
        <v>308</v>
      </c>
      <c r="V111" s="2" t="s">
        <v>236</v>
      </c>
      <c r="W111" s="2" t="s">
        <v>269</v>
      </c>
      <c r="X111" s="2" t="s">
        <v>417</v>
      </c>
      <c r="Y111" s="2" t="s">
        <v>754</v>
      </c>
      <c r="Z111" s="4">
        <v>2</v>
      </c>
      <c r="AA111" s="4">
        <f>=ROUNDDOWN(1,0)</f>
      </c>
      <c r="AB111" s="5">
        <v>2</v>
      </c>
      <c r="AC111" s="2" t="s">
        <v>228</v>
      </c>
      <c r="AD111" s="4"/>
      <c r="AE111" s="4"/>
      <c r="AF111" s="6">
        <v>70</v>
      </c>
      <c r="AG111" s="6"/>
      <c r="AH111" s="7">
        <v>1</v>
      </c>
      <c r="AI111" s="4"/>
      <c r="AJ111" s="4">
        <f>=ROUNDDOWN({0},0)</f>
      </c>
      <c r="AK111" s="5"/>
      <c r="AL111" s="2" t="s">
        <v>228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228</v>
      </c>
      <c r="AW111" s="8" t="s">
        <v>228</v>
      </c>
      <c r="AX111" s="4" t="s">
        <v>228</v>
      </c>
      <c r="AY111" s="8" t="s">
        <v>228</v>
      </c>
      <c r="AZ111" s="7" t="s">
        <v>228</v>
      </c>
      <c r="BA111" s="7" t="s">
        <v>228</v>
      </c>
      <c r="BB111" s="7"/>
      <c r="BC111" s="4" t="s">
        <v>228</v>
      </c>
      <c r="BD111" s="8" t="s">
        <v>228</v>
      </c>
      <c r="BE111" s="4" t="s">
        <v>228</v>
      </c>
      <c r="BF111" s="8" t="s">
        <v>228</v>
      </c>
      <c r="BG111" s="7" t="s">
        <v>228</v>
      </c>
      <c r="BH111" s="7" t="s">
        <v>228</v>
      </c>
      <c r="BI111" s="7"/>
      <c r="BJ111" s="4">
        <v>10</v>
      </c>
      <c r="BK111" s="8">
        <v>440.05</v>
      </c>
      <c r="BL111" s="2" t="s">
        <v>768</v>
      </c>
      <c r="BM111" s="7"/>
      <c r="BN111" s="7"/>
      <c r="BO111" s="4"/>
      <c r="BP111" s="8"/>
      <c r="BQ111" s="4"/>
      <c r="BR111" s="8"/>
      <c r="BS111" s="7"/>
      <c r="BT111" s="7"/>
      <c r="BU111" s="2" t="s">
        <v>769</v>
      </c>
      <c r="BV111" s="2" t="s">
        <v>228</v>
      </c>
      <c r="BW111" s="2" t="s">
        <v>228</v>
      </c>
      <c r="BX111" s="2" t="s">
        <v>337</v>
      </c>
      <c r="BY111" s="2" t="s">
        <v>274</v>
      </c>
      <c r="BZ111" s="2" t="s">
        <v>240</v>
      </c>
      <c r="CA111" s="2" t="s">
        <v>754</v>
      </c>
      <c r="CB111" s="2" t="s">
        <v>770</v>
      </c>
      <c r="CC111" s="2" t="s">
        <v>241</v>
      </c>
      <c r="CD111" s="2" t="s">
        <v>228</v>
      </c>
      <c r="CE111" s="4">
        <v>2</v>
      </c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</row>
    <row r="112">
      <c r="A112" s="2" t="s">
        <v>771</v>
      </c>
      <c r="B112" s="2" t="s">
        <v>772</v>
      </c>
      <c r="C112" s="2" t="s">
        <v>773</v>
      </c>
      <c r="D112" s="2" t="s">
        <v>774</v>
      </c>
      <c r="E112" s="2" t="s">
        <v>775</v>
      </c>
      <c r="F112" s="2" t="s">
        <v>776</v>
      </c>
      <c r="G112" s="2" t="s">
        <v>776</v>
      </c>
      <c r="H112" s="2" t="s">
        <v>776</v>
      </c>
      <c r="I112" s="2" t="s">
        <v>777</v>
      </c>
      <c r="J112" s="2" t="s">
        <v>778</v>
      </c>
      <c r="K112" s="2" t="s">
        <v>305</v>
      </c>
      <c r="L112" s="3">
        <v>32.9</v>
      </c>
      <c r="M112" s="3">
        <v>34.55</v>
      </c>
      <c r="N112" s="3">
        <v>69.99</v>
      </c>
      <c r="O112" s="2" t="s">
        <v>240</v>
      </c>
      <c r="P112" s="2" t="s">
        <v>779</v>
      </c>
      <c r="Q112" s="2" t="s">
        <v>234</v>
      </c>
      <c r="R112" s="2" t="s">
        <v>228</v>
      </c>
      <c r="S112" s="2" t="s">
        <v>780</v>
      </c>
      <c r="T112" s="2" t="s">
        <v>350</v>
      </c>
      <c r="U112" s="2" t="s">
        <v>520</v>
      </c>
      <c r="V112" s="2" t="s">
        <v>236</v>
      </c>
      <c r="W112" s="2" t="s">
        <v>463</v>
      </c>
      <c r="X112" s="2" t="s">
        <v>228</v>
      </c>
      <c r="Y112" s="2" t="s">
        <v>781</v>
      </c>
      <c r="Z112" s="4">
        <v>337</v>
      </c>
      <c r="AA112" s="4">
        <f>=ROUNDDOWN(11.2333333333333,0)</f>
      </c>
      <c r="AB112" s="5">
        <v>30</v>
      </c>
      <c r="AC112" s="2" t="s">
        <v>782</v>
      </c>
      <c r="AD112" s="4">
        <v>560</v>
      </c>
      <c r="AE112" s="4">
        <v>560</v>
      </c>
      <c r="AF112" s="6">
        <v>69</v>
      </c>
      <c r="AG112" s="6"/>
      <c r="AH112" s="7">
        <v>1</v>
      </c>
      <c r="AI112" s="4"/>
      <c r="AJ112" s="4">
        <f>=ROUNDDOWN({0},0)</f>
      </c>
      <c r="AK112" s="5"/>
      <c r="AL112" s="2" t="s">
        <v>228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/>
      <c r="AW112" s="8"/>
      <c r="AX112" s="4"/>
      <c r="AY112" s="8"/>
      <c r="AZ112" s="7"/>
      <c r="BA112" s="7"/>
      <c r="BB112" s="7"/>
      <c r="BC112" s="4" t="s">
        <v>228</v>
      </c>
      <c r="BD112" s="8" t="s">
        <v>228</v>
      </c>
      <c r="BE112" s="4" t="s">
        <v>228</v>
      </c>
      <c r="BF112" s="8" t="s">
        <v>228</v>
      </c>
      <c r="BG112" s="7" t="s">
        <v>228</v>
      </c>
      <c r="BH112" s="7" t="s">
        <v>228</v>
      </c>
      <c r="BI112" s="7"/>
      <c r="BJ112" s="4">
        <v>45</v>
      </c>
      <c r="BK112" s="8">
        <v>1598.49</v>
      </c>
      <c r="BL112" s="2" t="s">
        <v>783</v>
      </c>
      <c r="BM112" s="7"/>
      <c r="BN112" s="7"/>
      <c r="BO112" s="4"/>
      <c r="BP112" s="8"/>
      <c r="BQ112" s="4"/>
      <c r="BR112" s="8"/>
      <c r="BS112" s="7"/>
      <c r="BT112" s="7"/>
      <c r="BU112" s="2" t="s">
        <v>784</v>
      </c>
      <c r="BV112" s="2" t="s">
        <v>228</v>
      </c>
      <c r="BW112" s="2" t="s">
        <v>228</v>
      </c>
      <c r="BX112" s="2" t="s">
        <v>238</v>
      </c>
      <c r="BY112" s="2" t="s">
        <v>274</v>
      </c>
      <c r="BZ112" s="2" t="s">
        <v>240</v>
      </c>
      <c r="CA112" s="2" t="s">
        <v>745</v>
      </c>
      <c r="CB112" s="2" t="s">
        <v>228</v>
      </c>
      <c r="CC112" s="2" t="s">
        <v>241</v>
      </c>
      <c r="CD112" s="2" t="s">
        <v>228</v>
      </c>
      <c r="CE112" s="4">
        <v>337</v>
      </c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>
        <v>560</v>
      </c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</row>
    <row r="113">
      <c r="A113" s="2" t="s">
        <v>785</v>
      </c>
      <c r="B113" s="2" t="s">
        <v>772</v>
      </c>
      <c r="C113" s="2" t="s">
        <v>773</v>
      </c>
      <c r="D113" s="2" t="s">
        <v>774</v>
      </c>
      <c r="E113" s="2" t="s">
        <v>775</v>
      </c>
      <c r="F113" s="2" t="s">
        <v>786</v>
      </c>
      <c r="G113" s="2" t="s">
        <v>786</v>
      </c>
      <c r="H113" s="2" t="s">
        <v>786</v>
      </c>
      <c r="I113" s="2" t="s">
        <v>787</v>
      </c>
      <c r="J113" s="2" t="s">
        <v>788</v>
      </c>
      <c r="K113" s="2" t="s">
        <v>789</v>
      </c>
      <c r="L113" s="3">
        <v>32.9</v>
      </c>
      <c r="M113" s="3">
        <v>34.55</v>
      </c>
      <c r="N113" s="3">
        <v>69.99</v>
      </c>
      <c r="O113" s="2" t="s">
        <v>240</v>
      </c>
      <c r="P113" s="2" t="s">
        <v>715</v>
      </c>
      <c r="Q113" s="2" t="s">
        <v>234</v>
      </c>
      <c r="R113" s="2" t="s">
        <v>228</v>
      </c>
      <c r="S113" s="2" t="s">
        <v>790</v>
      </c>
      <c r="T113" s="2" t="s">
        <v>228</v>
      </c>
      <c r="U113" s="2" t="s">
        <v>791</v>
      </c>
      <c r="V113" s="2" t="s">
        <v>236</v>
      </c>
      <c r="W113" s="2" t="s">
        <v>792</v>
      </c>
      <c r="X113" s="2" t="s">
        <v>228</v>
      </c>
      <c r="Y113" s="2" t="s">
        <v>270</v>
      </c>
      <c r="Z113" s="4">
        <v>428</v>
      </c>
      <c r="AA113" s="4">
        <f>=ROUNDDOWN(13.8064516129032,0)</f>
      </c>
      <c r="AB113" s="5">
        <v>31</v>
      </c>
      <c r="AC113" s="2" t="s">
        <v>164</v>
      </c>
      <c r="AD113" s="4">
        <v>270</v>
      </c>
      <c r="AE113" s="4">
        <v>1220</v>
      </c>
      <c r="AF113" s="6">
        <v>69</v>
      </c>
      <c r="AG113" s="6"/>
      <c r="AH113" s="7">
        <v>1</v>
      </c>
      <c r="AI113" s="4"/>
      <c r="AJ113" s="4">
        <f>=ROUNDDOWN({0},0)</f>
      </c>
      <c r="AK113" s="5"/>
      <c r="AL113" s="2" t="s">
        <v>228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 t="s">
        <v>228</v>
      </c>
      <c r="BD113" s="8" t="s">
        <v>228</v>
      </c>
      <c r="BE113" s="4" t="s">
        <v>228</v>
      </c>
      <c r="BF113" s="8" t="s">
        <v>228</v>
      </c>
      <c r="BG113" s="7" t="s">
        <v>228</v>
      </c>
      <c r="BH113" s="7" t="s">
        <v>228</v>
      </c>
      <c r="BI113" s="7"/>
      <c r="BJ113" s="4">
        <v>109</v>
      </c>
      <c r="BK113" s="8">
        <v>3748.47</v>
      </c>
      <c r="BL113" s="2" t="s">
        <v>793</v>
      </c>
      <c r="BM113" s="7"/>
      <c r="BN113" s="7"/>
      <c r="BO113" s="4"/>
      <c r="BP113" s="8"/>
      <c r="BQ113" s="4"/>
      <c r="BR113" s="8"/>
      <c r="BS113" s="7"/>
      <c r="BT113" s="7"/>
      <c r="BU113" s="2" t="s">
        <v>794</v>
      </c>
      <c r="BV113" s="2" t="s">
        <v>228</v>
      </c>
      <c r="BW113" s="2" t="s">
        <v>228</v>
      </c>
      <c r="BX113" s="2" t="s">
        <v>273</v>
      </c>
      <c r="BY113" s="2" t="s">
        <v>274</v>
      </c>
      <c r="BZ113" s="2" t="s">
        <v>240</v>
      </c>
      <c r="CA113" s="2" t="s">
        <v>795</v>
      </c>
      <c r="CB113" s="2" t="s">
        <v>796</v>
      </c>
      <c r="CC113" s="2" t="s">
        <v>241</v>
      </c>
      <c r="CD113" s="2" t="s">
        <v>228</v>
      </c>
      <c r="CE113" s="4">
        <v>323</v>
      </c>
      <c r="CF113" s="4"/>
      <c r="CG113" s="4"/>
      <c r="CH113" s="4">
        <v>105</v>
      </c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>
        <v>270</v>
      </c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>
        <v>410</v>
      </c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>
        <v>540</v>
      </c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</row>
    <row r="114">
      <c r="A114" s="2" t="s">
        <v>797</v>
      </c>
      <c r="B114" s="2" t="s">
        <v>772</v>
      </c>
      <c r="C114" s="2" t="s">
        <v>773</v>
      </c>
      <c r="D114" s="2" t="s">
        <v>774</v>
      </c>
      <c r="E114" s="2" t="s">
        <v>775</v>
      </c>
      <c r="F114" s="2" t="s">
        <v>776</v>
      </c>
      <c r="G114" s="2" t="s">
        <v>776</v>
      </c>
      <c r="H114" s="2" t="s">
        <v>776</v>
      </c>
      <c r="I114" s="2" t="s">
        <v>777</v>
      </c>
      <c r="J114" s="2" t="s">
        <v>778</v>
      </c>
      <c r="K114" s="2" t="s">
        <v>798</v>
      </c>
      <c r="L114" s="3">
        <v>32.9</v>
      </c>
      <c r="M114" s="3">
        <v>34.55</v>
      </c>
      <c r="N114" s="3">
        <v>69.99</v>
      </c>
      <c r="O114" s="2" t="s">
        <v>240</v>
      </c>
      <c r="P114" s="2" t="s">
        <v>779</v>
      </c>
      <c r="Q114" s="2" t="s">
        <v>234</v>
      </c>
      <c r="R114" s="2" t="s">
        <v>228</v>
      </c>
      <c r="S114" s="2" t="s">
        <v>799</v>
      </c>
      <c r="T114" s="2" t="s">
        <v>350</v>
      </c>
      <c r="U114" s="2" t="s">
        <v>520</v>
      </c>
      <c r="V114" s="2" t="s">
        <v>236</v>
      </c>
      <c r="W114" s="2" t="s">
        <v>463</v>
      </c>
      <c r="X114" s="2" t="s">
        <v>228</v>
      </c>
      <c r="Y114" s="2" t="s">
        <v>781</v>
      </c>
      <c r="Z114" s="4">
        <v>316</v>
      </c>
      <c r="AA114" s="4">
        <f>=ROUNDDOWN(22.5714285714286,0)</f>
      </c>
      <c r="AB114" s="5">
        <v>14</v>
      </c>
      <c r="AC114" s="2" t="s">
        <v>782</v>
      </c>
      <c r="AD114" s="4">
        <v>420</v>
      </c>
      <c r="AE114" s="4">
        <v>420</v>
      </c>
      <c r="AF114" s="6">
        <v>69</v>
      </c>
      <c r="AG114" s="6"/>
      <c r="AH114" s="7">
        <v>1</v>
      </c>
      <c r="AI114" s="4"/>
      <c r="AJ114" s="4">
        <f>=ROUNDDOWN({0},0)</f>
      </c>
      <c r="AK114" s="5"/>
      <c r="AL114" s="2" t="s">
        <v>228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/>
      <c r="AW114" s="8"/>
      <c r="AX114" s="4"/>
      <c r="AY114" s="8"/>
      <c r="AZ114" s="7"/>
      <c r="BA114" s="7"/>
      <c r="BB114" s="7"/>
      <c r="BC114" s="4" t="s">
        <v>228</v>
      </c>
      <c r="BD114" s="8" t="s">
        <v>228</v>
      </c>
      <c r="BE114" s="4" t="s">
        <v>228</v>
      </c>
      <c r="BF114" s="8" t="s">
        <v>228</v>
      </c>
      <c r="BG114" s="7" t="s">
        <v>228</v>
      </c>
      <c r="BH114" s="7" t="s">
        <v>228</v>
      </c>
      <c r="BI114" s="7"/>
      <c r="BJ114" s="4">
        <v>38</v>
      </c>
      <c r="BK114" s="8">
        <v>1383.92</v>
      </c>
      <c r="BL114" s="2" t="s">
        <v>800</v>
      </c>
      <c r="BM114" s="7"/>
      <c r="BN114" s="7"/>
      <c r="BO114" s="4"/>
      <c r="BP114" s="8"/>
      <c r="BQ114" s="4"/>
      <c r="BR114" s="8"/>
      <c r="BS114" s="7"/>
      <c r="BT114" s="7"/>
      <c r="BU114" s="2" t="s">
        <v>801</v>
      </c>
      <c r="BV114" s="2" t="s">
        <v>228</v>
      </c>
      <c r="BW114" s="2" t="s">
        <v>228</v>
      </c>
      <c r="BX114" s="2" t="s">
        <v>238</v>
      </c>
      <c r="BY114" s="2" t="s">
        <v>274</v>
      </c>
      <c r="BZ114" s="2" t="s">
        <v>240</v>
      </c>
      <c r="CA114" s="2" t="s">
        <v>745</v>
      </c>
      <c r="CB114" s="2" t="s">
        <v>228</v>
      </c>
      <c r="CC114" s="2" t="s">
        <v>241</v>
      </c>
      <c r="CD114" s="2" t="s">
        <v>228</v>
      </c>
      <c r="CE114" s="4">
        <v>316</v>
      </c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>
        <v>420</v>
      </c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</row>
    <row r="115">
      <c r="A115" s="2" t="s">
        <v>802</v>
      </c>
      <c r="B115" s="2" t="s">
        <v>772</v>
      </c>
      <c r="C115" s="2" t="s">
        <v>773</v>
      </c>
      <c r="D115" s="2" t="s">
        <v>774</v>
      </c>
      <c r="E115" s="2" t="s">
        <v>775</v>
      </c>
      <c r="F115" s="2" t="s">
        <v>786</v>
      </c>
      <c r="G115" s="2" t="s">
        <v>786</v>
      </c>
      <c r="H115" s="2" t="s">
        <v>786</v>
      </c>
      <c r="I115" s="2" t="s">
        <v>803</v>
      </c>
      <c r="J115" s="2" t="s">
        <v>788</v>
      </c>
      <c r="K115" s="2" t="s">
        <v>804</v>
      </c>
      <c r="L115" s="3">
        <v>32.9</v>
      </c>
      <c r="M115" s="3">
        <v>34.55</v>
      </c>
      <c r="N115" s="3">
        <v>69.99</v>
      </c>
      <c r="O115" s="2" t="s">
        <v>240</v>
      </c>
      <c r="P115" s="2" t="s">
        <v>779</v>
      </c>
      <c r="Q115" s="2" t="s">
        <v>234</v>
      </c>
      <c r="R115" s="2" t="s">
        <v>228</v>
      </c>
      <c r="S115" s="2" t="s">
        <v>805</v>
      </c>
      <c r="T115" s="2" t="s">
        <v>228</v>
      </c>
      <c r="U115" s="2" t="s">
        <v>791</v>
      </c>
      <c r="V115" s="2" t="s">
        <v>236</v>
      </c>
      <c r="W115" s="2" t="s">
        <v>228</v>
      </c>
      <c r="X115" s="2" t="s">
        <v>228</v>
      </c>
      <c r="Y115" s="2" t="s">
        <v>806</v>
      </c>
      <c r="Z115" s="4">
        <v>632</v>
      </c>
      <c r="AA115" s="4">
        <f>=ROUNDDOWN(486.153846153846,0)</f>
      </c>
      <c r="AB115" s="5">
        <v>1.3</v>
      </c>
      <c r="AC115" s="2" t="s">
        <v>159</v>
      </c>
      <c r="AD115" s="4">
        <v>640</v>
      </c>
      <c r="AE115" s="4">
        <v>640</v>
      </c>
      <c r="AF115" s="6">
        <v>69</v>
      </c>
      <c r="AG115" s="6"/>
      <c r="AH115" s="7">
        <v>1</v>
      </c>
      <c r="AI115" s="4"/>
      <c r="AJ115" s="4">
        <f>=ROUNDDOWN({0},0)</f>
      </c>
      <c r="AK115" s="5"/>
      <c r="AL115" s="2" t="s">
        <v>228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/>
      <c r="AW115" s="8"/>
      <c r="AX115" s="4"/>
      <c r="AY115" s="8"/>
      <c r="AZ115" s="7"/>
      <c r="BA115" s="7"/>
      <c r="BB115" s="7"/>
      <c r="BC115" s="4" t="s">
        <v>228</v>
      </c>
      <c r="BD115" s="8" t="s">
        <v>228</v>
      </c>
      <c r="BE115" s="4" t="s">
        <v>228</v>
      </c>
      <c r="BF115" s="8" t="s">
        <v>228</v>
      </c>
      <c r="BG115" s="7" t="s">
        <v>228</v>
      </c>
      <c r="BH115" s="7" t="s">
        <v>228</v>
      </c>
      <c r="BI115" s="7"/>
      <c r="BJ115" s="4">
        <v>4</v>
      </c>
      <c r="BK115" s="8">
        <v>147.92</v>
      </c>
      <c r="BL115" s="2" t="s">
        <v>807</v>
      </c>
      <c r="BM115" s="7"/>
      <c r="BN115" s="7"/>
      <c r="BO115" s="4"/>
      <c r="BP115" s="8"/>
      <c r="BQ115" s="4"/>
      <c r="BR115" s="8"/>
      <c r="BS115" s="7"/>
      <c r="BT115" s="7"/>
      <c r="BU115" s="2" t="s">
        <v>808</v>
      </c>
      <c r="BV115" s="2" t="s">
        <v>228</v>
      </c>
      <c r="BW115" s="2" t="s">
        <v>228</v>
      </c>
      <c r="BX115" s="2" t="s">
        <v>238</v>
      </c>
      <c r="BY115" s="2" t="s">
        <v>274</v>
      </c>
      <c r="BZ115" s="2" t="s">
        <v>240</v>
      </c>
      <c r="CA115" s="2" t="s">
        <v>745</v>
      </c>
      <c r="CB115" s="2" t="s">
        <v>228</v>
      </c>
      <c r="CC115" s="2" t="s">
        <v>241</v>
      </c>
      <c r="CD115" s="2" t="s">
        <v>228</v>
      </c>
      <c r="CE115" s="4">
        <v>632</v>
      </c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>
        <v>640</v>
      </c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</row>
    <row r="116">
      <c r="A116" s="2" t="s">
        <v>809</v>
      </c>
      <c r="B116" s="2" t="s">
        <v>772</v>
      </c>
      <c r="C116" s="2" t="s">
        <v>773</v>
      </c>
      <c r="D116" s="2" t="s">
        <v>774</v>
      </c>
      <c r="E116" s="2" t="s">
        <v>775</v>
      </c>
      <c r="F116" s="2" t="s">
        <v>786</v>
      </c>
      <c r="G116" s="2" t="s">
        <v>786</v>
      </c>
      <c r="H116" s="2" t="s">
        <v>786</v>
      </c>
      <c r="I116" s="2" t="s">
        <v>803</v>
      </c>
      <c r="J116" s="2" t="s">
        <v>788</v>
      </c>
      <c r="K116" s="2" t="s">
        <v>810</v>
      </c>
      <c r="L116" s="3">
        <v>32.9</v>
      </c>
      <c r="M116" s="3">
        <v>34.55</v>
      </c>
      <c r="N116" s="3">
        <v>69.99</v>
      </c>
      <c r="O116" s="2" t="s">
        <v>240</v>
      </c>
      <c r="P116" s="2" t="s">
        <v>779</v>
      </c>
      <c r="Q116" s="2" t="s">
        <v>234</v>
      </c>
      <c r="R116" s="2" t="s">
        <v>228</v>
      </c>
      <c r="S116" s="2" t="s">
        <v>811</v>
      </c>
      <c r="T116" s="2" t="s">
        <v>228</v>
      </c>
      <c r="U116" s="2" t="s">
        <v>791</v>
      </c>
      <c r="V116" s="2" t="s">
        <v>236</v>
      </c>
      <c r="W116" s="2" t="s">
        <v>228</v>
      </c>
      <c r="X116" s="2" t="s">
        <v>228</v>
      </c>
      <c r="Y116" s="2" t="s">
        <v>812</v>
      </c>
      <c r="Z116" s="4">
        <v>593</v>
      </c>
      <c r="AA116" s="4">
        <f>=ROUNDDOWN(257.826086956522,0)</f>
      </c>
      <c r="AB116" s="5">
        <v>2.3</v>
      </c>
      <c r="AC116" s="2" t="s">
        <v>159</v>
      </c>
      <c r="AD116" s="4">
        <v>600</v>
      </c>
      <c r="AE116" s="4">
        <v>600</v>
      </c>
      <c r="AF116" s="6">
        <v>69</v>
      </c>
      <c r="AG116" s="6"/>
      <c r="AH116" s="7">
        <v>1</v>
      </c>
      <c r="AI116" s="4"/>
      <c r="AJ116" s="4">
        <f>=ROUNDDOWN({0},0)</f>
      </c>
      <c r="AK116" s="5"/>
      <c r="AL116" s="2" t="s">
        <v>228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/>
      <c r="AW116" s="8"/>
      <c r="AX116" s="4"/>
      <c r="AY116" s="8"/>
      <c r="AZ116" s="7"/>
      <c r="BA116" s="7"/>
      <c r="BB116" s="7"/>
      <c r="BC116" s="4" t="s">
        <v>228</v>
      </c>
      <c r="BD116" s="8" t="s">
        <v>228</v>
      </c>
      <c r="BE116" s="4" t="s">
        <v>228</v>
      </c>
      <c r="BF116" s="8" t="s">
        <v>228</v>
      </c>
      <c r="BG116" s="7" t="s">
        <v>228</v>
      </c>
      <c r="BH116" s="7" t="s">
        <v>228</v>
      </c>
      <c r="BI116" s="7"/>
      <c r="BJ116" s="4">
        <v>7</v>
      </c>
      <c r="BK116" s="8">
        <v>248.33</v>
      </c>
      <c r="BL116" s="2" t="s">
        <v>807</v>
      </c>
      <c r="BM116" s="7"/>
      <c r="BN116" s="7"/>
      <c r="BO116" s="4"/>
      <c r="BP116" s="8"/>
      <c r="BQ116" s="4"/>
      <c r="BR116" s="8"/>
      <c r="BS116" s="7"/>
      <c r="BT116" s="7"/>
      <c r="BU116" s="2" t="s">
        <v>813</v>
      </c>
      <c r="BV116" s="2" t="s">
        <v>228</v>
      </c>
      <c r="BW116" s="2" t="s">
        <v>228</v>
      </c>
      <c r="BX116" s="2" t="s">
        <v>238</v>
      </c>
      <c r="BY116" s="2" t="s">
        <v>274</v>
      </c>
      <c r="BZ116" s="2" t="s">
        <v>240</v>
      </c>
      <c r="CA116" s="2" t="s">
        <v>745</v>
      </c>
      <c r="CB116" s="2" t="s">
        <v>228</v>
      </c>
      <c r="CC116" s="2" t="s">
        <v>241</v>
      </c>
      <c r="CD116" s="2" t="s">
        <v>228</v>
      </c>
      <c r="CE116" s="4">
        <v>593</v>
      </c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>
        <v>600</v>
      </c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</row>
    <row r="117">
      <c r="A117" s="2" t="s">
        <v>814</v>
      </c>
      <c r="B117" s="2" t="s">
        <v>772</v>
      </c>
      <c r="C117" s="2" t="s">
        <v>773</v>
      </c>
      <c r="D117" s="2" t="s">
        <v>774</v>
      </c>
      <c r="E117" s="2" t="s">
        <v>775</v>
      </c>
      <c r="F117" s="2" t="s">
        <v>786</v>
      </c>
      <c r="G117" s="2" t="s">
        <v>786</v>
      </c>
      <c r="H117" s="2" t="s">
        <v>786</v>
      </c>
      <c r="I117" s="2" t="s">
        <v>787</v>
      </c>
      <c r="J117" s="2" t="s">
        <v>788</v>
      </c>
      <c r="K117" s="2" t="s">
        <v>525</v>
      </c>
      <c r="L117" s="3">
        <v>32.9</v>
      </c>
      <c r="M117" s="3">
        <v>34.55</v>
      </c>
      <c r="N117" s="3">
        <v>69.99</v>
      </c>
      <c r="O117" s="2" t="s">
        <v>240</v>
      </c>
      <c r="P117" s="2" t="s">
        <v>815</v>
      </c>
      <c r="Q117" s="2" t="s">
        <v>234</v>
      </c>
      <c r="R117" s="2" t="s">
        <v>228</v>
      </c>
      <c r="S117" s="2" t="s">
        <v>816</v>
      </c>
      <c r="T117" s="2" t="s">
        <v>228</v>
      </c>
      <c r="U117" s="2" t="s">
        <v>791</v>
      </c>
      <c r="V117" s="2" t="s">
        <v>236</v>
      </c>
      <c r="W117" s="2" t="s">
        <v>792</v>
      </c>
      <c r="X117" s="2" t="s">
        <v>228</v>
      </c>
      <c r="Y117" s="2" t="s">
        <v>270</v>
      </c>
      <c r="Z117" s="4">
        <v>805</v>
      </c>
      <c r="AA117" s="4">
        <f>=ROUNDDOWN(14.6363636363636,0)</f>
      </c>
      <c r="AB117" s="5">
        <v>55</v>
      </c>
      <c r="AC117" s="2" t="s">
        <v>164</v>
      </c>
      <c r="AD117" s="4">
        <v>410</v>
      </c>
      <c r="AE117" s="4">
        <v>2180</v>
      </c>
      <c r="AF117" s="6">
        <v>69</v>
      </c>
      <c r="AG117" s="6"/>
      <c r="AH117" s="7">
        <v>1</v>
      </c>
      <c r="AI117" s="4"/>
      <c r="AJ117" s="4">
        <f>=ROUNDDOWN({0},0)</f>
      </c>
      <c r="AK117" s="5"/>
      <c r="AL117" s="2" t="s">
        <v>228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 t="s">
        <v>228</v>
      </c>
      <c r="AW117" s="8" t="s">
        <v>228</v>
      </c>
      <c r="AX117" s="4" t="s">
        <v>228</v>
      </c>
      <c r="AY117" s="8" t="s">
        <v>228</v>
      </c>
      <c r="AZ117" s="7" t="s">
        <v>228</v>
      </c>
      <c r="BA117" s="7" t="s">
        <v>228</v>
      </c>
      <c r="BB117" s="7"/>
      <c r="BC117" s="4" t="s">
        <v>228</v>
      </c>
      <c r="BD117" s="8" t="s">
        <v>228</v>
      </c>
      <c r="BE117" s="4" t="s">
        <v>228</v>
      </c>
      <c r="BF117" s="8" t="s">
        <v>228</v>
      </c>
      <c r="BG117" s="7" t="s">
        <v>228</v>
      </c>
      <c r="BH117" s="7" t="s">
        <v>228</v>
      </c>
      <c r="BI117" s="7"/>
      <c r="BJ117" s="4">
        <v>205</v>
      </c>
      <c r="BK117" s="8">
        <v>7152.4</v>
      </c>
      <c r="BL117" s="2" t="s">
        <v>817</v>
      </c>
      <c r="BM117" s="7"/>
      <c r="BN117" s="7"/>
      <c r="BO117" s="4"/>
      <c r="BP117" s="8"/>
      <c r="BQ117" s="4"/>
      <c r="BR117" s="8"/>
      <c r="BS117" s="7"/>
      <c r="BT117" s="7"/>
      <c r="BU117" s="2" t="s">
        <v>818</v>
      </c>
      <c r="BV117" s="2" t="s">
        <v>228</v>
      </c>
      <c r="BW117" s="2" t="s">
        <v>228</v>
      </c>
      <c r="BX117" s="2" t="s">
        <v>273</v>
      </c>
      <c r="BY117" s="2" t="s">
        <v>274</v>
      </c>
      <c r="BZ117" s="2" t="s">
        <v>240</v>
      </c>
      <c r="CA117" s="2" t="s">
        <v>795</v>
      </c>
      <c r="CB117" s="2" t="s">
        <v>819</v>
      </c>
      <c r="CC117" s="2" t="s">
        <v>241</v>
      </c>
      <c r="CD117" s="2" t="s">
        <v>228</v>
      </c>
      <c r="CE117" s="4">
        <v>708</v>
      </c>
      <c r="CF117" s="4"/>
      <c r="CG117" s="4"/>
      <c r="CH117" s="4">
        <v>97</v>
      </c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>
        <v>410</v>
      </c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>
        <v>680</v>
      </c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>
        <v>1090</v>
      </c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</row>
    <row r="118">
      <c r="A118" s="2" t="s">
        <v>820</v>
      </c>
      <c r="B118" s="2" t="s">
        <v>772</v>
      </c>
      <c r="C118" s="2" t="s">
        <v>773</v>
      </c>
      <c r="D118" s="2" t="s">
        <v>774</v>
      </c>
      <c r="E118" s="2" t="s">
        <v>775</v>
      </c>
      <c r="F118" s="2" t="s">
        <v>776</v>
      </c>
      <c r="G118" s="2" t="s">
        <v>776</v>
      </c>
      <c r="H118" s="2" t="s">
        <v>776</v>
      </c>
      <c r="I118" s="2" t="s">
        <v>777</v>
      </c>
      <c r="J118" s="2" t="s">
        <v>778</v>
      </c>
      <c r="K118" s="2" t="s">
        <v>525</v>
      </c>
      <c r="L118" s="3">
        <v>32.9</v>
      </c>
      <c r="M118" s="3">
        <v>34.55</v>
      </c>
      <c r="N118" s="3">
        <v>69.99</v>
      </c>
      <c r="O118" s="2" t="s">
        <v>240</v>
      </c>
      <c r="P118" s="2" t="s">
        <v>779</v>
      </c>
      <c r="Q118" s="2" t="s">
        <v>234</v>
      </c>
      <c r="R118" s="2" t="s">
        <v>228</v>
      </c>
      <c r="S118" s="2" t="s">
        <v>816</v>
      </c>
      <c r="T118" s="2" t="s">
        <v>350</v>
      </c>
      <c r="U118" s="2" t="s">
        <v>520</v>
      </c>
      <c r="V118" s="2" t="s">
        <v>236</v>
      </c>
      <c r="W118" s="2" t="s">
        <v>463</v>
      </c>
      <c r="X118" s="2" t="s">
        <v>228</v>
      </c>
      <c r="Y118" s="2" t="s">
        <v>781</v>
      </c>
      <c r="Z118" s="4">
        <v>314</v>
      </c>
      <c r="AA118" s="4">
        <f>=ROUNDDOWN(9.23529411764706,0)</f>
      </c>
      <c r="AB118" s="5">
        <v>34</v>
      </c>
      <c r="AC118" s="2" t="s">
        <v>782</v>
      </c>
      <c r="AD118" s="4">
        <v>1120</v>
      </c>
      <c r="AE118" s="4">
        <v>1120</v>
      </c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228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228</v>
      </c>
      <c r="AW118" s="8" t="s">
        <v>228</v>
      </c>
      <c r="AX118" s="4" t="s">
        <v>228</v>
      </c>
      <c r="AY118" s="8" t="s">
        <v>228</v>
      </c>
      <c r="AZ118" s="7" t="s">
        <v>228</v>
      </c>
      <c r="BA118" s="7" t="s">
        <v>228</v>
      </c>
      <c r="BB118" s="7"/>
      <c r="BC118" s="4" t="s">
        <v>228</v>
      </c>
      <c r="BD118" s="8" t="s">
        <v>228</v>
      </c>
      <c r="BE118" s="4" t="s">
        <v>228</v>
      </c>
      <c r="BF118" s="8" t="s">
        <v>228</v>
      </c>
      <c r="BG118" s="7" t="s">
        <v>228</v>
      </c>
      <c r="BH118" s="7" t="s">
        <v>228</v>
      </c>
      <c r="BI118" s="7"/>
      <c r="BJ118" s="4">
        <v>54</v>
      </c>
      <c r="BK118" s="8">
        <v>1924.78</v>
      </c>
      <c r="BL118" s="2" t="s">
        <v>800</v>
      </c>
      <c r="BM118" s="7"/>
      <c r="BN118" s="7"/>
      <c r="BO118" s="4"/>
      <c r="BP118" s="8"/>
      <c r="BQ118" s="4"/>
      <c r="BR118" s="8"/>
      <c r="BS118" s="7"/>
      <c r="BT118" s="7"/>
      <c r="BU118" s="2" t="s">
        <v>821</v>
      </c>
      <c r="BV118" s="2" t="s">
        <v>228</v>
      </c>
      <c r="BW118" s="2" t="s">
        <v>228</v>
      </c>
      <c r="BX118" s="2" t="s">
        <v>238</v>
      </c>
      <c r="BY118" s="2" t="s">
        <v>274</v>
      </c>
      <c r="BZ118" s="2" t="s">
        <v>240</v>
      </c>
      <c r="CA118" s="2" t="s">
        <v>745</v>
      </c>
      <c r="CB118" s="2" t="s">
        <v>228</v>
      </c>
      <c r="CC118" s="2" t="s">
        <v>241</v>
      </c>
      <c r="CD118" s="2" t="s">
        <v>228</v>
      </c>
      <c r="CE118" s="4">
        <v>314</v>
      </c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>
        <v>1120</v>
      </c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</row>
    <row r="119">
      <c r="A119" s="2" t="s">
        <v>822</v>
      </c>
      <c r="B119" s="2" t="s">
        <v>772</v>
      </c>
      <c r="C119" s="2" t="s">
        <v>773</v>
      </c>
      <c r="D119" s="2" t="s">
        <v>774</v>
      </c>
      <c r="E119" s="2" t="s">
        <v>775</v>
      </c>
      <c r="F119" s="2" t="s">
        <v>786</v>
      </c>
      <c r="G119" s="2" t="s">
        <v>786</v>
      </c>
      <c r="H119" s="2" t="s">
        <v>786</v>
      </c>
      <c r="I119" s="2" t="s">
        <v>787</v>
      </c>
      <c r="J119" s="2" t="s">
        <v>788</v>
      </c>
      <c r="K119" s="2" t="s">
        <v>823</v>
      </c>
      <c r="L119" s="3">
        <v>32.9</v>
      </c>
      <c r="M119" s="3">
        <v>34.55</v>
      </c>
      <c r="N119" s="3">
        <v>69.99</v>
      </c>
      <c r="O119" s="2" t="s">
        <v>240</v>
      </c>
      <c r="P119" s="2" t="s">
        <v>815</v>
      </c>
      <c r="Q119" s="2" t="s">
        <v>234</v>
      </c>
      <c r="R119" s="2" t="s">
        <v>228</v>
      </c>
      <c r="S119" s="2" t="s">
        <v>824</v>
      </c>
      <c r="T119" s="2" t="s">
        <v>228</v>
      </c>
      <c r="U119" s="2" t="s">
        <v>791</v>
      </c>
      <c r="V119" s="2" t="s">
        <v>236</v>
      </c>
      <c r="W119" s="2" t="s">
        <v>792</v>
      </c>
      <c r="X119" s="2" t="s">
        <v>228</v>
      </c>
      <c r="Y119" s="2" t="s">
        <v>270</v>
      </c>
      <c r="Z119" s="4">
        <v>1271</v>
      </c>
      <c r="AA119" s="4">
        <f>=ROUNDDOWN(26.4791666666667,0)</f>
      </c>
      <c r="AB119" s="5">
        <v>48</v>
      </c>
      <c r="AC119" s="2" t="s">
        <v>158</v>
      </c>
      <c r="AD119" s="4">
        <v>540</v>
      </c>
      <c r="AE119" s="4">
        <v>1080</v>
      </c>
      <c r="AF119" s="6">
        <v>69</v>
      </c>
      <c r="AG119" s="6"/>
      <c r="AH119" s="7">
        <v>1</v>
      </c>
      <c r="AI119" s="4"/>
      <c r="AJ119" s="4">
        <f>=ROUNDDOWN({0},0)</f>
      </c>
      <c r="AK119" s="5"/>
      <c r="AL119" s="2" t="s">
        <v>228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 t="s">
        <v>228</v>
      </c>
      <c r="BD119" s="8" t="s">
        <v>228</v>
      </c>
      <c r="BE119" s="4" t="s">
        <v>228</v>
      </c>
      <c r="BF119" s="8" t="s">
        <v>228</v>
      </c>
      <c r="BG119" s="7" t="s">
        <v>228</v>
      </c>
      <c r="BH119" s="7" t="s">
        <v>228</v>
      </c>
      <c r="BI119" s="7"/>
      <c r="BJ119" s="4">
        <v>163</v>
      </c>
      <c r="BK119" s="8">
        <v>5695.7</v>
      </c>
      <c r="BL119" s="2" t="s">
        <v>825</v>
      </c>
      <c r="BM119" s="7"/>
      <c r="BN119" s="7"/>
      <c r="BO119" s="4"/>
      <c r="BP119" s="8"/>
      <c r="BQ119" s="4"/>
      <c r="BR119" s="8"/>
      <c r="BS119" s="7"/>
      <c r="BT119" s="7"/>
      <c r="BU119" s="2" t="s">
        <v>826</v>
      </c>
      <c r="BV119" s="2" t="s">
        <v>228</v>
      </c>
      <c r="BW119" s="2" t="s">
        <v>228</v>
      </c>
      <c r="BX119" s="2" t="s">
        <v>273</v>
      </c>
      <c r="BY119" s="2" t="s">
        <v>274</v>
      </c>
      <c r="BZ119" s="2" t="s">
        <v>240</v>
      </c>
      <c r="CA119" s="2" t="s">
        <v>795</v>
      </c>
      <c r="CB119" s="2" t="s">
        <v>827</v>
      </c>
      <c r="CC119" s="2" t="s">
        <v>241</v>
      </c>
      <c r="CD119" s="2" t="s">
        <v>228</v>
      </c>
      <c r="CE119" s="4">
        <v>1128</v>
      </c>
      <c r="CF119" s="4"/>
      <c r="CG119" s="4"/>
      <c r="CH119" s="4">
        <v>143</v>
      </c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>
        <v>540</v>
      </c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>
        <v>270</v>
      </c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>
        <v>270</v>
      </c>
      <c r="HE119" s="4"/>
    </row>
    <row r="120">
      <c r="A120" s="2" t="s">
        <v>828</v>
      </c>
      <c r="B120" s="2" t="s">
        <v>772</v>
      </c>
      <c r="C120" s="2" t="s">
        <v>773</v>
      </c>
      <c r="D120" s="2" t="s">
        <v>774</v>
      </c>
      <c r="E120" s="2" t="s">
        <v>775</v>
      </c>
      <c r="F120" s="2" t="s">
        <v>786</v>
      </c>
      <c r="G120" s="2" t="s">
        <v>786</v>
      </c>
      <c r="H120" s="2" t="s">
        <v>786</v>
      </c>
      <c r="I120" s="2" t="s">
        <v>803</v>
      </c>
      <c r="J120" s="2" t="s">
        <v>788</v>
      </c>
      <c r="K120" s="2" t="s">
        <v>829</v>
      </c>
      <c r="L120" s="3">
        <v>32.9</v>
      </c>
      <c r="M120" s="3">
        <v>34.55</v>
      </c>
      <c r="N120" s="3">
        <v>69.99</v>
      </c>
      <c r="O120" s="2" t="s">
        <v>240</v>
      </c>
      <c r="P120" s="2" t="s">
        <v>779</v>
      </c>
      <c r="Q120" s="2" t="s">
        <v>234</v>
      </c>
      <c r="R120" s="2" t="s">
        <v>228</v>
      </c>
      <c r="S120" s="2" t="s">
        <v>830</v>
      </c>
      <c r="T120" s="2" t="s">
        <v>228</v>
      </c>
      <c r="U120" s="2" t="s">
        <v>791</v>
      </c>
      <c r="V120" s="2" t="s">
        <v>236</v>
      </c>
      <c r="W120" s="2" t="s">
        <v>228</v>
      </c>
      <c r="X120" s="2" t="s">
        <v>228</v>
      </c>
      <c r="Y120" s="2" t="s">
        <v>831</v>
      </c>
      <c r="Z120" s="4">
        <v>855</v>
      </c>
      <c r="AA120" s="4">
        <f>=ROUNDDOWN(407.142857142857,0)</f>
      </c>
      <c r="AB120" s="5">
        <v>2.1</v>
      </c>
      <c r="AC120" s="2" t="s">
        <v>159</v>
      </c>
      <c r="AD120" s="4">
        <v>860</v>
      </c>
      <c r="AE120" s="4">
        <v>860</v>
      </c>
      <c r="AF120" s="6">
        <v>69</v>
      </c>
      <c r="AG120" s="6"/>
      <c r="AH120" s="7">
        <v>1</v>
      </c>
      <c r="AI120" s="4"/>
      <c r="AJ120" s="4">
        <f>=ROUNDDOWN({0},0)</f>
      </c>
      <c r="AK120" s="5"/>
      <c r="AL120" s="2" t="s">
        <v>228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/>
      <c r="AW120" s="8"/>
      <c r="AX120" s="4"/>
      <c r="AY120" s="8"/>
      <c r="AZ120" s="7"/>
      <c r="BA120" s="7"/>
      <c r="BB120" s="7"/>
      <c r="BC120" s="4" t="s">
        <v>228</v>
      </c>
      <c r="BD120" s="8" t="s">
        <v>228</v>
      </c>
      <c r="BE120" s="4" t="s">
        <v>228</v>
      </c>
      <c r="BF120" s="8" t="s">
        <v>228</v>
      </c>
      <c r="BG120" s="7" t="s">
        <v>228</v>
      </c>
      <c r="BH120" s="7" t="s">
        <v>228</v>
      </c>
      <c r="BI120" s="7"/>
      <c r="BJ120" s="4">
        <v>5</v>
      </c>
      <c r="BK120" s="8">
        <v>188.95</v>
      </c>
      <c r="BL120" s="2" t="s">
        <v>708</v>
      </c>
      <c r="BM120" s="7"/>
      <c r="BN120" s="7"/>
      <c r="BO120" s="4"/>
      <c r="BP120" s="8"/>
      <c r="BQ120" s="4"/>
      <c r="BR120" s="8"/>
      <c r="BS120" s="7"/>
      <c r="BT120" s="7"/>
      <c r="BU120" s="2" t="s">
        <v>832</v>
      </c>
      <c r="BV120" s="2" t="s">
        <v>228</v>
      </c>
      <c r="BW120" s="2" t="s">
        <v>228</v>
      </c>
      <c r="BX120" s="2" t="s">
        <v>238</v>
      </c>
      <c r="BY120" s="2" t="s">
        <v>274</v>
      </c>
      <c r="BZ120" s="2" t="s">
        <v>240</v>
      </c>
      <c r="CA120" s="2" t="s">
        <v>745</v>
      </c>
      <c r="CB120" s="2" t="s">
        <v>228</v>
      </c>
      <c r="CC120" s="2" t="s">
        <v>241</v>
      </c>
      <c r="CD120" s="2" t="s">
        <v>228</v>
      </c>
      <c r="CE120" s="4">
        <v>855</v>
      </c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>
        <v>860</v>
      </c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</row>
    <row r="121">
      <c r="A121" s="2" t="s">
        <v>833</v>
      </c>
      <c r="B121" s="2" t="s">
        <v>834</v>
      </c>
      <c r="C121" s="2" t="s">
        <v>835</v>
      </c>
      <c r="D121" s="2" t="s">
        <v>836</v>
      </c>
      <c r="E121" s="2" t="s">
        <v>837</v>
      </c>
      <c r="F121" s="2" t="s">
        <v>838</v>
      </c>
      <c r="G121" s="2" t="s">
        <v>838</v>
      </c>
      <c r="H121" s="2" t="s">
        <v>838</v>
      </c>
      <c r="I121" s="2" t="s">
        <v>839</v>
      </c>
      <c r="J121" s="2" t="s">
        <v>840</v>
      </c>
      <c r="K121" s="2" t="s">
        <v>841</v>
      </c>
      <c r="L121" s="3">
        <v>109.44</v>
      </c>
      <c r="M121" s="3">
        <v>114.91</v>
      </c>
      <c r="N121" s="3">
        <v>254.99</v>
      </c>
      <c r="O121" s="2" t="s">
        <v>461</v>
      </c>
      <c r="P121" s="2" t="s">
        <v>333</v>
      </c>
      <c r="Q121" s="2" t="s">
        <v>234</v>
      </c>
      <c r="R121" s="2" t="s">
        <v>228</v>
      </c>
      <c r="S121" s="2" t="s">
        <v>228</v>
      </c>
      <c r="T121" s="2" t="s">
        <v>228</v>
      </c>
      <c r="U121" s="2" t="s">
        <v>416</v>
      </c>
      <c r="V121" s="2" t="s">
        <v>842</v>
      </c>
      <c r="W121" s="2" t="s">
        <v>417</v>
      </c>
      <c r="X121" s="2" t="s">
        <v>843</v>
      </c>
      <c r="Y121" s="2" t="s">
        <v>472</v>
      </c>
      <c r="Z121" s="4">
        <v>92</v>
      </c>
      <c r="AA121" s="4">
        <f>=ROUNDDOWN(83.6363636363636,0)</f>
      </c>
      <c r="AB121" s="5">
        <v>1.1</v>
      </c>
      <c r="AC121" s="2" t="s">
        <v>228</v>
      </c>
      <c r="AD121" s="4"/>
      <c r="AE121" s="4"/>
      <c r="AF121" s="6">
        <v>63</v>
      </c>
      <c r="AG121" s="6"/>
      <c r="AH121" s="7">
        <v>1</v>
      </c>
      <c r="AI121" s="4"/>
      <c r="AJ121" s="4">
        <f>=ROUNDDOWN({0},0)</f>
      </c>
      <c r="AK121" s="5"/>
      <c r="AL121" s="2" t="s">
        <v>228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/>
      <c r="AW121" s="8"/>
      <c r="AX121" s="4"/>
      <c r="AY121" s="8"/>
      <c r="AZ121" s="7"/>
      <c r="BA121" s="7"/>
      <c r="BB121" s="7"/>
      <c r="BC121" s="4"/>
      <c r="BD121" s="8"/>
      <c r="BE121" s="4"/>
      <c r="BF121" s="8"/>
      <c r="BG121" s="7"/>
      <c r="BH121" s="7"/>
      <c r="BI121" s="7"/>
      <c r="BJ121" s="4"/>
      <c r="BK121" s="8"/>
      <c r="BL121" s="2" t="s">
        <v>699</v>
      </c>
      <c r="BM121" s="7"/>
      <c r="BN121" s="7"/>
      <c r="BO121" s="4"/>
      <c r="BP121" s="8"/>
      <c r="BQ121" s="4"/>
      <c r="BR121" s="8"/>
      <c r="BS121" s="7"/>
      <c r="BT121" s="7"/>
      <c r="BU121" s="2" t="s">
        <v>844</v>
      </c>
      <c r="BV121" s="2" t="s">
        <v>228</v>
      </c>
      <c r="BW121" s="2" t="s">
        <v>228</v>
      </c>
      <c r="BX121" s="2" t="s">
        <v>337</v>
      </c>
      <c r="BY121" s="2" t="s">
        <v>274</v>
      </c>
      <c r="BZ121" s="2" t="s">
        <v>240</v>
      </c>
      <c r="CA121" s="2" t="s">
        <v>845</v>
      </c>
      <c r="CB121" s="2" t="s">
        <v>846</v>
      </c>
      <c r="CC121" s="2" t="s">
        <v>241</v>
      </c>
      <c r="CD121" s="2" t="s">
        <v>228</v>
      </c>
      <c r="CE121" s="4"/>
      <c r="CF121" s="4">
        <v>92</v>
      </c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</row>
    <row r="122">
      <c r="A122" s="2" t="s">
        <v>847</v>
      </c>
      <c r="B122" s="2" t="s">
        <v>848</v>
      </c>
      <c r="C122" s="2" t="s">
        <v>849</v>
      </c>
      <c r="D122" s="2" t="s">
        <v>850</v>
      </c>
      <c r="E122" s="2" t="s">
        <v>851</v>
      </c>
      <c r="F122" s="2" t="s">
        <v>852</v>
      </c>
      <c r="G122" s="2" t="s">
        <v>853</v>
      </c>
      <c r="H122" s="2" t="s">
        <v>854</v>
      </c>
      <c r="I122" s="2" t="s">
        <v>855</v>
      </c>
      <c r="J122" s="2" t="s">
        <v>856</v>
      </c>
      <c r="K122" s="2" t="s">
        <v>857</v>
      </c>
      <c r="L122" s="3">
        <v>26.4</v>
      </c>
      <c r="M122" s="3">
        <v>27.72</v>
      </c>
      <c r="N122" s="3">
        <v>54.99</v>
      </c>
      <c r="O122" s="2" t="s">
        <v>461</v>
      </c>
      <c r="P122" s="2" t="s">
        <v>333</v>
      </c>
      <c r="Q122" s="2" t="s">
        <v>234</v>
      </c>
      <c r="R122" s="2" t="s">
        <v>228</v>
      </c>
      <c r="S122" s="2" t="s">
        <v>858</v>
      </c>
      <c r="T122" s="2" t="s">
        <v>415</v>
      </c>
      <c r="U122" s="2" t="s">
        <v>500</v>
      </c>
      <c r="V122" s="2" t="s">
        <v>859</v>
      </c>
      <c r="W122" s="2" t="s">
        <v>417</v>
      </c>
      <c r="X122" s="2" t="s">
        <v>269</v>
      </c>
      <c r="Y122" s="2" t="s">
        <v>860</v>
      </c>
      <c r="Z122" s="4">
        <v>34</v>
      </c>
      <c r="AA122" s="4">
        <f>=ROUNDDOWN(28.3333333333333,0)</f>
      </c>
      <c r="AB122" s="5">
        <v>1.2</v>
      </c>
      <c r="AC122" s="2" t="s">
        <v>228</v>
      </c>
      <c r="AD122" s="4"/>
      <c r="AE122" s="4"/>
      <c r="AF122" s="6">
        <v>65</v>
      </c>
      <c r="AG122" s="6">
        <v>48</v>
      </c>
      <c r="AH122" s="7">
        <v>1</v>
      </c>
      <c r="AI122" s="4"/>
      <c r="AJ122" s="4">
        <f>=ROUNDDOWN({0},0)</f>
      </c>
      <c r="AK122" s="5"/>
      <c r="AL122" s="2" t="s">
        <v>228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/>
      <c r="AW122" s="8"/>
      <c r="AX122" s="4"/>
      <c r="AY122" s="8"/>
      <c r="AZ122" s="7"/>
      <c r="BA122" s="7"/>
      <c r="BB122" s="7"/>
      <c r="BC122" s="4"/>
      <c r="BD122" s="8"/>
      <c r="BE122" s="4"/>
      <c r="BF122" s="8"/>
      <c r="BG122" s="7"/>
      <c r="BH122" s="7"/>
      <c r="BI122" s="7"/>
      <c r="BJ122" s="4">
        <v>5</v>
      </c>
      <c r="BK122" s="8">
        <v>143.88</v>
      </c>
      <c r="BL122" s="2" t="s">
        <v>861</v>
      </c>
      <c r="BM122" s="7"/>
      <c r="BN122" s="7"/>
      <c r="BO122" s="4"/>
      <c r="BP122" s="8"/>
      <c r="BQ122" s="4"/>
      <c r="BR122" s="8"/>
      <c r="BS122" s="7"/>
      <c r="BT122" s="7"/>
      <c r="BU122" s="2" t="s">
        <v>862</v>
      </c>
      <c r="BV122" s="2" t="s">
        <v>228</v>
      </c>
      <c r="BW122" s="2" t="s">
        <v>228</v>
      </c>
      <c r="BX122" s="2" t="s">
        <v>337</v>
      </c>
      <c r="BY122" s="2" t="s">
        <v>274</v>
      </c>
      <c r="BZ122" s="2" t="s">
        <v>240</v>
      </c>
      <c r="CA122" s="2" t="s">
        <v>863</v>
      </c>
      <c r="CB122" s="2" t="s">
        <v>864</v>
      </c>
      <c r="CC122" s="2" t="s">
        <v>241</v>
      </c>
      <c r="CD122" s="2" t="s">
        <v>228</v>
      </c>
      <c r="CE122" s="4">
        <v>23</v>
      </c>
      <c r="CF122" s="4"/>
      <c r="CG122" s="4"/>
      <c r="CH122" s="4">
        <v>11</v>
      </c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</row>
    <row r="123">
      <c r="A123" s="2" t="s">
        <v>865</v>
      </c>
      <c r="B123" s="2" t="s">
        <v>866</v>
      </c>
      <c r="C123" s="2" t="s">
        <v>300</v>
      </c>
      <c r="D123" s="2" t="s">
        <v>867</v>
      </c>
      <c r="E123" s="2" t="s">
        <v>868</v>
      </c>
      <c r="F123" s="2" t="s">
        <v>869</v>
      </c>
      <c r="G123" s="2" t="s">
        <v>869</v>
      </c>
      <c r="H123" s="2" t="s">
        <v>869</v>
      </c>
      <c r="I123" s="2" t="s">
        <v>870</v>
      </c>
      <c r="J123" s="2" t="s">
        <v>840</v>
      </c>
      <c r="K123" s="2" t="s">
        <v>305</v>
      </c>
      <c r="L123" s="3">
        <v>40.71</v>
      </c>
      <c r="M123" s="3">
        <v>42.75</v>
      </c>
      <c r="N123" s="3">
        <v>89.99</v>
      </c>
      <c r="O123" s="2" t="s">
        <v>461</v>
      </c>
      <c r="P123" s="2" t="s">
        <v>333</v>
      </c>
      <c r="Q123" s="2" t="s">
        <v>234</v>
      </c>
      <c r="R123" s="2" t="s">
        <v>228</v>
      </c>
      <c r="S123" s="2" t="s">
        <v>871</v>
      </c>
      <c r="T123" s="2" t="s">
        <v>228</v>
      </c>
      <c r="U123" s="2" t="s">
        <v>416</v>
      </c>
      <c r="V123" s="2" t="s">
        <v>859</v>
      </c>
      <c r="W123" s="2" t="s">
        <v>417</v>
      </c>
      <c r="X123" s="2" t="s">
        <v>228</v>
      </c>
      <c r="Y123" s="2" t="s">
        <v>872</v>
      </c>
      <c r="Z123" s="4">
        <v>69</v>
      </c>
      <c r="AA123" s="4">
        <f>=ROUNDDOWN(172.5,0)</f>
      </c>
      <c r="AB123" s="5">
        <v>0.4</v>
      </c>
      <c r="AC123" s="2" t="s">
        <v>228</v>
      </c>
      <c r="AD123" s="4"/>
      <c r="AE123" s="4"/>
      <c r="AF123" s="6">
        <v>63</v>
      </c>
      <c r="AG123" s="6"/>
      <c r="AH123" s="7">
        <v>1</v>
      </c>
      <c r="AI123" s="4"/>
      <c r="AJ123" s="4">
        <f>=ROUNDDOWN({0},0)</f>
      </c>
      <c r="AK123" s="5"/>
      <c r="AL123" s="2" t="s">
        <v>228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/>
      <c r="AW123" s="8"/>
      <c r="AX123" s="4"/>
      <c r="AY123" s="8"/>
      <c r="AZ123" s="7"/>
      <c r="BA123" s="7"/>
      <c r="BB123" s="7"/>
      <c r="BC123" s="4"/>
      <c r="BD123" s="8"/>
      <c r="BE123" s="4"/>
      <c r="BF123" s="8"/>
      <c r="BG123" s="7"/>
      <c r="BH123" s="7"/>
      <c r="BI123" s="7"/>
      <c r="BJ123" s="4">
        <v>1</v>
      </c>
      <c r="BK123" s="8">
        <v>40.49</v>
      </c>
      <c r="BL123" s="2" t="s">
        <v>873</v>
      </c>
      <c r="BM123" s="7"/>
      <c r="BN123" s="7"/>
      <c r="BO123" s="4"/>
      <c r="BP123" s="8"/>
      <c r="BQ123" s="4"/>
      <c r="BR123" s="8"/>
      <c r="BS123" s="7"/>
      <c r="BT123" s="7"/>
      <c r="BU123" s="2" t="s">
        <v>874</v>
      </c>
      <c r="BV123" s="2" t="s">
        <v>228</v>
      </c>
      <c r="BW123" s="2" t="s">
        <v>228</v>
      </c>
      <c r="BX123" s="2" t="s">
        <v>337</v>
      </c>
      <c r="BY123" s="2" t="s">
        <v>274</v>
      </c>
      <c r="BZ123" s="2" t="s">
        <v>240</v>
      </c>
      <c r="CA123" s="2" t="s">
        <v>532</v>
      </c>
      <c r="CB123" s="2" t="s">
        <v>875</v>
      </c>
      <c r="CC123" s="2" t="s">
        <v>241</v>
      </c>
      <c r="CD123" s="2" t="s">
        <v>228</v>
      </c>
      <c r="CE123" s="4"/>
      <c r="CF123" s="4">
        <v>69</v>
      </c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</row>
    <row r="124">
      <c r="A124" s="2" t="s">
        <v>876</v>
      </c>
      <c r="B124" s="2" t="s">
        <v>866</v>
      </c>
      <c r="C124" s="2" t="s">
        <v>300</v>
      </c>
      <c r="D124" s="2" t="s">
        <v>867</v>
      </c>
      <c r="E124" s="2" t="s">
        <v>877</v>
      </c>
      <c r="F124" s="2" t="s">
        <v>878</v>
      </c>
      <c r="G124" s="2" t="s">
        <v>878</v>
      </c>
      <c r="H124" s="2" t="s">
        <v>878</v>
      </c>
      <c r="I124" s="2" t="s">
        <v>879</v>
      </c>
      <c r="J124" s="2" t="s">
        <v>840</v>
      </c>
      <c r="K124" s="2" t="s">
        <v>305</v>
      </c>
      <c r="L124" s="3">
        <v>32.38</v>
      </c>
      <c r="M124" s="3">
        <v>34</v>
      </c>
      <c r="N124" s="3">
        <v>67.99</v>
      </c>
      <c r="O124" s="2" t="s">
        <v>240</v>
      </c>
      <c r="P124" s="2" t="s">
        <v>333</v>
      </c>
      <c r="Q124" s="2" t="s">
        <v>234</v>
      </c>
      <c r="R124" s="2" t="s">
        <v>228</v>
      </c>
      <c r="S124" s="2" t="s">
        <v>228</v>
      </c>
      <c r="T124" s="2" t="s">
        <v>228</v>
      </c>
      <c r="U124" s="2" t="s">
        <v>416</v>
      </c>
      <c r="V124" s="2" t="s">
        <v>859</v>
      </c>
      <c r="W124" s="2" t="s">
        <v>463</v>
      </c>
      <c r="X124" s="2" t="s">
        <v>417</v>
      </c>
      <c r="Y124" s="2" t="s">
        <v>880</v>
      </c>
      <c r="Z124" s="4">
        <v>40</v>
      </c>
      <c r="AA124" s="4">
        <f>=ROUNDDOWN(21.0526315789474,0)</f>
      </c>
      <c r="AB124" s="5">
        <v>1.9</v>
      </c>
      <c r="AC124" s="2" t="s">
        <v>228</v>
      </c>
      <c r="AD124" s="4"/>
      <c r="AE124" s="4"/>
      <c r="AF124" s="6">
        <v>63</v>
      </c>
      <c r="AG124" s="6"/>
      <c r="AH124" s="7">
        <v>1</v>
      </c>
      <c r="AI124" s="4"/>
      <c r="AJ124" s="4">
        <f>=ROUNDDOWN({0},0)</f>
      </c>
      <c r="AK124" s="5"/>
      <c r="AL124" s="2" t="s">
        <v>228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/>
      <c r="AW124" s="8"/>
      <c r="AX124" s="4"/>
      <c r="AY124" s="8"/>
      <c r="AZ124" s="7"/>
      <c r="BA124" s="7"/>
      <c r="BB124" s="7"/>
      <c r="BC124" s="4"/>
      <c r="BD124" s="8"/>
      <c r="BE124" s="4"/>
      <c r="BF124" s="8"/>
      <c r="BG124" s="7"/>
      <c r="BH124" s="7"/>
      <c r="BI124" s="7"/>
      <c r="BJ124" s="4">
        <v>7</v>
      </c>
      <c r="BK124" s="8">
        <v>330.27</v>
      </c>
      <c r="BL124" s="2" t="s">
        <v>881</v>
      </c>
      <c r="BM124" s="7"/>
      <c r="BN124" s="7"/>
      <c r="BO124" s="4"/>
      <c r="BP124" s="8"/>
      <c r="BQ124" s="4"/>
      <c r="BR124" s="8"/>
      <c r="BS124" s="7"/>
      <c r="BT124" s="7"/>
      <c r="BU124" s="2" t="s">
        <v>882</v>
      </c>
      <c r="BV124" s="2" t="s">
        <v>228</v>
      </c>
      <c r="BW124" s="2" t="s">
        <v>228</v>
      </c>
      <c r="BX124" s="2" t="s">
        <v>337</v>
      </c>
      <c r="BY124" s="2" t="s">
        <v>274</v>
      </c>
      <c r="BZ124" s="2" t="s">
        <v>240</v>
      </c>
      <c r="CA124" s="2" t="s">
        <v>883</v>
      </c>
      <c r="CB124" s="2" t="s">
        <v>228</v>
      </c>
      <c r="CC124" s="2" t="s">
        <v>241</v>
      </c>
      <c r="CD124" s="2" t="s">
        <v>228</v>
      </c>
      <c r="CE124" s="4"/>
      <c r="CF124" s="4">
        <v>40</v>
      </c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</row>
    <row r="125">
      <c r="A125" s="2" t="s">
        <v>884</v>
      </c>
      <c r="B125" s="2" t="s">
        <v>866</v>
      </c>
      <c r="C125" s="2" t="s">
        <v>885</v>
      </c>
      <c r="D125" s="2" t="s">
        <v>867</v>
      </c>
      <c r="E125" s="2" t="s">
        <v>877</v>
      </c>
      <c r="F125" s="2" t="s">
        <v>886</v>
      </c>
      <c r="G125" s="2" t="s">
        <v>886</v>
      </c>
      <c r="H125" s="2" t="s">
        <v>886</v>
      </c>
      <c r="I125" s="2" t="s">
        <v>887</v>
      </c>
      <c r="J125" s="2" t="s">
        <v>840</v>
      </c>
      <c r="K125" s="2" t="s">
        <v>888</v>
      </c>
      <c r="L125" s="3">
        <v>15.17</v>
      </c>
      <c r="M125" s="3">
        <v>15.93</v>
      </c>
      <c r="N125" s="3">
        <v>38.24</v>
      </c>
      <c r="O125" s="2" t="s">
        <v>240</v>
      </c>
      <c r="P125" s="2" t="s">
        <v>889</v>
      </c>
      <c r="Q125" s="2" t="s">
        <v>234</v>
      </c>
      <c r="R125" s="2" t="s">
        <v>228</v>
      </c>
      <c r="S125" s="2" t="s">
        <v>890</v>
      </c>
      <c r="T125" s="2" t="s">
        <v>228</v>
      </c>
      <c r="U125" s="2" t="s">
        <v>416</v>
      </c>
      <c r="V125" s="2" t="s">
        <v>891</v>
      </c>
      <c r="W125" s="2" t="s">
        <v>743</v>
      </c>
      <c r="X125" s="2" t="s">
        <v>892</v>
      </c>
      <c r="Y125" s="2" t="s">
        <v>893</v>
      </c>
      <c r="Z125" s="4">
        <v>309</v>
      </c>
      <c r="AA125" s="4">
        <f>=ROUNDDOWN(22.0714285714286,0)</f>
      </c>
      <c r="AB125" s="5">
        <v>14</v>
      </c>
      <c r="AC125" s="2" t="s">
        <v>228</v>
      </c>
      <c r="AD125" s="4"/>
      <c r="AE125" s="4"/>
      <c r="AF125" s="6">
        <v>63</v>
      </c>
      <c r="AG125" s="6"/>
      <c r="AH125" s="7">
        <v>1</v>
      </c>
      <c r="AI125" s="4"/>
      <c r="AJ125" s="4">
        <f>=ROUNDDOWN({0},0)</f>
      </c>
      <c r="AK125" s="5"/>
      <c r="AL125" s="2" t="s">
        <v>228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/>
      <c r="AW125" s="8"/>
      <c r="AX125" s="4"/>
      <c r="AY125" s="8"/>
      <c r="AZ125" s="7"/>
      <c r="BA125" s="7"/>
      <c r="BB125" s="7"/>
      <c r="BC125" s="4"/>
      <c r="BD125" s="8"/>
      <c r="BE125" s="4"/>
      <c r="BF125" s="8"/>
      <c r="BG125" s="7"/>
      <c r="BH125" s="7"/>
      <c r="BI125" s="7"/>
      <c r="BJ125" s="4">
        <v>47</v>
      </c>
      <c r="BK125" s="8">
        <v>924.6</v>
      </c>
      <c r="BL125" s="2" t="s">
        <v>894</v>
      </c>
      <c r="BM125" s="7"/>
      <c r="BN125" s="7"/>
      <c r="BO125" s="4"/>
      <c r="BP125" s="8"/>
      <c r="BQ125" s="4"/>
      <c r="BR125" s="8"/>
      <c r="BS125" s="7"/>
      <c r="BT125" s="7"/>
      <c r="BU125" s="2" t="s">
        <v>895</v>
      </c>
      <c r="BV125" s="2" t="s">
        <v>228</v>
      </c>
      <c r="BW125" s="2" t="s">
        <v>228</v>
      </c>
      <c r="BX125" s="2" t="s">
        <v>273</v>
      </c>
      <c r="BY125" s="2" t="s">
        <v>274</v>
      </c>
      <c r="BZ125" s="2" t="s">
        <v>240</v>
      </c>
      <c r="CA125" s="2" t="s">
        <v>896</v>
      </c>
      <c r="CB125" s="2" t="s">
        <v>897</v>
      </c>
      <c r="CC125" s="2" t="s">
        <v>241</v>
      </c>
      <c r="CD125" s="2" t="s">
        <v>228</v>
      </c>
      <c r="CE125" s="4"/>
      <c r="CF125" s="4">
        <v>309</v>
      </c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</row>
    <row r="126">
      <c r="A126" s="2" t="s">
        <v>898</v>
      </c>
      <c r="B126" s="2" t="s">
        <v>866</v>
      </c>
      <c r="C126" s="2" t="s">
        <v>885</v>
      </c>
      <c r="D126" s="2" t="s">
        <v>899</v>
      </c>
      <c r="E126" s="2" t="s">
        <v>877</v>
      </c>
      <c r="F126" s="2" t="s">
        <v>900</v>
      </c>
      <c r="G126" s="2" t="s">
        <v>900</v>
      </c>
      <c r="H126" s="2" t="s">
        <v>900</v>
      </c>
      <c r="I126" s="2" t="s">
        <v>901</v>
      </c>
      <c r="J126" s="2" t="s">
        <v>840</v>
      </c>
      <c r="K126" s="2" t="s">
        <v>888</v>
      </c>
      <c r="L126" s="3">
        <v>15.92</v>
      </c>
      <c r="M126" s="3">
        <v>16.72</v>
      </c>
      <c r="N126" s="3">
        <v>38.24</v>
      </c>
      <c r="O126" s="2" t="s">
        <v>240</v>
      </c>
      <c r="P126" s="2" t="s">
        <v>333</v>
      </c>
      <c r="Q126" s="2" t="s">
        <v>234</v>
      </c>
      <c r="R126" s="2" t="s">
        <v>228</v>
      </c>
      <c r="S126" s="2" t="s">
        <v>902</v>
      </c>
      <c r="T126" s="2" t="s">
        <v>228</v>
      </c>
      <c r="U126" s="2" t="s">
        <v>416</v>
      </c>
      <c r="V126" s="2" t="s">
        <v>891</v>
      </c>
      <c r="W126" s="2" t="s">
        <v>743</v>
      </c>
      <c r="X126" s="2" t="s">
        <v>892</v>
      </c>
      <c r="Y126" s="2" t="s">
        <v>893</v>
      </c>
      <c r="Z126" s="4">
        <v>25</v>
      </c>
      <c r="AA126" s="4">
        <f>=ROUNDDOWN(8.92857142857143,0)</f>
      </c>
      <c r="AB126" s="5">
        <v>2.8</v>
      </c>
      <c r="AC126" s="2" t="s">
        <v>228</v>
      </c>
      <c r="AD126" s="4"/>
      <c r="AE126" s="4"/>
      <c r="AF126" s="6">
        <v>63</v>
      </c>
      <c r="AG126" s="6"/>
      <c r="AH126" s="7">
        <v>1</v>
      </c>
      <c r="AI126" s="4"/>
      <c r="AJ126" s="4">
        <f>=ROUNDDOWN({0},0)</f>
      </c>
      <c r="AK126" s="5"/>
      <c r="AL126" s="2" t="s">
        <v>228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/>
      <c r="AW126" s="8"/>
      <c r="AX126" s="4"/>
      <c r="AY126" s="8"/>
      <c r="AZ126" s="7"/>
      <c r="BA126" s="7"/>
      <c r="BB126" s="7"/>
      <c r="BC126" s="4"/>
      <c r="BD126" s="8"/>
      <c r="BE126" s="4"/>
      <c r="BF126" s="8"/>
      <c r="BG126" s="7"/>
      <c r="BH126" s="7"/>
      <c r="BI126" s="7"/>
      <c r="BJ126" s="4">
        <v>13</v>
      </c>
      <c r="BK126" s="8">
        <v>239.35</v>
      </c>
      <c r="BL126" s="2" t="s">
        <v>903</v>
      </c>
      <c r="BM126" s="7"/>
      <c r="BN126" s="7"/>
      <c r="BO126" s="4"/>
      <c r="BP126" s="8"/>
      <c r="BQ126" s="4"/>
      <c r="BR126" s="8"/>
      <c r="BS126" s="7"/>
      <c r="BT126" s="7"/>
      <c r="BU126" s="2" t="s">
        <v>904</v>
      </c>
      <c r="BV126" s="2" t="s">
        <v>228</v>
      </c>
      <c r="BW126" s="2" t="s">
        <v>228</v>
      </c>
      <c r="BX126" s="2" t="s">
        <v>337</v>
      </c>
      <c r="BY126" s="2" t="s">
        <v>274</v>
      </c>
      <c r="BZ126" s="2" t="s">
        <v>240</v>
      </c>
      <c r="CA126" s="2" t="s">
        <v>896</v>
      </c>
      <c r="CB126" s="2" t="s">
        <v>905</v>
      </c>
      <c r="CC126" s="2" t="s">
        <v>241</v>
      </c>
      <c r="CD126" s="2" t="s">
        <v>228</v>
      </c>
      <c r="CE126" s="4"/>
      <c r="CF126" s="4">
        <v>25</v>
      </c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</row>
    <row r="127">
      <c r="A127" s="2" t="s">
        <v>906</v>
      </c>
      <c r="B127" s="2" t="s">
        <v>866</v>
      </c>
      <c r="C127" s="2" t="s">
        <v>300</v>
      </c>
      <c r="D127" s="2" t="s">
        <v>907</v>
      </c>
      <c r="E127" s="2" t="s">
        <v>908</v>
      </c>
      <c r="F127" s="2" t="s">
        <v>909</v>
      </c>
      <c r="G127" s="2" t="s">
        <v>909</v>
      </c>
      <c r="H127" s="2" t="s">
        <v>909</v>
      </c>
      <c r="I127" s="2" t="s">
        <v>910</v>
      </c>
      <c r="J127" s="2" t="s">
        <v>911</v>
      </c>
      <c r="K127" s="2" t="s">
        <v>912</v>
      </c>
      <c r="L127" s="3">
        <v>47.62</v>
      </c>
      <c r="M127" s="3">
        <v>50</v>
      </c>
      <c r="N127" s="3">
        <v>99.99</v>
      </c>
      <c r="O127" s="2" t="s">
        <v>240</v>
      </c>
      <c r="P127" s="2" t="s">
        <v>233</v>
      </c>
      <c r="Q127" s="2" t="s">
        <v>234</v>
      </c>
      <c r="R127" s="2" t="s">
        <v>228</v>
      </c>
      <c r="S127" s="2" t="s">
        <v>228</v>
      </c>
      <c r="T127" s="2" t="s">
        <v>228</v>
      </c>
      <c r="U127" s="2" t="s">
        <v>416</v>
      </c>
      <c r="V127" s="2" t="s">
        <v>842</v>
      </c>
      <c r="W127" s="2" t="s">
        <v>309</v>
      </c>
      <c r="X127" s="2" t="s">
        <v>228</v>
      </c>
      <c r="Y127" s="2" t="s">
        <v>913</v>
      </c>
      <c r="Z127" s="4">
        <v>96</v>
      </c>
      <c r="AA127" s="4">
        <f>=ROUNDDOWN(96,0)</f>
      </c>
      <c r="AB127" s="5">
        <v>1</v>
      </c>
      <c r="AC127" s="2" t="s">
        <v>228</v>
      </c>
      <c r="AD127" s="4"/>
      <c r="AE127" s="4"/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228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/>
      <c r="AW127" s="8"/>
      <c r="AX127" s="4"/>
      <c r="AY127" s="8"/>
      <c r="AZ127" s="7"/>
      <c r="BA127" s="7"/>
      <c r="BB127" s="7"/>
      <c r="BC127" s="4"/>
      <c r="BD127" s="8"/>
      <c r="BE127" s="4"/>
      <c r="BF127" s="8"/>
      <c r="BG127" s="7"/>
      <c r="BH127" s="7"/>
      <c r="BI127" s="7"/>
      <c r="BJ127" s="4">
        <v>2</v>
      </c>
      <c r="BK127" s="8">
        <v>121.78</v>
      </c>
      <c r="BL127" s="2" t="s">
        <v>914</v>
      </c>
      <c r="BM127" s="7"/>
      <c r="BN127" s="7"/>
      <c r="BO127" s="4"/>
      <c r="BP127" s="8"/>
      <c r="BQ127" s="4"/>
      <c r="BR127" s="8"/>
      <c r="BS127" s="7"/>
      <c r="BT127" s="7"/>
      <c r="BU127" s="2" t="s">
        <v>915</v>
      </c>
      <c r="BV127" s="2" t="s">
        <v>228</v>
      </c>
      <c r="BW127" s="2" t="s">
        <v>228</v>
      </c>
      <c r="BX127" s="2" t="s">
        <v>238</v>
      </c>
      <c r="BY127" s="2" t="s">
        <v>274</v>
      </c>
      <c r="BZ127" s="2" t="s">
        <v>240</v>
      </c>
      <c r="CA127" s="2" t="s">
        <v>916</v>
      </c>
      <c r="CB127" s="2" t="s">
        <v>228</v>
      </c>
      <c r="CC127" s="2" t="s">
        <v>241</v>
      </c>
      <c r="CD127" s="2" t="s">
        <v>228</v>
      </c>
      <c r="CE127" s="4"/>
      <c r="CF127" s="4">
        <v>96</v>
      </c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</row>
    <row r="128">
      <c r="A128" s="2" t="s">
        <v>917</v>
      </c>
      <c r="B128" s="2" t="s">
        <v>772</v>
      </c>
      <c r="C128" s="2" t="s">
        <v>918</v>
      </c>
      <c r="D128" s="2" t="s">
        <v>774</v>
      </c>
      <c r="E128" s="2" t="s">
        <v>775</v>
      </c>
      <c r="F128" s="2" t="s">
        <v>919</v>
      </c>
      <c r="G128" s="2" t="s">
        <v>919</v>
      </c>
      <c r="H128" s="2" t="s">
        <v>919</v>
      </c>
      <c r="I128" s="2" t="s">
        <v>920</v>
      </c>
      <c r="J128" s="2" t="s">
        <v>921</v>
      </c>
      <c r="K128" s="2" t="s">
        <v>249</v>
      </c>
      <c r="L128" s="3">
        <v>14.85</v>
      </c>
      <c r="M128" s="3">
        <v>15.59</v>
      </c>
      <c r="N128" s="3">
        <v>39.99</v>
      </c>
      <c r="O128" s="2" t="s">
        <v>240</v>
      </c>
      <c r="P128" s="2" t="s">
        <v>922</v>
      </c>
      <c r="Q128" s="2" t="s">
        <v>234</v>
      </c>
      <c r="R128" s="2" t="s">
        <v>228</v>
      </c>
      <c r="S128" s="2" t="s">
        <v>228</v>
      </c>
      <c r="T128" s="2" t="s">
        <v>350</v>
      </c>
      <c r="U128" s="2" t="s">
        <v>416</v>
      </c>
      <c r="V128" s="2" t="s">
        <v>236</v>
      </c>
      <c r="W128" s="2" t="s">
        <v>309</v>
      </c>
      <c r="X128" s="2" t="s">
        <v>228</v>
      </c>
      <c r="Y128" s="2" t="s">
        <v>923</v>
      </c>
      <c r="Z128" s="4">
        <v>408</v>
      </c>
      <c r="AA128" s="4">
        <f>=ROUNDDOWN(58.2857142857143,0)</f>
      </c>
      <c r="AB128" s="5">
        <v>7</v>
      </c>
      <c r="AC128" s="2" t="s">
        <v>228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228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228</v>
      </c>
      <c r="AW128" s="8" t="s">
        <v>228</v>
      </c>
      <c r="AX128" s="4" t="s">
        <v>228</v>
      </c>
      <c r="AY128" s="8" t="s">
        <v>228</v>
      </c>
      <c r="AZ128" s="7" t="s">
        <v>228</v>
      </c>
      <c r="BA128" s="7" t="s">
        <v>228</v>
      </c>
      <c r="BB128" s="7"/>
      <c r="BC128" s="4" t="s">
        <v>228</v>
      </c>
      <c r="BD128" s="8" t="s">
        <v>228</v>
      </c>
      <c r="BE128" s="4" t="s">
        <v>228</v>
      </c>
      <c r="BF128" s="8" t="s">
        <v>228</v>
      </c>
      <c r="BG128" s="7" t="s">
        <v>228</v>
      </c>
      <c r="BH128" s="7" t="s">
        <v>228</v>
      </c>
      <c r="BI128" s="7"/>
      <c r="BJ128" s="4">
        <v>27</v>
      </c>
      <c r="BK128" s="8">
        <v>450.6</v>
      </c>
      <c r="BL128" s="2" t="s">
        <v>924</v>
      </c>
      <c r="BM128" s="7"/>
      <c r="BN128" s="7"/>
      <c r="BO128" s="4"/>
      <c r="BP128" s="8"/>
      <c r="BQ128" s="4"/>
      <c r="BR128" s="8"/>
      <c r="BS128" s="7"/>
      <c r="BT128" s="7"/>
      <c r="BU128" s="2" t="s">
        <v>925</v>
      </c>
      <c r="BV128" s="2" t="s">
        <v>228</v>
      </c>
      <c r="BW128" s="2" t="s">
        <v>228</v>
      </c>
      <c r="BX128" s="2" t="s">
        <v>337</v>
      </c>
      <c r="BY128" s="2" t="s">
        <v>274</v>
      </c>
      <c r="BZ128" s="2" t="s">
        <v>240</v>
      </c>
      <c r="CA128" s="2" t="s">
        <v>926</v>
      </c>
      <c r="CB128" s="2" t="s">
        <v>927</v>
      </c>
      <c r="CC128" s="2" t="s">
        <v>241</v>
      </c>
      <c r="CD128" s="2" t="s">
        <v>228</v>
      </c>
      <c r="CE128" s="4">
        <v>408</v>
      </c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</row>
    <row r="129">
      <c r="A129" s="2" t="s">
        <v>928</v>
      </c>
      <c r="B129" s="2" t="s">
        <v>772</v>
      </c>
      <c r="C129" s="2" t="s">
        <v>918</v>
      </c>
      <c r="D129" s="2" t="s">
        <v>774</v>
      </c>
      <c r="E129" s="2" t="s">
        <v>775</v>
      </c>
      <c r="F129" s="2" t="s">
        <v>919</v>
      </c>
      <c r="G129" s="2" t="s">
        <v>919</v>
      </c>
      <c r="H129" s="2" t="s">
        <v>919</v>
      </c>
      <c r="I129" s="2" t="s">
        <v>920</v>
      </c>
      <c r="J129" s="2" t="s">
        <v>929</v>
      </c>
      <c r="K129" s="2" t="s">
        <v>249</v>
      </c>
      <c r="L129" s="3">
        <v>9.28</v>
      </c>
      <c r="M129" s="3">
        <v>9.74</v>
      </c>
      <c r="N129" s="3">
        <v>24.99</v>
      </c>
      <c r="O129" s="2" t="s">
        <v>240</v>
      </c>
      <c r="P129" s="2" t="s">
        <v>922</v>
      </c>
      <c r="Q129" s="2" t="s">
        <v>234</v>
      </c>
      <c r="R129" s="2" t="s">
        <v>228</v>
      </c>
      <c r="S129" s="2" t="s">
        <v>228</v>
      </c>
      <c r="T129" s="2" t="s">
        <v>350</v>
      </c>
      <c r="U129" s="2" t="s">
        <v>416</v>
      </c>
      <c r="V129" s="2" t="s">
        <v>236</v>
      </c>
      <c r="W129" s="2" t="s">
        <v>309</v>
      </c>
      <c r="X129" s="2" t="s">
        <v>228</v>
      </c>
      <c r="Y129" s="2" t="s">
        <v>923</v>
      </c>
      <c r="Z129" s="4">
        <v>166</v>
      </c>
      <c r="AA129" s="4">
        <f>=ROUNDDOWN(23.7142857142857,0)</f>
      </c>
      <c r="AB129" s="5">
        <v>7</v>
      </c>
      <c r="AC129" s="2" t="s">
        <v>228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228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228</v>
      </c>
      <c r="AW129" s="8" t="s">
        <v>228</v>
      </c>
      <c r="AX129" s="4" t="s">
        <v>228</v>
      </c>
      <c r="AY129" s="8" t="s">
        <v>228</v>
      </c>
      <c r="AZ129" s="7" t="s">
        <v>228</v>
      </c>
      <c r="BA129" s="7" t="s">
        <v>228</v>
      </c>
      <c r="BB129" s="7"/>
      <c r="BC129" s="4" t="s">
        <v>228</v>
      </c>
      <c r="BD129" s="8" t="s">
        <v>228</v>
      </c>
      <c r="BE129" s="4" t="s">
        <v>228</v>
      </c>
      <c r="BF129" s="8" t="s">
        <v>228</v>
      </c>
      <c r="BG129" s="7" t="s">
        <v>228</v>
      </c>
      <c r="BH129" s="7" t="s">
        <v>228</v>
      </c>
      <c r="BI129" s="7"/>
      <c r="BJ129" s="4">
        <v>7</v>
      </c>
      <c r="BK129" s="8">
        <v>71.61</v>
      </c>
      <c r="BL129" s="2" t="s">
        <v>930</v>
      </c>
      <c r="BM129" s="7"/>
      <c r="BN129" s="7"/>
      <c r="BO129" s="4"/>
      <c r="BP129" s="8"/>
      <c r="BQ129" s="4"/>
      <c r="BR129" s="8"/>
      <c r="BS129" s="7"/>
      <c r="BT129" s="7"/>
      <c r="BU129" s="2" t="s">
        <v>931</v>
      </c>
      <c r="BV129" s="2" t="s">
        <v>228</v>
      </c>
      <c r="BW129" s="2" t="s">
        <v>228</v>
      </c>
      <c r="BX129" s="2" t="s">
        <v>337</v>
      </c>
      <c r="BY129" s="2" t="s">
        <v>274</v>
      </c>
      <c r="BZ129" s="2" t="s">
        <v>240</v>
      </c>
      <c r="CA129" s="2" t="s">
        <v>926</v>
      </c>
      <c r="CB129" s="2" t="s">
        <v>932</v>
      </c>
      <c r="CC129" s="2" t="s">
        <v>241</v>
      </c>
      <c r="CD129" s="2" t="s">
        <v>228</v>
      </c>
      <c r="CE129" s="4">
        <v>166</v>
      </c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</row>
    <row r="130">
      <c r="A130" s="2" t="s">
        <v>933</v>
      </c>
      <c r="B130" s="2" t="s">
        <v>772</v>
      </c>
      <c r="C130" s="2" t="s">
        <v>918</v>
      </c>
      <c r="D130" s="2" t="s">
        <v>774</v>
      </c>
      <c r="E130" s="2" t="s">
        <v>775</v>
      </c>
      <c r="F130" s="2" t="s">
        <v>919</v>
      </c>
      <c r="G130" s="2" t="s">
        <v>919</v>
      </c>
      <c r="H130" s="2" t="s">
        <v>919</v>
      </c>
      <c r="I130" s="2" t="s">
        <v>920</v>
      </c>
      <c r="J130" s="2" t="s">
        <v>929</v>
      </c>
      <c r="K130" s="2" t="s">
        <v>480</v>
      </c>
      <c r="L130" s="3">
        <v>9.28</v>
      </c>
      <c r="M130" s="3">
        <v>9.74</v>
      </c>
      <c r="N130" s="3">
        <v>24.99</v>
      </c>
      <c r="O130" s="2" t="s">
        <v>240</v>
      </c>
      <c r="P130" s="2" t="s">
        <v>922</v>
      </c>
      <c r="Q130" s="2" t="s">
        <v>234</v>
      </c>
      <c r="R130" s="2" t="s">
        <v>228</v>
      </c>
      <c r="S130" s="2" t="s">
        <v>228</v>
      </c>
      <c r="T130" s="2" t="s">
        <v>350</v>
      </c>
      <c r="U130" s="2" t="s">
        <v>416</v>
      </c>
      <c r="V130" s="2" t="s">
        <v>236</v>
      </c>
      <c r="W130" s="2" t="s">
        <v>309</v>
      </c>
      <c r="X130" s="2" t="s">
        <v>228</v>
      </c>
      <c r="Y130" s="2" t="s">
        <v>923</v>
      </c>
      <c r="Z130" s="4">
        <v>299</v>
      </c>
      <c r="AA130" s="4">
        <f>=ROUNDDOWN(49.8333333333333,0)</f>
      </c>
      <c r="AB130" s="5">
        <v>6</v>
      </c>
      <c r="AC130" s="2" t="s">
        <v>228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228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228</v>
      </c>
      <c r="AW130" s="8" t="s">
        <v>228</v>
      </c>
      <c r="AX130" s="4" t="s">
        <v>228</v>
      </c>
      <c r="AY130" s="8" t="s">
        <v>228</v>
      </c>
      <c r="AZ130" s="7" t="s">
        <v>228</v>
      </c>
      <c r="BA130" s="7" t="s">
        <v>228</v>
      </c>
      <c r="BB130" s="7"/>
      <c r="BC130" s="4" t="s">
        <v>228</v>
      </c>
      <c r="BD130" s="8" t="s">
        <v>228</v>
      </c>
      <c r="BE130" s="4" t="s">
        <v>228</v>
      </c>
      <c r="BF130" s="8" t="s">
        <v>228</v>
      </c>
      <c r="BG130" s="7" t="s">
        <v>228</v>
      </c>
      <c r="BH130" s="7" t="s">
        <v>228</v>
      </c>
      <c r="BI130" s="7"/>
      <c r="BJ130" s="4">
        <v>8</v>
      </c>
      <c r="BK130" s="8">
        <v>76.76</v>
      </c>
      <c r="BL130" s="2" t="s">
        <v>934</v>
      </c>
      <c r="BM130" s="7"/>
      <c r="BN130" s="7"/>
      <c r="BO130" s="4"/>
      <c r="BP130" s="8"/>
      <c r="BQ130" s="4"/>
      <c r="BR130" s="8"/>
      <c r="BS130" s="7"/>
      <c r="BT130" s="7"/>
      <c r="BU130" s="2" t="s">
        <v>935</v>
      </c>
      <c r="BV130" s="2" t="s">
        <v>228</v>
      </c>
      <c r="BW130" s="2" t="s">
        <v>228</v>
      </c>
      <c r="BX130" s="2" t="s">
        <v>337</v>
      </c>
      <c r="BY130" s="2" t="s">
        <v>274</v>
      </c>
      <c r="BZ130" s="2" t="s">
        <v>240</v>
      </c>
      <c r="CA130" s="2" t="s">
        <v>926</v>
      </c>
      <c r="CB130" s="2" t="s">
        <v>936</v>
      </c>
      <c r="CC130" s="2" t="s">
        <v>241</v>
      </c>
      <c r="CD130" s="2" t="s">
        <v>228</v>
      </c>
      <c r="CE130" s="4">
        <v>299</v>
      </c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</row>
    <row r="131">
      <c r="A131" s="2" t="s">
        <v>937</v>
      </c>
      <c r="B131" s="2" t="s">
        <v>772</v>
      </c>
      <c r="C131" s="2" t="s">
        <v>918</v>
      </c>
      <c r="D131" s="2" t="s">
        <v>774</v>
      </c>
      <c r="E131" s="2" t="s">
        <v>775</v>
      </c>
      <c r="F131" s="2" t="s">
        <v>919</v>
      </c>
      <c r="G131" s="2" t="s">
        <v>919</v>
      </c>
      <c r="H131" s="2" t="s">
        <v>919</v>
      </c>
      <c r="I131" s="2" t="s">
        <v>920</v>
      </c>
      <c r="J131" s="2" t="s">
        <v>938</v>
      </c>
      <c r="K131" s="2" t="s">
        <v>480</v>
      </c>
      <c r="L131" s="3">
        <v>3.71</v>
      </c>
      <c r="M131" s="3">
        <v>3.9</v>
      </c>
      <c r="N131" s="3">
        <v>9.99</v>
      </c>
      <c r="O131" s="2" t="s">
        <v>240</v>
      </c>
      <c r="P131" s="2" t="s">
        <v>922</v>
      </c>
      <c r="Q131" s="2" t="s">
        <v>234</v>
      </c>
      <c r="R131" s="2" t="s">
        <v>228</v>
      </c>
      <c r="S131" s="2" t="s">
        <v>228</v>
      </c>
      <c r="T131" s="2" t="s">
        <v>350</v>
      </c>
      <c r="U131" s="2" t="s">
        <v>416</v>
      </c>
      <c r="V131" s="2" t="s">
        <v>236</v>
      </c>
      <c r="W131" s="2" t="s">
        <v>309</v>
      </c>
      <c r="X131" s="2" t="s">
        <v>228</v>
      </c>
      <c r="Y131" s="2" t="s">
        <v>923</v>
      </c>
      <c r="Z131" s="4">
        <v>372</v>
      </c>
      <c r="AA131" s="4">
        <f>=ROUNDDOWN(93,0)</f>
      </c>
      <c r="AB131" s="5">
        <v>4</v>
      </c>
      <c r="AC131" s="2" t="s">
        <v>228</v>
      </c>
      <c r="AD131" s="4"/>
      <c r="AE131" s="4"/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228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228</v>
      </c>
      <c r="AW131" s="8" t="s">
        <v>228</v>
      </c>
      <c r="AX131" s="4" t="s">
        <v>228</v>
      </c>
      <c r="AY131" s="8" t="s">
        <v>228</v>
      </c>
      <c r="AZ131" s="7" t="s">
        <v>228</v>
      </c>
      <c r="BA131" s="7" t="s">
        <v>228</v>
      </c>
      <c r="BB131" s="7"/>
      <c r="BC131" s="4" t="s">
        <v>228</v>
      </c>
      <c r="BD131" s="8" t="s">
        <v>228</v>
      </c>
      <c r="BE131" s="4" t="s">
        <v>228</v>
      </c>
      <c r="BF131" s="8" t="s">
        <v>228</v>
      </c>
      <c r="BG131" s="7" t="s">
        <v>228</v>
      </c>
      <c r="BH131" s="7" t="s">
        <v>228</v>
      </c>
      <c r="BI131" s="7"/>
      <c r="BJ131" s="4">
        <v>9</v>
      </c>
      <c r="BK131" s="8">
        <v>37.17</v>
      </c>
      <c r="BL131" s="2" t="s">
        <v>939</v>
      </c>
      <c r="BM131" s="7"/>
      <c r="BN131" s="7"/>
      <c r="BO131" s="4"/>
      <c r="BP131" s="8"/>
      <c r="BQ131" s="4"/>
      <c r="BR131" s="8"/>
      <c r="BS131" s="7"/>
      <c r="BT131" s="7"/>
      <c r="BU131" s="2" t="s">
        <v>940</v>
      </c>
      <c r="BV131" s="2" t="s">
        <v>228</v>
      </c>
      <c r="BW131" s="2" t="s">
        <v>228</v>
      </c>
      <c r="BX131" s="2" t="s">
        <v>337</v>
      </c>
      <c r="BY131" s="2" t="s">
        <v>274</v>
      </c>
      <c r="BZ131" s="2" t="s">
        <v>240</v>
      </c>
      <c r="CA131" s="2" t="s">
        <v>926</v>
      </c>
      <c r="CB131" s="2" t="s">
        <v>228</v>
      </c>
      <c r="CC131" s="2" t="s">
        <v>241</v>
      </c>
      <c r="CD131" s="2" t="s">
        <v>228</v>
      </c>
      <c r="CE131" s="4">
        <v>372</v>
      </c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</row>
    <row r="132">
      <c r="A132" s="2" t="s">
        <v>941</v>
      </c>
      <c r="B132" s="2" t="s">
        <v>772</v>
      </c>
      <c r="C132" s="2" t="s">
        <v>918</v>
      </c>
      <c r="D132" s="2" t="s">
        <v>774</v>
      </c>
      <c r="E132" s="2" t="s">
        <v>775</v>
      </c>
      <c r="F132" s="2" t="s">
        <v>919</v>
      </c>
      <c r="G132" s="2" t="s">
        <v>919</v>
      </c>
      <c r="H132" s="2" t="s">
        <v>919</v>
      </c>
      <c r="I132" s="2" t="s">
        <v>920</v>
      </c>
      <c r="J132" s="2" t="s">
        <v>921</v>
      </c>
      <c r="K132" s="2" t="s">
        <v>942</v>
      </c>
      <c r="L132" s="3">
        <v>14.85</v>
      </c>
      <c r="M132" s="3">
        <v>15.59</v>
      </c>
      <c r="N132" s="3">
        <v>39.99</v>
      </c>
      <c r="O132" s="2" t="s">
        <v>240</v>
      </c>
      <c r="P132" s="2" t="s">
        <v>922</v>
      </c>
      <c r="Q132" s="2" t="s">
        <v>234</v>
      </c>
      <c r="R132" s="2" t="s">
        <v>228</v>
      </c>
      <c r="S132" s="2" t="s">
        <v>228</v>
      </c>
      <c r="T132" s="2" t="s">
        <v>350</v>
      </c>
      <c r="U132" s="2" t="s">
        <v>416</v>
      </c>
      <c r="V132" s="2" t="s">
        <v>236</v>
      </c>
      <c r="W132" s="2" t="s">
        <v>309</v>
      </c>
      <c r="X132" s="2" t="s">
        <v>228</v>
      </c>
      <c r="Y132" s="2" t="s">
        <v>923</v>
      </c>
      <c r="Z132" s="4">
        <v>687</v>
      </c>
      <c r="AA132" s="4">
        <f>=ROUNDDOWN(171.75,0)</f>
      </c>
      <c r="AB132" s="5">
        <v>4</v>
      </c>
      <c r="AC132" s="2" t="s">
        <v>228</v>
      </c>
      <c r="AD132" s="4"/>
      <c r="AE132" s="4"/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228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228</v>
      </c>
      <c r="AW132" s="8" t="s">
        <v>228</v>
      </c>
      <c r="AX132" s="4" t="s">
        <v>228</v>
      </c>
      <c r="AY132" s="8" t="s">
        <v>228</v>
      </c>
      <c r="AZ132" s="7" t="s">
        <v>228</v>
      </c>
      <c r="BA132" s="7" t="s">
        <v>228</v>
      </c>
      <c r="BB132" s="7"/>
      <c r="BC132" s="4" t="s">
        <v>228</v>
      </c>
      <c r="BD132" s="8" t="s">
        <v>228</v>
      </c>
      <c r="BE132" s="4" t="s">
        <v>228</v>
      </c>
      <c r="BF132" s="8" t="s">
        <v>228</v>
      </c>
      <c r="BG132" s="7" t="s">
        <v>228</v>
      </c>
      <c r="BH132" s="7" t="s">
        <v>228</v>
      </c>
      <c r="BI132" s="7"/>
      <c r="BJ132" s="4">
        <v>26</v>
      </c>
      <c r="BK132" s="8">
        <v>474.16</v>
      </c>
      <c r="BL132" s="2" t="s">
        <v>924</v>
      </c>
      <c r="BM132" s="7"/>
      <c r="BN132" s="7"/>
      <c r="BO132" s="4"/>
      <c r="BP132" s="8"/>
      <c r="BQ132" s="4"/>
      <c r="BR132" s="8"/>
      <c r="BS132" s="7"/>
      <c r="BT132" s="7"/>
      <c r="BU132" s="2" t="s">
        <v>943</v>
      </c>
      <c r="BV132" s="2" t="s">
        <v>228</v>
      </c>
      <c r="BW132" s="2" t="s">
        <v>228</v>
      </c>
      <c r="BX132" s="2" t="s">
        <v>337</v>
      </c>
      <c r="BY132" s="2" t="s">
        <v>274</v>
      </c>
      <c r="BZ132" s="2" t="s">
        <v>240</v>
      </c>
      <c r="CA132" s="2" t="s">
        <v>926</v>
      </c>
      <c r="CB132" s="2" t="s">
        <v>944</v>
      </c>
      <c r="CC132" s="2" t="s">
        <v>241</v>
      </c>
      <c r="CD132" s="2" t="s">
        <v>228</v>
      </c>
      <c r="CE132" s="4">
        <v>687</v>
      </c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</row>
    <row r="133">
      <c r="A133" s="2" t="s">
        <v>945</v>
      </c>
      <c r="B133" s="2" t="s">
        <v>772</v>
      </c>
      <c r="C133" s="2" t="s">
        <v>918</v>
      </c>
      <c r="D133" s="2" t="s">
        <v>774</v>
      </c>
      <c r="E133" s="2" t="s">
        <v>775</v>
      </c>
      <c r="F133" s="2" t="s">
        <v>919</v>
      </c>
      <c r="G133" s="2" t="s">
        <v>919</v>
      </c>
      <c r="H133" s="2" t="s">
        <v>919</v>
      </c>
      <c r="I133" s="2" t="s">
        <v>920</v>
      </c>
      <c r="J133" s="2" t="s">
        <v>929</v>
      </c>
      <c r="K133" s="2" t="s">
        <v>942</v>
      </c>
      <c r="L133" s="3">
        <v>9.28</v>
      </c>
      <c r="M133" s="3">
        <v>9.74</v>
      </c>
      <c r="N133" s="3">
        <v>24.99</v>
      </c>
      <c r="O133" s="2" t="s">
        <v>240</v>
      </c>
      <c r="P133" s="2" t="s">
        <v>922</v>
      </c>
      <c r="Q133" s="2" t="s">
        <v>234</v>
      </c>
      <c r="R133" s="2" t="s">
        <v>228</v>
      </c>
      <c r="S133" s="2" t="s">
        <v>228</v>
      </c>
      <c r="T133" s="2" t="s">
        <v>350</v>
      </c>
      <c r="U133" s="2" t="s">
        <v>416</v>
      </c>
      <c r="V133" s="2" t="s">
        <v>236</v>
      </c>
      <c r="W133" s="2" t="s">
        <v>309</v>
      </c>
      <c r="X133" s="2" t="s">
        <v>228</v>
      </c>
      <c r="Y133" s="2" t="s">
        <v>923</v>
      </c>
      <c r="Z133" s="4">
        <v>296</v>
      </c>
      <c r="AA133" s="4">
        <f>=ROUNDDOWN(74,0)</f>
      </c>
      <c r="AB133" s="5">
        <v>4</v>
      </c>
      <c r="AC133" s="2" t="s">
        <v>228</v>
      </c>
      <c r="AD133" s="4"/>
      <c r="AE133" s="4"/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228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228</v>
      </c>
      <c r="AW133" s="8" t="s">
        <v>228</v>
      </c>
      <c r="AX133" s="4" t="s">
        <v>228</v>
      </c>
      <c r="AY133" s="8" t="s">
        <v>228</v>
      </c>
      <c r="AZ133" s="7" t="s">
        <v>228</v>
      </c>
      <c r="BA133" s="7" t="s">
        <v>228</v>
      </c>
      <c r="BB133" s="7"/>
      <c r="BC133" s="4" t="s">
        <v>228</v>
      </c>
      <c r="BD133" s="8" t="s">
        <v>228</v>
      </c>
      <c r="BE133" s="4" t="s">
        <v>228</v>
      </c>
      <c r="BF133" s="8" t="s">
        <v>228</v>
      </c>
      <c r="BG133" s="7" t="s">
        <v>228</v>
      </c>
      <c r="BH133" s="7" t="s">
        <v>228</v>
      </c>
      <c r="BI133" s="7"/>
      <c r="BJ133" s="4">
        <v>26</v>
      </c>
      <c r="BK133" s="8">
        <v>294.98</v>
      </c>
      <c r="BL133" s="2" t="s">
        <v>924</v>
      </c>
      <c r="BM133" s="7"/>
      <c r="BN133" s="7"/>
      <c r="BO133" s="4"/>
      <c r="BP133" s="8"/>
      <c r="BQ133" s="4"/>
      <c r="BR133" s="8"/>
      <c r="BS133" s="7"/>
      <c r="BT133" s="7"/>
      <c r="BU133" s="2" t="s">
        <v>946</v>
      </c>
      <c r="BV133" s="2" t="s">
        <v>228</v>
      </c>
      <c r="BW133" s="2" t="s">
        <v>228</v>
      </c>
      <c r="BX133" s="2" t="s">
        <v>337</v>
      </c>
      <c r="BY133" s="2" t="s">
        <v>274</v>
      </c>
      <c r="BZ133" s="2" t="s">
        <v>240</v>
      </c>
      <c r="CA133" s="2" t="s">
        <v>926</v>
      </c>
      <c r="CB133" s="2" t="s">
        <v>947</v>
      </c>
      <c r="CC133" s="2" t="s">
        <v>241</v>
      </c>
      <c r="CD133" s="2" t="s">
        <v>228</v>
      </c>
      <c r="CE133" s="4">
        <v>296</v>
      </c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</row>
    <row r="134">
      <c r="A134" s="2" t="s">
        <v>948</v>
      </c>
      <c r="B134" s="2" t="s">
        <v>772</v>
      </c>
      <c r="C134" s="2" t="s">
        <v>918</v>
      </c>
      <c r="D134" s="2" t="s">
        <v>774</v>
      </c>
      <c r="E134" s="2" t="s">
        <v>775</v>
      </c>
      <c r="F134" s="2" t="s">
        <v>919</v>
      </c>
      <c r="G134" s="2" t="s">
        <v>919</v>
      </c>
      <c r="H134" s="2" t="s">
        <v>919</v>
      </c>
      <c r="I134" s="2" t="s">
        <v>920</v>
      </c>
      <c r="J134" s="2" t="s">
        <v>938</v>
      </c>
      <c r="K134" s="2" t="s">
        <v>942</v>
      </c>
      <c r="L134" s="3">
        <v>3.71</v>
      </c>
      <c r="M134" s="3">
        <v>3.9</v>
      </c>
      <c r="N134" s="3">
        <v>9.99</v>
      </c>
      <c r="O134" s="2" t="s">
        <v>240</v>
      </c>
      <c r="P134" s="2" t="s">
        <v>922</v>
      </c>
      <c r="Q134" s="2" t="s">
        <v>234</v>
      </c>
      <c r="R134" s="2" t="s">
        <v>228</v>
      </c>
      <c r="S134" s="2" t="s">
        <v>228</v>
      </c>
      <c r="T134" s="2" t="s">
        <v>350</v>
      </c>
      <c r="U134" s="2" t="s">
        <v>416</v>
      </c>
      <c r="V134" s="2" t="s">
        <v>236</v>
      </c>
      <c r="W134" s="2" t="s">
        <v>309</v>
      </c>
      <c r="X134" s="2" t="s">
        <v>228</v>
      </c>
      <c r="Y134" s="2" t="s">
        <v>923</v>
      </c>
      <c r="Z134" s="4">
        <v>98</v>
      </c>
      <c r="AA134" s="4">
        <f>=ROUNDDOWN(19.6,0)</f>
      </c>
      <c r="AB134" s="5">
        <v>5</v>
      </c>
      <c r="AC134" s="2" t="s">
        <v>228</v>
      </c>
      <c r="AD134" s="4"/>
      <c r="AE134" s="4"/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228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228</v>
      </c>
      <c r="AW134" s="8" t="s">
        <v>228</v>
      </c>
      <c r="AX134" s="4" t="s">
        <v>228</v>
      </c>
      <c r="AY134" s="8" t="s">
        <v>228</v>
      </c>
      <c r="AZ134" s="7" t="s">
        <v>228</v>
      </c>
      <c r="BA134" s="7" t="s">
        <v>228</v>
      </c>
      <c r="BB134" s="7"/>
      <c r="BC134" s="4" t="s">
        <v>228</v>
      </c>
      <c r="BD134" s="8" t="s">
        <v>228</v>
      </c>
      <c r="BE134" s="4" t="s">
        <v>228</v>
      </c>
      <c r="BF134" s="8" t="s">
        <v>228</v>
      </c>
      <c r="BG134" s="7" t="s">
        <v>228</v>
      </c>
      <c r="BH134" s="7" t="s">
        <v>228</v>
      </c>
      <c r="BI134" s="7"/>
      <c r="BJ134" s="4">
        <v>40</v>
      </c>
      <c r="BK134" s="8">
        <v>180.04</v>
      </c>
      <c r="BL134" s="2" t="s">
        <v>949</v>
      </c>
      <c r="BM134" s="7"/>
      <c r="BN134" s="7"/>
      <c r="BO134" s="4"/>
      <c r="BP134" s="8"/>
      <c r="BQ134" s="4"/>
      <c r="BR134" s="8"/>
      <c r="BS134" s="7"/>
      <c r="BT134" s="7"/>
      <c r="BU134" s="2" t="s">
        <v>950</v>
      </c>
      <c r="BV134" s="2" t="s">
        <v>228</v>
      </c>
      <c r="BW134" s="2" t="s">
        <v>228</v>
      </c>
      <c r="BX134" s="2" t="s">
        <v>337</v>
      </c>
      <c r="BY134" s="2" t="s">
        <v>274</v>
      </c>
      <c r="BZ134" s="2" t="s">
        <v>240</v>
      </c>
      <c r="CA134" s="2" t="s">
        <v>926</v>
      </c>
      <c r="CB134" s="2" t="s">
        <v>947</v>
      </c>
      <c r="CC134" s="2" t="s">
        <v>241</v>
      </c>
      <c r="CD134" s="2" t="s">
        <v>228</v>
      </c>
      <c r="CE134" s="4">
        <v>98</v>
      </c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</row>
    <row r="135">
      <c r="A135" s="2" t="s">
        <v>951</v>
      </c>
      <c r="B135" s="2" t="s">
        <v>772</v>
      </c>
      <c r="C135" s="2" t="s">
        <v>918</v>
      </c>
      <c r="D135" s="2" t="s">
        <v>774</v>
      </c>
      <c r="E135" s="2" t="s">
        <v>775</v>
      </c>
      <c r="F135" s="2" t="s">
        <v>919</v>
      </c>
      <c r="G135" s="2" t="s">
        <v>919</v>
      </c>
      <c r="H135" s="2" t="s">
        <v>919</v>
      </c>
      <c r="I135" s="2" t="s">
        <v>920</v>
      </c>
      <c r="J135" s="2" t="s">
        <v>921</v>
      </c>
      <c r="K135" s="2" t="s">
        <v>316</v>
      </c>
      <c r="L135" s="3">
        <v>14.85</v>
      </c>
      <c r="M135" s="3">
        <v>15.59</v>
      </c>
      <c r="N135" s="3">
        <v>39.99</v>
      </c>
      <c r="O135" s="2" t="s">
        <v>240</v>
      </c>
      <c r="P135" s="2" t="s">
        <v>922</v>
      </c>
      <c r="Q135" s="2" t="s">
        <v>234</v>
      </c>
      <c r="R135" s="2" t="s">
        <v>228</v>
      </c>
      <c r="S135" s="2" t="s">
        <v>228</v>
      </c>
      <c r="T135" s="2" t="s">
        <v>350</v>
      </c>
      <c r="U135" s="2" t="s">
        <v>416</v>
      </c>
      <c r="V135" s="2" t="s">
        <v>236</v>
      </c>
      <c r="W135" s="2" t="s">
        <v>309</v>
      </c>
      <c r="X135" s="2" t="s">
        <v>228</v>
      </c>
      <c r="Y135" s="2" t="s">
        <v>923</v>
      </c>
      <c r="Z135" s="4">
        <v>689</v>
      </c>
      <c r="AA135" s="4">
        <f>=ROUNDDOWN(57.4166666666667,0)</f>
      </c>
      <c r="AB135" s="5">
        <v>12</v>
      </c>
      <c r="AC135" s="2" t="s">
        <v>228</v>
      </c>
      <c r="AD135" s="4"/>
      <c r="AE135" s="4"/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228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228</v>
      </c>
      <c r="AW135" s="8" t="s">
        <v>228</v>
      </c>
      <c r="AX135" s="4" t="s">
        <v>228</v>
      </c>
      <c r="AY135" s="8" t="s">
        <v>228</v>
      </c>
      <c r="AZ135" s="7" t="s">
        <v>228</v>
      </c>
      <c r="BA135" s="7" t="s">
        <v>228</v>
      </c>
      <c r="BB135" s="7"/>
      <c r="BC135" s="4" t="s">
        <v>228</v>
      </c>
      <c r="BD135" s="8" t="s">
        <v>228</v>
      </c>
      <c r="BE135" s="4" t="s">
        <v>228</v>
      </c>
      <c r="BF135" s="8" t="s">
        <v>228</v>
      </c>
      <c r="BG135" s="7" t="s">
        <v>228</v>
      </c>
      <c r="BH135" s="7" t="s">
        <v>228</v>
      </c>
      <c r="BI135" s="7"/>
      <c r="BJ135" s="4">
        <v>15</v>
      </c>
      <c r="BK135" s="8">
        <v>370.47</v>
      </c>
      <c r="BL135" s="2" t="s">
        <v>952</v>
      </c>
      <c r="BM135" s="7"/>
      <c r="BN135" s="7"/>
      <c r="BO135" s="4"/>
      <c r="BP135" s="8"/>
      <c r="BQ135" s="4"/>
      <c r="BR135" s="8"/>
      <c r="BS135" s="7"/>
      <c r="BT135" s="7"/>
      <c r="BU135" s="2" t="s">
        <v>953</v>
      </c>
      <c r="BV135" s="2" t="s">
        <v>228</v>
      </c>
      <c r="BW135" s="2" t="s">
        <v>228</v>
      </c>
      <c r="BX135" s="2" t="s">
        <v>337</v>
      </c>
      <c r="BY135" s="2" t="s">
        <v>274</v>
      </c>
      <c r="BZ135" s="2" t="s">
        <v>240</v>
      </c>
      <c r="CA135" s="2" t="s">
        <v>926</v>
      </c>
      <c r="CB135" s="2" t="s">
        <v>719</v>
      </c>
      <c r="CC135" s="2" t="s">
        <v>241</v>
      </c>
      <c r="CD135" s="2" t="s">
        <v>228</v>
      </c>
      <c r="CE135" s="4">
        <v>689</v>
      </c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</row>
    <row r="136">
      <c r="A136" s="2" t="s">
        <v>954</v>
      </c>
      <c r="B136" s="2" t="s">
        <v>772</v>
      </c>
      <c r="C136" s="2" t="s">
        <v>918</v>
      </c>
      <c r="D136" s="2" t="s">
        <v>774</v>
      </c>
      <c r="E136" s="2" t="s">
        <v>775</v>
      </c>
      <c r="F136" s="2" t="s">
        <v>919</v>
      </c>
      <c r="G136" s="2" t="s">
        <v>919</v>
      </c>
      <c r="H136" s="2" t="s">
        <v>919</v>
      </c>
      <c r="I136" s="2" t="s">
        <v>920</v>
      </c>
      <c r="J136" s="2" t="s">
        <v>929</v>
      </c>
      <c r="K136" s="2" t="s">
        <v>316</v>
      </c>
      <c r="L136" s="3">
        <v>9.28</v>
      </c>
      <c r="M136" s="3">
        <v>9.74</v>
      </c>
      <c r="N136" s="3">
        <v>24.99</v>
      </c>
      <c r="O136" s="2" t="s">
        <v>240</v>
      </c>
      <c r="P136" s="2" t="s">
        <v>922</v>
      </c>
      <c r="Q136" s="2" t="s">
        <v>234</v>
      </c>
      <c r="R136" s="2" t="s">
        <v>228</v>
      </c>
      <c r="S136" s="2" t="s">
        <v>228</v>
      </c>
      <c r="T136" s="2" t="s">
        <v>350</v>
      </c>
      <c r="U136" s="2" t="s">
        <v>416</v>
      </c>
      <c r="V136" s="2" t="s">
        <v>236</v>
      </c>
      <c r="W136" s="2" t="s">
        <v>309</v>
      </c>
      <c r="X136" s="2" t="s">
        <v>228</v>
      </c>
      <c r="Y136" s="2" t="s">
        <v>923</v>
      </c>
      <c r="Z136" s="4">
        <v>384</v>
      </c>
      <c r="AA136" s="4">
        <f>=ROUNDDOWN(54.8571428571429,0)</f>
      </c>
      <c r="AB136" s="5">
        <v>7</v>
      </c>
      <c r="AC136" s="2" t="s">
        <v>228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228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228</v>
      </c>
      <c r="AW136" s="8" t="s">
        <v>228</v>
      </c>
      <c r="AX136" s="4" t="s">
        <v>228</v>
      </c>
      <c r="AY136" s="8" t="s">
        <v>228</v>
      </c>
      <c r="AZ136" s="7" t="s">
        <v>228</v>
      </c>
      <c r="BA136" s="7" t="s">
        <v>228</v>
      </c>
      <c r="BB136" s="7"/>
      <c r="BC136" s="4" t="s">
        <v>228</v>
      </c>
      <c r="BD136" s="8" t="s">
        <v>228</v>
      </c>
      <c r="BE136" s="4" t="s">
        <v>228</v>
      </c>
      <c r="BF136" s="8" t="s">
        <v>228</v>
      </c>
      <c r="BG136" s="7" t="s">
        <v>228</v>
      </c>
      <c r="BH136" s="7" t="s">
        <v>228</v>
      </c>
      <c r="BI136" s="7"/>
      <c r="BJ136" s="4">
        <v>6</v>
      </c>
      <c r="BK136" s="8">
        <v>63.12</v>
      </c>
      <c r="BL136" s="2" t="s">
        <v>955</v>
      </c>
      <c r="BM136" s="7"/>
      <c r="BN136" s="7"/>
      <c r="BO136" s="4"/>
      <c r="BP136" s="8"/>
      <c r="BQ136" s="4"/>
      <c r="BR136" s="8"/>
      <c r="BS136" s="7"/>
      <c r="BT136" s="7"/>
      <c r="BU136" s="2" t="s">
        <v>956</v>
      </c>
      <c r="BV136" s="2" t="s">
        <v>228</v>
      </c>
      <c r="BW136" s="2" t="s">
        <v>228</v>
      </c>
      <c r="BX136" s="2" t="s">
        <v>337</v>
      </c>
      <c r="BY136" s="2" t="s">
        <v>274</v>
      </c>
      <c r="BZ136" s="2" t="s">
        <v>240</v>
      </c>
      <c r="CA136" s="2" t="s">
        <v>926</v>
      </c>
      <c r="CB136" s="2" t="s">
        <v>228</v>
      </c>
      <c r="CC136" s="2" t="s">
        <v>241</v>
      </c>
      <c r="CD136" s="2" t="s">
        <v>228</v>
      </c>
      <c r="CE136" s="4">
        <v>384</v>
      </c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</row>
    <row r="137">
      <c r="A137" s="2" t="s">
        <v>957</v>
      </c>
      <c r="B137" s="2" t="s">
        <v>958</v>
      </c>
      <c r="C137" s="2" t="s">
        <v>300</v>
      </c>
      <c r="D137" s="2" t="s">
        <v>959</v>
      </c>
      <c r="E137" s="2" t="s">
        <v>960</v>
      </c>
      <c r="F137" s="2" t="s">
        <v>961</v>
      </c>
      <c r="G137" s="2" t="s">
        <v>962</v>
      </c>
      <c r="H137" s="2" t="s">
        <v>963</v>
      </c>
      <c r="I137" s="2" t="s">
        <v>964</v>
      </c>
      <c r="J137" s="2" t="s">
        <v>840</v>
      </c>
      <c r="K137" s="2" t="s">
        <v>249</v>
      </c>
      <c r="L137" s="3">
        <v>228</v>
      </c>
      <c r="M137" s="3">
        <v>239.4</v>
      </c>
      <c r="N137" s="3">
        <v>479</v>
      </c>
      <c r="O137" s="2" t="s">
        <v>240</v>
      </c>
      <c r="P137" s="2" t="s">
        <v>333</v>
      </c>
      <c r="Q137" s="2" t="s">
        <v>234</v>
      </c>
      <c r="R137" s="2" t="s">
        <v>228</v>
      </c>
      <c r="S137" s="2" t="s">
        <v>965</v>
      </c>
      <c r="T137" s="2" t="s">
        <v>228</v>
      </c>
      <c r="U137" s="2" t="s">
        <v>228</v>
      </c>
      <c r="V137" s="2" t="s">
        <v>236</v>
      </c>
      <c r="W137" s="2" t="s">
        <v>463</v>
      </c>
      <c r="X137" s="2" t="s">
        <v>228</v>
      </c>
      <c r="Y137" s="2" t="s">
        <v>270</v>
      </c>
      <c r="Z137" s="4">
        <v>132</v>
      </c>
      <c r="AA137" s="4">
        <f>=ROUNDDOWN(33,0)</f>
      </c>
      <c r="AB137" s="5">
        <v>4</v>
      </c>
      <c r="AC137" s="2" t="s">
        <v>228</v>
      </c>
      <c r="AD137" s="4"/>
      <c r="AE137" s="4"/>
      <c r="AF137" s="6">
        <v>66</v>
      </c>
      <c r="AG137" s="6"/>
      <c r="AH137" s="7">
        <v>1</v>
      </c>
      <c r="AI137" s="4"/>
      <c r="AJ137" s="4">
        <f>=ROUNDDOWN({0},0)</f>
      </c>
      <c r="AK137" s="5"/>
      <c r="AL137" s="2" t="s">
        <v>228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/>
      <c r="AW137" s="8"/>
      <c r="AX137" s="4"/>
      <c r="AY137" s="8"/>
      <c r="AZ137" s="7"/>
      <c r="BA137" s="7"/>
      <c r="BB137" s="7"/>
      <c r="BC137" s="4"/>
      <c r="BD137" s="8"/>
      <c r="BE137" s="4"/>
      <c r="BF137" s="8"/>
      <c r="BG137" s="7"/>
      <c r="BH137" s="7"/>
      <c r="BI137" s="7"/>
      <c r="BJ137" s="4">
        <v>10</v>
      </c>
      <c r="BK137" s="8">
        <v>2209.13</v>
      </c>
      <c r="BL137" s="2" t="s">
        <v>966</v>
      </c>
      <c r="BM137" s="7"/>
      <c r="BN137" s="7"/>
      <c r="BO137" s="4"/>
      <c r="BP137" s="8"/>
      <c r="BQ137" s="4"/>
      <c r="BR137" s="8"/>
      <c r="BS137" s="7"/>
      <c r="BT137" s="7"/>
      <c r="BU137" s="2" t="s">
        <v>967</v>
      </c>
      <c r="BV137" s="2" t="s">
        <v>228</v>
      </c>
      <c r="BW137" s="2" t="s">
        <v>228</v>
      </c>
      <c r="BX137" s="2" t="s">
        <v>337</v>
      </c>
      <c r="BY137" s="2" t="s">
        <v>274</v>
      </c>
      <c r="BZ137" s="2" t="s">
        <v>240</v>
      </c>
      <c r="CA137" s="2" t="s">
        <v>275</v>
      </c>
      <c r="CB137" s="2" t="s">
        <v>968</v>
      </c>
      <c r="CC137" s="2" t="s">
        <v>241</v>
      </c>
      <c r="CD137" s="2" t="s">
        <v>228</v>
      </c>
      <c r="CE137" s="4"/>
      <c r="CF137" s="4">
        <v>132</v>
      </c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</row>
    <row r="138">
      <c r="A138" s="2" t="s">
        <v>969</v>
      </c>
      <c r="B138" s="2" t="s">
        <v>970</v>
      </c>
      <c r="C138" s="2" t="s">
        <v>849</v>
      </c>
      <c r="D138" s="2" t="s">
        <v>971</v>
      </c>
      <c r="E138" s="2" t="s">
        <v>972</v>
      </c>
      <c r="F138" s="2" t="s">
        <v>973</v>
      </c>
      <c r="G138" s="2" t="s">
        <v>974</v>
      </c>
      <c r="H138" s="2" t="s">
        <v>975</v>
      </c>
      <c r="I138" s="2" t="s">
        <v>976</v>
      </c>
      <c r="J138" s="2" t="s">
        <v>977</v>
      </c>
      <c r="K138" s="2" t="s">
        <v>978</v>
      </c>
      <c r="L138" s="3">
        <v>18</v>
      </c>
      <c r="M138" s="3">
        <v>18.9</v>
      </c>
      <c r="N138" s="3">
        <v>39.99</v>
      </c>
      <c r="O138" s="2" t="s">
        <v>461</v>
      </c>
      <c r="P138" s="2" t="s">
        <v>333</v>
      </c>
      <c r="Q138" s="2" t="s">
        <v>234</v>
      </c>
      <c r="R138" s="2" t="s">
        <v>228</v>
      </c>
      <c r="S138" s="2" t="s">
        <v>979</v>
      </c>
      <c r="T138" s="2" t="s">
        <v>228</v>
      </c>
      <c r="U138" s="2" t="s">
        <v>228</v>
      </c>
      <c r="V138" s="2" t="s">
        <v>980</v>
      </c>
      <c r="W138" s="2" t="s">
        <v>269</v>
      </c>
      <c r="X138" s="2" t="s">
        <v>981</v>
      </c>
      <c r="Y138" s="2" t="s">
        <v>270</v>
      </c>
      <c r="Z138" s="4">
        <v>7427</v>
      </c>
      <c r="AA138" s="4">
        <f>=ROUNDDOWN(495.133333333333,0)</f>
      </c>
      <c r="AB138" s="5">
        <v>15</v>
      </c>
      <c r="AC138" s="2" t="s">
        <v>228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228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/>
      <c r="AW138" s="8"/>
      <c r="AX138" s="4"/>
      <c r="AY138" s="8"/>
      <c r="AZ138" s="7"/>
      <c r="BA138" s="7"/>
      <c r="BB138" s="7"/>
      <c r="BC138" s="4"/>
      <c r="BD138" s="8"/>
      <c r="BE138" s="4"/>
      <c r="BF138" s="8"/>
      <c r="BG138" s="7"/>
      <c r="BH138" s="7"/>
      <c r="BI138" s="7"/>
      <c r="BJ138" s="4">
        <v>22</v>
      </c>
      <c r="BK138" s="8">
        <v>366.21</v>
      </c>
      <c r="BL138" s="2" t="s">
        <v>982</v>
      </c>
      <c r="BM138" s="7"/>
      <c r="BN138" s="7"/>
      <c r="BO138" s="4"/>
      <c r="BP138" s="8"/>
      <c r="BQ138" s="4"/>
      <c r="BR138" s="8"/>
      <c r="BS138" s="7"/>
      <c r="BT138" s="7"/>
      <c r="BU138" s="2" t="s">
        <v>983</v>
      </c>
      <c r="BV138" s="2" t="s">
        <v>228</v>
      </c>
      <c r="BW138" s="2" t="s">
        <v>228</v>
      </c>
      <c r="BX138" s="2" t="s">
        <v>337</v>
      </c>
      <c r="BY138" s="2" t="s">
        <v>274</v>
      </c>
      <c r="BZ138" s="2" t="s">
        <v>240</v>
      </c>
      <c r="CA138" s="2" t="s">
        <v>984</v>
      </c>
      <c r="CB138" s="2" t="s">
        <v>985</v>
      </c>
      <c r="CC138" s="2" t="s">
        <v>241</v>
      </c>
      <c r="CD138" s="2" t="s">
        <v>228</v>
      </c>
      <c r="CE138" s="4">
        <v>7427</v>
      </c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</row>
    <row r="139">
      <c r="A139" s="2" t="s">
        <v>986</v>
      </c>
      <c r="B139" s="2" t="s">
        <v>958</v>
      </c>
      <c r="C139" s="2" t="s">
        <v>300</v>
      </c>
      <c r="D139" s="2" t="s">
        <v>987</v>
      </c>
      <c r="E139" s="2" t="s">
        <v>988</v>
      </c>
      <c r="F139" s="2" t="s">
        <v>989</v>
      </c>
      <c r="G139" s="2" t="s">
        <v>990</v>
      </c>
      <c r="H139" s="2" t="s">
        <v>991</v>
      </c>
      <c r="I139" s="2" t="s">
        <v>992</v>
      </c>
      <c r="J139" s="2" t="s">
        <v>840</v>
      </c>
      <c r="K139" s="2" t="s">
        <v>993</v>
      </c>
      <c r="L139" s="3">
        <v>255.3</v>
      </c>
      <c r="M139" s="3">
        <v>268.06</v>
      </c>
      <c r="N139" s="3">
        <v>529</v>
      </c>
      <c r="O139" s="2" t="s">
        <v>461</v>
      </c>
      <c r="P139" s="2" t="s">
        <v>333</v>
      </c>
      <c r="Q139" s="2" t="s">
        <v>234</v>
      </c>
      <c r="R139" s="2" t="s">
        <v>228</v>
      </c>
      <c r="S139" s="2" t="s">
        <v>228</v>
      </c>
      <c r="T139" s="2" t="s">
        <v>228</v>
      </c>
      <c r="U139" s="2" t="s">
        <v>416</v>
      </c>
      <c r="V139" s="2" t="s">
        <v>236</v>
      </c>
      <c r="W139" s="2" t="s">
        <v>417</v>
      </c>
      <c r="X139" s="2" t="s">
        <v>228</v>
      </c>
      <c r="Y139" s="2" t="s">
        <v>994</v>
      </c>
      <c r="Z139" s="4">
        <v>185</v>
      </c>
      <c r="AA139" s="4">
        <f>=ROUNDDOWN(185,0)</f>
      </c>
      <c r="AB139" s="5">
        <v>1</v>
      </c>
      <c r="AC139" s="2" t="s">
        <v>228</v>
      </c>
      <c r="AD139" s="4"/>
      <c r="AE139" s="4"/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228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/>
      <c r="AW139" s="8"/>
      <c r="AX139" s="4"/>
      <c r="AY139" s="8"/>
      <c r="AZ139" s="7"/>
      <c r="BA139" s="7"/>
      <c r="BB139" s="7"/>
      <c r="BC139" s="4"/>
      <c r="BD139" s="8"/>
      <c r="BE139" s="4"/>
      <c r="BF139" s="8"/>
      <c r="BG139" s="7"/>
      <c r="BH139" s="7"/>
      <c r="BI139" s="7"/>
      <c r="BJ139" s="4">
        <v>2</v>
      </c>
      <c r="BK139" s="8">
        <v>276.26</v>
      </c>
      <c r="BL139" s="2" t="s">
        <v>995</v>
      </c>
      <c r="BM139" s="7"/>
      <c r="BN139" s="7"/>
      <c r="BO139" s="4"/>
      <c r="BP139" s="8"/>
      <c r="BQ139" s="4"/>
      <c r="BR139" s="8"/>
      <c r="BS139" s="7"/>
      <c r="BT139" s="7"/>
      <c r="BU139" s="2" t="s">
        <v>996</v>
      </c>
      <c r="BV139" s="2" t="s">
        <v>228</v>
      </c>
      <c r="BW139" s="2" t="s">
        <v>228</v>
      </c>
      <c r="BX139" s="2" t="s">
        <v>337</v>
      </c>
      <c r="BY139" s="2" t="s">
        <v>274</v>
      </c>
      <c r="BZ139" s="2" t="s">
        <v>240</v>
      </c>
      <c r="CA139" s="2" t="s">
        <v>994</v>
      </c>
      <c r="CB139" s="2" t="s">
        <v>997</v>
      </c>
      <c r="CC139" s="2" t="s">
        <v>241</v>
      </c>
      <c r="CD139" s="2" t="s">
        <v>228</v>
      </c>
      <c r="CE139" s="4"/>
      <c r="CF139" s="4">
        <v>185</v>
      </c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</row>
    <row r="140">
      <c r="A140" s="2" t="s">
        <v>998</v>
      </c>
      <c r="B140" s="2" t="s">
        <v>866</v>
      </c>
      <c r="C140" s="2" t="s">
        <v>300</v>
      </c>
      <c r="D140" s="2" t="s">
        <v>907</v>
      </c>
      <c r="E140" s="2" t="s">
        <v>908</v>
      </c>
      <c r="F140" s="2" t="s">
        <v>999</v>
      </c>
      <c r="G140" s="2" t="s">
        <v>999</v>
      </c>
      <c r="H140" s="2" t="s">
        <v>999</v>
      </c>
      <c r="I140" s="2" t="s">
        <v>1000</v>
      </c>
      <c r="J140" s="2" t="s">
        <v>840</v>
      </c>
      <c r="K140" s="2" t="s">
        <v>912</v>
      </c>
      <c r="L140" s="3">
        <v>40.47</v>
      </c>
      <c r="M140" s="3">
        <v>42.49</v>
      </c>
      <c r="N140" s="3">
        <v>84.99</v>
      </c>
      <c r="O140" s="2" t="s">
        <v>240</v>
      </c>
      <c r="P140" s="2" t="s">
        <v>889</v>
      </c>
      <c r="Q140" s="2" t="s">
        <v>234</v>
      </c>
      <c r="R140" s="2" t="s">
        <v>228</v>
      </c>
      <c r="S140" s="2" t="s">
        <v>228</v>
      </c>
      <c r="T140" s="2" t="s">
        <v>228</v>
      </c>
      <c r="U140" s="2" t="s">
        <v>416</v>
      </c>
      <c r="V140" s="2" t="s">
        <v>842</v>
      </c>
      <c r="W140" s="2" t="s">
        <v>309</v>
      </c>
      <c r="X140" s="2" t="s">
        <v>743</v>
      </c>
      <c r="Y140" s="2" t="s">
        <v>1001</v>
      </c>
      <c r="Z140" s="4">
        <v>175</v>
      </c>
      <c r="AA140" s="4">
        <f>=ROUNDDOWN(8.33333333333333,0)</f>
      </c>
      <c r="AB140" s="5">
        <v>21</v>
      </c>
      <c r="AC140" s="2" t="s">
        <v>167</v>
      </c>
      <c r="AD140" s="4">
        <v>230</v>
      </c>
      <c r="AE140" s="4">
        <v>230</v>
      </c>
      <c r="AF140" s="6">
        <v>65</v>
      </c>
      <c r="AG140" s="6"/>
      <c r="AH140" s="7">
        <v>0.8065</v>
      </c>
      <c r="AI140" s="4"/>
      <c r="AJ140" s="4">
        <f>=ROUNDDOWN({0},0)</f>
      </c>
      <c r="AK140" s="5"/>
      <c r="AL140" s="2" t="s">
        <v>228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/>
      <c r="AW140" s="8"/>
      <c r="AX140" s="4"/>
      <c r="AY140" s="8"/>
      <c r="AZ140" s="7"/>
      <c r="BA140" s="7"/>
      <c r="BB140" s="7"/>
      <c r="BC140" s="4"/>
      <c r="BD140" s="8"/>
      <c r="BE140" s="4"/>
      <c r="BF140" s="8"/>
      <c r="BG140" s="7"/>
      <c r="BH140" s="7"/>
      <c r="BI140" s="7"/>
      <c r="BJ140" s="4">
        <v>115</v>
      </c>
      <c r="BK140" s="8">
        <v>5472.9</v>
      </c>
      <c r="BL140" s="2" t="s">
        <v>1002</v>
      </c>
      <c r="BM140" s="7"/>
      <c r="BN140" s="7"/>
      <c r="BO140" s="4"/>
      <c r="BP140" s="8"/>
      <c r="BQ140" s="4"/>
      <c r="BR140" s="8"/>
      <c r="BS140" s="7"/>
      <c r="BT140" s="7"/>
      <c r="BU140" s="2" t="s">
        <v>1003</v>
      </c>
      <c r="BV140" s="2" t="s">
        <v>228</v>
      </c>
      <c r="BW140" s="2" t="s">
        <v>228</v>
      </c>
      <c r="BX140" s="2" t="s">
        <v>273</v>
      </c>
      <c r="BY140" s="2" t="s">
        <v>274</v>
      </c>
      <c r="BZ140" s="2" t="s">
        <v>240</v>
      </c>
      <c r="CA140" s="2" t="s">
        <v>846</v>
      </c>
      <c r="CB140" s="2" t="s">
        <v>1004</v>
      </c>
      <c r="CC140" s="2" t="s">
        <v>241</v>
      </c>
      <c r="CD140" s="2" t="s">
        <v>228</v>
      </c>
      <c r="CE140" s="4"/>
      <c r="CF140" s="4">
        <v>175</v>
      </c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>
        <v>230</v>
      </c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</row>
    <row r="141">
      <c r="A141" s="2" t="s">
        <v>1005</v>
      </c>
      <c r="B141" s="2" t="s">
        <v>958</v>
      </c>
      <c r="C141" s="2" t="s">
        <v>300</v>
      </c>
      <c r="D141" s="2" t="s">
        <v>1006</v>
      </c>
      <c r="E141" s="2" t="s">
        <v>1007</v>
      </c>
      <c r="F141" s="2" t="s">
        <v>1008</v>
      </c>
      <c r="G141" s="2" t="s">
        <v>1009</v>
      </c>
      <c r="H141" s="2" t="s">
        <v>1010</v>
      </c>
      <c r="I141" s="2" t="s">
        <v>1011</v>
      </c>
      <c r="J141" s="2" t="s">
        <v>840</v>
      </c>
      <c r="K141" s="2" t="s">
        <v>265</v>
      </c>
      <c r="L141" s="3">
        <v>238.5</v>
      </c>
      <c r="M141" s="3">
        <v>250.42</v>
      </c>
      <c r="N141" s="3">
        <v>499</v>
      </c>
      <c r="O141" s="2" t="s">
        <v>240</v>
      </c>
      <c r="P141" s="2" t="s">
        <v>1012</v>
      </c>
      <c r="Q141" s="2" t="s">
        <v>234</v>
      </c>
      <c r="R141" s="2" t="s">
        <v>228</v>
      </c>
      <c r="S141" s="2" t="s">
        <v>228</v>
      </c>
      <c r="T141" s="2" t="s">
        <v>228</v>
      </c>
      <c r="U141" s="2" t="s">
        <v>416</v>
      </c>
      <c r="V141" s="2" t="s">
        <v>236</v>
      </c>
      <c r="W141" s="2" t="s">
        <v>463</v>
      </c>
      <c r="X141" s="2" t="s">
        <v>228</v>
      </c>
      <c r="Y141" s="2" t="s">
        <v>1013</v>
      </c>
      <c r="Z141" s="4">
        <v>80</v>
      </c>
      <c r="AA141" s="4">
        <f>=ROUNDDOWN(26.6666666666667,0)</f>
      </c>
      <c r="AB141" s="5">
        <v>3</v>
      </c>
      <c r="AC141" s="2" t="s">
        <v>1014</v>
      </c>
      <c r="AD141" s="4">
        <v>70</v>
      </c>
      <c r="AE141" s="4">
        <v>114</v>
      </c>
      <c r="AF141" s="6">
        <v>66</v>
      </c>
      <c r="AG141" s="6"/>
      <c r="AH141" s="7">
        <v>1</v>
      </c>
      <c r="AI141" s="4"/>
      <c r="AJ141" s="4">
        <f>=ROUNDDOWN({0},0)</f>
      </c>
      <c r="AK141" s="5"/>
      <c r="AL141" s="2" t="s">
        <v>228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/>
      <c r="AW141" s="8"/>
      <c r="AX141" s="4"/>
      <c r="AY141" s="8"/>
      <c r="AZ141" s="7"/>
      <c r="BA141" s="7"/>
      <c r="BB141" s="7"/>
      <c r="BC141" s="4" t="s">
        <v>228</v>
      </c>
      <c r="BD141" s="8" t="s">
        <v>228</v>
      </c>
      <c r="BE141" s="4" t="s">
        <v>228</v>
      </c>
      <c r="BF141" s="8" t="s">
        <v>228</v>
      </c>
      <c r="BG141" s="7" t="s">
        <v>228</v>
      </c>
      <c r="BH141" s="7" t="s">
        <v>228</v>
      </c>
      <c r="BI141" s="7"/>
      <c r="BJ141" s="4">
        <v>3</v>
      </c>
      <c r="BK141" s="8">
        <v>798.45</v>
      </c>
      <c r="BL141" s="2" t="s">
        <v>1015</v>
      </c>
      <c r="BM141" s="7"/>
      <c r="BN141" s="7"/>
      <c r="BO141" s="4"/>
      <c r="BP141" s="8"/>
      <c r="BQ141" s="4"/>
      <c r="BR141" s="8"/>
      <c r="BS141" s="7"/>
      <c r="BT141" s="7"/>
      <c r="BU141" s="2" t="s">
        <v>1016</v>
      </c>
      <c r="BV141" s="2" t="s">
        <v>228</v>
      </c>
      <c r="BW141" s="2" t="s">
        <v>228</v>
      </c>
      <c r="BX141" s="2" t="s">
        <v>273</v>
      </c>
      <c r="BY141" s="2" t="s">
        <v>274</v>
      </c>
      <c r="BZ141" s="2" t="s">
        <v>240</v>
      </c>
      <c r="CA141" s="2" t="s">
        <v>1017</v>
      </c>
      <c r="CB141" s="2" t="s">
        <v>1018</v>
      </c>
      <c r="CC141" s="2" t="s">
        <v>241</v>
      </c>
      <c r="CD141" s="2" t="s">
        <v>228</v>
      </c>
      <c r="CE141" s="4"/>
      <c r="CF141" s="4">
        <v>80</v>
      </c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>
        <v>70</v>
      </c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>
        <v>44</v>
      </c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</row>
    <row r="142">
      <c r="A142" s="2" t="s">
        <v>1019</v>
      </c>
      <c r="B142" s="2" t="s">
        <v>958</v>
      </c>
      <c r="C142" s="2" t="s">
        <v>300</v>
      </c>
      <c r="D142" s="2" t="s">
        <v>1006</v>
      </c>
      <c r="E142" s="2" t="s">
        <v>1007</v>
      </c>
      <c r="F142" s="2" t="s">
        <v>1008</v>
      </c>
      <c r="G142" s="2" t="s">
        <v>1009</v>
      </c>
      <c r="H142" s="2" t="s">
        <v>1010</v>
      </c>
      <c r="I142" s="2" t="s">
        <v>1020</v>
      </c>
      <c r="J142" s="2" t="s">
        <v>840</v>
      </c>
      <c r="K142" s="2" t="s">
        <v>1021</v>
      </c>
      <c r="L142" s="3">
        <v>467.46</v>
      </c>
      <c r="M142" s="3">
        <v>490.83</v>
      </c>
      <c r="N142" s="3">
        <v>979</v>
      </c>
      <c r="O142" s="2" t="s">
        <v>240</v>
      </c>
      <c r="P142" s="2" t="s">
        <v>1022</v>
      </c>
      <c r="Q142" s="2" t="s">
        <v>234</v>
      </c>
      <c r="R142" s="2" t="s">
        <v>16</v>
      </c>
      <c r="S142" s="2" t="s">
        <v>1023</v>
      </c>
      <c r="T142" s="2" t="s">
        <v>228</v>
      </c>
      <c r="U142" s="2" t="s">
        <v>520</v>
      </c>
      <c r="V142" s="2" t="s">
        <v>236</v>
      </c>
      <c r="W142" s="2" t="s">
        <v>463</v>
      </c>
      <c r="X142" s="2" t="s">
        <v>228</v>
      </c>
      <c r="Y142" s="2" t="s">
        <v>1024</v>
      </c>
      <c r="Z142" s="4">
        <v>96</v>
      </c>
      <c r="AA142" s="4">
        <f>=ROUNDDOWN({0},0)</f>
      </c>
      <c r="AB142" s="5"/>
      <c r="AC142" s="2" t="s">
        <v>228</v>
      </c>
      <c r="AD142" s="4"/>
      <c r="AE142" s="4"/>
      <c r="AF142" s="6"/>
      <c r="AG142" s="6"/>
      <c r="AH142" s="7">
        <v>1</v>
      </c>
      <c r="AI142" s="4"/>
      <c r="AJ142" s="4">
        <f>=ROUNDDOWN({0},0)</f>
      </c>
      <c r="AK142" s="5"/>
      <c r="AL142" s="2" t="s">
        <v>228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/>
      <c r="AW142" s="8"/>
      <c r="AX142" s="4"/>
      <c r="AY142" s="8"/>
      <c r="AZ142" s="7"/>
      <c r="BA142" s="7"/>
      <c r="BB142" s="7"/>
      <c r="BC142" s="4" t="s">
        <v>228</v>
      </c>
      <c r="BD142" s="8" t="s">
        <v>228</v>
      </c>
      <c r="BE142" s="4" t="s">
        <v>228</v>
      </c>
      <c r="BF142" s="8" t="s">
        <v>228</v>
      </c>
      <c r="BG142" s="7" t="s">
        <v>228</v>
      </c>
      <c r="BH142" s="7" t="s">
        <v>228</v>
      </c>
      <c r="BI142" s="7"/>
      <c r="BJ142" s="4"/>
      <c r="BK142" s="8"/>
      <c r="BL142" s="2" t="s">
        <v>228</v>
      </c>
      <c r="BM142" s="7"/>
      <c r="BN142" s="7"/>
      <c r="BO142" s="4"/>
      <c r="BP142" s="8"/>
      <c r="BQ142" s="4"/>
      <c r="BR142" s="8"/>
      <c r="BS142" s="7"/>
      <c r="BT142" s="7"/>
      <c r="BU142" s="2" t="s">
        <v>1025</v>
      </c>
      <c r="BV142" s="2" t="s">
        <v>228</v>
      </c>
      <c r="BW142" s="2" t="s">
        <v>228</v>
      </c>
      <c r="BX142" s="2" t="s">
        <v>273</v>
      </c>
      <c r="BY142" s="2" t="s">
        <v>274</v>
      </c>
      <c r="BZ142" s="2" t="s">
        <v>240</v>
      </c>
      <c r="CA142" s="2" t="s">
        <v>1026</v>
      </c>
      <c r="CB142" s="2" t="s">
        <v>228</v>
      </c>
      <c r="CC142" s="2" t="s">
        <v>241</v>
      </c>
      <c r="CD142" s="2" t="s">
        <v>228</v>
      </c>
      <c r="CE142" s="4"/>
      <c r="CF142" s="4">
        <v>94</v>
      </c>
      <c r="CG142" s="4"/>
      <c r="CH142" s="4">
        <v>2</v>
      </c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</row>
    <row r="143">
      <c r="A143" s="2" t="s">
        <v>1027</v>
      </c>
      <c r="B143" s="2" t="s">
        <v>834</v>
      </c>
      <c r="C143" s="2" t="s">
        <v>835</v>
      </c>
      <c r="D143" s="2" t="s">
        <v>1028</v>
      </c>
      <c r="E143" s="2" t="s">
        <v>1029</v>
      </c>
      <c r="F143" s="2" t="s">
        <v>1008</v>
      </c>
      <c r="G143" s="2" t="s">
        <v>1008</v>
      </c>
      <c r="H143" s="2" t="s">
        <v>1008</v>
      </c>
      <c r="I143" s="2" t="s">
        <v>1030</v>
      </c>
      <c r="J143" s="2" t="s">
        <v>840</v>
      </c>
      <c r="K143" s="2" t="s">
        <v>1031</v>
      </c>
      <c r="L143" s="3">
        <v>56.05</v>
      </c>
      <c r="M143" s="3">
        <v>58.85</v>
      </c>
      <c r="N143" s="3">
        <v>117.99</v>
      </c>
      <c r="O143" s="2" t="s">
        <v>461</v>
      </c>
      <c r="P143" s="2" t="s">
        <v>333</v>
      </c>
      <c r="Q143" s="2" t="s">
        <v>234</v>
      </c>
      <c r="R143" s="2" t="s">
        <v>228</v>
      </c>
      <c r="S143" s="2" t="s">
        <v>228</v>
      </c>
      <c r="T143" s="2" t="s">
        <v>228</v>
      </c>
      <c r="U143" s="2" t="s">
        <v>416</v>
      </c>
      <c r="V143" s="2" t="s">
        <v>842</v>
      </c>
      <c r="W143" s="2" t="s">
        <v>417</v>
      </c>
      <c r="X143" s="2" t="s">
        <v>228</v>
      </c>
      <c r="Y143" s="2" t="s">
        <v>1032</v>
      </c>
      <c r="Z143" s="4">
        <v>96</v>
      </c>
      <c r="AA143" s="4">
        <f>=ROUNDDOWN(96,0)</f>
      </c>
      <c r="AB143" s="5">
        <v>1</v>
      </c>
      <c r="AC143" s="2" t="s">
        <v>228</v>
      </c>
      <c r="AD143" s="4"/>
      <c r="AE143" s="4"/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228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/>
      <c r="AW143" s="8"/>
      <c r="AX143" s="4"/>
      <c r="AY143" s="8"/>
      <c r="AZ143" s="7"/>
      <c r="BA143" s="7"/>
      <c r="BB143" s="7"/>
      <c r="BC143" s="4" t="s">
        <v>228</v>
      </c>
      <c r="BD143" s="8" t="s">
        <v>228</v>
      </c>
      <c r="BE143" s="4" t="s">
        <v>228</v>
      </c>
      <c r="BF143" s="8" t="s">
        <v>228</v>
      </c>
      <c r="BG143" s="7" t="s">
        <v>228</v>
      </c>
      <c r="BH143" s="7" t="s">
        <v>228</v>
      </c>
      <c r="BI143" s="7"/>
      <c r="BJ143" s="4">
        <v>1</v>
      </c>
      <c r="BK143" s="8">
        <v>58.85</v>
      </c>
      <c r="BL143" s="2" t="s">
        <v>1033</v>
      </c>
      <c r="BM143" s="7"/>
      <c r="BN143" s="7"/>
      <c r="BO143" s="4"/>
      <c r="BP143" s="8"/>
      <c r="BQ143" s="4"/>
      <c r="BR143" s="8"/>
      <c r="BS143" s="7"/>
      <c r="BT143" s="7"/>
      <c r="BU143" s="2" t="s">
        <v>1034</v>
      </c>
      <c r="BV143" s="2" t="s">
        <v>228</v>
      </c>
      <c r="BW143" s="2" t="s">
        <v>228</v>
      </c>
      <c r="BX143" s="2" t="s">
        <v>337</v>
      </c>
      <c r="BY143" s="2" t="s">
        <v>274</v>
      </c>
      <c r="BZ143" s="2" t="s">
        <v>240</v>
      </c>
      <c r="CA143" s="2" t="s">
        <v>1035</v>
      </c>
      <c r="CB143" s="2" t="s">
        <v>228</v>
      </c>
      <c r="CC143" s="2" t="s">
        <v>241</v>
      </c>
      <c r="CD143" s="2" t="s">
        <v>228</v>
      </c>
      <c r="CE143" s="4"/>
      <c r="CF143" s="4">
        <v>96</v>
      </c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</row>
    <row r="144">
      <c r="A144" s="2" t="s">
        <v>1036</v>
      </c>
      <c r="B144" s="2" t="s">
        <v>848</v>
      </c>
      <c r="C144" s="2" t="s">
        <v>1037</v>
      </c>
      <c r="D144" s="2" t="s">
        <v>850</v>
      </c>
      <c r="E144" s="2" t="s">
        <v>1038</v>
      </c>
      <c r="F144" s="2" t="s">
        <v>1039</v>
      </c>
      <c r="G144" s="2" t="s">
        <v>1040</v>
      </c>
      <c r="H144" s="2" t="s">
        <v>1041</v>
      </c>
      <c r="I144" s="2" t="s">
        <v>1042</v>
      </c>
      <c r="J144" s="2" t="s">
        <v>1043</v>
      </c>
      <c r="K144" s="2" t="s">
        <v>231</v>
      </c>
      <c r="L144" s="3">
        <v>35.71</v>
      </c>
      <c r="M144" s="3">
        <v>37.5</v>
      </c>
      <c r="N144" s="3">
        <v>74.99</v>
      </c>
      <c r="O144" s="2" t="s">
        <v>240</v>
      </c>
      <c r="P144" s="2" t="s">
        <v>233</v>
      </c>
      <c r="Q144" s="2" t="s">
        <v>234</v>
      </c>
      <c r="R144" s="2" t="s">
        <v>228</v>
      </c>
      <c r="S144" s="2" t="s">
        <v>1044</v>
      </c>
      <c r="T144" s="2" t="s">
        <v>350</v>
      </c>
      <c r="U144" s="2" t="s">
        <v>500</v>
      </c>
      <c r="V144" s="2" t="s">
        <v>387</v>
      </c>
      <c r="W144" s="2" t="s">
        <v>417</v>
      </c>
      <c r="X144" s="2" t="s">
        <v>228</v>
      </c>
      <c r="Y144" s="2" t="s">
        <v>352</v>
      </c>
      <c r="Z144" s="4">
        <v>97</v>
      </c>
      <c r="AA144" s="4">
        <f>=ROUNDDOWN(69.2857142857143,0)</f>
      </c>
      <c r="AB144" s="5">
        <v>1.4</v>
      </c>
      <c r="AC144" s="2" t="s">
        <v>228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228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/>
      <c r="AW144" s="8"/>
      <c r="AX144" s="4"/>
      <c r="AY144" s="8"/>
      <c r="AZ144" s="7"/>
      <c r="BA144" s="7"/>
      <c r="BB144" s="7"/>
      <c r="BC144" s="4"/>
      <c r="BD144" s="8"/>
      <c r="BE144" s="4"/>
      <c r="BF144" s="8"/>
      <c r="BG144" s="7"/>
      <c r="BH144" s="7"/>
      <c r="BI144" s="7"/>
      <c r="BJ144" s="4">
        <v>7</v>
      </c>
      <c r="BK144" s="8">
        <v>269.61</v>
      </c>
      <c r="BL144" s="2" t="s">
        <v>1045</v>
      </c>
      <c r="BM144" s="7"/>
      <c r="BN144" s="7"/>
      <c r="BO144" s="4"/>
      <c r="BP144" s="8"/>
      <c r="BQ144" s="4"/>
      <c r="BR144" s="8"/>
      <c r="BS144" s="7"/>
      <c r="BT144" s="7"/>
      <c r="BU144" s="2" t="s">
        <v>1046</v>
      </c>
      <c r="BV144" s="2" t="s">
        <v>228</v>
      </c>
      <c r="BW144" s="2" t="s">
        <v>228</v>
      </c>
      <c r="BX144" s="2" t="s">
        <v>273</v>
      </c>
      <c r="BY144" s="2" t="s">
        <v>274</v>
      </c>
      <c r="BZ144" s="2" t="s">
        <v>240</v>
      </c>
      <c r="CA144" s="2" t="s">
        <v>355</v>
      </c>
      <c r="CB144" s="2" t="s">
        <v>1047</v>
      </c>
      <c r="CC144" s="2" t="s">
        <v>241</v>
      </c>
      <c r="CD144" s="2" t="s">
        <v>228</v>
      </c>
      <c r="CE144" s="4">
        <v>97</v>
      </c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</row>
    <row r="145">
      <c r="A145" s="2" t="s">
        <v>1048</v>
      </c>
      <c r="B145" s="2" t="s">
        <v>772</v>
      </c>
      <c r="C145" s="2" t="s">
        <v>345</v>
      </c>
      <c r="D145" s="2" t="s">
        <v>774</v>
      </c>
      <c r="E145" s="2" t="s">
        <v>775</v>
      </c>
      <c r="F145" s="2" t="s">
        <v>1049</v>
      </c>
      <c r="G145" s="2" t="s">
        <v>1050</v>
      </c>
      <c r="H145" s="2" t="s">
        <v>1051</v>
      </c>
      <c r="I145" s="2" t="s">
        <v>1052</v>
      </c>
      <c r="J145" s="2" t="s">
        <v>1053</v>
      </c>
      <c r="K145" s="2" t="s">
        <v>789</v>
      </c>
      <c r="L145" s="3">
        <v>18.4</v>
      </c>
      <c r="M145" s="3">
        <v>19.32</v>
      </c>
      <c r="N145" s="3">
        <v>39.99</v>
      </c>
      <c r="O145" s="2" t="s">
        <v>240</v>
      </c>
      <c r="P145" s="2" t="s">
        <v>889</v>
      </c>
      <c r="Q145" s="2" t="s">
        <v>234</v>
      </c>
      <c r="R145" s="2" t="s">
        <v>228</v>
      </c>
      <c r="S145" s="2" t="s">
        <v>228</v>
      </c>
      <c r="T145" s="2" t="s">
        <v>228</v>
      </c>
      <c r="U145" s="2" t="s">
        <v>1054</v>
      </c>
      <c r="V145" s="2" t="s">
        <v>236</v>
      </c>
      <c r="W145" s="2" t="s">
        <v>269</v>
      </c>
      <c r="X145" s="2" t="s">
        <v>228</v>
      </c>
      <c r="Y145" s="2" t="s">
        <v>1055</v>
      </c>
      <c r="Z145" s="4">
        <v>385</v>
      </c>
      <c r="AA145" s="4">
        <f>=ROUNDDOWN(5.5,0)</f>
      </c>
      <c r="AB145" s="5">
        <v>70</v>
      </c>
      <c r="AC145" s="2" t="s">
        <v>159</v>
      </c>
      <c r="AD145" s="4">
        <v>620</v>
      </c>
      <c r="AE145" s="4">
        <v>3100</v>
      </c>
      <c r="AF145" s="6">
        <v>73</v>
      </c>
      <c r="AG145" s="6"/>
      <c r="AH145" s="7">
        <v>1</v>
      </c>
      <c r="AI145" s="4"/>
      <c r="AJ145" s="4">
        <f>=ROUNDDOWN({0},0)</f>
      </c>
      <c r="AK145" s="5"/>
      <c r="AL145" s="2" t="s">
        <v>228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/>
      <c r="AW145" s="8"/>
      <c r="AX145" s="4"/>
      <c r="AY145" s="8"/>
      <c r="AZ145" s="7"/>
      <c r="BA145" s="7"/>
      <c r="BB145" s="7"/>
      <c r="BC145" s="4" t="s">
        <v>228</v>
      </c>
      <c r="BD145" s="8" t="s">
        <v>228</v>
      </c>
      <c r="BE145" s="4" t="s">
        <v>228</v>
      </c>
      <c r="BF145" s="8" t="s">
        <v>228</v>
      </c>
      <c r="BG145" s="7" t="s">
        <v>228</v>
      </c>
      <c r="BH145" s="7" t="s">
        <v>228</v>
      </c>
      <c r="BI145" s="7"/>
      <c r="BJ145" s="4">
        <v>252</v>
      </c>
      <c r="BK145" s="8">
        <v>4598.24</v>
      </c>
      <c r="BL145" s="2" t="s">
        <v>1056</v>
      </c>
      <c r="BM145" s="7"/>
      <c r="BN145" s="7"/>
      <c r="BO145" s="4"/>
      <c r="BP145" s="8"/>
      <c r="BQ145" s="4"/>
      <c r="BR145" s="8"/>
      <c r="BS145" s="7"/>
      <c r="BT145" s="7"/>
      <c r="BU145" s="2" t="s">
        <v>1057</v>
      </c>
      <c r="BV145" s="2" t="s">
        <v>228</v>
      </c>
      <c r="BW145" s="2" t="s">
        <v>228</v>
      </c>
      <c r="BX145" s="2" t="s">
        <v>273</v>
      </c>
      <c r="BY145" s="2" t="s">
        <v>274</v>
      </c>
      <c r="BZ145" s="2" t="s">
        <v>240</v>
      </c>
      <c r="CA145" s="2" t="s">
        <v>1058</v>
      </c>
      <c r="CB145" s="2" t="s">
        <v>1059</v>
      </c>
      <c r="CC145" s="2" t="s">
        <v>241</v>
      </c>
      <c r="CD145" s="2" t="s">
        <v>228</v>
      </c>
      <c r="CE145" s="4">
        <v>385</v>
      </c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>
        <v>620</v>
      </c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>
        <v>1240</v>
      </c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>
        <v>620</v>
      </c>
      <c r="GY145" s="4"/>
      <c r="GZ145" s="4"/>
      <c r="HA145" s="4"/>
      <c r="HB145" s="4"/>
      <c r="HC145" s="4">
        <v>620</v>
      </c>
      <c r="HD145" s="4"/>
      <c r="HE145" s="4"/>
    </row>
    <row r="146">
      <c r="A146" s="2" t="s">
        <v>1060</v>
      </c>
      <c r="B146" s="2" t="s">
        <v>772</v>
      </c>
      <c r="C146" s="2" t="s">
        <v>345</v>
      </c>
      <c r="D146" s="2" t="s">
        <v>774</v>
      </c>
      <c r="E146" s="2" t="s">
        <v>775</v>
      </c>
      <c r="F146" s="2" t="s">
        <v>1049</v>
      </c>
      <c r="G146" s="2" t="s">
        <v>1050</v>
      </c>
      <c r="H146" s="2" t="s">
        <v>1051</v>
      </c>
      <c r="I146" s="2" t="s">
        <v>1052</v>
      </c>
      <c r="J146" s="2" t="s">
        <v>1053</v>
      </c>
      <c r="K146" s="2" t="s">
        <v>1061</v>
      </c>
      <c r="L146" s="3">
        <v>18.4</v>
      </c>
      <c r="M146" s="3">
        <v>19.32</v>
      </c>
      <c r="N146" s="3">
        <v>39.99</v>
      </c>
      <c r="O146" s="2" t="s">
        <v>240</v>
      </c>
      <c r="P146" s="2" t="s">
        <v>266</v>
      </c>
      <c r="Q146" s="2" t="s">
        <v>234</v>
      </c>
      <c r="R146" s="2" t="s">
        <v>228</v>
      </c>
      <c r="S146" s="2" t="s">
        <v>228</v>
      </c>
      <c r="T146" s="2" t="s">
        <v>228</v>
      </c>
      <c r="U146" s="2" t="s">
        <v>1054</v>
      </c>
      <c r="V146" s="2" t="s">
        <v>236</v>
      </c>
      <c r="W146" s="2" t="s">
        <v>269</v>
      </c>
      <c r="X146" s="2" t="s">
        <v>228</v>
      </c>
      <c r="Y146" s="2" t="s">
        <v>1055</v>
      </c>
      <c r="Z146" s="4">
        <v>356</v>
      </c>
      <c r="AA146" s="4">
        <f>=ROUNDDOWN(6.47272727272727,0)</f>
      </c>
      <c r="AB146" s="5">
        <v>55</v>
      </c>
      <c r="AC146" s="2" t="s">
        <v>483</v>
      </c>
      <c r="AD146" s="4">
        <v>620</v>
      </c>
      <c r="AE146" s="4">
        <v>1550</v>
      </c>
      <c r="AF146" s="6">
        <v>73</v>
      </c>
      <c r="AG146" s="6"/>
      <c r="AH146" s="7">
        <v>1</v>
      </c>
      <c r="AI146" s="4"/>
      <c r="AJ146" s="4">
        <f>=ROUNDDOWN({0},0)</f>
      </c>
      <c r="AK146" s="5"/>
      <c r="AL146" s="2" t="s">
        <v>228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/>
      <c r="AW146" s="8"/>
      <c r="AX146" s="4"/>
      <c r="AY146" s="8"/>
      <c r="AZ146" s="7"/>
      <c r="BA146" s="7"/>
      <c r="BB146" s="7"/>
      <c r="BC146" s="4" t="s">
        <v>228</v>
      </c>
      <c r="BD146" s="8" t="s">
        <v>228</v>
      </c>
      <c r="BE146" s="4" t="s">
        <v>228</v>
      </c>
      <c r="BF146" s="8" t="s">
        <v>228</v>
      </c>
      <c r="BG146" s="7" t="s">
        <v>228</v>
      </c>
      <c r="BH146" s="7" t="s">
        <v>228</v>
      </c>
      <c r="BI146" s="7"/>
      <c r="BJ146" s="4">
        <v>236</v>
      </c>
      <c r="BK146" s="8">
        <v>4231</v>
      </c>
      <c r="BL146" s="2" t="s">
        <v>1062</v>
      </c>
      <c r="BM146" s="7"/>
      <c r="BN146" s="7"/>
      <c r="BO146" s="4"/>
      <c r="BP146" s="8"/>
      <c r="BQ146" s="4"/>
      <c r="BR146" s="8"/>
      <c r="BS146" s="7"/>
      <c r="BT146" s="7"/>
      <c r="BU146" s="2" t="s">
        <v>1063</v>
      </c>
      <c r="BV146" s="2" t="s">
        <v>228</v>
      </c>
      <c r="BW146" s="2" t="s">
        <v>228</v>
      </c>
      <c r="BX146" s="2" t="s">
        <v>273</v>
      </c>
      <c r="BY146" s="2" t="s">
        <v>274</v>
      </c>
      <c r="BZ146" s="2" t="s">
        <v>240</v>
      </c>
      <c r="CA146" s="2" t="s">
        <v>1058</v>
      </c>
      <c r="CB146" s="2" t="s">
        <v>1064</v>
      </c>
      <c r="CC146" s="2" t="s">
        <v>241</v>
      </c>
      <c r="CD146" s="2" t="s">
        <v>228</v>
      </c>
      <c r="CE146" s="4">
        <v>356</v>
      </c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>
        <v>620</v>
      </c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>
        <v>620</v>
      </c>
      <c r="GY146" s="4"/>
      <c r="GZ146" s="4"/>
      <c r="HA146" s="4"/>
      <c r="HB146" s="4"/>
      <c r="HC146" s="4">
        <v>310</v>
      </c>
      <c r="HD146" s="4"/>
      <c r="HE146" s="4"/>
    </row>
    <row r="147">
      <c r="A147" s="2" t="s">
        <v>1065</v>
      </c>
      <c r="B147" s="2" t="s">
        <v>772</v>
      </c>
      <c r="C147" s="2" t="s">
        <v>345</v>
      </c>
      <c r="D147" s="2" t="s">
        <v>774</v>
      </c>
      <c r="E147" s="2" t="s">
        <v>775</v>
      </c>
      <c r="F147" s="2" t="s">
        <v>1049</v>
      </c>
      <c r="G147" s="2" t="s">
        <v>1050</v>
      </c>
      <c r="H147" s="2" t="s">
        <v>1051</v>
      </c>
      <c r="I147" s="2" t="s">
        <v>1052</v>
      </c>
      <c r="J147" s="2" t="s">
        <v>1053</v>
      </c>
      <c r="K147" s="2" t="s">
        <v>525</v>
      </c>
      <c r="L147" s="3">
        <v>18.4</v>
      </c>
      <c r="M147" s="3">
        <v>19.32</v>
      </c>
      <c r="N147" s="3">
        <v>39.99</v>
      </c>
      <c r="O147" s="2" t="s">
        <v>240</v>
      </c>
      <c r="P147" s="2" t="s">
        <v>266</v>
      </c>
      <c r="Q147" s="2" t="s">
        <v>234</v>
      </c>
      <c r="R147" s="2" t="s">
        <v>228</v>
      </c>
      <c r="S147" s="2" t="s">
        <v>228</v>
      </c>
      <c r="T147" s="2" t="s">
        <v>228</v>
      </c>
      <c r="U147" s="2" t="s">
        <v>1054</v>
      </c>
      <c r="V147" s="2" t="s">
        <v>236</v>
      </c>
      <c r="W147" s="2" t="s">
        <v>269</v>
      </c>
      <c r="X147" s="2" t="s">
        <v>228</v>
      </c>
      <c r="Y147" s="2" t="s">
        <v>1055</v>
      </c>
      <c r="Z147" s="4">
        <v>672</v>
      </c>
      <c r="AA147" s="4">
        <f>=ROUNDDOWN(12.6792452830189,0)</f>
      </c>
      <c r="AB147" s="5">
        <v>53</v>
      </c>
      <c r="AC147" s="2" t="s">
        <v>483</v>
      </c>
      <c r="AD147" s="4">
        <v>930</v>
      </c>
      <c r="AE147" s="4">
        <v>1550</v>
      </c>
      <c r="AF147" s="6">
        <v>73</v>
      </c>
      <c r="AG147" s="6"/>
      <c r="AH147" s="7">
        <v>1</v>
      </c>
      <c r="AI147" s="4"/>
      <c r="AJ147" s="4">
        <f>=ROUNDDOWN({0},0)</f>
      </c>
      <c r="AK147" s="5"/>
      <c r="AL147" s="2" t="s">
        <v>228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/>
      <c r="AW147" s="8"/>
      <c r="AX147" s="4"/>
      <c r="AY147" s="8"/>
      <c r="AZ147" s="7"/>
      <c r="BA147" s="7"/>
      <c r="BB147" s="7"/>
      <c r="BC147" s="4" t="s">
        <v>228</v>
      </c>
      <c r="BD147" s="8" t="s">
        <v>228</v>
      </c>
      <c r="BE147" s="4" t="s">
        <v>228</v>
      </c>
      <c r="BF147" s="8" t="s">
        <v>228</v>
      </c>
      <c r="BG147" s="7" t="s">
        <v>228</v>
      </c>
      <c r="BH147" s="7" t="s">
        <v>228</v>
      </c>
      <c r="BI147" s="7"/>
      <c r="BJ147" s="4">
        <v>185</v>
      </c>
      <c r="BK147" s="8">
        <v>3393.48</v>
      </c>
      <c r="BL147" s="2" t="s">
        <v>1066</v>
      </c>
      <c r="BM147" s="7"/>
      <c r="BN147" s="7"/>
      <c r="BO147" s="4"/>
      <c r="BP147" s="8"/>
      <c r="BQ147" s="4"/>
      <c r="BR147" s="8"/>
      <c r="BS147" s="7"/>
      <c r="BT147" s="7"/>
      <c r="BU147" s="2" t="s">
        <v>1067</v>
      </c>
      <c r="BV147" s="2" t="s">
        <v>228</v>
      </c>
      <c r="BW147" s="2" t="s">
        <v>228</v>
      </c>
      <c r="BX147" s="2" t="s">
        <v>273</v>
      </c>
      <c r="BY147" s="2" t="s">
        <v>274</v>
      </c>
      <c r="BZ147" s="2" t="s">
        <v>240</v>
      </c>
      <c r="CA147" s="2" t="s">
        <v>1058</v>
      </c>
      <c r="CB147" s="2" t="s">
        <v>1068</v>
      </c>
      <c r="CC147" s="2" t="s">
        <v>241</v>
      </c>
      <c r="CD147" s="2" t="s">
        <v>228</v>
      </c>
      <c r="CE147" s="4">
        <v>672</v>
      </c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>
        <v>930</v>
      </c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>
        <v>620</v>
      </c>
      <c r="GY147" s="4"/>
      <c r="GZ147" s="4"/>
      <c r="HA147" s="4"/>
      <c r="HB147" s="4"/>
      <c r="HC147" s="4"/>
      <c r="HD147" s="4"/>
      <c r="HE147" s="4"/>
    </row>
    <row r="148">
      <c r="A148" s="2" t="s">
        <v>1069</v>
      </c>
      <c r="B148" s="2" t="s">
        <v>772</v>
      </c>
      <c r="C148" s="2" t="s">
        <v>345</v>
      </c>
      <c r="D148" s="2" t="s">
        <v>774</v>
      </c>
      <c r="E148" s="2" t="s">
        <v>775</v>
      </c>
      <c r="F148" s="2" t="s">
        <v>1049</v>
      </c>
      <c r="G148" s="2" t="s">
        <v>1050</v>
      </c>
      <c r="H148" s="2" t="s">
        <v>1051</v>
      </c>
      <c r="I148" s="2" t="s">
        <v>1052</v>
      </c>
      <c r="J148" s="2" t="s">
        <v>1053</v>
      </c>
      <c r="K148" s="2" t="s">
        <v>650</v>
      </c>
      <c r="L148" s="3">
        <v>18.4</v>
      </c>
      <c r="M148" s="3">
        <v>19.32</v>
      </c>
      <c r="N148" s="3">
        <v>39.99</v>
      </c>
      <c r="O148" s="2" t="s">
        <v>240</v>
      </c>
      <c r="P148" s="2" t="s">
        <v>266</v>
      </c>
      <c r="Q148" s="2" t="s">
        <v>234</v>
      </c>
      <c r="R148" s="2" t="s">
        <v>228</v>
      </c>
      <c r="S148" s="2" t="s">
        <v>1070</v>
      </c>
      <c r="T148" s="2" t="s">
        <v>350</v>
      </c>
      <c r="U148" s="2" t="s">
        <v>1054</v>
      </c>
      <c r="V148" s="2" t="s">
        <v>236</v>
      </c>
      <c r="W148" s="2" t="s">
        <v>269</v>
      </c>
      <c r="X148" s="2" t="s">
        <v>228</v>
      </c>
      <c r="Y148" s="2" t="s">
        <v>1071</v>
      </c>
      <c r="Z148" s="4">
        <v>690</v>
      </c>
      <c r="AA148" s="4">
        <f>=ROUNDDOWN(15.6818181818182,0)</f>
      </c>
      <c r="AB148" s="5">
        <v>44</v>
      </c>
      <c r="AC148" s="2" t="s">
        <v>483</v>
      </c>
      <c r="AD148" s="4">
        <v>930</v>
      </c>
      <c r="AE148" s="4">
        <v>1550</v>
      </c>
      <c r="AF148" s="6">
        <v>73</v>
      </c>
      <c r="AG148" s="6"/>
      <c r="AH148" s="7">
        <v>1</v>
      </c>
      <c r="AI148" s="4"/>
      <c r="AJ148" s="4">
        <f>=ROUNDDOWN({0},0)</f>
      </c>
      <c r="AK148" s="5"/>
      <c r="AL148" s="2" t="s">
        <v>228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 t="s">
        <v>228</v>
      </c>
      <c r="BD148" s="8" t="s">
        <v>228</v>
      </c>
      <c r="BE148" s="4" t="s">
        <v>228</v>
      </c>
      <c r="BF148" s="8" t="s">
        <v>228</v>
      </c>
      <c r="BG148" s="7" t="s">
        <v>228</v>
      </c>
      <c r="BH148" s="7" t="s">
        <v>228</v>
      </c>
      <c r="BI148" s="7"/>
      <c r="BJ148" s="4">
        <v>134</v>
      </c>
      <c r="BK148" s="8">
        <v>2483.15</v>
      </c>
      <c r="BL148" s="2" t="s">
        <v>1072</v>
      </c>
      <c r="BM148" s="7"/>
      <c r="BN148" s="7"/>
      <c r="BO148" s="4"/>
      <c r="BP148" s="8"/>
      <c r="BQ148" s="4"/>
      <c r="BR148" s="8"/>
      <c r="BS148" s="7"/>
      <c r="BT148" s="7"/>
      <c r="BU148" s="2" t="s">
        <v>1073</v>
      </c>
      <c r="BV148" s="2" t="s">
        <v>228</v>
      </c>
      <c r="BW148" s="2" t="s">
        <v>228</v>
      </c>
      <c r="BX148" s="2" t="s">
        <v>273</v>
      </c>
      <c r="BY148" s="2" t="s">
        <v>274</v>
      </c>
      <c r="BZ148" s="2" t="s">
        <v>240</v>
      </c>
      <c r="CA148" s="2" t="s">
        <v>1074</v>
      </c>
      <c r="CB148" s="2" t="s">
        <v>1075</v>
      </c>
      <c r="CC148" s="2" t="s">
        <v>241</v>
      </c>
      <c r="CD148" s="2" t="s">
        <v>228</v>
      </c>
      <c r="CE148" s="4">
        <v>690</v>
      </c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>
        <v>930</v>
      </c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>
        <v>310</v>
      </c>
      <c r="GY148" s="4"/>
      <c r="GZ148" s="4"/>
      <c r="HA148" s="4"/>
      <c r="HB148" s="4"/>
      <c r="HC148" s="4">
        <v>310</v>
      </c>
      <c r="HD148" s="4"/>
      <c r="HE148" s="4"/>
    </row>
    <row r="149">
      <c r="A149" s="2" t="s">
        <v>1076</v>
      </c>
      <c r="B149" s="2" t="s">
        <v>772</v>
      </c>
      <c r="C149" s="2" t="s">
        <v>345</v>
      </c>
      <c r="D149" s="2" t="s">
        <v>774</v>
      </c>
      <c r="E149" s="2" t="s">
        <v>775</v>
      </c>
      <c r="F149" s="2" t="s">
        <v>1049</v>
      </c>
      <c r="G149" s="2" t="s">
        <v>1050</v>
      </c>
      <c r="H149" s="2" t="s">
        <v>1051</v>
      </c>
      <c r="I149" s="2" t="s">
        <v>1052</v>
      </c>
      <c r="J149" s="2" t="s">
        <v>1053</v>
      </c>
      <c r="K149" s="2" t="s">
        <v>1077</v>
      </c>
      <c r="L149" s="3">
        <v>18.4</v>
      </c>
      <c r="M149" s="3">
        <v>19.32</v>
      </c>
      <c r="N149" s="3">
        <v>39.99</v>
      </c>
      <c r="O149" s="2" t="s">
        <v>240</v>
      </c>
      <c r="P149" s="2" t="s">
        <v>333</v>
      </c>
      <c r="Q149" s="2" t="s">
        <v>234</v>
      </c>
      <c r="R149" s="2" t="s">
        <v>228</v>
      </c>
      <c r="S149" s="2" t="s">
        <v>1078</v>
      </c>
      <c r="T149" s="2" t="s">
        <v>350</v>
      </c>
      <c r="U149" s="2" t="s">
        <v>1054</v>
      </c>
      <c r="V149" s="2" t="s">
        <v>236</v>
      </c>
      <c r="W149" s="2" t="s">
        <v>269</v>
      </c>
      <c r="X149" s="2" t="s">
        <v>228</v>
      </c>
      <c r="Y149" s="2" t="s">
        <v>1079</v>
      </c>
      <c r="Z149" s="4">
        <v>28</v>
      </c>
      <c r="AA149" s="4">
        <f>=ROUNDDOWN(2.33333333333333,0)</f>
      </c>
      <c r="AB149" s="5">
        <v>12</v>
      </c>
      <c r="AC149" s="2" t="s">
        <v>228</v>
      </c>
      <c r="AD149" s="4"/>
      <c r="AE149" s="4"/>
      <c r="AF149" s="6">
        <v>73</v>
      </c>
      <c r="AG149" s="6"/>
      <c r="AH149" s="7">
        <v>1</v>
      </c>
      <c r="AI149" s="4"/>
      <c r="AJ149" s="4">
        <f>=ROUNDDOWN({0},0)</f>
      </c>
      <c r="AK149" s="5"/>
      <c r="AL149" s="2" t="s">
        <v>228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/>
      <c r="AW149" s="8"/>
      <c r="AX149" s="4"/>
      <c r="AY149" s="8"/>
      <c r="AZ149" s="7"/>
      <c r="BA149" s="7"/>
      <c r="BB149" s="7"/>
      <c r="BC149" s="4" t="s">
        <v>228</v>
      </c>
      <c r="BD149" s="8" t="s">
        <v>228</v>
      </c>
      <c r="BE149" s="4" t="s">
        <v>228</v>
      </c>
      <c r="BF149" s="8" t="s">
        <v>228</v>
      </c>
      <c r="BG149" s="7" t="s">
        <v>228</v>
      </c>
      <c r="BH149" s="7" t="s">
        <v>228</v>
      </c>
      <c r="BI149" s="7"/>
      <c r="BJ149" s="4">
        <v>55</v>
      </c>
      <c r="BK149" s="8">
        <v>1059.57</v>
      </c>
      <c r="BL149" s="2" t="s">
        <v>1080</v>
      </c>
      <c r="BM149" s="7"/>
      <c r="BN149" s="7"/>
      <c r="BO149" s="4"/>
      <c r="BP149" s="8"/>
      <c r="BQ149" s="4"/>
      <c r="BR149" s="8"/>
      <c r="BS149" s="7"/>
      <c r="BT149" s="7"/>
      <c r="BU149" s="2" t="s">
        <v>1081</v>
      </c>
      <c r="BV149" s="2" t="s">
        <v>228</v>
      </c>
      <c r="BW149" s="2" t="s">
        <v>228</v>
      </c>
      <c r="BX149" s="2" t="s">
        <v>337</v>
      </c>
      <c r="BY149" s="2" t="s">
        <v>274</v>
      </c>
      <c r="BZ149" s="2" t="s">
        <v>240</v>
      </c>
      <c r="CA149" s="2" t="s">
        <v>378</v>
      </c>
      <c r="CB149" s="2" t="s">
        <v>1082</v>
      </c>
      <c r="CC149" s="2" t="s">
        <v>241</v>
      </c>
      <c r="CD149" s="2" t="s">
        <v>228</v>
      </c>
      <c r="CE149" s="4">
        <v>28</v>
      </c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</row>
    <row r="150">
      <c r="A150" s="2" t="s">
        <v>1083</v>
      </c>
      <c r="B150" s="2" t="s">
        <v>970</v>
      </c>
      <c r="C150" s="2" t="s">
        <v>300</v>
      </c>
      <c r="D150" s="2" t="s">
        <v>971</v>
      </c>
      <c r="E150" s="2" t="s">
        <v>1084</v>
      </c>
      <c r="F150" s="2" t="s">
        <v>1085</v>
      </c>
      <c r="G150" s="2" t="s">
        <v>1086</v>
      </c>
      <c r="H150" s="2" t="s">
        <v>1087</v>
      </c>
      <c r="I150" s="2" t="s">
        <v>1088</v>
      </c>
      <c r="J150" s="2" t="s">
        <v>1089</v>
      </c>
      <c r="K150" s="2" t="s">
        <v>480</v>
      </c>
      <c r="L150" s="3">
        <v>19</v>
      </c>
      <c r="M150" s="3">
        <v>19.95</v>
      </c>
      <c r="N150" s="3">
        <v>39.99</v>
      </c>
      <c r="O150" s="2" t="s">
        <v>461</v>
      </c>
      <c r="P150" s="2" t="s">
        <v>333</v>
      </c>
      <c r="Q150" s="2" t="s">
        <v>234</v>
      </c>
      <c r="R150" s="2" t="s">
        <v>228</v>
      </c>
      <c r="S150" s="2" t="s">
        <v>1090</v>
      </c>
      <c r="T150" s="2" t="s">
        <v>415</v>
      </c>
      <c r="U150" s="2" t="s">
        <v>520</v>
      </c>
      <c r="V150" s="2" t="s">
        <v>374</v>
      </c>
      <c r="W150" s="2" t="s">
        <v>269</v>
      </c>
      <c r="X150" s="2" t="s">
        <v>228</v>
      </c>
      <c r="Y150" s="2" t="s">
        <v>1091</v>
      </c>
      <c r="Z150" s="4">
        <v>158</v>
      </c>
      <c r="AA150" s="4">
        <f>=ROUNDDOWN(105.333333333333,0)</f>
      </c>
      <c r="AB150" s="5">
        <v>1.5</v>
      </c>
      <c r="AC150" s="2" t="s">
        <v>228</v>
      </c>
      <c r="AD150" s="4"/>
      <c r="AE150" s="4"/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228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/>
      <c r="AW150" s="8"/>
      <c r="AX150" s="4"/>
      <c r="AY150" s="8"/>
      <c r="AZ150" s="7"/>
      <c r="BA150" s="7"/>
      <c r="BB150" s="7"/>
      <c r="BC150" s="4" t="s">
        <v>228</v>
      </c>
      <c r="BD150" s="8" t="s">
        <v>228</v>
      </c>
      <c r="BE150" s="4" t="s">
        <v>228</v>
      </c>
      <c r="BF150" s="8" t="s">
        <v>228</v>
      </c>
      <c r="BG150" s="7" t="s">
        <v>228</v>
      </c>
      <c r="BH150" s="7" t="s">
        <v>228</v>
      </c>
      <c r="BI150" s="7"/>
      <c r="BJ150" s="4">
        <v>9</v>
      </c>
      <c r="BK150" s="8">
        <v>144.69</v>
      </c>
      <c r="BL150" s="2" t="s">
        <v>1092</v>
      </c>
      <c r="BM150" s="7"/>
      <c r="BN150" s="7"/>
      <c r="BO150" s="4"/>
      <c r="BP150" s="8"/>
      <c r="BQ150" s="4"/>
      <c r="BR150" s="8"/>
      <c r="BS150" s="7"/>
      <c r="BT150" s="7"/>
      <c r="BU150" s="2" t="s">
        <v>1093</v>
      </c>
      <c r="BV150" s="2" t="s">
        <v>228</v>
      </c>
      <c r="BW150" s="2" t="s">
        <v>228</v>
      </c>
      <c r="BX150" s="2" t="s">
        <v>337</v>
      </c>
      <c r="BY150" s="2" t="s">
        <v>274</v>
      </c>
      <c r="BZ150" s="2" t="s">
        <v>240</v>
      </c>
      <c r="CA150" s="2" t="s">
        <v>1094</v>
      </c>
      <c r="CB150" s="2" t="s">
        <v>1095</v>
      </c>
      <c r="CC150" s="2" t="s">
        <v>241</v>
      </c>
      <c r="CD150" s="2" t="s">
        <v>228</v>
      </c>
      <c r="CE150" s="4">
        <v>158</v>
      </c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</row>
    <row r="151">
      <c r="A151" s="2" t="s">
        <v>1096</v>
      </c>
      <c r="B151" s="2" t="s">
        <v>970</v>
      </c>
      <c r="C151" s="2" t="s">
        <v>300</v>
      </c>
      <c r="D151" s="2" t="s">
        <v>971</v>
      </c>
      <c r="E151" s="2" t="s">
        <v>1084</v>
      </c>
      <c r="F151" s="2" t="s">
        <v>1085</v>
      </c>
      <c r="G151" s="2" t="s">
        <v>1086</v>
      </c>
      <c r="H151" s="2" t="s">
        <v>1087</v>
      </c>
      <c r="I151" s="2" t="s">
        <v>1088</v>
      </c>
      <c r="J151" s="2" t="s">
        <v>1089</v>
      </c>
      <c r="K151" s="2" t="s">
        <v>316</v>
      </c>
      <c r="L151" s="3">
        <v>19</v>
      </c>
      <c r="M151" s="3">
        <v>19.95</v>
      </c>
      <c r="N151" s="3">
        <v>39.99</v>
      </c>
      <c r="O151" s="2" t="s">
        <v>240</v>
      </c>
      <c r="P151" s="2" t="s">
        <v>333</v>
      </c>
      <c r="Q151" s="2" t="s">
        <v>234</v>
      </c>
      <c r="R151" s="2" t="s">
        <v>228</v>
      </c>
      <c r="S151" s="2" t="s">
        <v>1097</v>
      </c>
      <c r="T151" s="2" t="s">
        <v>415</v>
      </c>
      <c r="U151" s="2" t="s">
        <v>520</v>
      </c>
      <c r="V151" s="2" t="s">
        <v>374</v>
      </c>
      <c r="W151" s="2" t="s">
        <v>269</v>
      </c>
      <c r="X151" s="2" t="s">
        <v>228</v>
      </c>
      <c r="Y151" s="2" t="s">
        <v>1091</v>
      </c>
      <c r="Z151" s="4">
        <v>90</v>
      </c>
      <c r="AA151" s="4">
        <f>=ROUNDDOWN(21.4285714285714,0)</f>
      </c>
      <c r="AB151" s="5">
        <v>4.2</v>
      </c>
      <c r="AC151" s="2" t="s">
        <v>228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228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/>
      <c r="AW151" s="8"/>
      <c r="AX151" s="4"/>
      <c r="AY151" s="8"/>
      <c r="AZ151" s="7"/>
      <c r="BA151" s="7"/>
      <c r="BB151" s="7"/>
      <c r="BC151" s="4" t="s">
        <v>228</v>
      </c>
      <c r="BD151" s="8" t="s">
        <v>228</v>
      </c>
      <c r="BE151" s="4" t="s">
        <v>228</v>
      </c>
      <c r="BF151" s="8" t="s">
        <v>228</v>
      </c>
      <c r="BG151" s="7" t="s">
        <v>228</v>
      </c>
      <c r="BH151" s="7" t="s">
        <v>228</v>
      </c>
      <c r="BI151" s="7"/>
      <c r="BJ151" s="4">
        <v>17</v>
      </c>
      <c r="BK151" s="8">
        <v>283.51</v>
      </c>
      <c r="BL151" s="2" t="s">
        <v>1098</v>
      </c>
      <c r="BM151" s="7"/>
      <c r="BN151" s="7"/>
      <c r="BO151" s="4"/>
      <c r="BP151" s="8"/>
      <c r="BQ151" s="4"/>
      <c r="BR151" s="8"/>
      <c r="BS151" s="7"/>
      <c r="BT151" s="7"/>
      <c r="BU151" s="2" t="s">
        <v>1099</v>
      </c>
      <c r="BV151" s="2" t="s">
        <v>228</v>
      </c>
      <c r="BW151" s="2" t="s">
        <v>228</v>
      </c>
      <c r="BX151" s="2" t="s">
        <v>337</v>
      </c>
      <c r="BY151" s="2" t="s">
        <v>274</v>
      </c>
      <c r="BZ151" s="2" t="s">
        <v>240</v>
      </c>
      <c r="CA151" s="2" t="s">
        <v>1094</v>
      </c>
      <c r="CB151" s="2" t="s">
        <v>504</v>
      </c>
      <c r="CC151" s="2" t="s">
        <v>241</v>
      </c>
      <c r="CD151" s="2" t="s">
        <v>228</v>
      </c>
      <c r="CE151" s="4">
        <v>90</v>
      </c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</row>
    <row r="152">
      <c r="A152" s="2" t="s">
        <v>1100</v>
      </c>
      <c r="B152" s="2" t="s">
        <v>834</v>
      </c>
      <c r="C152" s="2" t="s">
        <v>835</v>
      </c>
      <c r="D152" s="2" t="s">
        <v>1101</v>
      </c>
      <c r="E152" s="2" t="s">
        <v>1102</v>
      </c>
      <c r="F152" s="2" t="s">
        <v>1103</v>
      </c>
      <c r="G152" s="2" t="s">
        <v>1103</v>
      </c>
      <c r="H152" s="2" t="s">
        <v>1103</v>
      </c>
      <c r="I152" s="2" t="s">
        <v>1104</v>
      </c>
      <c r="J152" s="2" t="s">
        <v>840</v>
      </c>
      <c r="K152" s="2" t="s">
        <v>1105</v>
      </c>
      <c r="L152" s="3">
        <v>24.5</v>
      </c>
      <c r="M152" s="3">
        <v>25.73</v>
      </c>
      <c r="N152" s="3">
        <v>49.99</v>
      </c>
      <c r="O152" s="2" t="s">
        <v>240</v>
      </c>
      <c r="P152" s="2" t="s">
        <v>233</v>
      </c>
      <c r="Q152" s="2" t="s">
        <v>234</v>
      </c>
      <c r="R152" s="2" t="s">
        <v>228</v>
      </c>
      <c r="S152" s="2" t="s">
        <v>228</v>
      </c>
      <c r="T152" s="2" t="s">
        <v>228</v>
      </c>
      <c r="U152" s="2" t="s">
        <v>416</v>
      </c>
      <c r="V152" s="2" t="s">
        <v>842</v>
      </c>
      <c r="W152" s="2" t="s">
        <v>269</v>
      </c>
      <c r="X152" s="2" t="s">
        <v>417</v>
      </c>
      <c r="Y152" s="2" t="s">
        <v>1106</v>
      </c>
      <c r="Z152" s="4">
        <v>94</v>
      </c>
      <c r="AA152" s="4">
        <f>=ROUNDDOWN(47,0)</f>
      </c>
      <c r="AB152" s="5">
        <v>2</v>
      </c>
      <c r="AC152" s="2" t="s">
        <v>228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228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/>
      <c r="AW152" s="8"/>
      <c r="AX152" s="4"/>
      <c r="AY152" s="8"/>
      <c r="AZ152" s="7"/>
      <c r="BA152" s="7"/>
      <c r="BB152" s="7"/>
      <c r="BC152" s="4"/>
      <c r="BD152" s="8"/>
      <c r="BE152" s="4"/>
      <c r="BF152" s="8"/>
      <c r="BG152" s="7"/>
      <c r="BH152" s="7"/>
      <c r="BI152" s="7"/>
      <c r="BJ152" s="4">
        <v>4</v>
      </c>
      <c r="BK152" s="8">
        <v>111.64</v>
      </c>
      <c r="BL152" s="2" t="s">
        <v>1107</v>
      </c>
      <c r="BM152" s="7"/>
      <c r="BN152" s="7"/>
      <c r="BO152" s="4"/>
      <c r="BP152" s="8"/>
      <c r="BQ152" s="4"/>
      <c r="BR152" s="8"/>
      <c r="BS152" s="7"/>
      <c r="BT152" s="7"/>
      <c r="BU152" s="2" t="s">
        <v>1108</v>
      </c>
      <c r="BV152" s="2" t="s">
        <v>228</v>
      </c>
      <c r="BW152" s="2" t="s">
        <v>228</v>
      </c>
      <c r="BX152" s="2" t="s">
        <v>273</v>
      </c>
      <c r="BY152" s="2" t="s">
        <v>274</v>
      </c>
      <c r="BZ152" s="2" t="s">
        <v>240</v>
      </c>
      <c r="CA152" s="2" t="s">
        <v>1109</v>
      </c>
      <c r="CB152" s="2" t="s">
        <v>228</v>
      </c>
      <c r="CC152" s="2" t="s">
        <v>241</v>
      </c>
      <c r="CD152" s="2" t="s">
        <v>228</v>
      </c>
      <c r="CE152" s="4"/>
      <c r="CF152" s="4">
        <v>94</v>
      </c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</row>
    <row r="153">
      <c r="A153" s="2" t="s">
        <v>1110</v>
      </c>
      <c r="B153" s="2" t="s">
        <v>848</v>
      </c>
      <c r="C153" s="2" t="s">
        <v>1111</v>
      </c>
      <c r="D153" s="2" t="s">
        <v>1112</v>
      </c>
      <c r="E153" s="2" t="s">
        <v>1113</v>
      </c>
      <c r="F153" s="2" t="s">
        <v>1114</v>
      </c>
      <c r="G153" s="2" t="s">
        <v>1114</v>
      </c>
      <c r="H153" s="2" t="s">
        <v>1114</v>
      </c>
      <c r="I153" s="2" t="s">
        <v>1115</v>
      </c>
      <c r="J153" s="2" t="s">
        <v>856</v>
      </c>
      <c r="K153" s="2" t="s">
        <v>249</v>
      </c>
      <c r="L153" s="3">
        <v>38.64</v>
      </c>
      <c r="M153" s="3">
        <v>40.57</v>
      </c>
      <c r="N153" s="3">
        <v>64.99</v>
      </c>
      <c r="O153" s="2" t="s">
        <v>461</v>
      </c>
      <c r="P153" s="2" t="s">
        <v>1116</v>
      </c>
      <c r="Q153" s="2" t="s">
        <v>234</v>
      </c>
      <c r="R153" s="2" t="s">
        <v>727</v>
      </c>
      <c r="S153" s="2" t="s">
        <v>228</v>
      </c>
      <c r="T153" s="2" t="s">
        <v>228</v>
      </c>
      <c r="U153" s="2" t="s">
        <v>500</v>
      </c>
      <c r="V153" s="2" t="s">
        <v>842</v>
      </c>
      <c r="W153" s="2" t="s">
        <v>228</v>
      </c>
      <c r="X153" s="2" t="s">
        <v>228</v>
      </c>
      <c r="Y153" s="2" t="s">
        <v>1117</v>
      </c>
      <c r="Z153" s="4">
        <v>1207</v>
      </c>
      <c r="AA153" s="4">
        <f>=ROUNDDOWN(3017.5,0)</f>
      </c>
      <c r="AB153" s="5">
        <v>0.4</v>
      </c>
      <c r="AC153" s="2" t="s">
        <v>228</v>
      </c>
      <c r="AD153" s="4"/>
      <c r="AE153" s="4"/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228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/>
      <c r="AW153" s="8"/>
      <c r="AX153" s="4"/>
      <c r="AY153" s="8"/>
      <c r="AZ153" s="7"/>
      <c r="BA153" s="7"/>
      <c r="BB153" s="7"/>
      <c r="BC153" s="4"/>
      <c r="BD153" s="8"/>
      <c r="BE153" s="4"/>
      <c r="BF153" s="8"/>
      <c r="BG153" s="7"/>
      <c r="BH153" s="7"/>
      <c r="BI153" s="7"/>
      <c r="BJ153" s="4">
        <v>1</v>
      </c>
      <c r="BK153" s="8">
        <v>45.99</v>
      </c>
      <c r="BL153" s="2" t="s">
        <v>1118</v>
      </c>
      <c r="BM153" s="7"/>
      <c r="BN153" s="7"/>
      <c r="BO153" s="4"/>
      <c r="BP153" s="8"/>
      <c r="BQ153" s="4"/>
      <c r="BR153" s="8"/>
      <c r="BS153" s="7"/>
      <c r="BT153" s="7"/>
      <c r="BU153" s="2" t="s">
        <v>1119</v>
      </c>
      <c r="BV153" s="2" t="s">
        <v>228</v>
      </c>
      <c r="BW153" s="2" t="s">
        <v>228</v>
      </c>
      <c r="BX153" s="2" t="s">
        <v>273</v>
      </c>
      <c r="BY153" s="2" t="s">
        <v>274</v>
      </c>
      <c r="BZ153" s="2" t="s">
        <v>240</v>
      </c>
      <c r="CA153" s="2" t="s">
        <v>947</v>
      </c>
      <c r="CB153" s="2" t="s">
        <v>228</v>
      </c>
      <c r="CC153" s="2" t="s">
        <v>241</v>
      </c>
      <c r="CD153" s="2" t="s">
        <v>228</v>
      </c>
      <c r="CE153" s="4">
        <v>1207</v>
      </c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</row>
    <row r="154">
      <c r="A154" s="2" t="s">
        <v>1120</v>
      </c>
      <c r="B154" s="2" t="s">
        <v>970</v>
      </c>
      <c r="C154" s="2" t="s">
        <v>849</v>
      </c>
      <c r="D154" s="2" t="s">
        <v>971</v>
      </c>
      <c r="E154" s="2" t="s">
        <v>1121</v>
      </c>
      <c r="F154" s="2" t="s">
        <v>1122</v>
      </c>
      <c r="G154" s="2" t="s">
        <v>1123</v>
      </c>
      <c r="H154" s="2" t="s">
        <v>1124</v>
      </c>
      <c r="I154" s="2" t="s">
        <v>1125</v>
      </c>
      <c r="J154" s="2" t="s">
        <v>1126</v>
      </c>
      <c r="K154" s="2" t="s">
        <v>978</v>
      </c>
      <c r="L154" s="3">
        <v>18.8</v>
      </c>
      <c r="M154" s="3">
        <v>19.74</v>
      </c>
      <c r="N154" s="3">
        <v>39.99</v>
      </c>
      <c r="O154" s="2" t="s">
        <v>461</v>
      </c>
      <c r="P154" s="2" t="s">
        <v>333</v>
      </c>
      <c r="Q154" s="2" t="s">
        <v>234</v>
      </c>
      <c r="R154" s="2" t="s">
        <v>228</v>
      </c>
      <c r="S154" s="2" t="s">
        <v>1127</v>
      </c>
      <c r="T154" s="2" t="s">
        <v>228</v>
      </c>
      <c r="U154" s="2" t="s">
        <v>228</v>
      </c>
      <c r="V154" s="2" t="s">
        <v>980</v>
      </c>
      <c r="W154" s="2" t="s">
        <v>417</v>
      </c>
      <c r="X154" s="2" t="s">
        <v>228</v>
      </c>
      <c r="Y154" s="2" t="s">
        <v>270</v>
      </c>
      <c r="Z154" s="4">
        <v>325</v>
      </c>
      <c r="AA154" s="4">
        <f>=ROUNDDOWN(120.37037037037,0)</f>
      </c>
      <c r="AB154" s="5">
        <v>2.7</v>
      </c>
      <c r="AC154" s="2" t="s">
        <v>228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228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/>
      <c r="AW154" s="8"/>
      <c r="AX154" s="4"/>
      <c r="AY154" s="8"/>
      <c r="AZ154" s="7"/>
      <c r="BA154" s="7"/>
      <c r="BB154" s="7"/>
      <c r="BC154" s="4" t="s">
        <v>228</v>
      </c>
      <c r="BD154" s="8" t="s">
        <v>228</v>
      </c>
      <c r="BE154" s="4" t="s">
        <v>228</v>
      </c>
      <c r="BF154" s="8" t="s">
        <v>228</v>
      </c>
      <c r="BG154" s="7" t="s">
        <v>228</v>
      </c>
      <c r="BH154" s="7" t="s">
        <v>228</v>
      </c>
      <c r="BI154" s="7"/>
      <c r="BJ154" s="4">
        <v>6</v>
      </c>
      <c r="BK154" s="8">
        <v>156.58</v>
      </c>
      <c r="BL154" s="2" t="s">
        <v>1128</v>
      </c>
      <c r="BM154" s="7"/>
      <c r="BN154" s="7"/>
      <c r="BO154" s="4"/>
      <c r="BP154" s="8"/>
      <c r="BQ154" s="4"/>
      <c r="BR154" s="8"/>
      <c r="BS154" s="7"/>
      <c r="BT154" s="7"/>
      <c r="BU154" s="2" t="s">
        <v>1129</v>
      </c>
      <c r="BV154" s="2" t="s">
        <v>228</v>
      </c>
      <c r="BW154" s="2" t="s">
        <v>228</v>
      </c>
      <c r="BX154" s="2" t="s">
        <v>337</v>
      </c>
      <c r="BY154" s="2" t="s">
        <v>274</v>
      </c>
      <c r="BZ154" s="2" t="s">
        <v>240</v>
      </c>
      <c r="CA154" s="2" t="s">
        <v>275</v>
      </c>
      <c r="CB154" s="2" t="s">
        <v>1130</v>
      </c>
      <c r="CC154" s="2" t="s">
        <v>241</v>
      </c>
      <c r="CD154" s="2" t="s">
        <v>228</v>
      </c>
      <c r="CE154" s="4">
        <v>325</v>
      </c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</row>
    <row r="155">
      <c r="A155" s="2" t="s">
        <v>1131</v>
      </c>
      <c r="B155" s="2" t="s">
        <v>970</v>
      </c>
      <c r="C155" s="2" t="s">
        <v>849</v>
      </c>
      <c r="D155" s="2" t="s">
        <v>971</v>
      </c>
      <c r="E155" s="2" t="s">
        <v>1121</v>
      </c>
      <c r="F155" s="2" t="s">
        <v>1122</v>
      </c>
      <c r="G155" s="2" t="s">
        <v>1123</v>
      </c>
      <c r="H155" s="2" t="s">
        <v>1124</v>
      </c>
      <c r="I155" s="2" t="s">
        <v>1125</v>
      </c>
      <c r="J155" s="2" t="s">
        <v>1126</v>
      </c>
      <c r="K155" s="2" t="s">
        <v>1077</v>
      </c>
      <c r="L155" s="3">
        <v>18.8</v>
      </c>
      <c r="M155" s="3">
        <v>19.74</v>
      </c>
      <c r="N155" s="3">
        <v>39.99</v>
      </c>
      <c r="O155" s="2" t="s">
        <v>461</v>
      </c>
      <c r="P155" s="2" t="s">
        <v>333</v>
      </c>
      <c r="Q155" s="2" t="s">
        <v>234</v>
      </c>
      <c r="R155" s="2" t="s">
        <v>228</v>
      </c>
      <c r="S155" s="2" t="s">
        <v>1132</v>
      </c>
      <c r="T155" s="2" t="s">
        <v>228</v>
      </c>
      <c r="U155" s="2" t="s">
        <v>228</v>
      </c>
      <c r="V155" s="2" t="s">
        <v>980</v>
      </c>
      <c r="W155" s="2" t="s">
        <v>417</v>
      </c>
      <c r="X155" s="2" t="s">
        <v>228</v>
      </c>
      <c r="Y155" s="2" t="s">
        <v>270</v>
      </c>
      <c r="Z155" s="4">
        <v>1550</v>
      </c>
      <c r="AA155" s="4">
        <f>=ROUNDDOWN(316.326530612245,0)</f>
      </c>
      <c r="AB155" s="5">
        <v>4.9</v>
      </c>
      <c r="AC155" s="2" t="s">
        <v>228</v>
      </c>
      <c r="AD155" s="4"/>
      <c r="AE155" s="4"/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228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228</v>
      </c>
      <c r="AW155" s="8" t="s">
        <v>228</v>
      </c>
      <c r="AX155" s="4" t="s">
        <v>228</v>
      </c>
      <c r="AY155" s="8" t="s">
        <v>228</v>
      </c>
      <c r="AZ155" s="7" t="s">
        <v>228</v>
      </c>
      <c r="BA155" s="7" t="s">
        <v>228</v>
      </c>
      <c r="BB155" s="7"/>
      <c r="BC155" s="4" t="s">
        <v>228</v>
      </c>
      <c r="BD155" s="8" t="s">
        <v>228</v>
      </c>
      <c r="BE155" s="4" t="s">
        <v>228</v>
      </c>
      <c r="BF155" s="8" t="s">
        <v>228</v>
      </c>
      <c r="BG155" s="7" t="s">
        <v>228</v>
      </c>
      <c r="BH155" s="7" t="s">
        <v>228</v>
      </c>
      <c r="BI155" s="7"/>
      <c r="BJ155" s="4">
        <v>19</v>
      </c>
      <c r="BK155" s="8">
        <v>347.69</v>
      </c>
      <c r="BL155" s="2" t="s">
        <v>1133</v>
      </c>
      <c r="BM155" s="7"/>
      <c r="BN155" s="7"/>
      <c r="BO155" s="4"/>
      <c r="BP155" s="8"/>
      <c r="BQ155" s="4"/>
      <c r="BR155" s="8"/>
      <c r="BS155" s="7"/>
      <c r="BT155" s="7"/>
      <c r="BU155" s="2" t="s">
        <v>1134</v>
      </c>
      <c r="BV155" s="2" t="s">
        <v>228</v>
      </c>
      <c r="BW155" s="2" t="s">
        <v>228</v>
      </c>
      <c r="BX155" s="2" t="s">
        <v>337</v>
      </c>
      <c r="BY155" s="2" t="s">
        <v>274</v>
      </c>
      <c r="BZ155" s="2" t="s">
        <v>240</v>
      </c>
      <c r="CA155" s="2" t="s">
        <v>275</v>
      </c>
      <c r="CB155" s="2" t="s">
        <v>1135</v>
      </c>
      <c r="CC155" s="2" t="s">
        <v>241</v>
      </c>
      <c r="CD155" s="2" t="s">
        <v>228</v>
      </c>
      <c r="CE155" s="4">
        <v>1550</v>
      </c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</row>
    <row r="156">
      <c r="A156" s="2" t="s">
        <v>1136</v>
      </c>
      <c r="B156" s="2" t="s">
        <v>970</v>
      </c>
      <c r="C156" s="2" t="s">
        <v>849</v>
      </c>
      <c r="D156" s="2" t="s">
        <v>971</v>
      </c>
      <c r="E156" s="2" t="s">
        <v>1121</v>
      </c>
      <c r="F156" s="2" t="s">
        <v>1122</v>
      </c>
      <c r="G156" s="2" t="s">
        <v>1123</v>
      </c>
      <c r="H156" s="2" t="s">
        <v>1124</v>
      </c>
      <c r="I156" s="2" t="s">
        <v>1125</v>
      </c>
      <c r="J156" s="2" t="s">
        <v>1137</v>
      </c>
      <c r="K156" s="2" t="s">
        <v>1077</v>
      </c>
      <c r="L156" s="3">
        <v>20</v>
      </c>
      <c r="M156" s="3">
        <v>20.99</v>
      </c>
      <c r="N156" s="3">
        <v>39.99</v>
      </c>
      <c r="O156" s="2" t="s">
        <v>461</v>
      </c>
      <c r="P156" s="2" t="s">
        <v>333</v>
      </c>
      <c r="Q156" s="2" t="s">
        <v>234</v>
      </c>
      <c r="R156" s="2" t="s">
        <v>228</v>
      </c>
      <c r="S156" s="2" t="s">
        <v>1132</v>
      </c>
      <c r="T156" s="2" t="s">
        <v>228</v>
      </c>
      <c r="U156" s="2" t="s">
        <v>228</v>
      </c>
      <c r="V156" s="2" t="s">
        <v>980</v>
      </c>
      <c r="W156" s="2" t="s">
        <v>417</v>
      </c>
      <c r="X156" s="2" t="s">
        <v>228</v>
      </c>
      <c r="Y156" s="2" t="s">
        <v>270</v>
      </c>
      <c r="Z156" s="4">
        <v>1248</v>
      </c>
      <c r="AA156" s="4">
        <f>=ROUNDDOWN(156,0)</f>
      </c>
      <c r="AB156" s="5">
        <v>8</v>
      </c>
      <c r="AC156" s="2" t="s">
        <v>228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228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228</v>
      </c>
      <c r="AW156" s="8" t="s">
        <v>228</v>
      </c>
      <c r="AX156" s="4" t="s">
        <v>228</v>
      </c>
      <c r="AY156" s="8" t="s">
        <v>228</v>
      </c>
      <c r="AZ156" s="7" t="s">
        <v>228</v>
      </c>
      <c r="BA156" s="7" t="s">
        <v>228</v>
      </c>
      <c r="BB156" s="7"/>
      <c r="BC156" s="4" t="s">
        <v>228</v>
      </c>
      <c r="BD156" s="8" t="s">
        <v>228</v>
      </c>
      <c r="BE156" s="4" t="s">
        <v>228</v>
      </c>
      <c r="BF156" s="8" t="s">
        <v>228</v>
      </c>
      <c r="BG156" s="7" t="s">
        <v>228</v>
      </c>
      <c r="BH156" s="7" t="s">
        <v>228</v>
      </c>
      <c r="BI156" s="7"/>
      <c r="BJ156" s="4">
        <v>8</v>
      </c>
      <c r="BK156" s="8">
        <v>174.98</v>
      </c>
      <c r="BL156" s="2" t="s">
        <v>1138</v>
      </c>
      <c r="BM156" s="7"/>
      <c r="BN156" s="7"/>
      <c r="BO156" s="4"/>
      <c r="BP156" s="8"/>
      <c r="BQ156" s="4"/>
      <c r="BR156" s="8"/>
      <c r="BS156" s="7"/>
      <c r="BT156" s="7"/>
      <c r="BU156" s="2" t="s">
        <v>1139</v>
      </c>
      <c r="BV156" s="2" t="s">
        <v>228</v>
      </c>
      <c r="BW156" s="2" t="s">
        <v>228</v>
      </c>
      <c r="BX156" s="2" t="s">
        <v>337</v>
      </c>
      <c r="BY156" s="2" t="s">
        <v>274</v>
      </c>
      <c r="BZ156" s="2" t="s">
        <v>240</v>
      </c>
      <c r="CA156" s="2" t="s">
        <v>275</v>
      </c>
      <c r="CB156" s="2" t="s">
        <v>1140</v>
      </c>
      <c r="CC156" s="2" t="s">
        <v>241</v>
      </c>
      <c r="CD156" s="2" t="s">
        <v>228</v>
      </c>
      <c r="CE156" s="4">
        <v>1248</v>
      </c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</row>
    <row r="157">
      <c r="A157" s="2" t="s">
        <v>1141</v>
      </c>
      <c r="B157" s="2" t="s">
        <v>834</v>
      </c>
      <c r="C157" s="2" t="s">
        <v>1142</v>
      </c>
      <c r="D157" s="2" t="s">
        <v>836</v>
      </c>
      <c r="E157" s="2" t="s">
        <v>837</v>
      </c>
      <c r="F157" s="2" t="s">
        <v>1143</v>
      </c>
      <c r="G157" s="2" t="s">
        <v>1143</v>
      </c>
      <c r="H157" s="2" t="s">
        <v>1143</v>
      </c>
      <c r="I157" s="2" t="s">
        <v>1144</v>
      </c>
      <c r="J157" s="2" t="s">
        <v>840</v>
      </c>
      <c r="K157" s="2" t="s">
        <v>1145</v>
      </c>
      <c r="L157" s="3">
        <v>113.4</v>
      </c>
      <c r="M157" s="3">
        <v>119.07</v>
      </c>
      <c r="N157" s="3">
        <v>269.99</v>
      </c>
      <c r="O157" s="2" t="s">
        <v>461</v>
      </c>
      <c r="P157" s="2" t="s">
        <v>333</v>
      </c>
      <c r="Q157" s="2" t="s">
        <v>234</v>
      </c>
      <c r="R157" s="2" t="s">
        <v>228</v>
      </c>
      <c r="S157" s="2" t="s">
        <v>228</v>
      </c>
      <c r="T157" s="2" t="s">
        <v>228</v>
      </c>
      <c r="U157" s="2" t="s">
        <v>416</v>
      </c>
      <c r="V157" s="2" t="s">
        <v>842</v>
      </c>
      <c r="W157" s="2" t="s">
        <v>417</v>
      </c>
      <c r="X157" s="2" t="s">
        <v>228</v>
      </c>
      <c r="Y157" s="2" t="s">
        <v>1146</v>
      </c>
      <c r="Z157" s="4">
        <v>91</v>
      </c>
      <c r="AA157" s="4">
        <f>=ROUNDDOWN({0},0)</f>
      </c>
      <c r="AB157" s="5"/>
      <c r="AC157" s="2" t="s">
        <v>228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228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 t="s">
        <v>228</v>
      </c>
      <c r="BD157" s="8" t="s">
        <v>228</v>
      </c>
      <c r="BE157" s="4" t="s">
        <v>228</v>
      </c>
      <c r="BF157" s="8" t="s">
        <v>228</v>
      </c>
      <c r="BG157" s="7" t="s">
        <v>228</v>
      </c>
      <c r="BH157" s="7" t="s">
        <v>228</v>
      </c>
      <c r="BI157" s="7"/>
      <c r="BJ157" s="4"/>
      <c r="BK157" s="8"/>
      <c r="BL157" s="2" t="s">
        <v>228</v>
      </c>
      <c r="BM157" s="7"/>
      <c r="BN157" s="7"/>
      <c r="BO157" s="4"/>
      <c r="BP157" s="8"/>
      <c r="BQ157" s="4"/>
      <c r="BR157" s="8"/>
      <c r="BS157" s="7"/>
      <c r="BT157" s="7"/>
      <c r="BU157" s="2" t="s">
        <v>1147</v>
      </c>
      <c r="BV157" s="2" t="s">
        <v>228</v>
      </c>
      <c r="BW157" s="2" t="s">
        <v>228</v>
      </c>
      <c r="BX157" s="2" t="s">
        <v>337</v>
      </c>
      <c r="BY157" s="2" t="s">
        <v>274</v>
      </c>
      <c r="BZ157" s="2" t="s">
        <v>240</v>
      </c>
      <c r="CA157" s="2" t="s">
        <v>1148</v>
      </c>
      <c r="CB157" s="2" t="s">
        <v>228</v>
      </c>
      <c r="CC157" s="2" t="s">
        <v>241</v>
      </c>
      <c r="CD157" s="2" t="s">
        <v>228</v>
      </c>
      <c r="CE157" s="4"/>
      <c r="CF157" s="4">
        <v>91</v>
      </c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</row>
    <row r="158">
      <c r="A158" s="2" t="s">
        <v>1149</v>
      </c>
      <c r="B158" s="2" t="s">
        <v>1150</v>
      </c>
      <c r="C158" s="2" t="s">
        <v>345</v>
      </c>
      <c r="D158" s="2" t="s">
        <v>1112</v>
      </c>
      <c r="E158" s="2" t="s">
        <v>1151</v>
      </c>
      <c r="F158" s="2" t="s">
        <v>1143</v>
      </c>
      <c r="G158" s="2" t="s">
        <v>1152</v>
      </c>
      <c r="H158" s="2" t="s">
        <v>1153</v>
      </c>
      <c r="I158" s="2" t="s">
        <v>1154</v>
      </c>
      <c r="J158" s="2" t="s">
        <v>264</v>
      </c>
      <c r="K158" s="2" t="s">
        <v>265</v>
      </c>
      <c r="L158" s="3">
        <v>24</v>
      </c>
      <c r="M158" s="3">
        <v>25.2</v>
      </c>
      <c r="N158" s="3">
        <v>49.99</v>
      </c>
      <c r="O158" s="2" t="s">
        <v>240</v>
      </c>
      <c r="P158" s="2" t="s">
        <v>233</v>
      </c>
      <c r="Q158" s="2" t="s">
        <v>234</v>
      </c>
      <c r="R158" s="2" t="s">
        <v>228</v>
      </c>
      <c r="S158" s="2" t="s">
        <v>1155</v>
      </c>
      <c r="T158" s="2" t="s">
        <v>415</v>
      </c>
      <c r="U158" s="2" t="s">
        <v>1054</v>
      </c>
      <c r="V158" s="2" t="s">
        <v>1156</v>
      </c>
      <c r="W158" s="2" t="s">
        <v>269</v>
      </c>
      <c r="X158" s="2" t="s">
        <v>417</v>
      </c>
      <c r="Y158" s="2" t="s">
        <v>1157</v>
      </c>
      <c r="Z158" s="4">
        <v>258</v>
      </c>
      <c r="AA158" s="4">
        <f>=ROUNDDOWN(17.2,0)</f>
      </c>
      <c r="AB158" s="5">
        <v>15</v>
      </c>
      <c r="AC158" s="2" t="s">
        <v>1158</v>
      </c>
      <c r="AD158" s="4">
        <v>120</v>
      </c>
      <c r="AE158" s="4">
        <v>120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228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228</v>
      </c>
      <c r="AW158" s="8" t="s">
        <v>228</v>
      </c>
      <c r="AX158" s="4" t="s">
        <v>228</v>
      </c>
      <c r="AY158" s="8" t="s">
        <v>228</v>
      </c>
      <c r="AZ158" s="7" t="s">
        <v>228</v>
      </c>
      <c r="BA158" s="7" t="s">
        <v>228</v>
      </c>
      <c r="BB158" s="7"/>
      <c r="BC158" s="4" t="s">
        <v>228</v>
      </c>
      <c r="BD158" s="8" t="s">
        <v>228</v>
      </c>
      <c r="BE158" s="4" t="s">
        <v>228</v>
      </c>
      <c r="BF158" s="8" t="s">
        <v>228</v>
      </c>
      <c r="BG158" s="7" t="s">
        <v>228</v>
      </c>
      <c r="BH158" s="7" t="s">
        <v>228</v>
      </c>
      <c r="BI158" s="7"/>
      <c r="BJ158" s="4">
        <v>10</v>
      </c>
      <c r="BK158" s="8">
        <v>264.12</v>
      </c>
      <c r="BL158" s="2" t="s">
        <v>521</v>
      </c>
      <c r="BM158" s="7"/>
      <c r="BN158" s="7"/>
      <c r="BO158" s="4"/>
      <c r="BP158" s="8"/>
      <c r="BQ158" s="4"/>
      <c r="BR158" s="8"/>
      <c r="BS158" s="7"/>
      <c r="BT158" s="7"/>
      <c r="BU158" s="2" t="s">
        <v>1159</v>
      </c>
      <c r="BV158" s="2" t="s">
        <v>228</v>
      </c>
      <c r="BW158" s="2" t="s">
        <v>228</v>
      </c>
      <c r="BX158" s="2" t="s">
        <v>238</v>
      </c>
      <c r="BY158" s="2" t="s">
        <v>274</v>
      </c>
      <c r="BZ158" s="2" t="s">
        <v>240</v>
      </c>
      <c r="CA158" s="2" t="s">
        <v>1160</v>
      </c>
      <c r="CB158" s="2" t="s">
        <v>228</v>
      </c>
      <c r="CC158" s="2" t="s">
        <v>241</v>
      </c>
      <c r="CD158" s="2" t="s">
        <v>228</v>
      </c>
      <c r="CE158" s="4">
        <v>258</v>
      </c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>
        <v>120</v>
      </c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</row>
    <row r="159">
      <c r="A159" s="2" t="s">
        <v>1161</v>
      </c>
      <c r="B159" s="2" t="s">
        <v>1150</v>
      </c>
      <c r="C159" s="2" t="s">
        <v>345</v>
      </c>
      <c r="D159" s="2" t="s">
        <v>1112</v>
      </c>
      <c r="E159" s="2" t="s">
        <v>1151</v>
      </c>
      <c r="F159" s="2" t="s">
        <v>1143</v>
      </c>
      <c r="G159" s="2" t="s">
        <v>1152</v>
      </c>
      <c r="H159" s="2" t="s">
        <v>1153</v>
      </c>
      <c r="I159" s="2" t="s">
        <v>1154</v>
      </c>
      <c r="J159" s="2" t="s">
        <v>294</v>
      </c>
      <c r="K159" s="2" t="s">
        <v>265</v>
      </c>
      <c r="L159" s="3">
        <v>33.6</v>
      </c>
      <c r="M159" s="3">
        <v>35.28</v>
      </c>
      <c r="N159" s="3">
        <v>69.99</v>
      </c>
      <c r="O159" s="2" t="s">
        <v>240</v>
      </c>
      <c r="P159" s="2" t="s">
        <v>233</v>
      </c>
      <c r="Q159" s="2" t="s">
        <v>234</v>
      </c>
      <c r="R159" s="2" t="s">
        <v>228</v>
      </c>
      <c r="S159" s="2" t="s">
        <v>1155</v>
      </c>
      <c r="T159" s="2" t="s">
        <v>415</v>
      </c>
      <c r="U159" s="2" t="s">
        <v>1162</v>
      </c>
      <c r="V159" s="2" t="s">
        <v>1156</v>
      </c>
      <c r="W159" s="2" t="s">
        <v>269</v>
      </c>
      <c r="X159" s="2" t="s">
        <v>417</v>
      </c>
      <c r="Y159" s="2" t="s">
        <v>1157</v>
      </c>
      <c r="Z159" s="4">
        <v>284</v>
      </c>
      <c r="AA159" s="4">
        <f>=ROUNDDOWN(11.8333333333333,0)</f>
      </c>
      <c r="AB159" s="5">
        <v>24</v>
      </c>
      <c r="AC159" s="2" t="s">
        <v>1158</v>
      </c>
      <c r="AD159" s="4">
        <v>140</v>
      </c>
      <c r="AE159" s="4">
        <v>140</v>
      </c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228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228</v>
      </c>
      <c r="AW159" s="8" t="s">
        <v>228</v>
      </c>
      <c r="AX159" s="4" t="s">
        <v>228</v>
      </c>
      <c r="AY159" s="8" t="s">
        <v>228</v>
      </c>
      <c r="AZ159" s="7" t="s">
        <v>228</v>
      </c>
      <c r="BA159" s="7" t="s">
        <v>228</v>
      </c>
      <c r="BB159" s="7"/>
      <c r="BC159" s="4" t="s">
        <v>228</v>
      </c>
      <c r="BD159" s="8" t="s">
        <v>228</v>
      </c>
      <c r="BE159" s="4" t="s">
        <v>228</v>
      </c>
      <c r="BF159" s="8" t="s">
        <v>228</v>
      </c>
      <c r="BG159" s="7" t="s">
        <v>228</v>
      </c>
      <c r="BH159" s="7" t="s">
        <v>228</v>
      </c>
      <c r="BI159" s="7"/>
      <c r="BJ159" s="4">
        <v>9</v>
      </c>
      <c r="BK159" s="8">
        <v>342.9</v>
      </c>
      <c r="BL159" s="2" t="s">
        <v>622</v>
      </c>
      <c r="BM159" s="7"/>
      <c r="BN159" s="7"/>
      <c r="BO159" s="4"/>
      <c r="BP159" s="8"/>
      <c r="BQ159" s="4"/>
      <c r="BR159" s="8"/>
      <c r="BS159" s="7"/>
      <c r="BT159" s="7"/>
      <c r="BU159" s="2" t="s">
        <v>1163</v>
      </c>
      <c r="BV159" s="2" t="s">
        <v>228</v>
      </c>
      <c r="BW159" s="2" t="s">
        <v>228</v>
      </c>
      <c r="BX159" s="2" t="s">
        <v>238</v>
      </c>
      <c r="BY159" s="2" t="s">
        <v>274</v>
      </c>
      <c r="BZ159" s="2" t="s">
        <v>240</v>
      </c>
      <c r="CA159" s="2" t="s">
        <v>1160</v>
      </c>
      <c r="CB159" s="2" t="s">
        <v>228</v>
      </c>
      <c r="CC159" s="2" t="s">
        <v>241</v>
      </c>
      <c r="CD159" s="2" t="s">
        <v>228</v>
      </c>
      <c r="CE159" s="4">
        <v>284</v>
      </c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>
        <v>140</v>
      </c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</row>
    <row r="160">
      <c r="A160" s="2" t="s">
        <v>1164</v>
      </c>
      <c r="B160" s="2" t="s">
        <v>1150</v>
      </c>
      <c r="C160" s="2" t="s">
        <v>300</v>
      </c>
      <c r="D160" s="2" t="s">
        <v>1112</v>
      </c>
      <c r="E160" s="2" t="s">
        <v>1165</v>
      </c>
      <c r="F160" s="2" t="s">
        <v>1166</v>
      </c>
      <c r="G160" s="2" t="s">
        <v>1167</v>
      </c>
      <c r="H160" s="2" t="s">
        <v>1051</v>
      </c>
      <c r="I160" s="2" t="s">
        <v>1168</v>
      </c>
      <c r="J160" s="2" t="s">
        <v>1043</v>
      </c>
      <c r="K160" s="2" t="s">
        <v>265</v>
      </c>
      <c r="L160" s="3">
        <v>76.19</v>
      </c>
      <c r="M160" s="3">
        <v>80</v>
      </c>
      <c r="N160" s="3">
        <v>159.99</v>
      </c>
      <c r="O160" s="2" t="s">
        <v>240</v>
      </c>
      <c r="P160" s="2" t="s">
        <v>333</v>
      </c>
      <c r="Q160" s="2" t="s">
        <v>234</v>
      </c>
      <c r="R160" s="2" t="s">
        <v>228</v>
      </c>
      <c r="S160" s="2" t="s">
        <v>1169</v>
      </c>
      <c r="T160" s="2" t="s">
        <v>228</v>
      </c>
      <c r="U160" s="2" t="s">
        <v>1170</v>
      </c>
      <c r="V160" s="2" t="s">
        <v>374</v>
      </c>
      <c r="W160" s="2" t="s">
        <v>269</v>
      </c>
      <c r="X160" s="2" t="s">
        <v>1171</v>
      </c>
      <c r="Y160" s="2" t="s">
        <v>1172</v>
      </c>
      <c r="Z160" s="4">
        <v>206</v>
      </c>
      <c r="AA160" s="4">
        <f>=ROUNDDOWN(27.8378378378378,0)</f>
      </c>
      <c r="AB160" s="5">
        <v>7.4</v>
      </c>
      <c r="AC160" s="2" t="s">
        <v>228</v>
      </c>
      <c r="AD160" s="4"/>
      <c r="AE160" s="4"/>
      <c r="AF160" s="6">
        <v>66</v>
      </c>
      <c r="AG160" s="6"/>
      <c r="AH160" s="7">
        <v>1</v>
      </c>
      <c r="AI160" s="4"/>
      <c r="AJ160" s="4">
        <f>=ROUNDDOWN({0},0)</f>
      </c>
      <c r="AK160" s="5"/>
      <c r="AL160" s="2" t="s">
        <v>228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228</v>
      </c>
      <c r="AW160" s="8" t="s">
        <v>228</v>
      </c>
      <c r="AX160" s="4" t="s">
        <v>228</v>
      </c>
      <c r="AY160" s="8" t="s">
        <v>228</v>
      </c>
      <c r="AZ160" s="7" t="s">
        <v>228</v>
      </c>
      <c r="BA160" s="7" t="s">
        <v>228</v>
      </c>
      <c r="BB160" s="7" t="s">
        <v>228</v>
      </c>
      <c r="BC160" s="4" t="s">
        <v>228</v>
      </c>
      <c r="BD160" s="8" t="s">
        <v>228</v>
      </c>
      <c r="BE160" s="4" t="s">
        <v>228</v>
      </c>
      <c r="BF160" s="8" t="s">
        <v>228</v>
      </c>
      <c r="BG160" s="7" t="s">
        <v>228</v>
      </c>
      <c r="BH160" s="7" t="s">
        <v>228</v>
      </c>
      <c r="BI160" s="7"/>
      <c r="BJ160" s="4">
        <v>32</v>
      </c>
      <c r="BK160" s="8">
        <v>1925.83</v>
      </c>
      <c r="BL160" s="2" t="s">
        <v>1173</v>
      </c>
      <c r="BM160" s="7"/>
      <c r="BN160" s="7"/>
      <c r="BO160" s="4"/>
      <c r="BP160" s="8"/>
      <c r="BQ160" s="4"/>
      <c r="BR160" s="8"/>
      <c r="BS160" s="7"/>
      <c r="BT160" s="7"/>
      <c r="BU160" s="2" t="s">
        <v>1174</v>
      </c>
      <c r="BV160" s="2" t="s">
        <v>228</v>
      </c>
      <c r="BW160" s="2" t="s">
        <v>228</v>
      </c>
      <c r="BX160" s="2" t="s">
        <v>337</v>
      </c>
      <c r="BY160" s="2" t="s">
        <v>274</v>
      </c>
      <c r="BZ160" s="2" t="s">
        <v>240</v>
      </c>
      <c r="CA160" s="2" t="s">
        <v>1175</v>
      </c>
      <c r="CB160" s="2" t="s">
        <v>1176</v>
      </c>
      <c r="CC160" s="2" t="s">
        <v>241</v>
      </c>
      <c r="CD160" s="2" t="s">
        <v>228</v>
      </c>
      <c r="CE160" s="4">
        <v>206</v>
      </c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</row>
    <row r="161">
      <c r="A161" s="2" t="s">
        <v>1177</v>
      </c>
      <c r="B161" s="2" t="s">
        <v>1150</v>
      </c>
      <c r="C161" s="2" t="s">
        <v>300</v>
      </c>
      <c r="D161" s="2" t="s">
        <v>850</v>
      </c>
      <c r="E161" s="2" t="s">
        <v>1038</v>
      </c>
      <c r="F161" s="2" t="s">
        <v>1166</v>
      </c>
      <c r="G161" s="2" t="s">
        <v>1167</v>
      </c>
      <c r="H161" s="2" t="s">
        <v>1051</v>
      </c>
      <c r="I161" s="2" t="s">
        <v>1178</v>
      </c>
      <c r="J161" s="2" t="s">
        <v>1043</v>
      </c>
      <c r="K161" s="2" t="s">
        <v>265</v>
      </c>
      <c r="L161" s="3">
        <v>47.61</v>
      </c>
      <c r="M161" s="3">
        <v>49.99</v>
      </c>
      <c r="N161" s="3">
        <v>99.99</v>
      </c>
      <c r="O161" s="2" t="s">
        <v>240</v>
      </c>
      <c r="P161" s="2" t="s">
        <v>333</v>
      </c>
      <c r="Q161" s="2" t="s">
        <v>234</v>
      </c>
      <c r="R161" s="2" t="s">
        <v>228</v>
      </c>
      <c r="S161" s="2" t="s">
        <v>1179</v>
      </c>
      <c r="T161" s="2" t="s">
        <v>228</v>
      </c>
      <c r="U161" s="2" t="s">
        <v>500</v>
      </c>
      <c r="V161" s="2" t="s">
        <v>374</v>
      </c>
      <c r="W161" s="2" t="s">
        <v>269</v>
      </c>
      <c r="X161" s="2" t="s">
        <v>1171</v>
      </c>
      <c r="Y161" s="2" t="s">
        <v>1172</v>
      </c>
      <c r="Z161" s="4">
        <v>129</v>
      </c>
      <c r="AA161" s="4">
        <f>=ROUNDDOWN(80.625,0)</f>
      </c>
      <c r="AB161" s="5">
        <v>1.6</v>
      </c>
      <c r="AC161" s="2" t="s">
        <v>228</v>
      </c>
      <c r="AD161" s="4"/>
      <c r="AE161" s="4"/>
      <c r="AF161" s="6">
        <v>66</v>
      </c>
      <c r="AG161" s="6"/>
      <c r="AH161" s="7">
        <v>1</v>
      </c>
      <c r="AI161" s="4"/>
      <c r="AJ161" s="4">
        <f>=ROUNDDOWN({0},0)</f>
      </c>
      <c r="AK161" s="5"/>
      <c r="AL161" s="2" t="s">
        <v>228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228</v>
      </c>
      <c r="AW161" s="8" t="s">
        <v>228</v>
      </c>
      <c r="AX161" s="4" t="s">
        <v>228</v>
      </c>
      <c r="AY161" s="8" t="s">
        <v>228</v>
      </c>
      <c r="AZ161" s="7" t="s">
        <v>228</v>
      </c>
      <c r="BA161" s="7" t="s">
        <v>228</v>
      </c>
      <c r="BB161" s="7" t="s">
        <v>228</v>
      </c>
      <c r="BC161" s="4" t="s">
        <v>228</v>
      </c>
      <c r="BD161" s="8" t="s">
        <v>228</v>
      </c>
      <c r="BE161" s="4" t="s">
        <v>228</v>
      </c>
      <c r="BF161" s="8" t="s">
        <v>228</v>
      </c>
      <c r="BG161" s="7" t="s">
        <v>228</v>
      </c>
      <c r="BH161" s="7" t="s">
        <v>228</v>
      </c>
      <c r="BI161" s="7"/>
      <c r="BJ161" s="4">
        <v>6</v>
      </c>
      <c r="BK161" s="8">
        <v>181.49</v>
      </c>
      <c r="BL161" s="2" t="s">
        <v>1180</v>
      </c>
      <c r="BM161" s="7"/>
      <c r="BN161" s="7"/>
      <c r="BO161" s="4"/>
      <c r="BP161" s="8"/>
      <c r="BQ161" s="4"/>
      <c r="BR161" s="8"/>
      <c r="BS161" s="7"/>
      <c r="BT161" s="7"/>
      <c r="BU161" s="2" t="s">
        <v>1181</v>
      </c>
      <c r="BV161" s="2" t="s">
        <v>228</v>
      </c>
      <c r="BW161" s="2" t="s">
        <v>228</v>
      </c>
      <c r="BX161" s="2" t="s">
        <v>337</v>
      </c>
      <c r="BY161" s="2" t="s">
        <v>274</v>
      </c>
      <c r="BZ161" s="2" t="s">
        <v>240</v>
      </c>
      <c r="CA161" s="2" t="s">
        <v>1175</v>
      </c>
      <c r="CB161" s="2" t="s">
        <v>1182</v>
      </c>
      <c r="CC161" s="2" t="s">
        <v>241</v>
      </c>
      <c r="CD161" s="2" t="s">
        <v>228</v>
      </c>
      <c r="CE161" s="4">
        <v>129</v>
      </c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</row>
    <row r="162">
      <c r="A162" s="2" t="s">
        <v>1183</v>
      </c>
      <c r="B162" s="2" t="s">
        <v>848</v>
      </c>
      <c r="C162" s="2" t="s">
        <v>1184</v>
      </c>
      <c r="D162" s="2" t="s">
        <v>850</v>
      </c>
      <c r="E162" s="2" t="s">
        <v>851</v>
      </c>
      <c r="F162" s="2" t="s">
        <v>1185</v>
      </c>
      <c r="G162" s="2" t="s">
        <v>1186</v>
      </c>
      <c r="H162" s="2" t="s">
        <v>1187</v>
      </c>
      <c r="I162" s="2" t="s">
        <v>1188</v>
      </c>
      <c r="J162" s="2" t="s">
        <v>1189</v>
      </c>
      <c r="K162" s="2" t="s">
        <v>1077</v>
      </c>
      <c r="L162" s="3">
        <v>26.95</v>
      </c>
      <c r="M162" s="3">
        <v>28.3</v>
      </c>
      <c r="N162" s="3">
        <v>54.99</v>
      </c>
      <c r="O162" s="2" t="s">
        <v>240</v>
      </c>
      <c r="P162" s="2" t="s">
        <v>266</v>
      </c>
      <c r="Q162" s="2" t="s">
        <v>234</v>
      </c>
      <c r="R162" s="2" t="s">
        <v>228</v>
      </c>
      <c r="S162" s="2" t="s">
        <v>1190</v>
      </c>
      <c r="T162" s="2" t="s">
        <v>415</v>
      </c>
      <c r="U162" s="2" t="s">
        <v>308</v>
      </c>
      <c r="V162" s="2" t="s">
        <v>1156</v>
      </c>
      <c r="W162" s="2" t="s">
        <v>269</v>
      </c>
      <c r="X162" s="2" t="s">
        <v>463</v>
      </c>
      <c r="Y162" s="2" t="s">
        <v>270</v>
      </c>
      <c r="Z162" s="4">
        <v>63</v>
      </c>
      <c r="AA162" s="4">
        <f>=ROUNDDOWN(4.5,0)</f>
      </c>
      <c r="AB162" s="5">
        <v>14</v>
      </c>
      <c r="AC162" s="2" t="s">
        <v>1191</v>
      </c>
      <c r="AD162" s="4">
        <v>110</v>
      </c>
      <c r="AE162" s="4">
        <v>387</v>
      </c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228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/>
      <c r="BD162" s="8"/>
      <c r="BE162" s="4"/>
      <c r="BF162" s="8"/>
      <c r="BG162" s="7"/>
      <c r="BH162" s="7"/>
      <c r="BI162" s="7"/>
      <c r="BJ162" s="4">
        <v>32</v>
      </c>
      <c r="BK162" s="8">
        <v>936.23</v>
      </c>
      <c r="BL162" s="2" t="s">
        <v>1192</v>
      </c>
      <c r="BM162" s="7"/>
      <c r="BN162" s="7"/>
      <c r="BO162" s="4"/>
      <c r="BP162" s="8"/>
      <c r="BQ162" s="4"/>
      <c r="BR162" s="8"/>
      <c r="BS162" s="7"/>
      <c r="BT162" s="7"/>
      <c r="BU162" s="2" t="s">
        <v>1193</v>
      </c>
      <c r="BV162" s="2" t="s">
        <v>228</v>
      </c>
      <c r="BW162" s="2" t="s">
        <v>228</v>
      </c>
      <c r="BX162" s="2" t="s">
        <v>273</v>
      </c>
      <c r="BY162" s="2" t="s">
        <v>274</v>
      </c>
      <c r="BZ162" s="2" t="s">
        <v>240</v>
      </c>
      <c r="CA162" s="2" t="s">
        <v>275</v>
      </c>
      <c r="CB162" s="2" t="s">
        <v>1194</v>
      </c>
      <c r="CC162" s="2" t="s">
        <v>241</v>
      </c>
      <c r="CD162" s="2" t="s">
        <v>228</v>
      </c>
      <c r="CE162" s="4">
        <v>63</v>
      </c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>
        <v>110</v>
      </c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>
        <v>157</v>
      </c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>
        <v>120</v>
      </c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</row>
    <row r="163">
      <c r="A163" s="2" t="s">
        <v>1195</v>
      </c>
      <c r="B163" s="2" t="s">
        <v>1196</v>
      </c>
      <c r="C163" s="2" t="s">
        <v>1197</v>
      </c>
      <c r="D163" s="2" t="s">
        <v>1198</v>
      </c>
      <c r="E163" s="2" t="s">
        <v>1199</v>
      </c>
      <c r="F163" s="2" t="s">
        <v>1200</v>
      </c>
      <c r="G163" s="2" t="s">
        <v>1200</v>
      </c>
      <c r="H163" s="2" t="s">
        <v>1200</v>
      </c>
      <c r="I163" s="2" t="s">
        <v>1201</v>
      </c>
      <c r="J163" s="2" t="s">
        <v>1202</v>
      </c>
      <c r="K163" s="2" t="s">
        <v>598</v>
      </c>
      <c r="L163" s="3">
        <v>22.49</v>
      </c>
      <c r="M163" s="3">
        <v>23.61</v>
      </c>
      <c r="N163" s="3">
        <v>49.99</v>
      </c>
      <c r="O163" s="2" t="s">
        <v>240</v>
      </c>
      <c r="P163" s="2" t="s">
        <v>266</v>
      </c>
      <c r="Q163" s="2" t="s">
        <v>234</v>
      </c>
      <c r="R163" s="2" t="s">
        <v>228</v>
      </c>
      <c r="S163" s="2" t="s">
        <v>228</v>
      </c>
      <c r="T163" s="2" t="s">
        <v>228</v>
      </c>
      <c r="U163" s="2" t="s">
        <v>416</v>
      </c>
      <c r="V163" s="2" t="s">
        <v>842</v>
      </c>
      <c r="W163" s="2" t="s">
        <v>269</v>
      </c>
      <c r="X163" s="2" t="s">
        <v>228</v>
      </c>
      <c r="Y163" s="2" t="s">
        <v>1203</v>
      </c>
      <c r="Z163" s="4">
        <v>79</v>
      </c>
      <c r="AA163" s="4">
        <f>=ROUNDDOWN(41.5789473684211,0)</f>
      </c>
      <c r="AB163" s="5">
        <v>1.9</v>
      </c>
      <c r="AC163" s="2" t="s">
        <v>228</v>
      </c>
      <c r="AD163" s="4"/>
      <c r="AE163" s="4"/>
      <c r="AF163" s="6">
        <v>65</v>
      </c>
      <c r="AG163" s="6"/>
      <c r="AH163" s="7">
        <v>0.9355</v>
      </c>
      <c r="AI163" s="4"/>
      <c r="AJ163" s="4">
        <f>=ROUNDDOWN({0},0)</f>
      </c>
      <c r="AK163" s="5"/>
      <c r="AL163" s="2" t="s">
        <v>228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228</v>
      </c>
      <c r="AW163" s="8" t="s">
        <v>228</v>
      </c>
      <c r="AX163" s="4" t="s">
        <v>228</v>
      </c>
      <c r="AY163" s="8" t="s">
        <v>228</v>
      </c>
      <c r="AZ163" s="7" t="s">
        <v>228</v>
      </c>
      <c r="BA163" s="7" t="s">
        <v>228</v>
      </c>
      <c r="BB163" s="7"/>
      <c r="BC163" s="4" t="s">
        <v>228</v>
      </c>
      <c r="BD163" s="8" t="s">
        <v>228</v>
      </c>
      <c r="BE163" s="4" t="s">
        <v>228</v>
      </c>
      <c r="BF163" s="8" t="s">
        <v>228</v>
      </c>
      <c r="BG163" s="7" t="s">
        <v>228</v>
      </c>
      <c r="BH163" s="7" t="s">
        <v>228</v>
      </c>
      <c r="BI163" s="7"/>
      <c r="BJ163" s="4">
        <v>8</v>
      </c>
      <c r="BK163" s="8">
        <v>203.92</v>
      </c>
      <c r="BL163" s="2" t="s">
        <v>727</v>
      </c>
      <c r="BM163" s="7"/>
      <c r="BN163" s="7"/>
      <c r="BO163" s="4"/>
      <c r="BP163" s="8"/>
      <c r="BQ163" s="4"/>
      <c r="BR163" s="8"/>
      <c r="BS163" s="7"/>
      <c r="BT163" s="7"/>
      <c r="BU163" s="2" t="s">
        <v>1204</v>
      </c>
      <c r="BV163" s="2" t="s">
        <v>228</v>
      </c>
      <c r="BW163" s="2" t="s">
        <v>228</v>
      </c>
      <c r="BX163" s="2" t="s">
        <v>273</v>
      </c>
      <c r="BY163" s="2" t="s">
        <v>274</v>
      </c>
      <c r="BZ163" s="2" t="s">
        <v>240</v>
      </c>
      <c r="CA163" s="2" t="s">
        <v>1205</v>
      </c>
      <c r="CB163" s="2" t="s">
        <v>1109</v>
      </c>
      <c r="CC163" s="2" t="s">
        <v>241</v>
      </c>
      <c r="CD163" s="2" t="s">
        <v>228</v>
      </c>
      <c r="CE163" s="4">
        <v>79</v>
      </c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</row>
    <row r="164">
      <c r="A164" s="2" t="s">
        <v>1206</v>
      </c>
      <c r="B164" s="2" t="s">
        <v>1196</v>
      </c>
      <c r="C164" s="2" t="s">
        <v>1197</v>
      </c>
      <c r="D164" s="2" t="s">
        <v>1198</v>
      </c>
      <c r="E164" s="2" t="s">
        <v>1199</v>
      </c>
      <c r="F164" s="2" t="s">
        <v>1200</v>
      </c>
      <c r="G164" s="2" t="s">
        <v>1200</v>
      </c>
      <c r="H164" s="2" t="s">
        <v>1200</v>
      </c>
      <c r="I164" s="2" t="s">
        <v>1207</v>
      </c>
      <c r="J164" s="2" t="s">
        <v>1208</v>
      </c>
      <c r="K164" s="2" t="s">
        <v>598</v>
      </c>
      <c r="L164" s="3">
        <v>26.14</v>
      </c>
      <c r="M164" s="3">
        <v>27.45</v>
      </c>
      <c r="N164" s="3">
        <v>57.99</v>
      </c>
      <c r="O164" s="2" t="s">
        <v>240</v>
      </c>
      <c r="P164" s="2" t="s">
        <v>266</v>
      </c>
      <c r="Q164" s="2" t="s">
        <v>234</v>
      </c>
      <c r="R164" s="2" t="s">
        <v>228</v>
      </c>
      <c r="S164" s="2" t="s">
        <v>228</v>
      </c>
      <c r="T164" s="2" t="s">
        <v>228</v>
      </c>
      <c r="U164" s="2" t="s">
        <v>416</v>
      </c>
      <c r="V164" s="2" t="s">
        <v>842</v>
      </c>
      <c r="W164" s="2" t="s">
        <v>269</v>
      </c>
      <c r="X164" s="2" t="s">
        <v>228</v>
      </c>
      <c r="Y164" s="2" t="s">
        <v>1203</v>
      </c>
      <c r="Z164" s="4">
        <v>286</v>
      </c>
      <c r="AA164" s="4">
        <f>=ROUNDDOWN(143,0)</f>
      </c>
      <c r="AB164" s="5">
        <v>2</v>
      </c>
      <c r="AC164" s="2" t="s">
        <v>228</v>
      </c>
      <c r="AD164" s="4"/>
      <c r="AE164" s="4"/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228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228</v>
      </c>
      <c r="AW164" s="8" t="s">
        <v>228</v>
      </c>
      <c r="AX164" s="4" t="s">
        <v>228</v>
      </c>
      <c r="AY164" s="8" t="s">
        <v>228</v>
      </c>
      <c r="AZ164" s="7" t="s">
        <v>228</v>
      </c>
      <c r="BA164" s="7" t="s">
        <v>228</v>
      </c>
      <c r="BB164" s="7"/>
      <c r="BC164" s="4" t="s">
        <v>228</v>
      </c>
      <c r="BD164" s="8" t="s">
        <v>228</v>
      </c>
      <c r="BE164" s="4" t="s">
        <v>228</v>
      </c>
      <c r="BF164" s="8" t="s">
        <v>228</v>
      </c>
      <c r="BG164" s="7" t="s">
        <v>228</v>
      </c>
      <c r="BH164" s="7" t="s">
        <v>228</v>
      </c>
      <c r="BI164" s="7"/>
      <c r="BJ164" s="4">
        <v>8</v>
      </c>
      <c r="BK164" s="8">
        <v>281.04</v>
      </c>
      <c r="BL164" s="2" t="s">
        <v>1209</v>
      </c>
      <c r="BM164" s="7"/>
      <c r="BN164" s="7"/>
      <c r="BO164" s="4"/>
      <c r="BP164" s="8"/>
      <c r="BQ164" s="4"/>
      <c r="BR164" s="8"/>
      <c r="BS164" s="7"/>
      <c r="BT164" s="7"/>
      <c r="BU164" s="2" t="s">
        <v>1210</v>
      </c>
      <c r="BV164" s="2" t="s">
        <v>228</v>
      </c>
      <c r="BW164" s="2" t="s">
        <v>228</v>
      </c>
      <c r="BX164" s="2" t="s">
        <v>273</v>
      </c>
      <c r="BY164" s="2" t="s">
        <v>274</v>
      </c>
      <c r="BZ164" s="2" t="s">
        <v>240</v>
      </c>
      <c r="CA164" s="2" t="s">
        <v>1205</v>
      </c>
      <c r="CB164" s="2" t="s">
        <v>228</v>
      </c>
      <c r="CC164" s="2" t="s">
        <v>241</v>
      </c>
      <c r="CD164" s="2" t="s">
        <v>228</v>
      </c>
      <c r="CE164" s="4">
        <v>286</v>
      </c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</row>
    <row r="165">
      <c r="A165" s="2" t="s">
        <v>1211</v>
      </c>
      <c r="B165" s="2" t="s">
        <v>1196</v>
      </c>
      <c r="C165" s="2" t="s">
        <v>1197</v>
      </c>
      <c r="D165" s="2" t="s">
        <v>1198</v>
      </c>
      <c r="E165" s="2" t="s">
        <v>1199</v>
      </c>
      <c r="F165" s="2" t="s">
        <v>1200</v>
      </c>
      <c r="G165" s="2" t="s">
        <v>1200</v>
      </c>
      <c r="H165" s="2" t="s">
        <v>1200</v>
      </c>
      <c r="I165" s="2" t="s">
        <v>1212</v>
      </c>
      <c r="J165" s="2" t="s">
        <v>1213</v>
      </c>
      <c r="K165" s="2" t="s">
        <v>598</v>
      </c>
      <c r="L165" s="3">
        <v>34.46</v>
      </c>
      <c r="M165" s="3">
        <v>36.18</v>
      </c>
      <c r="N165" s="3">
        <v>76.99</v>
      </c>
      <c r="O165" s="2" t="s">
        <v>240</v>
      </c>
      <c r="P165" s="2" t="s">
        <v>266</v>
      </c>
      <c r="Q165" s="2" t="s">
        <v>234</v>
      </c>
      <c r="R165" s="2" t="s">
        <v>228</v>
      </c>
      <c r="S165" s="2" t="s">
        <v>228</v>
      </c>
      <c r="T165" s="2" t="s">
        <v>228</v>
      </c>
      <c r="U165" s="2" t="s">
        <v>416</v>
      </c>
      <c r="V165" s="2" t="s">
        <v>842</v>
      </c>
      <c r="W165" s="2" t="s">
        <v>269</v>
      </c>
      <c r="X165" s="2" t="s">
        <v>228</v>
      </c>
      <c r="Y165" s="2" t="s">
        <v>1203</v>
      </c>
      <c r="Z165" s="4">
        <v>375</v>
      </c>
      <c r="AA165" s="4">
        <f>=ROUNDDOWN(187.5,0)</f>
      </c>
      <c r="AB165" s="5">
        <v>2</v>
      </c>
      <c r="AC165" s="2" t="s">
        <v>228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228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228</v>
      </c>
      <c r="AW165" s="8" t="s">
        <v>228</v>
      </c>
      <c r="AX165" s="4" t="s">
        <v>228</v>
      </c>
      <c r="AY165" s="8" t="s">
        <v>228</v>
      </c>
      <c r="AZ165" s="7" t="s">
        <v>228</v>
      </c>
      <c r="BA165" s="7" t="s">
        <v>228</v>
      </c>
      <c r="BB165" s="7"/>
      <c r="BC165" s="4" t="s">
        <v>228</v>
      </c>
      <c r="BD165" s="8" t="s">
        <v>228</v>
      </c>
      <c r="BE165" s="4" t="s">
        <v>228</v>
      </c>
      <c r="BF165" s="8" t="s">
        <v>228</v>
      </c>
      <c r="BG165" s="7" t="s">
        <v>228</v>
      </c>
      <c r="BH165" s="7" t="s">
        <v>228</v>
      </c>
      <c r="BI165" s="7"/>
      <c r="BJ165" s="4">
        <v>7</v>
      </c>
      <c r="BK165" s="8">
        <v>316.62</v>
      </c>
      <c r="BL165" s="2" t="s">
        <v>690</v>
      </c>
      <c r="BM165" s="7"/>
      <c r="BN165" s="7"/>
      <c r="BO165" s="4"/>
      <c r="BP165" s="8"/>
      <c r="BQ165" s="4"/>
      <c r="BR165" s="8"/>
      <c r="BS165" s="7"/>
      <c r="BT165" s="7"/>
      <c r="BU165" s="2" t="s">
        <v>1214</v>
      </c>
      <c r="BV165" s="2" t="s">
        <v>228</v>
      </c>
      <c r="BW165" s="2" t="s">
        <v>228</v>
      </c>
      <c r="BX165" s="2" t="s">
        <v>273</v>
      </c>
      <c r="BY165" s="2" t="s">
        <v>274</v>
      </c>
      <c r="BZ165" s="2" t="s">
        <v>240</v>
      </c>
      <c r="CA165" s="2" t="s">
        <v>1205</v>
      </c>
      <c r="CB165" s="2" t="s">
        <v>228</v>
      </c>
      <c r="CC165" s="2" t="s">
        <v>241</v>
      </c>
      <c r="CD165" s="2" t="s">
        <v>228</v>
      </c>
      <c r="CE165" s="4">
        <v>375</v>
      </c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</row>
    <row r="166">
      <c r="A166" s="2" t="s">
        <v>1215</v>
      </c>
      <c r="B166" s="2" t="s">
        <v>1196</v>
      </c>
      <c r="C166" s="2" t="s">
        <v>1197</v>
      </c>
      <c r="D166" s="2" t="s">
        <v>1198</v>
      </c>
      <c r="E166" s="2" t="s">
        <v>1199</v>
      </c>
      <c r="F166" s="2" t="s">
        <v>1200</v>
      </c>
      <c r="G166" s="2" t="s">
        <v>1200</v>
      </c>
      <c r="H166" s="2" t="s">
        <v>1200</v>
      </c>
      <c r="I166" s="2" t="s">
        <v>1201</v>
      </c>
      <c r="J166" s="2" t="s">
        <v>1202</v>
      </c>
      <c r="K166" s="2" t="s">
        <v>251</v>
      </c>
      <c r="L166" s="3">
        <v>22.49</v>
      </c>
      <c r="M166" s="3">
        <v>23.61</v>
      </c>
      <c r="N166" s="3">
        <v>49.99</v>
      </c>
      <c r="O166" s="2" t="s">
        <v>240</v>
      </c>
      <c r="P166" s="2" t="s">
        <v>266</v>
      </c>
      <c r="Q166" s="2" t="s">
        <v>234</v>
      </c>
      <c r="R166" s="2" t="s">
        <v>228</v>
      </c>
      <c r="S166" s="2" t="s">
        <v>228</v>
      </c>
      <c r="T166" s="2" t="s">
        <v>228</v>
      </c>
      <c r="U166" s="2" t="s">
        <v>416</v>
      </c>
      <c r="V166" s="2" t="s">
        <v>842</v>
      </c>
      <c r="W166" s="2" t="s">
        <v>269</v>
      </c>
      <c r="X166" s="2" t="s">
        <v>228</v>
      </c>
      <c r="Y166" s="2" t="s">
        <v>1203</v>
      </c>
      <c r="Z166" s="4">
        <v>152</v>
      </c>
      <c r="AA166" s="4">
        <f>=ROUNDDOWN(304,0)</f>
      </c>
      <c r="AB166" s="5">
        <v>0.5</v>
      </c>
      <c r="AC166" s="2" t="s">
        <v>228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228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228</v>
      </c>
      <c r="AW166" s="8" t="s">
        <v>228</v>
      </c>
      <c r="AX166" s="4" t="s">
        <v>228</v>
      </c>
      <c r="AY166" s="8" t="s">
        <v>228</v>
      </c>
      <c r="AZ166" s="7" t="s">
        <v>228</v>
      </c>
      <c r="BA166" s="7" t="s">
        <v>228</v>
      </c>
      <c r="BB166" s="7"/>
      <c r="BC166" s="4" t="s">
        <v>228</v>
      </c>
      <c r="BD166" s="8" t="s">
        <v>228</v>
      </c>
      <c r="BE166" s="4" t="s">
        <v>228</v>
      </c>
      <c r="BF166" s="8" t="s">
        <v>228</v>
      </c>
      <c r="BG166" s="7" t="s">
        <v>228</v>
      </c>
      <c r="BH166" s="7" t="s">
        <v>228</v>
      </c>
      <c r="BI166" s="7"/>
      <c r="BJ166" s="4">
        <v>9</v>
      </c>
      <c r="BK166" s="8">
        <v>305.91</v>
      </c>
      <c r="BL166" s="2" t="s">
        <v>727</v>
      </c>
      <c r="BM166" s="7"/>
      <c r="BN166" s="7"/>
      <c r="BO166" s="4"/>
      <c r="BP166" s="8"/>
      <c r="BQ166" s="4"/>
      <c r="BR166" s="8"/>
      <c r="BS166" s="7"/>
      <c r="BT166" s="7"/>
      <c r="BU166" s="2" t="s">
        <v>1216</v>
      </c>
      <c r="BV166" s="2" t="s">
        <v>228</v>
      </c>
      <c r="BW166" s="2" t="s">
        <v>228</v>
      </c>
      <c r="BX166" s="2" t="s">
        <v>273</v>
      </c>
      <c r="BY166" s="2" t="s">
        <v>274</v>
      </c>
      <c r="BZ166" s="2" t="s">
        <v>240</v>
      </c>
      <c r="CA166" s="2" t="s">
        <v>1205</v>
      </c>
      <c r="CB166" s="2" t="s">
        <v>1217</v>
      </c>
      <c r="CC166" s="2" t="s">
        <v>241</v>
      </c>
      <c r="CD166" s="2" t="s">
        <v>228</v>
      </c>
      <c r="CE166" s="4">
        <v>152</v>
      </c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</row>
    <row r="167">
      <c r="A167" s="2" t="s">
        <v>1218</v>
      </c>
      <c r="B167" s="2" t="s">
        <v>1196</v>
      </c>
      <c r="C167" s="2" t="s">
        <v>1197</v>
      </c>
      <c r="D167" s="2" t="s">
        <v>1198</v>
      </c>
      <c r="E167" s="2" t="s">
        <v>1199</v>
      </c>
      <c r="F167" s="2" t="s">
        <v>1200</v>
      </c>
      <c r="G167" s="2" t="s">
        <v>1200</v>
      </c>
      <c r="H167" s="2" t="s">
        <v>1200</v>
      </c>
      <c r="I167" s="2" t="s">
        <v>1207</v>
      </c>
      <c r="J167" s="2" t="s">
        <v>1208</v>
      </c>
      <c r="K167" s="2" t="s">
        <v>251</v>
      </c>
      <c r="L167" s="3">
        <v>26.14</v>
      </c>
      <c r="M167" s="3">
        <v>27.45</v>
      </c>
      <c r="N167" s="3">
        <v>57.99</v>
      </c>
      <c r="O167" s="2" t="s">
        <v>240</v>
      </c>
      <c r="P167" s="2" t="s">
        <v>266</v>
      </c>
      <c r="Q167" s="2" t="s">
        <v>234</v>
      </c>
      <c r="R167" s="2" t="s">
        <v>228</v>
      </c>
      <c r="S167" s="2" t="s">
        <v>228</v>
      </c>
      <c r="T167" s="2" t="s">
        <v>228</v>
      </c>
      <c r="U167" s="2" t="s">
        <v>416</v>
      </c>
      <c r="V167" s="2" t="s">
        <v>842</v>
      </c>
      <c r="W167" s="2" t="s">
        <v>269</v>
      </c>
      <c r="X167" s="2" t="s">
        <v>228</v>
      </c>
      <c r="Y167" s="2" t="s">
        <v>1203</v>
      </c>
      <c r="Z167" s="4">
        <v>254</v>
      </c>
      <c r="AA167" s="4">
        <f>=ROUNDDOWN(127,0)</f>
      </c>
      <c r="AB167" s="5">
        <v>2</v>
      </c>
      <c r="AC167" s="2" t="s">
        <v>228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228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228</v>
      </c>
      <c r="AW167" s="8" t="s">
        <v>228</v>
      </c>
      <c r="AX167" s="4" t="s">
        <v>228</v>
      </c>
      <c r="AY167" s="8" t="s">
        <v>228</v>
      </c>
      <c r="AZ167" s="7" t="s">
        <v>228</v>
      </c>
      <c r="BA167" s="7" t="s">
        <v>228</v>
      </c>
      <c r="BB167" s="7"/>
      <c r="BC167" s="4" t="s">
        <v>228</v>
      </c>
      <c r="BD167" s="8" t="s">
        <v>228</v>
      </c>
      <c r="BE167" s="4" t="s">
        <v>228</v>
      </c>
      <c r="BF167" s="8" t="s">
        <v>228</v>
      </c>
      <c r="BG167" s="7" t="s">
        <v>228</v>
      </c>
      <c r="BH167" s="7" t="s">
        <v>228</v>
      </c>
      <c r="BI167" s="7"/>
      <c r="BJ167" s="4">
        <v>12</v>
      </c>
      <c r="BK167" s="8">
        <v>429.07</v>
      </c>
      <c r="BL167" s="2" t="s">
        <v>690</v>
      </c>
      <c r="BM167" s="7"/>
      <c r="BN167" s="7"/>
      <c r="BO167" s="4"/>
      <c r="BP167" s="8"/>
      <c r="BQ167" s="4"/>
      <c r="BR167" s="8"/>
      <c r="BS167" s="7"/>
      <c r="BT167" s="7"/>
      <c r="BU167" s="2" t="s">
        <v>1219</v>
      </c>
      <c r="BV167" s="2" t="s">
        <v>228</v>
      </c>
      <c r="BW167" s="2" t="s">
        <v>228</v>
      </c>
      <c r="BX167" s="2" t="s">
        <v>273</v>
      </c>
      <c r="BY167" s="2" t="s">
        <v>274</v>
      </c>
      <c r="BZ167" s="2" t="s">
        <v>240</v>
      </c>
      <c r="CA167" s="2" t="s">
        <v>1205</v>
      </c>
      <c r="CB167" s="2" t="s">
        <v>1220</v>
      </c>
      <c r="CC167" s="2" t="s">
        <v>241</v>
      </c>
      <c r="CD167" s="2" t="s">
        <v>228</v>
      </c>
      <c r="CE167" s="4">
        <v>254</v>
      </c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</row>
    <row r="168">
      <c r="A168" s="2" t="s">
        <v>1221</v>
      </c>
      <c r="B168" s="2" t="s">
        <v>1196</v>
      </c>
      <c r="C168" s="2" t="s">
        <v>1197</v>
      </c>
      <c r="D168" s="2" t="s">
        <v>1198</v>
      </c>
      <c r="E168" s="2" t="s">
        <v>1199</v>
      </c>
      <c r="F168" s="2" t="s">
        <v>1200</v>
      </c>
      <c r="G168" s="2" t="s">
        <v>1200</v>
      </c>
      <c r="H168" s="2" t="s">
        <v>1200</v>
      </c>
      <c r="I168" s="2" t="s">
        <v>1212</v>
      </c>
      <c r="J168" s="2" t="s">
        <v>1213</v>
      </c>
      <c r="K168" s="2" t="s">
        <v>251</v>
      </c>
      <c r="L168" s="3">
        <v>34.46</v>
      </c>
      <c r="M168" s="3">
        <v>36.18</v>
      </c>
      <c r="N168" s="3">
        <v>76.99</v>
      </c>
      <c r="O168" s="2" t="s">
        <v>240</v>
      </c>
      <c r="P168" s="2" t="s">
        <v>266</v>
      </c>
      <c r="Q168" s="2" t="s">
        <v>234</v>
      </c>
      <c r="R168" s="2" t="s">
        <v>228</v>
      </c>
      <c r="S168" s="2" t="s">
        <v>228</v>
      </c>
      <c r="T168" s="2" t="s">
        <v>228</v>
      </c>
      <c r="U168" s="2" t="s">
        <v>416</v>
      </c>
      <c r="V168" s="2" t="s">
        <v>842</v>
      </c>
      <c r="W168" s="2" t="s">
        <v>269</v>
      </c>
      <c r="X168" s="2" t="s">
        <v>228</v>
      </c>
      <c r="Y168" s="2" t="s">
        <v>1203</v>
      </c>
      <c r="Z168" s="4">
        <v>88</v>
      </c>
      <c r="AA168" s="4">
        <f>=ROUNDDOWN(88,0)</f>
      </c>
      <c r="AB168" s="5">
        <v>1</v>
      </c>
      <c r="AC168" s="2" t="s">
        <v>228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228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228</v>
      </c>
      <c r="AW168" s="8" t="s">
        <v>228</v>
      </c>
      <c r="AX168" s="4" t="s">
        <v>228</v>
      </c>
      <c r="AY168" s="8" t="s">
        <v>228</v>
      </c>
      <c r="AZ168" s="7" t="s">
        <v>228</v>
      </c>
      <c r="BA168" s="7" t="s">
        <v>228</v>
      </c>
      <c r="BB168" s="7"/>
      <c r="BC168" s="4" t="s">
        <v>228</v>
      </c>
      <c r="BD168" s="8" t="s">
        <v>228</v>
      </c>
      <c r="BE168" s="4" t="s">
        <v>228</v>
      </c>
      <c r="BF168" s="8" t="s">
        <v>228</v>
      </c>
      <c r="BG168" s="7" t="s">
        <v>228</v>
      </c>
      <c r="BH168" s="7" t="s">
        <v>228</v>
      </c>
      <c r="BI168" s="7"/>
      <c r="BJ168" s="4">
        <v>9</v>
      </c>
      <c r="BK168" s="8">
        <v>420.66</v>
      </c>
      <c r="BL168" s="2" t="s">
        <v>1222</v>
      </c>
      <c r="BM168" s="7"/>
      <c r="BN168" s="7"/>
      <c r="BO168" s="4"/>
      <c r="BP168" s="8"/>
      <c r="BQ168" s="4"/>
      <c r="BR168" s="8"/>
      <c r="BS168" s="7"/>
      <c r="BT168" s="7"/>
      <c r="BU168" s="2" t="s">
        <v>1223</v>
      </c>
      <c r="BV168" s="2" t="s">
        <v>228</v>
      </c>
      <c r="BW168" s="2" t="s">
        <v>228</v>
      </c>
      <c r="BX168" s="2" t="s">
        <v>273</v>
      </c>
      <c r="BY168" s="2" t="s">
        <v>274</v>
      </c>
      <c r="BZ168" s="2" t="s">
        <v>240</v>
      </c>
      <c r="CA168" s="2" t="s">
        <v>1205</v>
      </c>
      <c r="CB168" s="2" t="s">
        <v>1109</v>
      </c>
      <c r="CC168" s="2" t="s">
        <v>241</v>
      </c>
      <c r="CD168" s="2" t="s">
        <v>228</v>
      </c>
      <c r="CE168" s="4">
        <v>88</v>
      </c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</row>
    <row r="169">
      <c r="A169" s="2" t="s">
        <v>1224</v>
      </c>
      <c r="B169" s="2" t="s">
        <v>1150</v>
      </c>
      <c r="C169" s="2" t="s">
        <v>835</v>
      </c>
      <c r="D169" s="2" t="s">
        <v>850</v>
      </c>
      <c r="E169" s="2" t="s">
        <v>1038</v>
      </c>
      <c r="F169" s="2" t="s">
        <v>1225</v>
      </c>
      <c r="G169" s="2" t="s">
        <v>1225</v>
      </c>
      <c r="H169" s="2" t="s">
        <v>1225</v>
      </c>
      <c r="I169" s="2" t="s">
        <v>1226</v>
      </c>
      <c r="J169" s="2" t="s">
        <v>1189</v>
      </c>
      <c r="K169" s="2" t="s">
        <v>978</v>
      </c>
      <c r="L169" s="3">
        <v>44.1</v>
      </c>
      <c r="M169" s="3">
        <v>46.3</v>
      </c>
      <c r="N169" s="3">
        <v>89.99</v>
      </c>
      <c r="O169" s="2" t="s">
        <v>240</v>
      </c>
      <c r="P169" s="2" t="s">
        <v>266</v>
      </c>
      <c r="Q169" s="2" t="s">
        <v>234</v>
      </c>
      <c r="R169" s="2" t="s">
        <v>228</v>
      </c>
      <c r="S169" s="2" t="s">
        <v>1227</v>
      </c>
      <c r="T169" s="2" t="s">
        <v>350</v>
      </c>
      <c r="U169" s="2" t="s">
        <v>500</v>
      </c>
      <c r="V169" s="2" t="s">
        <v>1228</v>
      </c>
      <c r="W169" s="2" t="s">
        <v>843</v>
      </c>
      <c r="X169" s="2" t="s">
        <v>1229</v>
      </c>
      <c r="Y169" s="2" t="s">
        <v>270</v>
      </c>
      <c r="Z169" s="4">
        <v>187</v>
      </c>
      <c r="AA169" s="4">
        <f>=ROUNDDOWN(37.4,0)</f>
      </c>
      <c r="AB169" s="5">
        <v>5</v>
      </c>
      <c r="AC169" s="2" t="s">
        <v>228</v>
      </c>
      <c r="AD169" s="4"/>
      <c r="AE169" s="4"/>
      <c r="AF169" s="6">
        <v>65</v>
      </c>
      <c r="AG169" s="6">
        <v>73</v>
      </c>
      <c r="AH169" s="7">
        <v>1</v>
      </c>
      <c r="AI169" s="4"/>
      <c r="AJ169" s="4">
        <f>=ROUNDDOWN({0},0)</f>
      </c>
      <c r="AK169" s="5"/>
      <c r="AL169" s="2" t="s">
        <v>228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228</v>
      </c>
      <c r="AW169" s="8" t="s">
        <v>228</v>
      </c>
      <c r="AX169" s="4" t="s">
        <v>228</v>
      </c>
      <c r="AY169" s="8" t="s">
        <v>228</v>
      </c>
      <c r="AZ169" s="7" t="s">
        <v>228</v>
      </c>
      <c r="BA169" s="7" t="s">
        <v>228</v>
      </c>
      <c r="BB169" s="7"/>
      <c r="BC169" s="4" t="s">
        <v>228</v>
      </c>
      <c r="BD169" s="8" t="s">
        <v>228</v>
      </c>
      <c r="BE169" s="4" t="s">
        <v>228</v>
      </c>
      <c r="BF169" s="8" t="s">
        <v>228</v>
      </c>
      <c r="BG169" s="7" t="s">
        <v>228</v>
      </c>
      <c r="BH169" s="7" t="s">
        <v>228</v>
      </c>
      <c r="BI169" s="7"/>
      <c r="BJ169" s="4">
        <v>7</v>
      </c>
      <c r="BK169" s="8">
        <v>345.3</v>
      </c>
      <c r="BL169" s="2" t="s">
        <v>398</v>
      </c>
      <c r="BM169" s="7"/>
      <c r="BN169" s="7"/>
      <c r="BO169" s="4"/>
      <c r="BP169" s="8"/>
      <c r="BQ169" s="4"/>
      <c r="BR169" s="8"/>
      <c r="BS169" s="7"/>
      <c r="BT169" s="7"/>
      <c r="BU169" s="2" t="s">
        <v>1230</v>
      </c>
      <c r="BV169" s="2" t="s">
        <v>228</v>
      </c>
      <c r="BW169" s="2" t="s">
        <v>228</v>
      </c>
      <c r="BX169" s="2" t="s">
        <v>273</v>
      </c>
      <c r="BY169" s="2" t="s">
        <v>274</v>
      </c>
      <c r="BZ169" s="2" t="s">
        <v>240</v>
      </c>
      <c r="CA169" s="2" t="s">
        <v>1231</v>
      </c>
      <c r="CB169" s="2" t="s">
        <v>1232</v>
      </c>
      <c r="CC169" s="2" t="s">
        <v>241</v>
      </c>
      <c r="CD169" s="2" t="s">
        <v>228</v>
      </c>
      <c r="CE169" s="4">
        <v>157</v>
      </c>
      <c r="CF169" s="4">
        <v>7</v>
      </c>
      <c r="CG169" s="4"/>
      <c r="CH169" s="4">
        <v>23</v>
      </c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</row>
    <row r="170">
      <c r="A170" s="2" t="s">
        <v>1233</v>
      </c>
      <c r="B170" s="2" t="s">
        <v>1150</v>
      </c>
      <c r="C170" s="2" t="s">
        <v>835</v>
      </c>
      <c r="D170" s="2" t="s">
        <v>850</v>
      </c>
      <c r="E170" s="2" t="s">
        <v>1038</v>
      </c>
      <c r="F170" s="2" t="s">
        <v>1225</v>
      </c>
      <c r="G170" s="2" t="s">
        <v>1225</v>
      </c>
      <c r="H170" s="2" t="s">
        <v>1225</v>
      </c>
      <c r="I170" s="2" t="s">
        <v>1226</v>
      </c>
      <c r="J170" s="2" t="s">
        <v>1043</v>
      </c>
      <c r="K170" s="2" t="s">
        <v>978</v>
      </c>
      <c r="L170" s="3">
        <v>58.5</v>
      </c>
      <c r="M170" s="3">
        <v>61.42</v>
      </c>
      <c r="N170" s="3">
        <v>119.99</v>
      </c>
      <c r="O170" s="2" t="s">
        <v>240</v>
      </c>
      <c r="P170" s="2" t="s">
        <v>266</v>
      </c>
      <c r="Q170" s="2" t="s">
        <v>234</v>
      </c>
      <c r="R170" s="2" t="s">
        <v>228</v>
      </c>
      <c r="S170" s="2" t="s">
        <v>1227</v>
      </c>
      <c r="T170" s="2" t="s">
        <v>350</v>
      </c>
      <c r="U170" s="2" t="s">
        <v>500</v>
      </c>
      <c r="V170" s="2" t="s">
        <v>1228</v>
      </c>
      <c r="W170" s="2" t="s">
        <v>843</v>
      </c>
      <c r="X170" s="2" t="s">
        <v>1229</v>
      </c>
      <c r="Y170" s="2" t="s">
        <v>270</v>
      </c>
      <c r="Z170" s="4">
        <v>134</v>
      </c>
      <c r="AA170" s="4">
        <f>=ROUNDDOWN(33.5,0)</f>
      </c>
      <c r="AB170" s="5">
        <v>4</v>
      </c>
      <c r="AC170" s="2" t="s">
        <v>228</v>
      </c>
      <c r="AD170" s="4"/>
      <c r="AE170" s="4"/>
      <c r="AF170" s="6">
        <v>65</v>
      </c>
      <c r="AG170" s="6">
        <v>73</v>
      </c>
      <c r="AH170" s="7">
        <v>1</v>
      </c>
      <c r="AI170" s="4"/>
      <c r="AJ170" s="4">
        <f>=ROUNDDOWN({0},0)</f>
      </c>
      <c r="AK170" s="5"/>
      <c r="AL170" s="2" t="s">
        <v>228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228</v>
      </c>
      <c r="AW170" s="8" t="s">
        <v>228</v>
      </c>
      <c r="AX170" s="4" t="s">
        <v>228</v>
      </c>
      <c r="AY170" s="8" t="s">
        <v>228</v>
      </c>
      <c r="AZ170" s="7" t="s">
        <v>228</v>
      </c>
      <c r="BA170" s="7" t="s">
        <v>228</v>
      </c>
      <c r="BB170" s="7"/>
      <c r="BC170" s="4" t="s">
        <v>228</v>
      </c>
      <c r="BD170" s="8" t="s">
        <v>228</v>
      </c>
      <c r="BE170" s="4" t="s">
        <v>228</v>
      </c>
      <c r="BF170" s="8" t="s">
        <v>228</v>
      </c>
      <c r="BG170" s="7" t="s">
        <v>228</v>
      </c>
      <c r="BH170" s="7" t="s">
        <v>228</v>
      </c>
      <c r="BI170" s="7"/>
      <c r="BJ170" s="4">
        <v>6</v>
      </c>
      <c r="BK170" s="8">
        <v>429.58</v>
      </c>
      <c r="BL170" s="2" t="s">
        <v>1234</v>
      </c>
      <c r="BM170" s="7"/>
      <c r="BN170" s="7"/>
      <c r="BO170" s="4"/>
      <c r="BP170" s="8"/>
      <c r="BQ170" s="4"/>
      <c r="BR170" s="8"/>
      <c r="BS170" s="7"/>
      <c r="BT170" s="7"/>
      <c r="BU170" s="2" t="s">
        <v>1235</v>
      </c>
      <c r="BV170" s="2" t="s">
        <v>228</v>
      </c>
      <c r="BW170" s="2" t="s">
        <v>228</v>
      </c>
      <c r="BX170" s="2" t="s">
        <v>273</v>
      </c>
      <c r="BY170" s="2" t="s">
        <v>274</v>
      </c>
      <c r="BZ170" s="2" t="s">
        <v>240</v>
      </c>
      <c r="CA170" s="2" t="s">
        <v>1231</v>
      </c>
      <c r="CB170" s="2" t="s">
        <v>1236</v>
      </c>
      <c r="CC170" s="2" t="s">
        <v>241</v>
      </c>
      <c r="CD170" s="2" t="s">
        <v>228</v>
      </c>
      <c r="CE170" s="4">
        <v>84</v>
      </c>
      <c r="CF170" s="4">
        <v>34</v>
      </c>
      <c r="CG170" s="4"/>
      <c r="CH170" s="4">
        <v>16</v>
      </c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</row>
    <row r="171">
      <c r="A171" s="2" t="s">
        <v>1237</v>
      </c>
      <c r="B171" s="2" t="s">
        <v>1150</v>
      </c>
      <c r="C171" s="2" t="s">
        <v>835</v>
      </c>
      <c r="D171" s="2" t="s">
        <v>850</v>
      </c>
      <c r="E171" s="2" t="s">
        <v>851</v>
      </c>
      <c r="F171" s="2" t="s">
        <v>1225</v>
      </c>
      <c r="G171" s="2" t="s">
        <v>1225</v>
      </c>
      <c r="H171" s="2" t="s">
        <v>1225</v>
      </c>
      <c r="I171" s="2" t="s">
        <v>1238</v>
      </c>
      <c r="J171" s="2" t="s">
        <v>1189</v>
      </c>
      <c r="K171" s="2" t="s">
        <v>556</v>
      </c>
      <c r="L171" s="3">
        <v>44.1</v>
      </c>
      <c r="M171" s="3">
        <v>46.3</v>
      </c>
      <c r="N171" s="3">
        <v>89.99</v>
      </c>
      <c r="O171" s="2" t="s">
        <v>240</v>
      </c>
      <c r="P171" s="2" t="s">
        <v>922</v>
      </c>
      <c r="Q171" s="2" t="s">
        <v>234</v>
      </c>
      <c r="R171" s="2" t="s">
        <v>228</v>
      </c>
      <c r="S171" s="2" t="s">
        <v>1239</v>
      </c>
      <c r="T171" s="2" t="s">
        <v>228</v>
      </c>
      <c r="U171" s="2" t="s">
        <v>228</v>
      </c>
      <c r="V171" s="2" t="s">
        <v>1228</v>
      </c>
      <c r="W171" s="2" t="s">
        <v>843</v>
      </c>
      <c r="X171" s="2" t="s">
        <v>1229</v>
      </c>
      <c r="Y171" s="2" t="s">
        <v>1055</v>
      </c>
      <c r="Z171" s="4">
        <v>58</v>
      </c>
      <c r="AA171" s="4">
        <f>=ROUNDDOWN(14.5,0)</f>
      </c>
      <c r="AB171" s="5">
        <v>4</v>
      </c>
      <c r="AC171" s="2" t="s">
        <v>228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228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228</v>
      </c>
      <c r="AW171" s="8" t="s">
        <v>228</v>
      </c>
      <c r="AX171" s="4" t="s">
        <v>228</v>
      </c>
      <c r="AY171" s="8" t="s">
        <v>228</v>
      </c>
      <c r="AZ171" s="7" t="s">
        <v>228</v>
      </c>
      <c r="BA171" s="7" t="s">
        <v>228</v>
      </c>
      <c r="BB171" s="7"/>
      <c r="BC171" s="4" t="s">
        <v>228</v>
      </c>
      <c r="BD171" s="8" t="s">
        <v>228</v>
      </c>
      <c r="BE171" s="4" t="s">
        <v>228</v>
      </c>
      <c r="BF171" s="8" t="s">
        <v>228</v>
      </c>
      <c r="BG171" s="7" t="s">
        <v>228</v>
      </c>
      <c r="BH171" s="7" t="s">
        <v>228</v>
      </c>
      <c r="BI171" s="7"/>
      <c r="BJ171" s="4">
        <v>8</v>
      </c>
      <c r="BK171" s="8">
        <v>337.6</v>
      </c>
      <c r="BL171" s="2" t="s">
        <v>1240</v>
      </c>
      <c r="BM171" s="7"/>
      <c r="BN171" s="7"/>
      <c r="BO171" s="4"/>
      <c r="BP171" s="8"/>
      <c r="BQ171" s="4"/>
      <c r="BR171" s="8"/>
      <c r="BS171" s="7"/>
      <c r="BT171" s="7"/>
      <c r="BU171" s="2" t="s">
        <v>1241</v>
      </c>
      <c r="BV171" s="2" t="s">
        <v>228</v>
      </c>
      <c r="BW171" s="2" t="s">
        <v>228</v>
      </c>
      <c r="BX171" s="2" t="s">
        <v>337</v>
      </c>
      <c r="BY171" s="2" t="s">
        <v>274</v>
      </c>
      <c r="BZ171" s="2" t="s">
        <v>240</v>
      </c>
      <c r="CA171" s="2" t="s">
        <v>1242</v>
      </c>
      <c r="CB171" s="2" t="s">
        <v>1243</v>
      </c>
      <c r="CC171" s="2" t="s">
        <v>241</v>
      </c>
      <c r="CD171" s="2" t="s">
        <v>228</v>
      </c>
      <c r="CE171" s="4">
        <v>54</v>
      </c>
      <c r="CF171" s="4">
        <v>4</v>
      </c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</row>
    <row r="172">
      <c r="A172" s="2" t="s">
        <v>1244</v>
      </c>
      <c r="B172" s="2" t="s">
        <v>1150</v>
      </c>
      <c r="C172" s="2" t="s">
        <v>835</v>
      </c>
      <c r="D172" s="2" t="s">
        <v>850</v>
      </c>
      <c r="E172" s="2" t="s">
        <v>851</v>
      </c>
      <c r="F172" s="2" t="s">
        <v>1225</v>
      </c>
      <c r="G172" s="2" t="s">
        <v>1225</v>
      </c>
      <c r="H172" s="2" t="s">
        <v>1225</v>
      </c>
      <c r="I172" s="2" t="s">
        <v>1238</v>
      </c>
      <c r="J172" s="2" t="s">
        <v>1043</v>
      </c>
      <c r="K172" s="2" t="s">
        <v>556</v>
      </c>
      <c r="L172" s="3">
        <v>58.5</v>
      </c>
      <c r="M172" s="3">
        <v>61.42</v>
      </c>
      <c r="N172" s="3">
        <v>119.99</v>
      </c>
      <c r="O172" s="2" t="s">
        <v>240</v>
      </c>
      <c r="P172" s="2" t="s">
        <v>922</v>
      </c>
      <c r="Q172" s="2" t="s">
        <v>234</v>
      </c>
      <c r="R172" s="2" t="s">
        <v>228</v>
      </c>
      <c r="S172" s="2" t="s">
        <v>1239</v>
      </c>
      <c r="T172" s="2" t="s">
        <v>228</v>
      </c>
      <c r="U172" s="2" t="s">
        <v>228</v>
      </c>
      <c r="V172" s="2" t="s">
        <v>1228</v>
      </c>
      <c r="W172" s="2" t="s">
        <v>843</v>
      </c>
      <c r="X172" s="2" t="s">
        <v>1229</v>
      </c>
      <c r="Y172" s="2" t="s">
        <v>1055</v>
      </c>
      <c r="Z172" s="4"/>
      <c r="AA172" s="4">
        <f>=ROUNDDOWN({0},0)</f>
      </c>
      <c r="AB172" s="5">
        <v>3</v>
      </c>
      <c r="AC172" s="2" t="s">
        <v>228</v>
      </c>
      <c r="AD172" s="4"/>
      <c r="AE172" s="4"/>
      <c r="AF172" s="6">
        <v>65</v>
      </c>
      <c r="AG172" s="6"/>
      <c r="AH172" s="7">
        <v>0.871</v>
      </c>
      <c r="AI172" s="4"/>
      <c r="AJ172" s="4">
        <f>=ROUNDDOWN({0},0)</f>
      </c>
      <c r="AK172" s="5"/>
      <c r="AL172" s="2" t="s">
        <v>228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228</v>
      </c>
      <c r="AW172" s="8" t="s">
        <v>228</v>
      </c>
      <c r="AX172" s="4" t="s">
        <v>228</v>
      </c>
      <c r="AY172" s="8" t="s">
        <v>228</v>
      </c>
      <c r="AZ172" s="7" t="s">
        <v>228</v>
      </c>
      <c r="BA172" s="7" t="s">
        <v>228</v>
      </c>
      <c r="BB172" s="7"/>
      <c r="BC172" s="4" t="s">
        <v>228</v>
      </c>
      <c r="BD172" s="8" t="s">
        <v>228</v>
      </c>
      <c r="BE172" s="4" t="s">
        <v>228</v>
      </c>
      <c r="BF172" s="8" t="s">
        <v>228</v>
      </c>
      <c r="BG172" s="7" t="s">
        <v>228</v>
      </c>
      <c r="BH172" s="7" t="s">
        <v>228</v>
      </c>
      <c r="BI172" s="7"/>
      <c r="BJ172" s="4">
        <v>7</v>
      </c>
      <c r="BK172" s="8">
        <v>415.09</v>
      </c>
      <c r="BL172" s="2" t="s">
        <v>1245</v>
      </c>
      <c r="BM172" s="7"/>
      <c r="BN172" s="7"/>
      <c r="BO172" s="4"/>
      <c r="BP172" s="8"/>
      <c r="BQ172" s="4"/>
      <c r="BR172" s="8"/>
      <c r="BS172" s="7"/>
      <c r="BT172" s="7"/>
      <c r="BU172" s="2" t="s">
        <v>1246</v>
      </c>
      <c r="BV172" s="2" t="s">
        <v>228</v>
      </c>
      <c r="BW172" s="2" t="s">
        <v>228</v>
      </c>
      <c r="BX172" s="2" t="s">
        <v>337</v>
      </c>
      <c r="BY172" s="2" t="s">
        <v>274</v>
      </c>
      <c r="BZ172" s="2" t="s">
        <v>240</v>
      </c>
      <c r="CA172" s="2" t="s">
        <v>1242</v>
      </c>
      <c r="CB172" s="2" t="s">
        <v>1247</v>
      </c>
      <c r="CC172" s="2" t="s">
        <v>241</v>
      </c>
      <c r="CD172" s="2" t="s">
        <v>228</v>
      </c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</row>
    <row r="173">
      <c r="A173" s="2" t="s">
        <v>1248</v>
      </c>
      <c r="B173" s="2" t="s">
        <v>1150</v>
      </c>
      <c r="C173" s="2" t="s">
        <v>835</v>
      </c>
      <c r="D173" s="2" t="s">
        <v>1112</v>
      </c>
      <c r="E173" s="2" t="s">
        <v>1113</v>
      </c>
      <c r="F173" s="2" t="s">
        <v>1225</v>
      </c>
      <c r="G173" s="2" t="s">
        <v>1225</v>
      </c>
      <c r="H173" s="2" t="s">
        <v>1225</v>
      </c>
      <c r="I173" s="2" t="s">
        <v>1249</v>
      </c>
      <c r="J173" s="2" t="s">
        <v>1189</v>
      </c>
      <c r="K173" s="2" t="s">
        <v>1077</v>
      </c>
      <c r="L173" s="3">
        <v>54</v>
      </c>
      <c r="M173" s="3">
        <v>56.7</v>
      </c>
      <c r="N173" s="3">
        <v>109.99</v>
      </c>
      <c r="O173" s="2" t="s">
        <v>240</v>
      </c>
      <c r="P173" s="2" t="s">
        <v>715</v>
      </c>
      <c r="Q173" s="2" t="s">
        <v>234</v>
      </c>
      <c r="R173" s="2" t="s">
        <v>228</v>
      </c>
      <c r="S173" s="2" t="s">
        <v>1250</v>
      </c>
      <c r="T173" s="2" t="s">
        <v>350</v>
      </c>
      <c r="U173" s="2" t="s">
        <v>500</v>
      </c>
      <c r="V173" s="2" t="s">
        <v>1228</v>
      </c>
      <c r="W173" s="2" t="s">
        <v>843</v>
      </c>
      <c r="X173" s="2" t="s">
        <v>1229</v>
      </c>
      <c r="Y173" s="2" t="s">
        <v>270</v>
      </c>
      <c r="Z173" s="4">
        <v>212</v>
      </c>
      <c r="AA173" s="4">
        <f>=ROUNDDOWN(26.5,0)</f>
      </c>
      <c r="AB173" s="5">
        <v>8</v>
      </c>
      <c r="AC173" s="2" t="s">
        <v>157</v>
      </c>
      <c r="AD173" s="4">
        <v>100</v>
      </c>
      <c r="AE173" s="4">
        <v>300</v>
      </c>
      <c r="AF173" s="6">
        <v>65</v>
      </c>
      <c r="AG173" s="6">
        <v>73</v>
      </c>
      <c r="AH173" s="7">
        <v>1</v>
      </c>
      <c r="AI173" s="4"/>
      <c r="AJ173" s="4">
        <f>=ROUNDDOWN({0},0)</f>
      </c>
      <c r="AK173" s="5"/>
      <c r="AL173" s="2" t="s">
        <v>228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228</v>
      </c>
      <c r="AW173" s="8" t="s">
        <v>228</v>
      </c>
      <c r="AX173" s="4" t="s">
        <v>228</v>
      </c>
      <c r="AY173" s="8" t="s">
        <v>228</v>
      </c>
      <c r="AZ173" s="7" t="s">
        <v>228</v>
      </c>
      <c r="BA173" s="7" t="s">
        <v>228</v>
      </c>
      <c r="BB173" s="7" t="s">
        <v>228</v>
      </c>
      <c r="BC173" s="4" t="s">
        <v>228</v>
      </c>
      <c r="BD173" s="8" t="s">
        <v>228</v>
      </c>
      <c r="BE173" s="4" t="s">
        <v>228</v>
      </c>
      <c r="BF173" s="8" t="s">
        <v>228</v>
      </c>
      <c r="BG173" s="7" t="s">
        <v>228</v>
      </c>
      <c r="BH173" s="7" t="s">
        <v>228</v>
      </c>
      <c r="BI173" s="7"/>
      <c r="BJ173" s="4">
        <v>24</v>
      </c>
      <c r="BK173" s="8">
        <v>1524.97</v>
      </c>
      <c r="BL173" s="2" t="s">
        <v>398</v>
      </c>
      <c r="BM173" s="7"/>
      <c r="BN173" s="7"/>
      <c r="BO173" s="4"/>
      <c r="BP173" s="8"/>
      <c r="BQ173" s="4"/>
      <c r="BR173" s="8"/>
      <c r="BS173" s="7"/>
      <c r="BT173" s="7"/>
      <c r="BU173" s="2" t="s">
        <v>1251</v>
      </c>
      <c r="BV173" s="2" t="s">
        <v>228</v>
      </c>
      <c r="BW173" s="2" t="s">
        <v>228</v>
      </c>
      <c r="BX173" s="2" t="s">
        <v>273</v>
      </c>
      <c r="BY173" s="2" t="s">
        <v>274</v>
      </c>
      <c r="BZ173" s="2" t="s">
        <v>240</v>
      </c>
      <c r="CA173" s="2" t="s">
        <v>1231</v>
      </c>
      <c r="CB173" s="2" t="s">
        <v>1232</v>
      </c>
      <c r="CC173" s="2" t="s">
        <v>241</v>
      </c>
      <c r="CD173" s="2" t="s">
        <v>228</v>
      </c>
      <c r="CE173" s="4">
        <v>166</v>
      </c>
      <c r="CF173" s="4"/>
      <c r="CG173" s="4"/>
      <c r="CH173" s="4">
        <v>46</v>
      </c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>
        <v>100</v>
      </c>
      <c r="ET173" s="4"/>
      <c r="EU173" s="4">
        <v>200</v>
      </c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</row>
    <row r="174">
      <c r="A174" s="2" t="s">
        <v>1252</v>
      </c>
      <c r="B174" s="2" t="s">
        <v>1150</v>
      </c>
      <c r="C174" s="2" t="s">
        <v>835</v>
      </c>
      <c r="D174" s="2" t="s">
        <v>850</v>
      </c>
      <c r="E174" s="2" t="s">
        <v>1038</v>
      </c>
      <c r="F174" s="2" t="s">
        <v>1225</v>
      </c>
      <c r="G174" s="2" t="s">
        <v>1225</v>
      </c>
      <c r="H174" s="2" t="s">
        <v>1225</v>
      </c>
      <c r="I174" s="2" t="s">
        <v>1226</v>
      </c>
      <c r="J174" s="2" t="s">
        <v>1189</v>
      </c>
      <c r="K174" s="2" t="s">
        <v>1077</v>
      </c>
      <c r="L174" s="3">
        <v>44.1</v>
      </c>
      <c r="M174" s="3">
        <v>46.3</v>
      </c>
      <c r="N174" s="3">
        <v>89.99</v>
      </c>
      <c r="O174" s="2" t="s">
        <v>240</v>
      </c>
      <c r="P174" s="2" t="s">
        <v>266</v>
      </c>
      <c r="Q174" s="2" t="s">
        <v>234</v>
      </c>
      <c r="R174" s="2" t="s">
        <v>228</v>
      </c>
      <c r="S174" s="2" t="s">
        <v>1250</v>
      </c>
      <c r="T174" s="2" t="s">
        <v>350</v>
      </c>
      <c r="U174" s="2" t="s">
        <v>500</v>
      </c>
      <c r="V174" s="2" t="s">
        <v>1228</v>
      </c>
      <c r="W174" s="2" t="s">
        <v>843</v>
      </c>
      <c r="X174" s="2" t="s">
        <v>1229</v>
      </c>
      <c r="Y174" s="2" t="s">
        <v>270</v>
      </c>
      <c r="Z174" s="4">
        <v>167</v>
      </c>
      <c r="AA174" s="4">
        <f>=ROUNDDOWN(27.8333333333333,0)</f>
      </c>
      <c r="AB174" s="5">
        <v>6</v>
      </c>
      <c r="AC174" s="2" t="s">
        <v>159</v>
      </c>
      <c r="AD174" s="4">
        <v>50</v>
      </c>
      <c r="AE174" s="4">
        <v>50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228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228</v>
      </c>
      <c r="AW174" s="8" t="s">
        <v>228</v>
      </c>
      <c r="AX174" s="4" t="s">
        <v>228</v>
      </c>
      <c r="AY174" s="8" t="s">
        <v>228</v>
      </c>
      <c r="AZ174" s="7" t="s">
        <v>228</v>
      </c>
      <c r="BA174" s="7" t="s">
        <v>228</v>
      </c>
      <c r="BB174" s="7" t="s">
        <v>228</v>
      </c>
      <c r="BC174" s="4" t="s">
        <v>228</v>
      </c>
      <c r="BD174" s="8" t="s">
        <v>228</v>
      </c>
      <c r="BE174" s="4" t="s">
        <v>228</v>
      </c>
      <c r="BF174" s="8" t="s">
        <v>228</v>
      </c>
      <c r="BG174" s="7" t="s">
        <v>228</v>
      </c>
      <c r="BH174" s="7" t="s">
        <v>228</v>
      </c>
      <c r="BI174" s="7"/>
      <c r="BJ174" s="4">
        <v>25</v>
      </c>
      <c r="BK174" s="8">
        <v>1284.8</v>
      </c>
      <c r="BL174" s="2" t="s">
        <v>1253</v>
      </c>
      <c r="BM174" s="7"/>
      <c r="BN174" s="7"/>
      <c r="BO174" s="4"/>
      <c r="BP174" s="8"/>
      <c r="BQ174" s="4"/>
      <c r="BR174" s="8"/>
      <c r="BS174" s="7"/>
      <c r="BT174" s="7"/>
      <c r="BU174" s="2" t="s">
        <v>1254</v>
      </c>
      <c r="BV174" s="2" t="s">
        <v>228</v>
      </c>
      <c r="BW174" s="2" t="s">
        <v>228</v>
      </c>
      <c r="BX174" s="2" t="s">
        <v>273</v>
      </c>
      <c r="BY174" s="2" t="s">
        <v>274</v>
      </c>
      <c r="BZ174" s="2" t="s">
        <v>240</v>
      </c>
      <c r="CA174" s="2" t="s">
        <v>1231</v>
      </c>
      <c r="CB174" s="2" t="s">
        <v>1255</v>
      </c>
      <c r="CC174" s="2" t="s">
        <v>241</v>
      </c>
      <c r="CD174" s="2" t="s">
        <v>228</v>
      </c>
      <c r="CE174" s="4">
        <v>167</v>
      </c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>
        <v>50</v>
      </c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</row>
    <row r="175">
      <c r="A175" s="2" t="s">
        <v>1256</v>
      </c>
      <c r="B175" s="2" t="s">
        <v>958</v>
      </c>
      <c r="C175" s="2" t="s">
        <v>773</v>
      </c>
      <c r="D175" s="2" t="s">
        <v>1257</v>
      </c>
      <c r="E175" s="2" t="s">
        <v>238</v>
      </c>
      <c r="F175" s="2" t="s">
        <v>1258</v>
      </c>
      <c r="G175" s="2" t="s">
        <v>1258</v>
      </c>
      <c r="H175" s="2" t="s">
        <v>1258</v>
      </c>
      <c r="I175" s="2" t="s">
        <v>228</v>
      </c>
      <c r="J175" s="2" t="s">
        <v>1259</v>
      </c>
      <c r="K175" s="2" t="s">
        <v>305</v>
      </c>
      <c r="L175" s="3">
        <v>81.19</v>
      </c>
      <c r="M175" s="3"/>
      <c r="N175" s="3"/>
      <c r="O175" s="2" t="s">
        <v>232</v>
      </c>
      <c r="P175" s="2" t="s">
        <v>228</v>
      </c>
      <c r="Q175" s="2" t="s">
        <v>228</v>
      </c>
      <c r="R175" s="2" t="s">
        <v>228</v>
      </c>
      <c r="S175" s="2" t="s">
        <v>228</v>
      </c>
      <c r="T175" s="2" t="s">
        <v>228</v>
      </c>
      <c r="U175" s="2" t="s">
        <v>228</v>
      </c>
      <c r="V175" s="2" t="s">
        <v>228</v>
      </c>
      <c r="W175" s="2" t="s">
        <v>228</v>
      </c>
      <c r="X175" s="2" t="s">
        <v>228</v>
      </c>
      <c r="Y175" s="2" t="s">
        <v>228</v>
      </c>
      <c r="Z175" s="4"/>
      <c r="AA175" s="4">
        <f>=ROUNDDOWN({0},0)</f>
      </c>
      <c r="AB175" s="5"/>
      <c r="AC175" s="2" t="s">
        <v>228</v>
      </c>
      <c r="AD175" s="4"/>
      <c r="AE175" s="4"/>
      <c r="AF175" s="6"/>
      <c r="AG175" s="6"/>
      <c r="AH175" s="7"/>
      <c r="AI175" s="4"/>
      <c r="AJ175" s="4">
        <f>=ROUNDDOWN({0},0)</f>
      </c>
      <c r="AK175" s="5"/>
      <c r="AL175" s="2" t="s">
        <v>228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/>
      <c r="BD175" s="8"/>
      <c r="BE175" s="4"/>
      <c r="BF175" s="8"/>
      <c r="BG175" s="7"/>
      <c r="BH175" s="7"/>
      <c r="BI175" s="7"/>
      <c r="BJ175" s="4"/>
      <c r="BK175" s="8"/>
      <c r="BL175" s="2" t="s">
        <v>228</v>
      </c>
      <c r="BM175" s="7"/>
      <c r="BN175" s="7"/>
      <c r="BO175" s="4"/>
      <c r="BP175" s="8"/>
      <c r="BQ175" s="4"/>
      <c r="BR175" s="8"/>
      <c r="BS175" s="7"/>
      <c r="BT175" s="7"/>
      <c r="BU175" s="2" t="s">
        <v>228</v>
      </c>
      <c r="BV175" s="2" t="s">
        <v>228</v>
      </c>
      <c r="BW175" s="2" t="s">
        <v>228</v>
      </c>
      <c r="BX175" s="2" t="s">
        <v>228</v>
      </c>
      <c r="BY175" s="2" t="s">
        <v>228</v>
      </c>
      <c r="BZ175" s="2" t="s">
        <v>228</v>
      </c>
      <c r="CA175" s="2" t="s">
        <v>228</v>
      </c>
      <c r="CB175" s="2" t="s">
        <v>228</v>
      </c>
      <c r="CC175" s="2" t="s">
        <v>228</v>
      </c>
      <c r="CD175" s="2" t="s">
        <v>228</v>
      </c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</row>
    <row r="176">
      <c r="A176" s="2" t="s">
        <v>1260</v>
      </c>
      <c r="B176" s="2" t="s">
        <v>223</v>
      </c>
      <c r="C176" s="2" t="s">
        <v>1261</v>
      </c>
      <c r="D176" s="2" t="s">
        <v>1112</v>
      </c>
      <c r="E176" s="2" t="s">
        <v>1165</v>
      </c>
      <c r="F176" s="2" t="s">
        <v>1262</v>
      </c>
      <c r="G176" s="2" t="s">
        <v>1262</v>
      </c>
      <c r="H176" s="2" t="s">
        <v>1262</v>
      </c>
      <c r="I176" s="2" t="s">
        <v>1263</v>
      </c>
      <c r="J176" s="2" t="s">
        <v>294</v>
      </c>
      <c r="K176" s="2" t="s">
        <v>1264</v>
      </c>
      <c r="L176" s="3">
        <v>63.11</v>
      </c>
      <c r="M176" s="3">
        <v>66.27</v>
      </c>
      <c r="N176" s="3">
        <v>132.99</v>
      </c>
      <c r="O176" s="2" t="s">
        <v>240</v>
      </c>
      <c r="P176" s="2" t="s">
        <v>715</v>
      </c>
      <c r="Q176" s="2" t="s">
        <v>234</v>
      </c>
      <c r="R176" s="2" t="s">
        <v>228</v>
      </c>
      <c r="S176" s="2" t="s">
        <v>1265</v>
      </c>
      <c r="T176" s="2" t="s">
        <v>1266</v>
      </c>
      <c r="U176" s="2" t="s">
        <v>308</v>
      </c>
      <c r="V176" s="2" t="s">
        <v>236</v>
      </c>
      <c r="W176" s="2" t="s">
        <v>1267</v>
      </c>
      <c r="X176" s="2" t="s">
        <v>1268</v>
      </c>
      <c r="Y176" s="2" t="s">
        <v>1269</v>
      </c>
      <c r="Z176" s="4">
        <v>169</v>
      </c>
      <c r="AA176" s="4">
        <f>=ROUNDDOWN(24.8529411764706,0)</f>
      </c>
      <c r="AB176" s="5">
        <v>6.8</v>
      </c>
      <c r="AC176" s="2" t="s">
        <v>1270</v>
      </c>
      <c r="AD176" s="4">
        <v>240</v>
      </c>
      <c r="AE176" s="4">
        <v>700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228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/>
      <c r="AW176" s="8"/>
      <c r="AX176" s="4"/>
      <c r="AY176" s="8"/>
      <c r="AZ176" s="7"/>
      <c r="BA176" s="7"/>
      <c r="BB176" s="7"/>
      <c r="BC176" s="4"/>
      <c r="BD176" s="8"/>
      <c r="BE176" s="4"/>
      <c r="BF176" s="8"/>
      <c r="BG176" s="7"/>
      <c r="BH176" s="7"/>
      <c r="BI176" s="7"/>
      <c r="BJ176" s="4">
        <v>9</v>
      </c>
      <c r="BK176" s="8">
        <v>535.03</v>
      </c>
      <c r="BL176" s="2" t="s">
        <v>1271</v>
      </c>
      <c r="BM176" s="7"/>
      <c r="BN176" s="7"/>
      <c r="BO176" s="4"/>
      <c r="BP176" s="8"/>
      <c r="BQ176" s="4"/>
      <c r="BR176" s="8"/>
      <c r="BS176" s="7"/>
      <c r="BT176" s="7"/>
      <c r="BU176" s="2" t="s">
        <v>1272</v>
      </c>
      <c r="BV176" s="2" t="s">
        <v>228</v>
      </c>
      <c r="BW176" s="2" t="s">
        <v>228</v>
      </c>
      <c r="BX176" s="2" t="s">
        <v>735</v>
      </c>
      <c r="BY176" s="2" t="s">
        <v>274</v>
      </c>
      <c r="BZ176" s="2" t="s">
        <v>240</v>
      </c>
      <c r="CA176" s="2" t="s">
        <v>1273</v>
      </c>
      <c r="CB176" s="2" t="s">
        <v>1274</v>
      </c>
      <c r="CC176" s="2" t="s">
        <v>241</v>
      </c>
      <c r="CD176" s="2" t="s">
        <v>228</v>
      </c>
      <c r="CE176" s="4">
        <v>169</v>
      </c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>
        <v>240</v>
      </c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>
        <v>300</v>
      </c>
      <c r="EW176" s="4"/>
      <c r="EX176" s="4"/>
      <c r="EY176" s="4"/>
      <c r="EZ176" s="4"/>
      <c r="FA176" s="4"/>
      <c r="FB176" s="4"/>
      <c r="FC176" s="4"/>
      <c r="FD176" s="4">
        <v>50</v>
      </c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>
        <v>110</v>
      </c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</row>
    <row r="177">
      <c r="A177" s="2" t="s">
        <v>1275</v>
      </c>
      <c r="B177" s="2" t="s">
        <v>1276</v>
      </c>
      <c r="C177" s="2" t="s">
        <v>300</v>
      </c>
      <c r="D177" s="2" t="s">
        <v>1276</v>
      </c>
      <c r="E177" s="2" t="s">
        <v>1276</v>
      </c>
      <c r="F177" s="2" t="s">
        <v>975</v>
      </c>
      <c r="G177" s="2" t="s">
        <v>1277</v>
      </c>
      <c r="H177" s="2" t="s">
        <v>1278</v>
      </c>
      <c r="I177" s="2" t="s">
        <v>1279</v>
      </c>
      <c r="J177" s="2" t="s">
        <v>1280</v>
      </c>
      <c r="K177" s="2" t="s">
        <v>1281</v>
      </c>
      <c r="L177" s="3">
        <v>114.18</v>
      </c>
      <c r="M177" s="3">
        <v>119.89</v>
      </c>
      <c r="N177" s="3">
        <v>254.99</v>
      </c>
      <c r="O177" s="2" t="s">
        <v>461</v>
      </c>
      <c r="P177" s="2" t="s">
        <v>333</v>
      </c>
      <c r="Q177" s="2" t="s">
        <v>234</v>
      </c>
      <c r="R177" s="2" t="s">
        <v>228</v>
      </c>
      <c r="S177" s="2" t="s">
        <v>228</v>
      </c>
      <c r="T177" s="2" t="s">
        <v>228</v>
      </c>
      <c r="U177" s="2" t="s">
        <v>416</v>
      </c>
      <c r="V177" s="2" t="s">
        <v>859</v>
      </c>
      <c r="W177" s="2" t="s">
        <v>417</v>
      </c>
      <c r="X177" s="2" t="s">
        <v>228</v>
      </c>
      <c r="Y177" s="2" t="s">
        <v>1282</v>
      </c>
      <c r="Z177" s="4">
        <v>105</v>
      </c>
      <c r="AA177" s="4">
        <f>=ROUNDDOWN(65.625,0)</f>
      </c>
      <c r="AB177" s="5">
        <v>1.6</v>
      </c>
      <c r="AC177" s="2" t="s">
        <v>228</v>
      </c>
      <c r="AD177" s="4"/>
      <c r="AE177" s="4"/>
      <c r="AF177" s="6">
        <v>63</v>
      </c>
      <c r="AG177" s="6"/>
      <c r="AH177" s="7">
        <v>1</v>
      </c>
      <c r="AI177" s="4"/>
      <c r="AJ177" s="4">
        <f>=ROUNDDOWN({0},0)</f>
      </c>
      <c r="AK177" s="5"/>
      <c r="AL177" s="2" t="s">
        <v>228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/>
      <c r="BD177" s="8"/>
      <c r="BE177" s="4"/>
      <c r="BF177" s="8"/>
      <c r="BG177" s="7"/>
      <c r="BH177" s="7"/>
      <c r="BI177" s="7"/>
      <c r="BJ177" s="4">
        <v>7</v>
      </c>
      <c r="BK177" s="8">
        <v>941.34</v>
      </c>
      <c r="BL177" s="2" t="s">
        <v>1283</v>
      </c>
      <c r="BM177" s="7"/>
      <c r="BN177" s="7"/>
      <c r="BO177" s="4"/>
      <c r="BP177" s="8"/>
      <c r="BQ177" s="4"/>
      <c r="BR177" s="8"/>
      <c r="BS177" s="7"/>
      <c r="BT177" s="7"/>
      <c r="BU177" s="2" t="s">
        <v>1284</v>
      </c>
      <c r="BV177" s="2" t="s">
        <v>228</v>
      </c>
      <c r="BW177" s="2" t="s">
        <v>228</v>
      </c>
      <c r="BX177" s="2" t="s">
        <v>337</v>
      </c>
      <c r="BY177" s="2" t="s">
        <v>274</v>
      </c>
      <c r="BZ177" s="2" t="s">
        <v>240</v>
      </c>
      <c r="CA177" s="2" t="s">
        <v>1285</v>
      </c>
      <c r="CB177" s="2" t="s">
        <v>1286</v>
      </c>
      <c r="CC177" s="2" t="s">
        <v>241</v>
      </c>
      <c r="CD177" s="2" t="s">
        <v>228</v>
      </c>
      <c r="CE177" s="4"/>
      <c r="CF177" s="4">
        <v>105</v>
      </c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</row>
    <row r="178">
      <c r="A178" s="2" t="s">
        <v>1287</v>
      </c>
      <c r="B178" s="2" t="s">
        <v>834</v>
      </c>
      <c r="C178" s="2" t="s">
        <v>885</v>
      </c>
      <c r="D178" s="2" t="s">
        <v>836</v>
      </c>
      <c r="E178" s="2" t="s">
        <v>837</v>
      </c>
      <c r="F178" s="2" t="s">
        <v>1288</v>
      </c>
      <c r="G178" s="2" t="s">
        <v>1288</v>
      </c>
      <c r="H178" s="2" t="s">
        <v>1288</v>
      </c>
      <c r="I178" s="2" t="s">
        <v>1289</v>
      </c>
      <c r="J178" s="2" t="s">
        <v>840</v>
      </c>
      <c r="K178" s="2" t="s">
        <v>1290</v>
      </c>
      <c r="L178" s="3">
        <v>142.2</v>
      </c>
      <c r="M178" s="3">
        <v>149.31</v>
      </c>
      <c r="N178" s="3">
        <v>329.99</v>
      </c>
      <c r="O178" s="2" t="s">
        <v>461</v>
      </c>
      <c r="P178" s="2" t="s">
        <v>333</v>
      </c>
      <c r="Q178" s="2" t="s">
        <v>234</v>
      </c>
      <c r="R178" s="2" t="s">
        <v>228</v>
      </c>
      <c r="S178" s="2" t="s">
        <v>228</v>
      </c>
      <c r="T178" s="2" t="s">
        <v>228</v>
      </c>
      <c r="U178" s="2" t="s">
        <v>416</v>
      </c>
      <c r="V178" s="2" t="s">
        <v>842</v>
      </c>
      <c r="W178" s="2" t="s">
        <v>309</v>
      </c>
      <c r="X178" s="2" t="s">
        <v>892</v>
      </c>
      <c r="Y178" s="2" t="s">
        <v>1291</v>
      </c>
      <c r="Z178" s="4">
        <v>93</v>
      </c>
      <c r="AA178" s="4">
        <f>=ROUNDDOWN(93,0)</f>
      </c>
      <c r="AB178" s="5">
        <v>1</v>
      </c>
      <c r="AC178" s="2" t="s">
        <v>228</v>
      </c>
      <c r="AD178" s="4"/>
      <c r="AE178" s="4"/>
      <c r="AF178" s="6">
        <v>63</v>
      </c>
      <c r="AG178" s="6"/>
      <c r="AH178" s="7">
        <v>1</v>
      </c>
      <c r="AI178" s="4"/>
      <c r="AJ178" s="4">
        <f>=ROUNDDOWN({0},0)</f>
      </c>
      <c r="AK178" s="5"/>
      <c r="AL178" s="2" t="s">
        <v>228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/>
      <c r="AW178" s="8"/>
      <c r="AX178" s="4"/>
      <c r="AY178" s="8"/>
      <c r="AZ178" s="7"/>
      <c r="BA178" s="7"/>
      <c r="BB178" s="7"/>
      <c r="BC178" s="4" t="s">
        <v>228</v>
      </c>
      <c r="BD178" s="8" t="s">
        <v>228</v>
      </c>
      <c r="BE178" s="4" t="s">
        <v>228</v>
      </c>
      <c r="BF178" s="8" t="s">
        <v>228</v>
      </c>
      <c r="BG178" s="7" t="s">
        <v>228</v>
      </c>
      <c r="BH178" s="7" t="s">
        <v>228</v>
      </c>
      <c r="BI178" s="7"/>
      <c r="BJ178" s="4"/>
      <c r="BK178" s="8"/>
      <c r="BL178" s="2" t="s">
        <v>228</v>
      </c>
      <c r="BM178" s="7"/>
      <c r="BN178" s="7"/>
      <c r="BO178" s="4"/>
      <c r="BP178" s="8"/>
      <c r="BQ178" s="4"/>
      <c r="BR178" s="8"/>
      <c r="BS178" s="7"/>
      <c r="BT178" s="7"/>
      <c r="BU178" s="2" t="s">
        <v>1292</v>
      </c>
      <c r="BV178" s="2" t="s">
        <v>228</v>
      </c>
      <c r="BW178" s="2" t="s">
        <v>228</v>
      </c>
      <c r="BX178" s="2" t="s">
        <v>337</v>
      </c>
      <c r="BY178" s="2" t="s">
        <v>274</v>
      </c>
      <c r="BZ178" s="2" t="s">
        <v>240</v>
      </c>
      <c r="CA178" s="2" t="s">
        <v>1293</v>
      </c>
      <c r="CB178" s="2" t="s">
        <v>1294</v>
      </c>
      <c r="CC178" s="2" t="s">
        <v>241</v>
      </c>
      <c r="CD178" s="2" t="s">
        <v>228</v>
      </c>
      <c r="CE178" s="4"/>
      <c r="CF178" s="4">
        <v>93</v>
      </c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</row>
    <row r="179">
      <c r="A179" s="2" t="s">
        <v>1295</v>
      </c>
      <c r="B179" s="2" t="s">
        <v>970</v>
      </c>
      <c r="C179" s="2" t="s">
        <v>1296</v>
      </c>
      <c r="D179" s="2" t="s">
        <v>971</v>
      </c>
      <c r="E179" s="2" t="s">
        <v>972</v>
      </c>
      <c r="F179" s="2" t="s">
        <v>1288</v>
      </c>
      <c r="G179" s="2" t="s">
        <v>1297</v>
      </c>
      <c r="H179" s="2" t="s">
        <v>1298</v>
      </c>
      <c r="I179" s="2" t="s">
        <v>1299</v>
      </c>
      <c r="J179" s="2" t="s">
        <v>1300</v>
      </c>
      <c r="K179" s="2" t="s">
        <v>251</v>
      </c>
      <c r="L179" s="3">
        <v>18.5</v>
      </c>
      <c r="M179" s="3">
        <v>19.42</v>
      </c>
      <c r="N179" s="3">
        <v>44.99</v>
      </c>
      <c r="O179" s="2" t="s">
        <v>240</v>
      </c>
      <c r="P179" s="2" t="s">
        <v>333</v>
      </c>
      <c r="Q179" s="2" t="s">
        <v>234</v>
      </c>
      <c r="R179" s="2" t="s">
        <v>228</v>
      </c>
      <c r="S179" s="2" t="s">
        <v>1301</v>
      </c>
      <c r="T179" s="2" t="s">
        <v>228</v>
      </c>
      <c r="U179" s="2" t="s">
        <v>416</v>
      </c>
      <c r="V179" s="2" t="s">
        <v>1302</v>
      </c>
      <c r="W179" s="2" t="s">
        <v>228</v>
      </c>
      <c r="X179" s="2" t="s">
        <v>981</v>
      </c>
      <c r="Y179" s="2" t="s">
        <v>1303</v>
      </c>
      <c r="Z179" s="4">
        <v>32</v>
      </c>
      <c r="AA179" s="4">
        <f>=ROUNDDOWN(3.2,0)</f>
      </c>
      <c r="AB179" s="5">
        <v>10</v>
      </c>
      <c r="AC179" s="2" t="s">
        <v>228</v>
      </c>
      <c r="AD179" s="4"/>
      <c r="AE179" s="4"/>
      <c r="AF179" s="6">
        <v>68</v>
      </c>
      <c r="AG179" s="6"/>
      <c r="AH179" s="7">
        <v>1</v>
      </c>
      <c r="AI179" s="4"/>
      <c r="AJ179" s="4">
        <f>=ROUNDDOWN({0},0)</f>
      </c>
      <c r="AK179" s="5"/>
      <c r="AL179" s="2" t="s">
        <v>228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 t="s">
        <v>228</v>
      </c>
      <c r="BD179" s="8" t="s">
        <v>228</v>
      </c>
      <c r="BE179" s="4" t="s">
        <v>228</v>
      </c>
      <c r="BF179" s="8" t="s">
        <v>228</v>
      </c>
      <c r="BG179" s="7" t="s">
        <v>228</v>
      </c>
      <c r="BH179" s="7" t="s">
        <v>228</v>
      </c>
      <c r="BI179" s="7"/>
      <c r="BJ179" s="4">
        <v>33</v>
      </c>
      <c r="BK179" s="8">
        <v>674.35</v>
      </c>
      <c r="BL179" s="2" t="s">
        <v>1304</v>
      </c>
      <c r="BM179" s="7"/>
      <c r="BN179" s="7"/>
      <c r="BO179" s="4"/>
      <c r="BP179" s="8"/>
      <c r="BQ179" s="4"/>
      <c r="BR179" s="8"/>
      <c r="BS179" s="7"/>
      <c r="BT179" s="7"/>
      <c r="BU179" s="2" t="s">
        <v>1305</v>
      </c>
      <c r="BV179" s="2" t="s">
        <v>228</v>
      </c>
      <c r="BW179" s="2" t="s">
        <v>228</v>
      </c>
      <c r="BX179" s="2" t="s">
        <v>337</v>
      </c>
      <c r="BY179" s="2" t="s">
        <v>274</v>
      </c>
      <c r="BZ179" s="2" t="s">
        <v>240</v>
      </c>
      <c r="CA179" s="2" t="s">
        <v>1306</v>
      </c>
      <c r="CB179" s="2" t="s">
        <v>1307</v>
      </c>
      <c r="CC179" s="2" t="s">
        <v>241</v>
      </c>
      <c r="CD179" s="2" t="s">
        <v>228</v>
      </c>
      <c r="CE179" s="4">
        <v>32</v>
      </c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</row>
    <row r="180">
      <c r="A180" s="2" t="s">
        <v>1308</v>
      </c>
      <c r="B180" s="2" t="s">
        <v>970</v>
      </c>
      <c r="C180" s="2" t="s">
        <v>1296</v>
      </c>
      <c r="D180" s="2" t="s">
        <v>971</v>
      </c>
      <c r="E180" s="2" t="s">
        <v>972</v>
      </c>
      <c r="F180" s="2" t="s">
        <v>1288</v>
      </c>
      <c r="G180" s="2" t="s">
        <v>1297</v>
      </c>
      <c r="H180" s="2" t="s">
        <v>1298</v>
      </c>
      <c r="I180" s="2" t="s">
        <v>1299</v>
      </c>
      <c r="J180" s="2" t="s">
        <v>1309</v>
      </c>
      <c r="K180" s="2" t="s">
        <v>316</v>
      </c>
      <c r="L180" s="3">
        <v>21</v>
      </c>
      <c r="M180" s="3">
        <v>22.05</v>
      </c>
      <c r="N180" s="3">
        <v>49.99</v>
      </c>
      <c r="O180" s="2" t="s">
        <v>240</v>
      </c>
      <c r="P180" s="2" t="s">
        <v>333</v>
      </c>
      <c r="Q180" s="2" t="s">
        <v>234</v>
      </c>
      <c r="R180" s="2" t="s">
        <v>228</v>
      </c>
      <c r="S180" s="2" t="s">
        <v>1310</v>
      </c>
      <c r="T180" s="2" t="s">
        <v>228</v>
      </c>
      <c r="U180" s="2" t="s">
        <v>416</v>
      </c>
      <c r="V180" s="2" t="s">
        <v>1302</v>
      </c>
      <c r="W180" s="2" t="s">
        <v>228</v>
      </c>
      <c r="X180" s="2" t="s">
        <v>981</v>
      </c>
      <c r="Y180" s="2" t="s">
        <v>1303</v>
      </c>
      <c r="Z180" s="4">
        <v>158</v>
      </c>
      <c r="AA180" s="4">
        <f>=ROUNDDOWN(52.6666666666667,0)</f>
      </c>
      <c r="AB180" s="5">
        <v>3</v>
      </c>
      <c r="AC180" s="2" t="s">
        <v>228</v>
      </c>
      <c r="AD180" s="4"/>
      <c r="AE180" s="4"/>
      <c r="AF180" s="6">
        <v>68</v>
      </c>
      <c r="AG180" s="6"/>
      <c r="AH180" s="7">
        <v>1</v>
      </c>
      <c r="AI180" s="4"/>
      <c r="AJ180" s="4">
        <f>=ROUNDDOWN({0},0)</f>
      </c>
      <c r="AK180" s="5"/>
      <c r="AL180" s="2" t="s">
        <v>228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 t="s">
        <v>228</v>
      </c>
      <c r="BD180" s="8" t="s">
        <v>228</v>
      </c>
      <c r="BE180" s="4" t="s">
        <v>228</v>
      </c>
      <c r="BF180" s="8" t="s">
        <v>228</v>
      </c>
      <c r="BG180" s="7" t="s">
        <v>228</v>
      </c>
      <c r="BH180" s="7" t="s">
        <v>228</v>
      </c>
      <c r="BI180" s="7"/>
      <c r="BJ180" s="4">
        <v>14</v>
      </c>
      <c r="BK180" s="8">
        <v>321.36</v>
      </c>
      <c r="BL180" s="2" t="s">
        <v>1311</v>
      </c>
      <c r="BM180" s="7"/>
      <c r="BN180" s="7"/>
      <c r="BO180" s="4"/>
      <c r="BP180" s="8"/>
      <c r="BQ180" s="4"/>
      <c r="BR180" s="8"/>
      <c r="BS180" s="7"/>
      <c r="BT180" s="7"/>
      <c r="BU180" s="2" t="s">
        <v>1312</v>
      </c>
      <c r="BV180" s="2" t="s">
        <v>228</v>
      </c>
      <c r="BW180" s="2" t="s">
        <v>228</v>
      </c>
      <c r="BX180" s="2" t="s">
        <v>337</v>
      </c>
      <c r="BY180" s="2" t="s">
        <v>274</v>
      </c>
      <c r="BZ180" s="2" t="s">
        <v>240</v>
      </c>
      <c r="CA180" s="2" t="s">
        <v>1313</v>
      </c>
      <c r="CB180" s="2" t="s">
        <v>1314</v>
      </c>
      <c r="CC180" s="2" t="s">
        <v>241</v>
      </c>
      <c r="CD180" s="2" t="s">
        <v>228</v>
      </c>
      <c r="CE180" s="4">
        <v>158</v>
      </c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</row>
    <row r="181">
      <c r="A181" s="2" t="s">
        <v>1315</v>
      </c>
      <c r="B181" s="2" t="s">
        <v>1150</v>
      </c>
      <c r="C181" s="2" t="s">
        <v>731</v>
      </c>
      <c r="D181" s="2" t="s">
        <v>1316</v>
      </c>
      <c r="E181" s="2" t="s">
        <v>1317</v>
      </c>
      <c r="F181" s="2" t="s">
        <v>1318</v>
      </c>
      <c r="G181" s="2" t="s">
        <v>1318</v>
      </c>
      <c r="H181" s="2" t="s">
        <v>1318</v>
      </c>
      <c r="I181" s="2" t="s">
        <v>1319</v>
      </c>
      <c r="J181" s="2" t="s">
        <v>1189</v>
      </c>
      <c r="K181" s="2" t="s">
        <v>249</v>
      </c>
      <c r="L181" s="3">
        <v>28.75</v>
      </c>
      <c r="M181" s="3">
        <v>30.19</v>
      </c>
      <c r="N181" s="3">
        <v>59.99</v>
      </c>
      <c r="O181" s="2" t="s">
        <v>240</v>
      </c>
      <c r="P181" s="2" t="s">
        <v>333</v>
      </c>
      <c r="Q181" s="2" t="s">
        <v>234</v>
      </c>
      <c r="R181" s="2" t="s">
        <v>228</v>
      </c>
      <c r="S181" s="2" t="s">
        <v>1320</v>
      </c>
      <c r="T181" s="2" t="s">
        <v>228</v>
      </c>
      <c r="U181" s="2" t="s">
        <v>500</v>
      </c>
      <c r="V181" s="2" t="s">
        <v>236</v>
      </c>
      <c r="W181" s="2" t="s">
        <v>309</v>
      </c>
      <c r="X181" s="2" t="s">
        <v>463</v>
      </c>
      <c r="Y181" s="2" t="s">
        <v>1321</v>
      </c>
      <c r="Z181" s="4">
        <v>57</v>
      </c>
      <c r="AA181" s="4">
        <f>=ROUNDDOWN(12.1276595744681,0)</f>
      </c>
      <c r="AB181" s="5">
        <v>4.7</v>
      </c>
      <c r="AC181" s="2" t="s">
        <v>228</v>
      </c>
      <c r="AD181" s="4"/>
      <c r="AE181" s="4"/>
      <c r="AF181" s="6"/>
      <c r="AG181" s="6"/>
      <c r="AH181" s="7">
        <v>1</v>
      </c>
      <c r="AI181" s="4"/>
      <c r="AJ181" s="4">
        <f>=ROUNDDOWN({0},0)</f>
      </c>
      <c r="AK181" s="5"/>
      <c r="AL181" s="2" t="s">
        <v>228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/>
      <c r="BD181" s="8"/>
      <c r="BE181" s="4"/>
      <c r="BF181" s="8"/>
      <c r="BG181" s="7"/>
      <c r="BH181" s="7"/>
      <c r="BI181" s="7"/>
      <c r="BJ181" s="4">
        <v>22</v>
      </c>
      <c r="BK181" s="8">
        <v>305.76</v>
      </c>
      <c r="BL181" s="2" t="s">
        <v>1322</v>
      </c>
      <c r="BM181" s="7"/>
      <c r="BN181" s="7"/>
      <c r="BO181" s="4"/>
      <c r="BP181" s="8"/>
      <c r="BQ181" s="4"/>
      <c r="BR181" s="8"/>
      <c r="BS181" s="7"/>
      <c r="BT181" s="7"/>
      <c r="BU181" s="2" t="s">
        <v>1323</v>
      </c>
      <c r="BV181" s="2" t="s">
        <v>228</v>
      </c>
      <c r="BW181" s="2" t="s">
        <v>228</v>
      </c>
      <c r="BX181" s="2" t="s">
        <v>337</v>
      </c>
      <c r="BY181" s="2" t="s">
        <v>274</v>
      </c>
      <c r="BZ181" s="2" t="s">
        <v>240</v>
      </c>
      <c r="CA181" s="2" t="s">
        <v>1324</v>
      </c>
      <c r="CB181" s="2" t="s">
        <v>228</v>
      </c>
      <c r="CC181" s="2" t="s">
        <v>241</v>
      </c>
      <c r="CD181" s="2" t="s">
        <v>228</v>
      </c>
      <c r="CE181" s="4">
        <v>21</v>
      </c>
      <c r="CF181" s="4">
        <v>36</v>
      </c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</row>
    <row r="182">
      <c r="A182" s="2" t="s">
        <v>1325</v>
      </c>
      <c r="B182" s="2" t="s">
        <v>1150</v>
      </c>
      <c r="C182" s="2" t="s">
        <v>300</v>
      </c>
      <c r="D182" s="2" t="s">
        <v>1112</v>
      </c>
      <c r="E182" s="2" t="s">
        <v>1165</v>
      </c>
      <c r="F182" s="2" t="s">
        <v>1326</v>
      </c>
      <c r="G182" s="2" t="s">
        <v>1327</v>
      </c>
      <c r="H182" s="2" t="s">
        <v>1328</v>
      </c>
      <c r="I182" s="2" t="s">
        <v>1329</v>
      </c>
      <c r="J182" s="2" t="s">
        <v>289</v>
      </c>
      <c r="K182" s="2" t="s">
        <v>265</v>
      </c>
      <c r="L182" s="3">
        <v>61.96</v>
      </c>
      <c r="M182" s="3">
        <v>65.06</v>
      </c>
      <c r="N182" s="3">
        <v>124.99</v>
      </c>
      <c r="O182" s="2" t="s">
        <v>240</v>
      </c>
      <c r="P182" s="2" t="s">
        <v>333</v>
      </c>
      <c r="Q182" s="2" t="s">
        <v>234</v>
      </c>
      <c r="R182" s="2" t="s">
        <v>228</v>
      </c>
      <c r="S182" s="2" t="s">
        <v>1330</v>
      </c>
      <c r="T182" s="2" t="s">
        <v>228</v>
      </c>
      <c r="U182" s="2" t="s">
        <v>1331</v>
      </c>
      <c r="V182" s="2" t="s">
        <v>1332</v>
      </c>
      <c r="W182" s="2" t="s">
        <v>463</v>
      </c>
      <c r="X182" s="2" t="s">
        <v>1333</v>
      </c>
      <c r="Y182" s="2" t="s">
        <v>270</v>
      </c>
      <c r="Z182" s="4">
        <v>126</v>
      </c>
      <c r="AA182" s="4">
        <f>=ROUNDDOWN(15.1807228915663,0)</f>
      </c>
      <c r="AB182" s="5">
        <v>8.3</v>
      </c>
      <c r="AC182" s="2" t="s">
        <v>228</v>
      </c>
      <c r="AD182" s="4"/>
      <c r="AE182" s="4"/>
      <c r="AF182" s="6">
        <v>65</v>
      </c>
      <c r="AG182" s="6">
        <v>48</v>
      </c>
      <c r="AH182" s="7">
        <v>1</v>
      </c>
      <c r="AI182" s="4"/>
      <c r="AJ182" s="4">
        <f>=ROUNDDOWN({0},0)</f>
      </c>
      <c r="AK182" s="5"/>
      <c r="AL182" s="2" t="s">
        <v>228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228</v>
      </c>
      <c r="AW182" s="8" t="s">
        <v>228</v>
      </c>
      <c r="AX182" s="4" t="s">
        <v>228</v>
      </c>
      <c r="AY182" s="8" t="s">
        <v>228</v>
      </c>
      <c r="AZ182" s="7" t="s">
        <v>228</v>
      </c>
      <c r="BA182" s="7" t="s">
        <v>228</v>
      </c>
      <c r="BB182" s="7"/>
      <c r="BC182" s="4" t="s">
        <v>228</v>
      </c>
      <c r="BD182" s="8" t="s">
        <v>228</v>
      </c>
      <c r="BE182" s="4" t="s">
        <v>228</v>
      </c>
      <c r="BF182" s="8" t="s">
        <v>228</v>
      </c>
      <c r="BG182" s="7" t="s">
        <v>228</v>
      </c>
      <c r="BH182" s="7" t="s">
        <v>228</v>
      </c>
      <c r="BI182" s="7"/>
      <c r="BJ182" s="4">
        <v>51</v>
      </c>
      <c r="BK182" s="8">
        <v>2035.01</v>
      </c>
      <c r="BL182" s="2" t="s">
        <v>1334</v>
      </c>
      <c r="BM182" s="7"/>
      <c r="BN182" s="7"/>
      <c r="BO182" s="4"/>
      <c r="BP182" s="8"/>
      <c r="BQ182" s="4"/>
      <c r="BR182" s="8"/>
      <c r="BS182" s="7"/>
      <c r="BT182" s="7"/>
      <c r="BU182" s="2" t="s">
        <v>1335</v>
      </c>
      <c r="BV182" s="2" t="s">
        <v>228</v>
      </c>
      <c r="BW182" s="2" t="s">
        <v>228</v>
      </c>
      <c r="BX182" s="2" t="s">
        <v>337</v>
      </c>
      <c r="BY182" s="2" t="s">
        <v>274</v>
      </c>
      <c r="BZ182" s="2" t="s">
        <v>240</v>
      </c>
      <c r="CA182" s="2" t="s">
        <v>275</v>
      </c>
      <c r="CB182" s="2" t="s">
        <v>1336</v>
      </c>
      <c r="CC182" s="2" t="s">
        <v>241</v>
      </c>
      <c r="CD182" s="2" t="s">
        <v>228</v>
      </c>
      <c r="CE182" s="4">
        <v>82</v>
      </c>
      <c r="CF182" s="4"/>
      <c r="CG182" s="4"/>
      <c r="CH182" s="4">
        <v>44</v>
      </c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</row>
    <row r="183">
      <c r="A183" s="2" t="s">
        <v>1337</v>
      </c>
      <c r="B183" s="2" t="s">
        <v>1150</v>
      </c>
      <c r="C183" s="2" t="s">
        <v>300</v>
      </c>
      <c r="D183" s="2" t="s">
        <v>1112</v>
      </c>
      <c r="E183" s="2" t="s">
        <v>1165</v>
      </c>
      <c r="F183" s="2" t="s">
        <v>1326</v>
      </c>
      <c r="G183" s="2" t="s">
        <v>1327</v>
      </c>
      <c r="H183" s="2" t="s">
        <v>1328</v>
      </c>
      <c r="I183" s="2" t="s">
        <v>1329</v>
      </c>
      <c r="J183" s="2" t="s">
        <v>312</v>
      </c>
      <c r="K183" s="2" t="s">
        <v>265</v>
      </c>
      <c r="L183" s="3">
        <v>71.14</v>
      </c>
      <c r="M183" s="3">
        <v>74.7</v>
      </c>
      <c r="N183" s="3">
        <v>144.99</v>
      </c>
      <c r="O183" s="2" t="s">
        <v>240</v>
      </c>
      <c r="P183" s="2" t="s">
        <v>333</v>
      </c>
      <c r="Q183" s="2" t="s">
        <v>234</v>
      </c>
      <c r="R183" s="2" t="s">
        <v>228</v>
      </c>
      <c r="S183" s="2" t="s">
        <v>1330</v>
      </c>
      <c r="T183" s="2" t="s">
        <v>228</v>
      </c>
      <c r="U183" s="2" t="s">
        <v>1331</v>
      </c>
      <c r="V183" s="2" t="s">
        <v>1332</v>
      </c>
      <c r="W183" s="2" t="s">
        <v>463</v>
      </c>
      <c r="X183" s="2" t="s">
        <v>1333</v>
      </c>
      <c r="Y183" s="2" t="s">
        <v>270</v>
      </c>
      <c r="Z183" s="4">
        <v>63</v>
      </c>
      <c r="AA183" s="4">
        <f>=ROUNDDOWN(37.0588235294118,0)</f>
      </c>
      <c r="AB183" s="5">
        <v>1.7</v>
      </c>
      <c r="AC183" s="2" t="s">
        <v>228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228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228</v>
      </c>
      <c r="AW183" s="8" t="s">
        <v>228</v>
      </c>
      <c r="AX183" s="4" t="s">
        <v>228</v>
      </c>
      <c r="AY183" s="8" t="s">
        <v>228</v>
      </c>
      <c r="AZ183" s="7" t="s">
        <v>228</v>
      </c>
      <c r="BA183" s="7" t="s">
        <v>228</v>
      </c>
      <c r="BB183" s="7"/>
      <c r="BC183" s="4" t="s">
        <v>228</v>
      </c>
      <c r="BD183" s="8" t="s">
        <v>228</v>
      </c>
      <c r="BE183" s="4" t="s">
        <v>228</v>
      </c>
      <c r="BF183" s="8" t="s">
        <v>228</v>
      </c>
      <c r="BG183" s="7" t="s">
        <v>228</v>
      </c>
      <c r="BH183" s="7" t="s">
        <v>228</v>
      </c>
      <c r="BI183" s="7"/>
      <c r="BJ183" s="4">
        <v>10</v>
      </c>
      <c r="BK183" s="8">
        <v>457.54</v>
      </c>
      <c r="BL183" s="2" t="s">
        <v>1338</v>
      </c>
      <c r="BM183" s="7"/>
      <c r="BN183" s="7"/>
      <c r="BO183" s="4"/>
      <c r="BP183" s="8"/>
      <c r="BQ183" s="4"/>
      <c r="BR183" s="8"/>
      <c r="BS183" s="7"/>
      <c r="BT183" s="7"/>
      <c r="BU183" s="2" t="s">
        <v>1339</v>
      </c>
      <c r="BV183" s="2" t="s">
        <v>228</v>
      </c>
      <c r="BW183" s="2" t="s">
        <v>228</v>
      </c>
      <c r="BX183" s="2" t="s">
        <v>337</v>
      </c>
      <c r="BY183" s="2" t="s">
        <v>274</v>
      </c>
      <c r="BZ183" s="2" t="s">
        <v>240</v>
      </c>
      <c r="CA183" s="2" t="s">
        <v>275</v>
      </c>
      <c r="CB183" s="2" t="s">
        <v>1340</v>
      </c>
      <c r="CC183" s="2" t="s">
        <v>241</v>
      </c>
      <c r="CD183" s="2" t="s">
        <v>228</v>
      </c>
      <c r="CE183" s="4">
        <v>63</v>
      </c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</row>
    <row r="184">
      <c r="A184" s="2" t="s">
        <v>1341</v>
      </c>
      <c r="B184" s="2" t="s">
        <v>970</v>
      </c>
      <c r="C184" s="2" t="s">
        <v>300</v>
      </c>
      <c r="D184" s="2" t="s">
        <v>971</v>
      </c>
      <c r="E184" s="2" t="s">
        <v>972</v>
      </c>
      <c r="F184" s="2" t="s">
        <v>1326</v>
      </c>
      <c r="G184" s="2" t="s">
        <v>1327</v>
      </c>
      <c r="H184" s="2" t="s">
        <v>1328</v>
      </c>
      <c r="I184" s="2" t="s">
        <v>1342</v>
      </c>
      <c r="J184" s="2" t="s">
        <v>977</v>
      </c>
      <c r="K184" s="2" t="s">
        <v>265</v>
      </c>
      <c r="L184" s="3">
        <v>15.75</v>
      </c>
      <c r="M184" s="3">
        <v>16.54</v>
      </c>
      <c r="N184" s="3">
        <v>34.99</v>
      </c>
      <c r="O184" s="2" t="s">
        <v>240</v>
      </c>
      <c r="P184" s="2" t="s">
        <v>266</v>
      </c>
      <c r="Q184" s="2" t="s">
        <v>234</v>
      </c>
      <c r="R184" s="2" t="s">
        <v>228</v>
      </c>
      <c r="S184" s="2" t="s">
        <v>1343</v>
      </c>
      <c r="T184" s="2" t="s">
        <v>228</v>
      </c>
      <c r="U184" s="2" t="s">
        <v>228</v>
      </c>
      <c r="V184" s="2" t="s">
        <v>1344</v>
      </c>
      <c r="W184" s="2" t="s">
        <v>463</v>
      </c>
      <c r="X184" s="2" t="s">
        <v>1345</v>
      </c>
      <c r="Y184" s="2" t="s">
        <v>270</v>
      </c>
      <c r="Z184" s="4">
        <v>350</v>
      </c>
      <c r="AA184" s="4">
        <f>=ROUNDDOWN(29.1666666666667,0)</f>
      </c>
      <c r="AB184" s="5">
        <v>12</v>
      </c>
      <c r="AC184" s="2" t="s">
        <v>192</v>
      </c>
      <c r="AD184" s="4">
        <v>100</v>
      </c>
      <c r="AE184" s="4">
        <v>300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228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228</v>
      </c>
      <c r="AW184" s="8" t="s">
        <v>228</v>
      </c>
      <c r="AX184" s="4" t="s">
        <v>228</v>
      </c>
      <c r="AY184" s="8" t="s">
        <v>228</v>
      </c>
      <c r="AZ184" s="7" t="s">
        <v>228</v>
      </c>
      <c r="BA184" s="7" t="s">
        <v>228</v>
      </c>
      <c r="BB184" s="7"/>
      <c r="BC184" s="4" t="s">
        <v>228</v>
      </c>
      <c r="BD184" s="8" t="s">
        <v>228</v>
      </c>
      <c r="BE184" s="4" t="s">
        <v>228</v>
      </c>
      <c r="BF184" s="8" t="s">
        <v>228</v>
      </c>
      <c r="BG184" s="7" t="s">
        <v>228</v>
      </c>
      <c r="BH184" s="7" t="s">
        <v>228</v>
      </c>
      <c r="BI184" s="7"/>
      <c r="BJ184" s="4">
        <v>39</v>
      </c>
      <c r="BK184" s="8">
        <v>659.19</v>
      </c>
      <c r="BL184" s="2" t="s">
        <v>1346</v>
      </c>
      <c r="BM184" s="7"/>
      <c r="BN184" s="7"/>
      <c r="BO184" s="4"/>
      <c r="BP184" s="8"/>
      <c r="BQ184" s="4"/>
      <c r="BR184" s="8"/>
      <c r="BS184" s="7"/>
      <c r="BT184" s="7"/>
      <c r="BU184" s="2" t="s">
        <v>1347</v>
      </c>
      <c r="BV184" s="2" t="s">
        <v>228</v>
      </c>
      <c r="BW184" s="2" t="s">
        <v>228</v>
      </c>
      <c r="BX184" s="2" t="s">
        <v>273</v>
      </c>
      <c r="BY184" s="2" t="s">
        <v>274</v>
      </c>
      <c r="BZ184" s="2" t="s">
        <v>240</v>
      </c>
      <c r="CA184" s="2" t="s">
        <v>275</v>
      </c>
      <c r="CB184" s="2" t="s">
        <v>1348</v>
      </c>
      <c r="CC184" s="2" t="s">
        <v>241</v>
      </c>
      <c r="CD184" s="2" t="s">
        <v>228</v>
      </c>
      <c r="CE184" s="4">
        <v>350</v>
      </c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>
        <v>100</v>
      </c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>
        <v>200</v>
      </c>
      <c r="HC184" s="4"/>
      <c r="HD184" s="4"/>
      <c r="HE184" s="4"/>
    </row>
    <row r="185">
      <c r="A185" s="2" t="s">
        <v>1349</v>
      </c>
      <c r="B185" s="2" t="s">
        <v>970</v>
      </c>
      <c r="C185" s="2" t="s">
        <v>300</v>
      </c>
      <c r="D185" s="2" t="s">
        <v>971</v>
      </c>
      <c r="E185" s="2" t="s">
        <v>972</v>
      </c>
      <c r="F185" s="2" t="s">
        <v>1326</v>
      </c>
      <c r="G185" s="2" t="s">
        <v>1327</v>
      </c>
      <c r="H185" s="2" t="s">
        <v>1328</v>
      </c>
      <c r="I185" s="2" t="s">
        <v>1342</v>
      </c>
      <c r="J185" s="2" t="s">
        <v>977</v>
      </c>
      <c r="K185" s="2" t="s">
        <v>249</v>
      </c>
      <c r="L185" s="3">
        <v>15.75</v>
      </c>
      <c r="M185" s="3">
        <v>16.54</v>
      </c>
      <c r="N185" s="3">
        <v>34.99</v>
      </c>
      <c r="O185" s="2" t="s">
        <v>240</v>
      </c>
      <c r="P185" s="2" t="s">
        <v>266</v>
      </c>
      <c r="Q185" s="2" t="s">
        <v>234</v>
      </c>
      <c r="R185" s="2" t="s">
        <v>228</v>
      </c>
      <c r="S185" s="2" t="s">
        <v>1350</v>
      </c>
      <c r="T185" s="2" t="s">
        <v>228</v>
      </c>
      <c r="U185" s="2" t="s">
        <v>228</v>
      </c>
      <c r="V185" s="2" t="s">
        <v>1344</v>
      </c>
      <c r="W185" s="2" t="s">
        <v>463</v>
      </c>
      <c r="X185" s="2" t="s">
        <v>1345</v>
      </c>
      <c r="Y185" s="2" t="s">
        <v>1351</v>
      </c>
      <c r="Z185" s="4">
        <v>255</v>
      </c>
      <c r="AA185" s="4">
        <f>=ROUNDDOWN(10.625,0)</f>
      </c>
      <c r="AB185" s="5">
        <v>24</v>
      </c>
      <c r="AC185" s="2" t="s">
        <v>1352</v>
      </c>
      <c r="AD185" s="4">
        <v>156</v>
      </c>
      <c r="AE185" s="4">
        <v>528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228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 t="s">
        <v>228</v>
      </c>
      <c r="BD185" s="8" t="s">
        <v>228</v>
      </c>
      <c r="BE185" s="4" t="s">
        <v>228</v>
      </c>
      <c r="BF185" s="8" t="s">
        <v>228</v>
      </c>
      <c r="BG185" s="7" t="s">
        <v>228</v>
      </c>
      <c r="BH185" s="7" t="s">
        <v>228</v>
      </c>
      <c r="BI185" s="7"/>
      <c r="BJ185" s="4">
        <v>76</v>
      </c>
      <c r="BK185" s="8">
        <v>1225.96</v>
      </c>
      <c r="BL185" s="2" t="s">
        <v>1353</v>
      </c>
      <c r="BM185" s="7"/>
      <c r="BN185" s="7"/>
      <c r="BO185" s="4"/>
      <c r="BP185" s="8"/>
      <c r="BQ185" s="4"/>
      <c r="BR185" s="8"/>
      <c r="BS185" s="7"/>
      <c r="BT185" s="7"/>
      <c r="BU185" s="2" t="s">
        <v>1354</v>
      </c>
      <c r="BV185" s="2" t="s">
        <v>228</v>
      </c>
      <c r="BW185" s="2" t="s">
        <v>228</v>
      </c>
      <c r="BX185" s="2" t="s">
        <v>273</v>
      </c>
      <c r="BY185" s="2" t="s">
        <v>274</v>
      </c>
      <c r="BZ185" s="2" t="s">
        <v>240</v>
      </c>
      <c r="CA185" s="2" t="s">
        <v>561</v>
      </c>
      <c r="CB185" s="2" t="s">
        <v>1355</v>
      </c>
      <c r="CC185" s="2" t="s">
        <v>241</v>
      </c>
      <c r="CD185" s="2" t="s">
        <v>228</v>
      </c>
      <c r="CE185" s="4">
        <v>255</v>
      </c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>
        <v>156</v>
      </c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>
        <v>192</v>
      </c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>
        <v>180</v>
      </c>
      <c r="HC185" s="4"/>
      <c r="HD185" s="4"/>
      <c r="HE185" s="4"/>
    </row>
    <row r="186">
      <c r="A186" s="2" t="s">
        <v>1356</v>
      </c>
      <c r="B186" s="2" t="s">
        <v>1150</v>
      </c>
      <c r="C186" s="2" t="s">
        <v>300</v>
      </c>
      <c r="D186" s="2" t="s">
        <v>1112</v>
      </c>
      <c r="E186" s="2" t="s">
        <v>1165</v>
      </c>
      <c r="F186" s="2" t="s">
        <v>1326</v>
      </c>
      <c r="G186" s="2" t="s">
        <v>1327</v>
      </c>
      <c r="H186" s="2" t="s">
        <v>1328</v>
      </c>
      <c r="I186" s="2" t="s">
        <v>1329</v>
      </c>
      <c r="J186" s="2" t="s">
        <v>284</v>
      </c>
      <c r="K186" s="2" t="s">
        <v>1357</v>
      </c>
      <c r="L186" s="3">
        <v>53.99</v>
      </c>
      <c r="M186" s="3">
        <v>56.69</v>
      </c>
      <c r="N186" s="3">
        <v>109.99</v>
      </c>
      <c r="O186" s="2" t="s">
        <v>240</v>
      </c>
      <c r="P186" s="2" t="s">
        <v>333</v>
      </c>
      <c r="Q186" s="2" t="s">
        <v>234</v>
      </c>
      <c r="R186" s="2" t="s">
        <v>228</v>
      </c>
      <c r="S186" s="2" t="s">
        <v>1358</v>
      </c>
      <c r="T186" s="2" t="s">
        <v>228</v>
      </c>
      <c r="U186" s="2" t="s">
        <v>1331</v>
      </c>
      <c r="V186" s="2" t="s">
        <v>1332</v>
      </c>
      <c r="W186" s="2" t="s">
        <v>463</v>
      </c>
      <c r="X186" s="2" t="s">
        <v>1333</v>
      </c>
      <c r="Y186" s="2" t="s">
        <v>270</v>
      </c>
      <c r="Z186" s="4">
        <v>73</v>
      </c>
      <c r="AA186" s="4">
        <f>=ROUNDDOWN(24.3333333333333,0)</f>
      </c>
      <c r="AB186" s="5">
        <v>3</v>
      </c>
      <c r="AC186" s="2" t="s">
        <v>228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228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228</v>
      </c>
      <c r="AW186" s="8" t="s">
        <v>228</v>
      </c>
      <c r="AX186" s="4" t="s">
        <v>228</v>
      </c>
      <c r="AY186" s="8" t="s">
        <v>228</v>
      </c>
      <c r="AZ186" s="7" t="s">
        <v>228</v>
      </c>
      <c r="BA186" s="7" t="s">
        <v>228</v>
      </c>
      <c r="BB186" s="7"/>
      <c r="BC186" s="4" t="s">
        <v>228</v>
      </c>
      <c r="BD186" s="8" t="s">
        <v>228</v>
      </c>
      <c r="BE186" s="4" t="s">
        <v>228</v>
      </c>
      <c r="BF186" s="8" t="s">
        <v>228</v>
      </c>
      <c r="BG186" s="7" t="s">
        <v>228</v>
      </c>
      <c r="BH186" s="7" t="s">
        <v>228</v>
      </c>
      <c r="BI186" s="7"/>
      <c r="BJ186" s="4">
        <v>8</v>
      </c>
      <c r="BK186" s="8">
        <v>277.48</v>
      </c>
      <c r="BL186" s="2" t="s">
        <v>1359</v>
      </c>
      <c r="BM186" s="7"/>
      <c r="BN186" s="7"/>
      <c r="BO186" s="4"/>
      <c r="BP186" s="8"/>
      <c r="BQ186" s="4"/>
      <c r="BR186" s="8"/>
      <c r="BS186" s="7"/>
      <c r="BT186" s="7"/>
      <c r="BU186" s="2" t="s">
        <v>1360</v>
      </c>
      <c r="BV186" s="2" t="s">
        <v>228</v>
      </c>
      <c r="BW186" s="2" t="s">
        <v>228</v>
      </c>
      <c r="BX186" s="2" t="s">
        <v>337</v>
      </c>
      <c r="BY186" s="2" t="s">
        <v>274</v>
      </c>
      <c r="BZ186" s="2" t="s">
        <v>240</v>
      </c>
      <c r="CA186" s="2" t="s">
        <v>275</v>
      </c>
      <c r="CB186" s="2" t="s">
        <v>1361</v>
      </c>
      <c r="CC186" s="2" t="s">
        <v>241</v>
      </c>
      <c r="CD186" s="2" t="s">
        <v>228</v>
      </c>
      <c r="CE186" s="4">
        <v>73</v>
      </c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</row>
    <row r="187">
      <c r="A187" s="2" t="s">
        <v>1362</v>
      </c>
      <c r="B187" s="2" t="s">
        <v>1150</v>
      </c>
      <c r="C187" s="2" t="s">
        <v>300</v>
      </c>
      <c r="D187" s="2" t="s">
        <v>1112</v>
      </c>
      <c r="E187" s="2" t="s">
        <v>1165</v>
      </c>
      <c r="F187" s="2" t="s">
        <v>1326</v>
      </c>
      <c r="G187" s="2" t="s">
        <v>1327</v>
      </c>
      <c r="H187" s="2" t="s">
        <v>1328</v>
      </c>
      <c r="I187" s="2" t="s">
        <v>1329</v>
      </c>
      <c r="J187" s="2" t="s">
        <v>289</v>
      </c>
      <c r="K187" s="2" t="s">
        <v>1357</v>
      </c>
      <c r="L187" s="3">
        <v>61.96</v>
      </c>
      <c r="M187" s="3">
        <v>65.06</v>
      </c>
      <c r="N187" s="3">
        <v>124.99</v>
      </c>
      <c r="O187" s="2" t="s">
        <v>461</v>
      </c>
      <c r="P187" s="2" t="s">
        <v>333</v>
      </c>
      <c r="Q187" s="2" t="s">
        <v>234</v>
      </c>
      <c r="R187" s="2" t="s">
        <v>228</v>
      </c>
      <c r="S187" s="2" t="s">
        <v>1358</v>
      </c>
      <c r="T187" s="2" t="s">
        <v>228</v>
      </c>
      <c r="U187" s="2" t="s">
        <v>1331</v>
      </c>
      <c r="V187" s="2" t="s">
        <v>1332</v>
      </c>
      <c r="W187" s="2" t="s">
        <v>463</v>
      </c>
      <c r="X187" s="2" t="s">
        <v>1333</v>
      </c>
      <c r="Y187" s="2" t="s">
        <v>270</v>
      </c>
      <c r="Z187" s="4">
        <v>332</v>
      </c>
      <c r="AA187" s="4">
        <f>=ROUNDDOWN(48.8235294117647,0)</f>
      </c>
      <c r="AB187" s="5">
        <v>6.8</v>
      </c>
      <c r="AC187" s="2" t="s">
        <v>228</v>
      </c>
      <c r="AD187" s="4"/>
      <c r="AE187" s="4"/>
      <c r="AF187" s="6">
        <v>65</v>
      </c>
      <c r="AG187" s="6">
        <v>48</v>
      </c>
      <c r="AH187" s="7">
        <v>1</v>
      </c>
      <c r="AI187" s="4"/>
      <c r="AJ187" s="4">
        <f>=ROUNDDOWN({0},0)</f>
      </c>
      <c r="AK187" s="5"/>
      <c r="AL187" s="2" t="s">
        <v>228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 t="s">
        <v>228</v>
      </c>
      <c r="AW187" s="8" t="s">
        <v>228</v>
      </c>
      <c r="AX187" s="4" t="s">
        <v>228</v>
      </c>
      <c r="AY187" s="8" t="s">
        <v>228</v>
      </c>
      <c r="AZ187" s="7" t="s">
        <v>228</v>
      </c>
      <c r="BA187" s="7" t="s">
        <v>228</v>
      </c>
      <c r="BB187" s="7"/>
      <c r="BC187" s="4" t="s">
        <v>228</v>
      </c>
      <c r="BD187" s="8" t="s">
        <v>228</v>
      </c>
      <c r="BE187" s="4" t="s">
        <v>228</v>
      </c>
      <c r="BF187" s="8" t="s">
        <v>228</v>
      </c>
      <c r="BG187" s="7" t="s">
        <v>228</v>
      </c>
      <c r="BH187" s="7" t="s">
        <v>228</v>
      </c>
      <c r="BI187" s="7"/>
      <c r="BJ187" s="4">
        <v>37</v>
      </c>
      <c r="BK187" s="8">
        <v>1512.73</v>
      </c>
      <c r="BL187" s="2" t="s">
        <v>1363</v>
      </c>
      <c r="BM187" s="7"/>
      <c r="BN187" s="7"/>
      <c r="BO187" s="4"/>
      <c r="BP187" s="8"/>
      <c r="BQ187" s="4"/>
      <c r="BR187" s="8"/>
      <c r="BS187" s="7"/>
      <c r="BT187" s="7"/>
      <c r="BU187" s="2" t="s">
        <v>1364</v>
      </c>
      <c r="BV187" s="2" t="s">
        <v>228</v>
      </c>
      <c r="BW187" s="2" t="s">
        <v>228</v>
      </c>
      <c r="BX187" s="2" t="s">
        <v>337</v>
      </c>
      <c r="BY187" s="2" t="s">
        <v>274</v>
      </c>
      <c r="BZ187" s="2" t="s">
        <v>240</v>
      </c>
      <c r="CA187" s="2" t="s">
        <v>275</v>
      </c>
      <c r="CB187" s="2" t="s">
        <v>1365</v>
      </c>
      <c r="CC187" s="2" t="s">
        <v>241</v>
      </c>
      <c r="CD187" s="2" t="s">
        <v>228</v>
      </c>
      <c r="CE187" s="4">
        <v>247</v>
      </c>
      <c r="CF187" s="4"/>
      <c r="CG187" s="4"/>
      <c r="CH187" s="4">
        <v>85</v>
      </c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</row>
    <row r="188">
      <c r="A188" s="2" t="s">
        <v>1366</v>
      </c>
      <c r="B188" s="2" t="s">
        <v>1150</v>
      </c>
      <c r="C188" s="2" t="s">
        <v>300</v>
      </c>
      <c r="D188" s="2" t="s">
        <v>1112</v>
      </c>
      <c r="E188" s="2" t="s">
        <v>1165</v>
      </c>
      <c r="F188" s="2" t="s">
        <v>1326</v>
      </c>
      <c r="G188" s="2" t="s">
        <v>1327</v>
      </c>
      <c r="H188" s="2" t="s">
        <v>1328</v>
      </c>
      <c r="I188" s="2" t="s">
        <v>1329</v>
      </c>
      <c r="J188" s="2" t="s">
        <v>312</v>
      </c>
      <c r="K188" s="2" t="s">
        <v>1357</v>
      </c>
      <c r="L188" s="3">
        <v>71.14</v>
      </c>
      <c r="M188" s="3">
        <v>74.7</v>
      </c>
      <c r="N188" s="3">
        <v>144.99</v>
      </c>
      <c r="O188" s="2" t="s">
        <v>461</v>
      </c>
      <c r="P188" s="2" t="s">
        <v>333</v>
      </c>
      <c r="Q188" s="2" t="s">
        <v>234</v>
      </c>
      <c r="R188" s="2" t="s">
        <v>228</v>
      </c>
      <c r="S188" s="2" t="s">
        <v>1358</v>
      </c>
      <c r="T188" s="2" t="s">
        <v>228</v>
      </c>
      <c r="U188" s="2" t="s">
        <v>1331</v>
      </c>
      <c r="V188" s="2" t="s">
        <v>1332</v>
      </c>
      <c r="W188" s="2" t="s">
        <v>463</v>
      </c>
      <c r="X188" s="2" t="s">
        <v>1333</v>
      </c>
      <c r="Y188" s="2" t="s">
        <v>270</v>
      </c>
      <c r="Z188" s="4">
        <v>254</v>
      </c>
      <c r="AA188" s="4">
        <f>=ROUNDDOWN(127,0)</f>
      </c>
      <c r="AB188" s="5">
        <v>2</v>
      </c>
      <c r="AC188" s="2" t="s">
        <v>228</v>
      </c>
      <c r="AD188" s="4"/>
      <c r="AE188" s="4"/>
      <c r="AF188" s="6">
        <v>65</v>
      </c>
      <c r="AG188" s="6">
        <v>48</v>
      </c>
      <c r="AH188" s="7">
        <v>1</v>
      </c>
      <c r="AI188" s="4"/>
      <c r="AJ188" s="4">
        <f>=ROUNDDOWN({0},0)</f>
      </c>
      <c r="AK188" s="5"/>
      <c r="AL188" s="2" t="s">
        <v>228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228</v>
      </c>
      <c r="AW188" s="8" t="s">
        <v>228</v>
      </c>
      <c r="AX188" s="4" t="s">
        <v>228</v>
      </c>
      <c r="AY188" s="8" t="s">
        <v>228</v>
      </c>
      <c r="AZ188" s="7" t="s">
        <v>228</v>
      </c>
      <c r="BA188" s="7" t="s">
        <v>228</v>
      </c>
      <c r="BB188" s="7"/>
      <c r="BC188" s="4" t="s">
        <v>228</v>
      </c>
      <c r="BD188" s="8" t="s">
        <v>228</v>
      </c>
      <c r="BE188" s="4" t="s">
        <v>228</v>
      </c>
      <c r="BF188" s="8" t="s">
        <v>228</v>
      </c>
      <c r="BG188" s="7" t="s">
        <v>228</v>
      </c>
      <c r="BH188" s="7" t="s">
        <v>228</v>
      </c>
      <c r="BI188" s="7"/>
      <c r="BJ188" s="4">
        <v>6</v>
      </c>
      <c r="BK188" s="8">
        <v>237.36</v>
      </c>
      <c r="BL188" s="2" t="s">
        <v>1367</v>
      </c>
      <c r="BM188" s="7"/>
      <c r="BN188" s="7"/>
      <c r="BO188" s="4"/>
      <c r="BP188" s="8"/>
      <c r="BQ188" s="4"/>
      <c r="BR188" s="8"/>
      <c r="BS188" s="7"/>
      <c r="BT188" s="7"/>
      <c r="BU188" s="2" t="s">
        <v>1368</v>
      </c>
      <c r="BV188" s="2" t="s">
        <v>228</v>
      </c>
      <c r="BW188" s="2" t="s">
        <v>228</v>
      </c>
      <c r="BX188" s="2" t="s">
        <v>337</v>
      </c>
      <c r="BY188" s="2" t="s">
        <v>274</v>
      </c>
      <c r="BZ188" s="2" t="s">
        <v>240</v>
      </c>
      <c r="CA188" s="2" t="s">
        <v>275</v>
      </c>
      <c r="CB188" s="2" t="s">
        <v>692</v>
      </c>
      <c r="CC188" s="2" t="s">
        <v>241</v>
      </c>
      <c r="CD188" s="2" t="s">
        <v>228</v>
      </c>
      <c r="CE188" s="4">
        <v>180</v>
      </c>
      <c r="CF188" s="4"/>
      <c r="CG188" s="4"/>
      <c r="CH188" s="4">
        <v>74</v>
      </c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</row>
    <row r="189">
      <c r="A189" s="2" t="s">
        <v>1369</v>
      </c>
      <c r="B189" s="2" t="s">
        <v>970</v>
      </c>
      <c r="C189" s="2" t="s">
        <v>300</v>
      </c>
      <c r="D189" s="2" t="s">
        <v>971</v>
      </c>
      <c r="E189" s="2" t="s">
        <v>972</v>
      </c>
      <c r="F189" s="2" t="s">
        <v>1326</v>
      </c>
      <c r="G189" s="2" t="s">
        <v>1327</v>
      </c>
      <c r="H189" s="2" t="s">
        <v>1328</v>
      </c>
      <c r="I189" s="2" t="s">
        <v>1342</v>
      </c>
      <c r="J189" s="2" t="s">
        <v>977</v>
      </c>
      <c r="K189" s="2" t="s">
        <v>1357</v>
      </c>
      <c r="L189" s="3">
        <v>15.75</v>
      </c>
      <c r="M189" s="3">
        <v>16.54</v>
      </c>
      <c r="N189" s="3">
        <v>34.99</v>
      </c>
      <c r="O189" s="2" t="s">
        <v>240</v>
      </c>
      <c r="P189" s="2" t="s">
        <v>266</v>
      </c>
      <c r="Q189" s="2" t="s">
        <v>234</v>
      </c>
      <c r="R189" s="2" t="s">
        <v>228</v>
      </c>
      <c r="S189" s="2" t="s">
        <v>1358</v>
      </c>
      <c r="T189" s="2" t="s">
        <v>228</v>
      </c>
      <c r="U189" s="2" t="s">
        <v>228</v>
      </c>
      <c r="V189" s="2" t="s">
        <v>1344</v>
      </c>
      <c r="W189" s="2" t="s">
        <v>463</v>
      </c>
      <c r="X189" s="2" t="s">
        <v>1345</v>
      </c>
      <c r="Y189" s="2" t="s">
        <v>270</v>
      </c>
      <c r="Z189" s="4">
        <v>425</v>
      </c>
      <c r="AA189" s="4">
        <f>=ROUNDDOWN(26.5625,0)</f>
      </c>
      <c r="AB189" s="5">
        <v>16</v>
      </c>
      <c r="AC189" s="2" t="s">
        <v>1370</v>
      </c>
      <c r="AD189" s="4">
        <v>154</v>
      </c>
      <c r="AE189" s="4">
        <v>328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228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228</v>
      </c>
      <c r="AW189" s="8" t="s">
        <v>228</v>
      </c>
      <c r="AX189" s="4" t="s">
        <v>228</v>
      </c>
      <c r="AY189" s="8" t="s">
        <v>228</v>
      </c>
      <c r="AZ189" s="7" t="s">
        <v>228</v>
      </c>
      <c r="BA189" s="7" t="s">
        <v>228</v>
      </c>
      <c r="BB189" s="7"/>
      <c r="BC189" s="4" t="s">
        <v>228</v>
      </c>
      <c r="BD189" s="8" t="s">
        <v>228</v>
      </c>
      <c r="BE189" s="4" t="s">
        <v>228</v>
      </c>
      <c r="BF189" s="8" t="s">
        <v>228</v>
      </c>
      <c r="BG189" s="7" t="s">
        <v>228</v>
      </c>
      <c r="BH189" s="7" t="s">
        <v>228</v>
      </c>
      <c r="BI189" s="7"/>
      <c r="BJ189" s="4">
        <v>65</v>
      </c>
      <c r="BK189" s="8">
        <v>1271.94</v>
      </c>
      <c r="BL189" s="2" t="s">
        <v>1371</v>
      </c>
      <c r="BM189" s="7"/>
      <c r="BN189" s="7"/>
      <c r="BO189" s="4"/>
      <c r="BP189" s="8"/>
      <c r="BQ189" s="4"/>
      <c r="BR189" s="8"/>
      <c r="BS189" s="7"/>
      <c r="BT189" s="7"/>
      <c r="BU189" s="2" t="s">
        <v>1372</v>
      </c>
      <c r="BV189" s="2" t="s">
        <v>228</v>
      </c>
      <c r="BW189" s="2" t="s">
        <v>228</v>
      </c>
      <c r="BX189" s="2" t="s">
        <v>273</v>
      </c>
      <c r="BY189" s="2" t="s">
        <v>274</v>
      </c>
      <c r="BZ189" s="2" t="s">
        <v>240</v>
      </c>
      <c r="CA189" s="2" t="s">
        <v>275</v>
      </c>
      <c r="CB189" s="2" t="s">
        <v>1140</v>
      </c>
      <c r="CC189" s="2" t="s">
        <v>241</v>
      </c>
      <c r="CD189" s="2" t="s">
        <v>228</v>
      </c>
      <c r="CE189" s="4">
        <v>425</v>
      </c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>
        <v>154</v>
      </c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>
        <v>174</v>
      </c>
    </row>
    <row r="190">
      <c r="A190" s="2" t="s">
        <v>1373</v>
      </c>
      <c r="B190" s="2" t="s">
        <v>1374</v>
      </c>
      <c r="C190" s="2" t="s">
        <v>300</v>
      </c>
      <c r="D190" s="2" t="s">
        <v>1375</v>
      </c>
      <c r="E190" s="2" t="s">
        <v>1376</v>
      </c>
      <c r="F190" s="2" t="s">
        <v>1326</v>
      </c>
      <c r="G190" s="2" t="s">
        <v>1327</v>
      </c>
      <c r="H190" s="2" t="s">
        <v>1328</v>
      </c>
      <c r="I190" s="2" t="s">
        <v>1377</v>
      </c>
      <c r="J190" s="2" t="s">
        <v>1378</v>
      </c>
      <c r="K190" s="2" t="s">
        <v>251</v>
      </c>
      <c r="L190" s="3">
        <v>13.8</v>
      </c>
      <c r="M190" s="3">
        <v>14.49</v>
      </c>
      <c r="N190" s="3">
        <v>29.99</v>
      </c>
      <c r="O190" s="2" t="s">
        <v>240</v>
      </c>
      <c r="P190" s="2" t="s">
        <v>266</v>
      </c>
      <c r="Q190" s="2" t="s">
        <v>234</v>
      </c>
      <c r="R190" s="2" t="s">
        <v>228</v>
      </c>
      <c r="S190" s="2" t="s">
        <v>1379</v>
      </c>
      <c r="T190" s="2" t="s">
        <v>350</v>
      </c>
      <c r="U190" s="2" t="s">
        <v>416</v>
      </c>
      <c r="V190" s="2" t="s">
        <v>1332</v>
      </c>
      <c r="W190" s="2" t="s">
        <v>463</v>
      </c>
      <c r="X190" s="2" t="s">
        <v>228</v>
      </c>
      <c r="Y190" s="2" t="s">
        <v>1380</v>
      </c>
      <c r="Z190" s="4">
        <v>155</v>
      </c>
      <c r="AA190" s="4">
        <f>=ROUNDDOWN(8.61111111111111,0)</f>
      </c>
      <c r="AB190" s="5">
        <v>18</v>
      </c>
      <c r="AC190" s="2" t="s">
        <v>1381</v>
      </c>
      <c r="AD190" s="4">
        <v>378</v>
      </c>
      <c r="AE190" s="4">
        <v>378</v>
      </c>
      <c r="AF190" s="6">
        <v>67</v>
      </c>
      <c r="AG190" s="6"/>
      <c r="AH190" s="7">
        <v>1</v>
      </c>
      <c r="AI190" s="4"/>
      <c r="AJ190" s="4">
        <f>=ROUNDDOWN({0},0)</f>
      </c>
      <c r="AK190" s="5"/>
      <c r="AL190" s="2" t="s">
        <v>228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228</v>
      </c>
      <c r="AW190" s="8" t="s">
        <v>228</v>
      </c>
      <c r="AX190" s="4" t="s">
        <v>228</v>
      </c>
      <c r="AY190" s="8" t="s">
        <v>228</v>
      </c>
      <c r="AZ190" s="7" t="s">
        <v>228</v>
      </c>
      <c r="BA190" s="7" t="s">
        <v>228</v>
      </c>
      <c r="BB190" s="7"/>
      <c r="BC190" s="4" t="s">
        <v>228</v>
      </c>
      <c r="BD190" s="8" t="s">
        <v>228</v>
      </c>
      <c r="BE190" s="4" t="s">
        <v>228</v>
      </c>
      <c r="BF190" s="8" t="s">
        <v>228</v>
      </c>
      <c r="BG190" s="7" t="s">
        <v>228</v>
      </c>
      <c r="BH190" s="7" t="s">
        <v>228</v>
      </c>
      <c r="BI190" s="7"/>
      <c r="BJ190" s="4">
        <v>93</v>
      </c>
      <c r="BK190" s="8">
        <v>1374.57</v>
      </c>
      <c r="BL190" s="2" t="s">
        <v>1382</v>
      </c>
      <c r="BM190" s="7"/>
      <c r="BN190" s="7"/>
      <c r="BO190" s="4"/>
      <c r="BP190" s="8"/>
      <c r="BQ190" s="4"/>
      <c r="BR190" s="8"/>
      <c r="BS190" s="7"/>
      <c r="BT190" s="7"/>
      <c r="BU190" s="2" t="s">
        <v>1383</v>
      </c>
      <c r="BV190" s="2" t="s">
        <v>228</v>
      </c>
      <c r="BW190" s="2" t="s">
        <v>228</v>
      </c>
      <c r="BX190" s="2" t="s">
        <v>273</v>
      </c>
      <c r="BY190" s="2" t="s">
        <v>274</v>
      </c>
      <c r="BZ190" s="2" t="s">
        <v>240</v>
      </c>
      <c r="CA190" s="2" t="s">
        <v>1384</v>
      </c>
      <c r="CB190" s="2" t="s">
        <v>1385</v>
      </c>
      <c r="CC190" s="2" t="s">
        <v>241</v>
      </c>
      <c r="CD190" s="2" t="s">
        <v>228</v>
      </c>
      <c r="CE190" s="4">
        <v>155</v>
      </c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>
        <v>378</v>
      </c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</row>
    <row r="191">
      <c r="A191" s="2" t="s">
        <v>1386</v>
      </c>
      <c r="B191" s="2" t="s">
        <v>1374</v>
      </c>
      <c r="C191" s="2" t="s">
        <v>300</v>
      </c>
      <c r="D191" s="2" t="s">
        <v>1375</v>
      </c>
      <c r="E191" s="2" t="s">
        <v>1376</v>
      </c>
      <c r="F191" s="2" t="s">
        <v>1326</v>
      </c>
      <c r="G191" s="2" t="s">
        <v>1327</v>
      </c>
      <c r="H191" s="2" t="s">
        <v>1328</v>
      </c>
      <c r="I191" s="2" t="s">
        <v>1377</v>
      </c>
      <c r="J191" s="2" t="s">
        <v>1387</v>
      </c>
      <c r="K191" s="2" t="s">
        <v>251</v>
      </c>
      <c r="L191" s="3">
        <v>20.64</v>
      </c>
      <c r="M191" s="3">
        <v>21.67</v>
      </c>
      <c r="N191" s="3">
        <v>42.99</v>
      </c>
      <c r="O191" s="2" t="s">
        <v>240</v>
      </c>
      <c r="P191" s="2" t="s">
        <v>266</v>
      </c>
      <c r="Q191" s="2" t="s">
        <v>234</v>
      </c>
      <c r="R191" s="2" t="s">
        <v>228</v>
      </c>
      <c r="S191" s="2" t="s">
        <v>1379</v>
      </c>
      <c r="T191" s="2" t="s">
        <v>350</v>
      </c>
      <c r="U191" s="2" t="s">
        <v>416</v>
      </c>
      <c r="V191" s="2" t="s">
        <v>1332</v>
      </c>
      <c r="W191" s="2" t="s">
        <v>463</v>
      </c>
      <c r="X191" s="2" t="s">
        <v>228</v>
      </c>
      <c r="Y191" s="2" t="s">
        <v>1380</v>
      </c>
      <c r="Z191" s="4">
        <v>244</v>
      </c>
      <c r="AA191" s="4">
        <f>=ROUNDDOWN(27.1111111111111,0)</f>
      </c>
      <c r="AB191" s="5">
        <v>9</v>
      </c>
      <c r="AC191" s="2" t="s">
        <v>1381</v>
      </c>
      <c r="AD191" s="4">
        <v>96</v>
      </c>
      <c r="AE191" s="4">
        <v>96</v>
      </c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228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228</v>
      </c>
      <c r="AW191" s="8" t="s">
        <v>228</v>
      </c>
      <c r="AX191" s="4" t="s">
        <v>228</v>
      </c>
      <c r="AY191" s="8" t="s">
        <v>228</v>
      </c>
      <c r="AZ191" s="7" t="s">
        <v>228</v>
      </c>
      <c r="BA191" s="7" t="s">
        <v>228</v>
      </c>
      <c r="BB191" s="7"/>
      <c r="BC191" s="4" t="s">
        <v>228</v>
      </c>
      <c r="BD191" s="8" t="s">
        <v>228</v>
      </c>
      <c r="BE191" s="4" t="s">
        <v>228</v>
      </c>
      <c r="BF191" s="8" t="s">
        <v>228</v>
      </c>
      <c r="BG191" s="7" t="s">
        <v>228</v>
      </c>
      <c r="BH191" s="7" t="s">
        <v>228</v>
      </c>
      <c r="BI191" s="7"/>
      <c r="BJ191" s="4">
        <v>41</v>
      </c>
      <c r="BK191" s="8">
        <v>922.8</v>
      </c>
      <c r="BL191" s="2" t="s">
        <v>1382</v>
      </c>
      <c r="BM191" s="7"/>
      <c r="BN191" s="7"/>
      <c r="BO191" s="4"/>
      <c r="BP191" s="8"/>
      <c r="BQ191" s="4"/>
      <c r="BR191" s="8"/>
      <c r="BS191" s="7"/>
      <c r="BT191" s="7"/>
      <c r="BU191" s="2" t="s">
        <v>1388</v>
      </c>
      <c r="BV191" s="2" t="s">
        <v>228</v>
      </c>
      <c r="BW191" s="2" t="s">
        <v>228</v>
      </c>
      <c r="BX191" s="2" t="s">
        <v>273</v>
      </c>
      <c r="BY191" s="2" t="s">
        <v>274</v>
      </c>
      <c r="BZ191" s="2" t="s">
        <v>240</v>
      </c>
      <c r="CA191" s="2" t="s">
        <v>1380</v>
      </c>
      <c r="CB191" s="2" t="s">
        <v>619</v>
      </c>
      <c r="CC191" s="2" t="s">
        <v>241</v>
      </c>
      <c r="CD191" s="2" t="s">
        <v>228</v>
      </c>
      <c r="CE191" s="4">
        <v>244</v>
      </c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>
        <v>96</v>
      </c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</row>
    <row r="192">
      <c r="A192" s="2" t="s">
        <v>1389</v>
      </c>
      <c r="B192" s="2" t="s">
        <v>1150</v>
      </c>
      <c r="C192" s="2" t="s">
        <v>300</v>
      </c>
      <c r="D192" s="2" t="s">
        <v>1112</v>
      </c>
      <c r="E192" s="2" t="s">
        <v>1165</v>
      </c>
      <c r="F192" s="2" t="s">
        <v>1326</v>
      </c>
      <c r="G192" s="2" t="s">
        <v>1327</v>
      </c>
      <c r="H192" s="2" t="s">
        <v>1328</v>
      </c>
      <c r="I192" s="2" t="s">
        <v>1329</v>
      </c>
      <c r="J192" s="2" t="s">
        <v>289</v>
      </c>
      <c r="K192" s="2" t="s">
        <v>1390</v>
      </c>
      <c r="L192" s="3">
        <v>61.96</v>
      </c>
      <c r="M192" s="3">
        <v>65.06</v>
      </c>
      <c r="N192" s="3">
        <v>124.99</v>
      </c>
      <c r="O192" s="2" t="s">
        <v>461</v>
      </c>
      <c r="P192" s="2" t="s">
        <v>333</v>
      </c>
      <c r="Q192" s="2" t="s">
        <v>234</v>
      </c>
      <c r="R192" s="2" t="s">
        <v>228</v>
      </c>
      <c r="S192" s="2" t="s">
        <v>1330</v>
      </c>
      <c r="T192" s="2" t="s">
        <v>228</v>
      </c>
      <c r="U192" s="2" t="s">
        <v>1331</v>
      </c>
      <c r="V192" s="2" t="s">
        <v>1332</v>
      </c>
      <c r="W192" s="2" t="s">
        <v>463</v>
      </c>
      <c r="X192" s="2" t="s">
        <v>1333</v>
      </c>
      <c r="Y192" s="2" t="s">
        <v>270</v>
      </c>
      <c r="Z192" s="4">
        <v>114</v>
      </c>
      <c r="AA192" s="4">
        <f>=ROUNDDOWN(10.1785714285714,0)</f>
      </c>
      <c r="AB192" s="5">
        <v>11.2</v>
      </c>
      <c r="AC192" s="2" t="s">
        <v>228</v>
      </c>
      <c r="AD192" s="4"/>
      <c r="AE192" s="4"/>
      <c r="AF192" s="6">
        <v>65</v>
      </c>
      <c r="AG192" s="6">
        <v>48</v>
      </c>
      <c r="AH192" s="7">
        <v>1</v>
      </c>
      <c r="AI192" s="4"/>
      <c r="AJ192" s="4">
        <f>=ROUNDDOWN({0},0)</f>
      </c>
      <c r="AK192" s="5"/>
      <c r="AL192" s="2" t="s">
        <v>228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228</v>
      </c>
      <c r="AW192" s="8" t="s">
        <v>228</v>
      </c>
      <c r="AX192" s="4" t="s">
        <v>228</v>
      </c>
      <c r="AY192" s="8" t="s">
        <v>228</v>
      </c>
      <c r="AZ192" s="7" t="s">
        <v>228</v>
      </c>
      <c r="BA192" s="7" t="s">
        <v>228</v>
      </c>
      <c r="BB192" s="7"/>
      <c r="BC192" s="4" t="s">
        <v>228</v>
      </c>
      <c r="BD192" s="8" t="s">
        <v>228</v>
      </c>
      <c r="BE192" s="4" t="s">
        <v>228</v>
      </c>
      <c r="BF192" s="8" t="s">
        <v>228</v>
      </c>
      <c r="BG192" s="7" t="s">
        <v>228</v>
      </c>
      <c r="BH192" s="7" t="s">
        <v>228</v>
      </c>
      <c r="BI192" s="7"/>
      <c r="BJ192" s="4">
        <v>47</v>
      </c>
      <c r="BK192" s="8">
        <v>2007.18</v>
      </c>
      <c r="BL192" s="2" t="s">
        <v>1391</v>
      </c>
      <c r="BM192" s="7"/>
      <c r="BN192" s="7"/>
      <c r="BO192" s="4"/>
      <c r="BP192" s="8"/>
      <c r="BQ192" s="4"/>
      <c r="BR192" s="8"/>
      <c r="BS192" s="7"/>
      <c r="BT192" s="7"/>
      <c r="BU192" s="2" t="s">
        <v>1392</v>
      </c>
      <c r="BV192" s="2" t="s">
        <v>228</v>
      </c>
      <c r="BW192" s="2" t="s">
        <v>228</v>
      </c>
      <c r="BX192" s="2" t="s">
        <v>337</v>
      </c>
      <c r="BY192" s="2" t="s">
        <v>274</v>
      </c>
      <c r="BZ192" s="2" t="s">
        <v>240</v>
      </c>
      <c r="CA192" s="2" t="s">
        <v>275</v>
      </c>
      <c r="CB192" s="2" t="s">
        <v>609</v>
      </c>
      <c r="CC192" s="2" t="s">
        <v>241</v>
      </c>
      <c r="CD192" s="2" t="s">
        <v>228</v>
      </c>
      <c r="CE192" s="4">
        <v>74</v>
      </c>
      <c r="CF192" s="4"/>
      <c r="CG192" s="4"/>
      <c r="CH192" s="4">
        <v>40</v>
      </c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</row>
    <row r="193">
      <c r="A193" s="2" t="s">
        <v>1393</v>
      </c>
      <c r="B193" s="2" t="s">
        <v>970</v>
      </c>
      <c r="C193" s="2" t="s">
        <v>300</v>
      </c>
      <c r="D193" s="2" t="s">
        <v>971</v>
      </c>
      <c r="E193" s="2" t="s">
        <v>972</v>
      </c>
      <c r="F193" s="2" t="s">
        <v>1326</v>
      </c>
      <c r="G193" s="2" t="s">
        <v>1327</v>
      </c>
      <c r="H193" s="2" t="s">
        <v>1328</v>
      </c>
      <c r="I193" s="2" t="s">
        <v>1342</v>
      </c>
      <c r="J193" s="2" t="s">
        <v>977</v>
      </c>
      <c r="K193" s="2" t="s">
        <v>1390</v>
      </c>
      <c r="L193" s="3">
        <v>15.75</v>
      </c>
      <c r="M193" s="3">
        <v>16.54</v>
      </c>
      <c r="N193" s="3">
        <v>34.99</v>
      </c>
      <c r="O193" s="2" t="s">
        <v>240</v>
      </c>
      <c r="P193" s="2" t="s">
        <v>266</v>
      </c>
      <c r="Q193" s="2" t="s">
        <v>234</v>
      </c>
      <c r="R193" s="2" t="s">
        <v>228</v>
      </c>
      <c r="S193" s="2" t="s">
        <v>1394</v>
      </c>
      <c r="T193" s="2" t="s">
        <v>228</v>
      </c>
      <c r="U193" s="2" t="s">
        <v>228</v>
      </c>
      <c r="V193" s="2" t="s">
        <v>1344</v>
      </c>
      <c r="W193" s="2" t="s">
        <v>463</v>
      </c>
      <c r="X193" s="2" t="s">
        <v>1345</v>
      </c>
      <c r="Y193" s="2" t="s">
        <v>270</v>
      </c>
      <c r="Z193" s="4">
        <v>381</v>
      </c>
      <c r="AA193" s="4">
        <f>=ROUNDDOWN(25.4,0)</f>
      </c>
      <c r="AB193" s="5">
        <v>15</v>
      </c>
      <c r="AC193" s="2" t="s">
        <v>173</v>
      </c>
      <c r="AD193" s="4">
        <v>194</v>
      </c>
      <c r="AE193" s="4">
        <v>474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228</v>
      </c>
      <c r="AM193" s="4"/>
      <c r="AN193" s="4"/>
      <c r="AO193" s="7">
        <v>0.5484</v>
      </c>
      <c r="AP193" s="4"/>
      <c r="AQ193" s="8"/>
      <c r="AR193" s="4"/>
      <c r="AS193" s="8"/>
      <c r="AT193" s="7"/>
      <c r="AU193" s="7"/>
      <c r="AV193" s="4" t="s">
        <v>228</v>
      </c>
      <c r="AW193" s="8" t="s">
        <v>228</v>
      </c>
      <c r="AX193" s="4" t="s">
        <v>228</v>
      </c>
      <c r="AY193" s="8" t="s">
        <v>228</v>
      </c>
      <c r="AZ193" s="7" t="s">
        <v>228</v>
      </c>
      <c r="BA193" s="7" t="s">
        <v>228</v>
      </c>
      <c r="BB193" s="7"/>
      <c r="BC193" s="4" t="s">
        <v>228</v>
      </c>
      <c r="BD193" s="8" t="s">
        <v>228</v>
      </c>
      <c r="BE193" s="4" t="s">
        <v>228</v>
      </c>
      <c r="BF193" s="8" t="s">
        <v>228</v>
      </c>
      <c r="BG193" s="7" t="s">
        <v>228</v>
      </c>
      <c r="BH193" s="7" t="s">
        <v>228</v>
      </c>
      <c r="BI193" s="7"/>
      <c r="BJ193" s="4">
        <v>55</v>
      </c>
      <c r="BK193" s="8">
        <v>935.05</v>
      </c>
      <c r="BL193" s="2" t="s">
        <v>1395</v>
      </c>
      <c r="BM193" s="7"/>
      <c r="BN193" s="7"/>
      <c r="BO193" s="4"/>
      <c r="BP193" s="8"/>
      <c r="BQ193" s="4"/>
      <c r="BR193" s="8"/>
      <c r="BS193" s="7"/>
      <c r="BT193" s="7"/>
      <c r="BU193" s="2" t="s">
        <v>1396</v>
      </c>
      <c r="BV193" s="2" t="s">
        <v>228</v>
      </c>
      <c r="BW193" s="2" t="s">
        <v>228</v>
      </c>
      <c r="BX193" s="2" t="s">
        <v>273</v>
      </c>
      <c r="BY193" s="2" t="s">
        <v>274</v>
      </c>
      <c r="BZ193" s="2" t="s">
        <v>240</v>
      </c>
      <c r="CA193" s="2" t="s">
        <v>275</v>
      </c>
      <c r="CB193" s="2" t="s">
        <v>1397</v>
      </c>
      <c r="CC193" s="2" t="s">
        <v>241</v>
      </c>
      <c r="CD193" s="2" t="s">
        <v>228</v>
      </c>
      <c r="CE193" s="4">
        <v>381</v>
      </c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>
        <v>194</v>
      </c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>
        <v>280</v>
      </c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</row>
    <row r="194">
      <c r="A194" s="2" t="s">
        <v>1398</v>
      </c>
      <c r="B194" s="2" t="s">
        <v>1374</v>
      </c>
      <c r="C194" s="2" t="s">
        <v>300</v>
      </c>
      <c r="D194" s="2" t="s">
        <v>1399</v>
      </c>
      <c r="E194" s="2" t="s">
        <v>1400</v>
      </c>
      <c r="F194" s="2" t="s">
        <v>1326</v>
      </c>
      <c r="G194" s="2" t="s">
        <v>1327</v>
      </c>
      <c r="H194" s="2" t="s">
        <v>1328</v>
      </c>
      <c r="I194" s="2" t="s">
        <v>1401</v>
      </c>
      <c r="J194" s="2" t="s">
        <v>1402</v>
      </c>
      <c r="K194" s="2" t="s">
        <v>1390</v>
      </c>
      <c r="L194" s="3">
        <v>13.2</v>
      </c>
      <c r="M194" s="3">
        <v>13.86</v>
      </c>
      <c r="N194" s="3">
        <v>29.99</v>
      </c>
      <c r="O194" s="2" t="s">
        <v>240</v>
      </c>
      <c r="P194" s="2" t="s">
        <v>266</v>
      </c>
      <c r="Q194" s="2" t="s">
        <v>234</v>
      </c>
      <c r="R194" s="2" t="s">
        <v>228</v>
      </c>
      <c r="S194" s="2" t="s">
        <v>1394</v>
      </c>
      <c r="T194" s="2" t="s">
        <v>228</v>
      </c>
      <c r="U194" s="2" t="s">
        <v>228</v>
      </c>
      <c r="V194" s="2" t="s">
        <v>1344</v>
      </c>
      <c r="W194" s="2" t="s">
        <v>463</v>
      </c>
      <c r="X194" s="2" t="s">
        <v>228</v>
      </c>
      <c r="Y194" s="2" t="s">
        <v>270</v>
      </c>
      <c r="Z194" s="4">
        <v>354</v>
      </c>
      <c r="AA194" s="4">
        <f>=ROUNDDOWN(19.6666666666667,0)</f>
      </c>
      <c r="AB194" s="5">
        <v>18</v>
      </c>
      <c r="AC194" s="2" t="s">
        <v>1352</v>
      </c>
      <c r="AD194" s="4">
        <v>80</v>
      </c>
      <c r="AE194" s="4">
        <v>280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228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228</v>
      </c>
      <c r="AW194" s="8" t="s">
        <v>228</v>
      </c>
      <c r="AX194" s="4" t="s">
        <v>228</v>
      </c>
      <c r="AY194" s="8" t="s">
        <v>228</v>
      </c>
      <c r="AZ194" s="7" t="s">
        <v>228</v>
      </c>
      <c r="BA194" s="7" t="s">
        <v>228</v>
      </c>
      <c r="BB194" s="7"/>
      <c r="BC194" s="4" t="s">
        <v>228</v>
      </c>
      <c r="BD194" s="8" t="s">
        <v>228</v>
      </c>
      <c r="BE194" s="4" t="s">
        <v>228</v>
      </c>
      <c r="BF194" s="8" t="s">
        <v>228</v>
      </c>
      <c r="BG194" s="7" t="s">
        <v>228</v>
      </c>
      <c r="BH194" s="7" t="s">
        <v>228</v>
      </c>
      <c r="BI194" s="7"/>
      <c r="BJ194" s="4">
        <v>110</v>
      </c>
      <c r="BK194" s="8">
        <v>1640.63</v>
      </c>
      <c r="BL194" s="2" t="s">
        <v>1363</v>
      </c>
      <c r="BM194" s="7"/>
      <c r="BN194" s="7"/>
      <c r="BO194" s="4"/>
      <c r="BP194" s="8"/>
      <c r="BQ194" s="4"/>
      <c r="BR194" s="8"/>
      <c r="BS194" s="7"/>
      <c r="BT194" s="7"/>
      <c r="BU194" s="2" t="s">
        <v>1403</v>
      </c>
      <c r="BV194" s="2" t="s">
        <v>228</v>
      </c>
      <c r="BW194" s="2" t="s">
        <v>228</v>
      </c>
      <c r="BX194" s="2" t="s">
        <v>273</v>
      </c>
      <c r="BY194" s="2" t="s">
        <v>274</v>
      </c>
      <c r="BZ194" s="2" t="s">
        <v>240</v>
      </c>
      <c r="CA194" s="2" t="s">
        <v>275</v>
      </c>
      <c r="CB194" s="2" t="s">
        <v>1404</v>
      </c>
      <c r="CC194" s="2" t="s">
        <v>241</v>
      </c>
      <c r="CD194" s="2" t="s">
        <v>228</v>
      </c>
      <c r="CE194" s="4">
        <v>254</v>
      </c>
      <c r="CF194" s="4"/>
      <c r="CG194" s="4"/>
      <c r="CH194" s="4"/>
      <c r="CI194" s="4"/>
      <c r="CJ194" s="4"/>
      <c r="CK194" s="4">
        <v>100</v>
      </c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>
        <v>80</v>
      </c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>
        <v>200</v>
      </c>
      <c r="HA194" s="4"/>
      <c r="HB194" s="4"/>
      <c r="HC194" s="4"/>
      <c r="HD194" s="4"/>
      <c r="HE194" s="4"/>
    </row>
    <row r="195">
      <c r="A195" s="2" t="s">
        <v>1405</v>
      </c>
      <c r="B195" s="2" t="s">
        <v>223</v>
      </c>
      <c r="C195" s="2" t="s">
        <v>1406</v>
      </c>
      <c r="D195" s="2" t="s">
        <v>1407</v>
      </c>
      <c r="E195" s="2" t="s">
        <v>1408</v>
      </c>
      <c r="F195" s="2" t="s">
        <v>1409</v>
      </c>
      <c r="G195" s="2" t="s">
        <v>1410</v>
      </c>
      <c r="H195" s="2" t="s">
        <v>1410</v>
      </c>
      <c r="I195" s="2" t="s">
        <v>1411</v>
      </c>
      <c r="J195" s="2" t="s">
        <v>1412</v>
      </c>
      <c r="K195" s="2" t="s">
        <v>265</v>
      </c>
      <c r="L195" s="3">
        <v>33.33</v>
      </c>
      <c r="M195" s="3">
        <v>35</v>
      </c>
      <c r="N195" s="3">
        <v>69.99</v>
      </c>
      <c r="O195" s="2" t="s">
        <v>240</v>
      </c>
      <c r="P195" s="2" t="s">
        <v>233</v>
      </c>
      <c r="Q195" s="2" t="s">
        <v>234</v>
      </c>
      <c r="R195" s="2" t="s">
        <v>228</v>
      </c>
      <c r="S195" s="2" t="s">
        <v>1413</v>
      </c>
      <c r="T195" s="2" t="s">
        <v>1414</v>
      </c>
      <c r="U195" s="2" t="s">
        <v>416</v>
      </c>
      <c r="V195" s="2" t="s">
        <v>236</v>
      </c>
      <c r="W195" s="2" t="s">
        <v>269</v>
      </c>
      <c r="X195" s="2" t="s">
        <v>228</v>
      </c>
      <c r="Y195" s="2" t="s">
        <v>1415</v>
      </c>
      <c r="Z195" s="4"/>
      <c r="AA195" s="4">
        <f>=ROUNDDOWN({0},0)</f>
      </c>
      <c r="AB195" s="5">
        <v>27</v>
      </c>
      <c r="AC195" s="2" t="s">
        <v>1416</v>
      </c>
      <c r="AD195" s="4">
        <v>160</v>
      </c>
      <c r="AE195" s="4">
        <v>800</v>
      </c>
      <c r="AF195" s="6">
        <v>66</v>
      </c>
      <c r="AG195" s="6"/>
      <c r="AH195" s="7">
        <v>0</v>
      </c>
      <c r="AI195" s="4"/>
      <c r="AJ195" s="4">
        <f>=ROUNDDOWN({0},0)</f>
      </c>
      <c r="AK195" s="5"/>
      <c r="AL195" s="2" t="s">
        <v>228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 t="s">
        <v>228</v>
      </c>
      <c r="BD195" s="8" t="s">
        <v>228</v>
      </c>
      <c r="BE195" s="4" t="s">
        <v>228</v>
      </c>
      <c r="BF195" s="8" t="s">
        <v>228</v>
      </c>
      <c r="BG195" s="7" t="s">
        <v>228</v>
      </c>
      <c r="BH195" s="7" t="s">
        <v>228</v>
      </c>
      <c r="BI195" s="7"/>
      <c r="BJ195" s="4"/>
      <c r="BK195" s="8"/>
      <c r="BL195" s="2" t="s">
        <v>228</v>
      </c>
      <c r="BM195" s="7"/>
      <c r="BN195" s="7"/>
      <c r="BO195" s="4"/>
      <c r="BP195" s="8"/>
      <c r="BQ195" s="4"/>
      <c r="BR195" s="8"/>
      <c r="BS195" s="7"/>
      <c r="BT195" s="7"/>
      <c r="BU195" s="2" t="s">
        <v>238</v>
      </c>
      <c r="BV195" s="2" t="s">
        <v>228</v>
      </c>
      <c r="BW195" s="2" t="s">
        <v>228</v>
      </c>
      <c r="BX195" s="2" t="s">
        <v>238</v>
      </c>
      <c r="BY195" s="2" t="s">
        <v>239</v>
      </c>
      <c r="BZ195" s="2" t="s">
        <v>240</v>
      </c>
      <c r="CA195" s="2" t="s">
        <v>228</v>
      </c>
      <c r="CB195" s="2" t="s">
        <v>228</v>
      </c>
      <c r="CC195" s="2" t="s">
        <v>241</v>
      </c>
      <c r="CD195" s="2" t="s">
        <v>228</v>
      </c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>
        <v>160</v>
      </c>
      <c r="EE195" s="4"/>
      <c r="EF195" s="4"/>
      <c r="EG195" s="4">
        <v>160</v>
      </c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>
        <v>480</v>
      </c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</row>
    <row r="196">
      <c r="A196" s="2" t="s">
        <v>1417</v>
      </c>
      <c r="B196" s="2" t="s">
        <v>223</v>
      </c>
      <c r="C196" s="2" t="s">
        <v>1406</v>
      </c>
      <c r="D196" s="2" t="s">
        <v>1407</v>
      </c>
      <c r="E196" s="2" t="s">
        <v>1408</v>
      </c>
      <c r="F196" s="2" t="s">
        <v>1409</v>
      </c>
      <c r="G196" s="2" t="s">
        <v>1410</v>
      </c>
      <c r="H196" s="2" t="s">
        <v>1410</v>
      </c>
      <c r="I196" s="2" t="s">
        <v>1411</v>
      </c>
      <c r="J196" s="2" t="s">
        <v>1412</v>
      </c>
      <c r="K196" s="2" t="s">
        <v>1418</v>
      </c>
      <c r="L196" s="3">
        <v>33.33</v>
      </c>
      <c r="M196" s="3">
        <v>35</v>
      </c>
      <c r="N196" s="3">
        <v>69.99</v>
      </c>
      <c r="O196" s="2" t="s">
        <v>240</v>
      </c>
      <c r="P196" s="2" t="s">
        <v>233</v>
      </c>
      <c r="Q196" s="2" t="s">
        <v>234</v>
      </c>
      <c r="R196" s="2" t="s">
        <v>228</v>
      </c>
      <c r="S196" s="2" t="s">
        <v>1419</v>
      </c>
      <c r="T196" s="2" t="s">
        <v>1414</v>
      </c>
      <c r="U196" s="2" t="s">
        <v>416</v>
      </c>
      <c r="V196" s="2" t="s">
        <v>980</v>
      </c>
      <c r="W196" s="2" t="s">
        <v>417</v>
      </c>
      <c r="X196" s="2" t="s">
        <v>228</v>
      </c>
      <c r="Y196" s="2" t="s">
        <v>228</v>
      </c>
      <c r="Z196" s="4"/>
      <c r="AA196" s="4">
        <f>=ROUNDDOWN({0},0)</f>
      </c>
      <c r="AB196" s="5">
        <v>43</v>
      </c>
      <c r="AC196" s="2" t="s">
        <v>1416</v>
      </c>
      <c r="AD196" s="4">
        <v>250</v>
      </c>
      <c r="AE196" s="4">
        <v>1260</v>
      </c>
      <c r="AF196" s="6">
        <v>66</v>
      </c>
      <c r="AG196" s="6"/>
      <c r="AH196" s="7"/>
      <c r="AI196" s="4"/>
      <c r="AJ196" s="4">
        <f>=ROUNDDOWN({0},0)</f>
      </c>
      <c r="AK196" s="5"/>
      <c r="AL196" s="2" t="s">
        <v>228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 t="s">
        <v>228</v>
      </c>
      <c r="BD196" s="8" t="s">
        <v>228</v>
      </c>
      <c r="BE196" s="4" t="s">
        <v>228</v>
      </c>
      <c r="BF196" s="8" t="s">
        <v>228</v>
      </c>
      <c r="BG196" s="7" t="s">
        <v>228</v>
      </c>
      <c r="BH196" s="7" t="s">
        <v>228</v>
      </c>
      <c r="BI196" s="7"/>
      <c r="BJ196" s="4"/>
      <c r="BK196" s="8"/>
      <c r="BL196" s="2" t="s">
        <v>228</v>
      </c>
      <c r="BM196" s="7"/>
      <c r="BN196" s="7"/>
      <c r="BO196" s="4"/>
      <c r="BP196" s="8"/>
      <c r="BQ196" s="4"/>
      <c r="BR196" s="8"/>
      <c r="BS196" s="7"/>
      <c r="BT196" s="7"/>
      <c r="BU196" s="2" t="s">
        <v>238</v>
      </c>
      <c r="BV196" s="2" t="s">
        <v>228</v>
      </c>
      <c r="BW196" s="2" t="s">
        <v>228</v>
      </c>
      <c r="BX196" s="2" t="s">
        <v>238</v>
      </c>
      <c r="BY196" s="2" t="s">
        <v>239</v>
      </c>
      <c r="BZ196" s="2" t="s">
        <v>240</v>
      </c>
      <c r="CA196" s="2" t="s">
        <v>228</v>
      </c>
      <c r="CB196" s="2" t="s">
        <v>228</v>
      </c>
      <c r="CC196" s="2" t="s">
        <v>241</v>
      </c>
      <c r="CD196" s="2" t="s">
        <v>228</v>
      </c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>
        <v>250</v>
      </c>
      <c r="EE196" s="4"/>
      <c r="EF196" s="4"/>
      <c r="EG196" s="4">
        <v>250</v>
      </c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>
        <v>90</v>
      </c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>
        <v>670</v>
      </c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</row>
    <row r="197">
      <c r="A197" s="2" t="s">
        <v>1420</v>
      </c>
      <c r="B197" s="2" t="s">
        <v>223</v>
      </c>
      <c r="C197" s="2" t="s">
        <v>1406</v>
      </c>
      <c r="D197" s="2" t="s">
        <v>1407</v>
      </c>
      <c r="E197" s="2" t="s">
        <v>1408</v>
      </c>
      <c r="F197" s="2" t="s">
        <v>1409</v>
      </c>
      <c r="G197" s="2" t="s">
        <v>1410</v>
      </c>
      <c r="H197" s="2" t="s">
        <v>1410</v>
      </c>
      <c r="I197" s="2" t="s">
        <v>1411</v>
      </c>
      <c r="J197" s="2" t="s">
        <v>1412</v>
      </c>
      <c r="K197" s="2" t="s">
        <v>1421</v>
      </c>
      <c r="L197" s="3">
        <v>33.33</v>
      </c>
      <c r="M197" s="3">
        <v>35</v>
      </c>
      <c r="N197" s="3">
        <v>69.99</v>
      </c>
      <c r="O197" s="2" t="s">
        <v>240</v>
      </c>
      <c r="P197" s="2" t="s">
        <v>233</v>
      </c>
      <c r="Q197" s="2" t="s">
        <v>234</v>
      </c>
      <c r="R197" s="2" t="s">
        <v>228</v>
      </c>
      <c r="S197" s="2" t="s">
        <v>1422</v>
      </c>
      <c r="T197" s="2" t="s">
        <v>1414</v>
      </c>
      <c r="U197" s="2" t="s">
        <v>416</v>
      </c>
      <c r="V197" s="2" t="s">
        <v>236</v>
      </c>
      <c r="W197" s="2" t="s">
        <v>269</v>
      </c>
      <c r="X197" s="2" t="s">
        <v>228</v>
      </c>
      <c r="Y197" s="2" t="s">
        <v>228</v>
      </c>
      <c r="Z197" s="4"/>
      <c r="AA197" s="4">
        <f>=ROUNDDOWN({0},0)</f>
      </c>
      <c r="AB197" s="5">
        <v>33</v>
      </c>
      <c r="AC197" s="2" t="s">
        <v>1416</v>
      </c>
      <c r="AD197" s="4">
        <v>200</v>
      </c>
      <c r="AE197" s="4">
        <v>1000</v>
      </c>
      <c r="AF197" s="6">
        <v>66</v>
      </c>
      <c r="AG197" s="6"/>
      <c r="AH197" s="7"/>
      <c r="AI197" s="4"/>
      <c r="AJ197" s="4">
        <f>=ROUNDDOWN({0},0)</f>
      </c>
      <c r="AK197" s="5"/>
      <c r="AL197" s="2" t="s">
        <v>228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 t="s">
        <v>228</v>
      </c>
      <c r="BD197" s="8" t="s">
        <v>228</v>
      </c>
      <c r="BE197" s="4" t="s">
        <v>228</v>
      </c>
      <c r="BF197" s="8" t="s">
        <v>228</v>
      </c>
      <c r="BG197" s="7" t="s">
        <v>228</v>
      </c>
      <c r="BH197" s="7" t="s">
        <v>228</v>
      </c>
      <c r="BI197" s="7"/>
      <c r="BJ197" s="4"/>
      <c r="BK197" s="8"/>
      <c r="BL197" s="2" t="s">
        <v>228</v>
      </c>
      <c r="BM197" s="7"/>
      <c r="BN197" s="7"/>
      <c r="BO197" s="4"/>
      <c r="BP197" s="8"/>
      <c r="BQ197" s="4"/>
      <c r="BR197" s="8"/>
      <c r="BS197" s="7"/>
      <c r="BT197" s="7"/>
      <c r="BU197" s="2" t="s">
        <v>238</v>
      </c>
      <c r="BV197" s="2" t="s">
        <v>228</v>
      </c>
      <c r="BW197" s="2" t="s">
        <v>228</v>
      </c>
      <c r="BX197" s="2" t="s">
        <v>238</v>
      </c>
      <c r="BY197" s="2" t="s">
        <v>239</v>
      </c>
      <c r="BZ197" s="2" t="s">
        <v>240</v>
      </c>
      <c r="CA197" s="2" t="s">
        <v>228</v>
      </c>
      <c r="CB197" s="2" t="s">
        <v>228</v>
      </c>
      <c r="CC197" s="2" t="s">
        <v>241</v>
      </c>
      <c r="CD197" s="2" t="s">
        <v>228</v>
      </c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>
        <v>200</v>
      </c>
      <c r="EE197" s="4"/>
      <c r="EF197" s="4"/>
      <c r="EG197" s="4">
        <v>200</v>
      </c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>
        <v>600</v>
      </c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</row>
    <row r="198">
      <c r="A198" s="2" t="s">
        <v>1423</v>
      </c>
      <c r="B198" s="2" t="s">
        <v>223</v>
      </c>
      <c r="C198" s="2" t="s">
        <v>1406</v>
      </c>
      <c r="D198" s="2" t="s">
        <v>1407</v>
      </c>
      <c r="E198" s="2" t="s">
        <v>1408</v>
      </c>
      <c r="F198" s="2" t="s">
        <v>1409</v>
      </c>
      <c r="G198" s="2" t="s">
        <v>1410</v>
      </c>
      <c r="H198" s="2" t="s">
        <v>1410</v>
      </c>
      <c r="I198" s="2" t="s">
        <v>1411</v>
      </c>
      <c r="J198" s="2" t="s">
        <v>1412</v>
      </c>
      <c r="K198" s="2" t="s">
        <v>1424</v>
      </c>
      <c r="L198" s="3">
        <v>33.33</v>
      </c>
      <c r="M198" s="3">
        <v>35</v>
      </c>
      <c r="N198" s="3">
        <v>69.99</v>
      </c>
      <c r="O198" s="2" t="s">
        <v>240</v>
      </c>
      <c r="P198" s="2" t="s">
        <v>233</v>
      </c>
      <c r="Q198" s="2" t="s">
        <v>234</v>
      </c>
      <c r="R198" s="2" t="s">
        <v>228</v>
      </c>
      <c r="S198" s="2" t="s">
        <v>1425</v>
      </c>
      <c r="T198" s="2" t="s">
        <v>1414</v>
      </c>
      <c r="U198" s="2" t="s">
        <v>416</v>
      </c>
      <c r="V198" s="2" t="s">
        <v>980</v>
      </c>
      <c r="W198" s="2" t="s">
        <v>417</v>
      </c>
      <c r="X198" s="2" t="s">
        <v>228</v>
      </c>
      <c r="Y198" s="2" t="s">
        <v>1415</v>
      </c>
      <c r="Z198" s="4"/>
      <c r="AA198" s="4">
        <f>=ROUNDDOWN({0},0)</f>
      </c>
      <c r="AB198" s="5">
        <v>23</v>
      </c>
      <c r="AC198" s="2" t="s">
        <v>1416</v>
      </c>
      <c r="AD198" s="4">
        <v>140</v>
      </c>
      <c r="AE198" s="4">
        <v>700</v>
      </c>
      <c r="AF198" s="6">
        <v>66</v>
      </c>
      <c r="AG198" s="6"/>
      <c r="AH198" s="7">
        <v>0</v>
      </c>
      <c r="AI198" s="4"/>
      <c r="AJ198" s="4">
        <f>=ROUNDDOWN({0},0)</f>
      </c>
      <c r="AK198" s="5"/>
      <c r="AL198" s="2" t="s">
        <v>228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 t="s">
        <v>228</v>
      </c>
      <c r="BD198" s="8" t="s">
        <v>228</v>
      </c>
      <c r="BE198" s="4" t="s">
        <v>228</v>
      </c>
      <c r="BF198" s="8" t="s">
        <v>228</v>
      </c>
      <c r="BG198" s="7" t="s">
        <v>228</v>
      </c>
      <c r="BH198" s="7" t="s">
        <v>228</v>
      </c>
      <c r="BI198" s="7"/>
      <c r="BJ198" s="4"/>
      <c r="BK198" s="8"/>
      <c r="BL198" s="2" t="s">
        <v>228</v>
      </c>
      <c r="BM198" s="7"/>
      <c r="BN198" s="7"/>
      <c r="BO198" s="4"/>
      <c r="BP198" s="8"/>
      <c r="BQ198" s="4"/>
      <c r="BR198" s="8"/>
      <c r="BS198" s="7"/>
      <c r="BT198" s="7"/>
      <c r="BU198" s="2" t="s">
        <v>238</v>
      </c>
      <c r="BV198" s="2" t="s">
        <v>228</v>
      </c>
      <c r="BW198" s="2" t="s">
        <v>228</v>
      </c>
      <c r="BX198" s="2" t="s">
        <v>238</v>
      </c>
      <c r="BY198" s="2" t="s">
        <v>239</v>
      </c>
      <c r="BZ198" s="2" t="s">
        <v>240</v>
      </c>
      <c r="CA198" s="2" t="s">
        <v>228</v>
      </c>
      <c r="CB198" s="2" t="s">
        <v>228</v>
      </c>
      <c r="CC198" s="2" t="s">
        <v>241</v>
      </c>
      <c r="CD198" s="2" t="s">
        <v>228</v>
      </c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>
        <v>140</v>
      </c>
      <c r="EE198" s="4"/>
      <c r="EF198" s="4"/>
      <c r="EG198" s="4">
        <v>140</v>
      </c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>
        <v>420</v>
      </c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</row>
    <row r="199">
      <c r="A199" s="2" t="s">
        <v>1426</v>
      </c>
      <c r="B199" s="2" t="s">
        <v>223</v>
      </c>
      <c r="C199" s="2" t="s">
        <v>1406</v>
      </c>
      <c r="D199" s="2" t="s">
        <v>1407</v>
      </c>
      <c r="E199" s="2" t="s">
        <v>1408</v>
      </c>
      <c r="F199" s="2" t="s">
        <v>1409</v>
      </c>
      <c r="G199" s="2" t="s">
        <v>1410</v>
      </c>
      <c r="H199" s="2" t="s">
        <v>1410</v>
      </c>
      <c r="I199" s="2" t="s">
        <v>1411</v>
      </c>
      <c r="J199" s="2" t="s">
        <v>1412</v>
      </c>
      <c r="K199" s="2" t="s">
        <v>249</v>
      </c>
      <c r="L199" s="3">
        <v>33.33</v>
      </c>
      <c r="M199" s="3">
        <v>35</v>
      </c>
      <c r="N199" s="3">
        <v>69.99</v>
      </c>
      <c r="O199" s="2" t="s">
        <v>240</v>
      </c>
      <c r="P199" s="2" t="s">
        <v>233</v>
      </c>
      <c r="Q199" s="2" t="s">
        <v>234</v>
      </c>
      <c r="R199" s="2" t="s">
        <v>228</v>
      </c>
      <c r="S199" s="2" t="s">
        <v>1427</v>
      </c>
      <c r="T199" s="2" t="s">
        <v>1414</v>
      </c>
      <c r="U199" s="2" t="s">
        <v>416</v>
      </c>
      <c r="V199" s="2" t="s">
        <v>236</v>
      </c>
      <c r="W199" s="2" t="s">
        <v>269</v>
      </c>
      <c r="X199" s="2" t="s">
        <v>228</v>
      </c>
      <c r="Y199" s="2" t="s">
        <v>228</v>
      </c>
      <c r="Z199" s="4"/>
      <c r="AA199" s="4">
        <f>=ROUNDDOWN({0},0)</f>
      </c>
      <c r="AB199" s="5">
        <v>33</v>
      </c>
      <c r="AC199" s="2" t="s">
        <v>1416</v>
      </c>
      <c r="AD199" s="4">
        <v>200</v>
      </c>
      <c r="AE199" s="4">
        <v>1000</v>
      </c>
      <c r="AF199" s="6">
        <v>66</v>
      </c>
      <c r="AG199" s="6"/>
      <c r="AH199" s="7"/>
      <c r="AI199" s="4"/>
      <c r="AJ199" s="4">
        <f>=ROUNDDOWN({0},0)</f>
      </c>
      <c r="AK199" s="5"/>
      <c r="AL199" s="2" t="s">
        <v>228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 t="s">
        <v>228</v>
      </c>
      <c r="BD199" s="8" t="s">
        <v>228</v>
      </c>
      <c r="BE199" s="4" t="s">
        <v>228</v>
      </c>
      <c r="BF199" s="8" t="s">
        <v>228</v>
      </c>
      <c r="BG199" s="7" t="s">
        <v>228</v>
      </c>
      <c r="BH199" s="7" t="s">
        <v>228</v>
      </c>
      <c r="BI199" s="7"/>
      <c r="BJ199" s="4"/>
      <c r="BK199" s="8"/>
      <c r="BL199" s="2" t="s">
        <v>228</v>
      </c>
      <c r="BM199" s="7"/>
      <c r="BN199" s="7"/>
      <c r="BO199" s="4"/>
      <c r="BP199" s="8"/>
      <c r="BQ199" s="4"/>
      <c r="BR199" s="8"/>
      <c r="BS199" s="7"/>
      <c r="BT199" s="7"/>
      <c r="BU199" s="2" t="s">
        <v>238</v>
      </c>
      <c r="BV199" s="2" t="s">
        <v>228</v>
      </c>
      <c r="BW199" s="2" t="s">
        <v>228</v>
      </c>
      <c r="BX199" s="2" t="s">
        <v>238</v>
      </c>
      <c r="BY199" s="2" t="s">
        <v>239</v>
      </c>
      <c r="BZ199" s="2" t="s">
        <v>240</v>
      </c>
      <c r="CA199" s="2" t="s">
        <v>228</v>
      </c>
      <c r="CB199" s="2" t="s">
        <v>228</v>
      </c>
      <c r="CC199" s="2" t="s">
        <v>241</v>
      </c>
      <c r="CD199" s="2" t="s">
        <v>228</v>
      </c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>
        <v>200</v>
      </c>
      <c r="EE199" s="4"/>
      <c r="EF199" s="4"/>
      <c r="EG199" s="4">
        <v>200</v>
      </c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>
        <v>600</v>
      </c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</row>
    <row r="200">
      <c r="A200" s="2" t="s">
        <v>1428</v>
      </c>
      <c r="B200" s="2" t="s">
        <v>223</v>
      </c>
      <c r="C200" s="2" t="s">
        <v>1406</v>
      </c>
      <c r="D200" s="2" t="s">
        <v>1407</v>
      </c>
      <c r="E200" s="2" t="s">
        <v>1408</v>
      </c>
      <c r="F200" s="2" t="s">
        <v>1409</v>
      </c>
      <c r="G200" s="2" t="s">
        <v>1410</v>
      </c>
      <c r="H200" s="2" t="s">
        <v>1410</v>
      </c>
      <c r="I200" s="2" t="s">
        <v>1411</v>
      </c>
      <c r="J200" s="2" t="s">
        <v>1412</v>
      </c>
      <c r="K200" s="2" t="s">
        <v>1429</v>
      </c>
      <c r="L200" s="3">
        <v>33.33</v>
      </c>
      <c r="M200" s="3">
        <v>35</v>
      </c>
      <c r="N200" s="3">
        <v>69.99</v>
      </c>
      <c r="O200" s="2" t="s">
        <v>240</v>
      </c>
      <c r="P200" s="2" t="s">
        <v>233</v>
      </c>
      <c r="Q200" s="2" t="s">
        <v>234</v>
      </c>
      <c r="R200" s="2" t="s">
        <v>228</v>
      </c>
      <c r="S200" s="2" t="s">
        <v>1430</v>
      </c>
      <c r="T200" s="2" t="s">
        <v>1414</v>
      </c>
      <c r="U200" s="2" t="s">
        <v>416</v>
      </c>
      <c r="V200" s="2" t="s">
        <v>980</v>
      </c>
      <c r="W200" s="2" t="s">
        <v>417</v>
      </c>
      <c r="X200" s="2" t="s">
        <v>228</v>
      </c>
      <c r="Y200" s="2" t="s">
        <v>228</v>
      </c>
      <c r="Z200" s="4"/>
      <c r="AA200" s="4">
        <f>=ROUNDDOWN({0},0)</f>
      </c>
      <c r="AB200" s="5">
        <v>29</v>
      </c>
      <c r="AC200" s="2" t="s">
        <v>1416</v>
      </c>
      <c r="AD200" s="4">
        <v>180</v>
      </c>
      <c r="AE200" s="4">
        <v>900</v>
      </c>
      <c r="AF200" s="6">
        <v>66</v>
      </c>
      <c r="AG200" s="6"/>
      <c r="AH200" s="7"/>
      <c r="AI200" s="4"/>
      <c r="AJ200" s="4">
        <f>=ROUNDDOWN({0},0)</f>
      </c>
      <c r="AK200" s="5"/>
      <c r="AL200" s="2" t="s">
        <v>228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 t="s">
        <v>228</v>
      </c>
      <c r="BD200" s="8" t="s">
        <v>228</v>
      </c>
      <c r="BE200" s="4" t="s">
        <v>228</v>
      </c>
      <c r="BF200" s="8" t="s">
        <v>228</v>
      </c>
      <c r="BG200" s="7" t="s">
        <v>228</v>
      </c>
      <c r="BH200" s="7" t="s">
        <v>228</v>
      </c>
      <c r="BI200" s="7"/>
      <c r="BJ200" s="4"/>
      <c r="BK200" s="8"/>
      <c r="BL200" s="2" t="s">
        <v>228</v>
      </c>
      <c r="BM200" s="7"/>
      <c r="BN200" s="7"/>
      <c r="BO200" s="4"/>
      <c r="BP200" s="8"/>
      <c r="BQ200" s="4"/>
      <c r="BR200" s="8"/>
      <c r="BS200" s="7"/>
      <c r="BT200" s="7"/>
      <c r="BU200" s="2" t="s">
        <v>238</v>
      </c>
      <c r="BV200" s="2" t="s">
        <v>228</v>
      </c>
      <c r="BW200" s="2" t="s">
        <v>228</v>
      </c>
      <c r="BX200" s="2" t="s">
        <v>238</v>
      </c>
      <c r="BY200" s="2" t="s">
        <v>239</v>
      </c>
      <c r="BZ200" s="2" t="s">
        <v>240</v>
      </c>
      <c r="CA200" s="2" t="s">
        <v>228</v>
      </c>
      <c r="CB200" s="2" t="s">
        <v>228</v>
      </c>
      <c r="CC200" s="2" t="s">
        <v>241</v>
      </c>
      <c r="CD200" s="2" t="s">
        <v>228</v>
      </c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>
        <v>180</v>
      </c>
      <c r="EE200" s="4"/>
      <c r="EF200" s="4"/>
      <c r="EG200" s="4">
        <v>180</v>
      </c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>
        <v>540</v>
      </c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</row>
    <row r="201">
      <c r="A201" s="2" t="s">
        <v>1431</v>
      </c>
      <c r="B201" s="2" t="s">
        <v>223</v>
      </c>
      <c r="C201" s="2" t="s">
        <v>1406</v>
      </c>
      <c r="D201" s="2" t="s">
        <v>1407</v>
      </c>
      <c r="E201" s="2" t="s">
        <v>1408</v>
      </c>
      <c r="F201" s="2" t="s">
        <v>1409</v>
      </c>
      <c r="G201" s="2" t="s">
        <v>1410</v>
      </c>
      <c r="H201" s="2" t="s">
        <v>1410</v>
      </c>
      <c r="I201" s="2" t="s">
        <v>1411</v>
      </c>
      <c r="J201" s="2" t="s">
        <v>1412</v>
      </c>
      <c r="K201" s="2" t="s">
        <v>480</v>
      </c>
      <c r="L201" s="3">
        <v>33.33</v>
      </c>
      <c r="M201" s="3">
        <v>35</v>
      </c>
      <c r="N201" s="3">
        <v>69.99</v>
      </c>
      <c r="O201" s="2" t="s">
        <v>240</v>
      </c>
      <c r="P201" s="2" t="s">
        <v>233</v>
      </c>
      <c r="Q201" s="2" t="s">
        <v>234</v>
      </c>
      <c r="R201" s="2" t="s">
        <v>228</v>
      </c>
      <c r="S201" s="2" t="s">
        <v>1432</v>
      </c>
      <c r="T201" s="2" t="s">
        <v>1414</v>
      </c>
      <c r="U201" s="2" t="s">
        <v>416</v>
      </c>
      <c r="V201" s="2" t="s">
        <v>236</v>
      </c>
      <c r="W201" s="2" t="s">
        <v>269</v>
      </c>
      <c r="X201" s="2" t="s">
        <v>228</v>
      </c>
      <c r="Y201" s="2" t="s">
        <v>228</v>
      </c>
      <c r="Z201" s="4"/>
      <c r="AA201" s="4">
        <f>=ROUNDDOWN({0},0)</f>
      </c>
      <c r="AB201" s="5">
        <v>21</v>
      </c>
      <c r="AC201" s="2" t="s">
        <v>1416</v>
      </c>
      <c r="AD201" s="4">
        <v>140</v>
      </c>
      <c r="AE201" s="4">
        <v>700</v>
      </c>
      <c r="AF201" s="6">
        <v>66</v>
      </c>
      <c r="AG201" s="6"/>
      <c r="AH201" s="7"/>
      <c r="AI201" s="4"/>
      <c r="AJ201" s="4">
        <f>=ROUNDDOWN({0},0)</f>
      </c>
      <c r="AK201" s="5"/>
      <c r="AL201" s="2" t="s">
        <v>228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 t="s">
        <v>228</v>
      </c>
      <c r="BD201" s="8" t="s">
        <v>228</v>
      </c>
      <c r="BE201" s="4" t="s">
        <v>228</v>
      </c>
      <c r="BF201" s="8" t="s">
        <v>228</v>
      </c>
      <c r="BG201" s="7" t="s">
        <v>228</v>
      </c>
      <c r="BH201" s="7" t="s">
        <v>228</v>
      </c>
      <c r="BI201" s="7"/>
      <c r="BJ201" s="4"/>
      <c r="BK201" s="8"/>
      <c r="BL201" s="2" t="s">
        <v>228</v>
      </c>
      <c r="BM201" s="7"/>
      <c r="BN201" s="7"/>
      <c r="BO201" s="4"/>
      <c r="BP201" s="8"/>
      <c r="BQ201" s="4"/>
      <c r="BR201" s="8"/>
      <c r="BS201" s="7"/>
      <c r="BT201" s="7"/>
      <c r="BU201" s="2" t="s">
        <v>238</v>
      </c>
      <c r="BV201" s="2" t="s">
        <v>228</v>
      </c>
      <c r="BW201" s="2" t="s">
        <v>228</v>
      </c>
      <c r="BX201" s="2" t="s">
        <v>238</v>
      </c>
      <c r="BY201" s="2" t="s">
        <v>239</v>
      </c>
      <c r="BZ201" s="2" t="s">
        <v>240</v>
      </c>
      <c r="CA201" s="2" t="s">
        <v>228</v>
      </c>
      <c r="CB201" s="2" t="s">
        <v>228</v>
      </c>
      <c r="CC201" s="2" t="s">
        <v>241</v>
      </c>
      <c r="CD201" s="2" t="s">
        <v>228</v>
      </c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>
        <v>140</v>
      </c>
      <c r="EE201" s="4"/>
      <c r="EF201" s="4"/>
      <c r="EG201" s="4">
        <v>140</v>
      </c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>
        <v>420</v>
      </c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</row>
    <row r="202">
      <c r="A202" s="2" t="s">
        <v>1433</v>
      </c>
      <c r="B202" s="2" t="s">
        <v>970</v>
      </c>
      <c r="C202" s="2" t="s">
        <v>300</v>
      </c>
      <c r="D202" s="2" t="s">
        <v>971</v>
      </c>
      <c r="E202" s="2" t="s">
        <v>972</v>
      </c>
      <c r="F202" s="2" t="s">
        <v>1434</v>
      </c>
      <c r="G202" s="2" t="s">
        <v>1435</v>
      </c>
      <c r="H202" s="2" t="s">
        <v>962</v>
      </c>
      <c r="I202" s="2" t="s">
        <v>1436</v>
      </c>
      <c r="J202" s="2" t="s">
        <v>1309</v>
      </c>
      <c r="K202" s="2" t="s">
        <v>1421</v>
      </c>
      <c r="L202" s="3">
        <v>22</v>
      </c>
      <c r="M202" s="3">
        <v>23.1</v>
      </c>
      <c r="N202" s="3">
        <v>47.99</v>
      </c>
      <c r="O202" s="2" t="s">
        <v>240</v>
      </c>
      <c r="P202" s="2" t="s">
        <v>233</v>
      </c>
      <c r="Q202" s="2" t="s">
        <v>234</v>
      </c>
      <c r="R202" s="2" t="s">
        <v>228</v>
      </c>
      <c r="S202" s="2" t="s">
        <v>1437</v>
      </c>
      <c r="T202" s="2" t="s">
        <v>228</v>
      </c>
      <c r="U202" s="2" t="s">
        <v>416</v>
      </c>
      <c r="V202" s="2" t="s">
        <v>1438</v>
      </c>
      <c r="W202" s="2" t="s">
        <v>269</v>
      </c>
      <c r="X202" s="2" t="s">
        <v>1345</v>
      </c>
      <c r="Y202" s="2" t="s">
        <v>1439</v>
      </c>
      <c r="Z202" s="4"/>
      <c r="AA202" s="4">
        <f>=ROUNDDOWN({0},0)</f>
      </c>
      <c r="AB202" s="5">
        <v>30</v>
      </c>
      <c r="AC202" s="2" t="s">
        <v>1014</v>
      </c>
      <c r="AD202" s="4">
        <v>356</v>
      </c>
      <c r="AE202" s="4">
        <v>356</v>
      </c>
      <c r="AF202" s="6">
        <v>65</v>
      </c>
      <c r="AG202" s="6"/>
      <c r="AH202" s="7"/>
      <c r="AI202" s="4"/>
      <c r="AJ202" s="4">
        <f>=ROUNDDOWN({0},0)</f>
      </c>
      <c r="AK202" s="5"/>
      <c r="AL202" s="2" t="s">
        <v>228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 t="s">
        <v>228</v>
      </c>
      <c r="BD202" s="8" t="s">
        <v>228</v>
      </c>
      <c r="BE202" s="4" t="s">
        <v>228</v>
      </c>
      <c r="BF202" s="8" t="s">
        <v>228</v>
      </c>
      <c r="BG202" s="7" t="s">
        <v>228</v>
      </c>
      <c r="BH202" s="7" t="s">
        <v>228</v>
      </c>
      <c r="BI202" s="7"/>
      <c r="BJ202" s="4"/>
      <c r="BK202" s="8"/>
      <c r="BL202" s="2" t="s">
        <v>228</v>
      </c>
      <c r="BM202" s="7"/>
      <c r="BN202" s="7"/>
      <c r="BO202" s="4"/>
      <c r="BP202" s="8"/>
      <c r="BQ202" s="4"/>
      <c r="BR202" s="8"/>
      <c r="BS202" s="7"/>
      <c r="BT202" s="7"/>
      <c r="BU202" s="2" t="s">
        <v>238</v>
      </c>
      <c r="BV202" s="2" t="s">
        <v>228</v>
      </c>
      <c r="BW202" s="2" t="s">
        <v>228</v>
      </c>
      <c r="BX202" s="2" t="s">
        <v>238</v>
      </c>
      <c r="BY202" s="2" t="s">
        <v>239</v>
      </c>
      <c r="BZ202" s="2" t="s">
        <v>240</v>
      </c>
      <c r="CA202" s="2" t="s">
        <v>228</v>
      </c>
      <c r="CB202" s="2" t="s">
        <v>228</v>
      </c>
      <c r="CC202" s="2" t="s">
        <v>241</v>
      </c>
      <c r="CD202" s="2" t="s">
        <v>228</v>
      </c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>
        <v>356</v>
      </c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</row>
    <row r="203">
      <c r="A203" s="2" t="s">
        <v>1440</v>
      </c>
      <c r="B203" s="2" t="s">
        <v>970</v>
      </c>
      <c r="C203" s="2" t="s">
        <v>300</v>
      </c>
      <c r="D203" s="2" t="s">
        <v>971</v>
      </c>
      <c r="E203" s="2" t="s">
        <v>972</v>
      </c>
      <c r="F203" s="2" t="s">
        <v>1434</v>
      </c>
      <c r="G203" s="2" t="s">
        <v>1435</v>
      </c>
      <c r="H203" s="2" t="s">
        <v>962</v>
      </c>
      <c r="I203" s="2" t="s">
        <v>1441</v>
      </c>
      <c r="J203" s="2" t="s">
        <v>977</v>
      </c>
      <c r="K203" s="2" t="s">
        <v>460</v>
      </c>
      <c r="L203" s="3">
        <v>18.24</v>
      </c>
      <c r="M203" s="3">
        <v>19.15</v>
      </c>
      <c r="N203" s="3">
        <v>37.99</v>
      </c>
      <c r="O203" s="2" t="s">
        <v>240</v>
      </c>
      <c r="P203" s="2" t="s">
        <v>266</v>
      </c>
      <c r="Q203" s="2" t="s">
        <v>234</v>
      </c>
      <c r="R203" s="2" t="s">
        <v>228</v>
      </c>
      <c r="S203" s="2" t="s">
        <v>1442</v>
      </c>
      <c r="T203" s="2" t="s">
        <v>228</v>
      </c>
      <c r="U203" s="2" t="s">
        <v>416</v>
      </c>
      <c r="V203" s="2" t="s">
        <v>1438</v>
      </c>
      <c r="W203" s="2" t="s">
        <v>269</v>
      </c>
      <c r="X203" s="2" t="s">
        <v>1345</v>
      </c>
      <c r="Y203" s="2" t="s">
        <v>1443</v>
      </c>
      <c r="Z203" s="4">
        <v>409</v>
      </c>
      <c r="AA203" s="4">
        <f>=ROUNDDOWN(51.125,0)</f>
      </c>
      <c r="AB203" s="5">
        <v>8</v>
      </c>
      <c r="AC203" s="2" t="s">
        <v>1014</v>
      </c>
      <c r="AD203" s="4">
        <v>260</v>
      </c>
      <c r="AE203" s="4">
        <v>260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228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 t="s">
        <v>228</v>
      </c>
      <c r="BD203" s="8" t="s">
        <v>228</v>
      </c>
      <c r="BE203" s="4" t="s">
        <v>228</v>
      </c>
      <c r="BF203" s="8" t="s">
        <v>228</v>
      </c>
      <c r="BG203" s="7" t="s">
        <v>228</v>
      </c>
      <c r="BH203" s="7" t="s">
        <v>228</v>
      </c>
      <c r="BI203" s="7"/>
      <c r="BJ203" s="4">
        <v>37</v>
      </c>
      <c r="BK203" s="8">
        <v>713.67</v>
      </c>
      <c r="BL203" s="2" t="s">
        <v>1444</v>
      </c>
      <c r="BM203" s="7"/>
      <c r="BN203" s="7"/>
      <c r="BO203" s="4"/>
      <c r="BP203" s="8"/>
      <c r="BQ203" s="4"/>
      <c r="BR203" s="8"/>
      <c r="BS203" s="7"/>
      <c r="BT203" s="7"/>
      <c r="BU203" s="2" t="s">
        <v>1445</v>
      </c>
      <c r="BV203" s="2" t="s">
        <v>228</v>
      </c>
      <c r="BW203" s="2" t="s">
        <v>228</v>
      </c>
      <c r="BX203" s="2" t="s">
        <v>273</v>
      </c>
      <c r="BY203" s="2" t="s">
        <v>274</v>
      </c>
      <c r="BZ203" s="2" t="s">
        <v>240</v>
      </c>
      <c r="CA203" s="2" t="s">
        <v>379</v>
      </c>
      <c r="CB203" s="2" t="s">
        <v>228</v>
      </c>
      <c r="CC203" s="2" t="s">
        <v>241</v>
      </c>
      <c r="CD203" s="2" t="s">
        <v>228</v>
      </c>
      <c r="CE203" s="4">
        <v>409</v>
      </c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>
        <v>260</v>
      </c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</row>
    <row r="204">
      <c r="A204" s="2" t="s">
        <v>1446</v>
      </c>
      <c r="B204" s="2" t="s">
        <v>970</v>
      </c>
      <c r="C204" s="2" t="s">
        <v>300</v>
      </c>
      <c r="D204" s="2" t="s">
        <v>971</v>
      </c>
      <c r="E204" s="2" t="s">
        <v>972</v>
      </c>
      <c r="F204" s="2" t="s">
        <v>1434</v>
      </c>
      <c r="G204" s="2" t="s">
        <v>1435</v>
      </c>
      <c r="H204" s="2" t="s">
        <v>962</v>
      </c>
      <c r="I204" s="2" t="s">
        <v>1436</v>
      </c>
      <c r="J204" s="2" t="s">
        <v>977</v>
      </c>
      <c r="K204" s="2" t="s">
        <v>249</v>
      </c>
      <c r="L204" s="3">
        <v>17.48</v>
      </c>
      <c r="M204" s="3">
        <v>18.35</v>
      </c>
      <c r="N204" s="3">
        <v>37.99</v>
      </c>
      <c r="O204" s="2" t="s">
        <v>240</v>
      </c>
      <c r="P204" s="2" t="s">
        <v>266</v>
      </c>
      <c r="Q204" s="2" t="s">
        <v>234</v>
      </c>
      <c r="R204" s="2" t="s">
        <v>228</v>
      </c>
      <c r="S204" s="2" t="s">
        <v>1437</v>
      </c>
      <c r="T204" s="2" t="s">
        <v>228</v>
      </c>
      <c r="U204" s="2" t="s">
        <v>416</v>
      </c>
      <c r="V204" s="2" t="s">
        <v>1438</v>
      </c>
      <c r="W204" s="2" t="s">
        <v>269</v>
      </c>
      <c r="X204" s="2" t="s">
        <v>1345</v>
      </c>
      <c r="Y204" s="2" t="s">
        <v>1447</v>
      </c>
      <c r="Z204" s="4">
        <v>1013</v>
      </c>
      <c r="AA204" s="4">
        <f>=ROUNDDOWN(48.2380952380952,0)</f>
      </c>
      <c r="AB204" s="5">
        <v>21</v>
      </c>
      <c r="AC204" s="2" t="s">
        <v>228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228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228</v>
      </c>
      <c r="AW204" s="8" t="s">
        <v>228</v>
      </c>
      <c r="AX204" s="4" t="s">
        <v>228</v>
      </c>
      <c r="AY204" s="8" t="s">
        <v>228</v>
      </c>
      <c r="AZ204" s="7" t="s">
        <v>228</v>
      </c>
      <c r="BA204" s="7" t="s">
        <v>228</v>
      </c>
      <c r="BB204" s="7" t="s">
        <v>228</v>
      </c>
      <c r="BC204" s="4" t="s">
        <v>228</v>
      </c>
      <c r="BD204" s="8" t="s">
        <v>228</v>
      </c>
      <c r="BE204" s="4" t="s">
        <v>228</v>
      </c>
      <c r="BF204" s="8" t="s">
        <v>228</v>
      </c>
      <c r="BG204" s="7" t="s">
        <v>228</v>
      </c>
      <c r="BH204" s="7" t="s">
        <v>228</v>
      </c>
      <c r="BI204" s="7"/>
      <c r="BJ204" s="4">
        <v>26</v>
      </c>
      <c r="BK204" s="8">
        <v>488.78</v>
      </c>
      <c r="BL204" s="2" t="s">
        <v>1448</v>
      </c>
      <c r="BM204" s="7"/>
      <c r="BN204" s="7"/>
      <c r="BO204" s="4"/>
      <c r="BP204" s="8"/>
      <c r="BQ204" s="4"/>
      <c r="BR204" s="8"/>
      <c r="BS204" s="7"/>
      <c r="BT204" s="7"/>
      <c r="BU204" s="2" t="s">
        <v>1449</v>
      </c>
      <c r="BV204" s="2" t="s">
        <v>228</v>
      </c>
      <c r="BW204" s="2" t="s">
        <v>228</v>
      </c>
      <c r="BX204" s="2" t="s">
        <v>273</v>
      </c>
      <c r="BY204" s="2" t="s">
        <v>274</v>
      </c>
      <c r="BZ204" s="2" t="s">
        <v>240</v>
      </c>
      <c r="CA204" s="2" t="s">
        <v>379</v>
      </c>
      <c r="CB204" s="2" t="s">
        <v>1450</v>
      </c>
      <c r="CC204" s="2" t="s">
        <v>241</v>
      </c>
      <c r="CD204" s="2" t="s">
        <v>228</v>
      </c>
      <c r="CE204" s="4">
        <v>1013</v>
      </c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</row>
    <row r="205">
      <c r="A205" s="2" t="s">
        <v>1451</v>
      </c>
      <c r="B205" s="2" t="s">
        <v>970</v>
      </c>
      <c r="C205" s="2" t="s">
        <v>300</v>
      </c>
      <c r="D205" s="2" t="s">
        <v>971</v>
      </c>
      <c r="E205" s="2" t="s">
        <v>972</v>
      </c>
      <c r="F205" s="2" t="s">
        <v>1434</v>
      </c>
      <c r="G205" s="2" t="s">
        <v>1435</v>
      </c>
      <c r="H205" s="2" t="s">
        <v>962</v>
      </c>
      <c r="I205" s="2" t="s">
        <v>1441</v>
      </c>
      <c r="J205" s="2" t="s">
        <v>977</v>
      </c>
      <c r="K205" s="2" t="s">
        <v>249</v>
      </c>
      <c r="L205" s="3">
        <v>18.24</v>
      </c>
      <c r="M205" s="3">
        <v>19.15</v>
      </c>
      <c r="N205" s="3">
        <v>37.99</v>
      </c>
      <c r="O205" s="2" t="s">
        <v>240</v>
      </c>
      <c r="P205" s="2" t="s">
        <v>266</v>
      </c>
      <c r="Q205" s="2" t="s">
        <v>234</v>
      </c>
      <c r="R205" s="2" t="s">
        <v>228</v>
      </c>
      <c r="S205" s="2" t="s">
        <v>1437</v>
      </c>
      <c r="T205" s="2" t="s">
        <v>228</v>
      </c>
      <c r="U205" s="2" t="s">
        <v>416</v>
      </c>
      <c r="V205" s="2" t="s">
        <v>1438</v>
      </c>
      <c r="W205" s="2" t="s">
        <v>269</v>
      </c>
      <c r="X205" s="2" t="s">
        <v>1345</v>
      </c>
      <c r="Y205" s="2" t="s">
        <v>1443</v>
      </c>
      <c r="Z205" s="4">
        <v>215</v>
      </c>
      <c r="AA205" s="4">
        <f>=ROUNDDOWN(35.8333333333333,0)</f>
      </c>
      <c r="AB205" s="5">
        <v>6</v>
      </c>
      <c r="AC205" s="2" t="s">
        <v>228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228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228</v>
      </c>
      <c r="AW205" s="8" t="s">
        <v>228</v>
      </c>
      <c r="AX205" s="4" t="s">
        <v>228</v>
      </c>
      <c r="AY205" s="8" t="s">
        <v>228</v>
      </c>
      <c r="AZ205" s="7" t="s">
        <v>228</v>
      </c>
      <c r="BA205" s="7" t="s">
        <v>228</v>
      </c>
      <c r="BB205" s="7" t="s">
        <v>228</v>
      </c>
      <c r="BC205" s="4" t="s">
        <v>228</v>
      </c>
      <c r="BD205" s="8" t="s">
        <v>228</v>
      </c>
      <c r="BE205" s="4" t="s">
        <v>228</v>
      </c>
      <c r="BF205" s="8" t="s">
        <v>228</v>
      </c>
      <c r="BG205" s="7" t="s">
        <v>228</v>
      </c>
      <c r="BH205" s="7" t="s">
        <v>228</v>
      </c>
      <c r="BI205" s="7"/>
      <c r="BJ205" s="4">
        <v>2</v>
      </c>
      <c r="BK205" s="8">
        <v>35.24</v>
      </c>
      <c r="BL205" s="2" t="s">
        <v>484</v>
      </c>
      <c r="BM205" s="7"/>
      <c r="BN205" s="7"/>
      <c r="BO205" s="4"/>
      <c r="BP205" s="8"/>
      <c r="BQ205" s="4"/>
      <c r="BR205" s="8"/>
      <c r="BS205" s="7"/>
      <c r="BT205" s="7"/>
      <c r="BU205" s="2" t="s">
        <v>1452</v>
      </c>
      <c r="BV205" s="2" t="s">
        <v>228</v>
      </c>
      <c r="BW205" s="2" t="s">
        <v>228</v>
      </c>
      <c r="BX205" s="2" t="s">
        <v>273</v>
      </c>
      <c r="BY205" s="2" t="s">
        <v>274</v>
      </c>
      <c r="BZ205" s="2" t="s">
        <v>240</v>
      </c>
      <c r="CA205" s="2" t="s">
        <v>379</v>
      </c>
      <c r="CB205" s="2" t="s">
        <v>936</v>
      </c>
      <c r="CC205" s="2" t="s">
        <v>241</v>
      </c>
      <c r="CD205" s="2" t="s">
        <v>228</v>
      </c>
      <c r="CE205" s="4">
        <v>215</v>
      </c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</row>
    <row r="206">
      <c r="A206" s="2" t="s">
        <v>1453</v>
      </c>
      <c r="B206" s="2" t="s">
        <v>970</v>
      </c>
      <c r="C206" s="2" t="s">
        <v>300</v>
      </c>
      <c r="D206" s="2" t="s">
        <v>971</v>
      </c>
      <c r="E206" s="2" t="s">
        <v>972</v>
      </c>
      <c r="F206" s="2" t="s">
        <v>1434</v>
      </c>
      <c r="G206" s="2" t="s">
        <v>1435</v>
      </c>
      <c r="H206" s="2" t="s">
        <v>962</v>
      </c>
      <c r="I206" s="2" t="s">
        <v>1441</v>
      </c>
      <c r="J206" s="2" t="s">
        <v>977</v>
      </c>
      <c r="K206" s="2" t="s">
        <v>1357</v>
      </c>
      <c r="L206" s="3">
        <v>18.24</v>
      </c>
      <c r="M206" s="3">
        <v>19.15</v>
      </c>
      <c r="N206" s="3">
        <v>37.99</v>
      </c>
      <c r="O206" s="2" t="s">
        <v>240</v>
      </c>
      <c r="P206" s="2" t="s">
        <v>266</v>
      </c>
      <c r="Q206" s="2" t="s">
        <v>234</v>
      </c>
      <c r="R206" s="2" t="s">
        <v>228</v>
      </c>
      <c r="S206" s="2" t="s">
        <v>1454</v>
      </c>
      <c r="T206" s="2" t="s">
        <v>228</v>
      </c>
      <c r="U206" s="2" t="s">
        <v>416</v>
      </c>
      <c r="V206" s="2" t="s">
        <v>1438</v>
      </c>
      <c r="W206" s="2" t="s">
        <v>269</v>
      </c>
      <c r="X206" s="2" t="s">
        <v>1345</v>
      </c>
      <c r="Y206" s="2" t="s">
        <v>1455</v>
      </c>
      <c r="Z206" s="4">
        <v>655</v>
      </c>
      <c r="AA206" s="4">
        <f>=ROUNDDOWN(18.7142857142857,0)</f>
      </c>
      <c r="AB206" s="5">
        <v>35</v>
      </c>
      <c r="AC206" s="2" t="s">
        <v>1014</v>
      </c>
      <c r="AD206" s="4">
        <v>200</v>
      </c>
      <c r="AE206" s="4">
        <v>400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228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228</v>
      </c>
      <c r="AW206" s="8" t="s">
        <v>228</v>
      </c>
      <c r="AX206" s="4" t="s">
        <v>228</v>
      </c>
      <c r="AY206" s="8" t="s">
        <v>228</v>
      </c>
      <c r="AZ206" s="7" t="s">
        <v>228</v>
      </c>
      <c r="BA206" s="7" t="s">
        <v>228</v>
      </c>
      <c r="BB206" s="7"/>
      <c r="BC206" s="4" t="s">
        <v>228</v>
      </c>
      <c r="BD206" s="8" t="s">
        <v>228</v>
      </c>
      <c r="BE206" s="4" t="s">
        <v>228</v>
      </c>
      <c r="BF206" s="8" t="s">
        <v>228</v>
      </c>
      <c r="BG206" s="7" t="s">
        <v>228</v>
      </c>
      <c r="BH206" s="7" t="s">
        <v>228</v>
      </c>
      <c r="BI206" s="7"/>
      <c r="BJ206" s="4">
        <v>226</v>
      </c>
      <c r="BK206" s="8">
        <v>4177.89</v>
      </c>
      <c r="BL206" s="2" t="s">
        <v>1456</v>
      </c>
      <c r="BM206" s="7"/>
      <c r="BN206" s="7"/>
      <c r="BO206" s="4"/>
      <c r="BP206" s="8"/>
      <c r="BQ206" s="4"/>
      <c r="BR206" s="8"/>
      <c r="BS206" s="7"/>
      <c r="BT206" s="7"/>
      <c r="BU206" s="2" t="s">
        <v>1457</v>
      </c>
      <c r="BV206" s="2" t="s">
        <v>228</v>
      </c>
      <c r="BW206" s="2" t="s">
        <v>228</v>
      </c>
      <c r="BX206" s="2" t="s">
        <v>273</v>
      </c>
      <c r="BY206" s="2" t="s">
        <v>274</v>
      </c>
      <c r="BZ206" s="2" t="s">
        <v>240</v>
      </c>
      <c r="CA206" s="2" t="s">
        <v>1458</v>
      </c>
      <c r="CB206" s="2" t="s">
        <v>1459</v>
      </c>
      <c r="CC206" s="2" t="s">
        <v>241</v>
      </c>
      <c r="CD206" s="2" t="s">
        <v>228</v>
      </c>
      <c r="CE206" s="4">
        <v>655</v>
      </c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>
        <v>200</v>
      </c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>
        <v>200</v>
      </c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</row>
    <row r="207">
      <c r="A207" s="2" t="s">
        <v>1460</v>
      </c>
      <c r="B207" s="2" t="s">
        <v>970</v>
      </c>
      <c r="C207" s="2" t="s">
        <v>300</v>
      </c>
      <c r="D207" s="2" t="s">
        <v>971</v>
      </c>
      <c r="E207" s="2" t="s">
        <v>972</v>
      </c>
      <c r="F207" s="2" t="s">
        <v>1434</v>
      </c>
      <c r="G207" s="2" t="s">
        <v>1435</v>
      </c>
      <c r="H207" s="2" t="s">
        <v>962</v>
      </c>
      <c r="I207" s="2" t="s">
        <v>1436</v>
      </c>
      <c r="J207" s="2" t="s">
        <v>1309</v>
      </c>
      <c r="K207" s="2" t="s">
        <v>1357</v>
      </c>
      <c r="L207" s="3">
        <v>22</v>
      </c>
      <c r="M207" s="3">
        <v>23.1</v>
      </c>
      <c r="N207" s="3">
        <v>47.99</v>
      </c>
      <c r="O207" s="2" t="s">
        <v>240</v>
      </c>
      <c r="P207" s="2" t="s">
        <v>233</v>
      </c>
      <c r="Q207" s="2" t="s">
        <v>234</v>
      </c>
      <c r="R207" s="2" t="s">
        <v>228</v>
      </c>
      <c r="S207" s="2" t="s">
        <v>1437</v>
      </c>
      <c r="T207" s="2" t="s">
        <v>228</v>
      </c>
      <c r="U207" s="2" t="s">
        <v>416</v>
      </c>
      <c r="V207" s="2" t="s">
        <v>1438</v>
      </c>
      <c r="W207" s="2" t="s">
        <v>269</v>
      </c>
      <c r="X207" s="2" t="s">
        <v>1345</v>
      </c>
      <c r="Y207" s="2" t="s">
        <v>717</v>
      </c>
      <c r="Z207" s="4"/>
      <c r="AA207" s="4">
        <f>=ROUNDDOWN({0},0)</f>
      </c>
      <c r="AB207" s="5">
        <v>30</v>
      </c>
      <c r="AC207" s="2" t="s">
        <v>1461</v>
      </c>
      <c r="AD207" s="4">
        <v>356</v>
      </c>
      <c r="AE207" s="4">
        <v>356</v>
      </c>
      <c r="AF207" s="6">
        <v>65</v>
      </c>
      <c r="AG207" s="6"/>
      <c r="AH207" s="7"/>
      <c r="AI207" s="4"/>
      <c r="AJ207" s="4">
        <f>=ROUNDDOWN({0},0)</f>
      </c>
      <c r="AK207" s="5"/>
      <c r="AL207" s="2" t="s">
        <v>228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228</v>
      </c>
      <c r="AW207" s="8" t="s">
        <v>228</v>
      </c>
      <c r="AX207" s="4" t="s">
        <v>228</v>
      </c>
      <c r="AY207" s="8" t="s">
        <v>228</v>
      </c>
      <c r="AZ207" s="7" t="s">
        <v>228</v>
      </c>
      <c r="BA207" s="7" t="s">
        <v>228</v>
      </c>
      <c r="BB207" s="7"/>
      <c r="BC207" s="4" t="s">
        <v>228</v>
      </c>
      <c r="BD207" s="8" t="s">
        <v>228</v>
      </c>
      <c r="BE207" s="4" t="s">
        <v>228</v>
      </c>
      <c r="BF207" s="8" t="s">
        <v>228</v>
      </c>
      <c r="BG207" s="7" t="s">
        <v>228</v>
      </c>
      <c r="BH207" s="7" t="s">
        <v>228</v>
      </c>
      <c r="BI207" s="7"/>
      <c r="BJ207" s="4"/>
      <c r="BK207" s="8"/>
      <c r="BL207" s="2" t="s">
        <v>228</v>
      </c>
      <c r="BM207" s="7"/>
      <c r="BN207" s="7"/>
      <c r="BO207" s="4"/>
      <c r="BP207" s="8"/>
      <c r="BQ207" s="4"/>
      <c r="BR207" s="8"/>
      <c r="BS207" s="7"/>
      <c r="BT207" s="7"/>
      <c r="BU207" s="2" t="s">
        <v>238</v>
      </c>
      <c r="BV207" s="2" t="s">
        <v>228</v>
      </c>
      <c r="BW207" s="2" t="s">
        <v>228</v>
      </c>
      <c r="BX207" s="2" t="s">
        <v>238</v>
      </c>
      <c r="BY207" s="2" t="s">
        <v>239</v>
      </c>
      <c r="BZ207" s="2" t="s">
        <v>240</v>
      </c>
      <c r="CA207" s="2" t="s">
        <v>228</v>
      </c>
      <c r="CB207" s="2" t="s">
        <v>228</v>
      </c>
      <c r="CC207" s="2" t="s">
        <v>241</v>
      </c>
      <c r="CD207" s="2" t="s">
        <v>228</v>
      </c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>
        <v>356</v>
      </c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</row>
    <row r="208">
      <c r="A208" s="2" t="s">
        <v>1462</v>
      </c>
      <c r="B208" s="2" t="s">
        <v>1150</v>
      </c>
      <c r="C208" s="2" t="s">
        <v>1463</v>
      </c>
      <c r="D208" s="2" t="s">
        <v>850</v>
      </c>
      <c r="E208" s="2" t="s">
        <v>851</v>
      </c>
      <c r="F208" s="2" t="s">
        <v>1464</v>
      </c>
      <c r="G208" s="2" t="s">
        <v>1464</v>
      </c>
      <c r="H208" s="2" t="s">
        <v>1464</v>
      </c>
      <c r="I208" s="2" t="s">
        <v>1465</v>
      </c>
      <c r="J208" s="2" t="s">
        <v>1189</v>
      </c>
      <c r="K208" s="2" t="s">
        <v>1466</v>
      </c>
      <c r="L208" s="3">
        <v>68.09</v>
      </c>
      <c r="M208" s="3">
        <v>71.49</v>
      </c>
      <c r="N208" s="3">
        <v>199.99</v>
      </c>
      <c r="O208" s="2" t="s">
        <v>240</v>
      </c>
      <c r="P208" s="2" t="s">
        <v>333</v>
      </c>
      <c r="Q208" s="2" t="s">
        <v>234</v>
      </c>
      <c r="R208" s="2" t="s">
        <v>228</v>
      </c>
      <c r="S208" s="2" t="s">
        <v>228</v>
      </c>
      <c r="T208" s="2" t="s">
        <v>350</v>
      </c>
      <c r="U208" s="2" t="s">
        <v>228</v>
      </c>
      <c r="V208" s="2" t="s">
        <v>236</v>
      </c>
      <c r="W208" s="2" t="s">
        <v>269</v>
      </c>
      <c r="X208" s="2" t="s">
        <v>228</v>
      </c>
      <c r="Y208" s="2" t="s">
        <v>1467</v>
      </c>
      <c r="Z208" s="4">
        <v>107</v>
      </c>
      <c r="AA208" s="4">
        <f>=ROUNDDOWN(53.5,0)</f>
      </c>
      <c r="AB208" s="5">
        <v>2</v>
      </c>
      <c r="AC208" s="2" t="s">
        <v>228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228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228</v>
      </c>
      <c r="AW208" s="8" t="s">
        <v>228</v>
      </c>
      <c r="AX208" s="4" t="s">
        <v>228</v>
      </c>
      <c r="AY208" s="8" t="s">
        <v>228</v>
      </c>
      <c r="AZ208" s="7" t="s">
        <v>228</v>
      </c>
      <c r="BA208" s="7" t="s">
        <v>228</v>
      </c>
      <c r="BB208" s="7"/>
      <c r="BC208" s="4" t="s">
        <v>228</v>
      </c>
      <c r="BD208" s="8" t="s">
        <v>228</v>
      </c>
      <c r="BE208" s="4" t="s">
        <v>228</v>
      </c>
      <c r="BF208" s="8" t="s">
        <v>228</v>
      </c>
      <c r="BG208" s="7" t="s">
        <v>228</v>
      </c>
      <c r="BH208" s="7" t="s">
        <v>228</v>
      </c>
      <c r="BI208" s="7"/>
      <c r="BJ208" s="4">
        <v>8</v>
      </c>
      <c r="BK208" s="8">
        <v>361.06</v>
      </c>
      <c r="BL208" s="2" t="s">
        <v>934</v>
      </c>
      <c r="BM208" s="7"/>
      <c r="BN208" s="7"/>
      <c r="BO208" s="4"/>
      <c r="BP208" s="8"/>
      <c r="BQ208" s="4"/>
      <c r="BR208" s="8"/>
      <c r="BS208" s="7"/>
      <c r="BT208" s="7"/>
      <c r="BU208" s="2" t="s">
        <v>1468</v>
      </c>
      <c r="BV208" s="2" t="s">
        <v>228</v>
      </c>
      <c r="BW208" s="2" t="s">
        <v>228</v>
      </c>
      <c r="BX208" s="2" t="s">
        <v>337</v>
      </c>
      <c r="BY208" s="2" t="s">
        <v>274</v>
      </c>
      <c r="BZ208" s="2" t="s">
        <v>240</v>
      </c>
      <c r="CA208" s="2" t="s">
        <v>1469</v>
      </c>
      <c r="CB208" s="2" t="s">
        <v>487</v>
      </c>
      <c r="CC208" s="2" t="s">
        <v>241</v>
      </c>
      <c r="CD208" s="2" t="s">
        <v>228</v>
      </c>
      <c r="CE208" s="4">
        <v>107</v>
      </c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</row>
    <row r="209">
      <c r="A209" s="2" t="s">
        <v>1470</v>
      </c>
      <c r="B209" s="2" t="s">
        <v>1150</v>
      </c>
      <c r="C209" s="2" t="s">
        <v>1463</v>
      </c>
      <c r="D209" s="2" t="s">
        <v>850</v>
      </c>
      <c r="E209" s="2" t="s">
        <v>851</v>
      </c>
      <c r="F209" s="2" t="s">
        <v>1464</v>
      </c>
      <c r="G209" s="2" t="s">
        <v>1464</v>
      </c>
      <c r="H209" s="2" t="s">
        <v>1464</v>
      </c>
      <c r="I209" s="2" t="s">
        <v>1465</v>
      </c>
      <c r="J209" s="2" t="s">
        <v>1043</v>
      </c>
      <c r="K209" s="2" t="s">
        <v>1466</v>
      </c>
      <c r="L209" s="3">
        <v>85.12</v>
      </c>
      <c r="M209" s="3">
        <v>89.38</v>
      </c>
      <c r="N209" s="3">
        <v>249.99</v>
      </c>
      <c r="O209" s="2" t="s">
        <v>240</v>
      </c>
      <c r="P209" s="2" t="s">
        <v>333</v>
      </c>
      <c r="Q209" s="2" t="s">
        <v>234</v>
      </c>
      <c r="R209" s="2" t="s">
        <v>228</v>
      </c>
      <c r="S209" s="2" t="s">
        <v>228</v>
      </c>
      <c r="T209" s="2" t="s">
        <v>350</v>
      </c>
      <c r="U209" s="2" t="s">
        <v>228</v>
      </c>
      <c r="V209" s="2" t="s">
        <v>236</v>
      </c>
      <c r="W209" s="2" t="s">
        <v>269</v>
      </c>
      <c r="X209" s="2" t="s">
        <v>228</v>
      </c>
      <c r="Y209" s="2" t="s">
        <v>1467</v>
      </c>
      <c r="Z209" s="4">
        <v>40</v>
      </c>
      <c r="AA209" s="4">
        <f>=ROUNDDOWN(13.3333333333333,0)</f>
      </c>
      <c r="AB209" s="5">
        <v>3</v>
      </c>
      <c r="AC209" s="2" t="s">
        <v>228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228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228</v>
      </c>
      <c r="AW209" s="8" t="s">
        <v>228</v>
      </c>
      <c r="AX209" s="4" t="s">
        <v>228</v>
      </c>
      <c r="AY209" s="8" t="s">
        <v>228</v>
      </c>
      <c r="AZ209" s="7" t="s">
        <v>228</v>
      </c>
      <c r="BA209" s="7" t="s">
        <v>228</v>
      </c>
      <c r="BB209" s="7"/>
      <c r="BC209" s="4" t="s">
        <v>228</v>
      </c>
      <c r="BD209" s="8" t="s">
        <v>228</v>
      </c>
      <c r="BE209" s="4" t="s">
        <v>228</v>
      </c>
      <c r="BF209" s="8" t="s">
        <v>228</v>
      </c>
      <c r="BG209" s="7" t="s">
        <v>228</v>
      </c>
      <c r="BH209" s="7" t="s">
        <v>228</v>
      </c>
      <c r="BI209" s="7"/>
      <c r="BJ209" s="4">
        <v>8</v>
      </c>
      <c r="BK209" s="8">
        <v>474.58</v>
      </c>
      <c r="BL209" s="2" t="s">
        <v>1471</v>
      </c>
      <c r="BM209" s="7"/>
      <c r="BN209" s="7"/>
      <c r="BO209" s="4"/>
      <c r="BP209" s="8"/>
      <c r="BQ209" s="4"/>
      <c r="BR209" s="8"/>
      <c r="BS209" s="7"/>
      <c r="BT209" s="7"/>
      <c r="BU209" s="2" t="s">
        <v>1472</v>
      </c>
      <c r="BV209" s="2" t="s">
        <v>228</v>
      </c>
      <c r="BW209" s="2" t="s">
        <v>228</v>
      </c>
      <c r="BX209" s="2" t="s">
        <v>337</v>
      </c>
      <c r="BY209" s="2" t="s">
        <v>274</v>
      </c>
      <c r="BZ209" s="2" t="s">
        <v>240</v>
      </c>
      <c r="CA209" s="2" t="s">
        <v>1469</v>
      </c>
      <c r="CB209" s="2" t="s">
        <v>487</v>
      </c>
      <c r="CC209" s="2" t="s">
        <v>241</v>
      </c>
      <c r="CD209" s="2" t="s">
        <v>228</v>
      </c>
      <c r="CE209" s="4">
        <v>40</v>
      </c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</row>
    <row r="210">
      <c r="A210" s="2" t="s">
        <v>1473</v>
      </c>
      <c r="B210" s="2" t="s">
        <v>1150</v>
      </c>
      <c r="C210" s="2" t="s">
        <v>300</v>
      </c>
      <c r="D210" s="2" t="s">
        <v>850</v>
      </c>
      <c r="E210" s="2" t="s">
        <v>1038</v>
      </c>
      <c r="F210" s="2" t="s">
        <v>1474</v>
      </c>
      <c r="G210" s="2" t="s">
        <v>1475</v>
      </c>
      <c r="H210" s="2" t="s">
        <v>1476</v>
      </c>
      <c r="I210" s="2" t="s">
        <v>1477</v>
      </c>
      <c r="J210" s="2" t="s">
        <v>1189</v>
      </c>
      <c r="K210" s="2" t="s">
        <v>1478</v>
      </c>
      <c r="L210" s="3">
        <v>33.33</v>
      </c>
      <c r="M210" s="3">
        <v>35</v>
      </c>
      <c r="N210" s="3">
        <v>69.99</v>
      </c>
      <c r="O210" s="2" t="s">
        <v>240</v>
      </c>
      <c r="P210" s="2" t="s">
        <v>333</v>
      </c>
      <c r="Q210" s="2" t="s">
        <v>234</v>
      </c>
      <c r="R210" s="2" t="s">
        <v>228</v>
      </c>
      <c r="S210" s="2" t="s">
        <v>1479</v>
      </c>
      <c r="T210" s="2" t="s">
        <v>228</v>
      </c>
      <c r="U210" s="2" t="s">
        <v>500</v>
      </c>
      <c r="V210" s="2" t="s">
        <v>236</v>
      </c>
      <c r="W210" s="2" t="s">
        <v>463</v>
      </c>
      <c r="X210" s="2" t="s">
        <v>1268</v>
      </c>
      <c r="Y210" s="2" t="s">
        <v>1480</v>
      </c>
      <c r="Z210" s="4">
        <v>207</v>
      </c>
      <c r="AA210" s="4">
        <f>=ROUNDDOWN(41.4,0)</f>
      </c>
      <c r="AB210" s="5">
        <v>5</v>
      </c>
      <c r="AC210" s="2" t="s">
        <v>1481</v>
      </c>
      <c r="AD210" s="4">
        <v>130</v>
      </c>
      <c r="AE210" s="4">
        <v>130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228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/>
      <c r="BD210" s="8"/>
      <c r="BE210" s="4"/>
      <c r="BF210" s="8"/>
      <c r="BG210" s="7"/>
      <c r="BH210" s="7"/>
      <c r="BI210" s="7"/>
      <c r="BJ210" s="4">
        <v>20</v>
      </c>
      <c r="BK210" s="8">
        <v>704.2</v>
      </c>
      <c r="BL210" s="2" t="s">
        <v>1482</v>
      </c>
      <c r="BM210" s="7"/>
      <c r="BN210" s="7"/>
      <c r="BO210" s="4"/>
      <c r="BP210" s="8"/>
      <c r="BQ210" s="4"/>
      <c r="BR210" s="8"/>
      <c r="BS210" s="7"/>
      <c r="BT210" s="7"/>
      <c r="BU210" s="2" t="s">
        <v>1483</v>
      </c>
      <c r="BV210" s="2" t="s">
        <v>228</v>
      </c>
      <c r="BW210" s="2" t="s">
        <v>228</v>
      </c>
      <c r="BX210" s="2" t="s">
        <v>337</v>
      </c>
      <c r="BY210" s="2" t="s">
        <v>274</v>
      </c>
      <c r="BZ210" s="2" t="s">
        <v>240</v>
      </c>
      <c r="CA210" s="2" t="s">
        <v>1484</v>
      </c>
      <c r="CB210" s="2" t="s">
        <v>1485</v>
      </c>
      <c r="CC210" s="2" t="s">
        <v>241</v>
      </c>
      <c r="CD210" s="2" t="s">
        <v>228</v>
      </c>
      <c r="CE210" s="4">
        <v>207</v>
      </c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>
        <v>130</v>
      </c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</row>
    <row r="211">
      <c r="A211" s="2" t="s">
        <v>1486</v>
      </c>
      <c r="B211" s="2" t="s">
        <v>970</v>
      </c>
      <c r="C211" s="2" t="s">
        <v>300</v>
      </c>
      <c r="D211" s="2" t="s">
        <v>971</v>
      </c>
      <c r="E211" s="2" t="s">
        <v>972</v>
      </c>
      <c r="F211" s="2" t="s">
        <v>1487</v>
      </c>
      <c r="G211" s="2" t="s">
        <v>1488</v>
      </c>
      <c r="H211" s="2" t="s">
        <v>1489</v>
      </c>
      <c r="I211" s="2" t="s">
        <v>1490</v>
      </c>
      <c r="J211" s="2" t="s">
        <v>1300</v>
      </c>
      <c r="K211" s="2" t="s">
        <v>265</v>
      </c>
      <c r="L211" s="3">
        <v>19.35</v>
      </c>
      <c r="M211" s="3">
        <v>20.32</v>
      </c>
      <c r="N211" s="3">
        <v>42.99</v>
      </c>
      <c r="O211" s="2" t="s">
        <v>240</v>
      </c>
      <c r="P211" s="2" t="s">
        <v>266</v>
      </c>
      <c r="Q211" s="2" t="s">
        <v>234</v>
      </c>
      <c r="R211" s="2" t="s">
        <v>228</v>
      </c>
      <c r="S211" s="2" t="s">
        <v>1491</v>
      </c>
      <c r="T211" s="2" t="s">
        <v>228</v>
      </c>
      <c r="U211" s="2" t="s">
        <v>228</v>
      </c>
      <c r="V211" s="2" t="s">
        <v>387</v>
      </c>
      <c r="W211" s="2" t="s">
        <v>463</v>
      </c>
      <c r="X211" s="2" t="s">
        <v>1345</v>
      </c>
      <c r="Y211" s="2" t="s">
        <v>270</v>
      </c>
      <c r="Z211" s="4">
        <v>151</v>
      </c>
      <c r="AA211" s="4">
        <f>=ROUNDDOWN(15.1,0)</f>
      </c>
      <c r="AB211" s="5">
        <v>10</v>
      </c>
      <c r="AC211" s="2" t="s">
        <v>1492</v>
      </c>
      <c r="AD211" s="4">
        <v>112</v>
      </c>
      <c r="AE211" s="4">
        <v>148</v>
      </c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228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 t="s">
        <v>228</v>
      </c>
      <c r="BD211" s="8" t="s">
        <v>228</v>
      </c>
      <c r="BE211" s="4" t="s">
        <v>228</v>
      </c>
      <c r="BF211" s="8" t="s">
        <v>228</v>
      </c>
      <c r="BG211" s="7" t="s">
        <v>228</v>
      </c>
      <c r="BH211" s="7" t="s">
        <v>228</v>
      </c>
      <c r="BI211" s="7"/>
      <c r="BJ211" s="4">
        <v>32</v>
      </c>
      <c r="BK211" s="8">
        <v>644.44</v>
      </c>
      <c r="BL211" s="2" t="s">
        <v>1493</v>
      </c>
      <c r="BM211" s="7"/>
      <c r="BN211" s="7"/>
      <c r="BO211" s="4"/>
      <c r="BP211" s="8"/>
      <c r="BQ211" s="4"/>
      <c r="BR211" s="8"/>
      <c r="BS211" s="7"/>
      <c r="BT211" s="7"/>
      <c r="BU211" s="2" t="s">
        <v>1494</v>
      </c>
      <c r="BV211" s="2" t="s">
        <v>228</v>
      </c>
      <c r="BW211" s="2" t="s">
        <v>228</v>
      </c>
      <c r="BX211" s="2" t="s">
        <v>273</v>
      </c>
      <c r="BY211" s="2" t="s">
        <v>274</v>
      </c>
      <c r="BZ211" s="2" t="s">
        <v>240</v>
      </c>
      <c r="CA211" s="2" t="s">
        <v>275</v>
      </c>
      <c r="CB211" s="2" t="s">
        <v>1495</v>
      </c>
      <c r="CC211" s="2" t="s">
        <v>241</v>
      </c>
      <c r="CD211" s="2" t="s">
        <v>228</v>
      </c>
      <c r="CE211" s="4">
        <v>151</v>
      </c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>
        <v>112</v>
      </c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>
        <v>36</v>
      </c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</row>
    <row r="212">
      <c r="A212" s="2" t="s">
        <v>1496</v>
      </c>
      <c r="B212" s="2" t="s">
        <v>970</v>
      </c>
      <c r="C212" s="2" t="s">
        <v>300</v>
      </c>
      <c r="D212" s="2" t="s">
        <v>1497</v>
      </c>
      <c r="E212" s="2" t="s">
        <v>1498</v>
      </c>
      <c r="F212" s="2" t="s">
        <v>1487</v>
      </c>
      <c r="G212" s="2" t="s">
        <v>1488</v>
      </c>
      <c r="H212" s="2" t="s">
        <v>1489</v>
      </c>
      <c r="I212" s="2" t="s">
        <v>1499</v>
      </c>
      <c r="J212" s="2" t="s">
        <v>1500</v>
      </c>
      <c r="K212" s="2" t="s">
        <v>251</v>
      </c>
      <c r="L212" s="3">
        <v>11.76</v>
      </c>
      <c r="M212" s="3">
        <v>12.35</v>
      </c>
      <c r="N212" s="3">
        <v>27.99</v>
      </c>
      <c r="O212" s="2" t="s">
        <v>240</v>
      </c>
      <c r="P212" s="2" t="s">
        <v>266</v>
      </c>
      <c r="Q212" s="2" t="s">
        <v>234</v>
      </c>
      <c r="R212" s="2" t="s">
        <v>228</v>
      </c>
      <c r="S212" s="2" t="s">
        <v>1501</v>
      </c>
      <c r="T212" s="2" t="s">
        <v>228</v>
      </c>
      <c r="U212" s="2" t="s">
        <v>228</v>
      </c>
      <c r="V212" s="2" t="s">
        <v>387</v>
      </c>
      <c r="W212" s="2" t="s">
        <v>463</v>
      </c>
      <c r="X212" s="2" t="s">
        <v>228</v>
      </c>
      <c r="Y212" s="2" t="s">
        <v>1502</v>
      </c>
      <c r="Z212" s="4">
        <v>292</v>
      </c>
      <c r="AA212" s="4">
        <f>=ROUNDDOWN(18.25,0)</f>
      </c>
      <c r="AB212" s="5">
        <v>16</v>
      </c>
      <c r="AC212" s="2" t="s">
        <v>1461</v>
      </c>
      <c r="AD212" s="4">
        <v>136</v>
      </c>
      <c r="AE212" s="4">
        <v>380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228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 t="s">
        <v>228</v>
      </c>
      <c r="BD212" s="8" t="s">
        <v>228</v>
      </c>
      <c r="BE212" s="4" t="s">
        <v>228</v>
      </c>
      <c r="BF212" s="8" t="s">
        <v>228</v>
      </c>
      <c r="BG212" s="7" t="s">
        <v>228</v>
      </c>
      <c r="BH212" s="7" t="s">
        <v>228</v>
      </c>
      <c r="BI212" s="7"/>
      <c r="BJ212" s="4">
        <v>72</v>
      </c>
      <c r="BK212" s="8">
        <v>911.18</v>
      </c>
      <c r="BL212" s="2" t="s">
        <v>1503</v>
      </c>
      <c r="BM212" s="7"/>
      <c r="BN212" s="7"/>
      <c r="BO212" s="4"/>
      <c r="BP212" s="8"/>
      <c r="BQ212" s="4"/>
      <c r="BR212" s="8"/>
      <c r="BS212" s="7"/>
      <c r="BT212" s="7"/>
      <c r="BU212" s="2" t="s">
        <v>1504</v>
      </c>
      <c r="BV212" s="2" t="s">
        <v>228</v>
      </c>
      <c r="BW212" s="2" t="s">
        <v>228</v>
      </c>
      <c r="BX212" s="2" t="s">
        <v>273</v>
      </c>
      <c r="BY212" s="2" t="s">
        <v>274</v>
      </c>
      <c r="BZ212" s="2" t="s">
        <v>240</v>
      </c>
      <c r="CA212" s="2" t="s">
        <v>1505</v>
      </c>
      <c r="CB212" s="2" t="s">
        <v>1506</v>
      </c>
      <c r="CC212" s="2" t="s">
        <v>241</v>
      </c>
      <c r="CD212" s="2" t="s">
        <v>228</v>
      </c>
      <c r="CE212" s="4">
        <v>292</v>
      </c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>
        <v>136</v>
      </c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>
        <v>244</v>
      </c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</row>
    <row r="213">
      <c r="A213" s="2" t="s">
        <v>1507</v>
      </c>
      <c r="B213" s="2" t="s">
        <v>970</v>
      </c>
      <c r="C213" s="2" t="s">
        <v>300</v>
      </c>
      <c r="D213" s="2" t="s">
        <v>971</v>
      </c>
      <c r="E213" s="2" t="s">
        <v>972</v>
      </c>
      <c r="F213" s="2" t="s">
        <v>1487</v>
      </c>
      <c r="G213" s="2" t="s">
        <v>1488</v>
      </c>
      <c r="H213" s="2" t="s">
        <v>1489</v>
      </c>
      <c r="I213" s="2" t="s">
        <v>1490</v>
      </c>
      <c r="J213" s="2" t="s">
        <v>1300</v>
      </c>
      <c r="K213" s="2" t="s">
        <v>1478</v>
      </c>
      <c r="L213" s="3">
        <v>19.35</v>
      </c>
      <c r="M213" s="3">
        <v>20.32</v>
      </c>
      <c r="N213" s="3">
        <v>42.99</v>
      </c>
      <c r="O213" s="2" t="s">
        <v>240</v>
      </c>
      <c r="P213" s="2" t="s">
        <v>266</v>
      </c>
      <c r="Q213" s="2" t="s">
        <v>234</v>
      </c>
      <c r="R213" s="2" t="s">
        <v>228</v>
      </c>
      <c r="S213" s="2" t="s">
        <v>1508</v>
      </c>
      <c r="T213" s="2" t="s">
        <v>228</v>
      </c>
      <c r="U213" s="2" t="s">
        <v>228</v>
      </c>
      <c r="V213" s="2" t="s">
        <v>387</v>
      </c>
      <c r="W213" s="2" t="s">
        <v>463</v>
      </c>
      <c r="X213" s="2" t="s">
        <v>1345</v>
      </c>
      <c r="Y213" s="2" t="s">
        <v>270</v>
      </c>
      <c r="Z213" s="4">
        <v>206</v>
      </c>
      <c r="AA213" s="4">
        <f>=ROUNDDOWN(29.4285714285714,0)</f>
      </c>
      <c r="AB213" s="5">
        <v>7</v>
      </c>
      <c r="AC213" s="2" t="s">
        <v>228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228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 t="s">
        <v>228</v>
      </c>
      <c r="BD213" s="8" t="s">
        <v>228</v>
      </c>
      <c r="BE213" s="4" t="s">
        <v>228</v>
      </c>
      <c r="BF213" s="8" t="s">
        <v>228</v>
      </c>
      <c r="BG213" s="7" t="s">
        <v>228</v>
      </c>
      <c r="BH213" s="7" t="s">
        <v>228</v>
      </c>
      <c r="BI213" s="7"/>
      <c r="BJ213" s="4">
        <v>27</v>
      </c>
      <c r="BK213" s="8">
        <v>550.37</v>
      </c>
      <c r="BL213" s="2" t="s">
        <v>1509</v>
      </c>
      <c r="BM213" s="7"/>
      <c r="BN213" s="7"/>
      <c r="BO213" s="4"/>
      <c r="BP213" s="8"/>
      <c r="BQ213" s="4"/>
      <c r="BR213" s="8"/>
      <c r="BS213" s="7"/>
      <c r="BT213" s="7"/>
      <c r="BU213" s="2" t="s">
        <v>1510</v>
      </c>
      <c r="BV213" s="2" t="s">
        <v>228</v>
      </c>
      <c r="BW213" s="2" t="s">
        <v>228</v>
      </c>
      <c r="BX213" s="2" t="s">
        <v>273</v>
      </c>
      <c r="BY213" s="2" t="s">
        <v>274</v>
      </c>
      <c r="BZ213" s="2" t="s">
        <v>240</v>
      </c>
      <c r="CA213" s="2" t="s">
        <v>275</v>
      </c>
      <c r="CB213" s="2" t="s">
        <v>609</v>
      </c>
      <c r="CC213" s="2" t="s">
        <v>241</v>
      </c>
      <c r="CD213" s="2" t="s">
        <v>228</v>
      </c>
      <c r="CE213" s="4">
        <v>206</v>
      </c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</row>
    <row r="214">
      <c r="A214" s="2" t="s">
        <v>1511</v>
      </c>
      <c r="B214" s="2" t="s">
        <v>958</v>
      </c>
      <c r="C214" s="2" t="s">
        <v>885</v>
      </c>
      <c r="D214" s="2" t="s">
        <v>959</v>
      </c>
      <c r="E214" s="2" t="s">
        <v>960</v>
      </c>
      <c r="F214" s="2" t="s">
        <v>1512</v>
      </c>
      <c r="G214" s="2" t="s">
        <v>1512</v>
      </c>
      <c r="H214" s="2" t="s">
        <v>1512</v>
      </c>
      <c r="I214" s="2" t="s">
        <v>1513</v>
      </c>
      <c r="J214" s="2" t="s">
        <v>840</v>
      </c>
      <c r="K214" s="2" t="s">
        <v>265</v>
      </c>
      <c r="L214" s="3">
        <v>247.5</v>
      </c>
      <c r="M214" s="3">
        <v>259.88</v>
      </c>
      <c r="N214" s="3">
        <v>519</v>
      </c>
      <c r="O214" s="2" t="s">
        <v>240</v>
      </c>
      <c r="P214" s="2" t="s">
        <v>266</v>
      </c>
      <c r="Q214" s="2" t="s">
        <v>234</v>
      </c>
      <c r="R214" s="2" t="s">
        <v>228</v>
      </c>
      <c r="S214" s="2" t="s">
        <v>228</v>
      </c>
      <c r="T214" s="2" t="s">
        <v>228</v>
      </c>
      <c r="U214" s="2" t="s">
        <v>416</v>
      </c>
      <c r="V214" s="2" t="s">
        <v>236</v>
      </c>
      <c r="W214" s="2" t="s">
        <v>417</v>
      </c>
      <c r="X214" s="2" t="s">
        <v>1514</v>
      </c>
      <c r="Y214" s="2" t="s">
        <v>1515</v>
      </c>
      <c r="Z214" s="4">
        <v>3</v>
      </c>
      <c r="AA214" s="4">
        <f>=ROUNDDOWN(0.428571428571429,0)</f>
      </c>
      <c r="AB214" s="5">
        <v>7</v>
      </c>
      <c r="AC214" s="2" t="s">
        <v>1516</v>
      </c>
      <c r="AD214" s="4">
        <v>100</v>
      </c>
      <c r="AE214" s="4">
        <v>200</v>
      </c>
      <c r="AF214" s="6">
        <v>68</v>
      </c>
      <c r="AG214" s="6"/>
      <c r="AH214" s="7">
        <v>0.3871</v>
      </c>
      <c r="AI214" s="4"/>
      <c r="AJ214" s="4">
        <f>=ROUNDDOWN({0},0)</f>
      </c>
      <c r="AK214" s="5"/>
      <c r="AL214" s="2" t="s">
        <v>228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 t="s">
        <v>228</v>
      </c>
      <c r="BD214" s="8" t="s">
        <v>228</v>
      </c>
      <c r="BE214" s="4" t="s">
        <v>228</v>
      </c>
      <c r="BF214" s="8" t="s">
        <v>228</v>
      </c>
      <c r="BG214" s="7" t="s">
        <v>228</v>
      </c>
      <c r="BH214" s="7" t="s">
        <v>228</v>
      </c>
      <c r="BI214" s="7"/>
      <c r="BJ214" s="4">
        <v>8</v>
      </c>
      <c r="BK214" s="8">
        <v>1822.22</v>
      </c>
      <c r="BL214" s="2" t="s">
        <v>1517</v>
      </c>
      <c r="BM214" s="7"/>
      <c r="BN214" s="7"/>
      <c r="BO214" s="4"/>
      <c r="BP214" s="8"/>
      <c r="BQ214" s="4"/>
      <c r="BR214" s="8"/>
      <c r="BS214" s="7"/>
      <c r="BT214" s="7"/>
      <c r="BU214" s="2" t="s">
        <v>1518</v>
      </c>
      <c r="BV214" s="2" t="s">
        <v>228</v>
      </c>
      <c r="BW214" s="2" t="s">
        <v>228</v>
      </c>
      <c r="BX214" s="2" t="s">
        <v>273</v>
      </c>
      <c r="BY214" s="2" t="s">
        <v>274</v>
      </c>
      <c r="BZ214" s="2" t="s">
        <v>240</v>
      </c>
      <c r="CA214" s="2" t="s">
        <v>1519</v>
      </c>
      <c r="CB214" s="2" t="s">
        <v>1520</v>
      </c>
      <c r="CC214" s="2" t="s">
        <v>241</v>
      </c>
      <c r="CD214" s="2" t="s">
        <v>228</v>
      </c>
      <c r="CE214" s="4"/>
      <c r="CF214" s="4">
        <v>3</v>
      </c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>
        <v>100</v>
      </c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>
        <v>100</v>
      </c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</row>
    <row r="215">
      <c r="A215" s="2" t="s">
        <v>1521</v>
      </c>
      <c r="B215" s="2" t="s">
        <v>970</v>
      </c>
      <c r="C215" s="2" t="s">
        <v>300</v>
      </c>
      <c r="D215" s="2" t="s">
        <v>971</v>
      </c>
      <c r="E215" s="2" t="s">
        <v>972</v>
      </c>
      <c r="F215" s="2" t="s">
        <v>1512</v>
      </c>
      <c r="G215" s="2" t="s">
        <v>1522</v>
      </c>
      <c r="H215" s="2" t="s">
        <v>1523</v>
      </c>
      <c r="I215" s="2" t="s">
        <v>1524</v>
      </c>
      <c r="J215" s="2" t="s">
        <v>1525</v>
      </c>
      <c r="K215" s="2" t="s">
        <v>316</v>
      </c>
      <c r="L215" s="3">
        <v>13.8</v>
      </c>
      <c r="M215" s="3">
        <v>14.49</v>
      </c>
      <c r="N215" s="3">
        <v>29.99</v>
      </c>
      <c r="O215" s="2" t="s">
        <v>240</v>
      </c>
      <c r="P215" s="2" t="s">
        <v>715</v>
      </c>
      <c r="Q215" s="2" t="s">
        <v>234</v>
      </c>
      <c r="R215" s="2" t="s">
        <v>228</v>
      </c>
      <c r="S215" s="2" t="s">
        <v>1526</v>
      </c>
      <c r="T215" s="2" t="s">
        <v>228</v>
      </c>
      <c r="U215" s="2" t="s">
        <v>228</v>
      </c>
      <c r="V215" s="2" t="s">
        <v>236</v>
      </c>
      <c r="W215" s="2" t="s">
        <v>1268</v>
      </c>
      <c r="X215" s="2" t="s">
        <v>1345</v>
      </c>
      <c r="Y215" s="2" t="s">
        <v>270</v>
      </c>
      <c r="Z215" s="4">
        <v>4</v>
      </c>
      <c r="AA215" s="4">
        <f>=ROUNDDOWN(0.307692307692308,0)</f>
      </c>
      <c r="AB215" s="5">
        <v>13</v>
      </c>
      <c r="AC215" s="2" t="s">
        <v>1527</v>
      </c>
      <c r="AD215" s="4">
        <v>104</v>
      </c>
      <c r="AE215" s="4">
        <v>344</v>
      </c>
      <c r="AF215" s="6">
        <v>65</v>
      </c>
      <c r="AG215" s="6"/>
      <c r="AH215" s="7">
        <v>0.871</v>
      </c>
      <c r="AI215" s="4"/>
      <c r="AJ215" s="4">
        <f>=ROUNDDOWN({0},0)</f>
      </c>
      <c r="AK215" s="5"/>
      <c r="AL215" s="2" t="s">
        <v>228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 t="s">
        <v>228</v>
      </c>
      <c r="BD215" s="8" t="s">
        <v>228</v>
      </c>
      <c r="BE215" s="4" t="s">
        <v>228</v>
      </c>
      <c r="BF215" s="8" t="s">
        <v>228</v>
      </c>
      <c r="BG215" s="7" t="s">
        <v>228</v>
      </c>
      <c r="BH215" s="7" t="s">
        <v>228</v>
      </c>
      <c r="BI215" s="7"/>
      <c r="BJ215" s="4">
        <v>107</v>
      </c>
      <c r="BK215" s="8">
        <v>1593.71</v>
      </c>
      <c r="BL215" s="2" t="s">
        <v>1528</v>
      </c>
      <c r="BM215" s="7"/>
      <c r="BN215" s="7"/>
      <c r="BO215" s="4"/>
      <c r="BP215" s="8"/>
      <c r="BQ215" s="4"/>
      <c r="BR215" s="8"/>
      <c r="BS215" s="7"/>
      <c r="BT215" s="7"/>
      <c r="BU215" s="2" t="s">
        <v>1529</v>
      </c>
      <c r="BV215" s="2" t="s">
        <v>228</v>
      </c>
      <c r="BW215" s="2" t="s">
        <v>228</v>
      </c>
      <c r="BX215" s="2" t="s">
        <v>273</v>
      </c>
      <c r="BY215" s="2" t="s">
        <v>274</v>
      </c>
      <c r="BZ215" s="2" t="s">
        <v>240</v>
      </c>
      <c r="CA215" s="2" t="s">
        <v>1530</v>
      </c>
      <c r="CB215" s="2" t="s">
        <v>1531</v>
      </c>
      <c r="CC215" s="2" t="s">
        <v>241</v>
      </c>
      <c r="CD215" s="2" t="s">
        <v>228</v>
      </c>
      <c r="CE215" s="4">
        <v>4</v>
      </c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>
        <v>104</v>
      </c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>
        <v>80</v>
      </c>
      <c r="FX215" s="4"/>
      <c r="FY215" s="4"/>
      <c r="FZ215" s="4"/>
      <c r="GA215" s="4"/>
      <c r="GB215" s="4"/>
      <c r="GC215" s="4"/>
      <c r="GD215" s="4"/>
      <c r="GE215" s="4"/>
      <c r="GF215" s="4"/>
      <c r="GG215" s="4">
        <v>160</v>
      </c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</row>
    <row r="216">
      <c r="A216" s="2" t="s">
        <v>1532</v>
      </c>
      <c r="B216" s="2" t="s">
        <v>958</v>
      </c>
      <c r="C216" s="2" t="s">
        <v>300</v>
      </c>
      <c r="D216" s="2" t="s">
        <v>959</v>
      </c>
      <c r="E216" s="2" t="s">
        <v>960</v>
      </c>
      <c r="F216" s="2" t="s">
        <v>1533</v>
      </c>
      <c r="G216" s="2" t="s">
        <v>1534</v>
      </c>
      <c r="H216" s="2" t="s">
        <v>1535</v>
      </c>
      <c r="I216" s="2" t="s">
        <v>1536</v>
      </c>
      <c r="J216" s="2" t="s">
        <v>840</v>
      </c>
      <c r="K216" s="2" t="s">
        <v>1421</v>
      </c>
      <c r="L216" s="3">
        <v>187.91</v>
      </c>
      <c r="M216" s="3">
        <v>197.31</v>
      </c>
      <c r="N216" s="3">
        <v>399</v>
      </c>
      <c r="O216" s="2" t="s">
        <v>461</v>
      </c>
      <c r="P216" s="2" t="s">
        <v>333</v>
      </c>
      <c r="Q216" s="2" t="s">
        <v>234</v>
      </c>
      <c r="R216" s="2" t="s">
        <v>228</v>
      </c>
      <c r="S216" s="2" t="s">
        <v>1537</v>
      </c>
      <c r="T216" s="2" t="s">
        <v>228</v>
      </c>
      <c r="U216" s="2" t="s">
        <v>228</v>
      </c>
      <c r="V216" s="2" t="s">
        <v>236</v>
      </c>
      <c r="W216" s="2" t="s">
        <v>743</v>
      </c>
      <c r="X216" s="2" t="s">
        <v>228</v>
      </c>
      <c r="Y216" s="2" t="s">
        <v>1538</v>
      </c>
      <c r="Z216" s="4">
        <v>58</v>
      </c>
      <c r="AA216" s="4">
        <f>=ROUNDDOWN(58,0)</f>
      </c>
      <c r="AB216" s="5">
        <v>1</v>
      </c>
      <c r="AC216" s="2" t="s">
        <v>228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228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/>
      <c r="BD216" s="8"/>
      <c r="BE216" s="4"/>
      <c r="BF216" s="8"/>
      <c r="BG216" s="7"/>
      <c r="BH216" s="7"/>
      <c r="BI216" s="7"/>
      <c r="BJ216" s="4">
        <v>8</v>
      </c>
      <c r="BK216" s="8">
        <v>1035.84</v>
      </c>
      <c r="BL216" s="2" t="s">
        <v>1539</v>
      </c>
      <c r="BM216" s="7"/>
      <c r="BN216" s="7"/>
      <c r="BO216" s="4"/>
      <c r="BP216" s="8"/>
      <c r="BQ216" s="4"/>
      <c r="BR216" s="8"/>
      <c r="BS216" s="7"/>
      <c r="BT216" s="7"/>
      <c r="BU216" s="2" t="s">
        <v>1540</v>
      </c>
      <c r="BV216" s="2" t="s">
        <v>228</v>
      </c>
      <c r="BW216" s="2" t="s">
        <v>228</v>
      </c>
      <c r="BX216" s="2" t="s">
        <v>337</v>
      </c>
      <c r="BY216" s="2" t="s">
        <v>274</v>
      </c>
      <c r="BZ216" s="2" t="s">
        <v>240</v>
      </c>
      <c r="CA216" s="2" t="s">
        <v>1541</v>
      </c>
      <c r="CB216" s="2" t="s">
        <v>1542</v>
      </c>
      <c r="CC216" s="2" t="s">
        <v>241</v>
      </c>
      <c r="CD216" s="2" t="s">
        <v>228</v>
      </c>
      <c r="CE216" s="4"/>
      <c r="CF216" s="4">
        <v>58</v>
      </c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</row>
    <row r="217">
      <c r="A217" s="2" t="s">
        <v>1543</v>
      </c>
      <c r="B217" s="2" t="s">
        <v>1150</v>
      </c>
      <c r="C217" s="2" t="s">
        <v>731</v>
      </c>
      <c r="D217" s="2" t="s">
        <v>1112</v>
      </c>
      <c r="E217" s="2" t="s">
        <v>1113</v>
      </c>
      <c r="F217" s="2" t="s">
        <v>1544</v>
      </c>
      <c r="G217" s="2" t="s">
        <v>1544</v>
      </c>
      <c r="H217" s="2" t="s">
        <v>1544</v>
      </c>
      <c r="I217" s="2" t="s">
        <v>1545</v>
      </c>
      <c r="J217" s="2" t="s">
        <v>1189</v>
      </c>
      <c r="K217" s="2" t="s">
        <v>231</v>
      </c>
      <c r="L217" s="3">
        <v>45.71</v>
      </c>
      <c r="M217" s="3">
        <v>48</v>
      </c>
      <c r="N217" s="3">
        <v>99.99</v>
      </c>
      <c r="O217" s="2" t="s">
        <v>240</v>
      </c>
      <c r="P217" s="2" t="s">
        <v>333</v>
      </c>
      <c r="Q217" s="2" t="s">
        <v>234</v>
      </c>
      <c r="R217" s="2" t="s">
        <v>228</v>
      </c>
      <c r="S217" s="2" t="s">
        <v>1546</v>
      </c>
      <c r="T217" s="2" t="s">
        <v>228</v>
      </c>
      <c r="U217" s="2" t="s">
        <v>500</v>
      </c>
      <c r="V217" s="2" t="s">
        <v>374</v>
      </c>
      <c r="W217" s="2" t="s">
        <v>269</v>
      </c>
      <c r="X217" s="2" t="s">
        <v>228</v>
      </c>
      <c r="Y217" s="2" t="s">
        <v>1480</v>
      </c>
      <c r="Z217" s="4">
        <v>73</v>
      </c>
      <c r="AA217" s="4">
        <f>=ROUNDDOWN(17.3809523809524,0)</f>
      </c>
      <c r="AB217" s="5">
        <v>4.2</v>
      </c>
      <c r="AC217" s="2" t="s">
        <v>228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228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228</v>
      </c>
      <c r="AW217" s="8" t="s">
        <v>228</v>
      </c>
      <c r="AX217" s="4" t="s">
        <v>228</v>
      </c>
      <c r="AY217" s="8" t="s">
        <v>228</v>
      </c>
      <c r="AZ217" s="7" t="s">
        <v>228</v>
      </c>
      <c r="BA217" s="7" t="s">
        <v>228</v>
      </c>
      <c r="BB217" s="7" t="s">
        <v>228</v>
      </c>
      <c r="BC217" s="4" t="s">
        <v>228</v>
      </c>
      <c r="BD217" s="8" t="s">
        <v>228</v>
      </c>
      <c r="BE217" s="4" t="s">
        <v>228</v>
      </c>
      <c r="BF217" s="8" t="s">
        <v>228</v>
      </c>
      <c r="BG217" s="7" t="s">
        <v>228</v>
      </c>
      <c r="BH217" s="7" t="s">
        <v>228</v>
      </c>
      <c r="BI217" s="7"/>
      <c r="BJ217" s="4">
        <v>26</v>
      </c>
      <c r="BK217" s="8">
        <v>820.68</v>
      </c>
      <c r="BL217" s="2" t="s">
        <v>1547</v>
      </c>
      <c r="BM217" s="7"/>
      <c r="BN217" s="7"/>
      <c r="BO217" s="4"/>
      <c r="BP217" s="8"/>
      <c r="BQ217" s="4"/>
      <c r="BR217" s="8"/>
      <c r="BS217" s="7"/>
      <c r="BT217" s="7"/>
      <c r="BU217" s="2" t="s">
        <v>1548</v>
      </c>
      <c r="BV217" s="2" t="s">
        <v>228</v>
      </c>
      <c r="BW217" s="2" t="s">
        <v>228</v>
      </c>
      <c r="BX217" s="2" t="s">
        <v>337</v>
      </c>
      <c r="BY217" s="2" t="s">
        <v>274</v>
      </c>
      <c r="BZ217" s="2" t="s">
        <v>240</v>
      </c>
      <c r="CA217" s="2" t="s">
        <v>1484</v>
      </c>
      <c r="CB217" s="2" t="s">
        <v>1549</v>
      </c>
      <c r="CC217" s="2" t="s">
        <v>241</v>
      </c>
      <c r="CD217" s="2" t="s">
        <v>228</v>
      </c>
      <c r="CE217" s="4">
        <v>73</v>
      </c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</row>
    <row r="218">
      <c r="A218" s="2" t="s">
        <v>1550</v>
      </c>
      <c r="B218" s="2" t="s">
        <v>1150</v>
      </c>
      <c r="C218" s="2" t="s">
        <v>731</v>
      </c>
      <c r="D218" s="2" t="s">
        <v>850</v>
      </c>
      <c r="E218" s="2" t="s">
        <v>1038</v>
      </c>
      <c r="F218" s="2" t="s">
        <v>1544</v>
      </c>
      <c r="G218" s="2" t="s">
        <v>1544</v>
      </c>
      <c r="H218" s="2" t="s">
        <v>1544</v>
      </c>
      <c r="I218" s="2" t="s">
        <v>1551</v>
      </c>
      <c r="J218" s="2" t="s">
        <v>1189</v>
      </c>
      <c r="K218" s="2" t="s">
        <v>231</v>
      </c>
      <c r="L218" s="3">
        <v>32</v>
      </c>
      <c r="M218" s="3">
        <v>33.6</v>
      </c>
      <c r="N218" s="3">
        <v>69.99</v>
      </c>
      <c r="O218" s="2" t="s">
        <v>461</v>
      </c>
      <c r="P218" s="2" t="s">
        <v>333</v>
      </c>
      <c r="Q218" s="2" t="s">
        <v>234</v>
      </c>
      <c r="R218" s="2" t="s">
        <v>228</v>
      </c>
      <c r="S218" s="2" t="s">
        <v>1546</v>
      </c>
      <c r="T218" s="2" t="s">
        <v>228</v>
      </c>
      <c r="U218" s="2" t="s">
        <v>500</v>
      </c>
      <c r="V218" s="2" t="s">
        <v>374</v>
      </c>
      <c r="W218" s="2" t="s">
        <v>269</v>
      </c>
      <c r="X218" s="2" t="s">
        <v>228</v>
      </c>
      <c r="Y218" s="2" t="s">
        <v>1480</v>
      </c>
      <c r="Z218" s="4">
        <v>46</v>
      </c>
      <c r="AA218" s="4">
        <f>=ROUNDDOWN(32.8571428571429,0)</f>
      </c>
      <c r="AB218" s="5">
        <v>1.4</v>
      </c>
      <c r="AC218" s="2" t="s">
        <v>228</v>
      </c>
      <c r="AD218" s="4"/>
      <c r="AE218" s="4"/>
      <c r="AF218" s="6">
        <v>65</v>
      </c>
      <c r="AG218" s="6"/>
      <c r="AH218" s="7">
        <v>0.6452</v>
      </c>
      <c r="AI218" s="4"/>
      <c r="AJ218" s="4">
        <f>=ROUNDDOWN({0},0)</f>
      </c>
      <c r="AK218" s="5"/>
      <c r="AL218" s="2" t="s">
        <v>228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228</v>
      </c>
      <c r="AW218" s="8" t="s">
        <v>228</v>
      </c>
      <c r="AX218" s="4" t="s">
        <v>228</v>
      </c>
      <c r="AY218" s="8" t="s">
        <v>228</v>
      </c>
      <c r="AZ218" s="7" t="s">
        <v>228</v>
      </c>
      <c r="BA218" s="7" t="s">
        <v>228</v>
      </c>
      <c r="BB218" s="7" t="s">
        <v>228</v>
      </c>
      <c r="BC218" s="4" t="s">
        <v>228</v>
      </c>
      <c r="BD218" s="8" t="s">
        <v>228</v>
      </c>
      <c r="BE218" s="4" t="s">
        <v>228</v>
      </c>
      <c r="BF218" s="8" t="s">
        <v>228</v>
      </c>
      <c r="BG218" s="7" t="s">
        <v>228</v>
      </c>
      <c r="BH218" s="7" t="s">
        <v>228</v>
      </c>
      <c r="BI218" s="7"/>
      <c r="BJ218" s="4">
        <v>3</v>
      </c>
      <c r="BK218" s="8">
        <v>91.06</v>
      </c>
      <c r="BL218" s="2" t="s">
        <v>1552</v>
      </c>
      <c r="BM218" s="7"/>
      <c r="BN218" s="7"/>
      <c r="BO218" s="4"/>
      <c r="BP218" s="8"/>
      <c r="BQ218" s="4"/>
      <c r="BR218" s="8"/>
      <c r="BS218" s="7"/>
      <c r="BT218" s="7"/>
      <c r="BU218" s="2" t="s">
        <v>1553</v>
      </c>
      <c r="BV218" s="2" t="s">
        <v>228</v>
      </c>
      <c r="BW218" s="2" t="s">
        <v>228</v>
      </c>
      <c r="BX218" s="2" t="s">
        <v>337</v>
      </c>
      <c r="BY218" s="2" t="s">
        <v>274</v>
      </c>
      <c r="BZ218" s="2" t="s">
        <v>240</v>
      </c>
      <c r="CA218" s="2" t="s">
        <v>1484</v>
      </c>
      <c r="CB218" s="2" t="s">
        <v>1554</v>
      </c>
      <c r="CC218" s="2" t="s">
        <v>241</v>
      </c>
      <c r="CD218" s="2" t="s">
        <v>228</v>
      </c>
      <c r="CE218" s="4">
        <v>46</v>
      </c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</row>
    <row r="219">
      <c r="A219" s="2" t="s">
        <v>1555</v>
      </c>
      <c r="B219" s="2" t="s">
        <v>1150</v>
      </c>
      <c r="C219" s="2" t="s">
        <v>731</v>
      </c>
      <c r="D219" s="2" t="s">
        <v>1112</v>
      </c>
      <c r="E219" s="2" t="s">
        <v>1113</v>
      </c>
      <c r="F219" s="2" t="s">
        <v>1544</v>
      </c>
      <c r="G219" s="2" t="s">
        <v>1544</v>
      </c>
      <c r="H219" s="2" t="s">
        <v>1544</v>
      </c>
      <c r="I219" s="2" t="s">
        <v>1545</v>
      </c>
      <c r="J219" s="2" t="s">
        <v>1189</v>
      </c>
      <c r="K219" s="2" t="s">
        <v>480</v>
      </c>
      <c r="L219" s="3">
        <v>45.71</v>
      </c>
      <c r="M219" s="3">
        <v>48</v>
      </c>
      <c r="N219" s="3">
        <v>99.99</v>
      </c>
      <c r="O219" s="2" t="s">
        <v>240</v>
      </c>
      <c r="P219" s="2" t="s">
        <v>333</v>
      </c>
      <c r="Q219" s="2" t="s">
        <v>234</v>
      </c>
      <c r="R219" s="2" t="s">
        <v>228</v>
      </c>
      <c r="S219" s="2" t="s">
        <v>1556</v>
      </c>
      <c r="T219" s="2" t="s">
        <v>228</v>
      </c>
      <c r="U219" s="2" t="s">
        <v>500</v>
      </c>
      <c r="V219" s="2" t="s">
        <v>374</v>
      </c>
      <c r="W219" s="2" t="s">
        <v>269</v>
      </c>
      <c r="X219" s="2" t="s">
        <v>228</v>
      </c>
      <c r="Y219" s="2" t="s">
        <v>1480</v>
      </c>
      <c r="Z219" s="4">
        <v>395</v>
      </c>
      <c r="AA219" s="4">
        <f>=ROUNDDOWN(66.9491525423729,0)</f>
      </c>
      <c r="AB219" s="5">
        <v>5.9</v>
      </c>
      <c r="AC219" s="2" t="s">
        <v>228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228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228</v>
      </c>
      <c r="AW219" s="8" t="s">
        <v>228</v>
      </c>
      <c r="AX219" s="4" t="s">
        <v>228</v>
      </c>
      <c r="AY219" s="8" t="s">
        <v>228</v>
      </c>
      <c r="AZ219" s="7" t="s">
        <v>228</v>
      </c>
      <c r="BA219" s="7" t="s">
        <v>228</v>
      </c>
      <c r="BB219" s="7"/>
      <c r="BC219" s="4" t="s">
        <v>228</v>
      </c>
      <c r="BD219" s="8" t="s">
        <v>228</v>
      </c>
      <c r="BE219" s="4" t="s">
        <v>228</v>
      </c>
      <c r="BF219" s="8" t="s">
        <v>228</v>
      </c>
      <c r="BG219" s="7" t="s">
        <v>228</v>
      </c>
      <c r="BH219" s="7" t="s">
        <v>228</v>
      </c>
      <c r="BI219" s="7"/>
      <c r="BJ219" s="4">
        <v>32</v>
      </c>
      <c r="BK219" s="8">
        <v>1222.08</v>
      </c>
      <c r="BL219" s="2" t="s">
        <v>1557</v>
      </c>
      <c r="BM219" s="7"/>
      <c r="BN219" s="7"/>
      <c r="BO219" s="4"/>
      <c r="BP219" s="8"/>
      <c r="BQ219" s="4"/>
      <c r="BR219" s="8"/>
      <c r="BS219" s="7"/>
      <c r="BT219" s="7"/>
      <c r="BU219" s="2" t="s">
        <v>1558</v>
      </c>
      <c r="BV219" s="2" t="s">
        <v>228</v>
      </c>
      <c r="BW219" s="2" t="s">
        <v>228</v>
      </c>
      <c r="BX219" s="2" t="s">
        <v>337</v>
      </c>
      <c r="BY219" s="2" t="s">
        <v>274</v>
      </c>
      <c r="BZ219" s="2" t="s">
        <v>240</v>
      </c>
      <c r="CA219" s="2" t="s">
        <v>1484</v>
      </c>
      <c r="CB219" s="2" t="s">
        <v>1559</v>
      </c>
      <c r="CC219" s="2" t="s">
        <v>241</v>
      </c>
      <c r="CD219" s="2" t="s">
        <v>228</v>
      </c>
      <c r="CE219" s="4">
        <v>395</v>
      </c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</row>
    <row r="220">
      <c r="A220" s="2" t="s">
        <v>1560</v>
      </c>
      <c r="B220" s="2" t="s">
        <v>1150</v>
      </c>
      <c r="C220" s="2" t="s">
        <v>731</v>
      </c>
      <c r="D220" s="2" t="s">
        <v>1112</v>
      </c>
      <c r="E220" s="2" t="s">
        <v>1113</v>
      </c>
      <c r="F220" s="2" t="s">
        <v>1544</v>
      </c>
      <c r="G220" s="2" t="s">
        <v>1544</v>
      </c>
      <c r="H220" s="2" t="s">
        <v>1544</v>
      </c>
      <c r="I220" s="2" t="s">
        <v>1545</v>
      </c>
      <c r="J220" s="2" t="s">
        <v>1043</v>
      </c>
      <c r="K220" s="2" t="s">
        <v>480</v>
      </c>
      <c r="L220" s="3">
        <v>50.28</v>
      </c>
      <c r="M220" s="3">
        <v>52.79</v>
      </c>
      <c r="N220" s="3">
        <v>109.99</v>
      </c>
      <c r="O220" s="2" t="s">
        <v>240</v>
      </c>
      <c r="P220" s="2" t="s">
        <v>333</v>
      </c>
      <c r="Q220" s="2" t="s">
        <v>234</v>
      </c>
      <c r="R220" s="2" t="s">
        <v>228</v>
      </c>
      <c r="S220" s="2" t="s">
        <v>1556</v>
      </c>
      <c r="T220" s="2" t="s">
        <v>228</v>
      </c>
      <c r="U220" s="2" t="s">
        <v>500</v>
      </c>
      <c r="V220" s="2" t="s">
        <v>374</v>
      </c>
      <c r="W220" s="2" t="s">
        <v>269</v>
      </c>
      <c r="X220" s="2" t="s">
        <v>228</v>
      </c>
      <c r="Y220" s="2" t="s">
        <v>1480</v>
      </c>
      <c r="Z220" s="4">
        <v>212</v>
      </c>
      <c r="AA220" s="4">
        <f>=ROUNDDOWN(30.2857142857143,0)</f>
      </c>
      <c r="AB220" s="5">
        <v>7</v>
      </c>
      <c r="AC220" s="2" t="s">
        <v>228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228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228</v>
      </c>
      <c r="AW220" s="8" t="s">
        <v>228</v>
      </c>
      <c r="AX220" s="4" t="s">
        <v>228</v>
      </c>
      <c r="AY220" s="8" t="s">
        <v>228</v>
      </c>
      <c r="AZ220" s="7" t="s">
        <v>228</v>
      </c>
      <c r="BA220" s="7" t="s">
        <v>228</v>
      </c>
      <c r="BB220" s="7"/>
      <c r="BC220" s="4" t="s">
        <v>228</v>
      </c>
      <c r="BD220" s="8" t="s">
        <v>228</v>
      </c>
      <c r="BE220" s="4" t="s">
        <v>228</v>
      </c>
      <c r="BF220" s="8" t="s">
        <v>228</v>
      </c>
      <c r="BG220" s="7" t="s">
        <v>228</v>
      </c>
      <c r="BH220" s="7" t="s">
        <v>228</v>
      </c>
      <c r="BI220" s="7"/>
      <c r="BJ220" s="4">
        <v>31</v>
      </c>
      <c r="BK220" s="8">
        <v>1440.6</v>
      </c>
      <c r="BL220" s="2" t="s">
        <v>1561</v>
      </c>
      <c r="BM220" s="7"/>
      <c r="BN220" s="7"/>
      <c r="BO220" s="4"/>
      <c r="BP220" s="8"/>
      <c r="BQ220" s="4"/>
      <c r="BR220" s="8"/>
      <c r="BS220" s="7"/>
      <c r="BT220" s="7"/>
      <c r="BU220" s="2" t="s">
        <v>1562</v>
      </c>
      <c r="BV220" s="2" t="s">
        <v>228</v>
      </c>
      <c r="BW220" s="2" t="s">
        <v>228</v>
      </c>
      <c r="BX220" s="2" t="s">
        <v>337</v>
      </c>
      <c r="BY220" s="2" t="s">
        <v>274</v>
      </c>
      <c r="BZ220" s="2" t="s">
        <v>240</v>
      </c>
      <c r="CA220" s="2" t="s">
        <v>1484</v>
      </c>
      <c r="CB220" s="2" t="s">
        <v>422</v>
      </c>
      <c r="CC220" s="2" t="s">
        <v>241</v>
      </c>
      <c r="CD220" s="2" t="s">
        <v>228</v>
      </c>
      <c r="CE220" s="4">
        <v>212</v>
      </c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</row>
    <row r="221">
      <c r="A221" s="2" t="s">
        <v>1563</v>
      </c>
      <c r="B221" s="2" t="s">
        <v>958</v>
      </c>
      <c r="C221" s="2" t="s">
        <v>835</v>
      </c>
      <c r="D221" s="2" t="s">
        <v>1564</v>
      </c>
      <c r="E221" s="2" t="s">
        <v>1565</v>
      </c>
      <c r="F221" s="2" t="s">
        <v>1566</v>
      </c>
      <c r="G221" s="2" t="s">
        <v>1566</v>
      </c>
      <c r="H221" s="2" t="s">
        <v>1566</v>
      </c>
      <c r="I221" s="2" t="s">
        <v>1567</v>
      </c>
      <c r="J221" s="2" t="s">
        <v>840</v>
      </c>
      <c r="K221" s="2" t="s">
        <v>1568</v>
      </c>
      <c r="L221" s="3">
        <v>100.3</v>
      </c>
      <c r="M221" s="3">
        <v>105.32</v>
      </c>
      <c r="N221" s="3">
        <v>219</v>
      </c>
      <c r="O221" s="2" t="s">
        <v>240</v>
      </c>
      <c r="P221" s="2" t="s">
        <v>1012</v>
      </c>
      <c r="Q221" s="2" t="s">
        <v>234</v>
      </c>
      <c r="R221" s="2" t="s">
        <v>228</v>
      </c>
      <c r="S221" s="2" t="s">
        <v>228</v>
      </c>
      <c r="T221" s="2" t="s">
        <v>228</v>
      </c>
      <c r="U221" s="2" t="s">
        <v>228</v>
      </c>
      <c r="V221" s="2" t="s">
        <v>842</v>
      </c>
      <c r="W221" s="2" t="s">
        <v>843</v>
      </c>
      <c r="X221" s="2" t="s">
        <v>228</v>
      </c>
      <c r="Y221" s="2" t="s">
        <v>1569</v>
      </c>
      <c r="Z221" s="4">
        <v>102</v>
      </c>
      <c r="AA221" s="4">
        <f>=ROUNDDOWN(25.5,0)</f>
      </c>
      <c r="AB221" s="5">
        <v>4</v>
      </c>
      <c r="AC221" s="2" t="s">
        <v>1570</v>
      </c>
      <c r="AD221" s="4">
        <v>100</v>
      </c>
      <c r="AE221" s="4">
        <v>100</v>
      </c>
      <c r="AF221" s="6">
        <v>74</v>
      </c>
      <c r="AG221" s="6"/>
      <c r="AH221" s="7">
        <v>1</v>
      </c>
      <c r="AI221" s="4"/>
      <c r="AJ221" s="4">
        <f>=ROUNDDOWN({0},0)</f>
      </c>
      <c r="AK221" s="5"/>
      <c r="AL221" s="2" t="s">
        <v>228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>
        <v>15</v>
      </c>
      <c r="BK221" s="8">
        <v>1496.13</v>
      </c>
      <c r="BL221" s="2" t="s">
        <v>1571</v>
      </c>
      <c r="BM221" s="7"/>
      <c r="BN221" s="7"/>
      <c r="BO221" s="4"/>
      <c r="BP221" s="8"/>
      <c r="BQ221" s="4"/>
      <c r="BR221" s="8"/>
      <c r="BS221" s="7"/>
      <c r="BT221" s="7"/>
      <c r="BU221" s="2" t="s">
        <v>1572</v>
      </c>
      <c r="BV221" s="2" t="s">
        <v>228</v>
      </c>
      <c r="BW221" s="2" t="s">
        <v>228</v>
      </c>
      <c r="BX221" s="2" t="s">
        <v>273</v>
      </c>
      <c r="BY221" s="2" t="s">
        <v>274</v>
      </c>
      <c r="BZ221" s="2" t="s">
        <v>240</v>
      </c>
      <c r="CA221" s="2" t="s">
        <v>863</v>
      </c>
      <c r="CB221" s="2" t="s">
        <v>1573</v>
      </c>
      <c r="CC221" s="2" t="s">
        <v>241</v>
      </c>
      <c r="CD221" s="2" t="s">
        <v>228</v>
      </c>
      <c r="CE221" s="4"/>
      <c r="CF221" s="4">
        <v>102</v>
      </c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>
        <v>100</v>
      </c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</row>
    <row r="222">
      <c r="A222" s="2" t="s">
        <v>1574</v>
      </c>
      <c r="B222" s="2" t="s">
        <v>834</v>
      </c>
      <c r="C222" s="2" t="s">
        <v>835</v>
      </c>
      <c r="D222" s="2" t="s">
        <v>1101</v>
      </c>
      <c r="E222" s="2" t="s">
        <v>1102</v>
      </c>
      <c r="F222" s="2" t="s">
        <v>1575</v>
      </c>
      <c r="G222" s="2" t="s">
        <v>1576</v>
      </c>
      <c r="H222" s="2" t="s">
        <v>1575</v>
      </c>
      <c r="I222" s="2" t="s">
        <v>1577</v>
      </c>
      <c r="J222" s="2" t="s">
        <v>840</v>
      </c>
      <c r="K222" s="2" t="s">
        <v>265</v>
      </c>
      <c r="L222" s="3">
        <v>53</v>
      </c>
      <c r="M222" s="3">
        <v>55.65</v>
      </c>
      <c r="N222" s="3">
        <v>109.99</v>
      </c>
      <c r="O222" s="2" t="s">
        <v>240</v>
      </c>
      <c r="P222" s="2" t="s">
        <v>233</v>
      </c>
      <c r="Q222" s="2" t="s">
        <v>234</v>
      </c>
      <c r="R222" s="2" t="s">
        <v>228</v>
      </c>
      <c r="S222" s="2" t="s">
        <v>228</v>
      </c>
      <c r="T222" s="2" t="s">
        <v>228</v>
      </c>
      <c r="U222" s="2" t="s">
        <v>416</v>
      </c>
      <c r="V222" s="2" t="s">
        <v>842</v>
      </c>
      <c r="W222" s="2" t="s">
        <v>1578</v>
      </c>
      <c r="X222" s="2" t="s">
        <v>417</v>
      </c>
      <c r="Y222" s="2" t="s">
        <v>1106</v>
      </c>
      <c r="Z222" s="4">
        <v>94</v>
      </c>
      <c r="AA222" s="4">
        <f>=ROUNDDOWN({0},0)</f>
      </c>
      <c r="AB222" s="5"/>
      <c r="AC222" s="2" t="s">
        <v>228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228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/>
      <c r="BK222" s="8"/>
      <c r="BL222" s="2" t="s">
        <v>228</v>
      </c>
      <c r="BM222" s="7"/>
      <c r="BN222" s="7"/>
      <c r="BO222" s="4"/>
      <c r="BP222" s="8"/>
      <c r="BQ222" s="4"/>
      <c r="BR222" s="8"/>
      <c r="BS222" s="7"/>
      <c r="BT222" s="7"/>
      <c r="BU222" s="2" t="s">
        <v>1579</v>
      </c>
      <c r="BV222" s="2" t="s">
        <v>228</v>
      </c>
      <c r="BW222" s="2" t="s">
        <v>228</v>
      </c>
      <c r="BX222" s="2" t="s">
        <v>238</v>
      </c>
      <c r="BY222" s="2" t="s">
        <v>274</v>
      </c>
      <c r="BZ222" s="2" t="s">
        <v>240</v>
      </c>
      <c r="CA222" s="2" t="s">
        <v>228</v>
      </c>
      <c r="CB222" s="2" t="s">
        <v>228</v>
      </c>
      <c r="CC222" s="2" t="s">
        <v>241</v>
      </c>
      <c r="CD222" s="2" t="s">
        <v>228</v>
      </c>
      <c r="CE222" s="4"/>
      <c r="CF222" s="4">
        <v>94</v>
      </c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</row>
    <row r="223">
      <c r="A223" s="2" t="s">
        <v>1580</v>
      </c>
      <c r="B223" s="2" t="s">
        <v>1374</v>
      </c>
      <c r="C223" s="2" t="s">
        <v>300</v>
      </c>
      <c r="D223" s="2" t="s">
        <v>1399</v>
      </c>
      <c r="E223" s="2" t="s">
        <v>1400</v>
      </c>
      <c r="F223" s="2" t="s">
        <v>1581</v>
      </c>
      <c r="G223" s="2" t="s">
        <v>1582</v>
      </c>
      <c r="H223" s="2" t="s">
        <v>1583</v>
      </c>
      <c r="I223" s="2" t="s">
        <v>1584</v>
      </c>
      <c r="J223" s="2" t="s">
        <v>1402</v>
      </c>
      <c r="K223" s="2" t="s">
        <v>978</v>
      </c>
      <c r="L223" s="3">
        <v>13.07</v>
      </c>
      <c r="M223" s="3">
        <v>13.72</v>
      </c>
      <c r="N223" s="3">
        <v>27.99</v>
      </c>
      <c r="O223" s="2" t="s">
        <v>240</v>
      </c>
      <c r="P223" s="2" t="s">
        <v>233</v>
      </c>
      <c r="Q223" s="2" t="s">
        <v>234</v>
      </c>
      <c r="R223" s="2" t="s">
        <v>228</v>
      </c>
      <c r="S223" s="2" t="s">
        <v>1585</v>
      </c>
      <c r="T223" s="2" t="s">
        <v>228</v>
      </c>
      <c r="U223" s="2" t="s">
        <v>416</v>
      </c>
      <c r="V223" s="2" t="s">
        <v>1586</v>
      </c>
      <c r="W223" s="2" t="s">
        <v>417</v>
      </c>
      <c r="X223" s="2" t="s">
        <v>269</v>
      </c>
      <c r="Y223" s="2" t="s">
        <v>1587</v>
      </c>
      <c r="Z223" s="4">
        <v>490</v>
      </c>
      <c r="AA223" s="4">
        <f>=ROUNDDOWN(11.9512195121951,0)</f>
      </c>
      <c r="AB223" s="5">
        <v>41</v>
      </c>
      <c r="AC223" s="2" t="s">
        <v>228</v>
      </c>
      <c r="AD223" s="4"/>
      <c r="AE223" s="4"/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228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/>
      <c r="BD223" s="8"/>
      <c r="BE223" s="4"/>
      <c r="BF223" s="8"/>
      <c r="BG223" s="7"/>
      <c r="BH223" s="7"/>
      <c r="BI223" s="7"/>
      <c r="BJ223" s="4">
        <v>89</v>
      </c>
      <c r="BK223" s="8">
        <v>1243.67</v>
      </c>
      <c r="BL223" s="2" t="s">
        <v>1588</v>
      </c>
      <c r="BM223" s="7"/>
      <c r="BN223" s="7"/>
      <c r="BO223" s="4"/>
      <c r="BP223" s="8"/>
      <c r="BQ223" s="4"/>
      <c r="BR223" s="8"/>
      <c r="BS223" s="7"/>
      <c r="BT223" s="7"/>
      <c r="BU223" s="2" t="s">
        <v>1589</v>
      </c>
      <c r="BV223" s="2" t="s">
        <v>228</v>
      </c>
      <c r="BW223" s="2" t="s">
        <v>228</v>
      </c>
      <c r="BX223" s="2" t="s">
        <v>238</v>
      </c>
      <c r="BY223" s="2" t="s">
        <v>274</v>
      </c>
      <c r="BZ223" s="2" t="s">
        <v>240</v>
      </c>
      <c r="CA223" s="2" t="s">
        <v>1590</v>
      </c>
      <c r="CB223" s="2" t="s">
        <v>228</v>
      </c>
      <c r="CC223" s="2" t="s">
        <v>241</v>
      </c>
      <c r="CD223" s="2" t="s">
        <v>228</v>
      </c>
      <c r="CE223" s="4">
        <v>211</v>
      </c>
      <c r="CF223" s="4"/>
      <c r="CG223" s="4"/>
      <c r="CH223" s="4">
        <v>279</v>
      </c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</row>
    <row r="224">
      <c r="A224" s="2" t="s">
        <v>1591</v>
      </c>
      <c r="B224" s="2" t="s">
        <v>958</v>
      </c>
      <c r="C224" s="2" t="s">
        <v>300</v>
      </c>
      <c r="D224" s="2" t="s">
        <v>1006</v>
      </c>
      <c r="E224" s="2" t="s">
        <v>1007</v>
      </c>
      <c r="F224" s="2" t="s">
        <v>1592</v>
      </c>
      <c r="G224" s="2" t="s">
        <v>1593</v>
      </c>
      <c r="H224" s="2" t="s">
        <v>1594</v>
      </c>
      <c r="I224" s="2" t="s">
        <v>1595</v>
      </c>
      <c r="J224" s="2" t="s">
        <v>840</v>
      </c>
      <c r="K224" s="2" t="s">
        <v>1421</v>
      </c>
      <c r="L224" s="3">
        <v>234</v>
      </c>
      <c r="M224" s="3">
        <v>245.7</v>
      </c>
      <c r="N224" s="3">
        <v>499</v>
      </c>
      <c r="O224" s="2" t="s">
        <v>240</v>
      </c>
      <c r="P224" s="2" t="s">
        <v>333</v>
      </c>
      <c r="Q224" s="2" t="s">
        <v>234</v>
      </c>
      <c r="R224" s="2" t="s">
        <v>228</v>
      </c>
      <c r="S224" s="2" t="s">
        <v>228</v>
      </c>
      <c r="T224" s="2" t="s">
        <v>228</v>
      </c>
      <c r="U224" s="2" t="s">
        <v>416</v>
      </c>
      <c r="V224" s="2" t="s">
        <v>842</v>
      </c>
      <c r="W224" s="2" t="s">
        <v>743</v>
      </c>
      <c r="X224" s="2" t="s">
        <v>463</v>
      </c>
      <c r="Y224" s="2" t="s">
        <v>1596</v>
      </c>
      <c r="Z224" s="4">
        <v>55</v>
      </c>
      <c r="AA224" s="4">
        <f>=ROUNDDOWN(18.3333333333333,0)</f>
      </c>
      <c r="AB224" s="5">
        <v>3</v>
      </c>
      <c r="AC224" s="2" t="s">
        <v>228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228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/>
      <c r="BD224" s="8"/>
      <c r="BE224" s="4"/>
      <c r="BF224" s="8"/>
      <c r="BG224" s="7"/>
      <c r="BH224" s="7"/>
      <c r="BI224" s="7"/>
      <c r="BJ224" s="4">
        <v>10</v>
      </c>
      <c r="BK224" s="8">
        <v>2190.57</v>
      </c>
      <c r="BL224" s="2" t="s">
        <v>1597</v>
      </c>
      <c r="BM224" s="7"/>
      <c r="BN224" s="7"/>
      <c r="BO224" s="4"/>
      <c r="BP224" s="8"/>
      <c r="BQ224" s="4"/>
      <c r="BR224" s="8"/>
      <c r="BS224" s="7"/>
      <c r="BT224" s="7"/>
      <c r="BU224" s="2" t="s">
        <v>1598</v>
      </c>
      <c r="BV224" s="2" t="s">
        <v>228</v>
      </c>
      <c r="BW224" s="2" t="s">
        <v>228</v>
      </c>
      <c r="BX224" s="2" t="s">
        <v>337</v>
      </c>
      <c r="BY224" s="2" t="s">
        <v>274</v>
      </c>
      <c r="BZ224" s="2" t="s">
        <v>240</v>
      </c>
      <c r="CA224" s="2" t="s">
        <v>1596</v>
      </c>
      <c r="CB224" s="2" t="s">
        <v>1599</v>
      </c>
      <c r="CC224" s="2" t="s">
        <v>241</v>
      </c>
      <c r="CD224" s="2" t="s">
        <v>228</v>
      </c>
      <c r="CE224" s="4"/>
      <c r="CF224" s="4">
        <v>55</v>
      </c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</row>
    <row r="225">
      <c r="A225" s="2" t="s">
        <v>1600</v>
      </c>
      <c r="B225" s="2" t="s">
        <v>223</v>
      </c>
      <c r="C225" s="2" t="s">
        <v>300</v>
      </c>
      <c r="D225" s="2" t="s">
        <v>1601</v>
      </c>
      <c r="E225" s="2" t="s">
        <v>1602</v>
      </c>
      <c r="F225" s="2" t="s">
        <v>1603</v>
      </c>
      <c r="G225" s="2" t="s">
        <v>1604</v>
      </c>
      <c r="H225" s="2" t="s">
        <v>1604</v>
      </c>
      <c r="I225" s="2" t="s">
        <v>1605</v>
      </c>
      <c r="J225" s="2" t="s">
        <v>1412</v>
      </c>
      <c r="K225" s="2" t="s">
        <v>1606</v>
      </c>
      <c r="L225" s="3">
        <v>14.59</v>
      </c>
      <c r="M225" s="3">
        <v>15.32</v>
      </c>
      <c r="N225" s="3">
        <v>30.99</v>
      </c>
      <c r="O225" s="2" t="s">
        <v>240</v>
      </c>
      <c r="P225" s="2" t="s">
        <v>266</v>
      </c>
      <c r="Q225" s="2" t="s">
        <v>234</v>
      </c>
      <c r="R225" s="2" t="s">
        <v>228</v>
      </c>
      <c r="S225" s="2" t="s">
        <v>1607</v>
      </c>
      <c r="T225" s="2" t="s">
        <v>1608</v>
      </c>
      <c r="U225" s="2" t="s">
        <v>228</v>
      </c>
      <c r="V225" s="2" t="s">
        <v>980</v>
      </c>
      <c r="W225" s="2" t="s">
        <v>269</v>
      </c>
      <c r="X225" s="2" t="s">
        <v>228</v>
      </c>
      <c r="Y225" s="2" t="s">
        <v>270</v>
      </c>
      <c r="Z225" s="4">
        <v>779</v>
      </c>
      <c r="AA225" s="4">
        <f>=ROUNDDOWN(18.1162790697674,0)</f>
      </c>
      <c r="AB225" s="5">
        <v>43</v>
      </c>
      <c r="AC225" s="2" t="s">
        <v>1014</v>
      </c>
      <c r="AD225" s="4">
        <v>1300</v>
      </c>
      <c r="AE225" s="4">
        <v>2600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228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 t="s">
        <v>228</v>
      </c>
      <c r="BD225" s="8" t="s">
        <v>228</v>
      </c>
      <c r="BE225" s="4" t="s">
        <v>228</v>
      </c>
      <c r="BF225" s="8" t="s">
        <v>228</v>
      </c>
      <c r="BG225" s="7" t="s">
        <v>228</v>
      </c>
      <c r="BH225" s="7" t="s">
        <v>228</v>
      </c>
      <c r="BI225" s="7"/>
      <c r="BJ225" s="4">
        <v>103</v>
      </c>
      <c r="BK225" s="8">
        <v>1511.27</v>
      </c>
      <c r="BL225" s="2" t="s">
        <v>1609</v>
      </c>
      <c r="BM225" s="7"/>
      <c r="BN225" s="7"/>
      <c r="BO225" s="4"/>
      <c r="BP225" s="8"/>
      <c r="BQ225" s="4"/>
      <c r="BR225" s="8"/>
      <c r="BS225" s="7"/>
      <c r="BT225" s="7"/>
      <c r="BU225" s="2" t="s">
        <v>1610</v>
      </c>
      <c r="BV225" s="2" t="s">
        <v>228</v>
      </c>
      <c r="BW225" s="2" t="s">
        <v>228</v>
      </c>
      <c r="BX225" s="2" t="s">
        <v>273</v>
      </c>
      <c r="BY225" s="2" t="s">
        <v>274</v>
      </c>
      <c r="BZ225" s="2" t="s">
        <v>240</v>
      </c>
      <c r="CA225" s="2" t="s">
        <v>1611</v>
      </c>
      <c r="CB225" s="2" t="s">
        <v>1612</v>
      </c>
      <c r="CC225" s="2" t="s">
        <v>241</v>
      </c>
      <c r="CD225" s="2" t="s">
        <v>228</v>
      </c>
      <c r="CE225" s="4">
        <v>779</v>
      </c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>
        <v>1300</v>
      </c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>
        <v>1300</v>
      </c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</row>
    <row r="226">
      <c r="A226" s="2" t="s">
        <v>1613</v>
      </c>
      <c r="B226" s="2" t="s">
        <v>223</v>
      </c>
      <c r="C226" s="2" t="s">
        <v>300</v>
      </c>
      <c r="D226" s="2" t="s">
        <v>1112</v>
      </c>
      <c r="E226" s="2" t="s">
        <v>1113</v>
      </c>
      <c r="F226" s="2" t="s">
        <v>1603</v>
      </c>
      <c r="G226" s="2" t="s">
        <v>1604</v>
      </c>
      <c r="H226" s="2" t="s">
        <v>1604</v>
      </c>
      <c r="I226" s="2" t="s">
        <v>1614</v>
      </c>
      <c r="J226" s="2" t="s">
        <v>1043</v>
      </c>
      <c r="K226" s="2" t="s">
        <v>249</v>
      </c>
      <c r="L226" s="3">
        <v>60</v>
      </c>
      <c r="M226" s="3">
        <v>63</v>
      </c>
      <c r="N226" s="3">
        <v>119.99</v>
      </c>
      <c r="O226" s="2" t="s">
        <v>240</v>
      </c>
      <c r="P226" s="2" t="s">
        <v>266</v>
      </c>
      <c r="Q226" s="2" t="s">
        <v>234</v>
      </c>
      <c r="R226" s="2" t="s">
        <v>228</v>
      </c>
      <c r="S226" s="2" t="s">
        <v>1615</v>
      </c>
      <c r="T226" s="2" t="s">
        <v>1608</v>
      </c>
      <c r="U226" s="2" t="s">
        <v>228</v>
      </c>
      <c r="V226" s="2" t="s">
        <v>980</v>
      </c>
      <c r="W226" s="2" t="s">
        <v>269</v>
      </c>
      <c r="X226" s="2" t="s">
        <v>309</v>
      </c>
      <c r="Y226" s="2" t="s">
        <v>270</v>
      </c>
      <c r="Z226" s="4">
        <v>164</v>
      </c>
      <c r="AA226" s="4">
        <f>=ROUNDDOWN(10.25,0)</f>
      </c>
      <c r="AB226" s="5">
        <v>16</v>
      </c>
      <c r="AC226" s="2" t="s">
        <v>1270</v>
      </c>
      <c r="AD226" s="4">
        <v>230</v>
      </c>
      <c r="AE226" s="4">
        <v>720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228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228</v>
      </c>
      <c r="AW226" s="8" t="s">
        <v>228</v>
      </c>
      <c r="AX226" s="4" t="s">
        <v>228</v>
      </c>
      <c r="AY226" s="8" t="s">
        <v>228</v>
      </c>
      <c r="AZ226" s="7" t="s">
        <v>228</v>
      </c>
      <c r="BA226" s="7" t="s">
        <v>228</v>
      </c>
      <c r="BB226" s="7"/>
      <c r="BC226" s="4" t="s">
        <v>228</v>
      </c>
      <c r="BD226" s="8" t="s">
        <v>228</v>
      </c>
      <c r="BE226" s="4" t="s">
        <v>228</v>
      </c>
      <c r="BF226" s="8" t="s">
        <v>228</v>
      </c>
      <c r="BG226" s="7" t="s">
        <v>228</v>
      </c>
      <c r="BH226" s="7" t="s">
        <v>228</v>
      </c>
      <c r="BI226" s="7"/>
      <c r="BJ226" s="4">
        <v>16</v>
      </c>
      <c r="BK226" s="8">
        <v>1007.3</v>
      </c>
      <c r="BL226" s="2" t="s">
        <v>1616</v>
      </c>
      <c r="BM226" s="7"/>
      <c r="BN226" s="7"/>
      <c r="BO226" s="4"/>
      <c r="BP226" s="8"/>
      <c r="BQ226" s="4"/>
      <c r="BR226" s="8"/>
      <c r="BS226" s="7"/>
      <c r="BT226" s="7"/>
      <c r="BU226" s="2" t="s">
        <v>1617</v>
      </c>
      <c r="BV226" s="2" t="s">
        <v>228</v>
      </c>
      <c r="BW226" s="2" t="s">
        <v>228</v>
      </c>
      <c r="BX226" s="2" t="s">
        <v>273</v>
      </c>
      <c r="BY226" s="2" t="s">
        <v>274</v>
      </c>
      <c r="BZ226" s="2" t="s">
        <v>240</v>
      </c>
      <c r="CA226" s="2" t="s">
        <v>1618</v>
      </c>
      <c r="CB226" s="2" t="s">
        <v>1619</v>
      </c>
      <c r="CC226" s="2" t="s">
        <v>241</v>
      </c>
      <c r="CD226" s="2" t="s">
        <v>228</v>
      </c>
      <c r="CE226" s="4">
        <v>164</v>
      </c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>
        <v>230</v>
      </c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>
        <v>270</v>
      </c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>
        <v>100</v>
      </c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>
        <v>120</v>
      </c>
      <c r="HC226" s="4"/>
      <c r="HD226" s="4"/>
      <c r="HE226" s="4"/>
    </row>
    <row r="227">
      <c r="A227" s="2" t="s">
        <v>1620</v>
      </c>
      <c r="B227" s="2" t="s">
        <v>223</v>
      </c>
      <c r="C227" s="2" t="s">
        <v>300</v>
      </c>
      <c r="D227" s="2" t="s">
        <v>1601</v>
      </c>
      <c r="E227" s="2" t="s">
        <v>1602</v>
      </c>
      <c r="F227" s="2" t="s">
        <v>1603</v>
      </c>
      <c r="G227" s="2" t="s">
        <v>1604</v>
      </c>
      <c r="H227" s="2" t="s">
        <v>1604</v>
      </c>
      <c r="I227" s="2" t="s">
        <v>1605</v>
      </c>
      <c r="J227" s="2" t="s">
        <v>1412</v>
      </c>
      <c r="K227" s="2" t="s">
        <v>249</v>
      </c>
      <c r="L227" s="3">
        <v>14.59</v>
      </c>
      <c r="M227" s="3">
        <v>15.32</v>
      </c>
      <c r="N227" s="3">
        <v>30.99</v>
      </c>
      <c r="O227" s="2" t="s">
        <v>240</v>
      </c>
      <c r="P227" s="2" t="s">
        <v>715</v>
      </c>
      <c r="Q227" s="2" t="s">
        <v>234</v>
      </c>
      <c r="R227" s="2" t="s">
        <v>228</v>
      </c>
      <c r="S227" s="2" t="s">
        <v>1621</v>
      </c>
      <c r="T227" s="2" t="s">
        <v>1608</v>
      </c>
      <c r="U227" s="2" t="s">
        <v>228</v>
      </c>
      <c r="V227" s="2" t="s">
        <v>980</v>
      </c>
      <c r="W227" s="2" t="s">
        <v>269</v>
      </c>
      <c r="X227" s="2" t="s">
        <v>228</v>
      </c>
      <c r="Y227" s="2" t="s">
        <v>1622</v>
      </c>
      <c r="Z227" s="4">
        <v>1428</v>
      </c>
      <c r="AA227" s="4">
        <f>=ROUNDDOWN(20.4,0)</f>
      </c>
      <c r="AB227" s="5">
        <v>70</v>
      </c>
      <c r="AC227" s="2" t="s">
        <v>1014</v>
      </c>
      <c r="AD227" s="4">
        <v>1300</v>
      </c>
      <c r="AE227" s="4">
        <v>5200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228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228</v>
      </c>
      <c r="AW227" s="8" t="s">
        <v>228</v>
      </c>
      <c r="AX227" s="4" t="s">
        <v>228</v>
      </c>
      <c r="AY227" s="8" t="s">
        <v>228</v>
      </c>
      <c r="AZ227" s="7" t="s">
        <v>228</v>
      </c>
      <c r="BA227" s="7" t="s">
        <v>228</v>
      </c>
      <c r="BB227" s="7"/>
      <c r="BC227" s="4" t="s">
        <v>228</v>
      </c>
      <c r="BD227" s="8" t="s">
        <v>228</v>
      </c>
      <c r="BE227" s="4" t="s">
        <v>228</v>
      </c>
      <c r="BF227" s="8" t="s">
        <v>228</v>
      </c>
      <c r="BG227" s="7" t="s">
        <v>228</v>
      </c>
      <c r="BH227" s="7" t="s">
        <v>228</v>
      </c>
      <c r="BI227" s="7"/>
      <c r="BJ227" s="4">
        <v>123</v>
      </c>
      <c r="BK227" s="8">
        <v>1799.31</v>
      </c>
      <c r="BL227" s="2" t="s">
        <v>1623</v>
      </c>
      <c r="BM227" s="7"/>
      <c r="BN227" s="7"/>
      <c r="BO227" s="4"/>
      <c r="BP227" s="8"/>
      <c r="BQ227" s="4"/>
      <c r="BR227" s="8"/>
      <c r="BS227" s="7"/>
      <c r="BT227" s="7"/>
      <c r="BU227" s="2" t="s">
        <v>1624</v>
      </c>
      <c r="BV227" s="2" t="s">
        <v>228</v>
      </c>
      <c r="BW227" s="2" t="s">
        <v>228</v>
      </c>
      <c r="BX227" s="2" t="s">
        <v>273</v>
      </c>
      <c r="BY227" s="2" t="s">
        <v>274</v>
      </c>
      <c r="BZ227" s="2" t="s">
        <v>240</v>
      </c>
      <c r="CA227" s="2" t="s">
        <v>1611</v>
      </c>
      <c r="CB227" s="2" t="s">
        <v>1619</v>
      </c>
      <c r="CC227" s="2" t="s">
        <v>241</v>
      </c>
      <c r="CD227" s="2" t="s">
        <v>228</v>
      </c>
      <c r="CE227" s="4">
        <v>1428</v>
      </c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>
        <v>1300</v>
      </c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>
        <v>1300</v>
      </c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>
        <v>1300</v>
      </c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>
        <v>1300</v>
      </c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</row>
    <row r="228">
      <c r="A228" s="2" t="s">
        <v>1625</v>
      </c>
      <c r="B228" s="2" t="s">
        <v>834</v>
      </c>
      <c r="C228" s="2" t="s">
        <v>835</v>
      </c>
      <c r="D228" s="2" t="s">
        <v>1028</v>
      </c>
      <c r="E228" s="2" t="s">
        <v>1029</v>
      </c>
      <c r="F228" s="2" t="s">
        <v>1626</v>
      </c>
      <c r="G228" s="2" t="s">
        <v>1626</v>
      </c>
      <c r="H228" s="2" t="s">
        <v>1626</v>
      </c>
      <c r="I228" s="2" t="s">
        <v>1627</v>
      </c>
      <c r="J228" s="2" t="s">
        <v>840</v>
      </c>
      <c r="K228" s="2" t="s">
        <v>1357</v>
      </c>
      <c r="L228" s="3">
        <v>67</v>
      </c>
      <c r="M228" s="3">
        <v>70.35</v>
      </c>
      <c r="N228" s="3">
        <v>139.99</v>
      </c>
      <c r="O228" s="2" t="s">
        <v>461</v>
      </c>
      <c r="P228" s="2" t="s">
        <v>333</v>
      </c>
      <c r="Q228" s="2" t="s">
        <v>234</v>
      </c>
      <c r="R228" s="2" t="s">
        <v>228</v>
      </c>
      <c r="S228" s="2" t="s">
        <v>228</v>
      </c>
      <c r="T228" s="2" t="s">
        <v>228</v>
      </c>
      <c r="U228" s="2" t="s">
        <v>416</v>
      </c>
      <c r="V228" s="2" t="s">
        <v>842</v>
      </c>
      <c r="W228" s="2" t="s">
        <v>417</v>
      </c>
      <c r="X228" s="2" t="s">
        <v>1628</v>
      </c>
      <c r="Y228" s="2" t="s">
        <v>1467</v>
      </c>
      <c r="Z228" s="4">
        <v>46</v>
      </c>
      <c r="AA228" s="4">
        <f>=ROUNDDOWN(46,0)</f>
      </c>
      <c r="AB228" s="5">
        <v>1</v>
      </c>
      <c r="AC228" s="2" t="s">
        <v>228</v>
      </c>
      <c r="AD228" s="4"/>
      <c r="AE228" s="4"/>
      <c r="AF228" s="6">
        <v>63</v>
      </c>
      <c r="AG228" s="6"/>
      <c r="AH228" s="7">
        <v>1</v>
      </c>
      <c r="AI228" s="4"/>
      <c r="AJ228" s="4">
        <f>=ROUNDDOWN({0},0)</f>
      </c>
      <c r="AK228" s="5"/>
      <c r="AL228" s="2" t="s">
        <v>228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>
        <v>8</v>
      </c>
      <c r="BK228" s="8">
        <v>609.85</v>
      </c>
      <c r="BL228" s="2" t="s">
        <v>1629</v>
      </c>
      <c r="BM228" s="7"/>
      <c r="BN228" s="7"/>
      <c r="BO228" s="4"/>
      <c r="BP228" s="8"/>
      <c r="BQ228" s="4"/>
      <c r="BR228" s="8"/>
      <c r="BS228" s="7"/>
      <c r="BT228" s="7"/>
      <c r="BU228" s="2" t="s">
        <v>1630</v>
      </c>
      <c r="BV228" s="2" t="s">
        <v>228</v>
      </c>
      <c r="BW228" s="2" t="s">
        <v>228</v>
      </c>
      <c r="BX228" s="2" t="s">
        <v>337</v>
      </c>
      <c r="BY228" s="2" t="s">
        <v>274</v>
      </c>
      <c r="BZ228" s="2" t="s">
        <v>240</v>
      </c>
      <c r="CA228" s="2" t="s">
        <v>1631</v>
      </c>
      <c r="CB228" s="2" t="s">
        <v>1632</v>
      </c>
      <c r="CC228" s="2" t="s">
        <v>241</v>
      </c>
      <c r="CD228" s="2" t="s">
        <v>228</v>
      </c>
      <c r="CE228" s="4"/>
      <c r="CF228" s="4">
        <v>46</v>
      </c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</row>
    <row r="229">
      <c r="A229" s="2" t="s">
        <v>1633</v>
      </c>
      <c r="B229" s="2" t="s">
        <v>958</v>
      </c>
      <c r="C229" s="2" t="s">
        <v>300</v>
      </c>
      <c r="D229" s="2" t="s">
        <v>959</v>
      </c>
      <c r="E229" s="2" t="s">
        <v>960</v>
      </c>
      <c r="F229" s="2" t="s">
        <v>1634</v>
      </c>
      <c r="G229" s="2" t="s">
        <v>1635</v>
      </c>
      <c r="H229" s="2" t="s">
        <v>1626</v>
      </c>
      <c r="I229" s="2" t="s">
        <v>1636</v>
      </c>
      <c r="J229" s="2" t="s">
        <v>840</v>
      </c>
      <c r="K229" s="2" t="s">
        <v>249</v>
      </c>
      <c r="L229" s="3">
        <v>182.75</v>
      </c>
      <c r="M229" s="3">
        <v>191.89</v>
      </c>
      <c r="N229" s="3">
        <v>379</v>
      </c>
      <c r="O229" s="2" t="s">
        <v>240</v>
      </c>
      <c r="P229" s="2" t="s">
        <v>266</v>
      </c>
      <c r="Q229" s="2" t="s">
        <v>234</v>
      </c>
      <c r="R229" s="2" t="s">
        <v>228</v>
      </c>
      <c r="S229" s="2" t="s">
        <v>1637</v>
      </c>
      <c r="T229" s="2" t="s">
        <v>228</v>
      </c>
      <c r="U229" s="2" t="s">
        <v>228</v>
      </c>
      <c r="V229" s="2" t="s">
        <v>236</v>
      </c>
      <c r="W229" s="2" t="s">
        <v>463</v>
      </c>
      <c r="X229" s="2" t="s">
        <v>228</v>
      </c>
      <c r="Y229" s="2" t="s">
        <v>270</v>
      </c>
      <c r="Z229" s="4">
        <v>311</v>
      </c>
      <c r="AA229" s="4">
        <f>=ROUNDDOWN(34.9438202247191,0)</f>
      </c>
      <c r="AB229" s="5">
        <v>8.9</v>
      </c>
      <c r="AC229" s="2" t="s">
        <v>171</v>
      </c>
      <c r="AD229" s="4">
        <v>5</v>
      </c>
      <c r="AE229" s="4">
        <v>5</v>
      </c>
      <c r="AF229" s="6">
        <v>74</v>
      </c>
      <c r="AG229" s="6"/>
      <c r="AH229" s="7">
        <v>1</v>
      </c>
      <c r="AI229" s="4"/>
      <c r="AJ229" s="4">
        <f>=ROUNDDOWN({0},0)</f>
      </c>
      <c r="AK229" s="5"/>
      <c r="AL229" s="2" t="s">
        <v>228</v>
      </c>
      <c r="AM229" s="4"/>
      <c r="AN229" s="4"/>
      <c r="AO229" s="7">
        <v>0.5484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 t="s">
        <v>228</v>
      </c>
      <c r="BD229" s="8" t="s">
        <v>228</v>
      </c>
      <c r="BE229" s="4" t="s">
        <v>228</v>
      </c>
      <c r="BF229" s="8" t="s">
        <v>228</v>
      </c>
      <c r="BG229" s="7" t="s">
        <v>228</v>
      </c>
      <c r="BH229" s="7" t="s">
        <v>228</v>
      </c>
      <c r="BI229" s="7"/>
      <c r="BJ229" s="4">
        <v>44</v>
      </c>
      <c r="BK229" s="8">
        <v>8522.8</v>
      </c>
      <c r="BL229" s="2" t="s">
        <v>1638</v>
      </c>
      <c r="BM229" s="7"/>
      <c r="BN229" s="7"/>
      <c r="BO229" s="4"/>
      <c r="BP229" s="8"/>
      <c r="BQ229" s="4"/>
      <c r="BR229" s="8"/>
      <c r="BS229" s="7"/>
      <c r="BT229" s="7"/>
      <c r="BU229" s="2" t="s">
        <v>1639</v>
      </c>
      <c r="BV229" s="2" t="s">
        <v>228</v>
      </c>
      <c r="BW229" s="2" t="s">
        <v>228</v>
      </c>
      <c r="BX229" s="2" t="s">
        <v>273</v>
      </c>
      <c r="BY229" s="2" t="s">
        <v>274</v>
      </c>
      <c r="BZ229" s="2" t="s">
        <v>240</v>
      </c>
      <c r="CA229" s="2" t="s">
        <v>275</v>
      </c>
      <c r="CB229" s="2" t="s">
        <v>1640</v>
      </c>
      <c r="CC229" s="2" t="s">
        <v>241</v>
      </c>
      <c r="CD229" s="2" t="s">
        <v>228</v>
      </c>
      <c r="CE229" s="4"/>
      <c r="CF229" s="4">
        <v>311</v>
      </c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>
        <v>5</v>
      </c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</row>
    <row r="230">
      <c r="A230" s="2" t="s">
        <v>1641</v>
      </c>
      <c r="B230" s="2" t="s">
        <v>958</v>
      </c>
      <c r="C230" s="2" t="s">
        <v>300</v>
      </c>
      <c r="D230" s="2" t="s">
        <v>959</v>
      </c>
      <c r="E230" s="2" t="s">
        <v>960</v>
      </c>
      <c r="F230" s="2" t="s">
        <v>1634</v>
      </c>
      <c r="G230" s="2" t="s">
        <v>1635</v>
      </c>
      <c r="H230" s="2" t="s">
        <v>1626</v>
      </c>
      <c r="I230" s="2" t="s">
        <v>1636</v>
      </c>
      <c r="J230" s="2" t="s">
        <v>840</v>
      </c>
      <c r="K230" s="2" t="s">
        <v>1642</v>
      </c>
      <c r="L230" s="3">
        <v>182.75</v>
      </c>
      <c r="M230" s="3">
        <v>191.89</v>
      </c>
      <c r="N230" s="3">
        <v>379</v>
      </c>
      <c r="O230" s="2" t="s">
        <v>240</v>
      </c>
      <c r="P230" s="2" t="s">
        <v>266</v>
      </c>
      <c r="Q230" s="2" t="s">
        <v>234</v>
      </c>
      <c r="R230" s="2" t="s">
        <v>228</v>
      </c>
      <c r="S230" s="2" t="s">
        <v>1643</v>
      </c>
      <c r="T230" s="2" t="s">
        <v>228</v>
      </c>
      <c r="U230" s="2" t="s">
        <v>228</v>
      </c>
      <c r="V230" s="2" t="s">
        <v>1644</v>
      </c>
      <c r="W230" s="2" t="s">
        <v>463</v>
      </c>
      <c r="X230" s="2" t="s">
        <v>228</v>
      </c>
      <c r="Y230" s="2" t="s">
        <v>1645</v>
      </c>
      <c r="Z230" s="4">
        <v>178</v>
      </c>
      <c r="AA230" s="4">
        <f>=ROUNDDOWN(44.5,0)</f>
      </c>
      <c r="AB230" s="5">
        <v>4</v>
      </c>
      <c r="AC230" s="2" t="s">
        <v>228</v>
      </c>
      <c r="AD230" s="4"/>
      <c r="AE230" s="4"/>
      <c r="AF230" s="6">
        <v>74</v>
      </c>
      <c r="AG230" s="6"/>
      <c r="AH230" s="7">
        <v>1</v>
      </c>
      <c r="AI230" s="4"/>
      <c r="AJ230" s="4">
        <f>=ROUNDDOWN({0},0)</f>
      </c>
      <c r="AK230" s="5"/>
      <c r="AL230" s="2" t="s">
        <v>228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 t="s">
        <v>228</v>
      </c>
      <c r="BD230" s="8" t="s">
        <v>228</v>
      </c>
      <c r="BE230" s="4" t="s">
        <v>228</v>
      </c>
      <c r="BF230" s="8" t="s">
        <v>228</v>
      </c>
      <c r="BG230" s="7" t="s">
        <v>228</v>
      </c>
      <c r="BH230" s="7" t="s">
        <v>228</v>
      </c>
      <c r="BI230" s="7"/>
      <c r="BJ230" s="4">
        <v>12</v>
      </c>
      <c r="BK230" s="8">
        <v>2129.36</v>
      </c>
      <c r="BL230" s="2" t="s">
        <v>1646</v>
      </c>
      <c r="BM230" s="7"/>
      <c r="BN230" s="7"/>
      <c r="BO230" s="4"/>
      <c r="BP230" s="8"/>
      <c r="BQ230" s="4"/>
      <c r="BR230" s="8"/>
      <c r="BS230" s="7"/>
      <c r="BT230" s="7"/>
      <c r="BU230" s="2" t="s">
        <v>1647</v>
      </c>
      <c r="BV230" s="2" t="s">
        <v>228</v>
      </c>
      <c r="BW230" s="2" t="s">
        <v>228</v>
      </c>
      <c r="BX230" s="2" t="s">
        <v>273</v>
      </c>
      <c r="BY230" s="2" t="s">
        <v>274</v>
      </c>
      <c r="BZ230" s="2" t="s">
        <v>240</v>
      </c>
      <c r="CA230" s="2" t="s">
        <v>1648</v>
      </c>
      <c r="CB230" s="2" t="s">
        <v>1649</v>
      </c>
      <c r="CC230" s="2" t="s">
        <v>241</v>
      </c>
      <c r="CD230" s="2" t="s">
        <v>228</v>
      </c>
      <c r="CE230" s="4"/>
      <c r="CF230" s="4">
        <v>178</v>
      </c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</row>
    <row r="231">
      <c r="A231" s="2" t="s">
        <v>1650</v>
      </c>
      <c r="B231" s="2" t="s">
        <v>958</v>
      </c>
      <c r="C231" s="2" t="s">
        <v>300</v>
      </c>
      <c r="D231" s="2" t="s">
        <v>1006</v>
      </c>
      <c r="E231" s="2" t="s">
        <v>1651</v>
      </c>
      <c r="F231" s="2" t="s">
        <v>1634</v>
      </c>
      <c r="G231" s="2" t="s">
        <v>1635</v>
      </c>
      <c r="H231" s="2" t="s">
        <v>1626</v>
      </c>
      <c r="I231" s="2" t="s">
        <v>1652</v>
      </c>
      <c r="J231" s="2" t="s">
        <v>840</v>
      </c>
      <c r="K231" s="2" t="s">
        <v>1653</v>
      </c>
      <c r="L231" s="3">
        <v>252.45</v>
      </c>
      <c r="M231" s="3">
        <v>265.07</v>
      </c>
      <c r="N231" s="3">
        <v>529</v>
      </c>
      <c r="O231" s="2" t="s">
        <v>240</v>
      </c>
      <c r="P231" s="2" t="s">
        <v>333</v>
      </c>
      <c r="Q231" s="2" t="s">
        <v>234</v>
      </c>
      <c r="R231" s="2" t="s">
        <v>228</v>
      </c>
      <c r="S231" s="2" t="s">
        <v>1654</v>
      </c>
      <c r="T231" s="2" t="s">
        <v>228</v>
      </c>
      <c r="U231" s="2" t="s">
        <v>416</v>
      </c>
      <c r="V231" s="2" t="s">
        <v>236</v>
      </c>
      <c r="W231" s="2" t="s">
        <v>463</v>
      </c>
      <c r="X231" s="2" t="s">
        <v>228</v>
      </c>
      <c r="Y231" s="2" t="s">
        <v>1655</v>
      </c>
      <c r="Z231" s="4">
        <v>35</v>
      </c>
      <c r="AA231" s="4">
        <f>=ROUNDDOWN(17.5,0)</f>
      </c>
      <c r="AB231" s="5">
        <v>2</v>
      </c>
      <c r="AC231" s="2" t="s">
        <v>228</v>
      </c>
      <c r="AD231" s="4"/>
      <c r="AE231" s="4"/>
      <c r="AF231" s="6">
        <v>66</v>
      </c>
      <c r="AG231" s="6"/>
      <c r="AH231" s="7">
        <v>1</v>
      </c>
      <c r="AI231" s="4"/>
      <c r="AJ231" s="4">
        <f>=ROUNDDOWN({0},0)</f>
      </c>
      <c r="AK231" s="5"/>
      <c r="AL231" s="2" t="s">
        <v>228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 t="s">
        <v>228</v>
      </c>
      <c r="BD231" s="8" t="s">
        <v>228</v>
      </c>
      <c r="BE231" s="4" t="s">
        <v>228</v>
      </c>
      <c r="BF231" s="8" t="s">
        <v>228</v>
      </c>
      <c r="BG231" s="7" t="s">
        <v>228</v>
      </c>
      <c r="BH231" s="7" t="s">
        <v>228</v>
      </c>
      <c r="BI231" s="7"/>
      <c r="BJ231" s="4">
        <v>2</v>
      </c>
      <c r="BK231" s="8">
        <v>315.54</v>
      </c>
      <c r="BL231" s="2" t="s">
        <v>1656</v>
      </c>
      <c r="BM231" s="7"/>
      <c r="BN231" s="7"/>
      <c r="BO231" s="4"/>
      <c r="BP231" s="8"/>
      <c r="BQ231" s="4"/>
      <c r="BR231" s="8"/>
      <c r="BS231" s="7"/>
      <c r="BT231" s="7"/>
      <c r="BU231" s="2" t="s">
        <v>1657</v>
      </c>
      <c r="BV231" s="2" t="s">
        <v>228</v>
      </c>
      <c r="BW231" s="2" t="s">
        <v>228</v>
      </c>
      <c r="BX231" s="2" t="s">
        <v>337</v>
      </c>
      <c r="BY231" s="2" t="s">
        <v>274</v>
      </c>
      <c r="BZ231" s="2" t="s">
        <v>240</v>
      </c>
      <c r="CA231" s="2" t="s">
        <v>1658</v>
      </c>
      <c r="CB231" s="2" t="s">
        <v>1659</v>
      </c>
      <c r="CC231" s="2" t="s">
        <v>241</v>
      </c>
      <c r="CD231" s="2" t="s">
        <v>228</v>
      </c>
      <c r="CE231" s="4"/>
      <c r="CF231" s="4">
        <v>35</v>
      </c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</row>
    <row r="232">
      <c r="A232" s="2" t="s">
        <v>1660</v>
      </c>
      <c r="B232" s="2" t="s">
        <v>958</v>
      </c>
      <c r="C232" s="2" t="s">
        <v>300</v>
      </c>
      <c r="D232" s="2" t="s">
        <v>959</v>
      </c>
      <c r="E232" s="2" t="s">
        <v>960</v>
      </c>
      <c r="F232" s="2" t="s">
        <v>1634</v>
      </c>
      <c r="G232" s="2" t="s">
        <v>1635</v>
      </c>
      <c r="H232" s="2" t="s">
        <v>1626</v>
      </c>
      <c r="I232" s="2" t="s">
        <v>1636</v>
      </c>
      <c r="J232" s="2" t="s">
        <v>840</v>
      </c>
      <c r="K232" s="2" t="s">
        <v>1661</v>
      </c>
      <c r="L232" s="3">
        <v>182.75</v>
      </c>
      <c r="M232" s="3">
        <v>191.89</v>
      </c>
      <c r="N232" s="3">
        <v>379</v>
      </c>
      <c r="O232" s="2" t="s">
        <v>240</v>
      </c>
      <c r="P232" s="2" t="s">
        <v>1012</v>
      </c>
      <c r="Q232" s="2" t="s">
        <v>234</v>
      </c>
      <c r="R232" s="2" t="s">
        <v>228</v>
      </c>
      <c r="S232" s="2" t="s">
        <v>228</v>
      </c>
      <c r="T232" s="2" t="s">
        <v>228</v>
      </c>
      <c r="U232" s="2" t="s">
        <v>228</v>
      </c>
      <c r="V232" s="2" t="s">
        <v>236</v>
      </c>
      <c r="W232" s="2" t="s">
        <v>463</v>
      </c>
      <c r="X232" s="2" t="s">
        <v>228</v>
      </c>
      <c r="Y232" s="2" t="s">
        <v>1662</v>
      </c>
      <c r="Z232" s="4">
        <v>197</v>
      </c>
      <c r="AA232" s="4">
        <f>=ROUNDDOWN(56.2857142857143,0)</f>
      </c>
      <c r="AB232" s="5">
        <v>3.5</v>
      </c>
      <c r="AC232" s="2" t="s">
        <v>228</v>
      </c>
      <c r="AD232" s="4"/>
      <c r="AE232" s="4"/>
      <c r="AF232" s="6">
        <v>74</v>
      </c>
      <c r="AG232" s="6"/>
      <c r="AH232" s="7">
        <v>1</v>
      </c>
      <c r="AI232" s="4"/>
      <c r="AJ232" s="4">
        <f>=ROUNDDOWN({0},0)</f>
      </c>
      <c r="AK232" s="5"/>
      <c r="AL232" s="2" t="s">
        <v>228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 t="s">
        <v>228</v>
      </c>
      <c r="BD232" s="8" t="s">
        <v>228</v>
      </c>
      <c r="BE232" s="4" t="s">
        <v>228</v>
      </c>
      <c r="BF232" s="8" t="s">
        <v>228</v>
      </c>
      <c r="BG232" s="7" t="s">
        <v>228</v>
      </c>
      <c r="BH232" s="7" t="s">
        <v>228</v>
      </c>
      <c r="BI232" s="7"/>
      <c r="BJ232" s="4">
        <v>8</v>
      </c>
      <c r="BK232" s="8">
        <v>1402.04</v>
      </c>
      <c r="BL232" s="2" t="s">
        <v>1656</v>
      </c>
      <c r="BM232" s="7"/>
      <c r="BN232" s="7"/>
      <c r="BO232" s="4"/>
      <c r="BP232" s="8"/>
      <c r="BQ232" s="4"/>
      <c r="BR232" s="8"/>
      <c r="BS232" s="7"/>
      <c r="BT232" s="7"/>
      <c r="BU232" s="2" t="s">
        <v>1663</v>
      </c>
      <c r="BV232" s="2" t="s">
        <v>228</v>
      </c>
      <c r="BW232" s="2" t="s">
        <v>228</v>
      </c>
      <c r="BX232" s="2" t="s">
        <v>273</v>
      </c>
      <c r="BY232" s="2" t="s">
        <v>274</v>
      </c>
      <c r="BZ232" s="2" t="s">
        <v>240</v>
      </c>
      <c r="CA232" s="2" t="s">
        <v>1664</v>
      </c>
      <c r="CB232" s="2" t="s">
        <v>1665</v>
      </c>
      <c r="CC232" s="2" t="s">
        <v>241</v>
      </c>
      <c r="CD232" s="2" t="s">
        <v>228</v>
      </c>
      <c r="CE232" s="4"/>
      <c r="CF232" s="4">
        <v>197</v>
      </c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</row>
    <row r="233">
      <c r="A233" s="2" t="s">
        <v>1666</v>
      </c>
      <c r="B233" s="2" t="s">
        <v>1150</v>
      </c>
      <c r="C233" s="2" t="s">
        <v>1667</v>
      </c>
      <c r="D233" s="2" t="s">
        <v>1112</v>
      </c>
      <c r="E233" s="2" t="s">
        <v>1113</v>
      </c>
      <c r="F233" s="2" t="s">
        <v>1668</v>
      </c>
      <c r="G233" s="2" t="s">
        <v>1668</v>
      </c>
      <c r="H233" s="2" t="s">
        <v>1668</v>
      </c>
      <c r="I233" s="2" t="s">
        <v>1669</v>
      </c>
      <c r="J233" s="2" t="s">
        <v>1189</v>
      </c>
      <c r="K233" s="2" t="s">
        <v>1466</v>
      </c>
      <c r="L233" s="3">
        <v>102.14</v>
      </c>
      <c r="M233" s="3">
        <v>107.25</v>
      </c>
      <c r="N233" s="3">
        <v>299.99</v>
      </c>
      <c r="O233" s="2" t="s">
        <v>240</v>
      </c>
      <c r="P233" s="2" t="s">
        <v>233</v>
      </c>
      <c r="Q233" s="2" t="s">
        <v>234</v>
      </c>
      <c r="R233" s="2" t="s">
        <v>228</v>
      </c>
      <c r="S233" s="2" t="s">
        <v>1670</v>
      </c>
      <c r="T233" s="2" t="s">
        <v>228</v>
      </c>
      <c r="U233" s="2" t="s">
        <v>500</v>
      </c>
      <c r="V233" s="2" t="s">
        <v>859</v>
      </c>
      <c r="W233" s="2" t="s">
        <v>417</v>
      </c>
      <c r="X233" s="2" t="s">
        <v>269</v>
      </c>
      <c r="Y233" s="2" t="s">
        <v>1671</v>
      </c>
      <c r="Z233" s="4">
        <v>129</v>
      </c>
      <c r="AA233" s="4">
        <f>=ROUNDDOWN(430,0)</f>
      </c>
      <c r="AB233" s="5">
        <v>0.3</v>
      </c>
      <c r="AC233" s="2" t="s">
        <v>1672</v>
      </c>
      <c r="AD233" s="4">
        <v>130</v>
      </c>
      <c r="AE233" s="4">
        <v>130</v>
      </c>
      <c r="AF233" s="6">
        <v>69</v>
      </c>
      <c r="AG233" s="6"/>
      <c r="AH233" s="7">
        <v>1</v>
      </c>
      <c r="AI233" s="4"/>
      <c r="AJ233" s="4">
        <f>=ROUNDDOWN({0},0)</f>
      </c>
      <c r="AK233" s="5"/>
      <c r="AL233" s="2" t="s">
        <v>228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228</v>
      </c>
      <c r="AW233" s="8" t="s">
        <v>228</v>
      </c>
      <c r="AX233" s="4" t="s">
        <v>228</v>
      </c>
      <c r="AY233" s="8" t="s">
        <v>228</v>
      </c>
      <c r="AZ233" s="7" t="s">
        <v>228</v>
      </c>
      <c r="BA233" s="7" t="s">
        <v>228</v>
      </c>
      <c r="BB233" s="7"/>
      <c r="BC233" s="4" t="s">
        <v>228</v>
      </c>
      <c r="BD233" s="8" t="s">
        <v>228</v>
      </c>
      <c r="BE233" s="4" t="s">
        <v>228</v>
      </c>
      <c r="BF233" s="8" t="s">
        <v>228</v>
      </c>
      <c r="BG233" s="7" t="s">
        <v>228</v>
      </c>
      <c r="BH233" s="7" t="s">
        <v>228</v>
      </c>
      <c r="BI233" s="7"/>
      <c r="BJ233" s="4">
        <v>1</v>
      </c>
      <c r="BK233" s="8">
        <v>143</v>
      </c>
      <c r="BL233" s="2" t="s">
        <v>1033</v>
      </c>
      <c r="BM233" s="7"/>
      <c r="BN233" s="7"/>
      <c r="BO233" s="4"/>
      <c r="BP233" s="8"/>
      <c r="BQ233" s="4"/>
      <c r="BR233" s="8"/>
      <c r="BS233" s="7"/>
      <c r="BT233" s="7"/>
      <c r="BU233" s="2" t="s">
        <v>238</v>
      </c>
      <c r="BV233" s="2" t="s">
        <v>228</v>
      </c>
      <c r="BW233" s="2" t="s">
        <v>228</v>
      </c>
      <c r="BX233" s="2" t="s">
        <v>238</v>
      </c>
      <c r="BY233" s="2" t="s">
        <v>1673</v>
      </c>
      <c r="BZ233" s="2" t="s">
        <v>240</v>
      </c>
      <c r="CA233" s="2" t="s">
        <v>228</v>
      </c>
      <c r="CB233" s="2" t="s">
        <v>228</v>
      </c>
      <c r="CC233" s="2" t="s">
        <v>241</v>
      </c>
      <c r="CD233" s="2" t="s">
        <v>228</v>
      </c>
      <c r="CE233" s="4">
        <v>129</v>
      </c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>
        <v>130</v>
      </c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</row>
    <row r="234">
      <c r="A234" s="2" t="s">
        <v>1674</v>
      </c>
      <c r="B234" s="2" t="s">
        <v>1150</v>
      </c>
      <c r="C234" s="2" t="s">
        <v>1667</v>
      </c>
      <c r="D234" s="2" t="s">
        <v>1112</v>
      </c>
      <c r="E234" s="2" t="s">
        <v>1113</v>
      </c>
      <c r="F234" s="2" t="s">
        <v>1668</v>
      </c>
      <c r="G234" s="2" t="s">
        <v>1668</v>
      </c>
      <c r="H234" s="2" t="s">
        <v>1668</v>
      </c>
      <c r="I234" s="2" t="s">
        <v>1669</v>
      </c>
      <c r="J234" s="2" t="s">
        <v>1043</v>
      </c>
      <c r="K234" s="2" t="s">
        <v>1466</v>
      </c>
      <c r="L234" s="3">
        <v>119.16</v>
      </c>
      <c r="M234" s="3">
        <v>125.12</v>
      </c>
      <c r="N234" s="3">
        <v>349.99</v>
      </c>
      <c r="O234" s="2" t="s">
        <v>240</v>
      </c>
      <c r="P234" s="2" t="s">
        <v>233</v>
      </c>
      <c r="Q234" s="2" t="s">
        <v>234</v>
      </c>
      <c r="R234" s="2" t="s">
        <v>228</v>
      </c>
      <c r="S234" s="2" t="s">
        <v>1670</v>
      </c>
      <c r="T234" s="2" t="s">
        <v>228</v>
      </c>
      <c r="U234" s="2" t="s">
        <v>500</v>
      </c>
      <c r="V234" s="2" t="s">
        <v>859</v>
      </c>
      <c r="W234" s="2" t="s">
        <v>417</v>
      </c>
      <c r="X234" s="2" t="s">
        <v>269</v>
      </c>
      <c r="Y234" s="2" t="s">
        <v>1671</v>
      </c>
      <c r="Z234" s="4">
        <v>118</v>
      </c>
      <c r="AA234" s="4">
        <f>=ROUNDDOWN({0},0)</f>
      </c>
      <c r="AB234" s="5"/>
      <c r="AC234" s="2" t="s">
        <v>1672</v>
      </c>
      <c r="AD234" s="4">
        <v>120</v>
      </c>
      <c r="AE234" s="4">
        <v>120</v>
      </c>
      <c r="AF234" s="6">
        <v>69</v>
      </c>
      <c r="AG234" s="6"/>
      <c r="AH234" s="7">
        <v>1</v>
      </c>
      <c r="AI234" s="4"/>
      <c r="AJ234" s="4">
        <f>=ROUNDDOWN({0},0)</f>
      </c>
      <c r="AK234" s="5"/>
      <c r="AL234" s="2" t="s">
        <v>228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228</v>
      </c>
      <c r="AW234" s="8" t="s">
        <v>228</v>
      </c>
      <c r="AX234" s="4" t="s">
        <v>228</v>
      </c>
      <c r="AY234" s="8" t="s">
        <v>228</v>
      </c>
      <c r="AZ234" s="7" t="s">
        <v>228</v>
      </c>
      <c r="BA234" s="7" t="s">
        <v>228</v>
      </c>
      <c r="BB234" s="7"/>
      <c r="BC234" s="4" t="s">
        <v>228</v>
      </c>
      <c r="BD234" s="8" t="s">
        <v>228</v>
      </c>
      <c r="BE234" s="4" t="s">
        <v>228</v>
      </c>
      <c r="BF234" s="8" t="s">
        <v>228</v>
      </c>
      <c r="BG234" s="7" t="s">
        <v>228</v>
      </c>
      <c r="BH234" s="7" t="s">
        <v>228</v>
      </c>
      <c r="BI234" s="7"/>
      <c r="BJ234" s="4"/>
      <c r="BK234" s="8"/>
      <c r="BL234" s="2" t="s">
        <v>228</v>
      </c>
      <c r="BM234" s="7"/>
      <c r="BN234" s="7"/>
      <c r="BO234" s="4"/>
      <c r="BP234" s="8"/>
      <c r="BQ234" s="4"/>
      <c r="BR234" s="8"/>
      <c r="BS234" s="7"/>
      <c r="BT234" s="7"/>
      <c r="BU234" s="2" t="s">
        <v>238</v>
      </c>
      <c r="BV234" s="2" t="s">
        <v>228</v>
      </c>
      <c r="BW234" s="2" t="s">
        <v>228</v>
      </c>
      <c r="BX234" s="2" t="s">
        <v>238</v>
      </c>
      <c r="BY234" s="2" t="s">
        <v>1673</v>
      </c>
      <c r="BZ234" s="2" t="s">
        <v>240</v>
      </c>
      <c r="CA234" s="2" t="s">
        <v>228</v>
      </c>
      <c r="CB234" s="2" t="s">
        <v>228</v>
      </c>
      <c r="CC234" s="2" t="s">
        <v>241</v>
      </c>
      <c r="CD234" s="2" t="s">
        <v>228</v>
      </c>
      <c r="CE234" s="4">
        <v>118</v>
      </c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>
        <v>120</v>
      </c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</row>
    <row r="235">
      <c r="A235" s="2" t="s">
        <v>1675</v>
      </c>
      <c r="B235" s="2" t="s">
        <v>223</v>
      </c>
      <c r="C235" s="2" t="s">
        <v>300</v>
      </c>
      <c r="D235" s="2" t="s">
        <v>1112</v>
      </c>
      <c r="E235" s="2" t="s">
        <v>1113</v>
      </c>
      <c r="F235" s="2" t="s">
        <v>1676</v>
      </c>
      <c r="G235" s="2" t="s">
        <v>1677</v>
      </c>
      <c r="H235" s="2" t="s">
        <v>1678</v>
      </c>
      <c r="I235" s="2" t="s">
        <v>1679</v>
      </c>
      <c r="J235" s="2" t="s">
        <v>264</v>
      </c>
      <c r="K235" s="2" t="s">
        <v>978</v>
      </c>
      <c r="L235" s="3">
        <v>33.86</v>
      </c>
      <c r="M235" s="3">
        <v>35.55</v>
      </c>
      <c r="N235" s="3">
        <v>69.99</v>
      </c>
      <c r="O235" s="2" t="s">
        <v>240</v>
      </c>
      <c r="P235" s="2" t="s">
        <v>333</v>
      </c>
      <c r="Q235" s="2" t="s">
        <v>234</v>
      </c>
      <c r="R235" s="2" t="s">
        <v>228</v>
      </c>
      <c r="S235" s="2" t="s">
        <v>1680</v>
      </c>
      <c r="T235" s="2" t="s">
        <v>1608</v>
      </c>
      <c r="U235" s="2" t="s">
        <v>520</v>
      </c>
      <c r="V235" s="2" t="s">
        <v>1681</v>
      </c>
      <c r="W235" s="2" t="s">
        <v>1682</v>
      </c>
      <c r="X235" s="2" t="s">
        <v>463</v>
      </c>
      <c r="Y235" s="2" t="s">
        <v>1683</v>
      </c>
      <c r="Z235" s="4">
        <v>153</v>
      </c>
      <c r="AA235" s="4">
        <f>=ROUNDDOWN(51,0)</f>
      </c>
      <c r="AB235" s="5">
        <v>3</v>
      </c>
      <c r="AC235" s="2" t="s">
        <v>228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228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 t="s">
        <v>228</v>
      </c>
      <c r="AW235" s="8" t="s">
        <v>228</v>
      </c>
      <c r="AX235" s="4" t="s">
        <v>228</v>
      </c>
      <c r="AY235" s="8" t="s">
        <v>228</v>
      </c>
      <c r="AZ235" s="7" t="s">
        <v>228</v>
      </c>
      <c r="BA235" s="7" t="s">
        <v>228</v>
      </c>
      <c r="BB235" s="7"/>
      <c r="BC235" s="4" t="s">
        <v>228</v>
      </c>
      <c r="BD235" s="8" t="s">
        <v>228</v>
      </c>
      <c r="BE235" s="4" t="s">
        <v>228</v>
      </c>
      <c r="BF235" s="8" t="s">
        <v>228</v>
      </c>
      <c r="BG235" s="7" t="s">
        <v>228</v>
      </c>
      <c r="BH235" s="7" t="s">
        <v>228</v>
      </c>
      <c r="BI235" s="7"/>
      <c r="BJ235" s="4">
        <v>12</v>
      </c>
      <c r="BK235" s="8">
        <v>388.29</v>
      </c>
      <c r="BL235" s="2" t="s">
        <v>404</v>
      </c>
      <c r="BM235" s="7"/>
      <c r="BN235" s="7"/>
      <c r="BO235" s="4"/>
      <c r="BP235" s="8"/>
      <c r="BQ235" s="4"/>
      <c r="BR235" s="8"/>
      <c r="BS235" s="7"/>
      <c r="BT235" s="7"/>
      <c r="BU235" s="2" t="s">
        <v>1684</v>
      </c>
      <c r="BV235" s="2" t="s">
        <v>228</v>
      </c>
      <c r="BW235" s="2" t="s">
        <v>228</v>
      </c>
      <c r="BX235" s="2" t="s">
        <v>337</v>
      </c>
      <c r="BY235" s="2" t="s">
        <v>274</v>
      </c>
      <c r="BZ235" s="2" t="s">
        <v>240</v>
      </c>
      <c r="CA235" s="2" t="s">
        <v>1685</v>
      </c>
      <c r="CB235" s="2" t="s">
        <v>1686</v>
      </c>
      <c r="CC235" s="2" t="s">
        <v>241</v>
      </c>
      <c r="CD235" s="2" t="s">
        <v>228</v>
      </c>
      <c r="CE235" s="4">
        <v>153</v>
      </c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</row>
    <row r="236">
      <c r="A236" s="2" t="s">
        <v>1687</v>
      </c>
      <c r="B236" s="2" t="s">
        <v>223</v>
      </c>
      <c r="C236" s="2" t="s">
        <v>300</v>
      </c>
      <c r="D236" s="2" t="s">
        <v>1112</v>
      </c>
      <c r="E236" s="2" t="s">
        <v>1113</v>
      </c>
      <c r="F236" s="2" t="s">
        <v>1676</v>
      </c>
      <c r="G236" s="2" t="s">
        <v>1677</v>
      </c>
      <c r="H236" s="2" t="s">
        <v>1678</v>
      </c>
      <c r="I236" s="2" t="s">
        <v>1679</v>
      </c>
      <c r="J236" s="2" t="s">
        <v>1043</v>
      </c>
      <c r="K236" s="2" t="s">
        <v>978</v>
      </c>
      <c r="L236" s="3">
        <v>58.6</v>
      </c>
      <c r="M236" s="3">
        <v>61.53</v>
      </c>
      <c r="N236" s="3">
        <v>119.99</v>
      </c>
      <c r="O236" s="2" t="s">
        <v>240</v>
      </c>
      <c r="P236" s="2" t="s">
        <v>266</v>
      </c>
      <c r="Q236" s="2" t="s">
        <v>234</v>
      </c>
      <c r="R236" s="2" t="s">
        <v>228</v>
      </c>
      <c r="S236" s="2" t="s">
        <v>1680</v>
      </c>
      <c r="T236" s="2" t="s">
        <v>1608</v>
      </c>
      <c r="U236" s="2" t="s">
        <v>500</v>
      </c>
      <c r="V236" s="2" t="s">
        <v>1681</v>
      </c>
      <c r="W236" s="2" t="s">
        <v>1682</v>
      </c>
      <c r="X236" s="2" t="s">
        <v>463</v>
      </c>
      <c r="Y236" s="2" t="s">
        <v>1683</v>
      </c>
      <c r="Z236" s="4">
        <v>229</v>
      </c>
      <c r="AA236" s="4">
        <f>=ROUNDDOWN(25.4444444444444,0)</f>
      </c>
      <c r="AB236" s="5">
        <v>9</v>
      </c>
      <c r="AC236" s="2" t="s">
        <v>173</v>
      </c>
      <c r="AD236" s="4">
        <v>200</v>
      </c>
      <c r="AE236" s="4">
        <v>280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228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228</v>
      </c>
      <c r="AW236" s="8" t="s">
        <v>228</v>
      </c>
      <c r="AX236" s="4" t="s">
        <v>228</v>
      </c>
      <c r="AY236" s="8" t="s">
        <v>228</v>
      </c>
      <c r="AZ236" s="7" t="s">
        <v>228</v>
      </c>
      <c r="BA236" s="7" t="s">
        <v>228</v>
      </c>
      <c r="BB236" s="7"/>
      <c r="BC236" s="4" t="s">
        <v>228</v>
      </c>
      <c r="BD236" s="8" t="s">
        <v>228</v>
      </c>
      <c r="BE236" s="4" t="s">
        <v>228</v>
      </c>
      <c r="BF236" s="8" t="s">
        <v>228</v>
      </c>
      <c r="BG236" s="7" t="s">
        <v>228</v>
      </c>
      <c r="BH236" s="7" t="s">
        <v>228</v>
      </c>
      <c r="BI236" s="7"/>
      <c r="BJ236" s="4">
        <v>25</v>
      </c>
      <c r="BK236" s="8">
        <v>1621.99</v>
      </c>
      <c r="BL236" s="2" t="s">
        <v>1688</v>
      </c>
      <c r="BM236" s="7"/>
      <c r="BN236" s="7"/>
      <c r="BO236" s="4"/>
      <c r="BP236" s="8"/>
      <c r="BQ236" s="4"/>
      <c r="BR236" s="8"/>
      <c r="BS236" s="7"/>
      <c r="BT236" s="7"/>
      <c r="BU236" s="2" t="s">
        <v>1689</v>
      </c>
      <c r="BV236" s="2" t="s">
        <v>228</v>
      </c>
      <c r="BW236" s="2" t="s">
        <v>228</v>
      </c>
      <c r="BX236" s="2" t="s">
        <v>273</v>
      </c>
      <c r="BY236" s="2" t="s">
        <v>274</v>
      </c>
      <c r="BZ236" s="2" t="s">
        <v>240</v>
      </c>
      <c r="CA236" s="2" t="s">
        <v>1685</v>
      </c>
      <c r="CB236" s="2" t="s">
        <v>1690</v>
      </c>
      <c r="CC236" s="2" t="s">
        <v>241</v>
      </c>
      <c r="CD236" s="2" t="s">
        <v>228</v>
      </c>
      <c r="CE236" s="4">
        <v>229</v>
      </c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>
        <v>200</v>
      </c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>
        <v>80</v>
      </c>
      <c r="HC236" s="4"/>
      <c r="HD236" s="4"/>
      <c r="HE236" s="4"/>
    </row>
    <row r="237">
      <c r="A237" s="2" t="s">
        <v>1691</v>
      </c>
      <c r="B237" s="2" t="s">
        <v>958</v>
      </c>
      <c r="C237" s="2" t="s">
        <v>300</v>
      </c>
      <c r="D237" s="2" t="s">
        <v>1564</v>
      </c>
      <c r="E237" s="2" t="s">
        <v>1692</v>
      </c>
      <c r="F237" s="2" t="s">
        <v>1693</v>
      </c>
      <c r="G237" s="2" t="s">
        <v>1694</v>
      </c>
      <c r="H237" s="2" t="s">
        <v>1695</v>
      </c>
      <c r="I237" s="2" t="s">
        <v>1696</v>
      </c>
      <c r="J237" s="2" t="s">
        <v>840</v>
      </c>
      <c r="K237" s="2" t="s">
        <v>1357</v>
      </c>
      <c r="L237" s="3">
        <v>135.85</v>
      </c>
      <c r="M237" s="3">
        <v>142.64</v>
      </c>
      <c r="N237" s="3">
        <v>289</v>
      </c>
      <c r="O237" s="2" t="s">
        <v>240</v>
      </c>
      <c r="P237" s="2" t="s">
        <v>889</v>
      </c>
      <c r="Q237" s="2" t="s">
        <v>234</v>
      </c>
      <c r="R237" s="2" t="s">
        <v>228</v>
      </c>
      <c r="S237" s="2" t="s">
        <v>228</v>
      </c>
      <c r="T237" s="2" t="s">
        <v>228</v>
      </c>
      <c r="U237" s="2" t="s">
        <v>416</v>
      </c>
      <c r="V237" s="2" t="s">
        <v>236</v>
      </c>
      <c r="W237" s="2" t="s">
        <v>463</v>
      </c>
      <c r="X237" s="2" t="s">
        <v>228</v>
      </c>
      <c r="Y237" s="2" t="s">
        <v>1013</v>
      </c>
      <c r="Z237" s="4">
        <v>404</v>
      </c>
      <c r="AA237" s="4">
        <f>=ROUNDDOWN(36.7272727272727,0)</f>
      </c>
      <c r="AB237" s="5">
        <v>11</v>
      </c>
      <c r="AC237" s="2" t="s">
        <v>782</v>
      </c>
      <c r="AD237" s="4">
        <v>172</v>
      </c>
      <c r="AE237" s="4">
        <v>172</v>
      </c>
      <c r="AF237" s="6">
        <v>66</v>
      </c>
      <c r="AG237" s="6"/>
      <c r="AH237" s="7">
        <v>1</v>
      </c>
      <c r="AI237" s="4"/>
      <c r="AJ237" s="4">
        <f>=ROUNDDOWN({0},0)</f>
      </c>
      <c r="AK237" s="5"/>
      <c r="AL237" s="2" t="s">
        <v>228</v>
      </c>
      <c r="AM237" s="4"/>
      <c r="AN237" s="4"/>
      <c r="AO237" s="7">
        <v>0.5484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/>
      <c r="BD237" s="8"/>
      <c r="BE237" s="4"/>
      <c r="BF237" s="8"/>
      <c r="BG237" s="7"/>
      <c r="BH237" s="7"/>
      <c r="BI237" s="7"/>
      <c r="BJ237" s="4">
        <v>33</v>
      </c>
      <c r="BK237" s="8">
        <v>4617.14</v>
      </c>
      <c r="BL237" s="2" t="s">
        <v>1697</v>
      </c>
      <c r="BM237" s="7"/>
      <c r="BN237" s="7"/>
      <c r="BO237" s="4"/>
      <c r="BP237" s="8"/>
      <c r="BQ237" s="4"/>
      <c r="BR237" s="8"/>
      <c r="BS237" s="7"/>
      <c r="BT237" s="7"/>
      <c r="BU237" s="2" t="s">
        <v>1698</v>
      </c>
      <c r="BV237" s="2" t="s">
        <v>228</v>
      </c>
      <c r="BW237" s="2" t="s">
        <v>228</v>
      </c>
      <c r="BX237" s="2" t="s">
        <v>273</v>
      </c>
      <c r="BY237" s="2" t="s">
        <v>274</v>
      </c>
      <c r="BZ237" s="2" t="s">
        <v>240</v>
      </c>
      <c r="CA237" s="2" t="s">
        <v>1017</v>
      </c>
      <c r="CB237" s="2" t="s">
        <v>1699</v>
      </c>
      <c r="CC237" s="2" t="s">
        <v>241</v>
      </c>
      <c r="CD237" s="2" t="s">
        <v>228</v>
      </c>
      <c r="CE237" s="4"/>
      <c r="CF237" s="4">
        <v>404</v>
      </c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>
        <v>172</v>
      </c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</row>
    <row r="238">
      <c r="A238" s="2" t="s">
        <v>1700</v>
      </c>
      <c r="B238" s="2" t="s">
        <v>866</v>
      </c>
      <c r="C238" s="2" t="s">
        <v>300</v>
      </c>
      <c r="D238" s="2" t="s">
        <v>867</v>
      </c>
      <c r="E238" s="2" t="s">
        <v>877</v>
      </c>
      <c r="F238" s="2" t="s">
        <v>1701</v>
      </c>
      <c r="G238" s="2" t="s">
        <v>1701</v>
      </c>
      <c r="H238" s="2" t="s">
        <v>1701</v>
      </c>
      <c r="I238" s="2" t="s">
        <v>1702</v>
      </c>
      <c r="J238" s="2" t="s">
        <v>840</v>
      </c>
      <c r="K238" s="2" t="s">
        <v>265</v>
      </c>
      <c r="L238" s="3">
        <v>45.33</v>
      </c>
      <c r="M238" s="3">
        <v>47.6</v>
      </c>
      <c r="N238" s="3">
        <v>101.99</v>
      </c>
      <c r="O238" s="2" t="s">
        <v>240</v>
      </c>
      <c r="P238" s="2" t="s">
        <v>266</v>
      </c>
      <c r="Q238" s="2" t="s">
        <v>234</v>
      </c>
      <c r="R238" s="2" t="s">
        <v>228</v>
      </c>
      <c r="S238" s="2" t="s">
        <v>228</v>
      </c>
      <c r="T238" s="2" t="s">
        <v>228</v>
      </c>
      <c r="U238" s="2" t="s">
        <v>416</v>
      </c>
      <c r="V238" s="2" t="s">
        <v>859</v>
      </c>
      <c r="W238" s="2" t="s">
        <v>417</v>
      </c>
      <c r="X238" s="2" t="s">
        <v>228</v>
      </c>
      <c r="Y238" s="2" t="s">
        <v>1520</v>
      </c>
      <c r="Z238" s="4">
        <v>166</v>
      </c>
      <c r="AA238" s="4">
        <f>=ROUNDDOWN(23.7142857142857,0)</f>
      </c>
      <c r="AB238" s="5">
        <v>7</v>
      </c>
      <c r="AC238" s="2" t="s">
        <v>228</v>
      </c>
      <c r="AD238" s="4"/>
      <c r="AE238" s="4"/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228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/>
      <c r="BD238" s="8"/>
      <c r="BE238" s="4"/>
      <c r="BF238" s="8"/>
      <c r="BG238" s="7"/>
      <c r="BH238" s="7"/>
      <c r="BI238" s="7"/>
      <c r="BJ238" s="4">
        <v>31</v>
      </c>
      <c r="BK238" s="8">
        <v>1684.93</v>
      </c>
      <c r="BL238" s="2" t="s">
        <v>1703</v>
      </c>
      <c r="BM238" s="7"/>
      <c r="BN238" s="7"/>
      <c r="BO238" s="4"/>
      <c r="BP238" s="8"/>
      <c r="BQ238" s="4"/>
      <c r="BR238" s="8"/>
      <c r="BS238" s="7"/>
      <c r="BT238" s="7"/>
      <c r="BU238" s="2" t="s">
        <v>1704</v>
      </c>
      <c r="BV238" s="2" t="s">
        <v>228</v>
      </c>
      <c r="BW238" s="2" t="s">
        <v>228</v>
      </c>
      <c r="BX238" s="2" t="s">
        <v>273</v>
      </c>
      <c r="BY238" s="2" t="s">
        <v>274</v>
      </c>
      <c r="BZ238" s="2" t="s">
        <v>240</v>
      </c>
      <c r="CA238" s="2" t="s">
        <v>1705</v>
      </c>
      <c r="CB238" s="2" t="s">
        <v>1484</v>
      </c>
      <c r="CC238" s="2" t="s">
        <v>241</v>
      </c>
      <c r="CD238" s="2" t="s">
        <v>228</v>
      </c>
      <c r="CE238" s="4"/>
      <c r="CF238" s="4">
        <v>166</v>
      </c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</row>
    <row r="239">
      <c r="A239" s="2" t="s">
        <v>1706</v>
      </c>
      <c r="B239" s="2" t="s">
        <v>1276</v>
      </c>
      <c r="C239" s="2" t="s">
        <v>300</v>
      </c>
      <c r="D239" s="2" t="s">
        <v>1276</v>
      </c>
      <c r="E239" s="2" t="s">
        <v>1276</v>
      </c>
      <c r="F239" s="2" t="s">
        <v>1707</v>
      </c>
      <c r="G239" s="2" t="s">
        <v>1708</v>
      </c>
      <c r="H239" s="2" t="s">
        <v>1709</v>
      </c>
      <c r="I239" s="2" t="s">
        <v>1710</v>
      </c>
      <c r="J239" s="2" t="s">
        <v>1711</v>
      </c>
      <c r="K239" s="2" t="s">
        <v>1712</v>
      </c>
      <c r="L239" s="3">
        <v>95.11</v>
      </c>
      <c r="M239" s="3">
        <v>99.87</v>
      </c>
      <c r="N239" s="3">
        <v>214.99</v>
      </c>
      <c r="O239" s="2" t="s">
        <v>491</v>
      </c>
      <c r="P239" s="2" t="s">
        <v>333</v>
      </c>
      <c r="Q239" s="2" t="s">
        <v>234</v>
      </c>
      <c r="R239" s="2" t="s">
        <v>228</v>
      </c>
      <c r="S239" s="2" t="s">
        <v>228</v>
      </c>
      <c r="T239" s="2" t="s">
        <v>228</v>
      </c>
      <c r="U239" s="2" t="s">
        <v>416</v>
      </c>
      <c r="V239" s="2" t="s">
        <v>980</v>
      </c>
      <c r="W239" s="2" t="s">
        <v>417</v>
      </c>
      <c r="X239" s="2" t="s">
        <v>228</v>
      </c>
      <c r="Y239" s="2" t="s">
        <v>1713</v>
      </c>
      <c r="Z239" s="4">
        <v>105</v>
      </c>
      <c r="AA239" s="4">
        <f>=ROUNDDOWN(58.3333333333333,0)</f>
      </c>
      <c r="AB239" s="5">
        <v>1.8</v>
      </c>
      <c r="AC239" s="2" t="s">
        <v>228</v>
      </c>
      <c r="AD239" s="4"/>
      <c r="AE239" s="4"/>
      <c r="AF239" s="6">
        <v>63</v>
      </c>
      <c r="AG239" s="6"/>
      <c r="AH239" s="7">
        <v>1</v>
      </c>
      <c r="AI239" s="4"/>
      <c r="AJ239" s="4">
        <f>=ROUNDDOWN({0},0)</f>
      </c>
      <c r="AK239" s="5"/>
      <c r="AL239" s="2" t="s">
        <v>228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/>
      <c r="BD239" s="8"/>
      <c r="BE239" s="4"/>
      <c r="BF239" s="8"/>
      <c r="BG239" s="7"/>
      <c r="BH239" s="7"/>
      <c r="BI239" s="7"/>
      <c r="BJ239" s="4">
        <v>8</v>
      </c>
      <c r="BK239" s="8">
        <v>477.38</v>
      </c>
      <c r="BL239" s="2" t="s">
        <v>995</v>
      </c>
      <c r="BM239" s="7"/>
      <c r="BN239" s="7"/>
      <c r="BO239" s="4"/>
      <c r="BP239" s="8"/>
      <c r="BQ239" s="4"/>
      <c r="BR239" s="8"/>
      <c r="BS239" s="7"/>
      <c r="BT239" s="7"/>
      <c r="BU239" s="2" t="s">
        <v>1714</v>
      </c>
      <c r="BV239" s="2" t="s">
        <v>228</v>
      </c>
      <c r="BW239" s="2" t="s">
        <v>228</v>
      </c>
      <c r="BX239" s="2" t="s">
        <v>337</v>
      </c>
      <c r="BY239" s="2" t="s">
        <v>274</v>
      </c>
      <c r="BZ239" s="2" t="s">
        <v>240</v>
      </c>
      <c r="CA239" s="2" t="s">
        <v>1715</v>
      </c>
      <c r="CB239" s="2" t="s">
        <v>1716</v>
      </c>
      <c r="CC239" s="2" t="s">
        <v>241</v>
      </c>
      <c r="CD239" s="2" t="s">
        <v>228</v>
      </c>
      <c r="CE239" s="4"/>
      <c r="CF239" s="4">
        <v>105</v>
      </c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</row>
    <row r="240">
      <c r="A240" s="2" t="s">
        <v>1717</v>
      </c>
      <c r="B240" s="2" t="s">
        <v>958</v>
      </c>
      <c r="C240" s="2" t="s">
        <v>300</v>
      </c>
      <c r="D240" s="2" t="s">
        <v>1006</v>
      </c>
      <c r="E240" s="2" t="s">
        <v>1007</v>
      </c>
      <c r="F240" s="2" t="s">
        <v>1718</v>
      </c>
      <c r="G240" s="2" t="s">
        <v>1718</v>
      </c>
      <c r="H240" s="2" t="s">
        <v>1718</v>
      </c>
      <c r="I240" s="2" t="s">
        <v>1719</v>
      </c>
      <c r="J240" s="2" t="s">
        <v>840</v>
      </c>
      <c r="K240" s="2" t="s">
        <v>1105</v>
      </c>
      <c r="L240" s="3">
        <v>210</v>
      </c>
      <c r="M240" s="3">
        <v>220.5</v>
      </c>
      <c r="N240" s="3">
        <v>449</v>
      </c>
      <c r="O240" s="2" t="s">
        <v>240</v>
      </c>
      <c r="P240" s="2" t="s">
        <v>233</v>
      </c>
      <c r="Q240" s="2" t="s">
        <v>234</v>
      </c>
      <c r="R240" s="2" t="s">
        <v>228</v>
      </c>
      <c r="S240" s="2" t="s">
        <v>228</v>
      </c>
      <c r="T240" s="2" t="s">
        <v>228</v>
      </c>
      <c r="U240" s="2" t="s">
        <v>416</v>
      </c>
      <c r="V240" s="2" t="s">
        <v>842</v>
      </c>
      <c r="W240" s="2" t="s">
        <v>463</v>
      </c>
      <c r="X240" s="2" t="s">
        <v>269</v>
      </c>
      <c r="Y240" s="2" t="s">
        <v>1720</v>
      </c>
      <c r="Z240" s="4">
        <v>98</v>
      </c>
      <c r="AA240" s="4">
        <f>=ROUNDDOWN(122.5,0)</f>
      </c>
      <c r="AB240" s="5">
        <v>0.8</v>
      </c>
      <c r="AC240" s="2" t="s">
        <v>228</v>
      </c>
      <c r="AD240" s="4"/>
      <c r="AE240" s="4"/>
      <c r="AF240" s="6">
        <v>74</v>
      </c>
      <c r="AG240" s="6"/>
      <c r="AH240" s="7">
        <v>1</v>
      </c>
      <c r="AI240" s="4"/>
      <c r="AJ240" s="4">
        <f>=ROUNDDOWN({0},0)</f>
      </c>
      <c r="AK240" s="5"/>
      <c r="AL240" s="2" t="s">
        <v>228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 t="s">
        <v>228</v>
      </c>
      <c r="BD240" s="8" t="s">
        <v>228</v>
      </c>
      <c r="BE240" s="4" t="s">
        <v>228</v>
      </c>
      <c r="BF240" s="8" t="s">
        <v>228</v>
      </c>
      <c r="BG240" s="7" t="s">
        <v>228</v>
      </c>
      <c r="BH240" s="7" t="s">
        <v>228</v>
      </c>
      <c r="BI240" s="7"/>
      <c r="BJ240" s="4">
        <v>5</v>
      </c>
      <c r="BK240" s="8">
        <v>1102.5</v>
      </c>
      <c r="BL240" s="2" t="s">
        <v>1033</v>
      </c>
      <c r="BM240" s="7"/>
      <c r="BN240" s="7"/>
      <c r="BO240" s="4"/>
      <c r="BP240" s="8"/>
      <c r="BQ240" s="4"/>
      <c r="BR240" s="8"/>
      <c r="BS240" s="7"/>
      <c r="BT240" s="7"/>
      <c r="BU240" s="2" t="s">
        <v>1721</v>
      </c>
      <c r="BV240" s="2" t="s">
        <v>228</v>
      </c>
      <c r="BW240" s="2" t="s">
        <v>228</v>
      </c>
      <c r="BX240" s="2" t="s">
        <v>238</v>
      </c>
      <c r="BY240" s="2" t="s">
        <v>274</v>
      </c>
      <c r="BZ240" s="2" t="s">
        <v>240</v>
      </c>
      <c r="CA240" s="2" t="s">
        <v>1160</v>
      </c>
      <c r="CB240" s="2" t="s">
        <v>228</v>
      </c>
      <c r="CC240" s="2" t="s">
        <v>241</v>
      </c>
      <c r="CD240" s="2" t="s">
        <v>228</v>
      </c>
      <c r="CE240" s="4"/>
      <c r="CF240" s="4">
        <v>98</v>
      </c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</row>
    <row r="241">
      <c r="A241" s="2" t="s">
        <v>1722</v>
      </c>
      <c r="B241" s="2" t="s">
        <v>848</v>
      </c>
      <c r="C241" s="2" t="s">
        <v>1184</v>
      </c>
      <c r="D241" s="2" t="s">
        <v>850</v>
      </c>
      <c r="E241" s="2" t="s">
        <v>851</v>
      </c>
      <c r="F241" s="2" t="s">
        <v>1718</v>
      </c>
      <c r="G241" s="2" t="s">
        <v>1723</v>
      </c>
      <c r="H241" s="2" t="s">
        <v>1724</v>
      </c>
      <c r="I241" s="2" t="s">
        <v>1725</v>
      </c>
      <c r="J241" s="2" t="s">
        <v>1043</v>
      </c>
      <c r="K241" s="2" t="s">
        <v>1726</v>
      </c>
      <c r="L241" s="3">
        <v>31.85</v>
      </c>
      <c r="M241" s="3">
        <v>33.44</v>
      </c>
      <c r="N241" s="3">
        <v>64.99</v>
      </c>
      <c r="O241" s="2" t="s">
        <v>240</v>
      </c>
      <c r="P241" s="2" t="s">
        <v>889</v>
      </c>
      <c r="Q241" s="2" t="s">
        <v>234</v>
      </c>
      <c r="R241" s="2" t="s">
        <v>228</v>
      </c>
      <c r="S241" s="2" t="s">
        <v>1727</v>
      </c>
      <c r="T241" s="2" t="s">
        <v>415</v>
      </c>
      <c r="U241" s="2" t="s">
        <v>308</v>
      </c>
      <c r="V241" s="2" t="s">
        <v>374</v>
      </c>
      <c r="W241" s="2" t="s">
        <v>269</v>
      </c>
      <c r="X241" s="2" t="s">
        <v>417</v>
      </c>
      <c r="Y241" s="2" t="s">
        <v>270</v>
      </c>
      <c r="Z241" s="4">
        <v>73</v>
      </c>
      <c r="AA241" s="4">
        <f>=ROUNDDOWN(18.25,0)</f>
      </c>
      <c r="AB241" s="5">
        <v>4</v>
      </c>
      <c r="AC241" s="2" t="s">
        <v>1014</v>
      </c>
      <c r="AD241" s="4">
        <v>120</v>
      </c>
      <c r="AE241" s="4">
        <v>120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228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 t="s">
        <v>228</v>
      </c>
      <c r="BD241" s="8" t="s">
        <v>228</v>
      </c>
      <c r="BE241" s="4" t="s">
        <v>228</v>
      </c>
      <c r="BF241" s="8" t="s">
        <v>228</v>
      </c>
      <c r="BG241" s="7" t="s">
        <v>228</v>
      </c>
      <c r="BH241" s="7" t="s">
        <v>228</v>
      </c>
      <c r="BI241" s="7"/>
      <c r="BJ241" s="4">
        <v>16</v>
      </c>
      <c r="BK241" s="8">
        <v>543.61</v>
      </c>
      <c r="BL241" s="2" t="s">
        <v>1728</v>
      </c>
      <c r="BM241" s="7"/>
      <c r="BN241" s="7"/>
      <c r="BO241" s="4"/>
      <c r="BP241" s="8"/>
      <c r="BQ241" s="4"/>
      <c r="BR241" s="8"/>
      <c r="BS241" s="7"/>
      <c r="BT241" s="7"/>
      <c r="BU241" s="2" t="s">
        <v>1729</v>
      </c>
      <c r="BV241" s="2" t="s">
        <v>228</v>
      </c>
      <c r="BW241" s="2" t="s">
        <v>228</v>
      </c>
      <c r="BX241" s="2" t="s">
        <v>273</v>
      </c>
      <c r="BY241" s="2" t="s">
        <v>274</v>
      </c>
      <c r="BZ241" s="2" t="s">
        <v>240</v>
      </c>
      <c r="CA241" s="2" t="s">
        <v>437</v>
      </c>
      <c r="CB241" s="2" t="s">
        <v>1730</v>
      </c>
      <c r="CC241" s="2" t="s">
        <v>241</v>
      </c>
      <c r="CD241" s="2" t="s">
        <v>228</v>
      </c>
      <c r="CE241" s="4">
        <v>73</v>
      </c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>
        <v>120</v>
      </c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</row>
    <row r="242">
      <c r="A242" s="2" t="s">
        <v>1731</v>
      </c>
      <c r="B242" s="2" t="s">
        <v>223</v>
      </c>
      <c r="C242" s="2" t="s">
        <v>300</v>
      </c>
      <c r="D242" s="2" t="s">
        <v>1316</v>
      </c>
      <c r="E242" s="2" t="s">
        <v>1317</v>
      </c>
      <c r="F242" s="2" t="s">
        <v>1732</v>
      </c>
      <c r="G242" s="2" t="s">
        <v>1733</v>
      </c>
      <c r="H242" s="2" t="s">
        <v>1734</v>
      </c>
      <c r="I242" s="2" t="s">
        <v>1735</v>
      </c>
      <c r="J242" s="2" t="s">
        <v>1189</v>
      </c>
      <c r="K242" s="2" t="s">
        <v>480</v>
      </c>
      <c r="L242" s="3">
        <v>45.9</v>
      </c>
      <c r="M242" s="3">
        <v>48.2</v>
      </c>
      <c r="N242" s="3">
        <v>94.99</v>
      </c>
      <c r="O242" s="2" t="s">
        <v>461</v>
      </c>
      <c r="P242" s="2" t="s">
        <v>333</v>
      </c>
      <c r="Q242" s="2" t="s">
        <v>234</v>
      </c>
      <c r="R242" s="2" t="s">
        <v>228</v>
      </c>
      <c r="S242" s="2" t="s">
        <v>1736</v>
      </c>
      <c r="T242" s="2" t="s">
        <v>1608</v>
      </c>
      <c r="U242" s="2" t="s">
        <v>500</v>
      </c>
      <c r="V242" s="2" t="s">
        <v>1737</v>
      </c>
      <c r="W242" s="2" t="s">
        <v>1267</v>
      </c>
      <c r="X242" s="2" t="s">
        <v>1268</v>
      </c>
      <c r="Y242" s="2" t="s">
        <v>1738</v>
      </c>
      <c r="Z242" s="4">
        <v>27</v>
      </c>
      <c r="AA242" s="4">
        <f>=ROUNDDOWN(7.71428571428571,0)</f>
      </c>
      <c r="AB242" s="5">
        <v>3.5</v>
      </c>
      <c r="AC242" s="2" t="s">
        <v>228</v>
      </c>
      <c r="AD242" s="4"/>
      <c r="AE242" s="4"/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228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 t="s">
        <v>228</v>
      </c>
      <c r="BD242" s="8" t="s">
        <v>228</v>
      </c>
      <c r="BE242" s="4" t="s">
        <v>228</v>
      </c>
      <c r="BF242" s="8" t="s">
        <v>228</v>
      </c>
      <c r="BG242" s="7" t="s">
        <v>228</v>
      </c>
      <c r="BH242" s="7" t="s">
        <v>228</v>
      </c>
      <c r="BI242" s="7"/>
      <c r="BJ242" s="4">
        <v>15</v>
      </c>
      <c r="BK242" s="8">
        <v>635.96</v>
      </c>
      <c r="BL242" s="2" t="s">
        <v>404</v>
      </c>
      <c r="BM242" s="7"/>
      <c r="BN242" s="7"/>
      <c r="BO242" s="4"/>
      <c r="BP242" s="8"/>
      <c r="BQ242" s="4"/>
      <c r="BR242" s="8"/>
      <c r="BS242" s="7"/>
      <c r="BT242" s="7"/>
      <c r="BU242" s="2" t="s">
        <v>1739</v>
      </c>
      <c r="BV242" s="2" t="s">
        <v>228</v>
      </c>
      <c r="BW242" s="2" t="s">
        <v>228</v>
      </c>
      <c r="BX242" s="2" t="s">
        <v>337</v>
      </c>
      <c r="BY242" s="2" t="s">
        <v>274</v>
      </c>
      <c r="BZ242" s="2" t="s">
        <v>240</v>
      </c>
      <c r="CA242" s="2" t="s">
        <v>1740</v>
      </c>
      <c r="CB242" s="2" t="s">
        <v>1741</v>
      </c>
      <c r="CC242" s="2" t="s">
        <v>241</v>
      </c>
      <c r="CD242" s="2" t="s">
        <v>228</v>
      </c>
      <c r="CE242" s="4">
        <v>27</v>
      </c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</row>
    <row r="243">
      <c r="A243" s="2" t="s">
        <v>1742</v>
      </c>
      <c r="B243" s="2" t="s">
        <v>834</v>
      </c>
      <c r="C243" s="2" t="s">
        <v>1743</v>
      </c>
      <c r="D243" s="2" t="s">
        <v>1744</v>
      </c>
      <c r="E243" s="2" t="s">
        <v>1745</v>
      </c>
      <c r="F243" s="2" t="s">
        <v>1732</v>
      </c>
      <c r="G243" s="2" t="s">
        <v>1732</v>
      </c>
      <c r="H243" s="2" t="s">
        <v>1732</v>
      </c>
      <c r="I243" s="2" t="s">
        <v>1746</v>
      </c>
      <c r="J243" s="2" t="s">
        <v>840</v>
      </c>
      <c r="K243" s="2" t="s">
        <v>823</v>
      </c>
      <c r="L243" s="3">
        <v>63</v>
      </c>
      <c r="M243" s="3">
        <v>66.15</v>
      </c>
      <c r="N243" s="3">
        <v>134.99</v>
      </c>
      <c r="O243" s="2" t="s">
        <v>240</v>
      </c>
      <c r="P243" s="2" t="s">
        <v>333</v>
      </c>
      <c r="Q243" s="2" t="s">
        <v>234</v>
      </c>
      <c r="R243" s="2" t="s">
        <v>228</v>
      </c>
      <c r="S243" s="2" t="s">
        <v>228</v>
      </c>
      <c r="T243" s="2" t="s">
        <v>228</v>
      </c>
      <c r="U243" s="2" t="s">
        <v>228</v>
      </c>
      <c r="V243" s="2" t="s">
        <v>842</v>
      </c>
      <c r="W243" s="2" t="s">
        <v>463</v>
      </c>
      <c r="X243" s="2" t="s">
        <v>228</v>
      </c>
      <c r="Y243" s="2" t="s">
        <v>514</v>
      </c>
      <c r="Z243" s="4">
        <v>26</v>
      </c>
      <c r="AA243" s="4">
        <f>=ROUNDDOWN(26,0)</f>
      </c>
      <c r="AB243" s="5">
        <v>1</v>
      </c>
      <c r="AC243" s="2" t="s">
        <v>228</v>
      </c>
      <c r="AD243" s="4"/>
      <c r="AE243" s="4"/>
      <c r="AF243" s="6">
        <v>63</v>
      </c>
      <c r="AG243" s="6"/>
      <c r="AH243" s="7">
        <v>1</v>
      </c>
      <c r="AI243" s="4"/>
      <c r="AJ243" s="4">
        <f>=ROUNDDOWN({0},0)</f>
      </c>
      <c r="AK243" s="5"/>
      <c r="AL243" s="2" t="s">
        <v>228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 t="s">
        <v>228</v>
      </c>
      <c r="BD243" s="8" t="s">
        <v>228</v>
      </c>
      <c r="BE243" s="4" t="s">
        <v>228</v>
      </c>
      <c r="BF243" s="8" t="s">
        <v>228</v>
      </c>
      <c r="BG243" s="7" t="s">
        <v>228</v>
      </c>
      <c r="BH243" s="7" t="s">
        <v>228</v>
      </c>
      <c r="BI243" s="7"/>
      <c r="BJ243" s="4">
        <v>6</v>
      </c>
      <c r="BK243" s="8">
        <v>426</v>
      </c>
      <c r="BL243" s="2" t="s">
        <v>1747</v>
      </c>
      <c r="BM243" s="7"/>
      <c r="BN243" s="7"/>
      <c r="BO243" s="4"/>
      <c r="BP243" s="8"/>
      <c r="BQ243" s="4"/>
      <c r="BR243" s="8"/>
      <c r="BS243" s="7"/>
      <c r="BT243" s="7"/>
      <c r="BU243" s="2" t="s">
        <v>1748</v>
      </c>
      <c r="BV243" s="2" t="s">
        <v>228</v>
      </c>
      <c r="BW243" s="2" t="s">
        <v>228</v>
      </c>
      <c r="BX243" s="2" t="s">
        <v>337</v>
      </c>
      <c r="BY243" s="2" t="s">
        <v>274</v>
      </c>
      <c r="BZ243" s="2" t="s">
        <v>240</v>
      </c>
      <c r="CA243" s="2" t="s">
        <v>1749</v>
      </c>
      <c r="CB243" s="2" t="s">
        <v>719</v>
      </c>
      <c r="CC243" s="2" t="s">
        <v>241</v>
      </c>
      <c r="CD243" s="2" t="s">
        <v>228</v>
      </c>
      <c r="CE243" s="4"/>
      <c r="CF243" s="4">
        <v>26</v>
      </c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</row>
    <row r="244">
      <c r="A244" s="2" t="s">
        <v>1750</v>
      </c>
      <c r="B244" s="2" t="s">
        <v>848</v>
      </c>
      <c r="C244" s="2" t="s">
        <v>849</v>
      </c>
      <c r="D244" s="2" t="s">
        <v>850</v>
      </c>
      <c r="E244" s="2" t="s">
        <v>1038</v>
      </c>
      <c r="F244" s="2" t="s">
        <v>1751</v>
      </c>
      <c r="G244" s="2" t="s">
        <v>1677</v>
      </c>
      <c r="H244" s="2" t="s">
        <v>1752</v>
      </c>
      <c r="I244" s="2" t="s">
        <v>1753</v>
      </c>
      <c r="J244" s="2" t="s">
        <v>856</v>
      </c>
      <c r="K244" s="2" t="s">
        <v>249</v>
      </c>
      <c r="L244" s="3">
        <v>26.19</v>
      </c>
      <c r="M244" s="3">
        <v>27.5</v>
      </c>
      <c r="N244" s="3">
        <v>54.99</v>
      </c>
      <c r="O244" s="2" t="s">
        <v>461</v>
      </c>
      <c r="P244" s="2" t="s">
        <v>333</v>
      </c>
      <c r="Q244" s="2" t="s">
        <v>234</v>
      </c>
      <c r="R244" s="2" t="s">
        <v>228</v>
      </c>
      <c r="S244" s="2" t="s">
        <v>1754</v>
      </c>
      <c r="T244" s="2" t="s">
        <v>228</v>
      </c>
      <c r="U244" s="2" t="s">
        <v>520</v>
      </c>
      <c r="V244" s="2" t="s">
        <v>980</v>
      </c>
      <c r="W244" s="2" t="s">
        <v>417</v>
      </c>
      <c r="X244" s="2" t="s">
        <v>269</v>
      </c>
      <c r="Y244" s="2" t="s">
        <v>1755</v>
      </c>
      <c r="Z244" s="4">
        <v>36</v>
      </c>
      <c r="AA244" s="4">
        <f>=ROUNDDOWN(18,0)</f>
      </c>
      <c r="AB244" s="5">
        <v>2</v>
      </c>
      <c r="AC244" s="2" t="s">
        <v>228</v>
      </c>
      <c r="AD244" s="4"/>
      <c r="AE244" s="4"/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228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/>
      <c r="BD244" s="8"/>
      <c r="BE244" s="4"/>
      <c r="BF244" s="8"/>
      <c r="BG244" s="7"/>
      <c r="BH244" s="7"/>
      <c r="BI244" s="7"/>
      <c r="BJ244" s="4">
        <v>1</v>
      </c>
      <c r="BK244" s="8">
        <v>29.7</v>
      </c>
      <c r="BL244" s="2" t="s">
        <v>484</v>
      </c>
      <c r="BM244" s="7"/>
      <c r="BN244" s="7"/>
      <c r="BO244" s="4"/>
      <c r="BP244" s="8"/>
      <c r="BQ244" s="4"/>
      <c r="BR244" s="8"/>
      <c r="BS244" s="7"/>
      <c r="BT244" s="7"/>
      <c r="BU244" s="2" t="s">
        <v>1756</v>
      </c>
      <c r="BV244" s="2" t="s">
        <v>228</v>
      </c>
      <c r="BW244" s="2" t="s">
        <v>228</v>
      </c>
      <c r="BX244" s="2" t="s">
        <v>337</v>
      </c>
      <c r="BY244" s="2" t="s">
        <v>274</v>
      </c>
      <c r="BZ244" s="2" t="s">
        <v>240</v>
      </c>
      <c r="CA244" s="2" t="s">
        <v>1549</v>
      </c>
      <c r="CB244" s="2" t="s">
        <v>1757</v>
      </c>
      <c r="CC244" s="2" t="s">
        <v>241</v>
      </c>
      <c r="CD244" s="2" t="s">
        <v>228</v>
      </c>
      <c r="CE244" s="4">
        <v>36</v>
      </c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</row>
    <row r="245">
      <c r="A245" s="2" t="s">
        <v>1758</v>
      </c>
      <c r="B245" s="2" t="s">
        <v>834</v>
      </c>
      <c r="C245" s="2" t="s">
        <v>835</v>
      </c>
      <c r="D245" s="2" t="s">
        <v>1028</v>
      </c>
      <c r="E245" s="2" t="s">
        <v>1029</v>
      </c>
      <c r="F245" s="2" t="s">
        <v>1759</v>
      </c>
      <c r="G245" s="2" t="s">
        <v>1759</v>
      </c>
      <c r="H245" s="2" t="s">
        <v>1759</v>
      </c>
      <c r="I245" s="2" t="s">
        <v>1760</v>
      </c>
      <c r="J245" s="2" t="s">
        <v>840</v>
      </c>
      <c r="K245" s="2" t="s">
        <v>1357</v>
      </c>
      <c r="L245" s="3">
        <v>71</v>
      </c>
      <c r="M245" s="3">
        <v>74.55</v>
      </c>
      <c r="N245" s="3">
        <v>149.99</v>
      </c>
      <c r="O245" s="2" t="s">
        <v>461</v>
      </c>
      <c r="P245" s="2" t="s">
        <v>333</v>
      </c>
      <c r="Q245" s="2" t="s">
        <v>234</v>
      </c>
      <c r="R245" s="2" t="s">
        <v>228</v>
      </c>
      <c r="S245" s="2" t="s">
        <v>228</v>
      </c>
      <c r="T245" s="2" t="s">
        <v>228</v>
      </c>
      <c r="U245" s="2" t="s">
        <v>416</v>
      </c>
      <c r="V245" s="2" t="s">
        <v>842</v>
      </c>
      <c r="W245" s="2" t="s">
        <v>1761</v>
      </c>
      <c r="X245" s="2" t="s">
        <v>1628</v>
      </c>
      <c r="Y245" s="2" t="s">
        <v>1467</v>
      </c>
      <c r="Z245" s="4">
        <v>54</v>
      </c>
      <c r="AA245" s="4">
        <f>=ROUNDDOWN(27,0)</f>
      </c>
      <c r="AB245" s="5">
        <v>2</v>
      </c>
      <c r="AC245" s="2" t="s">
        <v>228</v>
      </c>
      <c r="AD245" s="4"/>
      <c r="AE245" s="4"/>
      <c r="AF245" s="6">
        <v>63</v>
      </c>
      <c r="AG245" s="6"/>
      <c r="AH245" s="7">
        <v>1</v>
      </c>
      <c r="AI245" s="4"/>
      <c r="AJ245" s="4">
        <f>=ROUNDDOWN({0},0)</f>
      </c>
      <c r="AK245" s="5"/>
      <c r="AL245" s="2" t="s">
        <v>228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/>
      <c r="BD245" s="8"/>
      <c r="BE245" s="4"/>
      <c r="BF245" s="8"/>
      <c r="BG245" s="7"/>
      <c r="BH245" s="7"/>
      <c r="BI245" s="7"/>
      <c r="BJ245" s="4">
        <v>5</v>
      </c>
      <c r="BK245" s="8">
        <v>365.8</v>
      </c>
      <c r="BL245" s="2" t="s">
        <v>1762</v>
      </c>
      <c r="BM245" s="7"/>
      <c r="BN245" s="7"/>
      <c r="BO245" s="4"/>
      <c r="BP245" s="8"/>
      <c r="BQ245" s="4"/>
      <c r="BR245" s="8"/>
      <c r="BS245" s="7"/>
      <c r="BT245" s="7"/>
      <c r="BU245" s="2" t="s">
        <v>1763</v>
      </c>
      <c r="BV245" s="2" t="s">
        <v>228</v>
      </c>
      <c r="BW245" s="2" t="s">
        <v>228</v>
      </c>
      <c r="BX245" s="2" t="s">
        <v>337</v>
      </c>
      <c r="BY245" s="2" t="s">
        <v>274</v>
      </c>
      <c r="BZ245" s="2" t="s">
        <v>240</v>
      </c>
      <c r="CA245" s="2" t="s">
        <v>1631</v>
      </c>
      <c r="CB245" s="2" t="s">
        <v>1764</v>
      </c>
      <c r="CC245" s="2" t="s">
        <v>241</v>
      </c>
      <c r="CD245" s="2" t="s">
        <v>228</v>
      </c>
      <c r="CE245" s="4"/>
      <c r="CF245" s="4">
        <v>54</v>
      </c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</row>
    <row r="246">
      <c r="A246" s="2" t="s">
        <v>1765</v>
      </c>
      <c r="B246" s="2" t="s">
        <v>958</v>
      </c>
      <c r="C246" s="2" t="s">
        <v>300</v>
      </c>
      <c r="D246" s="2" t="s">
        <v>1006</v>
      </c>
      <c r="E246" s="2" t="s">
        <v>1766</v>
      </c>
      <c r="F246" s="2" t="s">
        <v>1767</v>
      </c>
      <c r="G246" s="2" t="s">
        <v>1768</v>
      </c>
      <c r="H246" s="2" t="s">
        <v>1769</v>
      </c>
      <c r="I246" s="2" t="s">
        <v>1770</v>
      </c>
      <c r="J246" s="2" t="s">
        <v>840</v>
      </c>
      <c r="K246" s="2" t="s">
        <v>480</v>
      </c>
      <c r="L246" s="3">
        <v>270.75</v>
      </c>
      <c r="M246" s="3">
        <v>284.29</v>
      </c>
      <c r="N246" s="3">
        <v>569</v>
      </c>
      <c r="O246" s="2" t="s">
        <v>240</v>
      </c>
      <c r="P246" s="2" t="s">
        <v>1012</v>
      </c>
      <c r="Q246" s="2" t="s">
        <v>234</v>
      </c>
      <c r="R246" s="2" t="s">
        <v>228</v>
      </c>
      <c r="S246" s="2" t="s">
        <v>228</v>
      </c>
      <c r="T246" s="2" t="s">
        <v>228</v>
      </c>
      <c r="U246" s="2" t="s">
        <v>416</v>
      </c>
      <c r="V246" s="2" t="s">
        <v>236</v>
      </c>
      <c r="W246" s="2" t="s">
        <v>463</v>
      </c>
      <c r="X246" s="2" t="s">
        <v>228</v>
      </c>
      <c r="Y246" s="2" t="s">
        <v>1771</v>
      </c>
      <c r="Z246" s="4">
        <v>99</v>
      </c>
      <c r="AA246" s="4">
        <f>=ROUNDDOWN(49.5,0)</f>
      </c>
      <c r="AB246" s="5">
        <v>2</v>
      </c>
      <c r="AC246" s="2" t="s">
        <v>228</v>
      </c>
      <c r="AD246" s="4"/>
      <c r="AE246" s="4"/>
      <c r="AF246" s="6">
        <v>66</v>
      </c>
      <c r="AG246" s="6">
        <v>49</v>
      </c>
      <c r="AH246" s="7">
        <v>1</v>
      </c>
      <c r="AI246" s="4"/>
      <c r="AJ246" s="4">
        <f>=ROUNDDOWN({0},0)</f>
      </c>
      <c r="AK246" s="5"/>
      <c r="AL246" s="2" t="s">
        <v>228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/>
      <c r="BD246" s="8"/>
      <c r="BE246" s="4"/>
      <c r="BF246" s="8"/>
      <c r="BG246" s="7"/>
      <c r="BH246" s="7"/>
      <c r="BI246" s="7"/>
      <c r="BJ246" s="4">
        <v>5</v>
      </c>
      <c r="BK246" s="8">
        <v>1449.92</v>
      </c>
      <c r="BL246" s="2" t="s">
        <v>1772</v>
      </c>
      <c r="BM246" s="7"/>
      <c r="BN246" s="7"/>
      <c r="BO246" s="4"/>
      <c r="BP246" s="8"/>
      <c r="BQ246" s="4"/>
      <c r="BR246" s="8"/>
      <c r="BS246" s="7"/>
      <c r="BT246" s="7"/>
      <c r="BU246" s="2" t="s">
        <v>1773</v>
      </c>
      <c r="BV246" s="2" t="s">
        <v>228</v>
      </c>
      <c r="BW246" s="2" t="s">
        <v>228</v>
      </c>
      <c r="BX246" s="2" t="s">
        <v>273</v>
      </c>
      <c r="BY246" s="2" t="s">
        <v>274</v>
      </c>
      <c r="BZ246" s="2" t="s">
        <v>240</v>
      </c>
      <c r="CA246" s="2" t="s">
        <v>1771</v>
      </c>
      <c r="CB246" s="2" t="s">
        <v>1774</v>
      </c>
      <c r="CC246" s="2" t="s">
        <v>241</v>
      </c>
      <c r="CD246" s="2" t="s">
        <v>228</v>
      </c>
      <c r="CE246" s="4"/>
      <c r="CF246" s="4">
        <v>99</v>
      </c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</row>
    <row r="247">
      <c r="A247" s="2" t="s">
        <v>1775</v>
      </c>
      <c r="B247" s="2" t="s">
        <v>970</v>
      </c>
      <c r="C247" s="2" t="s">
        <v>300</v>
      </c>
      <c r="D247" s="2" t="s">
        <v>971</v>
      </c>
      <c r="E247" s="2" t="s">
        <v>1121</v>
      </c>
      <c r="F247" s="2" t="s">
        <v>1776</v>
      </c>
      <c r="G247" s="2" t="s">
        <v>1777</v>
      </c>
      <c r="H247" s="2" t="s">
        <v>1778</v>
      </c>
      <c r="I247" s="2" t="s">
        <v>1779</v>
      </c>
      <c r="J247" s="2" t="s">
        <v>977</v>
      </c>
      <c r="K247" s="2" t="s">
        <v>305</v>
      </c>
      <c r="L247" s="3">
        <v>25.3</v>
      </c>
      <c r="M247" s="3">
        <v>26.56</v>
      </c>
      <c r="N247" s="3">
        <v>54.99</v>
      </c>
      <c r="O247" s="2" t="s">
        <v>240</v>
      </c>
      <c r="P247" s="2" t="s">
        <v>889</v>
      </c>
      <c r="Q247" s="2" t="s">
        <v>234</v>
      </c>
      <c r="R247" s="2" t="s">
        <v>228</v>
      </c>
      <c r="S247" s="2" t="s">
        <v>1780</v>
      </c>
      <c r="T247" s="2" t="s">
        <v>228</v>
      </c>
      <c r="U247" s="2" t="s">
        <v>228</v>
      </c>
      <c r="V247" s="2" t="s">
        <v>1781</v>
      </c>
      <c r="W247" s="2" t="s">
        <v>743</v>
      </c>
      <c r="X247" s="2" t="s">
        <v>1345</v>
      </c>
      <c r="Y247" s="2" t="s">
        <v>270</v>
      </c>
      <c r="Z247" s="4">
        <v>987</v>
      </c>
      <c r="AA247" s="4">
        <f>=ROUNDDOWN(30.84375,0)</f>
      </c>
      <c r="AB247" s="5">
        <v>32</v>
      </c>
      <c r="AC247" s="2" t="s">
        <v>162</v>
      </c>
      <c r="AD247" s="4">
        <v>200</v>
      </c>
      <c r="AE247" s="4">
        <v>520</v>
      </c>
      <c r="AF247" s="6">
        <v>66</v>
      </c>
      <c r="AG247" s="6"/>
      <c r="AH247" s="7">
        <v>1</v>
      </c>
      <c r="AI247" s="4"/>
      <c r="AJ247" s="4">
        <f>=ROUNDDOWN({0},0)</f>
      </c>
      <c r="AK247" s="5"/>
      <c r="AL247" s="2" t="s">
        <v>228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 t="s">
        <v>228</v>
      </c>
      <c r="BD247" s="8" t="s">
        <v>228</v>
      </c>
      <c r="BE247" s="4" t="s">
        <v>228</v>
      </c>
      <c r="BF247" s="8" t="s">
        <v>228</v>
      </c>
      <c r="BG247" s="7" t="s">
        <v>228</v>
      </c>
      <c r="BH247" s="7" t="s">
        <v>228</v>
      </c>
      <c r="BI247" s="7"/>
      <c r="BJ247" s="4">
        <v>78</v>
      </c>
      <c r="BK247" s="8">
        <v>2145.6</v>
      </c>
      <c r="BL247" s="2" t="s">
        <v>1782</v>
      </c>
      <c r="BM247" s="7"/>
      <c r="BN247" s="7"/>
      <c r="BO247" s="4"/>
      <c r="BP247" s="8"/>
      <c r="BQ247" s="4"/>
      <c r="BR247" s="8"/>
      <c r="BS247" s="7"/>
      <c r="BT247" s="7"/>
      <c r="BU247" s="2" t="s">
        <v>1783</v>
      </c>
      <c r="BV247" s="2" t="s">
        <v>228</v>
      </c>
      <c r="BW247" s="2" t="s">
        <v>228</v>
      </c>
      <c r="BX247" s="2" t="s">
        <v>273</v>
      </c>
      <c r="BY247" s="2" t="s">
        <v>274</v>
      </c>
      <c r="BZ247" s="2" t="s">
        <v>240</v>
      </c>
      <c r="CA247" s="2" t="s">
        <v>275</v>
      </c>
      <c r="CB247" s="2" t="s">
        <v>1365</v>
      </c>
      <c r="CC247" s="2" t="s">
        <v>241</v>
      </c>
      <c r="CD247" s="2" t="s">
        <v>228</v>
      </c>
      <c r="CE247" s="4">
        <v>987</v>
      </c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>
        <v>200</v>
      </c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>
        <v>320</v>
      </c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</row>
    <row r="248">
      <c r="A248" s="2" t="s">
        <v>1784</v>
      </c>
      <c r="B248" s="2" t="s">
        <v>958</v>
      </c>
      <c r="C248" s="2" t="s">
        <v>1743</v>
      </c>
      <c r="D248" s="2" t="s">
        <v>1564</v>
      </c>
      <c r="E248" s="2" t="s">
        <v>1692</v>
      </c>
      <c r="F248" s="2" t="s">
        <v>1776</v>
      </c>
      <c r="G248" s="2" t="s">
        <v>1776</v>
      </c>
      <c r="H248" s="2" t="s">
        <v>1776</v>
      </c>
      <c r="I248" s="2" t="s">
        <v>1785</v>
      </c>
      <c r="J248" s="2" t="s">
        <v>840</v>
      </c>
      <c r="K248" s="2" t="s">
        <v>265</v>
      </c>
      <c r="L248" s="3">
        <v>85</v>
      </c>
      <c r="M248" s="3">
        <v>89.25</v>
      </c>
      <c r="N248" s="3">
        <v>179</v>
      </c>
      <c r="O248" s="2" t="s">
        <v>240</v>
      </c>
      <c r="P248" s="2" t="s">
        <v>233</v>
      </c>
      <c r="Q248" s="2" t="s">
        <v>234</v>
      </c>
      <c r="R248" s="2" t="s">
        <v>228</v>
      </c>
      <c r="S248" s="2" t="s">
        <v>228</v>
      </c>
      <c r="T248" s="2" t="s">
        <v>228</v>
      </c>
      <c r="U248" s="2" t="s">
        <v>416</v>
      </c>
      <c r="V248" s="2" t="s">
        <v>842</v>
      </c>
      <c r="W248" s="2" t="s">
        <v>463</v>
      </c>
      <c r="X248" s="2" t="s">
        <v>743</v>
      </c>
      <c r="Y248" s="2" t="s">
        <v>1786</v>
      </c>
      <c r="Z248" s="4">
        <v>89</v>
      </c>
      <c r="AA248" s="4">
        <f>=ROUNDDOWN({0},0)</f>
      </c>
      <c r="AB248" s="5"/>
      <c r="AC248" s="2" t="s">
        <v>156</v>
      </c>
      <c r="AD248" s="4">
        <v>1</v>
      </c>
      <c r="AE248" s="4">
        <v>1</v>
      </c>
      <c r="AF248" s="6">
        <v>74</v>
      </c>
      <c r="AG248" s="6"/>
      <c r="AH248" s="7">
        <v>1</v>
      </c>
      <c r="AI248" s="4"/>
      <c r="AJ248" s="4">
        <f>=ROUNDDOWN({0},0)</f>
      </c>
      <c r="AK248" s="5"/>
      <c r="AL248" s="2" t="s">
        <v>228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228</v>
      </c>
      <c r="AW248" s="8" t="s">
        <v>228</v>
      </c>
      <c r="AX248" s="4" t="s">
        <v>228</v>
      </c>
      <c r="AY248" s="8" t="s">
        <v>228</v>
      </c>
      <c r="AZ248" s="7" t="s">
        <v>228</v>
      </c>
      <c r="BA248" s="7" t="s">
        <v>228</v>
      </c>
      <c r="BB248" s="7" t="s">
        <v>228</v>
      </c>
      <c r="BC248" s="4" t="s">
        <v>228</v>
      </c>
      <c r="BD248" s="8" t="s">
        <v>228</v>
      </c>
      <c r="BE248" s="4" t="s">
        <v>228</v>
      </c>
      <c r="BF248" s="8" t="s">
        <v>228</v>
      </c>
      <c r="BG248" s="7" t="s">
        <v>228</v>
      </c>
      <c r="BH248" s="7" t="s">
        <v>228</v>
      </c>
      <c r="BI248" s="7"/>
      <c r="BJ248" s="4"/>
      <c r="BK248" s="8"/>
      <c r="BL248" s="2" t="s">
        <v>228</v>
      </c>
      <c r="BM248" s="7"/>
      <c r="BN248" s="7"/>
      <c r="BO248" s="4"/>
      <c r="BP248" s="8"/>
      <c r="BQ248" s="4"/>
      <c r="BR248" s="8"/>
      <c r="BS248" s="7"/>
      <c r="BT248" s="7"/>
      <c r="BU248" s="2" t="s">
        <v>1787</v>
      </c>
      <c r="BV248" s="2" t="s">
        <v>228</v>
      </c>
      <c r="BW248" s="2" t="s">
        <v>228</v>
      </c>
      <c r="BX248" s="2" t="s">
        <v>238</v>
      </c>
      <c r="BY248" s="2" t="s">
        <v>274</v>
      </c>
      <c r="BZ248" s="2" t="s">
        <v>240</v>
      </c>
      <c r="CA248" s="2" t="s">
        <v>1788</v>
      </c>
      <c r="CB248" s="2" t="s">
        <v>228</v>
      </c>
      <c r="CC248" s="2" t="s">
        <v>241</v>
      </c>
      <c r="CD248" s="2" t="s">
        <v>228</v>
      </c>
      <c r="CE248" s="4"/>
      <c r="CF248" s="4">
        <v>89</v>
      </c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>
        <v>1</v>
      </c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</row>
    <row r="249">
      <c r="A249" s="2" t="s">
        <v>1789</v>
      </c>
      <c r="B249" s="2" t="s">
        <v>958</v>
      </c>
      <c r="C249" s="2" t="s">
        <v>1743</v>
      </c>
      <c r="D249" s="2" t="s">
        <v>1790</v>
      </c>
      <c r="E249" s="2" t="s">
        <v>1791</v>
      </c>
      <c r="F249" s="2" t="s">
        <v>1776</v>
      </c>
      <c r="G249" s="2" t="s">
        <v>1776</v>
      </c>
      <c r="H249" s="2" t="s">
        <v>1776</v>
      </c>
      <c r="I249" s="2" t="s">
        <v>1792</v>
      </c>
      <c r="J249" s="2" t="s">
        <v>840</v>
      </c>
      <c r="K249" s="2" t="s">
        <v>265</v>
      </c>
      <c r="L249" s="3">
        <v>142</v>
      </c>
      <c r="M249" s="3">
        <v>149.1</v>
      </c>
      <c r="N249" s="3">
        <v>299</v>
      </c>
      <c r="O249" s="2" t="s">
        <v>240</v>
      </c>
      <c r="P249" s="2" t="s">
        <v>233</v>
      </c>
      <c r="Q249" s="2" t="s">
        <v>234</v>
      </c>
      <c r="R249" s="2" t="s">
        <v>228</v>
      </c>
      <c r="S249" s="2" t="s">
        <v>228</v>
      </c>
      <c r="T249" s="2" t="s">
        <v>228</v>
      </c>
      <c r="U249" s="2" t="s">
        <v>520</v>
      </c>
      <c r="V249" s="2" t="s">
        <v>842</v>
      </c>
      <c r="W249" s="2" t="s">
        <v>463</v>
      </c>
      <c r="X249" s="2" t="s">
        <v>743</v>
      </c>
      <c r="Y249" s="2" t="s">
        <v>806</v>
      </c>
      <c r="Z249" s="4">
        <v>89</v>
      </c>
      <c r="AA249" s="4">
        <f>=ROUNDDOWN({0},0)</f>
      </c>
      <c r="AB249" s="5"/>
      <c r="AC249" s="2" t="s">
        <v>156</v>
      </c>
      <c r="AD249" s="4">
        <v>1</v>
      </c>
      <c r="AE249" s="4">
        <v>1</v>
      </c>
      <c r="AF249" s="6">
        <v>74</v>
      </c>
      <c r="AG249" s="6"/>
      <c r="AH249" s="7">
        <v>1</v>
      </c>
      <c r="AI249" s="4"/>
      <c r="AJ249" s="4">
        <f>=ROUNDDOWN({0},0)</f>
      </c>
      <c r="AK249" s="5"/>
      <c r="AL249" s="2" t="s">
        <v>228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228</v>
      </c>
      <c r="AW249" s="8" t="s">
        <v>228</v>
      </c>
      <c r="AX249" s="4" t="s">
        <v>228</v>
      </c>
      <c r="AY249" s="8" t="s">
        <v>228</v>
      </c>
      <c r="AZ249" s="7" t="s">
        <v>228</v>
      </c>
      <c r="BA249" s="7" t="s">
        <v>228</v>
      </c>
      <c r="BB249" s="7" t="s">
        <v>228</v>
      </c>
      <c r="BC249" s="4" t="s">
        <v>228</v>
      </c>
      <c r="BD249" s="8" t="s">
        <v>228</v>
      </c>
      <c r="BE249" s="4" t="s">
        <v>228</v>
      </c>
      <c r="BF249" s="8" t="s">
        <v>228</v>
      </c>
      <c r="BG249" s="7" t="s">
        <v>228</v>
      </c>
      <c r="BH249" s="7" t="s">
        <v>228</v>
      </c>
      <c r="BI249" s="7"/>
      <c r="BJ249" s="4"/>
      <c r="BK249" s="8"/>
      <c r="BL249" s="2" t="s">
        <v>228</v>
      </c>
      <c r="BM249" s="7"/>
      <c r="BN249" s="7"/>
      <c r="BO249" s="4"/>
      <c r="BP249" s="8"/>
      <c r="BQ249" s="4"/>
      <c r="BR249" s="8"/>
      <c r="BS249" s="7"/>
      <c r="BT249" s="7"/>
      <c r="BU249" s="2" t="s">
        <v>1793</v>
      </c>
      <c r="BV249" s="2" t="s">
        <v>228</v>
      </c>
      <c r="BW249" s="2" t="s">
        <v>228</v>
      </c>
      <c r="BX249" s="2" t="s">
        <v>238</v>
      </c>
      <c r="BY249" s="2" t="s">
        <v>274</v>
      </c>
      <c r="BZ249" s="2" t="s">
        <v>240</v>
      </c>
      <c r="CA249" s="2" t="s">
        <v>916</v>
      </c>
      <c r="CB249" s="2" t="s">
        <v>228</v>
      </c>
      <c r="CC249" s="2" t="s">
        <v>241</v>
      </c>
      <c r="CD249" s="2" t="s">
        <v>228</v>
      </c>
      <c r="CE249" s="4"/>
      <c r="CF249" s="4">
        <v>89</v>
      </c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>
        <v>1</v>
      </c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</row>
    <row r="250">
      <c r="A250" s="2" t="s">
        <v>1794</v>
      </c>
      <c r="B250" s="2" t="s">
        <v>958</v>
      </c>
      <c r="C250" s="2" t="s">
        <v>1743</v>
      </c>
      <c r="D250" s="2" t="s">
        <v>1795</v>
      </c>
      <c r="E250" s="2" t="s">
        <v>1796</v>
      </c>
      <c r="F250" s="2" t="s">
        <v>1776</v>
      </c>
      <c r="G250" s="2" t="s">
        <v>1776</v>
      </c>
      <c r="H250" s="2" t="s">
        <v>1776</v>
      </c>
      <c r="I250" s="2" t="s">
        <v>1797</v>
      </c>
      <c r="J250" s="2" t="s">
        <v>840</v>
      </c>
      <c r="K250" s="2" t="s">
        <v>265</v>
      </c>
      <c r="L250" s="3">
        <v>105</v>
      </c>
      <c r="M250" s="3">
        <v>110.25</v>
      </c>
      <c r="N250" s="3">
        <v>219</v>
      </c>
      <c r="O250" s="2" t="s">
        <v>240</v>
      </c>
      <c r="P250" s="2" t="s">
        <v>233</v>
      </c>
      <c r="Q250" s="2" t="s">
        <v>234</v>
      </c>
      <c r="R250" s="2" t="s">
        <v>228</v>
      </c>
      <c r="S250" s="2" t="s">
        <v>228</v>
      </c>
      <c r="T250" s="2" t="s">
        <v>228</v>
      </c>
      <c r="U250" s="2" t="s">
        <v>520</v>
      </c>
      <c r="V250" s="2" t="s">
        <v>842</v>
      </c>
      <c r="W250" s="2" t="s">
        <v>463</v>
      </c>
      <c r="X250" s="2" t="s">
        <v>743</v>
      </c>
      <c r="Y250" s="2" t="s">
        <v>1786</v>
      </c>
      <c r="Z250" s="4">
        <v>87</v>
      </c>
      <c r="AA250" s="4">
        <f>=ROUNDDOWN({0},0)</f>
      </c>
      <c r="AB250" s="5"/>
      <c r="AC250" s="2" t="s">
        <v>156</v>
      </c>
      <c r="AD250" s="4">
        <v>1</v>
      </c>
      <c r="AE250" s="4">
        <v>1</v>
      </c>
      <c r="AF250" s="6">
        <v>74</v>
      </c>
      <c r="AG250" s="6"/>
      <c r="AH250" s="7">
        <v>1</v>
      </c>
      <c r="AI250" s="4"/>
      <c r="AJ250" s="4">
        <f>=ROUNDDOWN({0},0)</f>
      </c>
      <c r="AK250" s="5"/>
      <c r="AL250" s="2" t="s">
        <v>228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228</v>
      </c>
      <c r="AW250" s="8" t="s">
        <v>228</v>
      </c>
      <c r="AX250" s="4" t="s">
        <v>228</v>
      </c>
      <c r="AY250" s="8" t="s">
        <v>228</v>
      </c>
      <c r="AZ250" s="7" t="s">
        <v>228</v>
      </c>
      <c r="BA250" s="7" t="s">
        <v>228</v>
      </c>
      <c r="BB250" s="7" t="s">
        <v>228</v>
      </c>
      <c r="BC250" s="4" t="s">
        <v>228</v>
      </c>
      <c r="BD250" s="8" t="s">
        <v>228</v>
      </c>
      <c r="BE250" s="4" t="s">
        <v>228</v>
      </c>
      <c r="BF250" s="8" t="s">
        <v>228</v>
      </c>
      <c r="BG250" s="7" t="s">
        <v>228</v>
      </c>
      <c r="BH250" s="7" t="s">
        <v>228</v>
      </c>
      <c r="BI250" s="7"/>
      <c r="BJ250" s="4"/>
      <c r="BK250" s="8"/>
      <c r="BL250" s="2" t="s">
        <v>228</v>
      </c>
      <c r="BM250" s="7"/>
      <c r="BN250" s="7"/>
      <c r="BO250" s="4"/>
      <c r="BP250" s="8"/>
      <c r="BQ250" s="4"/>
      <c r="BR250" s="8"/>
      <c r="BS250" s="7"/>
      <c r="BT250" s="7"/>
      <c r="BU250" s="2" t="s">
        <v>1798</v>
      </c>
      <c r="BV250" s="2" t="s">
        <v>228</v>
      </c>
      <c r="BW250" s="2" t="s">
        <v>228</v>
      </c>
      <c r="BX250" s="2" t="s">
        <v>238</v>
      </c>
      <c r="BY250" s="2" t="s">
        <v>274</v>
      </c>
      <c r="BZ250" s="2" t="s">
        <v>240</v>
      </c>
      <c r="CA250" s="2" t="s">
        <v>916</v>
      </c>
      <c r="CB250" s="2" t="s">
        <v>228</v>
      </c>
      <c r="CC250" s="2" t="s">
        <v>241</v>
      </c>
      <c r="CD250" s="2" t="s">
        <v>228</v>
      </c>
      <c r="CE250" s="4"/>
      <c r="CF250" s="4">
        <v>87</v>
      </c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>
        <v>1</v>
      </c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</row>
    <row r="251">
      <c r="A251" s="2" t="s">
        <v>1799</v>
      </c>
      <c r="B251" s="2" t="s">
        <v>970</v>
      </c>
      <c r="C251" s="2" t="s">
        <v>300</v>
      </c>
      <c r="D251" s="2" t="s">
        <v>971</v>
      </c>
      <c r="E251" s="2" t="s">
        <v>1121</v>
      </c>
      <c r="F251" s="2" t="s">
        <v>1776</v>
      </c>
      <c r="G251" s="2" t="s">
        <v>1777</v>
      </c>
      <c r="H251" s="2" t="s">
        <v>1778</v>
      </c>
      <c r="I251" s="2" t="s">
        <v>1779</v>
      </c>
      <c r="J251" s="2" t="s">
        <v>1309</v>
      </c>
      <c r="K251" s="2" t="s">
        <v>1800</v>
      </c>
      <c r="L251" s="3">
        <v>31.5</v>
      </c>
      <c r="M251" s="3">
        <v>33.08</v>
      </c>
      <c r="N251" s="3">
        <v>69.99</v>
      </c>
      <c r="O251" s="2" t="s">
        <v>240</v>
      </c>
      <c r="P251" s="2" t="s">
        <v>715</v>
      </c>
      <c r="Q251" s="2" t="s">
        <v>234</v>
      </c>
      <c r="R251" s="2" t="s">
        <v>228</v>
      </c>
      <c r="S251" s="2" t="s">
        <v>1801</v>
      </c>
      <c r="T251" s="2" t="s">
        <v>228</v>
      </c>
      <c r="U251" s="2" t="s">
        <v>228</v>
      </c>
      <c r="V251" s="2" t="s">
        <v>1781</v>
      </c>
      <c r="W251" s="2" t="s">
        <v>743</v>
      </c>
      <c r="X251" s="2" t="s">
        <v>1345</v>
      </c>
      <c r="Y251" s="2" t="s">
        <v>270</v>
      </c>
      <c r="Z251" s="4">
        <v>326</v>
      </c>
      <c r="AA251" s="4">
        <f>=ROUNDDOWN(46.5714285714286,0)</f>
      </c>
      <c r="AB251" s="5">
        <v>7</v>
      </c>
      <c r="AC251" s="2" t="s">
        <v>228</v>
      </c>
      <c r="AD251" s="4"/>
      <c r="AE251" s="4"/>
      <c r="AF251" s="6">
        <v>66</v>
      </c>
      <c r="AG251" s="6"/>
      <c r="AH251" s="7">
        <v>1</v>
      </c>
      <c r="AI251" s="4"/>
      <c r="AJ251" s="4">
        <f>=ROUNDDOWN({0},0)</f>
      </c>
      <c r="AK251" s="5"/>
      <c r="AL251" s="2" t="s">
        <v>228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 t="s">
        <v>228</v>
      </c>
      <c r="BD251" s="8" t="s">
        <v>228</v>
      </c>
      <c r="BE251" s="4" t="s">
        <v>228</v>
      </c>
      <c r="BF251" s="8" t="s">
        <v>228</v>
      </c>
      <c r="BG251" s="7" t="s">
        <v>228</v>
      </c>
      <c r="BH251" s="7" t="s">
        <v>228</v>
      </c>
      <c r="BI251" s="7"/>
      <c r="BJ251" s="4">
        <v>12</v>
      </c>
      <c r="BK251" s="8">
        <v>466.04</v>
      </c>
      <c r="BL251" s="2" t="s">
        <v>1802</v>
      </c>
      <c r="BM251" s="7"/>
      <c r="BN251" s="7"/>
      <c r="BO251" s="4"/>
      <c r="BP251" s="8"/>
      <c r="BQ251" s="4"/>
      <c r="BR251" s="8"/>
      <c r="BS251" s="7"/>
      <c r="BT251" s="7"/>
      <c r="BU251" s="2" t="s">
        <v>1803</v>
      </c>
      <c r="BV251" s="2" t="s">
        <v>228</v>
      </c>
      <c r="BW251" s="2" t="s">
        <v>228</v>
      </c>
      <c r="BX251" s="2" t="s">
        <v>273</v>
      </c>
      <c r="BY251" s="2" t="s">
        <v>274</v>
      </c>
      <c r="BZ251" s="2" t="s">
        <v>240</v>
      </c>
      <c r="CA251" s="2" t="s">
        <v>275</v>
      </c>
      <c r="CB251" s="2" t="s">
        <v>1804</v>
      </c>
      <c r="CC251" s="2" t="s">
        <v>241</v>
      </c>
      <c r="CD251" s="2" t="s">
        <v>228</v>
      </c>
      <c r="CE251" s="4">
        <v>326</v>
      </c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</row>
    <row r="252">
      <c r="A252" s="2" t="s">
        <v>1805</v>
      </c>
      <c r="B252" s="2" t="s">
        <v>958</v>
      </c>
      <c r="C252" s="2" t="s">
        <v>1743</v>
      </c>
      <c r="D252" s="2" t="s">
        <v>1564</v>
      </c>
      <c r="E252" s="2" t="s">
        <v>1692</v>
      </c>
      <c r="F252" s="2" t="s">
        <v>1776</v>
      </c>
      <c r="G252" s="2" t="s">
        <v>1776</v>
      </c>
      <c r="H252" s="2" t="s">
        <v>1776</v>
      </c>
      <c r="I252" s="2" t="s">
        <v>1785</v>
      </c>
      <c r="J252" s="2" t="s">
        <v>840</v>
      </c>
      <c r="K252" s="2" t="s">
        <v>1105</v>
      </c>
      <c r="L252" s="3">
        <v>85</v>
      </c>
      <c r="M252" s="3">
        <v>89.25</v>
      </c>
      <c r="N252" s="3">
        <v>179</v>
      </c>
      <c r="O252" s="2" t="s">
        <v>240</v>
      </c>
      <c r="P252" s="2" t="s">
        <v>233</v>
      </c>
      <c r="Q252" s="2" t="s">
        <v>234</v>
      </c>
      <c r="R252" s="2" t="s">
        <v>228</v>
      </c>
      <c r="S252" s="2" t="s">
        <v>228</v>
      </c>
      <c r="T252" s="2" t="s">
        <v>228</v>
      </c>
      <c r="U252" s="2" t="s">
        <v>416</v>
      </c>
      <c r="V252" s="2" t="s">
        <v>842</v>
      </c>
      <c r="W252" s="2" t="s">
        <v>463</v>
      </c>
      <c r="X252" s="2" t="s">
        <v>743</v>
      </c>
      <c r="Y252" s="2" t="s">
        <v>1786</v>
      </c>
      <c r="Z252" s="4">
        <v>91</v>
      </c>
      <c r="AA252" s="4">
        <f>=ROUNDDOWN({0},0)</f>
      </c>
      <c r="AB252" s="5"/>
      <c r="AC252" s="2" t="s">
        <v>228</v>
      </c>
      <c r="AD252" s="4"/>
      <c r="AE252" s="4"/>
      <c r="AF252" s="6">
        <v>74</v>
      </c>
      <c r="AG252" s="6"/>
      <c r="AH252" s="7">
        <v>1</v>
      </c>
      <c r="AI252" s="4"/>
      <c r="AJ252" s="4">
        <f>=ROUNDDOWN({0},0)</f>
      </c>
      <c r="AK252" s="5"/>
      <c r="AL252" s="2" t="s">
        <v>228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 t="s">
        <v>228</v>
      </c>
      <c r="BD252" s="8" t="s">
        <v>228</v>
      </c>
      <c r="BE252" s="4" t="s">
        <v>228</v>
      </c>
      <c r="BF252" s="8" t="s">
        <v>228</v>
      </c>
      <c r="BG252" s="7" t="s">
        <v>228</v>
      </c>
      <c r="BH252" s="7" t="s">
        <v>228</v>
      </c>
      <c r="BI252" s="7"/>
      <c r="BJ252" s="4"/>
      <c r="BK252" s="8"/>
      <c r="BL252" s="2" t="s">
        <v>228</v>
      </c>
      <c r="BM252" s="7"/>
      <c r="BN252" s="7"/>
      <c r="BO252" s="4"/>
      <c r="BP252" s="8"/>
      <c r="BQ252" s="4"/>
      <c r="BR252" s="8"/>
      <c r="BS252" s="7"/>
      <c r="BT252" s="7"/>
      <c r="BU252" s="2" t="s">
        <v>1806</v>
      </c>
      <c r="BV252" s="2" t="s">
        <v>228</v>
      </c>
      <c r="BW252" s="2" t="s">
        <v>228</v>
      </c>
      <c r="BX252" s="2" t="s">
        <v>238</v>
      </c>
      <c r="BY252" s="2" t="s">
        <v>274</v>
      </c>
      <c r="BZ252" s="2" t="s">
        <v>240</v>
      </c>
      <c r="CA252" s="2" t="s">
        <v>1788</v>
      </c>
      <c r="CB252" s="2" t="s">
        <v>228</v>
      </c>
      <c r="CC252" s="2" t="s">
        <v>241</v>
      </c>
      <c r="CD252" s="2" t="s">
        <v>228</v>
      </c>
      <c r="CE252" s="4"/>
      <c r="CF252" s="4">
        <v>91</v>
      </c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</row>
    <row r="253">
      <c r="A253" s="2" t="s">
        <v>1807</v>
      </c>
      <c r="B253" s="2" t="s">
        <v>958</v>
      </c>
      <c r="C253" s="2" t="s">
        <v>1743</v>
      </c>
      <c r="D253" s="2" t="s">
        <v>1790</v>
      </c>
      <c r="E253" s="2" t="s">
        <v>1791</v>
      </c>
      <c r="F253" s="2" t="s">
        <v>1776</v>
      </c>
      <c r="G253" s="2" t="s">
        <v>1776</v>
      </c>
      <c r="H253" s="2" t="s">
        <v>1776</v>
      </c>
      <c r="I253" s="2" t="s">
        <v>1792</v>
      </c>
      <c r="J253" s="2" t="s">
        <v>840</v>
      </c>
      <c r="K253" s="2" t="s">
        <v>1653</v>
      </c>
      <c r="L253" s="3">
        <v>142</v>
      </c>
      <c r="M253" s="3">
        <v>149.1</v>
      </c>
      <c r="N253" s="3">
        <v>299</v>
      </c>
      <c r="O253" s="2" t="s">
        <v>240</v>
      </c>
      <c r="P253" s="2" t="s">
        <v>233</v>
      </c>
      <c r="Q253" s="2" t="s">
        <v>234</v>
      </c>
      <c r="R253" s="2" t="s">
        <v>228</v>
      </c>
      <c r="S253" s="2" t="s">
        <v>228</v>
      </c>
      <c r="T253" s="2" t="s">
        <v>228</v>
      </c>
      <c r="U253" s="2" t="s">
        <v>520</v>
      </c>
      <c r="V253" s="2" t="s">
        <v>842</v>
      </c>
      <c r="W253" s="2" t="s">
        <v>463</v>
      </c>
      <c r="X253" s="2" t="s">
        <v>743</v>
      </c>
      <c r="Y253" s="2" t="s">
        <v>806</v>
      </c>
      <c r="Z253" s="4">
        <v>89</v>
      </c>
      <c r="AA253" s="4">
        <f>=ROUNDDOWN({0},0)</f>
      </c>
      <c r="AB253" s="5"/>
      <c r="AC253" s="2" t="s">
        <v>156</v>
      </c>
      <c r="AD253" s="4">
        <v>1</v>
      </c>
      <c r="AE253" s="4">
        <v>1</v>
      </c>
      <c r="AF253" s="6">
        <v>74</v>
      </c>
      <c r="AG253" s="6"/>
      <c r="AH253" s="7">
        <v>1</v>
      </c>
      <c r="AI253" s="4"/>
      <c r="AJ253" s="4">
        <f>=ROUNDDOWN({0},0)</f>
      </c>
      <c r="AK253" s="5"/>
      <c r="AL253" s="2" t="s">
        <v>228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 t="s">
        <v>228</v>
      </c>
      <c r="AW253" s="8" t="s">
        <v>228</v>
      </c>
      <c r="AX253" s="4" t="s">
        <v>228</v>
      </c>
      <c r="AY253" s="8" t="s">
        <v>228</v>
      </c>
      <c r="AZ253" s="7" t="s">
        <v>228</v>
      </c>
      <c r="BA253" s="7" t="s">
        <v>228</v>
      </c>
      <c r="BB253" s="7" t="s">
        <v>228</v>
      </c>
      <c r="BC253" s="4" t="s">
        <v>228</v>
      </c>
      <c r="BD253" s="8" t="s">
        <v>228</v>
      </c>
      <c r="BE253" s="4" t="s">
        <v>228</v>
      </c>
      <c r="BF253" s="8" t="s">
        <v>228</v>
      </c>
      <c r="BG253" s="7" t="s">
        <v>228</v>
      </c>
      <c r="BH253" s="7" t="s">
        <v>228</v>
      </c>
      <c r="BI253" s="7"/>
      <c r="BJ253" s="4"/>
      <c r="BK253" s="8"/>
      <c r="BL253" s="2" t="s">
        <v>228</v>
      </c>
      <c r="BM253" s="7"/>
      <c r="BN253" s="7"/>
      <c r="BO253" s="4"/>
      <c r="BP253" s="8"/>
      <c r="BQ253" s="4"/>
      <c r="BR253" s="8"/>
      <c r="BS253" s="7"/>
      <c r="BT253" s="7"/>
      <c r="BU253" s="2" t="s">
        <v>1808</v>
      </c>
      <c r="BV253" s="2" t="s">
        <v>228</v>
      </c>
      <c r="BW253" s="2" t="s">
        <v>228</v>
      </c>
      <c r="BX253" s="2" t="s">
        <v>238</v>
      </c>
      <c r="BY253" s="2" t="s">
        <v>274</v>
      </c>
      <c r="BZ253" s="2" t="s">
        <v>240</v>
      </c>
      <c r="CA253" s="2" t="s">
        <v>916</v>
      </c>
      <c r="CB253" s="2" t="s">
        <v>228</v>
      </c>
      <c r="CC253" s="2" t="s">
        <v>241</v>
      </c>
      <c r="CD253" s="2" t="s">
        <v>228</v>
      </c>
      <c r="CE253" s="4"/>
      <c r="CF253" s="4">
        <v>89</v>
      </c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>
        <v>1</v>
      </c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</row>
    <row r="254">
      <c r="A254" s="2" t="s">
        <v>1809</v>
      </c>
      <c r="B254" s="2" t="s">
        <v>958</v>
      </c>
      <c r="C254" s="2" t="s">
        <v>1743</v>
      </c>
      <c r="D254" s="2" t="s">
        <v>1795</v>
      </c>
      <c r="E254" s="2" t="s">
        <v>1796</v>
      </c>
      <c r="F254" s="2" t="s">
        <v>1776</v>
      </c>
      <c r="G254" s="2" t="s">
        <v>1776</v>
      </c>
      <c r="H254" s="2" t="s">
        <v>1776</v>
      </c>
      <c r="I254" s="2" t="s">
        <v>1797</v>
      </c>
      <c r="J254" s="2" t="s">
        <v>840</v>
      </c>
      <c r="K254" s="2" t="s">
        <v>1653</v>
      </c>
      <c r="L254" s="3">
        <v>105</v>
      </c>
      <c r="M254" s="3">
        <v>110.25</v>
      </c>
      <c r="N254" s="3">
        <v>219</v>
      </c>
      <c r="O254" s="2" t="s">
        <v>240</v>
      </c>
      <c r="P254" s="2" t="s">
        <v>233</v>
      </c>
      <c r="Q254" s="2" t="s">
        <v>234</v>
      </c>
      <c r="R254" s="2" t="s">
        <v>228</v>
      </c>
      <c r="S254" s="2" t="s">
        <v>228</v>
      </c>
      <c r="T254" s="2" t="s">
        <v>228</v>
      </c>
      <c r="U254" s="2" t="s">
        <v>520</v>
      </c>
      <c r="V254" s="2" t="s">
        <v>842</v>
      </c>
      <c r="W254" s="2" t="s">
        <v>463</v>
      </c>
      <c r="X254" s="2" t="s">
        <v>743</v>
      </c>
      <c r="Y254" s="2" t="s">
        <v>1786</v>
      </c>
      <c r="Z254" s="4">
        <v>88</v>
      </c>
      <c r="AA254" s="4">
        <f>=ROUNDDOWN({0},0)</f>
      </c>
      <c r="AB254" s="5"/>
      <c r="AC254" s="2" t="s">
        <v>156</v>
      </c>
      <c r="AD254" s="4">
        <v>1</v>
      </c>
      <c r="AE254" s="4">
        <v>1</v>
      </c>
      <c r="AF254" s="6">
        <v>74</v>
      </c>
      <c r="AG254" s="6"/>
      <c r="AH254" s="7">
        <v>1</v>
      </c>
      <c r="AI254" s="4"/>
      <c r="AJ254" s="4">
        <f>=ROUNDDOWN({0},0)</f>
      </c>
      <c r="AK254" s="5"/>
      <c r="AL254" s="2" t="s">
        <v>228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228</v>
      </c>
      <c r="AW254" s="8" t="s">
        <v>228</v>
      </c>
      <c r="AX254" s="4" t="s">
        <v>228</v>
      </c>
      <c r="AY254" s="8" t="s">
        <v>228</v>
      </c>
      <c r="AZ254" s="7" t="s">
        <v>228</v>
      </c>
      <c r="BA254" s="7" t="s">
        <v>228</v>
      </c>
      <c r="BB254" s="7" t="s">
        <v>228</v>
      </c>
      <c r="BC254" s="4" t="s">
        <v>228</v>
      </c>
      <c r="BD254" s="8" t="s">
        <v>228</v>
      </c>
      <c r="BE254" s="4" t="s">
        <v>228</v>
      </c>
      <c r="BF254" s="8" t="s">
        <v>228</v>
      </c>
      <c r="BG254" s="7" t="s">
        <v>228</v>
      </c>
      <c r="BH254" s="7" t="s">
        <v>228</v>
      </c>
      <c r="BI254" s="7"/>
      <c r="BJ254" s="4"/>
      <c r="BK254" s="8"/>
      <c r="BL254" s="2" t="s">
        <v>228</v>
      </c>
      <c r="BM254" s="7"/>
      <c r="BN254" s="7"/>
      <c r="BO254" s="4"/>
      <c r="BP254" s="8"/>
      <c r="BQ254" s="4"/>
      <c r="BR254" s="8"/>
      <c r="BS254" s="7"/>
      <c r="BT254" s="7"/>
      <c r="BU254" s="2" t="s">
        <v>1810</v>
      </c>
      <c r="BV254" s="2" t="s">
        <v>228</v>
      </c>
      <c r="BW254" s="2" t="s">
        <v>228</v>
      </c>
      <c r="BX254" s="2" t="s">
        <v>238</v>
      </c>
      <c r="BY254" s="2" t="s">
        <v>274</v>
      </c>
      <c r="BZ254" s="2" t="s">
        <v>240</v>
      </c>
      <c r="CA254" s="2" t="s">
        <v>916</v>
      </c>
      <c r="CB254" s="2" t="s">
        <v>228</v>
      </c>
      <c r="CC254" s="2" t="s">
        <v>241</v>
      </c>
      <c r="CD254" s="2" t="s">
        <v>228</v>
      </c>
      <c r="CE254" s="4"/>
      <c r="CF254" s="4">
        <v>88</v>
      </c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>
        <v>1</v>
      </c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</row>
    <row r="255">
      <c r="A255" s="2" t="s">
        <v>1811</v>
      </c>
      <c r="B255" s="2" t="s">
        <v>958</v>
      </c>
      <c r="C255" s="2" t="s">
        <v>1743</v>
      </c>
      <c r="D255" s="2" t="s">
        <v>1564</v>
      </c>
      <c r="E255" s="2" t="s">
        <v>1692</v>
      </c>
      <c r="F255" s="2" t="s">
        <v>1776</v>
      </c>
      <c r="G255" s="2" t="s">
        <v>1776</v>
      </c>
      <c r="H255" s="2" t="s">
        <v>1776</v>
      </c>
      <c r="I255" s="2" t="s">
        <v>1785</v>
      </c>
      <c r="J255" s="2" t="s">
        <v>840</v>
      </c>
      <c r="K255" s="2" t="s">
        <v>1357</v>
      </c>
      <c r="L255" s="3">
        <v>85</v>
      </c>
      <c r="M255" s="3">
        <v>89.25</v>
      </c>
      <c r="N255" s="3">
        <v>179</v>
      </c>
      <c r="O255" s="2" t="s">
        <v>240</v>
      </c>
      <c r="P255" s="2" t="s">
        <v>233</v>
      </c>
      <c r="Q255" s="2" t="s">
        <v>234</v>
      </c>
      <c r="R255" s="2" t="s">
        <v>228</v>
      </c>
      <c r="S255" s="2" t="s">
        <v>228</v>
      </c>
      <c r="T255" s="2" t="s">
        <v>228</v>
      </c>
      <c r="U255" s="2" t="s">
        <v>416</v>
      </c>
      <c r="V255" s="2" t="s">
        <v>842</v>
      </c>
      <c r="W255" s="2" t="s">
        <v>463</v>
      </c>
      <c r="X255" s="2" t="s">
        <v>743</v>
      </c>
      <c r="Y255" s="2" t="s">
        <v>1786</v>
      </c>
      <c r="Z255" s="4">
        <v>159</v>
      </c>
      <c r="AA255" s="4">
        <f>=ROUNDDOWN({0},0)</f>
      </c>
      <c r="AB255" s="5"/>
      <c r="AC255" s="2" t="s">
        <v>156</v>
      </c>
      <c r="AD255" s="4">
        <v>1</v>
      </c>
      <c r="AE255" s="4">
        <v>1</v>
      </c>
      <c r="AF255" s="6">
        <v>74</v>
      </c>
      <c r="AG255" s="6"/>
      <c r="AH255" s="7">
        <v>1</v>
      </c>
      <c r="AI255" s="4"/>
      <c r="AJ255" s="4">
        <f>=ROUNDDOWN({0},0)</f>
      </c>
      <c r="AK255" s="5"/>
      <c r="AL255" s="2" t="s">
        <v>228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228</v>
      </c>
      <c r="AW255" s="8" t="s">
        <v>228</v>
      </c>
      <c r="AX255" s="4" t="s">
        <v>228</v>
      </c>
      <c r="AY255" s="8" t="s">
        <v>228</v>
      </c>
      <c r="AZ255" s="7" t="s">
        <v>228</v>
      </c>
      <c r="BA255" s="7" t="s">
        <v>228</v>
      </c>
      <c r="BB255" s="7" t="s">
        <v>228</v>
      </c>
      <c r="BC255" s="4" t="s">
        <v>228</v>
      </c>
      <c r="BD255" s="8" t="s">
        <v>228</v>
      </c>
      <c r="BE255" s="4" t="s">
        <v>228</v>
      </c>
      <c r="BF255" s="8" t="s">
        <v>228</v>
      </c>
      <c r="BG255" s="7" t="s">
        <v>228</v>
      </c>
      <c r="BH255" s="7" t="s">
        <v>228</v>
      </c>
      <c r="BI255" s="7"/>
      <c r="BJ255" s="4"/>
      <c r="BK255" s="8"/>
      <c r="BL255" s="2" t="s">
        <v>228</v>
      </c>
      <c r="BM255" s="7"/>
      <c r="BN255" s="7"/>
      <c r="BO255" s="4"/>
      <c r="BP255" s="8"/>
      <c r="BQ255" s="4"/>
      <c r="BR255" s="8"/>
      <c r="BS255" s="7"/>
      <c r="BT255" s="7"/>
      <c r="BU255" s="2" t="s">
        <v>1812</v>
      </c>
      <c r="BV255" s="2" t="s">
        <v>228</v>
      </c>
      <c r="BW255" s="2" t="s">
        <v>228</v>
      </c>
      <c r="BX255" s="2" t="s">
        <v>238</v>
      </c>
      <c r="BY255" s="2" t="s">
        <v>274</v>
      </c>
      <c r="BZ255" s="2" t="s">
        <v>240</v>
      </c>
      <c r="CA255" s="2" t="s">
        <v>1788</v>
      </c>
      <c r="CB255" s="2" t="s">
        <v>228</v>
      </c>
      <c r="CC255" s="2" t="s">
        <v>241</v>
      </c>
      <c r="CD255" s="2" t="s">
        <v>228</v>
      </c>
      <c r="CE255" s="4"/>
      <c r="CF255" s="4">
        <v>159</v>
      </c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>
        <v>1</v>
      </c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</row>
    <row r="256">
      <c r="A256" s="2" t="s">
        <v>1813</v>
      </c>
      <c r="B256" s="2" t="s">
        <v>958</v>
      </c>
      <c r="C256" s="2" t="s">
        <v>1743</v>
      </c>
      <c r="D256" s="2" t="s">
        <v>1790</v>
      </c>
      <c r="E256" s="2" t="s">
        <v>1791</v>
      </c>
      <c r="F256" s="2" t="s">
        <v>1776</v>
      </c>
      <c r="G256" s="2" t="s">
        <v>1776</v>
      </c>
      <c r="H256" s="2" t="s">
        <v>1776</v>
      </c>
      <c r="I256" s="2" t="s">
        <v>1792</v>
      </c>
      <c r="J256" s="2" t="s">
        <v>840</v>
      </c>
      <c r="K256" s="2" t="s">
        <v>1357</v>
      </c>
      <c r="L256" s="3">
        <v>142</v>
      </c>
      <c r="M256" s="3">
        <v>149.1</v>
      </c>
      <c r="N256" s="3">
        <v>299</v>
      </c>
      <c r="O256" s="2" t="s">
        <v>240</v>
      </c>
      <c r="P256" s="2" t="s">
        <v>233</v>
      </c>
      <c r="Q256" s="2" t="s">
        <v>234</v>
      </c>
      <c r="R256" s="2" t="s">
        <v>228</v>
      </c>
      <c r="S256" s="2" t="s">
        <v>228</v>
      </c>
      <c r="T256" s="2" t="s">
        <v>228</v>
      </c>
      <c r="U256" s="2" t="s">
        <v>520</v>
      </c>
      <c r="V256" s="2" t="s">
        <v>842</v>
      </c>
      <c r="W256" s="2" t="s">
        <v>463</v>
      </c>
      <c r="X256" s="2" t="s">
        <v>743</v>
      </c>
      <c r="Y256" s="2" t="s">
        <v>806</v>
      </c>
      <c r="Z256" s="4">
        <v>159</v>
      </c>
      <c r="AA256" s="4">
        <f>=ROUNDDOWN({0},0)</f>
      </c>
      <c r="AB256" s="5"/>
      <c r="AC256" s="2" t="s">
        <v>156</v>
      </c>
      <c r="AD256" s="4">
        <v>1</v>
      </c>
      <c r="AE256" s="4">
        <v>1</v>
      </c>
      <c r="AF256" s="6">
        <v>74</v>
      </c>
      <c r="AG256" s="6"/>
      <c r="AH256" s="7">
        <v>1</v>
      </c>
      <c r="AI256" s="4"/>
      <c r="AJ256" s="4">
        <f>=ROUNDDOWN({0},0)</f>
      </c>
      <c r="AK256" s="5"/>
      <c r="AL256" s="2" t="s">
        <v>228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228</v>
      </c>
      <c r="AW256" s="8" t="s">
        <v>228</v>
      </c>
      <c r="AX256" s="4" t="s">
        <v>228</v>
      </c>
      <c r="AY256" s="8" t="s">
        <v>228</v>
      </c>
      <c r="AZ256" s="7" t="s">
        <v>228</v>
      </c>
      <c r="BA256" s="7" t="s">
        <v>228</v>
      </c>
      <c r="BB256" s="7" t="s">
        <v>228</v>
      </c>
      <c r="BC256" s="4" t="s">
        <v>228</v>
      </c>
      <c r="BD256" s="8" t="s">
        <v>228</v>
      </c>
      <c r="BE256" s="4" t="s">
        <v>228</v>
      </c>
      <c r="BF256" s="8" t="s">
        <v>228</v>
      </c>
      <c r="BG256" s="7" t="s">
        <v>228</v>
      </c>
      <c r="BH256" s="7" t="s">
        <v>228</v>
      </c>
      <c r="BI256" s="7"/>
      <c r="BJ256" s="4"/>
      <c r="BK256" s="8"/>
      <c r="BL256" s="2" t="s">
        <v>228</v>
      </c>
      <c r="BM256" s="7"/>
      <c r="BN256" s="7"/>
      <c r="BO256" s="4"/>
      <c r="BP256" s="8"/>
      <c r="BQ256" s="4"/>
      <c r="BR256" s="8"/>
      <c r="BS256" s="7"/>
      <c r="BT256" s="7"/>
      <c r="BU256" s="2" t="s">
        <v>1814</v>
      </c>
      <c r="BV256" s="2" t="s">
        <v>228</v>
      </c>
      <c r="BW256" s="2" t="s">
        <v>228</v>
      </c>
      <c r="BX256" s="2" t="s">
        <v>238</v>
      </c>
      <c r="BY256" s="2" t="s">
        <v>274</v>
      </c>
      <c r="BZ256" s="2" t="s">
        <v>240</v>
      </c>
      <c r="CA256" s="2" t="s">
        <v>916</v>
      </c>
      <c r="CB256" s="2" t="s">
        <v>228</v>
      </c>
      <c r="CC256" s="2" t="s">
        <v>241</v>
      </c>
      <c r="CD256" s="2" t="s">
        <v>228</v>
      </c>
      <c r="CE256" s="4"/>
      <c r="CF256" s="4">
        <v>159</v>
      </c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>
        <v>1</v>
      </c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</row>
    <row r="257">
      <c r="A257" s="2" t="s">
        <v>1815</v>
      </c>
      <c r="B257" s="2" t="s">
        <v>958</v>
      </c>
      <c r="C257" s="2" t="s">
        <v>1743</v>
      </c>
      <c r="D257" s="2" t="s">
        <v>1795</v>
      </c>
      <c r="E257" s="2" t="s">
        <v>1796</v>
      </c>
      <c r="F257" s="2" t="s">
        <v>1776</v>
      </c>
      <c r="G257" s="2" t="s">
        <v>1776</v>
      </c>
      <c r="H257" s="2" t="s">
        <v>1776</v>
      </c>
      <c r="I257" s="2" t="s">
        <v>1797</v>
      </c>
      <c r="J257" s="2" t="s">
        <v>840</v>
      </c>
      <c r="K257" s="2" t="s">
        <v>1357</v>
      </c>
      <c r="L257" s="3">
        <v>105</v>
      </c>
      <c r="M257" s="3">
        <v>110.25</v>
      </c>
      <c r="N257" s="3">
        <v>219</v>
      </c>
      <c r="O257" s="2" t="s">
        <v>240</v>
      </c>
      <c r="P257" s="2" t="s">
        <v>233</v>
      </c>
      <c r="Q257" s="2" t="s">
        <v>234</v>
      </c>
      <c r="R257" s="2" t="s">
        <v>228</v>
      </c>
      <c r="S257" s="2" t="s">
        <v>228</v>
      </c>
      <c r="T257" s="2" t="s">
        <v>228</v>
      </c>
      <c r="U257" s="2" t="s">
        <v>520</v>
      </c>
      <c r="V257" s="2" t="s">
        <v>842</v>
      </c>
      <c r="W257" s="2" t="s">
        <v>463</v>
      </c>
      <c r="X257" s="2" t="s">
        <v>743</v>
      </c>
      <c r="Y257" s="2" t="s">
        <v>1786</v>
      </c>
      <c r="Z257" s="4">
        <v>159</v>
      </c>
      <c r="AA257" s="4">
        <f>=ROUNDDOWN({0},0)</f>
      </c>
      <c r="AB257" s="5"/>
      <c r="AC257" s="2" t="s">
        <v>156</v>
      </c>
      <c r="AD257" s="4">
        <v>1</v>
      </c>
      <c r="AE257" s="4">
        <v>1</v>
      </c>
      <c r="AF257" s="6">
        <v>74</v>
      </c>
      <c r="AG257" s="6"/>
      <c r="AH257" s="7">
        <v>1</v>
      </c>
      <c r="AI257" s="4"/>
      <c r="AJ257" s="4">
        <f>=ROUNDDOWN({0},0)</f>
      </c>
      <c r="AK257" s="5"/>
      <c r="AL257" s="2" t="s">
        <v>228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228</v>
      </c>
      <c r="AW257" s="8" t="s">
        <v>228</v>
      </c>
      <c r="AX257" s="4" t="s">
        <v>228</v>
      </c>
      <c r="AY257" s="8" t="s">
        <v>228</v>
      </c>
      <c r="AZ257" s="7" t="s">
        <v>228</v>
      </c>
      <c r="BA257" s="7" t="s">
        <v>228</v>
      </c>
      <c r="BB257" s="7" t="s">
        <v>228</v>
      </c>
      <c r="BC257" s="4" t="s">
        <v>228</v>
      </c>
      <c r="BD257" s="8" t="s">
        <v>228</v>
      </c>
      <c r="BE257" s="4" t="s">
        <v>228</v>
      </c>
      <c r="BF257" s="8" t="s">
        <v>228</v>
      </c>
      <c r="BG257" s="7" t="s">
        <v>228</v>
      </c>
      <c r="BH257" s="7" t="s">
        <v>228</v>
      </c>
      <c r="BI257" s="7"/>
      <c r="BJ257" s="4"/>
      <c r="BK257" s="8"/>
      <c r="BL257" s="2" t="s">
        <v>228</v>
      </c>
      <c r="BM257" s="7"/>
      <c r="BN257" s="7"/>
      <c r="BO257" s="4"/>
      <c r="BP257" s="8"/>
      <c r="BQ257" s="4"/>
      <c r="BR257" s="8"/>
      <c r="BS257" s="7"/>
      <c r="BT257" s="7"/>
      <c r="BU257" s="2" t="s">
        <v>1816</v>
      </c>
      <c r="BV257" s="2" t="s">
        <v>228</v>
      </c>
      <c r="BW257" s="2" t="s">
        <v>228</v>
      </c>
      <c r="BX257" s="2" t="s">
        <v>238</v>
      </c>
      <c r="BY257" s="2" t="s">
        <v>274</v>
      </c>
      <c r="BZ257" s="2" t="s">
        <v>240</v>
      </c>
      <c r="CA257" s="2" t="s">
        <v>916</v>
      </c>
      <c r="CB257" s="2" t="s">
        <v>228</v>
      </c>
      <c r="CC257" s="2" t="s">
        <v>241</v>
      </c>
      <c r="CD257" s="2" t="s">
        <v>228</v>
      </c>
      <c r="CE257" s="4"/>
      <c r="CF257" s="4">
        <v>159</v>
      </c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>
        <v>1</v>
      </c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</row>
    <row r="258">
      <c r="A258" s="2" t="s">
        <v>1817</v>
      </c>
      <c r="B258" s="2" t="s">
        <v>1150</v>
      </c>
      <c r="C258" s="2" t="s">
        <v>300</v>
      </c>
      <c r="D258" s="2" t="s">
        <v>1112</v>
      </c>
      <c r="E258" s="2" t="s">
        <v>1151</v>
      </c>
      <c r="F258" s="2" t="s">
        <v>1776</v>
      </c>
      <c r="G258" s="2" t="s">
        <v>1777</v>
      </c>
      <c r="H258" s="2" t="s">
        <v>1778</v>
      </c>
      <c r="I258" s="2" t="s">
        <v>1818</v>
      </c>
      <c r="J258" s="2" t="s">
        <v>312</v>
      </c>
      <c r="K258" s="2" t="s">
        <v>650</v>
      </c>
      <c r="L258" s="3">
        <v>94.5</v>
      </c>
      <c r="M258" s="3">
        <v>99.22</v>
      </c>
      <c r="N258" s="3">
        <v>199.99</v>
      </c>
      <c r="O258" s="2" t="s">
        <v>240</v>
      </c>
      <c r="P258" s="2" t="s">
        <v>266</v>
      </c>
      <c r="Q258" s="2" t="s">
        <v>234</v>
      </c>
      <c r="R258" s="2" t="s">
        <v>228</v>
      </c>
      <c r="S258" s="2" t="s">
        <v>1819</v>
      </c>
      <c r="T258" s="2" t="s">
        <v>1414</v>
      </c>
      <c r="U258" s="2" t="s">
        <v>1820</v>
      </c>
      <c r="V258" s="2" t="s">
        <v>1781</v>
      </c>
      <c r="W258" s="2" t="s">
        <v>743</v>
      </c>
      <c r="X258" s="2" t="s">
        <v>228</v>
      </c>
      <c r="Y258" s="2" t="s">
        <v>1821</v>
      </c>
      <c r="Z258" s="4">
        <v>134</v>
      </c>
      <c r="AA258" s="4">
        <f>=ROUNDDOWN(67,0)</f>
      </c>
      <c r="AB258" s="5">
        <v>2</v>
      </c>
      <c r="AC258" s="2" t="s">
        <v>160</v>
      </c>
      <c r="AD258" s="4">
        <v>60</v>
      </c>
      <c r="AE258" s="4">
        <v>90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228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 t="s">
        <v>228</v>
      </c>
      <c r="BD258" s="8" t="s">
        <v>228</v>
      </c>
      <c r="BE258" s="4" t="s">
        <v>228</v>
      </c>
      <c r="BF258" s="8" t="s">
        <v>228</v>
      </c>
      <c r="BG258" s="7" t="s">
        <v>228</v>
      </c>
      <c r="BH258" s="7" t="s">
        <v>228</v>
      </c>
      <c r="BI258" s="7"/>
      <c r="BJ258" s="4">
        <v>11</v>
      </c>
      <c r="BK258" s="8">
        <v>1218.92</v>
      </c>
      <c r="BL258" s="2" t="s">
        <v>1822</v>
      </c>
      <c r="BM258" s="7"/>
      <c r="BN258" s="7"/>
      <c r="BO258" s="4"/>
      <c r="BP258" s="8"/>
      <c r="BQ258" s="4"/>
      <c r="BR258" s="8"/>
      <c r="BS258" s="7"/>
      <c r="BT258" s="7"/>
      <c r="BU258" s="2" t="s">
        <v>1823</v>
      </c>
      <c r="BV258" s="2" t="s">
        <v>228</v>
      </c>
      <c r="BW258" s="2" t="s">
        <v>228</v>
      </c>
      <c r="BX258" s="2" t="s">
        <v>273</v>
      </c>
      <c r="BY258" s="2" t="s">
        <v>274</v>
      </c>
      <c r="BZ258" s="2" t="s">
        <v>240</v>
      </c>
      <c r="CA258" s="2" t="s">
        <v>1824</v>
      </c>
      <c r="CB258" s="2" t="s">
        <v>1825</v>
      </c>
      <c r="CC258" s="2" t="s">
        <v>241</v>
      </c>
      <c r="CD258" s="2" t="s">
        <v>228</v>
      </c>
      <c r="CE258" s="4">
        <v>134</v>
      </c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>
        <v>60</v>
      </c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>
        <v>30</v>
      </c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</row>
    <row r="259">
      <c r="A259" s="2" t="s">
        <v>1826</v>
      </c>
      <c r="B259" s="2" t="s">
        <v>834</v>
      </c>
      <c r="C259" s="2" t="s">
        <v>1142</v>
      </c>
      <c r="D259" s="2" t="s">
        <v>1101</v>
      </c>
      <c r="E259" s="2" t="s">
        <v>1102</v>
      </c>
      <c r="F259" s="2" t="s">
        <v>1827</v>
      </c>
      <c r="G259" s="2" t="s">
        <v>1827</v>
      </c>
      <c r="H259" s="2" t="s">
        <v>1827</v>
      </c>
      <c r="I259" s="2" t="s">
        <v>1828</v>
      </c>
      <c r="J259" s="2" t="s">
        <v>840</v>
      </c>
      <c r="K259" s="2" t="s">
        <v>912</v>
      </c>
      <c r="L259" s="3">
        <v>52.44</v>
      </c>
      <c r="M259" s="3">
        <v>55.06</v>
      </c>
      <c r="N259" s="3">
        <v>119.99</v>
      </c>
      <c r="O259" s="2" t="s">
        <v>461</v>
      </c>
      <c r="P259" s="2" t="s">
        <v>333</v>
      </c>
      <c r="Q259" s="2" t="s">
        <v>234</v>
      </c>
      <c r="R259" s="2" t="s">
        <v>228</v>
      </c>
      <c r="S259" s="2" t="s">
        <v>228</v>
      </c>
      <c r="T259" s="2" t="s">
        <v>228</v>
      </c>
      <c r="U259" s="2" t="s">
        <v>416</v>
      </c>
      <c r="V259" s="2" t="s">
        <v>842</v>
      </c>
      <c r="W259" s="2" t="s">
        <v>417</v>
      </c>
      <c r="X259" s="2" t="s">
        <v>463</v>
      </c>
      <c r="Y259" s="2" t="s">
        <v>1829</v>
      </c>
      <c r="Z259" s="4">
        <v>22</v>
      </c>
      <c r="AA259" s="4">
        <f>=ROUNDDOWN(13.75,0)</f>
      </c>
      <c r="AB259" s="5">
        <v>1.6</v>
      </c>
      <c r="AC259" s="2" t="s">
        <v>228</v>
      </c>
      <c r="AD259" s="4"/>
      <c r="AE259" s="4"/>
      <c r="AF259" s="6">
        <v>63</v>
      </c>
      <c r="AG259" s="6"/>
      <c r="AH259" s="7">
        <v>1</v>
      </c>
      <c r="AI259" s="4"/>
      <c r="AJ259" s="4">
        <f>=ROUNDDOWN({0},0)</f>
      </c>
      <c r="AK259" s="5"/>
      <c r="AL259" s="2" t="s">
        <v>228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 t="s">
        <v>228</v>
      </c>
      <c r="BD259" s="8" t="s">
        <v>228</v>
      </c>
      <c r="BE259" s="4" t="s">
        <v>228</v>
      </c>
      <c r="BF259" s="8" t="s">
        <v>228</v>
      </c>
      <c r="BG259" s="7" t="s">
        <v>228</v>
      </c>
      <c r="BH259" s="7" t="s">
        <v>228</v>
      </c>
      <c r="BI259" s="7"/>
      <c r="BJ259" s="4">
        <v>5</v>
      </c>
      <c r="BK259" s="8">
        <v>301.71</v>
      </c>
      <c r="BL259" s="2" t="s">
        <v>1830</v>
      </c>
      <c r="BM259" s="7"/>
      <c r="BN259" s="7"/>
      <c r="BO259" s="4"/>
      <c r="BP259" s="8"/>
      <c r="BQ259" s="4"/>
      <c r="BR259" s="8"/>
      <c r="BS259" s="7"/>
      <c r="BT259" s="7"/>
      <c r="BU259" s="2" t="s">
        <v>1831</v>
      </c>
      <c r="BV259" s="2" t="s">
        <v>228</v>
      </c>
      <c r="BW259" s="2" t="s">
        <v>228</v>
      </c>
      <c r="BX259" s="2" t="s">
        <v>337</v>
      </c>
      <c r="BY259" s="2" t="s">
        <v>274</v>
      </c>
      <c r="BZ259" s="2" t="s">
        <v>240</v>
      </c>
      <c r="CA259" s="2" t="s">
        <v>1832</v>
      </c>
      <c r="CB259" s="2" t="s">
        <v>1833</v>
      </c>
      <c r="CC259" s="2" t="s">
        <v>241</v>
      </c>
      <c r="CD259" s="2" t="s">
        <v>228</v>
      </c>
      <c r="CE259" s="4"/>
      <c r="CF259" s="4">
        <v>22</v>
      </c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</row>
    <row r="260">
      <c r="A260" s="2" t="s">
        <v>1834</v>
      </c>
      <c r="B260" s="2" t="s">
        <v>834</v>
      </c>
      <c r="C260" s="2" t="s">
        <v>835</v>
      </c>
      <c r="D260" s="2" t="s">
        <v>1028</v>
      </c>
      <c r="E260" s="2" t="s">
        <v>1029</v>
      </c>
      <c r="F260" s="2" t="s">
        <v>1827</v>
      </c>
      <c r="G260" s="2" t="s">
        <v>1827</v>
      </c>
      <c r="H260" s="2" t="s">
        <v>1827</v>
      </c>
      <c r="I260" s="2" t="s">
        <v>1835</v>
      </c>
      <c r="J260" s="2" t="s">
        <v>1836</v>
      </c>
      <c r="K260" s="2" t="s">
        <v>1837</v>
      </c>
      <c r="L260" s="3">
        <v>72</v>
      </c>
      <c r="M260" s="3">
        <v>75.6</v>
      </c>
      <c r="N260" s="3">
        <v>149.99</v>
      </c>
      <c r="O260" s="2" t="s">
        <v>240</v>
      </c>
      <c r="P260" s="2" t="s">
        <v>266</v>
      </c>
      <c r="Q260" s="2" t="s">
        <v>234</v>
      </c>
      <c r="R260" s="2" t="s">
        <v>228</v>
      </c>
      <c r="S260" s="2" t="s">
        <v>228</v>
      </c>
      <c r="T260" s="2" t="s">
        <v>228</v>
      </c>
      <c r="U260" s="2" t="s">
        <v>416</v>
      </c>
      <c r="V260" s="2" t="s">
        <v>842</v>
      </c>
      <c r="W260" s="2" t="s">
        <v>463</v>
      </c>
      <c r="X260" s="2" t="s">
        <v>1761</v>
      </c>
      <c r="Y260" s="2" t="s">
        <v>1838</v>
      </c>
      <c r="Z260" s="4">
        <v>111</v>
      </c>
      <c r="AA260" s="4">
        <f>=ROUNDDOWN(15.8571428571429,0)</f>
      </c>
      <c r="AB260" s="5">
        <v>7</v>
      </c>
      <c r="AC260" s="2" t="s">
        <v>228</v>
      </c>
      <c r="AD260" s="4"/>
      <c r="AE260" s="4"/>
      <c r="AF260" s="6">
        <v>63</v>
      </c>
      <c r="AG260" s="6"/>
      <c r="AH260" s="7">
        <v>0.5161</v>
      </c>
      <c r="AI260" s="4"/>
      <c r="AJ260" s="4">
        <f>=ROUNDDOWN({0},0)</f>
      </c>
      <c r="AK260" s="5"/>
      <c r="AL260" s="2" t="s">
        <v>228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 t="s">
        <v>228</v>
      </c>
      <c r="BD260" s="8" t="s">
        <v>228</v>
      </c>
      <c r="BE260" s="4" t="s">
        <v>228</v>
      </c>
      <c r="BF260" s="8" t="s">
        <v>228</v>
      </c>
      <c r="BG260" s="7" t="s">
        <v>228</v>
      </c>
      <c r="BH260" s="7" t="s">
        <v>228</v>
      </c>
      <c r="BI260" s="7"/>
      <c r="BJ260" s="4">
        <v>28</v>
      </c>
      <c r="BK260" s="8">
        <v>2296.8</v>
      </c>
      <c r="BL260" s="2" t="s">
        <v>690</v>
      </c>
      <c r="BM260" s="7"/>
      <c r="BN260" s="7"/>
      <c r="BO260" s="4"/>
      <c r="BP260" s="8"/>
      <c r="BQ260" s="4"/>
      <c r="BR260" s="8"/>
      <c r="BS260" s="7"/>
      <c r="BT260" s="7"/>
      <c r="BU260" s="2" t="s">
        <v>1839</v>
      </c>
      <c r="BV260" s="2" t="s">
        <v>228</v>
      </c>
      <c r="BW260" s="2" t="s">
        <v>228</v>
      </c>
      <c r="BX260" s="2" t="s">
        <v>735</v>
      </c>
      <c r="BY260" s="2" t="s">
        <v>274</v>
      </c>
      <c r="BZ260" s="2" t="s">
        <v>240</v>
      </c>
      <c r="CA260" s="2" t="s">
        <v>1840</v>
      </c>
      <c r="CB260" s="2" t="s">
        <v>1841</v>
      </c>
      <c r="CC260" s="2" t="s">
        <v>241</v>
      </c>
      <c r="CD260" s="2" t="s">
        <v>228</v>
      </c>
      <c r="CE260" s="4"/>
      <c r="CF260" s="4">
        <v>111</v>
      </c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</row>
    <row r="261">
      <c r="A261" s="2" t="s">
        <v>1842</v>
      </c>
      <c r="B261" s="2" t="s">
        <v>958</v>
      </c>
      <c r="C261" s="2" t="s">
        <v>300</v>
      </c>
      <c r="D261" s="2" t="s">
        <v>1795</v>
      </c>
      <c r="E261" s="2" t="s">
        <v>1796</v>
      </c>
      <c r="F261" s="2" t="s">
        <v>1843</v>
      </c>
      <c r="G261" s="2" t="s">
        <v>1844</v>
      </c>
      <c r="H261" s="2" t="s">
        <v>1845</v>
      </c>
      <c r="I261" s="2" t="s">
        <v>1846</v>
      </c>
      <c r="J261" s="2" t="s">
        <v>840</v>
      </c>
      <c r="K261" s="2" t="s">
        <v>1105</v>
      </c>
      <c r="L261" s="3">
        <v>220</v>
      </c>
      <c r="M261" s="3">
        <v>231</v>
      </c>
      <c r="N261" s="3">
        <v>459</v>
      </c>
      <c r="O261" s="2" t="s">
        <v>461</v>
      </c>
      <c r="P261" s="2" t="s">
        <v>333</v>
      </c>
      <c r="Q261" s="2" t="s">
        <v>234</v>
      </c>
      <c r="R261" s="2" t="s">
        <v>228</v>
      </c>
      <c r="S261" s="2" t="s">
        <v>228</v>
      </c>
      <c r="T261" s="2" t="s">
        <v>228</v>
      </c>
      <c r="U261" s="2" t="s">
        <v>520</v>
      </c>
      <c r="V261" s="2" t="s">
        <v>842</v>
      </c>
      <c r="W261" s="2" t="s">
        <v>463</v>
      </c>
      <c r="X261" s="2" t="s">
        <v>417</v>
      </c>
      <c r="Y261" s="2" t="s">
        <v>1032</v>
      </c>
      <c r="Z261" s="4">
        <v>49</v>
      </c>
      <c r="AA261" s="4">
        <f>=ROUNDDOWN(122.5,0)</f>
      </c>
      <c r="AB261" s="5">
        <v>0.4</v>
      </c>
      <c r="AC261" s="2" t="s">
        <v>228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228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/>
      <c r="BD261" s="8"/>
      <c r="BE261" s="4"/>
      <c r="BF261" s="8"/>
      <c r="BG261" s="7"/>
      <c r="BH261" s="7"/>
      <c r="BI261" s="7"/>
      <c r="BJ261" s="4">
        <v>2</v>
      </c>
      <c r="BK261" s="8">
        <v>181.1</v>
      </c>
      <c r="BL261" s="2" t="s">
        <v>622</v>
      </c>
      <c r="BM261" s="7"/>
      <c r="BN261" s="7"/>
      <c r="BO261" s="4"/>
      <c r="BP261" s="8"/>
      <c r="BQ261" s="4"/>
      <c r="BR261" s="8"/>
      <c r="BS261" s="7"/>
      <c r="BT261" s="7"/>
      <c r="BU261" s="2" t="s">
        <v>1847</v>
      </c>
      <c r="BV261" s="2" t="s">
        <v>228</v>
      </c>
      <c r="BW261" s="2" t="s">
        <v>228</v>
      </c>
      <c r="BX261" s="2" t="s">
        <v>337</v>
      </c>
      <c r="BY261" s="2" t="s">
        <v>274</v>
      </c>
      <c r="BZ261" s="2" t="s">
        <v>240</v>
      </c>
      <c r="CA261" s="2" t="s">
        <v>1848</v>
      </c>
      <c r="CB261" s="2" t="s">
        <v>1849</v>
      </c>
      <c r="CC261" s="2" t="s">
        <v>241</v>
      </c>
      <c r="CD261" s="2" t="s">
        <v>228</v>
      </c>
      <c r="CE261" s="4"/>
      <c r="CF261" s="4">
        <v>49</v>
      </c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</row>
    <row r="262">
      <c r="A262" s="2" t="s">
        <v>1850</v>
      </c>
      <c r="B262" s="2" t="s">
        <v>958</v>
      </c>
      <c r="C262" s="2" t="s">
        <v>300</v>
      </c>
      <c r="D262" s="2" t="s">
        <v>1006</v>
      </c>
      <c r="E262" s="2" t="s">
        <v>1651</v>
      </c>
      <c r="F262" s="2" t="s">
        <v>1851</v>
      </c>
      <c r="G262" s="2" t="s">
        <v>1852</v>
      </c>
      <c r="H262" s="2" t="s">
        <v>1853</v>
      </c>
      <c r="I262" s="2" t="s">
        <v>1652</v>
      </c>
      <c r="J262" s="2" t="s">
        <v>840</v>
      </c>
      <c r="K262" s="2" t="s">
        <v>1854</v>
      </c>
      <c r="L262" s="3">
        <v>237.5</v>
      </c>
      <c r="M262" s="3">
        <v>249.38</v>
      </c>
      <c r="N262" s="3">
        <v>499</v>
      </c>
      <c r="O262" s="2" t="s">
        <v>240</v>
      </c>
      <c r="P262" s="2" t="s">
        <v>1012</v>
      </c>
      <c r="Q262" s="2" t="s">
        <v>234</v>
      </c>
      <c r="R262" s="2" t="s">
        <v>228</v>
      </c>
      <c r="S262" s="2" t="s">
        <v>228</v>
      </c>
      <c r="T262" s="2" t="s">
        <v>228</v>
      </c>
      <c r="U262" s="2" t="s">
        <v>416</v>
      </c>
      <c r="V262" s="2" t="s">
        <v>236</v>
      </c>
      <c r="W262" s="2" t="s">
        <v>463</v>
      </c>
      <c r="X262" s="2" t="s">
        <v>228</v>
      </c>
      <c r="Y262" s="2" t="s">
        <v>1855</v>
      </c>
      <c r="Z262" s="4">
        <v>214</v>
      </c>
      <c r="AA262" s="4">
        <f>=ROUNDDOWN(53.5,0)</f>
      </c>
      <c r="AB262" s="5">
        <v>4</v>
      </c>
      <c r="AC262" s="2" t="s">
        <v>228</v>
      </c>
      <c r="AD262" s="4"/>
      <c r="AE262" s="4"/>
      <c r="AF262" s="6">
        <v>68</v>
      </c>
      <c r="AG262" s="6"/>
      <c r="AH262" s="7">
        <v>1</v>
      </c>
      <c r="AI262" s="4"/>
      <c r="AJ262" s="4">
        <f>=ROUNDDOWN({0},0)</f>
      </c>
      <c r="AK262" s="5"/>
      <c r="AL262" s="2" t="s">
        <v>228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/>
      <c r="BD262" s="8"/>
      <c r="BE262" s="4"/>
      <c r="BF262" s="8"/>
      <c r="BG262" s="7"/>
      <c r="BH262" s="7"/>
      <c r="BI262" s="7"/>
      <c r="BJ262" s="4">
        <v>13</v>
      </c>
      <c r="BK262" s="8">
        <v>2998.84</v>
      </c>
      <c r="BL262" s="2" t="s">
        <v>1856</v>
      </c>
      <c r="BM262" s="7"/>
      <c r="BN262" s="7"/>
      <c r="BO262" s="4"/>
      <c r="BP262" s="8"/>
      <c r="BQ262" s="4"/>
      <c r="BR262" s="8"/>
      <c r="BS262" s="7"/>
      <c r="BT262" s="7"/>
      <c r="BU262" s="2" t="s">
        <v>1857</v>
      </c>
      <c r="BV262" s="2" t="s">
        <v>228</v>
      </c>
      <c r="BW262" s="2" t="s">
        <v>228</v>
      </c>
      <c r="BX262" s="2" t="s">
        <v>273</v>
      </c>
      <c r="BY262" s="2" t="s">
        <v>274</v>
      </c>
      <c r="BZ262" s="2" t="s">
        <v>240</v>
      </c>
      <c r="CA262" s="2" t="s">
        <v>1858</v>
      </c>
      <c r="CB262" s="2" t="s">
        <v>1859</v>
      </c>
      <c r="CC262" s="2" t="s">
        <v>241</v>
      </c>
      <c r="CD262" s="2" t="s">
        <v>228</v>
      </c>
      <c r="CE262" s="4"/>
      <c r="CF262" s="4">
        <v>214</v>
      </c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</row>
    <row r="263">
      <c r="A263" s="2" t="s">
        <v>1860</v>
      </c>
      <c r="B263" s="2" t="s">
        <v>1150</v>
      </c>
      <c r="C263" s="2" t="s">
        <v>1861</v>
      </c>
      <c r="D263" s="2" t="s">
        <v>1862</v>
      </c>
      <c r="E263" s="2" t="s">
        <v>1863</v>
      </c>
      <c r="F263" s="2" t="s">
        <v>1864</v>
      </c>
      <c r="G263" s="2" t="s">
        <v>1864</v>
      </c>
      <c r="H263" s="2" t="s">
        <v>1864</v>
      </c>
      <c r="I263" s="2" t="s">
        <v>1865</v>
      </c>
      <c r="J263" s="2" t="s">
        <v>1866</v>
      </c>
      <c r="K263" s="2" t="s">
        <v>1421</v>
      </c>
      <c r="L263" s="3">
        <v>30.95</v>
      </c>
      <c r="M263" s="3">
        <v>32.5</v>
      </c>
      <c r="N263" s="3">
        <v>99.99</v>
      </c>
      <c r="O263" s="2" t="s">
        <v>240</v>
      </c>
      <c r="P263" s="2" t="s">
        <v>922</v>
      </c>
      <c r="Q263" s="2" t="s">
        <v>234</v>
      </c>
      <c r="R263" s="2" t="s">
        <v>228</v>
      </c>
      <c r="S263" s="2" t="s">
        <v>228</v>
      </c>
      <c r="T263" s="2" t="s">
        <v>228</v>
      </c>
      <c r="U263" s="2" t="s">
        <v>416</v>
      </c>
      <c r="V263" s="2" t="s">
        <v>1737</v>
      </c>
      <c r="W263" s="2" t="s">
        <v>743</v>
      </c>
      <c r="X263" s="2" t="s">
        <v>228</v>
      </c>
      <c r="Y263" s="2" t="s">
        <v>1520</v>
      </c>
      <c r="Z263" s="4">
        <v>174</v>
      </c>
      <c r="AA263" s="4">
        <f>=ROUNDDOWN(58,0)</f>
      </c>
      <c r="AB263" s="5">
        <v>3</v>
      </c>
      <c r="AC263" s="2" t="s">
        <v>228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228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 t="s">
        <v>228</v>
      </c>
      <c r="BD263" s="8" t="s">
        <v>228</v>
      </c>
      <c r="BE263" s="4" t="s">
        <v>228</v>
      </c>
      <c r="BF263" s="8" t="s">
        <v>228</v>
      </c>
      <c r="BG263" s="7" t="s">
        <v>228</v>
      </c>
      <c r="BH263" s="7" t="s">
        <v>228</v>
      </c>
      <c r="BI263" s="7"/>
      <c r="BJ263" s="4">
        <v>4</v>
      </c>
      <c r="BK263" s="8">
        <v>140.4</v>
      </c>
      <c r="BL263" s="2" t="s">
        <v>1867</v>
      </c>
      <c r="BM263" s="7"/>
      <c r="BN263" s="7"/>
      <c r="BO263" s="4"/>
      <c r="BP263" s="8"/>
      <c r="BQ263" s="4"/>
      <c r="BR263" s="8"/>
      <c r="BS263" s="7"/>
      <c r="BT263" s="7"/>
      <c r="BU263" s="2" t="s">
        <v>1868</v>
      </c>
      <c r="BV263" s="2" t="s">
        <v>228</v>
      </c>
      <c r="BW263" s="2" t="s">
        <v>228</v>
      </c>
      <c r="BX263" s="2" t="s">
        <v>337</v>
      </c>
      <c r="BY263" s="2" t="s">
        <v>274</v>
      </c>
      <c r="BZ263" s="2" t="s">
        <v>240</v>
      </c>
      <c r="CA263" s="2" t="s">
        <v>1469</v>
      </c>
      <c r="CB263" s="2" t="s">
        <v>1869</v>
      </c>
      <c r="CC263" s="2" t="s">
        <v>241</v>
      </c>
      <c r="CD263" s="2" t="s">
        <v>228</v>
      </c>
      <c r="CE263" s="4">
        <v>174</v>
      </c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</row>
    <row r="264">
      <c r="A264" s="2" t="s">
        <v>1870</v>
      </c>
      <c r="B264" s="2" t="s">
        <v>1150</v>
      </c>
      <c r="C264" s="2" t="s">
        <v>1861</v>
      </c>
      <c r="D264" s="2" t="s">
        <v>1862</v>
      </c>
      <c r="E264" s="2" t="s">
        <v>1863</v>
      </c>
      <c r="F264" s="2" t="s">
        <v>1864</v>
      </c>
      <c r="G264" s="2" t="s">
        <v>1864</v>
      </c>
      <c r="H264" s="2" t="s">
        <v>1864</v>
      </c>
      <c r="I264" s="2" t="s">
        <v>1865</v>
      </c>
      <c r="J264" s="2" t="s">
        <v>1866</v>
      </c>
      <c r="K264" s="2" t="s">
        <v>912</v>
      </c>
      <c r="L264" s="3">
        <v>30.95</v>
      </c>
      <c r="M264" s="3">
        <v>32.5</v>
      </c>
      <c r="N264" s="3">
        <v>99.99</v>
      </c>
      <c r="O264" s="2" t="s">
        <v>240</v>
      </c>
      <c r="P264" s="2" t="s">
        <v>1012</v>
      </c>
      <c r="Q264" s="2" t="s">
        <v>234</v>
      </c>
      <c r="R264" s="2" t="s">
        <v>228</v>
      </c>
      <c r="S264" s="2" t="s">
        <v>228</v>
      </c>
      <c r="T264" s="2" t="s">
        <v>228</v>
      </c>
      <c r="U264" s="2" t="s">
        <v>416</v>
      </c>
      <c r="V264" s="2" t="s">
        <v>1737</v>
      </c>
      <c r="W264" s="2" t="s">
        <v>743</v>
      </c>
      <c r="X264" s="2" t="s">
        <v>228</v>
      </c>
      <c r="Y264" s="2" t="s">
        <v>1871</v>
      </c>
      <c r="Z264" s="4">
        <v>164</v>
      </c>
      <c r="AA264" s="4">
        <f>=ROUNDDOWN(82,0)</f>
      </c>
      <c r="AB264" s="5">
        <v>2</v>
      </c>
      <c r="AC264" s="2" t="s">
        <v>228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228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 t="s">
        <v>228</v>
      </c>
      <c r="BD264" s="8" t="s">
        <v>228</v>
      </c>
      <c r="BE264" s="4" t="s">
        <v>228</v>
      </c>
      <c r="BF264" s="8" t="s">
        <v>228</v>
      </c>
      <c r="BG264" s="7" t="s">
        <v>228</v>
      </c>
      <c r="BH264" s="7" t="s">
        <v>228</v>
      </c>
      <c r="BI264" s="7"/>
      <c r="BJ264" s="4">
        <v>4</v>
      </c>
      <c r="BK264" s="8">
        <v>226.53</v>
      </c>
      <c r="BL264" s="2" t="s">
        <v>1872</v>
      </c>
      <c r="BM264" s="7"/>
      <c r="BN264" s="7"/>
      <c r="BO264" s="4"/>
      <c r="BP264" s="8"/>
      <c r="BQ264" s="4"/>
      <c r="BR264" s="8"/>
      <c r="BS264" s="7"/>
      <c r="BT264" s="7"/>
      <c r="BU264" s="2" t="s">
        <v>1873</v>
      </c>
      <c r="BV264" s="2" t="s">
        <v>228</v>
      </c>
      <c r="BW264" s="2" t="s">
        <v>228</v>
      </c>
      <c r="BX264" s="2" t="s">
        <v>273</v>
      </c>
      <c r="BY264" s="2" t="s">
        <v>274</v>
      </c>
      <c r="BZ264" s="2" t="s">
        <v>240</v>
      </c>
      <c r="CA264" s="2" t="s">
        <v>1469</v>
      </c>
      <c r="CB264" s="2" t="s">
        <v>1874</v>
      </c>
      <c r="CC264" s="2" t="s">
        <v>241</v>
      </c>
      <c r="CD264" s="2" t="s">
        <v>228</v>
      </c>
      <c r="CE264" s="4">
        <v>164</v>
      </c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</row>
    <row r="265">
      <c r="A265" s="2" t="s">
        <v>1875</v>
      </c>
      <c r="B265" s="2" t="s">
        <v>866</v>
      </c>
      <c r="C265" s="2" t="s">
        <v>300</v>
      </c>
      <c r="D265" s="2" t="s">
        <v>907</v>
      </c>
      <c r="E265" s="2" t="s">
        <v>908</v>
      </c>
      <c r="F265" s="2" t="s">
        <v>1876</v>
      </c>
      <c r="G265" s="2" t="s">
        <v>1876</v>
      </c>
      <c r="H265" s="2" t="s">
        <v>1876</v>
      </c>
      <c r="I265" s="2" t="s">
        <v>1877</v>
      </c>
      <c r="J265" s="2" t="s">
        <v>840</v>
      </c>
      <c r="K265" s="2" t="s">
        <v>912</v>
      </c>
      <c r="L265" s="3">
        <v>57.14</v>
      </c>
      <c r="M265" s="3">
        <v>60</v>
      </c>
      <c r="N265" s="3">
        <v>119.99</v>
      </c>
      <c r="O265" s="2" t="s">
        <v>240</v>
      </c>
      <c r="P265" s="2" t="s">
        <v>233</v>
      </c>
      <c r="Q265" s="2" t="s">
        <v>234</v>
      </c>
      <c r="R265" s="2" t="s">
        <v>228</v>
      </c>
      <c r="S265" s="2" t="s">
        <v>228</v>
      </c>
      <c r="T265" s="2" t="s">
        <v>228</v>
      </c>
      <c r="U265" s="2" t="s">
        <v>416</v>
      </c>
      <c r="V265" s="2" t="s">
        <v>842</v>
      </c>
      <c r="W265" s="2" t="s">
        <v>309</v>
      </c>
      <c r="X265" s="2" t="s">
        <v>743</v>
      </c>
      <c r="Y265" s="2" t="s">
        <v>1026</v>
      </c>
      <c r="Z265" s="4">
        <v>94</v>
      </c>
      <c r="AA265" s="4">
        <f>=ROUNDDOWN(94,0)</f>
      </c>
      <c r="AB265" s="5">
        <v>1</v>
      </c>
      <c r="AC265" s="2" t="s">
        <v>228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228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>
        <v>1</v>
      </c>
      <c r="BK265" s="8">
        <v>67.2</v>
      </c>
      <c r="BL265" s="2" t="s">
        <v>484</v>
      </c>
      <c r="BM265" s="7"/>
      <c r="BN265" s="7"/>
      <c r="BO265" s="4"/>
      <c r="BP265" s="8"/>
      <c r="BQ265" s="4"/>
      <c r="BR265" s="8"/>
      <c r="BS265" s="7"/>
      <c r="BT265" s="7"/>
      <c r="BU265" s="2" t="s">
        <v>1878</v>
      </c>
      <c r="BV265" s="2" t="s">
        <v>228</v>
      </c>
      <c r="BW265" s="2" t="s">
        <v>228</v>
      </c>
      <c r="BX265" s="2" t="s">
        <v>273</v>
      </c>
      <c r="BY265" s="2" t="s">
        <v>274</v>
      </c>
      <c r="BZ265" s="2" t="s">
        <v>240</v>
      </c>
      <c r="CA265" s="2" t="s">
        <v>1217</v>
      </c>
      <c r="CB265" s="2" t="s">
        <v>228</v>
      </c>
      <c r="CC265" s="2" t="s">
        <v>241</v>
      </c>
      <c r="CD265" s="2" t="s">
        <v>228</v>
      </c>
      <c r="CE265" s="4"/>
      <c r="CF265" s="4">
        <v>94</v>
      </c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</row>
    <row r="266">
      <c r="A266" s="2" t="s">
        <v>1879</v>
      </c>
      <c r="B266" s="2" t="s">
        <v>866</v>
      </c>
      <c r="C266" s="2" t="s">
        <v>300</v>
      </c>
      <c r="D266" s="2" t="s">
        <v>1880</v>
      </c>
      <c r="E266" s="2" t="s">
        <v>877</v>
      </c>
      <c r="F266" s="2" t="s">
        <v>1881</v>
      </c>
      <c r="G266" s="2" t="s">
        <v>1881</v>
      </c>
      <c r="H266" s="2" t="s">
        <v>1881</v>
      </c>
      <c r="I266" s="2" t="s">
        <v>1882</v>
      </c>
      <c r="J266" s="2" t="s">
        <v>840</v>
      </c>
      <c r="K266" s="2" t="s">
        <v>1883</v>
      </c>
      <c r="L266" s="3">
        <v>54.4</v>
      </c>
      <c r="M266" s="3">
        <v>57.12</v>
      </c>
      <c r="N266" s="3">
        <v>114.74</v>
      </c>
      <c r="O266" s="2" t="s">
        <v>240</v>
      </c>
      <c r="P266" s="2" t="s">
        <v>1012</v>
      </c>
      <c r="Q266" s="2" t="s">
        <v>234</v>
      </c>
      <c r="R266" s="2" t="s">
        <v>228</v>
      </c>
      <c r="S266" s="2" t="s">
        <v>1884</v>
      </c>
      <c r="T266" s="2" t="s">
        <v>228</v>
      </c>
      <c r="U266" s="2" t="s">
        <v>520</v>
      </c>
      <c r="V266" s="2" t="s">
        <v>859</v>
      </c>
      <c r="W266" s="2" t="s">
        <v>417</v>
      </c>
      <c r="X266" s="2" t="s">
        <v>351</v>
      </c>
      <c r="Y266" s="2" t="s">
        <v>1885</v>
      </c>
      <c r="Z266" s="4">
        <v>58</v>
      </c>
      <c r="AA266" s="4">
        <f>=ROUNDDOWN(19.3333333333333,0)</f>
      </c>
      <c r="AB266" s="5">
        <v>3</v>
      </c>
      <c r="AC266" s="2" t="s">
        <v>228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228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/>
      <c r="BD266" s="8"/>
      <c r="BE266" s="4"/>
      <c r="BF266" s="8"/>
      <c r="BG266" s="7"/>
      <c r="BH266" s="7"/>
      <c r="BI266" s="7"/>
      <c r="BJ266" s="4">
        <v>22</v>
      </c>
      <c r="BK266" s="8">
        <v>1435.53</v>
      </c>
      <c r="BL266" s="2" t="s">
        <v>1886</v>
      </c>
      <c r="BM266" s="7"/>
      <c r="BN266" s="7"/>
      <c r="BO266" s="4"/>
      <c r="BP266" s="8"/>
      <c r="BQ266" s="4"/>
      <c r="BR266" s="8"/>
      <c r="BS266" s="7"/>
      <c r="BT266" s="7"/>
      <c r="BU266" s="2" t="s">
        <v>1887</v>
      </c>
      <c r="BV266" s="2" t="s">
        <v>228</v>
      </c>
      <c r="BW266" s="2" t="s">
        <v>228</v>
      </c>
      <c r="BX266" s="2" t="s">
        <v>273</v>
      </c>
      <c r="BY266" s="2" t="s">
        <v>274</v>
      </c>
      <c r="BZ266" s="2" t="s">
        <v>240</v>
      </c>
      <c r="CA266" s="2" t="s">
        <v>1888</v>
      </c>
      <c r="CB266" s="2" t="s">
        <v>1889</v>
      </c>
      <c r="CC266" s="2" t="s">
        <v>241</v>
      </c>
      <c r="CD266" s="2" t="s">
        <v>228</v>
      </c>
      <c r="CE266" s="4"/>
      <c r="CF266" s="4">
        <v>58</v>
      </c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</row>
    <row r="267">
      <c r="A267" s="2" t="s">
        <v>1890</v>
      </c>
      <c r="B267" s="2" t="s">
        <v>866</v>
      </c>
      <c r="C267" s="2" t="s">
        <v>300</v>
      </c>
      <c r="D267" s="2" t="s">
        <v>899</v>
      </c>
      <c r="E267" s="2" t="s">
        <v>1891</v>
      </c>
      <c r="F267" s="2" t="s">
        <v>1892</v>
      </c>
      <c r="G267" s="2" t="s">
        <v>1892</v>
      </c>
      <c r="H267" s="2" t="s">
        <v>1892</v>
      </c>
      <c r="I267" s="2" t="s">
        <v>1893</v>
      </c>
      <c r="J267" s="2" t="s">
        <v>840</v>
      </c>
      <c r="K267" s="2" t="s">
        <v>305</v>
      </c>
      <c r="L267" s="3">
        <v>40.07</v>
      </c>
      <c r="M267" s="3">
        <v>42.07</v>
      </c>
      <c r="N267" s="3">
        <v>84.99</v>
      </c>
      <c r="O267" s="2" t="s">
        <v>240</v>
      </c>
      <c r="P267" s="2" t="s">
        <v>266</v>
      </c>
      <c r="Q267" s="2" t="s">
        <v>234</v>
      </c>
      <c r="R267" s="2" t="s">
        <v>228</v>
      </c>
      <c r="S267" s="2" t="s">
        <v>1894</v>
      </c>
      <c r="T267" s="2" t="s">
        <v>228</v>
      </c>
      <c r="U267" s="2" t="s">
        <v>416</v>
      </c>
      <c r="V267" s="2" t="s">
        <v>859</v>
      </c>
      <c r="W267" s="2" t="s">
        <v>417</v>
      </c>
      <c r="X267" s="2" t="s">
        <v>309</v>
      </c>
      <c r="Y267" s="2" t="s">
        <v>1895</v>
      </c>
      <c r="Z267" s="4">
        <v>166</v>
      </c>
      <c r="AA267" s="4">
        <f>=ROUNDDOWN(41.5,0)</f>
      </c>
      <c r="AB267" s="5">
        <v>4</v>
      </c>
      <c r="AC267" s="2" t="s">
        <v>228</v>
      </c>
      <c r="AD267" s="4"/>
      <c r="AE267" s="4"/>
      <c r="AF267" s="6">
        <v>63</v>
      </c>
      <c r="AG267" s="6"/>
      <c r="AH267" s="7">
        <v>1</v>
      </c>
      <c r="AI267" s="4"/>
      <c r="AJ267" s="4">
        <f>=ROUNDDOWN({0},0)</f>
      </c>
      <c r="AK267" s="5"/>
      <c r="AL267" s="2" t="s">
        <v>228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>
        <v>16</v>
      </c>
      <c r="BK267" s="8">
        <v>732.31</v>
      </c>
      <c r="BL267" s="2" t="s">
        <v>1896</v>
      </c>
      <c r="BM267" s="7"/>
      <c r="BN267" s="7"/>
      <c r="BO267" s="4"/>
      <c r="BP267" s="8"/>
      <c r="BQ267" s="4"/>
      <c r="BR267" s="8"/>
      <c r="BS267" s="7"/>
      <c r="BT267" s="7"/>
      <c r="BU267" s="2" t="s">
        <v>1897</v>
      </c>
      <c r="BV267" s="2" t="s">
        <v>228</v>
      </c>
      <c r="BW267" s="2" t="s">
        <v>228</v>
      </c>
      <c r="BX267" s="2" t="s">
        <v>273</v>
      </c>
      <c r="BY267" s="2" t="s">
        <v>274</v>
      </c>
      <c r="BZ267" s="2" t="s">
        <v>240</v>
      </c>
      <c r="CA267" s="2" t="s">
        <v>1898</v>
      </c>
      <c r="CB267" s="2" t="s">
        <v>1899</v>
      </c>
      <c r="CC267" s="2" t="s">
        <v>241</v>
      </c>
      <c r="CD267" s="2" t="s">
        <v>228</v>
      </c>
      <c r="CE267" s="4">
        <v>3</v>
      </c>
      <c r="CF267" s="4">
        <v>163</v>
      </c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</row>
    <row r="268">
      <c r="A268" s="2" t="s">
        <v>1900</v>
      </c>
      <c r="B268" s="2" t="s">
        <v>1150</v>
      </c>
      <c r="C268" s="2" t="s">
        <v>300</v>
      </c>
      <c r="D268" s="2" t="s">
        <v>1112</v>
      </c>
      <c r="E268" s="2" t="s">
        <v>1165</v>
      </c>
      <c r="F268" s="2" t="s">
        <v>1901</v>
      </c>
      <c r="G268" s="2" t="s">
        <v>1902</v>
      </c>
      <c r="H268" s="2" t="s">
        <v>1903</v>
      </c>
      <c r="I268" s="2" t="s">
        <v>1904</v>
      </c>
      <c r="J268" s="2" t="s">
        <v>312</v>
      </c>
      <c r="K268" s="2" t="s">
        <v>829</v>
      </c>
      <c r="L268" s="3">
        <v>79.9</v>
      </c>
      <c r="M268" s="3">
        <v>83.89</v>
      </c>
      <c r="N268" s="3">
        <v>169.99</v>
      </c>
      <c r="O268" s="2" t="s">
        <v>240</v>
      </c>
      <c r="P268" s="2" t="s">
        <v>266</v>
      </c>
      <c r="Q268" s="2" t="s">
        <v>234</v>
      </c>
      <c r="R268" s="2" t="s">
        <v>228</v>
      </c>
      <c r="S268" s="2" t="s">
        <v>1905</v>
      </c>
      <c r="T268" s="2" t="s">
        <v>228</v>
      </c>
      <c r="U268" s="2" t="s">
        <v>1331</v>
      </c>
      <c r="V268" s="2" t="s">
        <v>1344</v>
      </c>
      <c r="W268" s="2" t="s">
        <v>309</v>
      </c>
      <c r="X268" s="2" t="s">
        <v>1906</v>
      </c>
      <c r="Y268" s="2" t="s">
        <v>1907</v>
      </c>
      <c r="Z268" s="4">
        <v>227</v>
      </c>
      <c r="AA268" s="4">
        <f>=ROUNDDOWN(32.4285714285714,0)</f>
      </c>
      <c r="AB268" s="5">
        <v>7</v>
      </c>
      <c r="AC268" s="2" t="s">
        <v>1158</v>
      </c>
      <c r="AD268" s="4">
        <v>80</v>
      </c>
      <c r="AE268" s="4">
        <v>110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228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/>
      <c r="BD268" s="8"/>
      <c r="BE268" s="4"/>
      <c r="BF268" s="8"/>
      <c r="BG268" s="7"/>
      <c r="BH268" s="7"/>
      <c r="BI268" s="7"/>
      <c r="BJ268" s="4">
        <v>16</v>
      </c>
      <c r="BK268" s="8">
        <v>1359.18</v>
      </c>
      <c r="BL268" s="2" t="s">
        <v>1908</v>
      </c>
      <c r="BM268" s="7"/>
      <c r="BN268" s="7"/>
      <c r="BO268" s="4"/>
      <c r="BP268" s="8"/>
      <c r="BQ268" s="4"/>
      <c r="BR268" s="8"/>
      <c r="BS268" s="7"/>
      <c r="BT268" s="7"/>
      <c r="BU268" s="2" t="s">
        <v>1909</v>
      </c>
      <c r="BV268" s="2" t="s">
        <v>228</v>
      </c>
      <c r="BW268" s="2" t="s">
        <v>228</v>
      </c>
      <c r="BX268" s="2" t="s">
        <v>273</v>
      </c>
      <c r="BY268" s="2" t="s">
        <v>274</v>
      </c>
      <c r="BZ268" s="2" t="s">
        <v>240</v>
      </c>
      <c r="CA268" s="2" t="s">
        <v>1910</v>
      </c>
      <c r="CB268" s="2" t="s">
        <v>1911</v>
      </c>
      <c r="CC268" s="2" t="s">
        <v>241</v>
      </c>
      <c r="CD268" s="2" t="s">
        <v>228</v>
      </c>
      <c r="CE268" s="4">
        <v>227</v>
      </c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>
        <v>80</v>
      </c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>
        <v>30</v>
      </c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</row>
    <row r="269">
      <c r="A269" s="2" t="s">
        <v>1912</v>
      </c>
      <c r="B269" s="2" t="s">
        <v>958</v>
      </c>
      <c r="C269" s="2" t="s">
        <v>300</v>
      </c>
      <c r="D269" s="2" t="s">
        <v>1913</v>
      </c>
      <c r="E269" s="2" t="s">
        <v>1914</v>
      </c>
      <c r="F269" s="2" t="s">
        <v>1915</v>
      </c>
      <c r="G269" s="2" t="s">
        <v>1916</v>
      </c>
      <c r="H269" s="2" t="s">
        <v>1917</v>
      </c>
      <c r="I269" s="2" t="s">
        <v>1918</v>
      </c>
      <c r="J269" s="2" t="s">
        <v>840</v>
      </c>
      <c r="K269" s="2" t="s">
        <v>1800</v>
      </c>
      <c r="L269" s="3">
        <v>231.88</v>
      </c>
      <c r="M269" s="3">
        <v>243.47</v>
      </c>
      <c r="N269" s="3">
        <v>479</v>
      </c>
      <c r="O269" s="2" t="s">
        <v>461</v>
      </c>
      <c r="P269" s="2" t="s">
        <v>333</v>
      </c>
      <c r="Q269" s="2" t="s">
        <v>234</v>
      </c>
      <c r="R269" s="2" t="s">
        <v>228</v>
      </c>
      <c r="S269" s="2" t="s">
        <v>1919</v>
      </c>
      <c r="T269" s="2" t="s">
        <v>228</v>
      </c>
      <c r="U269" s="2" t="s">
        <v>228</v>
      </c>
      <c r="V269" s="2" t="s">
        <v>236</v>
      </c>
      <c r="W269" s="2" t="s">
        <v>463</v>
      </c>
      <c r="X269" s="2" t="s">
        <v>228</v>
      </c>
      <c r="Y269" s="2" t="s">
        <v>1920</v>
      </c>
      <c r="Z269" s="4">
        <v>52</v>
      </c>
      <c r="AA269" s="4">
        <f>=ROUNDDOWN(43.3333333333333,0)</f>
      </c>
      <c r="AB269" s="5">
        <v>1.2</v>
      </c>
      <c r="AC269" s="2" t="s">
        <v>228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228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/>
      <c r="BD269" s="8"/>
      <c r="BE269" s="4"/>
      <c r="BF269" s="8"/>
      <c r="BG269" s="7"/>
      <c r="BH269" s="7"/>
      <c r="BI269" s="7"/>
      <c r="BJ269" s="4">
        <v>4</v>
      </c>
      <c r="BK269" s="8">
        <v>481.54</v>
      </c>
      <c r="BL269" s="2" t="s">
        <v>1921</v>
      </c>
      <c r="BM269" s="7"/>
      <c r="BN269" s="7"/>
      <c r="BO269" s="4"/>
      <c r="BP269" s="8"/>
      <c r="BQ269" s="4"/>
      <c r="BR269" s="8"/>
      <c r="BS269" s="7"/>
      <c r="BT269" s="7"/>
      <c r="BU269" s="2" t="s">
        <v>1922</v>
      </c>
      <c r="BV269" s="2" t="s">
        <v>228</v>
      </c>
      <c r="BW269" s="2" t="s">
        <v>228</v>
      </c>
      <c r="BX269" s="2" t="s">
        <v>337</v>
      </c>
      <c r="BY269" s="2" t="s">
        <v>274</v>
      </c>
      <c r="BZ269" s="2" t="s">
        <v>240</v>
      </c>
      <c r="CA269" s="2" t="s">
        <v>1923</v>
      </c>
      <c r="CB269" s="2" t="s">
        <v>1924</v>
      </c>
      <c r="CC269" s="2" t="s">
        <v>241</v>
      </c>
      <c r="CD269" s="2" t="s">
        <v>228</v>
      </c>
      <c r="CE269" s="4"/>
      <c r="CF269" s="4">
        <v>52</v>
      </c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</row>
    <row r="270">
      <c r="A270" s="2" t="s">
        <v>1925</v>
      </c>
      <c r="B270" s="2" t="s">
        <v>1276</v>
      </c>
      <c r="C270" s="2" t="s">
        <v>300</v>
      </c>
      <c r="D270" s="2" t="s">
        <v>1276</v>
      </c>
      <c r="E270" s="2" t="s">
        <v>1276</v>
      </c>
      <c r="F270" s="2" t="s">
        <v>1926</v>
      </c>
      <c r="G270" s="2" t="s">
        <v>1927</v>
      </c>
      <c r="H270" s="2" t="s">
        <v>1928</v>
      </c>
      <c r="I270" s="2" t="s">
        <v>1929</v>
      </c>
      <c r="J270" s="2" t="s">
        <v>1280</v>
      </c>
      <c r="K270" s="2" t="s">
        <v>1930</v>
      </c>
      <c r="L270" s="3">
        <v>94</v>
      </c>
      <c r="M270" s="3">
        <v>98.7</v>
      </c>
      <c r="N270" s="3">
        <v>209.98</v>
      </c>
      <c r="O270" s="2" t="s">
        <v>461</v>
      </c>
      <c r="P270" s="2" t="s">
        <v>333</v>
      </c>
      <c r="Q270" s="2" t="s">
        <v>234</v>
      </c>
      <c r="R270" s="2" t="s">
        <v>228</v>
      </c>
      <c r="S270" s="2" t="s">
        <v>1931</v>
      </c>
      <c r="T270" s="2" t="s">
        <v>228</v>
      </c>
      <c r="U270" s="2" t="s">
        <v>416</v>
      </c>
      <c r="V270" s="2" t="s">
        <v>980</v>
      </c>
      <c r="W270" s="2" t="s">
        <v>417</v>
      </c>
      <c r="X270" s="2" t="s">
        <v>228</v>
      </c>
      <c r="Y270" s="2" t="s">
        <v>1932</v>
      </c>
      <c r="Z270" s="4">
        <v>46</v>
      </c>
      <c r="AA270" s="4">
        <f>=ROUNDDOWN(230,0)</f>
      </c>
      <c r="AB270" s="5">
        <v>0.2</v>
      </c>
      <c r="AC270" s="2" t="s">
        <v>228</v>
      </c>
      <c r="AD270" s="4"/>
      <c r="AE270" s="4"/>
      <c r="AF270" s="6">
        <v>63</v>
      </c>
      <c r="AG270" s="6"/>
      <c r="AH270" s="7">
        <v>1</v>
      </c>
      <c r="AI270" s="4"/>
      <c r="AJ270" s="4">
        <f>=ROUNDDOWN({0},0)</f>
      </c>
      <c r="AK270" s="5"/>
      <c r="AL270" s="2" t="s">
        <v>228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228</v>
      </c>
      <c r="AW270" s="8" t="s">
        <v>228</v>
      </c>
      <c r="AX270" s="4" t="s">
        <v>228</v>
      </c>
      <c r="AY270" s="8" t="s">
        <v>228</v>
      </c>
      <c r="AZ270" s="7" t="s">
        <v>228</v>
      </c>
      <c r="BA270" s="7" t="s">
        <v>228</v>
      </c>
      <c r="BB270" s="7"/>
      <c r="BC270" s="4" t="s">
        <v>228</v>
      </c>
      <c r="BD270" s="8" t="s">
        <v>228</v>
      </c>
      <c r="BE270" s="4" t="s">
        <v>228</v>
      </c>
      <c r="BF270" s="8" t="s">
        <v>228</v>
      </c>
      <c r="BG270" s="7" t="s">
        <v>228</v>
      </c>
      <c r="BH270" s="7" t="s">
        <v>228</v>
      </c>
      <c r="BI270" s="7"/>
      <c r="BJ270" s="4">
        <v>1</v>
      </c>
      <c r="BK270" s="8">
        <v>98.7</v>
      </c>
      <c r="BL270" s="2" t="s">
        <v>1933</v>
      </c>
      <c r="BM270" s="7"/>
      <c r="BN270" s="7"/>
      <c r="BO270" s="4"/>
      <c r="BP270" s="8"/>
      <c r="BQ270" s="4"/>
      <c r="BR270" s="8"/>
      <c r="BS270" s="7"/>
      <c r="BT270" s="7"/>
      <c r="BU270" s="2" t="s">
        <v>1934</v>
      </c>
      <c r="BV270" s="2" t="s">
        <v>228</v>
      </c>
      <c r="BW270" s="2" t="s">
        <v>228</v>
      </c>
      <c r="BX270" s="2" t="s">
        <v>337</v>
      </c>
      <c r="BY270" s="2" t="s">
        <v>274</v>
      </c>
      <c r="BZ270" s="2" t="s">
        <v>240</v>
      </c>
      <c r="CA270" s="2" t="s">
        <v>1935</v>
      </c>
      <c r="CB270" s="2" t="s">
        <v>228</v>
      </c>
      <c r="CC270" s="2" t="s">
        <v>241</v>
      </c>
      <c r="CD270" s="2" t="s">
        <v>228</v>
      </c>
      <c r="CE270" s="4"/>
      <c r="CF270" s="4">
        <v>46</v>
      </c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</row>
    <row r="271">
      <c r="A271" s="2" t="s">
        <v>1936</v>
      </c>
      <c r="B271" s="2" t="s">
        <v>1276</v>
      </c>
      <c r="C271" s="2" t="s">
        <v>300</v>
      </c>
      <c r="D271" s="2" t="s">
        <v>1276</v>
      </c>
      <c r="E271" s="2" t="s">
        <v>1276</v>
      </c>
      <c r="F271" s="2" t="s">
        <v>1926</v>
      </c>
      <c r="G271" s="2" t="s">
        <v>1927</v>
      </c>
      <c r="H271" s="2" t="s">
        <v>1928</v>
      </c>
      <c r="I271" s="2" t="s">
        <v>1929</v>
      </c>
      <c r="J271" s="2" t="s">
        <v>1937</v>
      </c>
      <c r="K271" s="2" t="s">
        <v>1930</v>
      </c>
      <c r="L271" s="3">
        <v>125</v>
      </c>
      <c r="M271" s="3">
        <v>131.25</v>
      </c>
      <c r="N271" s="3">
        <v>279.98</v>
      </c>
      <c r="O271" s="2" t="s">
        <v>461</v>
      </c>
      <c r="P271" s="2" t="s">
        <v>333</v>
      </c>
      <c r="Q271" s="2" t="s">
        <v>234</v>
      </c>
      <c r="R271" s="2" t="s">
        <v>228</v>
      </c>
      <c r="S271" s="2" t="s">
        <v>1931</v>
      </c>
      <c r="T271" s="2" t="s">
        <v>228</v>
      </c>
      <c r="U271" s="2" t="s">
        <v>416</v>
      </c>
      <c r="V271" s="2" t="s">
        <v>980</v>
      </c>
      <c r="W271" s="2" t="s">
        <v>417</v>
      </c>
      <c r="X271" s="2" t="s">
        <v>228</v>
      </c>
      <c r="Y271" s="2" t="s">
        <v>1932</v>
      </c>
      <c r="Z271" s="4">
        <v>96</v>
      </c>
      <c r="AA271" s="4">
        <f>=ROUNDDOWN(106.666666666667,0)</f>
      </c>
      <c r="AB271" s="5">
        <v>0.9</v>
      </c>
      <c r="AC271" s="2" t="s">
        <v>228</v>
      </c>
      <c r="AD271" s="4"/>
      <c r="AE271" s="4"/>
      <c r="AF271" s="6">
        <v>63</v>
      </c>
      <c r="AG271" s="6"/>
      <c r="AH271" s="7">
        <v>1</v>
      </c>
      <c r="AI271" s="4"/>
      <c r="AJ271" s="4">
        <f>=ROUNDDOWN({0},0)</f>
      </c>
      <c r="AK271" s="5"/>
      <c r="AL271" s="2" t="s">
        <v>228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228</v>
      </c>
      <c r="AW271" s="8" t="s">
        <v>228</v>
      </c>
      <c r="AX271" s="4" t="s">
        <v>228</v>
      </c>
      <c r="AY271" s="8" t="s">
        <v>228</v>
      </c>
      <c r="AZ271" s="7" t="s">
        <v>228</v>
      </c>
      <c r="BA271" s="7" t="s">
        <v>228</v>
      </c>
      <c r="BB271" s="7"/>
      <c r="BC271" s="4" t="s">
        <v>228</v>
      </c>
      <c r="BD271" s="8" t="s">
        <v>228</v>
      </c>
      <c r="BE271" s="4" t="s">
        <v>228</v>
      </c>
      <c r="BF271" s="8" t="s">
        <v>228</v>
      </c>
      <c r="BG271" s="7" t="s">
        <v>228</v>
      </c>
      <c r="BH271" s="7" t="s">
        <v>228</v>
      </c>
      <c r="BI271" s="7"/>
      <c r="BJ271" s="4">
        <v>2</v>
      </c>
      <c r="BK271" s="8">
        <v>262.5</v>
      </c>
      <c r="BL271" s="2" t="s">
        <v>995</v>
      </c>
      <c r="BM271" s="7"/>
      <c r="BN271" s="7"/>
      <c r="BO271" s="4"/>
      <c r="BP271" s="8"/>
      <c r="BQ271" s="4"/>
      <c r="BR271" s="8"/>
      <c r="BS271" s="7"/>
      <c r="BT271" s="7"/>
      <c r="BU271" s="2" t="s">
        <v>1938</v>
      </c>
      <c r="BV271" s="2" t="s">
        <v>228</v>
      </c>
      <c r="BW271" s="2" t="s">
        <v>228</v>
      </c>
      <c r="BX271" s="2" t="s">
        <v>337</v>
      </c>
      <c r="BY271" s="2" t="s">
        <v>274</v>
      </c>
      <c r="BZ271" s="2" t="s">
        <v>240</v>
      </c>
      <c r="CA271" s="2" t="s">
        <v>1935</v>
      </c>
      <c r="CB271" s="2" t="s">
        <v>228</v>
      </c>
      <c r="CC271" s="2" t="s">
        <v>241</v>
      </c>
      <c r="CD271" s="2" t="s">
        <v>228</v>
      </c>
      <c r="CE271" s="4"/>
      <c r="CF271" s="4">
        <v>96</v>
      </c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</row>
    <row r="272">
      <c r="A272" s="2" t="s">
        <v>1939</v>
      </c>
      <c r="B272" s="2" t="s">
        <v>970</v>
      </c>
      <c r="C272" s="2" t="s">
        <v>300</v>
      </c>
      <c r="D272" s="2" t="s">
        <v>971</v>
      </c>
      <c r="E272" s="2" t="s">
        <v>1940</v>
      </c>
      <c r="F272" s="2" t="s">
        <v>1941</v>
      </c>
      <c r="G272" s="2" t="s">
        <v>1942</v>
      </c>
      <c r="H272" s="2" t="s">
        <v>1943</v>
      </c>
      <c r="I272" s="2" t="s">
        <v>1944</v>
      </c>
      <c r="J272" s="2" t="s">
        <v>1525</v>
      </c>
      <c r="K272" s="2" t="s">
        <v>249</v>
      </c>
      <c r="L272" s="3">
        <v>14.85</v>
      </c>
      <c r="M272" s="3">
        <v>15.59</v>
      </c>
      <c r="N272" s="3">
        <v>32.99</v>
      </c>
      <c r="O272" s="2" t="s">
        <v>240</v>
      </c>
      <c r="P272" s="2" t="s">
        <v>266</v>
      </c>
      <c r="Q272" s="2" t="s">
        <v>234</v>
      </c>
      <c r="R272" s="2" t="s">
        <v>228</v>
      </c>
      <c r="S272" s="2" t="s">
        <v>1945</v>
      </c>
      <c r="T272" s="2" t="s">
        <v>228</v>
      </c>
      <c r="U272" s="2" t="s">
        <v>416</v>
      </c>
      <c r="V272" s="2" t="s">
        <v>1946</v>
      </c>
      <c r="W272" s="2" t="s">
        <v>417</v>
      </c>
      <c r="X272" s="2" t="s">
        <v>1345</v>
      </c>
      <c r="Y272" s="2" t="s">
        <v>270</v>
      </c>
      <c r="Z272" s="4">
        <v>60</v>
      </c>
      <c r="AA272" s="4">
        <f>=ROUNDDOWN(8.57142857142857,0)</f>
      </c>
      <c r="AB272" s="5">
        <v>7</v>
      </c>
      <c r="AC272" s="2" t="s">
        <v>1947</v>
      </c>
      <c r="AD272" s="4">
        <v>120</v>
      </c>
      <c r="AE272" s="4">
        <v>216</v>
      </c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228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228</v>
      </c>
      <c r="AW272" s="8" t="s">
        <v>228</v>
      </c>
      <c r="AX272" s="4" t="s">
        <v>228</v>
      </c>
      <c r="AY272" s="8" t="s">
        <v>228</v>
      </c>
      <c r="AZ272" s="7" t="s">
        <v>228</v>
      </c>
      <c r="BA272" s="7" t="s">
        <v>228</v>
      </c>
      <c r="BB272" s="7"/>
      <c r="BC272" s="4" t="s">
        <v>228</v>
      </c>
      <c r="BD272" s="8" t="s">
        <v>228</v>
      </c>
      <c r="BE272" s="4" t="s">
        <v>228</v>
      </c>
      <c r="BF272" s="8" t="s">
        <v>228</v>
      </c>
      <c r="BG272" s="7" t="s">
        <v>228</v>
      </c>
      <c r="BH272" s="7" t="s">
        <v>228</v>
      </c>
      <c r="BI272" s="7"/>
      <c r="BJ272" s="4">
        <v>19</v>
      </c>
      <c r="BK272" s="8">
        <v>356.51</v>
      </c>
      <c r="BL272" s="2" t="s">
        <v>1948</v>
      </c>
      <c r="BM272" s="7"/>
      <c r="BN272" s="7"/>
      <c r="BO272" s="4"/>
      <c r="BP272" s="8"/>
      <c r="BQ272" s="4"/>
      <c r="BR272" s="8"/>
      <c r="BS272" s="7"/>
      <c r="BT272" s="7"/>
      <c r="BU272" s="2" t="s">
        <v>1949</v>
      </c>
      <c r="BV272" s="2" t="s">
        <v>228</v>
      </c>
      <c r="BW272" s="2" t="s">
        <v>228</v>
      </c>
      <c r="BX272" s="2" t="s">
        <v>273</v>
      </c>
      <c r="BY272" s="2" t="s">
        <v>274</v>
      </c>
      <c r="BZ272" s="2" t="s">
        <v>240</v>
      </c>
      <c r="CA272" s="2" t="s">
        <v>1950</v>
      </c>
      <c r="CB272" s="2" t="s">
        <v>1951</v>
      </c>
      <c r="CC272" s="2" t="s">
        <v>241</v>
      </c>
      <c r="CD272" s="2" t="s">
        <v>228</v>
      </c>
      <c r="CE272" s="4">
        <v>60</v>
      </c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>
        <v>120</v>
      </c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>
        <v>96</v>
      </c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</row>
    <row r="273">
      <c r="A273" s="2" t="s">
        <v>1952</v>
      </c>
      <c r="B273" s="2" t="s">
        <v>970</v>
      </c>
      <c r="C273" s="2" t="s">
        <v>300</v>
      </c>
      <c r="D273" s="2" t="s">
        <v>971</v>
      </c>
      <c r="E273" s="2" t="s">
        <v>1940</v>
      </c>
      <c r="F273" s="2" t="s">
        <v>1941</v>
      </c>
      <c r="G273" s="2" t="s">
        <v>1942</v>
      </c>
      <c r="H273" s="2" t="s">
        <v>1943</v>
      </c>
      <c r="I273" s="2" t="s">
        <v>1944</v>
      </c>
      <c r="J273" s="2" t="s">
        <v>1300</v>
      </c>
      <c r="K273" s="2" t="s">
        <v>249</v>
      </c>
      <c r="L273" s="3">
        <v>19.35</v>
      </c>
      <c r="M273" s="3">
        <v>20.32</v>
      </c>
      <c r="N273" s="3">
        <v>42.99</v>
      </c>
      <c r="O273" s="2" t="s">
        <v>240</v>
      </c>
      <c r="P273" s="2" t="s">
        <v>266</v>
      </c>
      <c r="Q273" s="2" t="s">
        <v>234</v>
      </c>
      <c r="R273" s="2" t="s">
        <v>228</v>
      </c>
      <c r="S273" s="2" t="s">
        <v>1945</v>
      </c>
      <c r="T273" s="2" t="s">
        <v>228</v>
      </c>
      <c r="U273" s="2" t="s">
        <v>416</v>
      </c>
      <c r="V273" s="2" t="s">
        <v>1946</v>
      </c>
      <c r="W273" s="2" t="s">
        <v>417</v>
      </c>
      <c r="X273" s="2" t="s">
        <v>1345</v>
      </c>
      <c r="Y273" s="2" t="s">
        <v>270</v>
      </c>
      <c r="Z273" s="4">
        <v>50</v>
      </c>
      <c r="AA273" s="4">
        <f>=ROUNDDOWN(8.33333333333333,0)</f>
      </c>
      <c r="AB273" s="5">
        <v>6</v>
      </c>
      <c r="AC273" s="2" t="s">
        <v>1947</v>
      </c>
      <c r="AD273" s="4">
        <v>100</v>
      </c>
      <c r="AE273" s="4">
        <v>140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228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228</v>
      </c>
      <c r="AW273" s="8" t="s">
        <v>228</v>
      </c>
      <c r="AX273" s="4" t="s">
        <v>228</v>
      </c>
      <c r="AY273" s="8" t="s">
        <v>228</v>
      </c>
      <c r="AZ273" s="7" t="s">
        <v>228</v>
      </c>
      <c r="BA273" s="7" t="s">
        <v>228</v>
      </c>
      <c r="BB273" s="7"/>
      <c r="BC273" s="4" t="s">
        <v>228</v>
      </c>
      <c r="BD273" s="8" t="s">
        <v>228</v>
      </c>
      <c r="BE273" s="4" t="s">
        <v>228</v>
      </c>
      <c r="BF273" s="8" t="s">
        <v>228</v>
      </c>
      <c r="BG273" s="7" t="s">
        <v>228</v>
      </c>
      <c r="BH273" s="7" t="s">
        <v>228</v>
      </c>
      <c r="BI273" s="7"/>
      <c r="BJ273" s="4">
        <v>30</v>
      </c>
      <c r="BK273" s="8">
        <v>575.54</v>
      </c>
      <c r="BL273" s="2" t="s">
        <v>1953</v>
      </c>
      <c r="BM273" s="7"/>
      <c r="BN273" s="7"/>
      <c r="BO273" s="4"/>
      <c r="BP273" s="8"/>
      <c r="BQ273" s="4"/>
      <c r="BR273" s="8"/>
      <c r="BS273" s="7"/>
      <c r="BT273" s="7"/>
      <c r="BU273" s="2" t="s">
        <v>1954</v>
      </c>
      <c r="BV273" s="2" t="s">
        <v>228</v>
      </c>
      <c r="BW273" s="2" t="s">
        <v>228</v>
      </c>
      <c r="BX273" s="2" t="s">
        <v>273</v>
      </c>
      <c r="BY273" s="2" t="s">
        <v>274</v>
      </c>
      <c r="BZ273" s="2" t="s">
        <v>240</v>
      </c>
      <c r="CA273" s="2" t="s">
        <v>1950</v>
      </c>
      <c r="CB273" s="2" t="s">
        <v>1955</v>
      </c>
      <c r="CC273" s="2" t="s">
        <v>241</v>
      </c>
      <c r="CD273" s="2" t="s">
        <v>228</v>
      </c>
      <c r="CE273" s="4">
        <v>50</v>
      </c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>
        <v>100</v>
      </c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>
        <v>40</v>
      </c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</row>
    <row r="274">
      <c r="A274" s="2" t="s">
        <v>1956</v>
      </c>
      <c r="B274" s="2" t="s">
        <v>970</v>
      </c>
      <c r="C274" s="2" t="s">
        <v>1861</v>
      </c>
      <c r="D274" s="2" t="s">
        <v>971</v>
      </c>
      <c r="E274" s="2" t="s">
        <v>972</v>
      </c>
      <c r="F274" s="2" t="s">
        <v>1957</v>
      </c>
      <c r="G274" s="2" t="s">
        <v>1957</v>
      </c>
      <c r="H274" s="2" t="s">
        <v>1957</v>
      </c>
      <c r="I274" s="2" t="s">
        <v>1958</v>
      </c>
      <c r="J274" s="2" t="s">
        <v>1959</v>
      </c>
      <c r="K274" s="2" t="s">
        <v>1960</v>
      </c>
      <c r="L274" s="3">
        <v>17.02</v>
      </c>
      <c r="M274" s="3">
        <v>17.87</v>
      </c>
      <c r="N274" s="3">
        <v>49.99</v>
      </c>
      <c r="O274" s="2" t="s">
        <v>240</v>
      </c>
      <c r="P274" s="2" t="s">
        <v>1012</v>
      </c>
      <c r="Q274" s="2" t="s">
        <v>234</v>
      </c>
      <c r="R274" s="2" t="s">
        <v>228</v>
      </c>
      <c r="S274" s="2" t="s">
        <v>228</v>
      </c>
      <c r="T274" s="2" t="s">
        <v>228</v>
      </c>
      <c r="U274" s="2" t="s">
        <v>416</v>
      </c>
      <c r="V274" s="2" t="s">
        <v>236</v>
      </c>
      <c r="W274" s="2" t="s">
        <v>309</v>
      </c>
      <c r="X274" s="2" t="s">
        <v>228</v>
      </c>
      <c r="Y274" s="2" t="s">
        <v>1961</v>
      </c>
      <c r="Z274" s="4"/>
      <c r="AA274" s="4">
        <f>=ROUNDDOWN({0},0)</f>
      </c>
      <c r="AB274" s="5">
        <v>0.9</v>
      </c>
      <c r="AC274" s="2" t="s">
        <v>228</v>
      </c>
      <c r="AD274" s="4"/>
      <c r="AE274" s="4"/>
      <c r="AF274" s="6">
        <v>65</v>
      </c>
      <c r="AG274" s="6"/>
      <c r="AH274" s="7">
        <v>0</v>
      </c>
      <c r="AI274" s="4"/>
      <c r="AJ274" s="4">
        <f>=ROUNDDOWN({0},0)</f>
      </c>
      <c r="AK274" s="5"/>
      <c r="AL274" s="2" t="s">
        <v>228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 t="s">
        <v>228</v>
      </c>
      <c r="BD274" s="8" t="s">
        <v>228</v>
      </c>
      <c r="BE274" s="4" t="s">
        <v>228</v>
      </c>
      <c r="BF274" s="8" t="s">
        <v>228</v>
      </c>
      <c r="BG274" s="7" t="s">
        <v>228</v>
      </c>
      <c r="BH274" s="7" t="s">
        <v>228</v>
      </c>
      <c r="BI274" s="7"/>
      <c r="BJ274" s="4"/>
      <c r="BK274" s="8"/>
      <c r="BL274" s="2" t="s">
        <v>1933</v>
      </c>
      <c r="BM274" s="7"/>
      <c r="BN274" s="7"/>
      <c r="BO274" s="4"/>
      <c r="BP274" s="8"/>
      <c r="BQ274" s="4"/>
      <c r="BR274" s="8"/>
      <c r="BS274" s="7"/>
      <c r="BT274" s="7"/>
      <c r="BU274" s="2" t="s">
        <v>1962</v>
      </c>
      <c r="BV274" s="2" t="s">
        <v>228</v>
      </c>
      <c r="BW274" s="2" t="s">
        <v>228</v>
      </c>
      <c r="BX274" s="2" t="s">
        <v>273</v>
      </c>
      <c r="BY274" s="2" t="s">
        <v>274</v>
      </c>
      <c r="BZ274" s="2" t="s">
        <v>240</v>
      </c>
      <c r="CA274" s="2" t="s">
        <v>1963</v>
      </c>
      <c r="CB274" s="2" t="s">
        <v>396</v>
      </c>
      <c r="CC274" s="2" t="s">
        <v>241</v>
      </c>
      <c r="CD274" s="2" t="s">
        <v>228</v>
      </c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</row>
    <row r="275">
      <c r="A275" s="2" t="s">
        <v>1964</v>
      </c>
      <c r="B275" s="2" t="s">
        <v>970</v>
      </c>
      <c r="C275" s="2" t="s">
        <v>1861</v>
      </c>
      <c r="D275" s="2" t="s">
        <v>971</v>
      </c>
      <c r="E275" s="2" t="s">
        <v>972</v>
      </c>
      <c r="F275" s="2" t="s">
        <v>1957</v>
      </c>
      <c r="G275" s="2" t="s">
        <v>1957</v>
      </c>
      <c r="H275" s="2" t="s">
        <v>1957</v>
      </c>
      <c r="I275" s="2" t="s">
        <v>1965</v>
      </c>
      <c r="J275" s="2" t="s">
        <v>1966</v>
      </c>
      <c r="K275" s="2" t="s">
        <v>1967</v>
      </c>
      <c r="L275" s="3">
        <v>27.23</v>
      </c>
      <c r="M275" s="3">
        <v>28.59</v>
      </c>
      <c r="N275" s="3">
        <v>79.99</v>
      </c>
      <c r="O275" s="2" t="s">
        <v>240</v>
      </c>
      <c r="P275" s="2" t="s">
        <v>1012</v>
      </c>
      <c r="Q275" s="2" t="s">
        <v>234</v>
      </c>
      <c r="R275" s="2" t="s">
        <v>228</v>
      </c>
      <c r="S275" s="2" t="s">
        <v>228</v>
      </c>
      <c r="T275" s="2" t="s">
        <v>228</v>
      </c>
      <c r="U275" s="2" t="s">
        <v>416</v>
      </c>
      <c r="V275" s="2" t="s">
        <v>236</v>
      </c>
      <c r="W275" s="2" t="s">
        <v>309</v>
      </c>
      <c r="X275" s="2" t="s">
        <v>228</v>
      </c>
      <c r="Y275" s="2" t="s">
        <v>1961</v>
      </c>
      <c r="Z275" s="4">
        <v>93</v>
      </c>
      <c r="AA275" s="4">
        <f>=ROUNDDOWN(23.25,0)</f>
      </c>
      <c r="AB275" s="5">
        <v>4</v>
      </c>
      <c r="AC275" s="2" t="s">
        <v>197</v>
      </c>
      <c r="AD275" s="4">
        <v>92</v>
      </c>
      <c r="AE275" s="4">
        <v>92</v>
      </c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228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228</v>
      </c>
      <c r="AW275" s="8" t="s">
        <v>228</v>
      </c>
      <c r="AX275" s="4" t="s">
        <v>228</v>
      </c>
      <c r="AY275" s="8" t="s">
        <v>228</v>
      </c>
      <c r="AZ275" s="7" t="s">
        <v>228</v>
      </c>
      <c r="BA275" s="7" t="s">
        <v>228</v>
      </c>
      <c r="BB275" s="7"/>
      <c r="BC275" s="4" t="s">
        <v>228</v>
      </c>
      <c r="BD275" s="8" t="s">
        <v>228</v>
      </c>
      <c r="BE275" s="4" t="s">
        <v>228</v>
      </c>
      <c r="BF275" s="8" t="s">
        <v>228</v>
      </c>
      <c r="BG275" s="7" t="s">
        <v>228</v>
      </c>
      <c r="BH275" s="7" t="s">
        <v>228</v>
      </c>
      <c r="BI275" s="7"/>
      <c r="BJ275" s="4"/>
      <c r="BK275" s="8"/>
      <c r="BL275" s="2" t="s">
        <v>1968</v>
      </c>
      <c r="BM275" s="7"/>
      <c r="BN275" s="7"/>
      <c r="BO275" s="4"/>
      <c r="BP275" s="8"/>
      <c r="BQ275" s="4"/>
      <c r="BR275" s="8"/>
      <c r="BS275" s="7"/>
      <c r="BT275" s="7"/>
      <c r="BU275" s="2" t="s">
        <v>1969</v>
      </c>
      <c r="BV275" s="2" t="s">
        <v>228</v>
      </c>
      <c r="BW275" s="2" t="s">
        <v>228</v>
      </c>
      <c r="BX275" s="2" t="s">
        <v>273</v>
      </c>
      <c r="BY275" s="2" t="s">
        <v>274</v>
      </c>
      <c r="BZ275" s="2" t="s">
        <v>240</v>
      </c>
      <c r="CA275" s="2" t="s">
        <v>1963</v>
      </c>
      <c r="CB275" s="2" t="s">
        <v>514</v>
      </c>
      <c r="CC275" s="2" t="s">
        <v>241</v>
      </c>
      <c r="CD275" s="2" t="s">
        <v>228</v>
      </c>
      <c r="CE275" s="4">
        <v>93</v>
      </c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>
        <v>92</v>
      </c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</row>
    <row r="276">
      <c r="A276" s="2" t="s">
        <v>1970</v>
      </c>
      <c r="B276" s="2" t="s">
        <v>970</v>
      </c>
      <c r="C276" s="2" t="s">
        <v>1861</v>
      </c>
      <c r="D276" s="2" t="s">
        <v>971</v>
      </c>
      <c r="E276" s="2" t="s">
        <v>972</v>
      </c>
      <c r="F276" s="2" t="s">
        <v>1957</v>
      </c>
      <c r="G276" s="2" t="s">
        <v>1957</v>
      </c>
      <c r="H276" s="2" t="s">
        <v>1957</v>
      </c>
      <c r="I276" s="2" t="s">
        <v>1958</v>
      </c>
      <c r="J276" s="2" t="s">
        <v>1959</v>
      </c>
      <c r="K276" s="2" t="s">
        <v>1967</v>
      </c>
      <c r="L276" s="3">
        <v>17.02</v>
      </c>
      <c r="M276" s="3">
        <v>17.87</v>
      </c>
      <c r="N276" s="3">
        <v>49.99</v>
      </c>
      <c r="O276" s="2" t="s">
        <v>240</v>
      </c>
      <c r="P276" s="2" t="s">
        <v>1012</v>
      </c>
      <c r="Q276" s="2" t="s">
        <v>234</v>
      </c>
      <c r="R276" s="2" t="s">
        <v>228</v>
      </c>
      <c r="S276" s="2" t="s">
        <v>228</v>
      </c>
      <c r="T276" s="2" t="s">
        <v>228</v>
      </c>
      <c r="U276" s="2" t="s">
        <v>416</v>
      </c>
      <c r="V276" s="2" t="s">
        <v>236</v>
      </c>
      <c r="W276" s="2" t="s">
        <v>309</v>
      </c>
      <c r="X276" s="2" t="s">
        <v>228</v>
      </c>
      <c r="Y276" s="2" t="s">
        <v>1961</v>
      </c>
      <c r="Z276" s="4">
        <v>70</v>
      </c>
      <c r="AA276" s="4">
        <f>=ROUNDDOWN(17.5,0)</f>
      </c>
      <c r="AB276" s="5">
        <v>4</v>
      </c>
      <c r="AC276" s="2" t="s">
        <v>173</v>
      </c>
      <c r="AD276" s="4">
        <v>208</v>
      </c>
      <c r="AE276" s="4">
        <v>208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228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228</v>
      </c>
      <c r="AW276" s="8" t="s">
        <v>228</v>
      </c>
      <c r="AX276" s="4" t="s">
        <v>228</v>
      </c>
      <c r="AY276" s="8" t="s">
        <v>228</v>
      </c>
      <c r="AZ276" s="7" t="s">
        <v>228</v>
      </c>
      <c r="BA276" s="7" t="s">
        <v>228</v>
      </c>
      <c r="BB276" s="7"/>
      <c r="BC276" s="4" t="s">
        <v>228</v>
      </c>
      <c r="BD276" s="8" t="s">
        <v>228</v>
      </c>
      <c r="BE276" s="4" t="s">
        <v>228</v>
      </c>
      <c r="BF276" s="8" t="s">
        <v>228</v>
      </c>
      <c r="BG276" s="7" t="s">
        <v>228</v>
      </c>
      <c r="BH276" s="7" t="s">
        <v>228</v>
      </c>
      <c r="BI276" s="7"/>
      <c r="BJ276" s="4">
        <v>25</v>
      </c>
      <c r="BK276" s="8">
        <v>450.25</v>
      </c>
      <c r="BL276" s="2" t="s">
        <v>1971</v>
      </c>
      <c r="BM276" s="7"/>
      <c r="BN276" s="7"/>
      <c r="BO276" s="4"/>
      <c r="BP276" s="8"/>
      <c r="BQ276" s="4"/>
      <c r="BR276" s="8"/>
      <c r="BS276" s="7"/>
      <c r="BT276" s="7"/>
      <c r="BU276" s="2" t="s">
        <v>1972</v>
      </c>
      <c r="BV276" s="2" t="s">
        <v>228</v>
      </c>
      <c r="BW276" s="2" t="s">
        <v>228</v>
      </c>
      <c r="BX276" s="2" t="s">
        <v>273</v>
      </c>
      <c r="BY276" s="2" t="s">
        <v>274</v>
      </c>
      <c r="BZ276" s="2" t="s">
        <v>240</v>
      </c>
      <c r="CA276" s="2" t="s">
        <v>1963</v>
      </c>
      <c r="CB276" s="2" t="s">
        <v>228</v>
      </c>
      <c r="CC276" s="2" t="s">
        <v>241</v>
      </c>
      <c r="CD276" s="2" t="s">
        <v>228</v>
      </c>
      <c r="CE276" s="4">
        <v>70</v>
      </c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>
        <v>208</v>
      </c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</row>
    <row r="277">
      <c r="A277" s="2" t="s">
        <v>1973</v>
      </c>
      <c r="B277" s="2" t="s">
        <v>970</v>
      </c>
      <c r="C277" s="2" t="s">
        <v>1861</v>
      </c>
      <c r="D277" s="2" t="s">
        <v>971</v>
      </c>
      <c r="E277" s="2" t="s">
        <v>972</v>
      </c>
      <c r="F277" s="2" t="s">
        <v>1957</v>
      </c>
      <c r="G277" s="2" t="s">
        <v>1957</v>
      </c>
      <c r="H277" s="2" t="s">
        <v>1957</v>
      </c>
      <c r="I277" s="2" t="s">
        <v>1965</v>
      </c>
      <c r="J277" s="2" t="s">
        <v>1966</v>
      </c>
      <c r="K277" s="2" t="s">
        <v>823</v>
      </c>
      <c r="L277" s="3">
        <v>27.23</v>
      </c>
      <c r="M277" s="3">
        <v>28.59</v>
      </c>
      <c r="N277" s="3">
        <v>79.99</v>
      </c>
      <c r="O277" s="2" t="s">
        <v>240</v>
      </c>
      <c r="P277" s="2" t="s">
        <v>1012</v>
      </c>
      <c r="Q277" s="2" t="s">
        <v>234</v>
      </c>
      <c r="R277" s="2" t="s">
        <v>228</v>
      </c>
      <c r="S277" s="2" t="s">
        <v>228</v>
      </c>
      <c r="T277" s="2" t="s">
        <v>228</v>
      </c>
      <c r="U277" s="2" t="s">
        <v>416</v>
      </c>
      <c r="V277" s="2" t="s">
        <v>236</v>
      </c>
      <c r="W277" s="2" t="s">
        <v>309</v>
      </c>
      <c r="X277" s="2" t="s">
        <v>228</v>
      </c>
      <c r="Y277" s="2" t="s">
        <v>1961</v>
      </c>
      <c r="Z277" s="4">
        <v>111</v>
      </c>
      <c r="AA277" s="4">
        <f>=ROUNDDOWN(111,0)</f>
      </c>
      <c r="AB277" s="5">
        <v>1</v>
      </c>
      <c r="AC277" s="2" t="s">
        <v>228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228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228</v>
      </c>
      <c r="AW277" s="8" t="s">
        <v>228</v>
      </c>
      <c r="AX277" s="4" t="s">
        <v>228</v>
      </c>
      <c r="AY277" s="8" t="s">
        <v>228</v>
      </c>
      <c r="AZ277" s="7" t="s">
        <v>228</v>
      </c>
      <c r="BA277" s="7" t="s">
        <v>228</v>
      </c>
      <c r="BB277" s="7"/>
      <c r="BC277" s="4" t="s">
        <v>228</v>
      </c>
      <c r="BD277" s="8" t="s">
        <v>228</v>
      </c>
      <c r="BE277" s="4" t="s">
        <v>228</v>
      </c>
      <c r="BF277" s="8" t="s">
        <v>228</v>
      </c>
      <c r="BG277" s="7" t="s">
        <v>228</v>
      </c>
      <c r="BH277" s="7" t="s">
        <v>228</v>
      </c>
      <c r="BI277" s="7"/>
      <c r="BJ277" s="4"/>
      <c r="BK277" s="8"/>
      <c r="BL277" s="2" t="s">
        <v>1968</v>
      </c>
      <c r="BM277" s="7"/>
      <c r="BN277" s="7"/>
      <c r="BO277" s="4"/>
      <c r="BP277" s="8"/>
      <c r="BQ277" s="4"/>
      <c r="BR277" s="8"/>
      <c r="BS277" s="7"/>
      <c r="BT277" s="7"/>
      <c r="BU277" s="2" t="s">
        <v>1974</v>
      </c>
      <c r="BV277" s="2" t="s">
        <v>228</v>
      </c>
      <c r="BW277" s="2" t="s">
        <v>228</v>
      </c>
      <c r="BX277" s="2" t="s">
        <v>273</v>
      </c>
      <c r="BY277" s="2" t="s">
        <v>274</v>
      </c>
      <c r="BZ277" s="2" t="s">
        <v>240</v>
      </c>
      <c r="CA277" s="2" t="s">
        <v>1963</v>
      </c>
      <c r="CB277" s="2" t="s">
        <v>936</v>
      </c>
      <c r="CC277" s="2" t="s">
        <v>241</v>
      </c>
      <c r="CD277" s="2" t="s">
        <v>228</v>
      </c>
      <c r="CE277" s="4">
        <v>111</v>
      </c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</row>
    <row r="278">
      <c r="A278" s="2" t="s">
        <v>1975</v>
      </c>
      <c r="B278" s="2" t="s">
        <v>970</v>
      </c>
      <c r="C278" s="2" t="s">
        <v>1861</v>
      </c>
      <c r="D278" s="2" t="s">
        <v>971</v>
      </c>
      <c r="E278" s="2" t="s">
        <v>972</v>
      </c>
      <c r="F278" s="2" t="s">
        <v>1957</v>
      </c>
      <c r="G278" s="2" t="s">
        <v>1957</v>
      </c>
      <c r="H278" s="2" t="s">
        <v>1957</v>
      </c>
      <c r="I278" s="2" t="s">
        <v>1958</v>
      </c>
      <c r="J278" s="2" t="s">
        <v>1959</v>
      </c>
      <c r="K278" s="2" t="s">
        <v>823</v>
      </c>
      <c r="L278" s="3">
        <v>17.02</v>
      </c>
      <c r="M278" s="3">
        <v>17.87</v>
      </c>
      <c r="N278" s="3">
        <v>49.99</v>
      </c>
      <c r="O278" s="2" t="s">
        <v>240</v>
      </c>
      <c r="P278" s="2" t="s">
        <v>1012</v>
      </c>
      <c r="Q278" s="2" t="s">
        <v>234</v>
      </c>
      <c r="R278" s="2" t="s">
        <v>228</v>
      </c>
      <c r="S278" s="2" t="s">
        <v>228</v>
      </c>
      <c r="T278" s="2" t="s">
        <v>228</v>
      </c>
      <c r="U278" s="2" t="s">
        <v>416</v>
      </c>
      <c r="V278" s="2" t="s">
        <v>236</v>
      </c>
      <c r="W278" s="2" t="s">
        <v>309</v>
      </c>
      <c r="X278" s="2" t="s">
        <v>228</v>
      </c>
      <c r="Y278" s="2" t="s">
        <v>1961</v>
      </c>
      <c r="Z278" s="4"/>
      <c r="AA278" s="4">
        <f>=ROUNDDOWN({0},0)</f>
      </c>
      <c r="AB278" s="5">
        <v>3</v>
      </c>
      <c r="AC278" s="2" t="s">
        <v>228</v>
      </c>
      <c r="AD278" s="4"/>
      <c r="AE278" s="4"/>
      <c r="AF278" s="6">
        <v>65</v>
      </c>
      <c r="AG278" s="6"/>
      <c r="AH278" s="7">
        <v>0</v>
      </c>
      <c r="AI278" s="4"/>
      <c r="AJ278" s="4">
        <f>=ROUNDDOWN({0},0)</f>
      </c>
      <c r="AK278" s="5"/>
      <c r="AL278" s="2" t="s">
        <v>228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228</v>
      </c>
      <c r="AW278" s="8" t="s">
        <v>228</v>
      </c>
      <c r="AX278" s="4" t="s">
        <v>228</v>
      </c>
      <c r="AY278" s="8" t="s">
        <v>228</v>
      </c>
      <c r="AZ278" s="7" t="s">
        <v>228</v>
      </c>
      <c r="BA278" s="7" t="s">
        <v>228</v>
      </c>
      <c r="BB278" s="7"/>
      <c r="BC278" s="4" t="s">
        <v>228</v>
      </c>
      <c r="BD278" s="8" t="s">
        <v>228</v>
      </c>
      <c r="BE278" s="4" t="s">
        <v>228</v>
      </c>
      <c r="BF278" s="8" t="s">
        <v>228</v>
      </c>
      <c r="BG278" s="7" t="s">
        <v>228</v>
      </c>
      <c r="BH278" s="7" t="s">
        <v>228</v>
      </c>
      <c r="BI278" s="7"/>
      <c r="BJ278" s="4"/>
      <c r="BK278" s="8"/>
      <c r="BL278" s="2" t="s">
        <v>1976</v>
      </c>
      <c r="BM278" s="7"/>
      <c r="BN278" s="7"/>
      <c r="BO278" s="4"/>
      <c r="BP278" s="8"/>
      <c r="BQ278" s="4"/>
      <c r="BR278" s="8"/>
      <c r="BS278" s="7"/>
      <c r="BT278" s="7"/>
      <c r="BU278" s="2" t="s">
        <v>1977</v>
      </c>
      <c r="BV278" s="2" t="s">
        <v>228</v>
      </c>
      <c r="BW278" s="2" t="s">
        <v>228</v>
      </c>
      <c r="BX278" s="2" t="s">
        <v>273</v>
      </c>
      <c r="BY278" s="2" t="s">
        <v>274</v>
      </c>
      <c r="BZ278" s="2" t="s">
        <v>240</v>
      </c>
      <c r="CA278" s="2" t="s">
        <v>1963</v>
      </c>
      <c r="CB278" s="2" t="s">
        <v>1978</v>
      </c>
      <c r="CC278" s="2" t="s">
        <v>241</v>
      </c>
      <c r="CD278" s="2" t="s">
        <v>228</v>
      </c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</row>
    <row r="279">
      <c r="A279" s="2" t="s">
        <v>1979</v>
      </c>
      <c r="B279" s="2" t="s">
        <v>970</v>
      </c>
      <c r="C279" s="2" t="s">
        <v>849</v>
      </c>
      <c r="D279" s="2" t="s">
        <v>1980</v>
      </c>
      <c r="E279" s="2" t="s">
        <v>1981</v>
      </c>
      <c r="F279" s="2" t="s">
        <v>1982</v>
      </c>
      <c r="G279" s="2" t="s">
        <v>1983</v>
      </c>
      <c r="H279" s="2" t="s">
        <v>1984</v>
      </c>
      <c r="I279" s="2" t="s">
        <v>1985</v>
      </c>
      <c r="J279" s="2" t="s">
        <v>1986</v>
      </c>
      <c r="K279" s="2" t="s">
        <v>978</v>
      </c>
      <c r="L279" s="3">
        <v>24.85</v>
      </c>
      <c r="M279" s="3">
        <v>26.09</v>
      </c>
      <c r="N279" s="3">
        <v>49.99</v>
      </c>
      <c r="O279" s="2" t="s">
        <v>240</v>
      </c>
      <c r="P279" s="2" t="s">
        <v>233</v>
      </c>
      <c r="Q279" s="2" t="s">
        <v>234</v>
      </c>
      <c r="R279" s="2" t="s">
        <v>228</v>
      </c>
      <c r="S279" s="2" t="s">
        <v>1987</v>
      </c>
      <c r="T279" s="2" t="s">
        <v>228</v>
      </c>
      <c r="U279" s="2" t="s">
        <v>416</v>
      </c>
      <c r="V279" s="2" t="s">
        <v>236</v>
      </c>
      <c r="W279" s="2" t="s">
        <v>269</v>
      </c>
      <c r="X279" s="2" t="s">
        <v>228</v>
      </c>
      <c r="Y279" s="2" t="s">
        <v>228</v>
      </c>
      <c r="Z279" s="4"/>
      <c r="AA279" s="4">
        <f>=ROUNDDOWN({0},0)</f>
      </c>
      <c r="AB279" s="5">
        <v>30</v>
      </c>
      <c r="AC279" s="2" t="s">
        <v>184</v>
      </c>
      <c r="AD279" s="4">
        <v>300</v>
      </c>
      <c r="AE279" s="4">
        <v>970</v>
      </c>
      <c r="AF279" s="6">
        <v>65</v>
      </c>
      <c r="AG279" s="6"/>
      <c r="AH279" s="7"/>
      <c r="AI279" s="4"/>
      <c r="AJ279" s="4">
        <f>=ROUNDDOWN({0},0)</f>
      </c>
      <c r="AK279" s="5"/>
      <c r="AL279" s="2" t="s">
        <v>228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 t="s">
        <v>228</v>
      </c>
      <c r="BD279" s="8" t="s">
        <v>228</v>
      </c>
      <c r="BE279" s="4" t="s">
        <v>228</v>
      </c>
      <c r="BF279" s="8" t="s">
        <v>228</v>
      </c>
      <c r="BG279" s="7" t="s">
        <v>228</v>
      </c>
      <c r="BH279" s="7" t="s">
        <v>228</v>
      </c>
      <c r="BI279" s="7"/>
      <c r="BJ279" s="4"/>
      <c r="BK279" s="8"/>
      <c r="BL279" s="2" t="s">
        <v>228</v>
      </c>
      <c r="BM279" s="7"/>
      <c r="BN279" s="7"/>
      <c r="BO279" s="4"/>
      <c r="BP279" s="8"/>
      <c r="BQ279" s="4"/>
      <c r="BR279" s="8"/>
      <c r="BS279" s="7"/>
      <c r="BT279" s="7"/>
      <c r="BU279" s="2" t="s">
        <v>238</v>
      </c>
      <c r="BV279" s="2" t="s">
        <v>228</v>
      </c>
      <c r="BW279" s="2" t="s">
        <v>228</v>
      </c>
      <c r="BX279" s="2" t="s">
        <v>238</v>
      </c>
      <c r="BY279" s="2" t="s">
        <v>239</v>
      </c>
      <c r="BZ279" s="2" t="s">
        <v>240</v>
      </c>
      <c r="CA279" s="2" t="s">
        <v>228</v>
      </c>
      <c r="CB279" s="2" t="s">
        <v>228</v>
      </c>
      <c r="CC279" s="2" t="s">
        <v>241</v>
      </c>
      <c r="CD279" s="2" t="s">
        <v>228</v>
      </c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>
        <v>300</v>
      </c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>
        <v>670</v>
      </c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</row>
    <row r="280">
      <c r="A280" s="2" t="s">
        <v>1988</v>
      </c>
      <c r="B280" s="2" t="s">
        <v>970</v>
      </c>
      <c r="C280" s="2" t="s">
        <v>849</v>
      </c>
      <c r="D280" s="2" t="s">
        <v>1980</v>
      </c>
      <c r="E280" s="2" t="s">
        <v>1981</v>
      </c>
      <c r="F280" s="2" t="s">
        <v>1982</v>
      </c>
      <c r="G280" s="2" t="s">
        <v>1983</v>
      </c>
      <c r="H280" s="2" t="s">
        <v>1984</v>
      </c>
      <c r="I280" s="2" t="s">
        <v>1985</v>
      </c>
      <c r="J280" s="2" t="s">
        <v>1986</v>
      </c>
      <c r="K280" s="2" t="s">
        <v>556</v>
      </c>
      <c r="L280" s="3">
        <v>24.85</v>
      </c>
      <c r="M280" s="3">
        <v>26.09</v>
      </c>
      <c r="N280" s="3">
        <v>49.99</v>
      </c>
      <c r="O280" s="2" t="s">
        <v>240</v>
      </c>
      <c r="P280" s="2" t="s">
        <v>233</v>
      </c>
      <c r="Q280" s="2" t="s">
        <v>234</v>
      </c>
      <c r="R280" s="2" t="s">
        <v>228</v>
      </c>
      <c r="S280" s="2" t="s">
        <v>1989</v>
      </c>
      <c r="T280" s="2" t="s">
        <v>228</v>
      </c>
      <c r="U280" s="2" t="s">
        <v>416</v>
      </c>
      <c r="V280" s="2" t="s">
        <v>236</v>
      </c>
      <c r="W280" s="2" t="s">
        <v>269</v>
      </c>
      <c r="X280" s="2" t="s">
        <v>228</v>
      </c>
      <c r="Y280" s="2" t="s">
        <v>228</v>
      </c>
      <c r="Z280" s="4"/>
      <c r="AA280" s="4">
        <f>=ROUNDDOWN({0},0)</f>
      </c>
      <c r="AB280" s="5">
        <v>30</v>
      </c>
      <c r="AC280" s="2" t="s">
        <v>184</v>
      </c>
      <c r="AD280" s="4">
        <v>300</v>
      </c>
      <c r="AE280" s="4">
        <v>1240</v>
      </c>
      <c r="AF280" s="6">
        <v>65</v>
      </c>
      <c r="AG280" s="6"/>
      <c r="AH280" s="7"/>
      <c r="AI280" s="4"/>
      <c r="AJ280" s="4">
        <f>=ROUNDDOWN({0},0)</f>
      </c>
      <c r="AK280" s="5"/>
      <c r="AL280" s="2" t="s">
        <v>228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 t="s">
        <v>228</v>
      </c>
      <c r="BD280" s="8" t="s">
        <v>228</v>
      </c>
      <c r="BE280" s="4" t="s">
        <v>228</v>
      </c>
      <c r="BF280" s="8" t="s">
        <v>228</v>
      </c>
      <c r="BG280" s="7" t="s">
        <v>228</v>
      </c>
      <c r="BH280" s="7" t="s">
        <v>228</v>
      </c>
      <c r="BI280" s="7"/>
      <c r="BJ280" s="4"/>
      <c r="BK280" s="8"/>
      <c r="BL280" s="2" t="s">
        <v>228</v>
      </c>
      <c r="BM280" s="7"/>
      <c r="BN280" s="7"/>
      <c r="BO280" s="4"/>
      <c r="BP280" s="8"/>
      <c r="BQ280" s="4"/>
      <c r="BR280" s="8"/>
      <c r="BS280" s="7"/>
      <c r="BT280" s="7"/>
      <c r="BU280" s="2" t="s">
        <v>238</v>
      </c>
      <c r="BV280" s="2" t="s">
        <v>228</v>
      </c>
      <c r="BW280" s="2" t="s">
        <v>228</v>
      </c>
      <c r="BX280" s="2" t="s">
        <v>238</v>
      </c>
      <c r="BY280" s="2" t="s">
        <v>239</v>
      </c>
      <c r="BZ280" s="2" t="s">
        <v>240</v>
      </c>
      <c r="CA280" s="2" t="s">
        <v>228</v>
      </c>
      <c r="CB280" s="2" t="s">
        <v>228</v>
      </c>
      <c r="CC280" s="2" t="s">
        <v>241</v>
      </c>
      <c r="CD280" s="2" t="s">
        <v>228</v>
      </c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>
        <v>300</v>
      </c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>
        <v>940</v>
      </c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</row>
    <row r="281">
      <c r="A281" s="2" t="s">
        <v>1990</v>
      </c>
      <c r="B281" s="2" t="s">
        <v>970</v>
      </c>
      <c r="C281" s="2" t="s">
        <v>849</v>
      </c>
      <c r="D281" s="2" t="s">
        <v>1980</v>
      </c>
      <c r="E281" s="2" t="s">
        <v>1981</v>
      </c>
      <c r="F281" s="2" t="s">
        <v>1982</v>
      </c>
      <c r="G281" s="2" t="s">
        <v>1983</v>
      </c>
      <c r="H281" s="2" t="s">
        <v>1984</v>
      </c>
      <c r="I281" s="2" t="s">
        <v>1985</v>
      </c>
      <c r="J281" s="2" t="s">
        <v>1991</v>
      </c>
      <c r="K281" s="2" t="s">
        <v>1992</v>
      </c>
      <c r="L281" s="3">
        <v>20.7</v>
      </c>
      <c r="M281" s="3">
        <v>21.74</v>
      </c>
      <c r="N281" s="3">
        <v>44.99</v>
      </c>
      <c r="O281" s="2" t="s">
        <v>240</v>
      </c>
      <c r="P281" s="2" t="s">
        <v>233</v>
      </c>
      <c r="Q281" s="2" t="s">
        <v>234</v>
      </c>
      <c r="R281" s="2" t="s">
        <v>228</v>
      </c>
      <c r="S281" s="2" t="s">
        <v>1993</v>
      </c>
      <c r="T281" s="2" t="s">
        <v>228</v>
      </c>
      <c r="U281" s="2" t="s">
        <v>416</v>
      </c>
      <c r="V281" s="2" t="s">
        <v>236</v>
      </c>
      <c r="W281" s="2" t="s">
        <v>269</v>
      </c>
      <c r="X281" s="2" t="s">
        <v>228</v>
      </c>
      <c r="Y281" s="2" t="s">
        <v>1994</v>
      </c>
      <c r="Z281" s="4">
        <v>526</v>
      </c>
      <c r="AA281" s="4">
        <f>=ROUNDDOWN(16.9677419354839,0)</f>
      </c>
      <c r="AB281" s="5">
        <v>31</v>
      </c>
      <c r="AC281" s="2" t="s">
        <v>1352</v>
      </c>
      <c r="AD281" s="4">
        <v>659</v>
      </c>
      <c r="AE281" s="4">
        <v>659</v>
      </c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228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 t="s">
        <v>228</v>
      </c>
      <c r="BD281" s="8" t="s">
        <v>228</v>
      </c>
      <c r="BE281" s="4" t="s">
        <v>228</v>
      </c>
      <c r="BF281" s="8" t="s">
        <v>228</v>
      </c>
      <c r="BG281" s="7" t="s">
        <v>228</v>
      </c>
      <c r="BH281" s="7" t="s">
        <v>228</v>
      </c>
      <c r="BI281" s="7"/>
      <c r="BJ281" s="4">
        <v>98</v>
      </c>
      <c r="BK281" s="8">
        <v>2332.4</v>
      </c>
      <c r="BL281" s="2" t="s">
        <v>1222</v>
      </c>
      <c r="BM281" s="7"/>
      <c r="BN281" s="7"/>
      <c r="BO281" s="4"/>
      <c r="BP281" s="8"/>
      <c r="BQ281" s="4"/>
      <c r="BR281" s="8"/>
      <c r="BS281" s="7"/>
      <c r="BT281" s="7"/>
      <c r="BU281" s="2" t="s">
        <v>1995</v>
      </c>
      <c r="BV281" s="2" t="s">
        <v>228</v>
      </c>
      <c r="BW281" s="2" t="s">
        <v>228</v>
      </c>
      <c r="BX281" s="2" t="s">
        <v>238</v>
      </c>
      <c r="BY281" s="2" t="s">
        <v>274</v>
      </c>
      <c r="BZ281" s="2" t="s">
        <v>240</v>
      </c>
      <c r="CA281" s="2" t="s">
        <v>1996</v>
      </c>
      <c r="CB281" s="2" t="s">
        <v>228</v>
      </c>
      <c r="CC281" s="2" t="s">
        <v>241</v>
      </c>
      <c r="CD281" s="2" t="s">
        <v>228</v>
      </c>
      <c r="CE281" s="4">
        <v>526</v>
      </c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>
        <v>659</v>
      </c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</row>
    <row r="282">
      <c r="A282" s="2" t="s">
        <v>1997</v>
      </c>
      <c r="B282" s="2" t="s">
        <v>970</v>
      </c>
      <c r="C282" s="2" t="s">
        <v>849</v>
      </c>
      <c r="D282" s="2" t="s">
        <v>1980</v>
      </c>
      <c r="E282" s="2" t="s">
        <v>1981</v>
      </c>
      <c r="F282" s="2" t="s">
        <v>1982</v>
      </c>
      <c r="G282" s="2" t="s">
        <v>1983</v>
      </c>
      <c r="H282" s="2" t="s">
        <v>1984</v>
      </c>
      <c r="I282" s="2" t="s">
        <v>1985</v>
      </c>
      <c r="J282" s="2" t="s">
        <v>1986</v>
      </c>
      <c r="K282" s="2" t="s">
        <v>480</v>
      </c>
      <c r="L282" s="3">
        <v>24.85</v>
      </c>
      <c r="M282" s="3">
        <v>26.09</v>
      </c>
      <c r="N282" s="3">
        <v>49.99</v>
      </c>
      <c r="O282" s="2" t="s">
        <v>240</v>
      </c>
      <c r="P282" s="2" t="s">
        <v>233</v>
      </c>
      <c r="Q282" s="2" t="s">
        <v>234</v>
      </c>
      <c r="R282" s="2" t="s">
        <v>228</v>
      </c>
      <c r="S282" s="2" t="s">
        <v>1998</v>
      </c>
      <c r="T282" s="2" t="s">
        <v>228</v>
      </c>
      <c r="U282" s="2" t="s">
        <v>416</v>
      </c>
      <c r="V282" s="2" t="s">
        <v>236</v>
      </c>
      <c r="W282" s="2" t="s">
        <v>269</v>
      </c>
      <c r="X282" s="2" t="s">
        <v>228</v>
      </c>
      <c r="Y282" s="2" t="s">
        <v>228</v>
      </c>
      <c r="Z282" s="4"/>
      <c r="AA282" s="4">
        <f>=ROUNDDOWN({0},0)</f>
      </c>
      <c r="AB282" s="5">
        <v>60</v>
      </c>
      <c r="AC282" s="2" t="s">
        <v>184</v>
      </c>
      <c r="AD282" s="4">
        <v>300</v>
      </c>
      <c r="AE282" s="4">
        <v>1390</v>
      </c>
      <c r="AF282" s="6">
        <v>65</v>
      </c>
      <c r="AG282" s="6"/>
      <c r="AH282" s="7"/>
      <c r="AI282" s="4"/>
      <c r="AJ282" s="4">
        <f>=ROUNDDOWN({0},0)</f>
      </c>
      <c r="AK282" s="5"/>
      <c r="AL282" s="2" t="s">
        <v>228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 t="s">
        <v>228</v>
      </c>
      <c r="BD282" s="8" t="s">
        <v>228</v>
      </c>
      <c r="BE282" s="4" t="s">
        <v>228</v>
      </c>
      <c r="BF282" s="8" t="s">
        <v>228</v>
      </c>
      <c r="BG282" s="7" t="s">
        <v>228</v>
      </c>
      <c r="BH282" s="7" t="s">
        <v>228</v>
      </c>
      <c r="BI282" s="7"/>
      <c r="BJ282" s="4"/>
      <c r="BK282" s="8"/>
      <c r="BL282" s="2" t="s">
        <v>228</v>
      </c>
      <c r="BM282" s="7"/>
      <c r="BN282" s="7"/>
      <c r="BO282" s="4"/>
      <c r="BP282" s="8"/>
      <c r="BQ282" s="4"/>
      <c r="BR282" s="8"/>
      <c r="BS282" s="7"/>
      <c r="BT282" s="7"/>
      <c r="BU282" s="2" t="s">
        <v>238</v>
      </c>
      <c r="BV282" s="2" t="s">
        <v>228</v>
      </c>
      <c r="BW282" s="2" t="s">
        <v>228</v>
      </c>
      <c r="BX282" s="2" t="s">
        <v>238</v>
      </c>
      <c r="BY282" s="2" t="s">
        <v>239</v>
      </c>
      <c r="BZ282" s="2" t="s">
        <v>240</v>
      </c>
      <c r="CA282" s="2" t="s">
        <v>228</v>
      </c>
      <c r="CB282" s="2" t="s">
        <v>228</v>
      </c>
      <c r="CC282" s="2" t="s">
        <v>241</v>
      </c>
      <c r="CD282" s="2" t="s">
        <v>228</v>
      </c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>
        <v>300</v>
      </c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>
        <v>1090</v>
      </c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</row>
    <row r="283">
      <c r="A283" s="2" t="s">
        <v>1999</v>
      </c>
      <c r="B283" s="2" t="s">
        <v>970</v>
      </c>
      <c r="C283" s="2" t="s">
        <v>849</v>
      </c>
      <c r="D283" s="2" t="s">
        <v>1980</v>
      </c>
      <c r="E283" s="2" t="s">
        <v>1981</v>
      </c>
      <c r="F283" s="2" t="s">
        <v>1982</v>
      </c>
      <c r="G283" s="2" t="s">
        <v>1983</v>
      </c>
      <c r="H283" s="2" t="s">
        <v>1984</v>
      </c>
      <c r="I283" s="2" t="s">
        <v>1985</v>
      </c>
      <c r="J283" s="2" t="s">
        <v>1986</v>
      </c>
      <c r="K283" s="2" t="s">
        <v>251</v>
      </c>
      <c r="L283" s="3">
        <v>24.85</v>
      </c>
      <c r="M283" s="3">
        <v>26.09</v>
      </c>
      <c r="N283" s="3">
        <v>49.99</v>
      </c>
      <c r="O283" s="2" t="s">
        <v>240</v>
      </c>
      <c r="P283" s="2" t="s">
        <v>233</v>
      </c>
      <c r="Q283" s="2" t="s">
        <v>234</v>
      </c>
      <c r="R283" s="2" t="s">
        <v>228</v>
      </c>
      <c r="S283" s="2" t="s">
        <v>1989</v>
      </c>
      <c r="T283" s="2" t="s">
        <v>228</v>
      </c>
      <c r="U283" s="2" t="s">
        <v>416</v>
      </c>
      <c r="V283" s="2" t="s">
        <v>236</v>
      </c>
      <c r="W283" s="2" t="s">
        <v>269</v>
      </c>
      <c r="X283" s="2" t="s">
        <v>228</v>
      </c>
      <c r="Y283" s="2" t="s">
        <v>228</v>
      </c>
      <c r="Z283" s="4"/>
      <c r="AA283" s="4">
        <f>=ROUNDDOWN({0},0)</f>
      </c>
      <c r="AB283" s="5">
        <v>30</v>
      </c>
      <c r="AC283" s="2" t="s">
        <v>184</v>
      </c>
      <c r="AD283" s="4">
        <v>300</v>
      </c>
      <c r="AE283" s="4">
        <v>1110</v>
      </c>
      <c r="AF283" s="6">
        <v>65</v>
      </c>
      <c r="AG283" s="6"/>
      <c r="AH283" s="7"/>
      <c r="AI283" s="4"/>
      <c r="AJ283" s="4">
        <f>=ROUNDDOWN({0},0)</f>
      </c>
      <c r="AK283" s="5"/>
      <c r="AL283" s="2" t="s">
        <v>228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 t="s">
        <v>228</v>
      </c>
      <c r="BD283" s="8" t="s">
        <v>228</v>
      </c>
      <c r="BE283" s="4" t="s">
        <v>228</v>
      </c>
      <c r="BF283" s="8" t="s">
        <v>228</v>
      </c>
      <c r="BG283" s="7" t="s">
        <v>228</v>
      </c>
      <c r="BH283" s="7" t="s">
        <v>228</v>
      </c>
      <c r="BI283" s="7"/>
      <c r="BJ283" s="4"/>
      <c r="BK283" s="8"/>
      <c r="BL283" s="2" t="s">
        <v>228</v>
      </c>
      <c r="BM283" s="7"/>
      <c r="BN283" s="7"/>
      <c r="BO283" s="4"/>
      <c r="BP283" s="8"/>
      <c r="BQ283" s="4"/>
      <c r="BR283" s="8"/>
      <c r="BS283" s="7"/>
      <c r="BT283" s="7"/>
      <c r="BU283" s="2" t="s">
        <v>238</v>
      </c>
      <c r="BV283" s="2" t="s">
        <v>228</v>
      </c>
      <c r="BW283" s="2" t="s">
        <v>228</v>
      </c>
      <c r="BX283" s="2" t="s">
        <v>238</v>
      </c>
      <c r="BY283" s="2" t="s">
        <v>239</v>
      </c>
      <c r="BZ283" s="2" t="s">
        <v>240</v>
      </c>
      <c r="CA283" s="2" t="s">
        <v>228</v>
      </c>
      <c r="CB283" s="2" t="s">
        <v>228</v>
      </c>
      <c r="CC283" s="2" t="s">
        <v>241</v>
      </c>
      <c r="CD283" s="2" t="s">
        <v>228</v>
      </c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>
        <v>300</v>
      </c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>
        <v>810</v>
      </c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</row>
    <row r="284">
      <c r="A284" s="2" t="s">
        <v>2000</v>
      </c>
      <c r="B284" s="2" t="s">
        <v>958</v>
      </c>
      <c r="C284" s="2" t="s">
        <v>835</v>
      </c>
      <c r="D284" s="2" t="s">
        <v>1564</v>
      </c>
      <c r="E284" s="2" t="s">
        <v>1692</v>
      </c>
      <c r="F284" s="2" t="s">
        <v>2001</v>
      </c>
      <c r="G284" s="2" t="s">
        <v>2001</v>
      </c>
      <c r="H284" s="2" t="s">
        <v>2001</v>
      </c>
      <c r="I284" s="2" t="s">
        <v>2002</v>
      </c>
      <c r="J284" s="2" t="s">
        <v>840</v>
      </c>
      <c r="K284" s="2" t="s">
        <v>1606</v>
      </c>
      <c r="L284" s="3">
        <v>117</v>
      </c>
      <c r="M284" s="3">
        <v>122.85</v>
      </c>
      <c r="N284" s="3">
        <v>249</v>
      </c>
      <c r="O284" s="2" t="s">
        <v>240</v>
      </c>
      <c r="P284" s="2" t="s">
        <v>233</v>
      </c>
      <c r="Q284" s="2" t="s">
        <v>234</v>
      </c>
      <c r="R284" s="2" t="s">
        <v>228</v>
      </c>
      <c r="S284" s="2" t="s">
        <v>228</v>
      </c>
      <c r="T284" s="2" t="s">
        <v>228</v>
      </c>
      <c r="U284" s="2" t="s">
        <v>416</v>
      </c>
      <c r="V284" s="2" t="s">
        <v>842</v>
      </c>
      <c r="W284" s="2" t="s">
        <v>269</v>
      </c>
      <c r="X284" s="2" t="s">
        <v>228</v>
      </c>
      <c r="Y284" s="2" t="s">
        <v>1415</v>
      </c>
      <c r="Z284" s="4">
        <v>68</v>
      </c>
      <c r="AA284" s="4">
        <f>=ROUNDDOWN({0},0)</f>
      </c>
      <c r="AB284" s="5"/>
      <c r="AC284" s="2" t="s">
        <v>228</v>
      </c>
      <c r="AD284" s="4"/>
      <c r="AE284" s="4"/>
      <c r="AF284" s="6">
        <v>66</v>
      </c>
      <c r="AG284" s="6"/>
      <c r="AH284" s="7">
        <v>1</v>
      </c>
      <c r="AI284" s="4"/>
      <c r="AJ284" s="4">
        <f>=ROUNDDOWN({0},0)</f>
      </c>
      <c r="AK284" s="5"/>
      <c r="AL284" s="2" t="s">
        <v>228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 t="s">
        <v>228</v>
      </c>
      <c r="BD284" s="8" t="s">
        <v>228</v>
      </c>
      <c r="BE284" s="4" t="s">
        <v>228</v>
      </c>
      <c r="BF284" s="8" t="s">
        <v>228</v>
      </c>
      <c r="BG284" s="7" t="s">
        <v>228</v>
      </c>
      <c r="BH284" s="7" t="s">
        <v>228</v>
      </c>
      <c r="BI284" s="7"/>
      <c r="BJ284" s="4"/>
      <c r="BK284" s="8"/>
      <c r="BL284" s="2" t="s">
        <v>228</v>
      </c>
      <c r="BM284" s="7"/>
      <c r="BN284" s="7"/>
      <c r="BO284" s="4"/>
      <c r="BP284" s="8"/>
      <c r="BQ284" s="4"/>
      <c r="BR284" s="8"/>
      <c r="BS284" s="7"/>
      <c r="BT284" s="7"/>
      <c r="BU284" s="2" t="s">
        <v>2003</v>
      </c>
      <c r="BV284" s="2" t="s">
        <v>228</v>
      </c>
      <c r="BW284" s="2" t="s">
        <v>228</v>
      </c>
      <c r="BX284" s="2" t="s">
        <v>238</v>
      </c>
      <c r="BY284" s="2" t="s">
        <v>274</v>
      </c>
      <c r="BZ284" s="2" t="s">
        <v>240</v>
      </c>
      <c r="CA284" s="2" t="s">
        <v>916</v>
      </c>
      <c r="CB284" s="2" t="s">
        <v>228</v>
      </c>
      <c r="CC284" s="2" t="s">
        <v>241</v>
      </c>
      <c r="CD284" s="2" t="s">
        <v>228</v>
      </c>
      <c r="CE284" s="4"/>
      <c r="CF284" s="4">
        <v>68</v>
      </c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</row>
    <row r="285">
      <c r="A285" s="2" t="s">
        <v>2004</v>
      </c>
      <c r="B285" s="2" t="s">
        <v>958</v>
      </c>
      <c r="C285" s="2" t="s">
        <v>835</v>
      </c>
      <c r="D285" s="2" t="s">
        <v>1564</v>
      </c>
      <c r="E285" s="2" t="s">
        <v>1692</v>
      </c>
      <c r="F285" s="2" t="s">
        <v>2001</v>
      </c>
      <c r="G285" s="2" t="s">
        <v>2001</v>
      </c>
      <c r="H285" s="2" t="s">
        <v>2001</v>
      </c>
      <c r="I285" s="2" t="s">
        <v>2002</v>
      </c>
      <c r="J285" s="2" t="s">
        <v>840</v>
      </c>
      <c r="K285" s="2" t="s">
        <v>1105</v>
      </c>
      <c r="L285" s="3">
        <v>117</v>
      </c>
      <c r="M285" s="3">
        <v>122.85</v>
      </c>
      <c r="N285" s="3">
        <v>249</v>
      </c>
      <c r="O285" s="2" t="s">
        <v>240</v>
      </c>
      <c r="P285" s="2" t="s">
        <v>233</v>
      </c>
      <c r="Q285" s="2" t="s">
        <v>234</v>
      </c>
      <c r="R285" s="2" t="s">
        <v>228</v>
      </c>
      <c r="S285" s="2" t="s">
        <v>228</v>
      </c>
      <c r="T285" s="2" t="s">
        <v>228</v>
      </c>
      <c r="U285" s="2" t="s">
        <v>416</v>
      </c>
      <c r="V285" s="2" t="s">
        <v>842</v>
      </c>
      <c r="W285" s="2" t="s">
        <v>269</v>
      </c>
      <c r="X285" s="2" t="s">
        <v>228</v>
      </c>
      <c r="Y285" s="2" t="s">
        <v>1415</v>
      </c>
      <c r="Z285" s="4">
        <v>69</v>
      </c>
      <c r="AA285" s="4">
        <f>=ROUNDDOWN({0},0)</f>
      </c>
      <c r="AB285" s="5"/>
      <c r="AC285" s="2" t="s">
        <v>228</v>
      </c>
      <c r="AD285" s="4"/>
      <c r="AE285" s="4"/>
      <c r="AF285" s="6">
        <v>66</v>
      </c>
      <c r="AG285" s="6"/>
      <c r="AH285" s="7">
        <v>1</v>
      </c>
      <c r="AI285" s="4"/>
      <c r="AJ285" s="4">
        <f>=ROUNDDOWN({0},0)</f>
      </c>
      <c r="AK285" s="5"/>
      <c r="AL285" s="2" t="s">
        <v>228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 t="s">
        <v>228</v>
      </c>
      <c r="BD285" s="8" t="s">
        <v>228</v>
      </c>
      <c r="BE285" s="4" t="s">
        <v>228</v>
      </c>
      <c r="BF285" s="8" t="s">
        <v>228</v>
      </c>
      <c r="BG285" s="7" t="s">
        <v>228</v>
      </c>
      <c r="BH285" s="7" t="s">
        <v>228</v>
      </c>
      <c r="BI285" s="7"/>
      <c r="BJ285" s="4"/>
      <c r="BK285" s="8"/>
      <c r="BL285" s="2" t="s">
        <v>228</v>
      </c>
      <c r="BM285" s="7"/>
      <c r="BN285" s="7"/>
      <c r="BO285" s="4"/>
      <c r="BP285" s="8"/>
      <c r="BQ285" s="4"/>
      <c r="BR285" s="8"/>
      <c r="BS285" s="7"/>
      <c r="BT285" s="7"/>
      <c r="BU285" s="2" t="s">
        <v>2005</v>
      </c>
      <c r="BV285" s="2" t="s">
        <v>228</v>
      </c>
      <c r="BW285" s="2" t="s">
        <v>228</v>
      </c>
      <c r="BX285" s="2" t="s">
        <v>238</v>
      </c>
      <c r="BY285" s="2" t="s">
        <v>274</v>
      </c>
      <c r="BZ285" s="2" t="s">
        <v>240</v>
      </c>
      <c r="CA285" s="2" t="s">
        <v>916</v>
      </c>
      <c r="CB285" s="2" t="s">
        <v>228</v>
      </c>
      <c r="CC285" s="2" t="s">
        <v>241</v>
      </c>
      <c r="CD285" s="2" t="s">
        <v>228</v>
      </c>
      <c r="CE285" s="4"/>
      <c r="CF285" s="4">
        <v>69</v>
      </c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</row>
    <row r="286">
      <c r="A286" s="2" t="s">
        <v>2006</v>
      </c>
      <c r="B286" s="2" t="s">
        <v>958</v>
      </c>
      <c r="C286" s="2" t="s">
        <v>835</v>
      </c>
      <c r="D286" s="2" t="s">
        <v>1564</v>
      </c>
      <c r="E286" s="2" t="s">
        <v>1692</v>
      </c>
      <c r="F286" s="2" t="s">
        <v>2001</v>
      </c>
      <c r="G286" s="2" t="s">
        <v>2001</v>
      </c>
      <c r="H286" s="2" t="s">
        <v>2001</v>
      </c>
      <c r="I286" s="2" t="s">
        <v>2002</v>
      </c>
      <c r="J286" s="2" t="s">
        <v>840</v>
      </c>
      <c r="K286" s="2" t="s">
        <v>460</v>
      </c>
      <c r="L286" s="3">
        <v>117</v>
      </c>
      <c r="M286" s="3">
        <v>122.85</v>
      </c>
      <c r="N286" s="3">
        <v>249</v>
      </c>
      <c r="O286" s="2" t="s">
        <v>240</v>
      </c>
      <c r="P286" s="2" t="s">
        <v>233</v>
      </c>
      <c r="Q286" s="2" t="s">
        <v>234</v>
      </c>
      <c r="R286" s="2" t="s">
        <v>228</v>
      </c>
      <c r="S286" s="2" t="s">
        <v>228</v>
      </c>
      <c r="T286" s="2" t="s">
        <v>228</v>
      </c>
      <c r="U286" s="2" t="s">
        <v>416</v>
      </c>
      <c r="V286" s="2" t="s">
        <v>842</v>
      </c>
      <c r="W286" s="2" t="s">
        <v>269</v>
      </c>
      <c r="X286" s="2" t="s">
        <v>228</v>
      </c>
      <c r="Y286" s="2" t="s">
        <v>1415</v>
      </c>
      <c r="Z286" s="4">
        <v>100</v>
      </c>
      <c r="AA286" s="4">
        <f>=ROUNDDOWN({0},0)</f>
      </c>
      <c r="AB286" s="5"/>
      <c r="AC286" s="2" t="s">
        <v>228</v>
      </c>
      <c r="AD286" s="4"/>
      <c r="AE286" s="4"/>
      <c r="AF286" s="6">
        <v>66</v>
      </c>
      <c r="AG286" s="6"/>
      <c r="AH286" s="7">
        <v>1</v>
      </c>
      <c r="AI286" s="4"/>
      <c r="AJ286" s="4">
        <f>=ROUNDDOWN({0},0)</f>
      </c>
      <c r="AK286" s="5"/>
      <c r="AL286" s="2" t="s">
        <v>228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 t="s">
        <v>228</v>
      </c>
      <c r="BD286" s="8" t="s">
        <v>228</v>
      </c>
      <c r="BE286" s="4" t="s">
        <v>228</v>
      </c>
      <c r="BF286" s="8" t="s">
        <v>228</v>
      </c>
      <c r="BG286" s="7" t="s">
        <v>228</v>
      </c>
      <c r="BH286" s="7" t="s">
        <v>228</v>
      </c>
      <c r="BI286" s="7"/>
      <c r="BJ286" s="4"/>
      <c r="BK286" s="8"/>
      <c r="BL286" s="2" t="s">
        <v>228</v>
      </c>
      <c r="BM286" s="7"/>
      <c r="BN286" s="7"/>
      <c r="BO286" s="4"/>
      <c r="BP286" s="8"/>
      <c r="BQ286" s="4"/>
      <c r="BR286" s="8"/>
      <c r="BS286" s="7"/>
      <c r="BT286" s="7"/>
      <c r="BU286" s="2" t="s">
        <v>2007</v>
      </c>
      <c r="BV286" s="2" t="s">
        <v>228</v>
      </c>
      <c r="BW286" s="2" t="s">
        <v>228</v>
      </c>
      <c r="BX286" s="2" t="s">
        <v>238</v>
      </c>
      <c r="BY286" s="2" t="s">
        <v>274</v>
      </c>
      <c r="BZ286" s="2" t="s">
        <v>240</v>
      </c>
      <c r="CA286" s="2" t="s">
        <v>916</v>
      </c>
      <c r="CB286" s="2" t="s">
        <v>228</v>
      </c>
      <c r="CC286" s="2" t="s">
        <v>241</v>
      </c>
      <c r="CD286" s="2" t="s">
        <v>228</v>
      </c>
      <c r="CE286" s="4"/>
      <c r="CF286" s="4">
        <v>100</v>
      </c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</row>
    <row r="287">
      <c r="A287" s="2" t="s">
        <v>2008</v>
      </c>
      <c r="B287" s="2" t="s">
        <v>958</v>
      </c>
      <c r="C287" s="2" t="s">
        <v>300</v>
      </c>
      <c r="D287" s="2" t="s">
        <v>959</v>
      </c>
      <c r="E287" s="2" t="s">
        <v>960</v>
      </c>
      <c r="F287" s="2" t="s">
        <v>2009</v>
      </c>
      <c r="G287" s="2" t="s">
        <v>2010</v>
      </c>
      <c r="H287" s="2" t="s">
        <v>2011</v>
      </c>
      <c r="I287" s="2" t="s">
        <v>964</v>
      </c>
      <c r="J287" s="2" t="s">
        <v>840</v>
      </c>
      <c r="K287" s="2" t="s">
        <v>265</v>
      </c>
      <c r="L287" s="3">
        <v>204.25</v>
      </c>
      <c r="M287" s="3">
        <v>214.46</v>
      </c>
      <c r="N287" s="3">
        <v>429</v>
      </c>
      <c r="O287" s="2" t="s">
        <v>240</v>
      </c>
      <c r="P287" s="2" t="s">
        <v>266</v>
      </c>
      <c r="Q287" s="2" t="s">
        <v>234</v>
      </c>
      <c r="R287" s="2" t="s">
        <v>228</v>
      </c>
      <c r="S287" s="2" t="s">
        <v>2012</v>
      </c>
      <c r="T287" s="2" t="s">
        <v>228</v>
      </c>
      <c r="U287" s="2" t="s">
        <v>228</v>
      </c>
      <c r="V287" s="2" t="s">
        <v>236</v>
      </c>
      <c r="W287" s="2" t="s">
        <v>417</v>
      </c>
      <c r="X287" s="2" t="s">
        <v>228</v>
      </c>
      <c r="Y287" s="2" t="s">
        <v>270</v>
      </c>
      <c r="Z287" s="4">
        <v>163</v>
      </c>
      <c r="AA287" s="4">
        <f>=ROUNDDOWN(40.75,0)</f>
      </c>
      <c r="AB287" s="5">
        <v>4</v>
      </c>
      <c r="AC287" s="2" t="s">
        <v>228</v>
      </c>
      <c r="AD287" s="4"/>
      <c r="AE287" s="4"/>
      <c r="AF287" s="6">
        <v>66</v>
      </c>
      <c r="AG287" s="6">
        <v>49</v>
      </c>
      <c r="AH287" s="7">
        <v>1</v>
      </c>
      <c r="AI287" s="4"/>
      <c r="AJ287" s="4">
        <f>=ROUNDDOWN({0},0)</f>
      </c>
      <c r="AK287" s="5"/>
      <c r="AL287" s="2" t="s">
        <v>228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 t="s">
        <v>228</v>
      </c>
      <c r="BD287" s="8" t="s">
        <v>228</v>
      </c>
      <c r="BE287" s="4" t="s">
        <v>228</v>
      </c>
      <c r="BF287" s="8" t="s">
        <v>228</v>
      </c>
      <c r="BG287" s="7" t="s">
        <v>228</v>
      </c>
      <c r="BH287" s="7" t="s">
        <v>228</v>
      </c>
      <c r="BI287" s="7"/>
      <c r="BJ287" s="4">
        <v>6</v>
      </c>
      <c r="BK287" s="8">
        <v>1169.55</v>
      </c>
      <c r="BL287" s="2" t="s">
        <v>2013</v>
      </c>
      <c r="BM287" s="7"/>
      <c r="BN287" s="7"/>
      <c r="BO287" s="4"/>
      <c r="BP287" s="8"/>
      <c r="BQ287" s="4"/>
      <c r="BR287" s="8"/>
      <c r="BS287" s="7"/>
      <c r="BT287" s="7"/>
      <c r="BU287" s="2" t="s">
        <v>2014</v>
      </c>
      <c r="BV287" s="2" t="s">
        <v>228</v>
      </c>
      <c r="BW287" s="2" t="s">
        <v>228</v>
      </c>
      <c r="BX287" s="2" t="s">
        <v>273</v>
      </c>
      <c r="BY287" s="2" t="s">
        <v>274</v>
      </c>
      <c r="BZ287" s="2" t="s">
        <v>240</v>
      </c>
      <c r="CA287" s="2" t="s">
        <v>275</v>
      </c>
      <c r="CB287" s="2" t="s">
        <v>2015</v>
      </c>
      <c r="CC287" s="2" t="s">
        <v>241</v>
      </c>
      <c r="CD287" s="2" t="s">
        <v>228</v>
      </c>
      <c r="CE287" s="4"/>
      <c r="CF287" s="4">
        <v>163</v>
      </c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</row>
    <row r="288">
      <c r="A288" s="2" t="s">
        <v>2016</v>
      </c>
      <c r="B288" s="2" t="s">
        <v>958</v>
      </c>
      <c r="C288" s="2" t="s">
        <v>300</v>
      </c>
      <c r="D288" s="2" t="s">
        <v>959</v>
      </c>
      <c r="E288" s="2" t="s">
        <v>960</v>
      </c>
      <c r="F288" s="2" t="s">
        <v>2009</v>
      </c>
      <c r="G288" s="2" t="s">
        <v>2010</v>
      </c>
      <c r="H288" s="2" t="s">
        <v>2011</v>
      </c>
      <c r="I288" s="2" t="s">
        <v>964</v>
      </c>
      <c r="J288" s="2" t="s">
        <v>840</v>
      </c>
      <c r="K288" s="2" t="s">
        <v>1061</v>
      </c>
      <c r="L288" s="3">
        <v>204.25</v>
      </c>
      <c r="M288" s="3">
        <v>214.46</v>
      </c>
      <c r="N288" s="3">
        <v>429</v>
      </c>
      <c r="O288" s="2" t="s">
        <v>240</v>
      </c>
      <c r="P288" s="2" t="s">
        <v>266</v>
      </c>
      <c r="Q288" s="2" t="s">
        <v>234</v>
      </c>
      <c r="R288" s="2" t="s">
        <v>228</v>
      </c>
      <c r="S288" s="2" t="s">
        <v>2017</v>
      </c>
      <c r="T288" s="2" t="s">
        <v>228</v>
      </c>
      <c r="U288" s="2" t="s">
        <v>228</v>
      </c>
      <c r="V288" s="2" t="s">
        <v>236</v>
      </c>
      <c r="W288" s="2" t="s">
        <v>417</v>
      </c>
      <c r="X288" s="2" t="s">
        <v>228</v>
      </c>
      <c r="Y288" s="2" t="s">
        <v>270</v>
      </c>
      <c r="Z288" s="4">
        <v>158</v>
      </c>
      <c r="AA288" s="4">
        <f>=ROUNDDOWN(79,0)</f>
      </c>
      <c r="AB288" s="5">
        <v>2</v>
      </c>
      <c r="AC288" s="2" t="s">
        <v>228</v>
      </c>
      <c r="AD288" s="4"/>
      <c r="AE288" s="4"/>
      <c r="AF288" s="6">
        <v>66</v>
      </c>
      <c r="AG288" s="6"/>
      <c r="AH288" s="7">
        <v>1</v>
      </c>
      <c r="AI288" s="4"/>
      <c r="AJ288" s="4">
        <f>=ROUNDDOWN({0},0)</f>
      </c>
      <c r="AK288" s="5"/>
      <c r="AL288" s="2" t="s">
        <v>228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 t="s">
        <v>228</v>
      </c>
      <c r="BD288" s="8" t="s">
        <v>228</v>
      </c>
      <c r="BE288" s="4" t="s">
        <v>228</v>
      </c>
      <c r="BF288" s="8" t="s">
        <v>228</v>
      </c>
      <c r="BG288" s="7" t="s">
        <v>228</v>
      </c>
      <c r="BH288" s="7" t="s">
        <v>228</v>
      </c>
      <c r="BI288" s="7"/>
      <c r="BJ288" s="4">
        <v>3</v>
      </c>
      <c r="BK288" s="8">
        <v>550.49</v>
      </c>
      <c r="BL288" s="2" t="s">
        <v>2018</v>
      </c>
      <c r="BM288" s="7"/>
      <c r="BN288" s="7"/>
      <c r="BO288" s="4"/>
      <c r="BP288" s="8"/>
      <c r="BQ288" s="4"/>
      <c r="BR288" s="8"/>
      <c r="BS288" s="7"/>
      <c r="BT288" s="7"/>
      <c r="BU288" s="2" t="s">
        <v>2019</v>
      </c>
      <c r="BV288" s="2" t="s">
        <v>228</v>
      </c>
      <c r="BW288" s="2" t="s">
        <v>228</v>
      </c>
      <c r="BX288" s="2" t="s">
        <v>273</v>
      </c>
      <c r="BY288" s="2" t="s">
        <v>274</v>
      </c>
      <c r="BZ288" s="2" t="s">
        <v>240</v>
      </c>
      <c r="CA288" s="2" t="s">
        <v>275</v>
      </c>
      <c r="CB288" s="2" t="s">
        <v>2020</v>
      </c>
      <c r="CC288" s="2" t="s">
        <v>241</v>
      </c>
      <c r="CD288" s="2" t="s">
        <v>228</v>
      </c>
      <c r="CE288" s="4"/>
      <c r="CF288" s="4">
        <v>158</v>
      </c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</row>
    <row r="289">
      <c r="A289" s="2" t="s">
        <v>2021</v>
      </c>
      <c r="B289" s="2" t="s">
        <v>958</v>
      </c>
      <c r="C289" s="2" t="s">
        <v>300</v>
      </c>
      <c r="D289" s="2" t="s">
        <v>959</v>
      </c>
      <c r="E289" s="2" t="s">
        <v>960</v>
      </c>
      <c r="F289" s="2" t="s">
        <v>2009</v>
      </c>
      <c r="G289" s="2" t="s">
        <v>2010</v>
      </c>
      <c r="H289" s="2" t="s">
        <v>2011</v>
      </c>
      <c r="I289" s="2" t="s">
        <v>964</v>
      </c>
      <c r="J289" s="2" t="s">
        <v>840</v>
      </c>
      <c r="K289" s="2" t="s">
        <v>251</v>
      </c>
      <c r="L289" s="3">
        <v>204.25</v>
      </c>
      <c r="M289" s="3">
        <v>214.46</v>
      </c>
      <c r="N289" s="3">
        <v>429</v>
      </c>
      <c r="O289" s="2" t="s">
        <v>240</v>
      </c>
      <c r="P289" s="2" t="s">
        <v>333</v>
      </c>
      <c r="Q289" s="2" t="s">
        <v>234</v>
      </c>
      <c r="R289" s="2" t="s">
        <v>228</v>
      </c>
      <c r="S289" s="2" t="s">
        <v>2022</v>
      </c>
      <c r="T289" s="2" t="s">
        <v>228</v>
      </c>
      <c r="U289" s="2" t="s">
        <v>228</v>
      </c>
      <c r="V289" s="2" t="s">
        <v>1644</v>
      </c>
      <c r="W289" s="2" t="s">
        <v>417</v>
      </c>
      <c r="X289" s="2" t="s">
        <v>228</v>
      </c>
      <c r="Y289" s="2" t="s">
        <v>270</v>
      </c>
      <c r="Z289" s="4">
        <v>14</v>
      </c>
      <c r="AA289" s="4">
        <f>=ROUNDDOWN(6.08695652173913,0)</f>
      </c>
      <c r="AB289" s="5">
        <v>2.3</v>
      </c>
      <c r="AC289" s="2" t="s">
        <v>228</v>
      </c>
      <c r="AD289" s="4"/>
      <c r="AE289" s="4"/>
      <c r="AF289" s="6">
        <v>67</v>
      </c>
      <c r="AG289" s="6">
        <v>50</v>
      </c>
      <c r="AH289" s="7">
        <v>1</v>
      </c>
      <c r="AI289" s="4"/>
      <c r="AJ289" s="4">
        <f>=ROUNDDOWN({0},0)</f>
      </c>
      <c r="AK289" s="5"/>
      <c r="AL289" s="2" t="s">
        <v>228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 t="s">
        <v>228</v>
      </c>
      <c r="BD289" s="8" t="s">
        <v>228</v>
      </c>
      <c r="BE289" s="4" t="s">
        <v>228</v>
      </c>
      <c r="BF289" s="8" t="s">
        <v>228</v>
      </c>
      <c r="BG289" s="7" t="s">
        <v>228</v>
      </c>
      <c r="BH289" s="7" t="s">
        <v>228</v>
      </c>
      <c r="BI289" s="7"/>
      <c r="BJ289" s="4">
        <v>4</v>
      </c>
      <c r="BK289" s="8">
        <v>806.08</v>
      </c>
      <c r="BL289" s="2" t="s">
        <v>2023</v>
      </c>
      <c r="BM289" s="7"/>
      <c r="BN289" s="7"/>
      <c r="BO289" s="4"/>
      <c r="BP289" s="8"/>
      <c r="BQ289" s="4"/>
      <c r="BR289" s="8"/>
      <c r="BS289" s="7"/>
      <c r="BT289" s="7"/>
      <c r="BU289" s="2" t="s">
        <v>2024</v>
      </c>
      <c r="BV289" s="2" t="s">
        <v>228</v>
      </c>
      <c r="BW289" s="2" t="s">
        <v>228</v>
      </c>
      <c r="BX289" s="2" t="s">
        <v>337</v>
      </c>
      <c r="BY289" s="2" t="s">
        <v>274</v>
      </c>
      <c r="BZ289" s="2" t="s">
        <v>240</v>
      </c>
      <c r="CA289" s="2" t="s">
        <v>275</v>
      </c>
      <c r="CB289" s="2" t="s">
        <v>1361</v>
      </c>
      <c r="CC289" s="2" t="s">
        <v>241</v>
      </c>
      <c r="CD289" s="2" t="s">
        <v>228</v>
      </c>
      <c r="CE289" s="4"/>
      <c r="CF289" s="4"/>
      <c r="CG289" s="4"/>
      <c r="CH289" s="4">
        <v>14</v>
      </c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</row>
    <row r="290">
      <c r="A290" s="2" t="s">
        <v>2025</v>
      </c>
      <c r="B290" s="2" t="s">
        <v>958</v>
      </c>
      <c r="C290" s="2" t="s">
        <v>300</v>
      </c>
      <c r="D290" s="2" t="s">
        <v>959</v>
      </c>
      <c r="E290" s="2" t="s">
        <v>960</v>
      </c>
      <c r="F290" s="2" t="s">
        <v>2009</v>
      </c>
      <c r="G290" s="2" t="s">
        <v>2010</v>
      </c>
      <c r="H290" s="2" t="s">
        <v>2011</v>
      </c>
      <c r="I290" s="2" t="s">
        <v>964</v>
      </c>
      <c r="J290" s="2" t="s">
        <v>840</v>
      </c>
      <c r="K290" s="2" t="s">
        <v>829</v>
      </c>
      <c r="L290" s="3">
        <v>204.25</v>
      </c>
      <c r="M290" s="3">
        <v>214.46</v>
      </c>
      <c r="N290" s="3">
        <v>429</v>
      </c>
      <c r="O290" s="2" t="s">
        <v>240</v>
      </c>
      <c r="P290" s="2" t="s">
        <v>1012</v>
      </c>
      <c r="Q290" s="2" t="s">
        <v>234</v>
      </c>
      <c r="R290" s="2" t="s">
        <v>228</v>
      </c>
      <c r="S290" s="2" t="s">
        <v>2026</v>
      </c>
      <c r="T290" s="2" t="s">
        <v>228</v>
      </c>
      <c r="U290" s="2" t="s">
        <v>228</v>
      </c>
      <c r="V290" s="2" t="s">
        <v>236</v>
      </c>
      <c r="W290" s="2" t="s">
        <v>417</v>
      </c>
      <c r="X290" s="2" t="s">
        <v>228</v>
      </c>
      <c r="Y290" s="2" t="s">
        <v>270</v>
      </c>
      <c r="Z290" s="4">
        <v>102</v>
      </c>
      <c r="AA290" s="4">
        <f>=ROUNDDOWN(51,0)</f>
      </c>
      <c r="AB290" s="5">
        <v>2</v>
      </c>
      <c r="AC290" s="2" t="s">
        <v>228</v>
      </c>
      <c r="AD290" s="4"/>
      <c r="AE290" s="4"/>
      <c r="AF290" s="6">
        <v>66</v>
      </c>
      <c r="AG290" s="6">
        <v>49</v>
      </c>
      <c r="AH290" s="7">
        <v>1</v>
      </c>
      <c r="AI290" s="4"/>
      <c r="AJ290" s="4">
        <f>=ROUNDDOWN({0},0)</f>
      </c>
      <c r="AK290" s="5"/>
      <c r="AL290" s="2" t="s">
        <v>228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 t="s">
        <v>228</v>
      </c>
      <c r="BD290" s="8" t="s">
        <v>228</v>
      </c>
      <c r="BE290" s="4" t="s">
        <v>228</v>
      </c>
      <c r="BF290" s="8" t="s">
        <v>228</v>
      </c>
      <c r="BG290" s="7" t="s">
        <v>228</v>
      </c>
      <c r="BH290" s="7" t="s">
        <v>228</v>
      </c>
      <c r="BI290" s="7"/>
      <c r="BJ290" s="4">
        <v>9</v>
      </c>
      <c r="BK290" s="8">
        <v>1760.75</v>
      </c>
      <c r="BL290" s="2" t="s">
        <v>2027</v>
      </c>
      <c r="BM290" s="7"/>
      <c r="BN290" s="7"/>
      <c r="BO290" s="4"/>
      <c r="BP290" s="8"/>
      <c r="BQ290" s="4"/>
      <c r="BR290" s="8"/>
      <c r="BS290" s="7"/>
      <c r="BT290" s="7"/>
      <c r="BU290" s="2" t="s">
        <v>2028</v>
      </c>
      <c r="BV290" s="2" t="s">
        <v>228</v>
      </c>
      <c r="BW290" s="2" t="s">
        <v>228</v>
      </c>
      <c r="BX290" s="2" t="s">
        <v>273</v>
      </c>
      <c r="BY290" s="2" t="s">
        <v>274</v>
      </c>
      <c r="BZ290" s="2" t="s">
        <v>240</v>
      </c>
      <c r="CA290" s="2" t="s">
        <v>275</v>
      </c>
      <c r="CB290" s="2" t="s">
        <v>2029</v>
      </c>
      <c r="CC290" s="2" t="s">
        <v>241</v>
      </c>
      <c r="CD290" s="2" t="s">
        <v>228</v>
      </c>
      <c r="CE290" s="4"/>
      <c r="CF290" s="4">
        <v>95</v>
      </c>
      <c r="CG290" s="4"/>
      <c r="CH290" s="4">
        <v>7</v>
      </c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</row>
    <row r="291">
      <c r="A291" s="2" t="s">
        <v>2030</v>
      </c>
      <c r="B291" s="2" t="s">
        <v>834</v>
      </c>
      <c r="C291" s="2" t="s">
        <v>1743</v>
      </c>
      <c r="D291" s="2" t="s">
        <v>1101</v>
      </c>
      <c r="E291" s="2" t="s">
        <v>1102</v>
      </c>
      <c r="F291" s="2" t="s">
        <v>2031</v>
      </c>
      <c r="G291" s="2" t="s">
        <v>2031</v>
      </c>
      <c r="H291" s="2" t="s">
        <v>2031</v>
      </c>
      <c r="I291" s="2" t="s">
        <v>2032</v>
      </c>
      <c r="J291" s="2" t="s">
        <v>840</v>
      </c>
      <c r="K291" s="2" t="s">
        <v>249</v>
      </c>
      <c r="L291" s="3">
        <v>27.48</v>
      </c>
      <c r="M291" s="3">
        <v>28.85</v>
      </c>
      <c r="N291" s="3">
        <v>59.99</v>
      </c>
      <c r="O291" s="2" t="s">
        <v>240</v>
      </c>
      <c r="P291" s="2" t="s">
        <v>1012</v>
      </c>
      <c r="Q291" s="2" t="s">
        <v>234</v>
      </c>
      <c r="R291" s="2" t="s">
        <v>228</v>
      </c>
      <c r="S291" s="2" t="s">
        <v>228</v>
      </c>
      <c r="T291" s="2" t="s">
        <v>228</v>
      </c>
      <c r="U291" s="2" t="s">
        <v>416</v>
      </c>
      <c r="V291" s="2" t="s">
        <v>842</v>
      </c>
      <c r="W291" s="2" t="s">
        <v>417</v>
      </c>
      <c r="X291" s="2" t="s">
        <v>228</v>
      </c>
      <c r="Y291" s="2" t="s">
        <v>2033</v>
      </c>
      <c r="Z291" s="4">
        <v>79</v>
      </c>
      <c r="AA291" s="4">
        <f>=ROUNDDOWN(19.2682926829268,0)</f>
      </c>
      <c r="AB291" s="5">
        <v>4.1</v>
      </c>
      <c r="AC291" s="2" t="s">
        <v>228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228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/>
      <c r="BD291" s="8"/>
      <c r="BE291" s="4"/>
      <c r="BF291" s="8"/>
      <c r="BG291" s="7"/>
      <c r="BH291" s="7"/>
      <c r="BI291" s="7"/>
      <c r="BJ291" s="4">
        <v>7</v>
      </c>
      <c r="BK291" s="8">
        <v>213.37</v>
      </c>
      <c r="BL291" s="2" t="s">
        <v>2034</v>
      </c>
      <c r="BM291" s="7"/>
      <c r="BN291" s="7"/>
      <c r="BO291" s="4"/>
      <c r="BP291" s="8"/>
      <c r="BQ291" s="4"/>
      <c r="BR291" s="8"/>
      <c r="BS291" s="7"/>
      <c r="BT291" s="7"/>
      <c r="BU291" s="2" t="s">
        <v>2035</v>
      </c>
      <c r="BV291" s="2" t="s">
        <v>228</v>
      </c>
      <c r="BW291" s="2" t="s">
        <v>228</v>
      </c>
      <c r="BX291" s="2" t="s">
        <v>273</v>
      </c>
      <c r="BY291" s="2" t="s">
        <v>274</v>
      </c>
      <c r="BZ291" s="2" t="s">
        <v>240</v>
      </c>
      <c r="CA291" s="2" t="s">
        <v>2036</v>
      </c>
      <c r="CB291" s="2" t="s">
        <v>2037</v>
      </c>
      <c r="CC291" s="2" t="s">
        <v>241</v>
      </c>
      <c r="CD291" s="2" t="s">
        <v>228</v>
      </c>
      <c r="CE291" s="4"/>
      <c r="CF291" s="4">
        <v>79</v>
      </c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</row>
    <row r="292">
      <c r="A292" s="2" t="s">
        <v>2038</v>
      </c>
      <c r="B292" s="2" t="s">
        <v>866</v>
      </c>
      <c r="C292" s="2" t="s">
        <v>300</v>
      </c>
      <c r="D292" s="2" t="s">
        <v>899</v>
      </c>
      <c r="E292" s="2" t="s">
        <v>1891</v>
      </c>
      <c r="F292" s="2" t="s">
        <v>2039</v>
      </c>
      <c r="G292" s="2" t="s">
        <v>2039</v>
      </c>
      <c r="H292" s="2" t="s">
        <v>2039</v>
      </c>
      <c r="I292" s="2" t="s">
        <v>2040</v>
      </c>
      <c r="J292" s="2" t="s">
        <v>840</v>
      </c>
      <c r="K292" s="2" t="s">
        <v>2041</v>
      </c>
      <c r="L292" s="3">
        <v>6.66</v>
      </c>
      <c r="M292" s="3">
        <v>6.99</v>
      </c>
      <c r="N292" s="3">
        <v>19.99</v>
      </c>
      <c r="O292" s="2" t="s">
        <v>240</v>
      </c>
      <c r="P292" s="2" t="s">
        <v>1012</v>
      </c>
      <c r="Q292" s="2" t="s">
        <v>234</v>
      </c>
      <c r="R292" s="2" t="s">
        <v>228</v>
      </c>
      <c r="S292" s="2" t="s">
        <v>228</v>
      </c>
      <c r="T292" s="2" t="s">
        <v>228</v>
      </c>
      <c r="U292" s="2" t="s">
        <v>416</v>
      </c>
      <c r="V292" s="2" t="s">
        <v>2042</v>
      </c>
      <c r="W292" s="2" t="s">
        <v>269</v>
      </c>
      <c r="X292" s="2" t="s">
        <v>1268</v>
      </c>
      <c r="Y292" s="2" t="s">
        <v>2043</v>
      </c>
      <c r="Z292" s="4">
        <v>157</v>
      </c>
      <c r="AA292" s="4">
        <f>=ROUNDDOWN(157,0)</f>
      </c>
      <c r="AB292" s="5">
        <v>1</v>
      </c>
      <c r="AC292" s="2" t="s">
        <v>228</v>
      </c>
      <c r="AD292" s="4"/>
      <c r="AE292" s="4"/>
      <c r="AF292" s="6">
        <v>63</v>
      </c>
      <c r="AG292" s="6"/>
      <c r="AH292" s="7">
        <v>1</v>
      </c>
      <c r="AI292" s="4"/>
      <c r="AJ292" s="4">
        <f>=ROUNDDOWN({0},0)</f>
      </c>
      <c r="AK292" s="5"/>
      <c r="AL292" s="2" t="s">
        <v>228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 t="s">
        <v>228</v>
      </c>
      <c r="BD292" s="8" t="s">
        <v>228</v>
      </c>
      <c r="BE292" s="4" t="s">
        <v>228</v>
      </c>
      <c r="BF292" s="8" t="s">
        <v>228</v>
      </c>
      <c r="BG292" s="7" t="s">
        <v>228</v>
      </c>
      <c r="BH292" s="7" t="s">
        <v>228</v>
      </c>
      <c r="BI292" s="7"/>
      <c r="BJ292" s="4">
        <v>3</v>
      </c>
      <c r="BK292" s="8">
        <v>23.97</v>
      </c>
      <c r="BL292" s="2" t="s">
        <v>807</v>
      </c>
      <c r="BM292" s="7"/>
      <c r="BN292" s="7"/>
      <c r="BO292" s="4"/>
      <c r="BP292" s="8"/>
      <c r="BQ292" s="4"/>
      <c r="BR292" s="8"/>
      <c r="BS292" s="7"/>
      <c r="BT292" s="7"/>
      <c r="BU292" s="2" t="s">
        <v>2044</v>
      </c>
      <c r="BV292" s="2" t="s">
        <v>228</v>
      </c>
      <c r="BW292" s="2" t="s">
        <v>228</v>
      </c>
      <c r="BX292" s="2" t="s">
        <v>273</v>
      </c>
      <c r="BY292" s="2" t="s">
        <v>274</v>
      </c>
      <c r="BZ292" s="2" t="s">
        <v>240</v>
      </c>
      <c r="CA292" s="2" t="s">
        <v>2045</v>
      </c>
      <c r="CB292" s="2" t="s">
        <v>228</v>
      </c>
      <c r="CC292" s="2" t="s">
        <v>241</v>
      </c>
      <c r="CD292" s="2" t="s">
        <v>228</v>
      </c>
      <c r="CE292" s="4"/>
      <c r="CF292" s="4">
        <v>157</v>
      </c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</row>
    <row r="293">
      <c r="A293" s="2" t="s">
        <v>2046</v>
      </c>
      <c r="B293" s="2" t="s">
        <v>866</v>
      </c>
      <c r="C293" s="2" t="s">
        <v>300</v>
      </c>
      <c r="D293" s="2" t="s">
        <v>899</v>
      </c>
      <c r="E293" s="2" t="s">
        <v>1891</v>
      </c>
      <c r="F293" s="2" t="s">
        <v>2039</v>
      </c>
      <c r="G293" s="2" t="s">
        <v>2039</v>
      </c>
      <c r="H293" s="2" t="s">
        <v>2039</v>
      </c>
      <c r="I293" s="2" t="s">
        <v>2047</v>
      </c>
      <c r="J293" s="2" t="s">
        <v>840</v>
      </c>
      <c r="K293" s="2" t="s">
        <v>2048</v>
      </c>
      <c r="L293" s="3">
        <v>6.66</v>
      </c>
      <c r="M293" s="3">
        <v>6.99</v>
      </c>
      <c r="N293" s="3">
        <v>19.99</v>
      </c>
      <c r="O293" s="2" t="s">
        <v>240</v>
      </c>
      <c r="P293" s="2" t="s">
        <v>1012</v>
      </c>
      <c r="Q293" s="2" t="s">
        <v>234</v>
      </c>
      <c r="R293" s="2" t="s">
        <v>228</v>
      </c>
      <c r="S293" s="2" t="s">
        <v>228</v>
      </c>
      <c r="T293" s="2" t="s">
        <v>228</v>
      </c>
      <c r="U293" s="2" t="s">
        <v>416</v>
      </c>
      <c r="V293" s="2" t="s">
        <v>2042</v>
      </c>
      <c r="W293" s="2" t="s">
        <v>269</v>
      </c>
      <c r="X293" s="2" t="s">
        <v>1268</v>
      </c>
      <c r="Y293" s="2" t="s">
        <v>2049</v>
      </c>
      <c r="Z293" s="4"/>
      <c r="AA293" s="4">
        <f>=ROUNDDOWN({0},0)</f>
      </c>
      <c r="AB293" s="5">
        <v>8</v>
      </c>
      <c r="AC293" s="2" t="s">
        <v>157</v>
      </c>
      <c r="AD293" s="4">
        <v>120</v>
      </c>
      <c r="AE293" s="4">
        <v>120</v>
      </c>
      <c r="AF293" s="6">
        <v>63</v>
      </c>
      <c r="AG293" s="6">
        <v>46</v>
      </c>
      <c r="AH293" s="7">
        <v>0.1613</v>
      </c>
      <c r="AI293" s="4"/>
      <c r="AJ293" s="4">
        <f>=ROUNDDOWN({0},0)</f>
      </c>
      <c r="AK293" s="5"/>
      <c r="AL293" s="2" t="s">
        <v>228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 t="s">
        <v>228</v>
      </c>
      <c r="BD293" s="8" t="s">
        <v>228</v>
      </c>
      <c r="BE293" s="4" t="s">
        <v>228</v>
      </c>
      <c r="BF293" s="8" t="s">
        <v>228</v>
      </c>
      <c r="BG293" s="7" t="s">
        <v>228</v>
      </c>
      <c r="BH293" s="7" t="s">
        <v>228</v>
      </c>
      <c r="BI293" s="7"/>
      <c r="BJ293" s="4">
        <v>18</v>
      </c>
      <c r="BK293" s="8">
        <v>158.29</v>
      </c>
      <c r="BL293" s="2" t="s">
        <v>2050</v>
      </c>
      <c r="BM293" s="7"/>
      <c r="BN293" s="7"/>
      <c r="BO293" s="4"/>
      <c r="BP293" s="8"/>
      <c r="BQ293" s="4"/>
      <c r="BR293" s="8"/>
      <c r="BS293" s="7"/>
      <c r="BT293" s="7"/>
      <c r="BU293" s="2" t="s">
        <v>2051</v>
      </c>
      <c r="BV293" s="2" t="s">
        <v>228</v>
      </c>
      <c r="BW293" s="2" t="s">
        <v>228</v>
      </c>
      <c r="BX293" s="2" t="s">
        <v>273</v>
      </c>
      <c r="BY293" s="2" t="s">
        <v>274</v>
      </c>
      <c r="BZ293" s="2" t="s">
        <v>240</v>
      </c>
      <c r="CA293" s="2" t="s">
        <v>2045</v>
      </c>
      <c r="CB293" s="2" t="s">
        <v>2052</v>
      </c>
      <c r="CC293" s="2" t="s">
        <v>241</v>
      </c>
      <c r="CD293" s="2" t="s">
        <v>228</v>
      </c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>
        <v>120</v>
      </c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</row>
    <row r="294">
      <c r="A294" s="2" t="s">
        <v>2053</v>
      </c>
      <c r="B294" s="2" t="s">
        <v>866</v>
      </c>
      <c r="C294" s="2" t="s">
        <v>300</v>
      </c>
      <c r="D294" s="2" t="s">
        <v>899</v>
      </c>
      <c r="E294" s="2" t="s">
        <v>1891</v>
      </c>
      <c r="F294" s="2" t="s">
        <v>2039</v>
      </c>
      <c r="G294" s="2" t="s">
        <v>2039</v>
      </c>
      <c r="H294" s="2" t="s">
        <v>2039</v>
      </c>
      <c r="I294" s="2" t="s">
        <v>2054</v>
      </c>
      <c r="J294" s="2" t="s">
        <v>840</v>
      </c>
      <c r="K294" s="2" t="s">
        <v>2055</v>
      </c>
      <c r="L294" s="3">
        <v>6.66</v>
      </c>
      <c r="M294" s="3">
        <v>6.99</v>
      </c>
      <c r="N294" s="3">
        <v>19.99</v>
      </c>
      <c r="O294" s="2" t="s">
        <v>240</v>
      </c>
      <c r="P294" s="2" t="s">
        <v>233</v>
      </c>
      <c r="Q294" s="2" t="s">
        <v>234</v>
      </c>
      <c r="R294" s="2" t="s">
        <v>228</v>
      </c>
      <c r="S294" s="2" t="s">
        <v>228</v>
      </c>
      <c r="T294" s="2" t="s">
        <v>228</v>
      </c>
      <c r="U294" s="2" t="s">
        <v>416</v>
      </c>
      <c r="V294" s="2" t="s">
        <v>2042</v>
      </c>
      <c r="W294" s="2" t="s">
        <v>269</v>
      </c>
      <c r="X294" s="2" t="s">
        <v>1268</v>
      </c>
      <c r="Y294" s="2" t="s">
        <v>2049</v>
      </c>
      <c r="Z294" s="4">
        <v>104</v>
      </c>
      <c r="AA294" s="4">
        <f>=ROUNDDOWN(34.6666666666667,0)</f>
      </c>
      <c r="AB294" s="5">
        <v>3</v>
      </c>
      <c r="AC294" s="2" t="s">
        <v>228</v>
      </c>
      <c r="AD294" s="4"/>
      <c r="AE294" s="4"/>
      <c r="AF294" s="6">
        <v>63</v>
      </c>
      <c r="AG294" s="6"/>
      <c r="AH294" s="7">
        <v>1</v>
      </c>
      <c r="AI294" s="4"/>
      <c r="AJ294" s="4">
        <f>=ROUNDDOWN({0},0)</f>
      </c>
      <c r="AK294" s="5"/>
      <c r="AL294" s="2" t="s">
        <v>228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 t="s">
        <v>228</v>
      </c>
      <c r="BD294" s="8" t="s">
        <v>228</v>
      </c>
      <c r="BE294" s="4" t="s">
        <v>228</v>
      </c>
      <c r="BF294" s="8" t="s">
        <v>228</v>
      </c>
      <c r="BG294" s="7" t="s">
        <v>228</v>
      </c>
      <c r="BH294" s="7" t="s">
        <v>228</v>
      </c>
      <c r="BI294" s="7"/>
      <c r="BJ294" s="4">
        <v>10</v>
      </c>
      <c r="BK294" s="8">
        <v>81.31</v>
      </c>
      <c r="BL294" s="2" t="s">
        <v>2056</v>
      </c>
      <c r="BM294" s="7"/>
      <c r="BN294" s="7"/>
      <c r="BO294" s="4"/>
      <c r="BP294" s="8"/>
      <c r="BQ294" s="4"/>
      <c r="BR294" s="8"/>
      <c r="BS294" s="7"/>
      <c r="BT294" s="7"/>
      <c r="BU294" s="2" t="s">
        <v>2057</v>
      </c>
      <c r="BV294" s="2" t="s">
        <v>228</v>
      </c>
      <c r="BW294" s="2" t="s">
        <v>228</v>
      </c>
      <c r="BX294" s="2" t="s">
        <v>273</v>
      </c>
      <c r="BY294" s="2" t="s">
        <v>274</v>
      </c>
      <c r="BZ294" s="2" t="s">
        <v>240</v>
      </c>
      <c r="CA294" s="2" t="s">
        <v>2045</v>
      </c>
      <c r="CB294" s="2" t="s">
        <v>228</v>
      </c>
      <c r="CC294" s="2" t="s">
        <v>241</v>
      </c>
      <c r="CD294" s="2" t="s">
        <v>228</v>
      </c>
      <c r="CE294" s="4"/>
      <c r="CF294" s="4">
        <v>104</v>
      </c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</row>
    <row r="295">
      <c r="A295" s="2" t="s">
        <v>2058</v>
      </c>
      <c r="B295" s="2" t="s">
        <v>866</v>
      </c>
      <c r="C295" s="2" t="s">
        <v>300</v>
      </c>
      <c r="D295" s="2" t="s">
        <v>899</v>
      </c>
      <c r="E295" s="2" t="s">
        <v>1891</v>
      </c>
      <c r="F295" s="2" t="s">
        <v>2039</v>
      </c>
      <c r="G295" s="2" t="s">
        <v>2039</v>
      </c>
      <c r="H295" s="2" t="s">
        <v>2039</v>
      </c>
      <c r="I295" s="2" t="s">
        <v>2059</v>
      </c>
      <c r="J295" s="2" t="s">
        <v>840</v>
      </c>
      <c r="K295" s="2" t="s">
        <v>2060</v>
      </c>
      <c r="L295" s="3">
        <v>6.66</v>
      </c>
      <c r="M295" s="3">
        <v>6.99</v>
      </c>
      <c r="N295" s="3">
        <v>19.99</v>
      </c>
      <c r="O295" s="2" t="s">
        <v>240</v>
      </c>
      <c r="P295" s="2" t="s">
        <v>1012</v>
      </c>
      <c r="Q295" s="2" t="s">
        <v>234</v>
      </c>
      <c r="R295" s="2" t="s">
        <v>228</v>
      </c>
      <c r="S295" s="2" t="s">
        <v>228</v>
      </c>
      <c r="T295" s="2" t="s">
        <v>228</v>
      </c>
      <c r="U295" s="2" t="s">
        <v>416</v>
      </c>
      <c r="V295" s="2" t="s">
        <v>2042</v>
      </c>
      <c r="W295" s="2" t="s">
        <v>269</v>
      </c>
      <c r="X295" s="2" t="s">
        <v>1268</v>
      </c>
      <c r="Y295" s="2" t="s">
        <v>2043</v>
      </c>
      <c r="Z295" s="4">
        <v>330</v>
      </c>
      <c r="AA295" s="4">
        <f>=ROUNDDOWN(66,0)</f>
      </c>
      <c r="AB295" s="5">
        <v>5</v>
      </c>
      <c r="AC295" s="2" t="s">
        <v>228</v>
      </c>
      <c r="AD295" s="4"/>
      <c r="AE295" s="4"/>
      <c r="AF295" s="6">
        <v>63</v>
      </c>
      <c r="AG295" s="6"/>
      <c r="AH295" s="7">
        <v>1</v>
      </c>
      <c r="AI295" s="4"/>
      <c r="AJ295" s="4">
        <f>=ROUNDDOWN({0},0)</f>
      </c>
      <c r="AK295" s="5"/>
      <c r="AL295" s="2" t="s">
        <v>228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 t="s">
        <v>228</v>
      </c>
      <c r="BD295" s="8" t="s">
        <v>228</v>
      </c>
      <c r="BE295" s="4" t="s">
        <v>228</v>
      </c>
      <c r="BF295" s="8" t="s">
        <v>228</v>
      </c>
      <c r="BG295" s="7" t="s">
        <v>228</v>
      </c>
      <c r="BH295" s="7" t="s">
        <v>228</v>
      </c>
      <c r="BI295" s="7"/>
      <c r="BJ295" s="4">
        <v>5</v>
      </c>
      <c r="BK295" s="8">
        <v>39.7</v>
      </c>
      <c r="BL295" s="2" t="s">
        <v>2061</v>
      </c>
      <c r="BM295" s="7"/>
      <c r="BN295" s="7"/>
      <c r="BO295" s="4"/>
      <c r="BP295" s="8"/>
      <c r="BQ295" s="4"/>
      <c r="BR295" s="8"/>
      <c r="BS295" s="7"/>
      <c r="BT295" s="7"/>
      <c r="BU295" s="2" t="s">
        <v>2062</v>
      </c>
      <c r="BV295" s="2" t="s">
        <v>228</v>
      </c>
      <c r="BW295" s="2" t="s">
        <v>228</v>
      </c>
      <c r="BX295" s="2" t="s">
        <v>273</v>
      </c>
      <c r="BY295" s="2" t="s">
        <v>274</v>
      </c>
      <c r="BZ295" s="2" t="s">
        <v>240</v>
      </c>
      <c r="CA295" s="2" t="s">
        <v>2045</v>
      </c>
      <c r="CB295" s="2" t="s">
        <v>228</v>
      </c>
      <c r="CC295" s="2" t="s">
        <v>241</v>
      </c>
      <c r="CD295" s="2" t="s">
        <v>228</v>
      </c>
      <c r="CE295" s="4"/>
      <c r="CF295" s="4">
        <v>330</v>
      </c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</row>
    <row r="296">
      <c r="A296" s="2" t="s">
        <v>2063</v>
      </c>
      <c r="B296" s="2" t="s">
        <v>866</v>
      </c>
      <c r="C296" s="2" t="s">
        <v>300</v>
      </c>
      <c r="D296" s="2" t="s">
        <v>899</v>
      </c>
      <c r="E296" s="2" t="s">
        <v>1891</v>
      </c>
      <c r="F296" s="2" t="s">
        <v>2039</v>
      </c>
      <c r="G296" s="2" t="s">
        <v>2039</v>
      </c>
      <c r="H296" s="2" t="s">
        <v>2039</v>
      </c>
      <c r="I296" s="2" t="s">
        <v>2064</v>
      </c>
      <c r="J296" s="2" t="s">
        <v>840</v>
      </c>
      <c r="K296" s="2" t="s">
        <v>2065</v>
      </c>
      <c r="L296" s="3">
        <v>6.66</v>
      </c>
      <c r="M296" s="3">
        <v>6.99</v>
      </c>
      <c r="N296" s="3">
        <v>19.99</v>
      </c>
      <c r="O296" s="2" t="s">
        <v>240</v>
      </c>
      <c r="P296" s="2" t="s">
        <v>233</v>
      </c>
      <c r="Q296" s="2" t="s">
        <v>234</v>
      </c>
      <c r="R296" s="2" t="s">
        <v>228</v>
      </c>
      <c r="S296" s="2" t="s">
        <v>228</v>
      </c>
      <c r="T296" s="2" t="s">
        <v>228</v>
      </c>
      <c r="U296" s="2" t="s">
        <v>416</v>
      </c>
      <c r="V296" s="2" t="s">
        <v>2042</v>
      </c>
      <c r="W296" s="2" t="s">
        <v>269</v>
      </c>
      <c r="X296" s="2" t="s">
        <v>1268</v>
      </c>
      <c r="Y296" s="2" t="s">
        <v>2043</v>
      </c>
      <c r="Z296" s="4">
        <v>139</v>
      </c>
      <c r="AA296" s="4">
        <f>=ROUNDDOWN(69.5,0)</f>
      </c>
      <c r="AB296" s="5">
        <v>2</v>
      </c>
      <c r="AC296" s="2" t="s">
        <v>228</v>
      </c>
      <c r="AD296" s="4"/>
      <c r="AE296" s="4"/>
      <c r="AF296" s="6">
        <v>63</v>
      </c>
      <c r="AG296" s="6"/>
      <c r="AH296" s="7">
        <v>1</v>
      </c>
      <c r="AI296" s="4"/>
      <c r="AJ296" s="4">
        <f>=ROUNDDOWN({0},0)</f>
      </c>
      <c r="AK296" s="5"/>
      <c r="AL296" s="2" t="s">
        <v>228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 t="s">
        <v>228</v>
      </c>
      <c r="BD296" s="8" t="s">
        <v>228</v>
      </c>
      <c r="BE296" s="4" t="s">
        <v>228</v>
      </c>
      <c r="BF296" s="8" t="s">
        <v>228</v>
      </c>
      <c r="BG296" s="7" t="s">
        <v>228</v>
      </c>
      <c r="BH296" s="7" t="s">
        <v>228</v>
      </c>
      <c r="BI296" s="7"/>
      <c r="BJ296" s="4">
        <v>8</v>
      </c>
      <c r="BK296" s="8">
        <v>67.12</v>
      </c>
      <c r="BL296" s="2" t="s">
        <v>2066</v>
      </c>
      <c r="BM296" s="7"/>
      <c r="BN296" s="7"/>
      <c r="BO296" s="4"/>
      <c r="BP296" s="8"/>
      <c r="BQ296" s="4"/>
      <c r="BR296" s="8"/>
      <c r="BS296" s="7"/>
      <c r="BT296" s="7"/>
      <c r="BU296" s="2" t="s">
        <v>2067</v>
      </c>
      <c r="BV296" s="2" t="s">
        <v>228</v>
      </c>
      <c r="BW296" s="2" t="s">
        <v>228</v>
      </c>
      <c r="BX296" s="2" t="s">
        <v>273</v>
      </c>
      <c r="BY296" s="2" t="s">
        <v>274</v>
      </c>
      <c r="BZ296" s="2" t="s">
        <v>240</v>
      </c>
      <c r="CA296" s="2" t="s">
        <v>2045</v>
      </c>
      <c r="CB296" s="2" t="s">
        <v>228</v>
      </c>
      <c r="CC296" s="2" t="s">
        <v>241</v>
      </c>
      <c r="CD296" s="2" t="s">
        <v>228</v>
      </c>
      <c r="CE296" s="4"/>
      <c r="CF296" s="4">
        <v>139</v>
      </c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</row>
    <row r="297">
      <c r="A297" s="2" t="s">
        <v>2068</v>
      </c>
      <c r="B297" s="2" t="s">
        <v>866</v>
      </c>
      <c r="C297" s="2" t="s">
        <v>300</v>
      </c>
      <c r="D297" s="2" t="s">
        <v>899</v>
      </c>
      <c r="E297" s="2" t="s">
        <v>1891</v>
      </c>
      <c r="F297" s="2" t="s">
        <v>2039</v>
      </c>
      <c r="G297" s="2" t="s">
        <v>2039</v>
      </c>
      <c r="H297" s="2" t="s">
        <v>2039</v>
      </c>
      <c r="I297" s="2" t="s">
        <v>2069</v>
      </c>
      <c r="J297" s="2" t="s">
        <v>840</v>
      </c>
      <c r="K297" s="2" t="s">
        <v>2070</v>
      </c>
      <c r="L297" s="3">
        <v>6.66</v>
      </c>
      <c r="M297" s="3">
        <v>6.99</v>
      </c>
      <c r="N297" s="3">
        <v>19.99</v>
      </c>
      <c r="O297" s="2" t="s">
        <v>240</v>
      </c>
      <c r="P297" s="2" t="s">
        <v>233</v>
      </c>
      <c r="Q297" s="2" t="s">
        <v>234</v>
      </c>
      <c r="R297" s="2" t="s">
        <v>228</v>
      </c>
      <c r="S297" s="2" t="s">
        <v>228</v>
      </c>
      <c r="T297" s="2" t="s">
        <v>228</v>
      </c>
      <c r="U297" s="2" t="s">
        <v>416</v>
      </c>
      <c r="V297" s="2" t="s">
        <v>2042</v>
      </c>
      <c r="W297" s="2" t="s">
        <v>269</v>
      </c>
      <c r="X297" s="2" t="s">
        <v>1268</v>
      </c>
      <c r="Y297" s="2" t="s">
        <v>2043</v>
      </c>
      <c r="Z297" s="4">
        <v>92</v>
      </c>
      <c r="AA297" s="4">
        <f>=ROUNDDOWN(30.6666666666667,0)</f>
      </c>
      <c r="AB297" s="5">
        <v>3</v>
      </c>
      <c r="AC297" s="2" t="s">
        <v>228</v>
      </c>
      <c r="AD297" s="4"/>
      <c r="AE297" s="4"/>
      <c r="AF297" s="6">
        <v>63</v>
      </c>
      <c r="AG297" s="6"/>
      <c r="AH297" s="7">
        <v>1</v>
      </c>
      <c r="AI297" s="4"/>
      <c r="AJ297" s="4">
        <f>=ROUNDDOWN({0},0)</f>
      </c>
      <c r="AK297" s="5"/>
      <c r="AL297" s="2" t="s">
        <v>228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 t="s">
        <v>228</v>
      </c>
      <c r="BD297" s="8" t="s">
        <v>228</v>
      </c>
      <c r="BE297" s="4" t="s">
        <v>228</v>
      </c>
      <c r="BF297" s="8" t="s">
        <v>228</v>
      </c>
      <c r="BG297" s="7" t="s">
        <v>228</v>
      </c>
      <c r="BH297" s="7" t="s">
        <v>228</v>
      </c>
      <c r="BI297" s="7"/>
      <c r="BJ297" s="4">
        <v>13</v>
      </c>
      <c r="BK297" s="8">
        <v>113.37</v>
      </c>
      <c r="BL297" s="2" t="s">
        <v>2066</v>
      </c>
      <c r="BM297" s="7"/>
      <c r="BN297" s="7"/>
      <c r="BO297" s="4"/>
      <c r="BP297" s="8"/>
      <c r="BQ297" s="4"/>
      <c r="BR297" s="8"/>
      <c r="BS297" s="7"/>
      <c r="BT297" s="7"/>
      <c r="BU297" s="2" t="s">
        <v>2071</v>
      </c>
      <c r="BV297" s="2" t="s">
        <v>228</v>
      </c>
      <c r="BW297" s="2" t="s">
        <v>228</v>
      </c>
      <c r="BX297" s="2" t="s">
        <v>273</v>
      </c>
      <c r="BY297" s="2" t="s">
        <v>274</v>
      </c>
      <c r="BZ297" s="2" t="s">
        <v>240</v>
      </c>
      <c r="CA297" s="2" t="s">
        <v>2045</v>
      </c>
      <c r="CB297" s="2" t="s">
        <v>228</v>
      </c>
      <c r="CC297" s="2" t="s">
        <v>241</v>
      </c>
      <c r="CD297" s="2" t="s">
        <v>228</v>
      </c>
      <c r="CE297" s="4"/>
      <c r="CF297" s="4">
        <v>92</v>
      </c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</row>
    <row r="298">
      <c r="A298" s="2" t="s">
        <v>2072</v>
      </c>
      <c r="B298" s="2" t="s">
        <v>834</v>
      </c>
      <c r="C298" s="2" t="s">
        <v>835</v>
      </c>
      <c r="D298" s="2" t="s">
        <v>1744</v>
      </c>
      <c r="E298" s="2" t="s">
        <v>1745</v>
      </c>
      <c r="F298" s="2" t="s">
        <v>2073</v>
      </c>
      <c r="G298" s="2" t="s">
        <v>2073</v>
      </c>
      <c r="H298" s="2" t="s">
        <v>2073</v>
      </c>
      <c r="I298" s="2" t="s">
        <v>2074</v>
      </c>
      <c r="J298" s="2" t="s">
        <v>840</v>
      </c>
      <c r="K298" s="2" t="s">
        <v>2075</v>
      </c>
      <c r="L298" s="3">
        <v>55.89</v>
      </c>
      <c r="M298" s="3">
        <v>58.68</v>
      </c>
      <c r="N298" s="3">
        <v>129.99</v>
      </c>
      <c r="O298" s="2" t="s">
        <v>461</v>
      </c>
      <c r="P298" s="2" t="s">
        <v>333</v>
      </c>
      <c r="Q298" s="2" t="s">
        <v>234</v>
      </c>
      <c r="R298" s="2" t="s">
        <v>228</v>
      </c>
      <c r="S298" s="2" t="s">
        <v>228</v>
      </c>
      <c r="T298" s="2" t="s">
        <v>228</v>
      </c>
      <c r="U298" s="2" t="s">
        <v>416</v>
      </c>
      <c r="V298" s="2" t="s">
        <v>842</v>
      </c>
      <c r="W298" s="2" t="s">
        <v>843</v>
      </c>
      <c r="X298" s="2" t="s">
        <v>228</v>
      </c>
      <c r="Y298" s="2" t="s">
        <v>2076</v>
      </c>
      <c r="Z298" s="4">
        <v>39</v>
      </c>
      <c r="AA298" s="4">
        <f>=ROUNDDOWN(13,0)</f>
      </c>
      <c r="AB298" s="5">
        <v>3</v>
      </c>
      <c r="AC298" s="2" t="s">
        <v>228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228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>
        <v>8</v>
      </c>
      <c r="BK298" s="8">
        <v>560.66</v>
      </c>
      <c r="BL298" s="2" t="s">
        <v>2077</v>
      </c>
      <c r="BM298" s="7"/>
      <c r="BN298" s="7"/>
      <c r="BO298" s="4"/>
      <c r="BP298" s="8"/>
      <c r="BQ298" s="4"/>
      <c r="BR298" s="8"/>
      <c r="BS298" s="7"/>
      <c r="BT298" s="7"/>
      <c r="BU298" s="2" t="s">
        <v>2078</v>
      </c>
      <c r="BV298" s="2" t="s">
        <v>228</v>
      </c>
      <c r="BW298" s="2" t="s">
        <v>228</v>
      </c>
      <c r="BX298" s="2" t="s">
        <v>337</v>
      </c>
      <c r="BY298" s="2" t="s">
        <v>274</v>
      </c>
      <c r="BZ298" s="2" t="s">
        <v>240</v>
      </c>
      <c r="CA298" s="2" t="s">
        <v>2079</v>
      </c>
      <c r="CB298" s="2" t="s">
        <v>2080</v>
      </c>
      <c r="CC298" s="2" t="s">
        <v>241</v>
      </c>
      <c r="CD298" s="2" t="s">
        <v>228</v>
      </c>
      <c r="CE298" s="4"/>
      <c r="CF298" s="4">
        <v>39</v>
      </c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</row>
    <row r="299">
      <c r="A299" s="2" t="s">
        <v>2081</v>
      </c>
      <c r="B299" s="2" t="s">
        <v>970</v>
      </c>
      <c r="C299" s="2" t="s">
        <v>300</v>
      </c>
      <c r="D299" s="2" t="s">
        <v>971</v>
      </c>
      <c r="E299" s="2" t="s">
        <v>972</v>
      </c>
      <c r="F299" s="2" t="s">
        <v>2082</v>
      </c>
      <c r="G299" s="2" t="s">
        <v>2083</v>
      </c>
      <c r="H299" s="2" t="s">
        <v>2084</v>
      </c>
      <c r="I299" s="2" t="s">
        <v>2085</v>
      </c>
      <c r="J299" s="2" t="s">
        <v>1300</v>
      </c>
      <c r="K299" s="2" t="s">
        <v>1357</v>
      </c>
      <c r="L299" s="3">
        <v>17.5</v>
      </c>
      <c r="M299" s="3">
        <v>18.38</v>
      </c>
      <c r="N299" s="3">
        <v>39.99</v>
      </c>
      <c r="O299" s="2" t="s">
        <v>240</v>
      </c>
      <c r="P299" s="2" t="s">
        <v>266</v>
      </c>
      <c r="Q299" s="2" t="s">
        <v>234</v>
      </c>
      <c r="R299" s="2" t="s">
        <v>228</v>
      </c>
      <c r="S299" s="2" t="s">
        <v>2086</v>
      </c>
      <c r="T299" s="2" t="s">
        <v>228</v>
      </c>
      <c r="U299" s="2" t="s">
        <v>416</v>
      </c>
      <c r="V299" s="2" t="s">
        <v>236</v>
      </c>
      <c r="W299" s="2" t="s">
        <v>269</v>
      </c>
      <c r="X299" s="2" t="s">
        <v>1345</v>
      </c>
      <c r="Y299" s="2" t="s">
        <v>1282</v>
      </c>
      <c r="Z299" s="4">
        <v>299</v>
      </c>
      <c r="AA299" s="4">
        <f>=ROUNDDOWN(11.5,0)</f>
      </c>
      <c r="AB299" s="5">
        <v>26</v>
      </c>
      <c r="AC299" s="2" t="s">
        <v>1461</v>
      </c>
      <c r="AD299" s="4">
        <v>500</v>
      </c>
      <c r="AE299" s="4">
        <v>760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228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/>
      <c r="BD299" s="8"/>
      <c r="BE299" s="4"/>
      <c r="BF299" s="8"/>
      <c r="BG299" s="7"/>
      <c r="BH299" s="7"/>
      <c r="BI299" s="7"/>
      <c r="BJ299" s="4">
        <v>77</v>
      </c>
      <c r="BK299" s="8">
        <v>1466.69</v>
      </c>
      <c r="BL299" s="2" t="s">
        <v>2087</v>
      </c>
      <c r="BM299" s="7"/>
      <c r="BN299" s="7"/>
      <c r="BO299" s="4"/>
      <c r="BP299" s="8"/>
      <c r="BQ299" s="4"/>
      <c r="BR299" s="8"/>
      <c r="BS299" s="7"/>
      <c r="BT299" s="7"/>
      <c r="BU299" s="2" t="s">
        <v>2088</v>
      </c>
      <c r="BV299" s="2" t="s">
        <v>228</v>
      </c>
      <c r="BW299" s="2" t="s">
        <v>228</v>
      </c>
      <c r="BX299" s="2" t="s">
        <v>273</v>
      </c>
      <c r="BY299" s="2" t="s">
        <v>274</v>
      </c>
      <c r="BZ299" s="2" t="s">
        <v>240</v>
      </c>
      <c r="CA299" s="2" t="s">
        <v>2089</v>
      </c>
      <c r="CB299" s="2" t="s">
        <v>1549</v>
      </c>
      <c r="CC299" s="2" t="s">
        <v>241</v>
      </c>
      <c r="CD299" s="2" t="s">
        <v>228</v>
      </c>
      <c r="CE299" s="4">
        <v>299</v>
      </c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>
        <v>500</v>
      </c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>
        <v>260</v>
      </c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</row>
    <row r="300">
      <c r="A300" s="2" t="s">
        <v>2090</v>
      </c>
      <c r="B300" s="2" t="s">
        <v>958</v>
      </c>
      <c r="C300" s="2" t="s">
        <v>773</v>
      </c>
      <c r="D300" s="2" t="s">
        <v>1257</v>
      </c>
      <c r="E300" s="2" t="s">
        <v>2091</v>
      </c>
      <c r="F300" s="2" t="s">
        <v>2092</v>
      </c>
      <c r="G300" s="2" t="s">
        <v>2092</v>
      </c>
      <c r="H300" s="2" t="s">
        <v>2092</v>
      </c>
      <c r="I300" s="2" t="s">
        <v>2091</v>
      </c>
      <c r="J300" s="2" t="s">
        <v>294</v>
      </c>
      <c r="K300" s="2" t="s">
        <v>2093</v>
      </c>
      <c r="L300" s="3">
        <v>430</v>
      </c>
      <c r="M300" s="3">
        <v>451.5</v>
      </c>
      <c r="N300" s="3">
        <v>899</v>
      </c>
      <c r="O300" s="2" t="s">
        <v>240</v>
      </c>
      <c r="P300" s="2" t="s">
        <v>889</v>
      </c>
      <c r="Q300" s="2" t="s">
        <v>2094</v>
      </c>
      <c r="R300" s="2" t="s">
        <v>228</v>
      </c>
      <c r="S300" s="2" t="s">
        <v>228</v>
      </c>
      <c r="T300" s="2" t="s">
        <v>228</v>
      </c>
      <c r="U300" s="2" t="s">
        <v>416</v>
      </c>
      <c r="V300" s="2" t="s">
        <v>236</v>
      </c>
      <c r="W300" s="2" t="s">
        <v>743</v>
      </c>
      <c r="X300" s="2" t="s">
        <v>1761</v>
      </c>
      <c r="Y300" s="2" t="s">
        <v>2095</v>
      </c>
      <c r="Z300" s="4">
        <v>370</v>
      </c>
      <c r="AA300" s="4">
        <f>=ROUNDDOWN(46.25,0)</f>
      </c>
      <c r="AB300" s="5">
        <v>8</v>
      </c>
      <c r="AC300" s="2" t="s">
        <v>228</v>
      </c>
      <c r="AD300" s="4"/>
      <c r="AE300" s="4"/>
      <c r="AF300" s="6">
        <v>74</v>
      </c>
      <c r="AG300" s="6">
        <v>60</v>
      </c>
      <c r="AH300" s="7">
        <v>1</v>
      </c>
      <c r="AI300" s="4"/>
      <c r="AJ300" s="4">
        <f>=ROUNDDOWN({0},0)</f>
      </c>
      <c r="AK300" s="5"/>
      <c r="AL300" s="2" t="s">
        <v>228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 t="s">
        <v>228</v>
      </c>
      <c r="BD300" s="8" t="s">
        <v>228</v>
      </c>
      <c r="BE300" s="4" t="s">
        <v>228</v>
      </c>
      <c r="BF300" s="8" t="s">
        <v>228</v>
      </c>
      <c r="BG300" s="7" t="s">
        <v>228</v>
      </c>
      <c r="BH300" s="7" t="s">
        <v>228</v>
      </c>
      <c r="BI300" s="7"/>
      <c r="BJ300" s="4">
        <v>38</v>
      </c>
      <c r="BK300" s="8">
        <v>15583.17</v>
      </c>
      <c r="BL300" s="2" t="s">
        <v>995</v>
      </c>
      <c r="BM300" s="7"/>
      <c r="BN300" s="7"/>
      <c r="BO300" s="4"/>
      <c r="BP300" s="8"/>
      <c r="BQ300" s="4"/>
      <c r="BR300" s="8"/>
      <c r="BS300" s="7"/>
      <c r="BT300" s="7"/>
      <c r="BU300" s="2" t="s">
        <v>2096</v>
      </c>
      <c r="BV300" s="2" t="s">
        <v>228</v>
      </c>
      <c r="BW300" s="2" t="s">
        <v>228</v>
      </c>
      <c r="BX300" s="2" t="s">
        <v>273</v>
      </c>
      <c r="BY300" s="2" t="s">
        <v>274</v>
      </c>
      <c r="BZ300" s="2" t="s">
        <v>240</v>
      </c>
      <c r="CA300" s="2" t="s">
        <v>2097</v>
      </c>
      <c r="CB300" s="2" t="s">
        <v>228</v>
      </c>
      <c r="CC300" s="2" t="s">
        <v>241</v>
      </c>
      <c r="CD300" s="2" t="s">
        <v>228</v>
      </c>
      <c r="CE300" s="4"/>
      <c r="CF300" s="4">
        <v>359</v>
      </c>
      <c r="CG300" s="4"/>
      <c r="CH300" s="4">
        <v>11</v>
      </c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</row>
    <row r="301">
      <c r="A301" s="2" t="s">
        <v>2098</v>
      </c>
      <c r="B301" s="2" t="s">
        <v>958</v>
      </c>
      <c r="C301" s="2" t="s">
        <v>773</v>
      </c>
      <c r="D301" s="2" t="s">
        <v>1564</v>
      </c>
      <c r="E301" s="2" t="s">
        <v>1692</v>
      </c>
      <c r="F301" s="2" t="s">
        <v>2092</v>
      </c>
      <c r="G301" s="2" t="s">
        <v>2092</v>
      </c>
      <c r="H301" s="2" t="s">
        <v>2092</v>
      </c>
      <c r="I301" s="2" t="s">
        <v>2099</v>
      </c>
      <c r="J301" s="2" t="s">
        <v>840</v>
      </c>
      <c r="K301" s="2" t="s">
        <v>2100</v>
      </c>
      <c r="L301" s="3">
        <v>134.18</v>
      </c>
      <c r="M301" s="3">
        <v>140.89</v>
      </c>
      <c r="N301" s="3">
        <v>279</v>
      </c>
      <c r="O301" s="2" t="s">
        <v>240</v>
      </c>
      <c r="P301" s="2" t="s">
        <v>233</v>
      </c>
      <c r="Q301" s="2" t="s">
        <v>234</v>
      </c>
      <c r="R301" s="2" t="s">
        <v>228</v>
      </c>
      <c r="S301" s="2" t="s">
        <v>228</v>
      </c>
      <c r="T301" s="2" t="s">
        <v>228</v>
      </c>
      <c r="U301" s="2" t="s">
        <v>416</v>
      </c>
      <c r="V301" s="2" t="s">
        <v>842</v>
      </c>
      <c r="W301" s="2" t="s">
        <v>743</v>
      </c>
      <c r="X301" s="2" t="s">
        <v>1761</v>
      </c>
      <c r="Y301" s="2" t="s">
        <v>1720</v>
      </c>
      <c r="Z301" s="4">
        <v>100</v>
      </c>
      <c r="AA301" s="4">
        <f>=ROUNDDOWN({0},0)</f>
      </c>
      <c r="AB301" s="5"/>
      <c r="AC301" s="2" t="s">
        <v>228</v>
      </c>
      <c r="AD301" s="4"/>
      <c r="AE301" s="4"/>
      <c r="AF301" s="6">
        <v>74</v>
      </c>
      <c r="AG301" s="6"/>
      <c r="AH301" s="7">
        <v>1</v>
      </c>
      <c r="AI301" s="4"/>
      <c r="AJ301" s="4">
        <f>=ROUNDDOWN({0},0)</f>
      </c>
      <c r="AK301" s="5"/>
      <c r="AL301" s="2" t="s">
        <v>228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 t="s">
        <v>228</v>
      </c>
      <c r="BD301" s="8" t="s">
        <v>228</v>
      </c>
      <c r="BE301" s="4" t="s">
        <v>228</v>
      </c>
      <c r="BF301" s="8" t="s">
        <v>228</v>
      </c>
      <c r="BG301" s="7" t="s">
        <v>228</v>
      </c>
      <c r="BH301" s="7" t="s">
        <v>228</v>
      </c>
      <c r="BI301" s="7"/>
      <c r="BJ301" s="4"/>
      <c r="BK301" s="8"/>
      <c r="BL301" s="2" t="s">
        <v>228</v>
      </c>
      <c r="BM301" s="7"/>
      <c r="BN301" s="7"/>
      <c r="BO301" s="4"/>
      <c r="BP301" s="8"/>
      <c r="BQ301" s="4"/>
      <c r="BR301" s="8"/>
      <c r="BS301" s="7"/>
      <c r="BT301" s="7"/>
      <c r="BU301" s="2" t="s">
        <v>2101</v>
      </c>
      <c r="BV301" s="2" t="s">
        <v>228</v>
      </c>
      <c r="BW301" s="2" t="s">
        <v>228</v>
      </c>
      <c r="BX301" s="2" t="s">
        <v>238</v>
      </c>
      <c r="BY301" s="2" t="s">
        <v>274</v>
      </c>
      <c r="BZ301" s="2" t="s">
        <v>240</v>
      </c>
      <c r="CA301" s="2" t="s">
        <v>2102</v>
      </c>
      <c r="CB301" s="2" t="s">
        <v>228</v>
      </c>
      <c r="CC301" s="2" t="s">
        <v>241</v>
      </c>
      <c r="CD301" s="2" t="s">
        <v>228</v>
      </c>
      <c r="CE301" s="4"/>
      <c r="CF301" s="4">
        <v>100</v>
      </c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</row>
    <row r="302">
      <c r="A302" s="2" t="s">
        <v>2103</v>
      </c>
      <c r="B302" s="2" t="s">
        <v>958</v>
      </c>
      <c r="C302" s="2" t="s">
        <v>773</v>
      </c>
      <c r="D302" s="2" t="s">
        <v>1257</v>
      </c>
      <c r="E302" s="2" t="s">
        <v>2091</v>
      </c>
      <c r="F302" s="2" t="s">
        <v>2092</v>
      </c>
      <c r="G302" s="2" t="s">
        <v>2092</v>
      </c>
      <c r="H302" s="2" t="s">
        <v>2092</v>
      </c>
      <c r="I302" s="2" t="s">
        <v>2091</v>
      </c>
      <c r="J302" s="2" t="s">
        <v>294</v>
      </c>
      <c r="K302" s="2" t="s">
        <v>2104</v>
      </c>
      <c r="L302" s="3">
        <v>430</v>
      </c>
      <c r="M302" s="3">
        <v>451.5</v>
      </c>
      <c r="N302" s="3">
        <v>899</v>
      </c>
      <c r="O302" s="2" t="s">
        <v>240</v>
      </c>
      <c r="P302" s="2" t="s">
        <v>815</v>
      </c>
      <c r="Q302" s="2" t="s">
        <v>2094</v>
      </c>
      <c r="R302" s="2" t="s">
        <v>228</v>
      </c>
      <c r="S302" s="2" t="s">
        <v>2105</v>
      </c>
      <c r="T302" s="2" t="s">
        <v>228</v>
      </c>
      <c r="U302" s="2" t="s">
        <v>228</v>
      </c>
      <c r="V302" s="2" t="s">
        <v>236</v>
      </c>
      <c r="W302" s="2" t="s">
        <v>743</v>
      </c>
      <c r="X302" s="2" t="s">
        <v>1761</v>
      </c>
      <c r="Y302" s="2" t="s">
        <v>2106</v>
      </c>
      <c r="Z302" s="4">
        <v>92</v>
      </c>
      <c r="AA302" s="4">
        <f>=ROUNDDOWN(5.41176470588235,0)</f>
      </c>
      <c r="AB302" s="5">
        <v>17</v>
      </c>
      <c r="AC302" s="2" t="s">
        <v>2107</v>
      </c>
      <c r="AD302" s="4">
        <v>90</v>
      </c>
      <c r="AE302" s="4">
        <v>520</v>
      </c>
      <c r="AF302" s="6">
        <v>74</v>
      </c>
      <c r="AG302" s="6">
        <v>60</v>
      </c>
      <c r="AH302" s="7">
        <v>1</v>
      </c>
      <c r="AI302" s="4"/>
      <c r="AJ302" s="4">
        <f>=ROUNDDOWN({0},0)</f>
      </c>
      <c r="AK302" s="5"/>
      <c r="AL302" s="2" t="s">
        <v>228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 t="s">
        <v>228</v>
      </c>
      <c r="BD302" s="8" t="s">
        <v>228</v>
      </c>
      <c r="BE302" s="4" t="s">
        <v>228</v>
      </c>
      <c r="BF302" s="8" t="s">
        <v>228</v>
      </c>
      <c r="BG302" s="7" t="s">
        <v>228</v>
      </c>
      <c r="BH302" s="7" t="s">
        <v>228</v>
      </c>
      <c r="BI302" s="7"/>
      <c r="BJ302" s="4">
        <v>53</v>
      </c>
      <c r="BK302" s="8">
        <v>21740.13</v>
      </c>
      <c r="BL302" s="2" t="s">
        <v>2108</v>
      </c>
      <c r="BM302" s="7"/>
      <c r="BN302" s="7"/>
      <c r="BO302" s="4"/>
      <c r="BP302" s="8"/>
      <c r="BQ302" s="4"/>
      <c r="BR302" s="8"/>
      <c r="BS302" s="7"/>
      <c r="BT302" s="7"/>
      <c r="BU302" s="2" t="s">
        <v>2109</v>
      </c>
      <c r="BV302" s="2" t="s">
        <v>228</v>
      </c>
      <c r="BW302" s="2" t="s">
        <v>228</v>
      </c>
      <c r="BX302" s="2" t="s">
        <v>273</v>
      </c>
      <c r="BY302" s="2" t="s">
        <v>274</v>
      </c>
      <c r="BZ302" s="2" t="s">
        <v>240</v>
      </c>
      <c r="CA302" s="2" t="s">
        <v>2110</v>
      </c>
      <c r="CB302" s="2" t="s">
        <v>2111</v>
      </c>
      <c r="CC302" s="2" t="s">
        <v>2094</v>
      </c>
      <c r="CD302" s="2" t="s">
        <v>228</v>
      </c>
      <c r="CE302" s="4"/>
      <c r="CF302" s="4">
        <v>86</v>
      </c>
      <c r="CG302" s="4"/>
      <c r="CH302" s="4">
        <v>6</v>
      </c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>
        <v>90</v>
      </c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>
        <v>97</v>
      </c>
      <c r="DF302" s="4"/>
      <c r="DG302" s="4"/>
      <c r="DH302" s="4"/>
      <c r="DI302" s="4"/>
      <c r="DJ302" s="4">
        <v>3</v>
      </c>
      <c r="DK302" s="4"/>
      <c r="DL302" s="4"/>
      <c r="DM302" s="4"/>
      <c r="DN302" s="4">
        <v>10</v>
      </c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>
        <v>200</v>
      </c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>
        <v>120</v>
      </c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</row>
    <row r="303">
      <c r="A303" s="2" t="s">
        <v>2112</v>
      </c>
      <c r="B303" s="2" t="s">
        <v>958</v>
      </c>
      <c r="C303" s="2" t="s">
        <v>773</v>
      </c>
      <c r="D303" s="2" t="s">
        <v>1257</v>
      </c>
      <c r="E303" s="2" t="s">
        <v>2091</v>
      </c>
      <c r="F303" s="2" t="s">
        <v>2092</v>
      </c>
      <c r="G303" s="2" t="s">
        <v>2092</v>
      </c>
      <c r="H303" s="2" t="s">
        <v>2092</v>
      </c>
      <c r="I303" s="2" t="s">
        <v>2091</v>
      </c>
      <c r="J303" s="2" t="s">
        <v>294</v>
      </c>
      <c r="K303" s="2" t="s">
        <v>1357</v>
      </c>
      <c r="L303" s="3">
        <v>430</v>
      </c>
      <c r="M303" s="3">
        <v>451.5</v>
      </c>
      <c r="N303" s="3">
        <v>899</v>
      </c>
      <c r="O303" s="2" t="s">
        <v>240</v>
      </c>
      <c r="P303" s="2" t="s">
        <v>233</v>
      </c>
      <c r="Q303" s="2" t="s">
        <v>2094</v>
      </c>
      <c r="R303" s="2" t="s">
        <v>228</v>
      </c>
      <c r="S303" s="2" t="s">
        <v>228</v>
      </c>
      <c r="T303" s="2" t="s">
        <v>228</v>
      </c>
      <c r="U303" s="2" t="s">
        <v>416</v>
      </c>
      <c r="V303" s="2" t="s">
        <v>236</v>
      </c>
      <c r="W303" s="2" t="s">
        <v>743</v>
      </c>
      <c r="X303" s="2" t="s">
        <v>1761</v>
      </c>
      <c r="Y303" s="2" t="s">
        <v>2113</v>
      </c>
      <c r="Z303" s="4">
        <v>235</v>
      </c>
      <c r="AA303" s="4">
        <f>=ROUNDDOWN({0},0)</f>
      </c>
      <c r="AB303" s="5"/>
      <c r="AC303" s="2" t="s">
        <v>2114</v>
      </c>
      <c r="AD303" s="4">
        <v>26</v>
      </c>
      <c r="AE303" s="4">
        <v>26</v>
      </c>
      <c r="AF303" s="6">
        <v>74</v>
      </c>
      <c r="AG303" s="6"/>
      <c r="AH303" s="7">
        <v>1</v>
      </c>
      <c r="AI303" s="4"/>
      <c r="AJ303" s="4">
        <f>=ROUNDDOWN({0},0)</f>
      </c>
      <c r="AK303" s="5"/>
      <c r="AL303" s="2" t="s">
        <v>228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228</v>
      </c>
      <c r="AW303" s="8" t="s">
        <v>228</v>
      </c>
      <c r="AX303" s="4" t="s">
        <v>228</v>
      </c>
      <c r="AY303" s="8" t="s">
        <v>228</v>
      </c>
      <c r="AZ303" s="7" t="s">
        <v>228</v>
      </c>
      <c r="BA303" s="7" t="s">
        <v>228</v>
      </c>
      <c r="BB303" s="7"/>
      <c r="BC303" s="4" t="s">
        <v>228</v>
      </c>
      <c r="BD303" s="8" t="s">
        <v>228</v>
      </c>
      <c r="BE303" s="4" t="s">
        <v>228</v>
      </c>
      <c r="BF303" s="8" t="s">
        <v>228</v>
      </c>
      <c r="BG303" s="7" t="s">
        <v>228</v>
      </c>
      <c r="BH303" s="7" t="s">
        <v>228</v>
      </c>
      <c r="BI303" s="7"/>
      <c r="BJ303" s="4"/>
      <c r="BK303" s="8"/>
      <c r="BL303" s="2" t="s">
        <v>228</v>
      </c>
      <c r="BM303" s="7"/>
      <c r="BN303" s="7"/>
      <c r="BO303" s="4"/>
      <c r="BP303" s="8"/>
      <c r="BQ303" s="4"/>
      <c r="BR303" s="8"/>
      <c r="BS303" s="7"/>
      <c r="BT303" s="7"/>
      <c r="BU303" s="2" t="s">
        <v>2115</v>
      </c>
      <c r="BV303" s="2" t="s">
        <v>228</v>
      </c>
      <c r="BW303" s="2" t="s">
        <v>228</v>
      </c>
      <c r="BX303" s="2" t="s">
        <v>273</v>
      </c>
      <c r="BY303" s="2" t="s">
        <v>274</v>
      </c>
      <c r="BZ303" s="2" t="s">
        <v>240</v>
      </c>
      <c r="CA303" s="2" t="s">
        <v>1270</v>
      </c>
      <c r="CB303" s="2" t="s">
        <v>228</v>
      </c>
      <c r="CC303" s="2" t="s">
        <v>241</v>
      </c>
      <c r="CD303" s="2" t="s">
        <v>228</v>
      </c>
      <c r="CE303" s="4"/>
      <c r="CF303" s="4">
        <v>235</v>
      </c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>
        <v>26</v>
      </c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</row>
    <row r="304">
      <c r="A304" s="2" t="s">
        <v>2116</v>
      </c>
      <c r="B304" s="2" t="s">
        <v>958</v>
      </c>
      <c r="C304" s="2" t="s">
        <v>773</v>
      </c>
      <c r="D304" s="2" t="s">
        <v>2117</v>
      </c>
      <c r="E304" s="2" t="s">
        <v>2118</v>
      </c>
      <c r="F304" s="2" t="s">
        <v>2092</v>
      </c>
      <c r="G304" s="2" t="s">
        <v>2092</v>
      </c>
      <c r="H304" s="2" t="s">
        <v>2092</v>
      </c>
      <c r="I304" s="2" t="s">
        <v>2119</v>
      </c>
      <c r="J304" s="2" t="s">
        <v>840</v>
      </c>
      <c r="K304" s="2" t="s">
        <v>1357</v>
      </c>
      <c r="L304" s="3">
        <v>217.8</v>
      </c>
      <c r="M304" s="3">
        <v>228.69</v>
      </c>
      <c r="N304" s="3">
        <v>459</v>
      </c>
      <c r="O304" s="2" t="s">
        <v>240</v>
      </c>
      <c r="P304" s="2" t="s">
        <v>233</v>
      </c>
      <c r="Q304" s="2" t="s">
        <v>234</v>
      </c>
      <c r="R304" s="2" t="s">
        <v>228</v>
      </c>
      <c r="S304" s="2" t="s">
        <v>228</v>
      </c>
      <c r="T304" s="2" t="s">
        <v>228</v>
      </c>
      <c r="U304" s="2" t="s">
        <v>416</v>
      </c>
      <c r="V304" s="2" t="s">
        <v>842</v>
      </c>
      <c r="W304" s="2" t="s">
        <v>743</v>
      </c>
      <c r="X304" s="2" t="s">
        <v>1761</v>
      </c>
      <c r="Y304" s="2" t="s">
        <v>1720</v>
      </c>
      <c r="Z304" s="4">
        <v>130</v>
      </c>
      <c r="AA304" s="4">
        <f>=ROUNDDOWN({0},0)</f>
      </c>
      <c r="AB304" s="5"/>
      <c r="AC304" s="2" t="s">
        <v>172</v>
      </c>
      <c r="AD304" s="4">
        <v>40</v>
      </c>
      <c r="AE304" s="4">
        <v>40</v>
      </c>
      <c r="AF304" s="6">
        <v>74</v>
      </c>
      <c r="AG304" s="6"/>
      <c r="AH304" s="7">
        <v>1</v>
      </c>
      <c r="AI304" s="4"/>
      <c r="AJ304" s="4">
        <f>=ROUNDDOWN({0},0)</f>
      </c>
      <c r="AK304" s="5"/>
      <c r="AL304" s="2" t="s">
        <v>228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228</v>
      </c>
      <c r="AW304" s="8" t="s">
        <v>228</v>
      </c>
      <c r="AX304" s="4" t="s">
        <v>228</v>
      </c>
      <c r="AY304" s="8" t="s">
        <v>228</v>
      </c>
      <c r="AZ304" s="7" t="s">
        <v>228</v>
      </c>
      <c r="BA304" s="7" t="s">
        <v>228</v>
      </c>
      <c r="BB304" s="7" t="s">
        <v>228</v>
      </c>
      <c r="BC304" s="4" t="s">
        <v>228</v>
      </c>
      <c r="BD304" s="8" t="s">
        <v>228</v>
      </c>
      <c r="BE304" s="4" t="s">
        <v>228</v>
      </c>
      <c r="BF304" s="8" t="s">
        <v>228</v>
      </c>
      <c r="BG304" s="7" t="s">
        <v>228</v>
      </c>
      <c r="BH304" s="7" t="s">
        <v>228</v>
      </c>
      <c r="BI304" s="7"/>
      <c r="BJ304" s="4"/>
      <c r="BK304" s="8"/>
      <c r="BL304" s="2" t="s">
        <v>228</v>
      </c>
      <c r="BM304" s="7"/>
      <c r="BN304" s="7"/>
      <c r="BO304" s="4"/>
      <c r="BP304" s="8"/>
      <c r="BQ304" s="4"/>
      <c r="BR304" s="8"/>
      <c r="BS304" s="7"/>
      <c r="BT304" s="7"/>
      <c r="BU304" s="2" t="s">
        <v>2120</v>
      </c>
      <c r="BV304" s="2" t="s">
        <v>228</v>
      </c>
      <c r="BW304" s="2" t="s">
        <v>228</v>
      </c>
      <c r="BX304" s="2" t="s">
        <v>238</v>
      </c>
      <c r="BY304" s="2" t="s">
        <v>274</v>
      </c>
      <c r="BZ304" s="2" t="s">
        <v>240</v>
      </c>
      <c r="CA304" s="2" t="s">
        <v>2102</v>
      </c>
      <c r="CB304" s="2" t="s">
        <v>228</v>
      </c>
      <c r="CC304" s="2" t="s">
        <v>241</v>
      </c>
      <c r="CD304" s="2" t="s">
        <v>228</v>
      </c>
      <c r="CE304" s="4"/>
      <c r="CF304" s="4">
        <v>130</v>
      </c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>
        <v>40</v>
      </c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</row>
    <row r="305">
      <c r="A305" s="2" t="s">
        <v>2121</v>
      </c>
      <c r="B305" s="2" t="s">
        <v>958</v>
      </c>
      <c r="C305" s="2" t="s">
        <v>773</v>
      </c>
      <c r="D305" s="2" t="s">
        <v>2122</v>
      </c>
      <c r="E305" s="2" t="s">
        <v>2123</v>
      </c>
      <c r="F305" s="2" t="s">
        <v>2092</v>
      </c>
      <c r="G305" s="2" t="s">
        <v>2092</v>
      </c>
      <c r="H305" s="2" t="s">
        <v>2092</v>
      </c>
      <c r="I305" s="2" t="s">
        <v>2123</v>
      </c>
      <c r="J305" s="2" t="s">
        <v>840</v>
      </c>
      <c r="K305" s="2" t="s">
        <v>1357</v>
      </c>
      <c r="L305" s="3">
        <v>109.25</v>
      </c>
      <c r="M305" s="3">
        <v>114.71</v>
      </c>
      <c r="N305" s="3">
        <v>229</v>
      </c>
      <c r="O305" s="2" t="s">
        <v>240</v>
      </c>
      <c r="P305" s="2" t="s">
        <v>233</v>
      </c>
      <c r="Q305" s="2" t="s">
        <v>234</v>
      </c>
      <c r="R305" s="2" t="s">
        <v>228</v>
      </c>
      <c r="S305" s="2" t="s">
        <v>228</v>
      </c>
      <c r="T305" s="2" t="s">
        <v>228</v>
      </c>
      <c r="U305" s="2" t="s">
        <v>416</v>
      </c>
      <c r="V305" s="2" t="s">
        <v>236</v>
      </c>
      <c r="W305" s="2" t="s">
        <v>743</v>
      </c>
      <c r="X305" s="2" t="s">
        <v>1761</v>
      </c>
      <c r="Y305" s="2" t="s">
        <v>1720</v>
      </c>
      <c r="Z305" s="4">
        <v>897</v>
      </c>
      <c r="AA305" s="4">
        <f>=ROUNDDOWN(20.8604651162791,0)</f>
      </c>
      <c r="AB305" s="5">
        <v>43</v>
      </c>
      <c r="AC305" s="2" t="s">
        <v>172</v>
      </c>
      <c r="AD305" s="4">
        <v>346</v>
      </c>
      <c r="AE305" s="4">
        <v>346</v>
      </c>
      <c r="AF305" s="6">
        <v>74</v>
      </c>
      <c r="AG305" s="6"/>
      <c r="AH305" s="7">
        <v>1</v>
      </c>
      <c r="AI305" s="4"/>
      <c r="AJ305" s="4">
        <f>=ROUNDDOWN({0},0)</f>
      </c>
      <c r="AK305" s="5"/>
      <c r="AL305" s="2" t="s">
        <v>228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228</v>
      </c>
      <c r="AW305" s="8" t="s">
        <v>228</v>
      </c>
      <c r="AX305" s="4" t="s">
        <v>228</v>
      </c>
      <c r="AY305" s="8" t="s">
        <v>228</v>
      </c>
      <c r="AZ305" s="7" t="s">
        <v>228</v>
      </c>
      <c r="BA305" s="7" t="s">
        <v>228</v>
      </c>
      <c r="BB305" s="7" t="s">
        <v>228</v>
      </c>
      <c r="BC305" s="4" t="s">
        <v>228</v>
      </c>
      <c r="BD305" s="8" t="s">
        <v>228</v>
      </c>
      <c r="BE305" s="4" t="s">
        <v>228</v>
      </c>
      <c r="BF305" s="8" t="s">
        <v>228</v>
      </c>
      <c r="BG305" s="7" t="s">
        <v>228</v>
      </c>
      <c r="BH305" s="7" t="s">
        <v>228</v>
      </c>
      <c r="BI305" s="7"/>
      <c r="BJ305" s="4"/>
      <c r="BK305" s="8"/>
      <c r="BL305" s="2" t="s">
        <v>228</v>
      </c>
      <c r="BM305" s="7"/>
      <c r="BN305" s="7"/>
      <c r="BO305" s="4"/>
      <c r="BP305" s="8"/>
      <c r="BQ305" s="4"/>
      <c r="BR305" s="8"/>
      <c r="BS305" s="7"/>
      <c r="BT305" s="7"/>
      <c r="BU305" s="2" t="s">
        <v>2124</v>
      </c>
      <c r="BV305" s="2" t="s">
        <v>228</v>
      </c>
      <c r="BW305" s="2" t="s">
        <v>228</v>
      </c>
      <c r="BX305" s="2" t="s">
        <v>2125</v>
      </c>
      <c r="BY305" s="2" t="s">
        <v>274</v>
      </c>
      <c r="BZ305" s="2" t="s">
        <v>240</v>
      </c>
      <c r="CA305" s="2" t="s">
        <v>1191</v>
      </c>
      <c r="CB305" s="2" t="s">
        <v>228</v>
      </c>
      <c r="CC305" s="2" t="s">
        <v>241</v>
      </c>
      <c r="CD305" s="2" t="s">
        <v>228</v>
      </c>
      <c r="CE305" s="4"/>
      <c r="CF305" s="4">
        <v>897</v>
      </c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>
        <v>346</v>
      </c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</row>
    <row r="306">
      <c r="A306" s="2" t="s">
        <v>2126</v>
      </c>
      <c r="B306" s="2" t="s">
        <v>258</v>
      </c>
      <c r="C306" s="2" t="s">
        <v>259</v>
      </c>
      <c r="D306" s="2" t="s">
        <v>260</v>
      </c>
      <c r="E306" s="2" t="s">
        <v>411</v>
      </c>
      <c r="F306" s="2" t="s">
        <v>2127</v>
      </c>
      <c r="G306" s="2" t="s">
        <v>2127</v>
      </c>
      <c r="H306" s="2" t="s">
        <v>2127</v>
      </c>
      <c r="I306" s="2" t="s">
        <v>2128</v>
      </c>
      <c r="J306" s="2" t="s">
        <v>264</v>
      </c>
      <c r="K306" s="2" t="s">
        <v>316</v>
      </c>
      <c r="L306" s="3">
        <v>13.34</v>
      </c>
      <c r="M306" s="3">
        <v>14.01</v>
      </c>
      <c r="N306" s="3">
        <v>28.99</v>
      </c>
      <c r="O306" s="2" t="s">
        <v>240</v>
      </c>
      <c r="P306" s="2" t="s">
        <v>333</v>
      </c>
      <c r="Q306" s="2" t="s">
        <v>234</v>
      </c>
      <c r="R306" s="2" t="s">
        <v>228</v>
      </c>
      <c r="S306" s="2" t="s">
        <v>2129</v>
      </c>
      <c r="T306" s="2" t="s">
        <v>415</v>
      </c>
      <c r="U306" s="2" t="s">
        <v>228</v>
      </c>
      <c r="V306" s="2" t="s">
        <v>236</v>
      </c>
      <c r="W306" s="2" t="s">
        <v>269</v>
      </c>
      <c r="X306" s="2" t="s">
        <v>228</v>
      </c>
      <c r="Y306" s="2" t="s">
        <v>270</v>
      </c>
      <c r="Z306" s="4">
        <v>47</v>
      </c>
      <c r="AA306" s="4">
        <f>=ROUNDDOWN(15.6666666666667,0)</f>
      </c>
      <c r="AB306" s="5">
        <v>3</v>
      </c>
      <c r="AC306" s="2" t="s">
        <v>228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228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228</v>
      </c>
      <c r="AW306" s="8" t="s">
        <v>228</v>
      </c>
      <c r="AX306" s="4" t="s">
        <v>228</v>
      </c>
      <c r="AY306" s="8" t="s">
        <v>228</v>
      </c>
      <c r="AZ306" s="7" t="s">
        <v>228</v>
      </c>
      <c r="BA306" s="7" t="s">
        <v>228</v>
      </c>
      <c r="BB306" s="7"/>
      <c r="BC306" s="4" t="s">
        <v>228</v>
      </c>
      <c r="BD306" s="8" t="s">
        <v>228</v>
      </c>
      <c r="BE306" s="4" t="s">
        <v>228</v>
      </c>
      <c r="BF306" s="8" t="s">
        <v>228</v>
      </c>
      <c r="BG306" s="7" t="s">
        <v>228</v>
      </c>
      <c r="BH306" s="7" t="s">
        <v>228</v>
      </c>
      <c r="BI306" s="7"/>
      <c r="BJ306" s="4">
        <v>13</v>
      </c>
      <c r="BK306" s="8">
        <v>153.19</v>
      </c>
      <c r="BL306" s="2" t="s">
        <v>2130</v>
      </c>
      <c r="BM306" s="7"/>
      <c r="BN306" s="7"/>
      <c r="BO306" s="4"/>
      <c r="BP306" s="8"/>
      <c r="BQ306" s="4"/>
      <c r="BR306" s="8"/>
      <c r="BS306" s="7"/>
      <c r="BT306" s="7"/>
      <c r="BU306" s="2" t="s">
        <v>2131</v>
      </c>
      <c r="BV306" s="2" t="s">
        <v>228</v>
      </c>
      <c r="BW306" s="2" t="s">
        <v>228</v>
      </c>
      <c r="BX306" s="2" t="s">
        <v>337</v>
      </c>
      <c r="BY306" s="2" t="s">
        <v>274</v>
      </c>
      <c r="BZ306" s="2" t="s">
        <v>240</v>
      </c>
      <c r="CA306" s="2" t="s">
        <v>275</v>
      </c>
      <c r="CB306" s="2" t="s">
        <v>2132</v>
      </c>
      <c r="CC306" s="2" t="s">
        <v>241</v>
      </c>
      <c r="CD306" s="2" t="s">
        <v>228</v>
      </c>
      <c r="CE306" s="4">
        <v>47</v>
      </c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</row>
    <row r="307">
      <c r="A307" s="2" t="s">
        <v>2133</v>
      </c>
      <c r="B307" s="2" t="s">
        <v>258</v>
      </c>
      <c r="C307" s="2" t="s">
        <v>259</v>
      </c>
      <c r="D307" s="2" t="s">
        <v>260</v>
      </c>
      <c r="E307" s="2" t="s">
        <v>2134</v>
      </c>
      <c r="F307" s="2" t="s">
        <v>2127</v>
      </c>
      <c r="G307" s="2" t="s">
        <v>2127</v>
      </c>
      <c r="H307" s="2" t="s">
        <v>2127</v>
      </c>
      <c r="I307" s="2" t="s">
        <v>2128</v>
      </c>
      <c r="J307" s="2" t="s">
        <v>284</v>
      </c>
      <c r="K307" s="2" t="s">
        <v>316</v>
      </c>
      <c r="L307" s="3">
        <v>16.32</v>
      </c>
      <c r="M307" s="3">
        <v>17.14</v>
      </c>
      <c r="N307" s="3">
        <v>33.99</v>
      </c>
      <c r="O307" s="2" t="s">
        <v>461</v>
      </c>
      <c r="P307" s="2" t="s">
        <v>333</v>
      </c>
      <c r="Q307" s="2" t="s">
        <v>234</v>
      </c>
      <c r="R307" s="2" t="s">
        <v>228</v>
      </c>
      <c r="S307" s="2" t="s">
        <v>2129</v>
      </c>
      <c r="T307" s="2" t="s">
        <v>415</v>
      </c>
      <c r="U307" s="2" t="s">
        <v>228</v>
      </c>
      <c r="V307" s="2" t="s">
        <v>236</v>
      </c>
      <c r="W307" s="2" t="s">
        <v>269</v>
      </c>
      <c r="X307" s="2" t="s">
        <v>228</v>
      </c>
      <c r="Y307" s="2" t="s">
        <v>270</v>
      </c>
      <c r="Z307" s="4">
        <v>51</v>
      </c>
      <c r="AA307" s="4">
        <f>=ROUNDDOWN(17,0)</f>
      </c>
      <c r="AB307" s="5">
        <v>3</v>
      </c>
      <c r="AC307" s="2" t="s">
        <v>228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228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228</v>
      </c>
      <c r="AW307" s="8" t="s">
        <v>228</v>
      </c>
      <c r="AX307" s="4" t="s">
        <v>228</v>
      </c>
      <c r="AY307" s="8" t="s">
        <v>228</v>
      </c>
      <c r="AZ307" s="7" t="s">
        <v>228</v>
      </c>
      <c r="BA307" s="7" t="s">
        <v>228</v>
      </c>
      <c r="BB307" s="7"/>
      <c r="BC307" s="4" t="s">
        <v>228</v>
      </c>
      <c r="BD307" s="8" t="s">
        <v>228</v>
      </c>
      <c r="BE307" s="4" t="s">
        <v>228</v>
      </c>
      <c r="BF307" s="8" t="s">
        <v>228</v>
      </c>
      <c r="BG307" s="7" t="s">
        <v>228</v>
      </c>
      <c r="BH307" s="7" t="s">
        <v>228</v>
      </c>
      <c r="BI307" s="7"/>
      <c r="BJ307" s="4">
        <v>8</v>
      </c>
      <c r="BK307" s="8">
        <v>128.06</v>
      </c>
      <c r="BL307" s="2" t="s">
        <v>2130</v>
      </c>
      <c r="BM307" s="7"/>
      <c r="BN307" s="7"/>
      <c r="BO307" s="4"/>
      <c r="BP307" s="8"/>
      <c r="BQ307" s="4"/>
      <c r="BR307" s="8"/>
      <c r="BS307" s="7"/>
      <c r="BT307" s="7"/>
      <c r="BU307" s="2" t="s">
        <v>2135</v>
      </c>
      <c r="BV307" s="2" t="s">
        <v>228</v>
      </c>
      <c r="BW307" s="2" t="s">
        <v>228</v>
      </c>
      <c r="BX307" s="2" t="s">
        <v>337</v>
      </c>
      <c r="BY307" s="2" t="s">
        <v>274</v>
      </c>
      <c r="BZ307" s="2" t="s">
        <v>240</v>
      </c>
      <c r="CA307" s="2" t="s">
        <v>275</v>
      </c>
      <c r="CB307" s="2" t="s">
        <v>1140</v>
      </c>
      <c r="CC307" s="2" t="s">
        <v>241</v>
      </c>
      <c r="CD307" s="2" t="s">
        <v>228</v>
      </c>
      <c r="CE307" s="4">
        <v>51</v>
      </c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</row>
    <row r="308">
      <c r="A308" s="2" t="s">
        <v>2136</v>
      </c>
      <c r="B308" s="2" t="s">
        <v>258</v>
      </c>
      <c r="C308" s="2" t="s">
        <v>259</v>
      </c>
      <c r="D308" s="2" t="s">
        <v>260</v>
      </c>
      <c r="E308" s="2" t="s">
        <v>2134</v>
      </c>
      <c r="F308" s="2" t="s">
        <v>2127</v>
      </c>
      <c r="G308" s="2" t="s">
        <v>2127</v>
      </c>
      <c r="H308" s="2" t="s">
        <v>2127</v>
      </c>
      <c r="I308" s="2" t="s">
        <v>2128</v>
      </c>
      <c r="J308" s="2" t="s">
        <v>289</v>
      </c>
      <c r="K308" s="2" t="s">
        <v>316</v>
      </c>
      <c r="L308" s="3">
        <v>18.5</v>
      </c>
      <c r="M308" s="3">
        <v>19.42</v>
      </c>
      <c r="N308" s="3">
        <v>36.99</v>
      </c>
      <c r="O308" s="2" t="s">
        <v>240</v>
      </c>
      <c r="P308" s="2" t="s">
        <v>333</v>
      </c>
      <c r="Q308" s="2" t="s">
        <v>234</v>
      </c>
      <c r="R308" s="2" t="s">
        <v>228</v>
      </c>
      <c r="S308" s="2" t="s">
        <v>2129</v>
      </c>
      <c r="T308" s="2" t="s">
        <v>415</v>
      </c>
      <c r="U308" s="2" t="s">
        <v>228</v>
      </c>
      <c r="V308" s="2" t="s">
        <v>236</v>
      </c>
      <c r="W308" s="2" t="s">
        <v>269</v>
      </c>
      <c r="X308" s="2" t="s">
        <v>228</v>
      </c>
      <c r="Y308" s="2" t="s">
        <v>270</v>
      </c>
      <c r="Z308" s="4">
        <v>45</v>
      </c>
      <c r="AA308" s="4">
        <f>=ROUNDDOWN(7.5,0)</f>
      </c>
      <c r="AB308" s="5">
        <v>6</v>
      </c>
      <c r="AC308" s="2" t="s">
        <v>228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228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228</v>
      </c>
      <c r="AW308" s="8" t="s">
        <v>228</v>
      </c>
      <c r="AX308" s="4" t="s">
        <v>228</v>
      </c>
      <c r="AY308" s="8" t="s">
        <v>228</v>
      </c>
      <c r="AZ308" s="7" t="s">
        <v>228</v>
      </c>
      <c r="BA308" s="7" t="s">
        <v>228</v>
      </c>
      <c r="BB308" s="7"/>
      <c r="BC308" s="4" t="s">
        <v>228</v>
      </c>
      <c r="BD308" s="8" t="s">
        <v>228</v>
      </c>
      <c r="BE308" s="4" t="s">
        <v>228</v>
      </c>
      <c r="BF308" s="8" t="s">
        <v>228</v>
      </c>
      <c r="BG308" s="7" t="s">
        <v>228</v>
      </c>
      <c r="BH308" s="7" t="s">
        <v>228</v>
      </c>
      <c r="BI308" s="7"/>
      <c r="BJ308" s="4">
        <v>19</v>
      </c>
      <c r="BK308" s="8">
        <v>343.81</v>
      </c>
      <c r="BL308" s="2" t="s">
        <v>1482</v>
      </c>
      <c r="BM308" s="7"/>
      <c r="BN308" s="7"/>
      <c r="BO308" s="4"/>
      <c r="BP308" s="8"/>
      <c r="BQ308" s="4"/>
      <c r="BR308" s="8"/>
      <c r="BS308" s="7"/>
      <c r="BT308" s="7"/>
      <c r="BU308" s="2" t="s">
        <v>2137</v>
      </c>
      <c r="BV308" s="2" t="s">
        <v>228</v>
      </c>
      <c r="BW308" s="2" t="s">
        <v>228</v>
      </c>
      <c r="BX308" s="2" t="s">
        <v>337</v>
      </c>
      <c r="BY308" s="2" t="s">
        <v>274</v>
      </c>
      <c r="BZ308" s="2" t="s">
        <v>240</v>
      </c>
      <c r="CA308" s="2" t="s">
        <v>275</v>
      </c>
      <c r="CB308" s="2" t="s">
        <v>2138</v>
      </c>
      <c r="CC308" s="2" t="s">
        <v>241</v>
      </c>
      <c r="CD308" s="2" t="s">
        <v>228</v>
      </c>
      <c r="CE308" s="4">
        <v>45</v>
      </c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</row>
    <row r="309">
      <c r="A309" s="2" t="s">
        <v>2139</v>
      </c>
      <c r="B309" s="2" t="s">
        <v>258</v>
      </c>
      <c r="C309" s="2" t="s">
        <v>259</v>
      </c>
      <c r="D309" s="2" t="s">
        <v>260</v>
      </c>
      <c r="E309" s="2" t="s">
        <v>2134</v>
      </c>
      <c r="F309" s="2" t="s">
        <v>2127</v>
      </c>
      <c r="G309" s="2" t="s">
        <v>2127</v>
      </c>
      <c r="H309" s="2" t="s">
        <v>2127</v>
      </c>
      <c r="I309" s="2" t="s">
        <v>2128</v>
      </c>
      <c r="J309" s="2" t="s">
        <v>294</v>
      </c>
      <c r="K309" s="2" t="s">
        <v>316</v>
      </c>
      <c r="L309" s="3">
        <v>21.83</v>
      </c>
      <c r="M309" s="3">
        <v>22.92</v>
      </c>
      <c r="N309" s="3">
        <v>41.99</v>
      </c>
      <c r="O309" s="2" t="s">
        <v>240</v>
      </c>
      <c r="P309" s="2" t="s">
        <v>333</v>
      </c>
      <c r="Q309" s="2" t="s">
        <v>234</v>
      </c>
      <c r="R309" s="2" t="s">
        <v>228</v>
      </c>
      <c r="S309" s="2" t="s">
        <v>2129</v>
      </c>
      <c r="T309" s="2" t="s">
        <v>415</v>
      </c>
      <c r="U309" s="2" t="s">
        <v>228</v>
      </c>
      <c r="V309" s="2" t="s">
        <v>236</v>
      </c>
      <c r="W309" s="2" t="s">
        <v>269</v>
      </c>
      <c r="X309" s="2" t="s">
        <v>228</v>
      </c>
      <c r="Y309" s="2" t="s">
        <v>270</v>
      </c>
      <c r="Z309" s="4">
        <v>10</v>
      </c>
      <c r="AA309" s="4">
        <f>=ROUNDDOWN(2.5,0)</f>
      </c>
      <c r="AB309" s="5">
        <v>4</v>
      </c>
      <c r="AC309" s="2" t="s">
        <v>228</v>
      </c>
      <c r="AD309" s="4"/>
      <c r="AE309" s="4"/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228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228</v>
      </c>
      <c r="AW309" s="8" t="s">
        <v>228</v>
      </c>
      <c r="AX309" s="4" t="s">
        <v>228</v>
      </c>
      <c r="AY309" s="8" t="s">
        <v>228</v>
      </c>
      <c r="AZ309" s="7" t="s">
        <v>228</v>
      </c>
      <c r="BA309" s="7" t="s">
        <v>228</v>
      </c>
      <c r="BB309" s="7"/>
      <c r="BC309" s="4" t="s">
        <v>228</v>
      </c>
      <c r="BD309" s="8" t="s">
        <v>228</v>
      </c>
      <c r="BE309" s="4" t="s">
        <v>228</v>
      </c>
      <c r="BF309" s="8" t="s">
        <v>228</v>
      </c>
      <c r="BG309" s="7" t="s">
        <v>228</v>
      </c>
      <c r="BH309" s="7" t="s">
        <v>228</v>
      </c>
      <c r="BI309" s="7"/>
      <c r="BJ309" s="4">
        <v>5</v>
      </c>
      <c r="BK309" s="8">
        <v>120.12</v>
      </c>
      <c r="BL309" s="2" t="s">
        <v>2140</v>
      </c>
      <c r="BM309" s="7"/>
      <c r="BN309" s="7"/>
      <c r="BO309" s="4"/>
      <c r="BP309" s="8"/>
      <c r="BQ309" s="4"/>
      <c r="BR309" s="8"/>
      <c r="BS309" s="7"/>
      <c r="BT309" s="7"/>
      <c r="BU309" s="2" t="s">
        <v>2141</v>
      </c>
      <c r="BV309" s="2" t="s">
        <v>228</v>
      </c>
      <c r="BW309" s="2" t="s">
        <v>228</v>
      </c>
      <c r="BX309" s="2" t="s">
        <v>337</v>
      </c>
      <c r="BY309" s="2" t="s">
        <v>274</v>
      </c>
      <c r="BZ309" s="2" t="s">
        <v>240</v>
      </c>
      <c r="CA309" s="2" t="s">
        <v>275</v>
      </c>
      <c r="CB309" s="2" t="s">
        <v>2142</v>
      </c>
      <c r="CC309" s="2" t="s">
        <v>241</v>
      </c>
      <c r="CD309" s="2" t="s">
        <v>228</v>
      </c>
      <c r="CE309" s="4">
        <v>10</v>
      </c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</row>
    <row r="310">
      <c r="A310" s="2" t="s">
        <v>2143</v>
      </c>
      <c r="B310" s="2" t="s">
        <v>958</v>
      </c>
      <c r="C310" s="2" t="s">
        <v>300</v>
      </c>
      <c r="D310" s="2" t="s">
        <v>2144</v>
      </c>
      <c r="E310" s="2" t="s">
        <v>2145</v>
      </c>
      <c r="F310" s="2" t="s">
        <v>2146</v>
      </c>
      <c r="G310" s="2" t="s">
        <v>2147</v>
      </c>
      <c r="H310" s="2" t="s">
        <v>2148</v>
      </c>
      <c r="I310" s="2" t="s">
        <v>2149</v>
      </c>
      <c r="J310" s="2" t="s">
        <v>840</v>
      </c>
      <c r="K310" s="2" t="s">
        <v>2150</v>
      </c>
      <c r="L310" s="3">
        <v>205.2</v>
      </c>
      <c r="M310" s="3">
        <v>215.46</v>
      </c>
      <c r="N310" s="3">
        <v>429</v>
      </c>
      <c r="O310" s="2" t="s">
        <v>240</v>
      </c>
      <c r="P310" s="2" t="s">
        <v>333</v>
      </c>
      <c r="Q310" s="2" t="s">
        <v>234</v>
      </c>
      <c r="R310" s="2" t="s">
        <v>228</v>
      </c>
      <c r="S310" s="2" t="s">
        <v>228</v>
      </c>
      <c r="T310" s="2" t="s">
        <v>228</v>
      </c>
      <c r="U310" s="2" t="s">
        <v>416</v>
      </c>
      <c r="V310" s="2" t="s">
        <v>236</v>
      </c>
      <c r="W310" s="2" t="s">
        <v>463</v>
      </c>
      <c r="X310" s="2" t="s">
        <v>269</v>
      </c>
      <c r="Y310" s="2" t="s">
        <v>2151</v>
      </c>
      <c r="Z310" s="4">
        <v>80</v>
      </c>
      <c r="AA310" s="4">
        <f>=ROUNDDOWN(160,0)</f>
      </c>
      <c r="AB310" s="5">
        <v>0.5</v>
      </c>
      <c r="AC310" s="2" t="s">
        <v>228</v>
      </c>
      <c r="AD310" s="4"/>
      <c r="AE310" s="4"/>
      <c r="AF310" s="6">
        <v>74</v>
      </c>
      <c r="AG310" s="6"/>
      <c r="AH310" s="7">
        <v>1</v>
      </c>
      <c r="AI310" s="4"/>
      <c r="AJ310" s="4">
        <f>=ROUNDDOWN({0},0)</f>
      </c>
      <c r="AK310" s="5"/>
      <c r="AL310" s="2" t="s">
        <v>228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/>
      <c r="BD310" s="8"/>
      <c r="BE310" s="4"/>
      <c r="BF310" s="8"/>
      <c r="BG310" s="7"/>
      <c r="BH310" s="7"/>
      <c r="BI310" s="7"/>
      <c r="BJ310" s="4">
        <v>2</v>
      </c>
      <c r="BK310" s="8">
        <v>221.92</v>
      </c>
      <c r="BL310" s="2" t="s">
        <v>1933</v>
      </c>
      <c r="BM310" s="7"/>
      <c r="BN310" s="7"/>
      <c r="BO310" s="4"/>
      <c r="BP310" s="8"/>
      <c r="BQ310" s="4"/>
      <c r="BR310" s="8"/>
      <c r="BS310" s="7"/>
      <c r="BT310" s="7"/>
      <c r="BU310" s="2" t="s">
        <v>2152</v>
      </c>
      <c r="BV310" s="2" t="s">
        <v>228</v>
      </c>
      <c r="BW310" s="2" t="s">
        <v>228</v>
      </c>
      <c r="BX310" s="2" t="s">
        <v>337</v>
      </c>
      <c r="BY310" s="2" t="s">
        <v>274</v>
      </c>
      <c r="BZ310" s="2" t="s">
        <v>240</v>
      </c>
      <c r="CA310" s="2" t="s">
        <v>2153</v>
      </c>
      <c r="CB310" s="2" t="s">
        <v>228</v>
      </c>
      <c r="CC310" s="2" t="s">
        <v>241</v>
      </c>
      <c r="CD310" s="2" t="s">
        <v>228</v>
      </c>
      <c r="CE310" s="4"/>
      <c r="CF310" s="4">
        <v>80</v>
      </c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</row>
    <row r="311">
      <c r="A311" s="2" t="s">
        <v>2154</v>
      </c>
      <c r="B311" s="2" t="s">
        <v>1150</v>
      </c>
      <c r="C311" s="2" t="s">
        <v>300</v>
      </c>
      <c r="D311" s="2" t="s">
        <v>1112</v>
      </c>
      <c r="E311" s="2" t="s">
        <v>1165</v>
      </c>
      <c r="F311" s="2" t="s">
        <v>2155</v>
      </c>
      <c r="G311" s="2" t="s">
        <v>1708</v>
      </c>
      <c r="H311" s="2" t="s">
        <v>2156</v>
      </c>
      <c r="I311" s="2" t="s">
        <v>2157</v>
      </c>
      <c r="J311" s="2" t="s">
        <v>1043</v>
      </c>
      <c r="K311" s="2" t="s">
        <v>1421</v>
      </c>
      <c r="L311" s="3">
        <v>45.71</v>
      </c>
      <c r="M311" s="3">
        <v>48</v>
      </c>
      <c r="N311" s="3">
        <v>99.99</v>
      </c>
      <c r="O311" s="2" t="s">
        <v>240</v>
      </c>
      <c r="P311" s="2" t="s">
        <v>233</v>
      </c>
      <c r="Q311" s="2" t="s">
        <v>234</v>
      </c>
      <c r="R311" s="2" t="s">
        <v>228</v>
      </c>
      <c r="S311" s="2" t="s">
        <v>2158</v>
      </c>
      <c r="T311" s="2" t="s">
        <v>1414</v>
      </c>
      <c r="U311" s="2" t="s">
        <v>1054</v>
      </c>
      <c r="V311" s="2" t="s">
        <v>374</v>
      </c>
      <c r="W311" s="2" t="s">
        <v>743</v>
      </c>
      <c r="X311" s="2" t="s">
        <v>228</v>
      </c>
      <c r="Y311" s="2" t="s">
        <v>2159</v>
      </c>
      <c r="Z311" s="4">
        <v>336</v>
      </c>
      <c r="AA311" s="4">
        <f>=ROUNDDOWN(80,0)</f>
      </c>
      <c r="AB311" s="5">
        <v>4.2</v>
      </c>
      <c r="AC311" s="2" t="s">
        <v>228</v>
      </c>
      <c r="AD311" s="4"/>
      <c r="AE311" s="4"/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228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 t="s">
        <v>228</v>
      </c>
      <c r="BD311" s="8" t="s">
        <v>228</v>
      </c>
      <c r="BE311" s="4" t="s">
        <v>228</v>
      </c>
      <c r="BF311" s="8" t="s">
        <v>228</v>
      </c>
      <c r="BG311" s="7" t="s">
        <v>228</v>
      </c>
      <c r="BH311" s="7" t="s">
        <v>228</v>
      </c>
      <c r="BI311" s="7"/>
      <c r="BJ311" s="4">
        <v>14</v>
      </c>
      <c r="BK311" s="8">
        <v>707.52</v>
      </c>
      <c r="BL311" s="2" t="s">
        <v>2160</v>
      </c>
      <c r="BM311" s="7"/>
      <c r="BN311" s="7"/>
      <c r="BO311" s="4"/>
      <c r="BP311" s="8"/>
      <c r="BQ311" s="4"/>
      <c r="BR311" s="8"/>
      <c r="BS311" s="7"/>
      <c r="BT311" s="7"/>
      <c r="BU311" s="2" t="s">
        <v>2161</v>
      </c>
      <c r="BV311" s="2" t="s">
        <v>228</v>
      </c>
      <c r="BW311" s="2" t="s">
        <v>228</v>
      </c>
      <c r="BX311" s="2" t="s">
        <v>273</v>
      </c>
      <c r="BY311" s="2" t="s">
        <v>274</v>
      </c>
      <c r="BZ311" s="2" t="s">
        <v>240</v>
      </c>
      <c r="CA311" s="2" t="s">
        <v>2162</v>
      </c>
      <c r="CB311" s="2" t="s">
        <v>228</v>
      </c>
      <c r="CC311" s="2" t="s">
        <v>241</v>
      </c>
      <c r="CD311" s="2" t="s">
        <v>228</v>
      </c>
      <c r="CE311" s="4">
        <v>336</v>
      </c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</row>
    <row r="312">
      <c r="A312" s="2" t="s">
        <v>2163</v>
      </c>
      <c r="B312" s="2" t="s">
        <v>958</v>
      </c>
      <c r="C312" s="2" t="s">
        <v>885</v>
      </c>
      <c r="D312" s="2" t="s">
        <v>2164</v>
      </c>
      <c r="E312" s="2" t="s">
        <v>2165</v>
      </c>
      <c r="F312" s="2" t="s">
        <v>2155</v>
      </c>
      <c r="G312" s="2" t="s">
        <v>2155</v>
      </c>
      <c r="H312" s="2" t="s">
        <v>2155</v>
      </c>
      <c r="I312" s="2" t="s">
        <v>2166</v>
      </c>
      <c r="J312" s="2" t="s">
        <v>840</v>
      </c>
      <c r="K312" s="2" t="s">
        <v>1357</v>
      </c>
      <c r="L312" s="3">
        <v>240</v>
      </c>
      <c r="M312" s="3">
        <v>252</v>
      </c>
      <c r="N312" s="3">
        <v>499</v>
      </c>
      <c r="O312" s="2" t="s">
        <v>240</v>
      </c>
      <c r="P312" s="2" t="s">
        <v>233</v>
      </c>
      <c r="Q312" s="2" t="s">
        <v>234</v>
      </c>
      <c r="R312" s="2" t="s">
        <v>228</v>
      </c>
      <c r="S312" s="2" t="s">
        <v>228</v>
      </c>
      <c r="T312" s="2" t="s">
        <v>228</v>
      </c>
      <c r="U312" s="2" t="s">
        <v>416</v>
      </c>
      <c r="V312" s="2" t="s">
        <v>842</v>
      </c>
      <c r="W312" s="2" t="s">
        <v>1761</v>
      </c>
      <c r="X312" s="2" t="s">
        <v>892</v>
      </c>
      <c r="Y312" s="2" t="s">
        <v>2167</v>
      </c>
      <c r="Z312" s="4">
        <v>74</v>
      </c>
      <c r="AA312" s="4">
        <f>=ROUNDDOWN(37,0)</f>
      </c>
      <c r="AB312" s="5">
        <v>2</v>
      </c>
      <c r="AC312" s="2" t="s">
        <v>228</v>
      </c>
      <c r="AD312" s="4"/>
      <c r="AE312" s="4"/>
      <c r="AF312" s="6">
        <v>76</v>
      </c>
      <c r="AG312" s="6"/>
      <c r="AH312" s="7">
        <v>1</v>
      </c>
      <c r="AI312" s="4"/>
      <c r="AJ312" s="4">
        <f>=ROUNDDOWN({0},0)</f>
      </c>
      <c r="AK312" s="5"/>
      <c r="AL312" s="2" t="s">
        <v>228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 t="s">
        <v>228</v>
      </c>
      <c r="BD312" s="8" t="s">
        <v>228</v>
      </c>
      <c r="BE312" s="4" t="s">
        <v>228</v>
      </c>
      <c r="BF312" s="8" t="s">
        <v>228</v>
      </c>
      <c r="BG312" s="7" t="s">
        <v>228</v>
      </c>
      <c r="BH312" s="7" t="s">
        <v>228</v>
      </c>
      <c r="BI312" s="7"/>
      <c r="BJ312" s="4">
        <v>1</v>
      </c>
      <c r="BK312" s="8">
        <v>259.56</v>
      </c>
      <c r="BL312" s="2" t="s">
        <v>1933</v>
      </c>
      <c r="BM312" s="7"/>
      <c r="BN312" s="7"/>
      <c r="BO312" s="4"/>
      <c r="BP312" s="8"/>
      <c r="BQ312" s="4"/>
      <c r="BR312" s="8"/>
      <c r="BS312" s="7"/>
      <c r="BT312" s="7"/>
      <c r="BU312" s="2" t="s">
        <v>2168</v>
      </c>
      <c r="BV312" s="2" t="s">
        <v>228</v>
      </c>
      <c r="BW312" s="2" t="s">
        <v>228</v>
      </c>
      <c r="BX312" s="2" t="s">
        <v>273</v>
      </c>
      <c r="BY312" s="2" t="s">
        <v>274</v>
      </c>
      <c r="BZ312" s="2" t="s">
        <v>240</v>
      </c>
      <c r="CA312" s="2" t="s">
        <v>2169</v>
      </c>
      <c r="CB312" s="2" t="s">
        <v>1026</v>
      </c>
      <c r="CC312" s="2" t="s">
        <v>241</v>
      </c>
      <c r="CD312" s="2" t="s">
        <v>228</v>
      </c>
      <c r="CE312" s="4"/>
      <c r="CF312" s="4">
        <v>74</v>
      </c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</row>
    <row r="313">
      <c r="A313" s="2" t="s">
        <v>2170</v>
      </c>
      <c r="B313" s="2" t="s">
        <v>1150</v>
      </c>
      <c r="C313" s="2" t="s">
        <v>300</v>
      </c>
      <c r="D313" s="2" t="s">
        <v>1112</v>
      </c>
      <c r="E313" s="2" t="s">
        <v>1165</v>
      </c>
      <c r="F313" s="2" t="s">
        <v>2171</v>
      </c>
      <c r="G313" s="2" t="s">
        <v>2172</v>
      </c>
      <c r="H313" s="2" t="s">
        <v>2173</v>
      </c>
      <c r="I313" s="2" t="s">
        <v>1329</v>
      </c>
      <c r="J313" s="2" t="s">
        <v>312</v>
      </c>
      <c r="K313" s="2" t="s">
        <v>978</v>
      </c>
      <c r="L313" s="3">
        <v>80</v>
      </c>
      <c r="M313" s="3">
        <v>83.99</v>
      </c>
      <c r="N313" s="3">
        <v>169.99</v>
      </c>
      <c r="O313" s="2" t="s">
        <v>240</v>
      </c>
      <c r="P313" s="2" t="s">
        <v>266</v>
      </c>
      <c r="Q313" s="2" t="s">
        <v>234</v>
      </c>
      <c r="R313" s="2" t="s">
        <v>228</v>
      </c>
      <c r="S313" s="2" t="s">
        <v>2174</v>
      </c>
      <c r="T313" s="2" t="s">
        <v>228</v>
      </c>
      <c r="U313" s="2" t="s">
        <v>1331</v>
      </c>
      <c r="V313" s="2" t="s">
        <v>980</v>
      </c>
      <c r="W313" s="2" t="s">
        <v>743</v>
      </c>
      <c r="X313" s="2" t="s">
        <v>2175</v>
      </c>
      <c r="Y313" s="2" t="s">
        <v>270</v>
      </c>
      <c r="Z313" s="4">
        <v>209</v>
      </c>
      <c r="AA313" s="4">
        <f>=ROUNDDOWN(34.8333333333333,0)</f>
      </c>
      <c r="AB313" s="5">
        <v>6</v>
      </c>
      <c r="AC313" s="2" t="s">
        <v>228</v>
      </c>
      <c r="AD313" s="4"/>
      <c r="AE313" s="4"/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228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/>
      <c r="BD313" s="8"/>
      <c r="BE313" s="4"/>
      <c r="BF313" s="8"/>
      <c r="BG313" s="7"/>
      <c r="BH313" s="7"/>
      <c r="BI313" s="7"/>
      <c r="BJ313" s="4">
        <v>17</v>
      </c>
      <c r="BK313" s="8">
        <v>1384.91</v>
      </c>
      <c r="BL313" s="2" t="s">
        <v>381</v>
      </c>
      <c r="BM313" s="7"/>
      <c r="BN313" s="7"/>
      <c r="BO313" s="4"/>
      <c r="BP313" s="8"/>
      <c r="BQ313" s="4"/>
      <c r="BR313" s="8"/>
      <c r="BS313" s="7"/>
      <c r="BT313" s="7"/>
      <c r="BU313" s="2" t="s">
        <v>2176</v>
      </c>
      <c r="BV313" s="2" t="s">
        <v>228</v>
      </c>
      <c r="BW313" s="2" t="s">
        <v>228</v>
      </c>
      <c r="BX313" s="2" t="s">
        <v>735</v>
      </c>
      <c r="BY313" s="2" t="s">
        <v>274</v>
      </c>
      <c r="BZ313" s="2" t="s">
        <v>240</v>
      </c>
      <c r="CA313" s="2" t="s">
        <v>275</v>
      </c>
      <c r="CB313" s="2" t="s">
        <v>2177</v>
      </c>
      <c r="CC313" s="2" t="s">
        <v>241</v>
      </c>
      <c r="CD313" s="2" t="s">
        <v>228</v>
      </c>
      <c r="CE313" s="4">
        <v>209</v>
      </c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</row>
    <row r="314">
      <c r="A314" s="2" t="s">
        <v>2178</v>
      </c>
      <c r="B314" s="2" t="s">
        <v>848</v>
      </c>
      <c r="C314" s="2" t="s">
        <v>1037</v>
      </c>
      <c r="D314" s="2" t="s">
        <v>1112</v>
      </c>
      <c r="E314" s="2" t="s">
        <v>1113</v>
      </c>
      <c r="F314" s="2" t="s">
        <v>2179</v>
      </c>
      <c r="G314" s="2" t="s">
        <v>2180</v>
      </c>
      <c r="H314" s="2" t="s">
        <v>2181</v>
      </c>
      <c r="I314" s="2" t="s">
        <v>2182</v>
      </c>
      <c r="J314" s="2" t="s">
        <v>1189</v>
      </c>
      <c r="K314" s="2" t="s">
        <v>2183</v>
      </c>
      <c r="L314" s="3">
        <v>35.71</v>
      </c>
      <c r="M314" s="3">
        <v>37.5</v>
      </c>
      <c r="N314" s="3">
        <v>74.99</v>
      </c>
      <c r="O314" s="2" t="s">
        <v>240</v>
      </c>
      <c r="P314" s="2" t="s">
        <v>233</v>
      </c>
      <c r="Q314" s="2" t="s">
        <v>234</v>
      </c>
      <c r="R314" s="2" t="s">
        <v>228</v>
      </c>
      <c r="S314" s="2" t="s">
        <v>2184</v>
      </c>
      <c r="T314" s="2" t="s">
        <v>1414</v>
      </c>
      <c r="U314" s="2" t="s">
        <v>500</v>
      </c>
      <c r="V314" s="2" t="s">
        <v>980</v>
      </c>
      <c r="W314" s="2" t="s">
        <v>417</v>
      </c>
      <c r="X314" s="2" t="s">
        <v>228</v>
      </c>
      <c r="Y314" s="2" t="s">
        <v>1757</v>
      </c>
      <c r="Z314" s="4">
        <v>126</v>
      </c>
      <c r="AA314" s="4">
        <f>=ROUNDDOWN(48.4615384615385,0)</f>
      </c>
      <c r="AB314" s="5">
        <v>2.6</v>
      </c>
      <c r="AC314" s="2" t="s">
        <v>228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228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228</v>
      </c>
      <c r="AW314" s="8" t="s">
        <v>228</v>
      </c>
      <c r="AX314" s="4" t="s">
        <v>228</v>
      </c>
      <c r="AY314" s="8" t="s">
        <v>228</v>
      </c>
      <c r="AZ314" s="7" t="s">
        <v>228</v>
      </c>
      <c r="BA314" s="7" t="s">
        <v>228</v>
      </c>
      <c r="BB314" s="7" t="s">
        <v>228</v>
      </c>
      <c r="BC314" s="4" t="s">
        <v>228</v>
      </c>
      <c r="BD314" s="8" t="s">
        <v>228</v>
      </c>
      <c r="BE314" s="4" t="s">
        <v>228</v>
      </c>
      <c r="BF314" s="8" t="s">
        <v>228</v>
      </c>
      <c r="BG314" s="7" t="s">
        <v>228</v>
      </c>
      <c r="BH314" s="7" t="s">
        <v>228</v>
      </c>
      <c r="BI314" s="7"/>
      <c r="BJ314" s="4">
        <v>13</v>
      </c>
      <c r="BK314" s="8">
        <v>514.87</v>
      </c>
      <c r="BL314" s="2" t="s">
        <v>404</v>
      </c>
      <c r="BM314" s="7"/>
      <c r="BN314" s="7"/>
      <c r="BO314" s="4"/>
      <c r="BP314" s="8"/>
      <c r="BQ314" s="4"/>
      <c r="BR314" s="8"/>
      <c r="BS314" s="7"/>
      <c r="BT314" s="7"/>
      <c r="BU314" s="2" t="s">
        <v>2185</v>
      </c>
      <c r="BV314" s="2" t="s">
        <v>228</v>
      </c>
      <c r="BW314" s="2" t="s">
        <v>228</v>
      </c>
      <c r="BX314" s="2" t="s">
        <v>273</v>
      </c>
      <c r="BY314" s="2" t="s">
        <v>274</v>
      </c>
      <c r="BZ314" s="2" t="s">
        <v>240</v>
      </c>
      <c r="CA314" s="2" t="s">
        <v>379</v>
      </c>
      <c r="CB314" s="2" t="s">
        <v>2186</v>
      </c>
      <c r="CC314" s="2" t="s">
        <v>241</v>
      </c>
      <c r="CD314" s="2" t="s">
        <v>228</v>
      </c>
      <c r="CE314" s="4">
        <v>126</v>
      </c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</row>
    <row r="315">
      <c r="A315" s="2" t="s">
        <v>2187</v>
      </c>
      <c r="B315" s="2" t="s">
        <v>848</v>
      </c>
      <c r="C315" s="2" t="s">
        <v>1037</v>
      </c>
      <c r="D315" s="2" t="s">
        <v>850</v>
      </c>
      <c r="E315" s="2" t="s">
        <v>1038</v>
      </c>
      <c r="F315" s="2" t="s">
        <v>2179</v>
      </c>
      <c r="G315" s="2" t="s">
        <v>2180</v>
      </c>
      <c r="H315" s="2" t="s">
        <v>2181</v>
      </c>
      <c r="I315" s="2" t="s">
        <v>2188</v>
      </c>
      <c r="J315" s="2" t="s">
        <v>1189</v>
      </c>
      <c r="K315" s="2" t="s">
        <v>2183</v>
      </c>
      <c r="L315" s="3">
        <v>26.19</v>
      </c>
      <c r="M315" s="3">
        <v>27.5</v>
      </c>
      <c r="N315" s="3">
        <v>54.99</v>
      </c>
      <c r="O315" s="2" t="s">
        <v>240</v>
      </c>
      <c r="P315" s="2" t="s">
        <v>233</v>
      </c>
      <c r="Q315" s="2" t="s">
        <v>234</v>
      </c>
      <c r="R315" s="2" t="s">
        <v>228</v>
      </c>
      <c r="S315" s="2" t="s">
        <v>2184</v>
      </c>
      <c r="T315" s="2" t="s">
        <v>1414</v>
      </c>
      <c r="U315" s="2" t="s">
        <v>500</v>
      </c>
      <c r="V315" s="2" t="s">
        <v>980</v>
      </c>
      <c r="W315" s="2" t="s">
        <v>417</v>
      </c>
      <c r="X315" s="2" t="s">
        <v>228</v>
      </c>
      <c r="Y315" s="2" t="s">
        <v>1757</v>
      </c>
      <c r="Z315" s="4">
        <v>90</v>
      </c>
      <c r="AA315" s="4">
        <f>=ROUNDDOWN(18,0)</f>
      </c>
      <c r="AB315" s="5">
        <v>5</v>
      </c>
      <c r="AC315" s="2" t="s">
        <v>228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228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228</v>
      </c>
      <c r="AW315" s="8" t="s">
        <v>228</v>
      </c>
      <c r="AX315" s="4" t="s">
        <v>228</v>
      </c>
      <c r="AY315" s="8" t="s">
        <v>228</v>
      </c>
      <c r="AZ315" s="7" t="s">
        <v>228</v>
      </c>
      <c r="BA315" s="7" t="s">
        <v>228</v>
      </c>
      <c r="BB315" s="7" t="s">
        <v>228</v>
      </c>
      <c r="BC315" s="4" t="s">
        <v>228</v>
      </c>
      <c r="BD315" s="8" t="s">
        <v>228</v>
      </c>
      <c r="BE315" s="4" t="s">
        <v>228</v>
      </c>
      <c r="BF315" s="8" t="s">
        <v>228</v>
      </c>
      <c r="BG315" s="7" t="s">
        <v>228</v>
      </c>
      <c r="BH315" s="7" t="s">
        <v>228</v>
      </c>
      <c r="BI315" s="7"/>
      <c r="BJ315" s="4">
        <v>25</v>
      </c>
      <c r="BK315" s="8">
        <v>715.98</v>
      </c>
      <c r="BL315" s="2" t="s">
        <v>381</v>
      </c>
      <c r="BM315" s="7"/>
      <c r="BN315" s="7"/>
      <c r="BO315" s="4"/>
      <c r="BP315" s="8"/>
      <c r="BQ315" s="4"/>
      <c r="BR315" s="8"/>
      <c r="BS315" s="7"/>
      <c r="BT315" s="7"/>
      <c r="BU315" s="2" t="s">
        <v>2189</v>
      </c>
      <c r="BV315" s="2" t="s">
        <v>228</v>
      </c>
      <c r="BW315" s="2" t="s">
        <v>228</v>
      </c>
      <c r="BX315" s="2" t="s">
        <v>273</v>
      </c>
      <c r="BY315" s="2" t="s">
        <v>274</v>
      </c>
      <c r="BZ315" s="2" t="s">
        <v>240</v>
      </c>
      <c r="CA315" s="2" t="s">
        <v>379</v>
      </c>
      <c r="CB315" s="2" t="s">
        <v>2190</v>
      </c>
      <c r="CC315" s="2" t="s">
        <v>241</v>
      </c>
      <c r="CD315" s="2" t="s">
        <v>228</v>
      </c>
      <c r="CE315" s="4">
        <v>90</v>
      </c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</row>
    <row r="316">
      <c r="A316" s="2" t="s">
        <v>2191</v>
      </c>
      <c r="B316" s="2" t="s">
        <v>848</v>
      </c>
      <c r="C316" s="2" t="s">
        <v>1037</v>
      </c>
      <c r="D316" s="2" t="s">
        <v>1112</v>
      </c>
      <c r="E316" s="2" t="s">
        <v>1113</v>
      </c>
      <c r="F316" s="2" t="s">
        <v>2179</v>
      </c>
      <c r="G316" s="2" t="s">
        <v>2180</v>
      </c>
      <c r="H316" s="2" t="s">
        <v>2181</v>
      </c>
      <c r="I316" s="2" t="s">
        <v>2182</v>
      </c>
      <c r="J316" s="2" t="s">
        <v>1043</v>
      </c>
      <c r="K316" s="2" t="s">
        <v>2183</v>
      </c>
      <c r="L316" s="3">
        <v>40.47</v>
      </c>
      <c r="M316" s="3">
        <v>42.49</v>
      </c>
      <c r="N316" s="3">
        <v>84.99</v>
      </c>
      <c r="O316" s="2" t="s">
        <v>240</v>
      </c>
      <c r="P316" s="2" t="s">
        <v>233</v>
      </c>
      <c r="Q316" s="2" t="s">
        <v>234</v>
      </c>
      <c r="R316" s="2" t="s">
        <v>228</v>
      </c>
      <c r="S316" s="2" t="s">
        <v>2184</v>
      </c>
      <c r="T316" s="2" t="s">
        <v>1414</v>
      </c>
      <c r="U316" s="2" t="s">
        <v>500</v>
      </c>
      <c r="V316" s="2" t="s">
        <v>980</v>
      </c>
      <c r="W316" s="2" t="s">
        <v>417</v>
      </c>
      <c r="X316" s="2" t="s">
        <v>228</v>
      </c>
      <c r="Y316" s="2" t="s">
        <v>2192</v>
      </c>
      <c r="Z316" s="4">
        <v>100</v>
      </c>
      <c r="AA316" s="4">
        <f>=ROUNDDOWN(45.4545454545455,0)</f>
      </c>
      <c r="AB316" s="5">
        <v>2.2</v>
      </c>
      <c r="AC316" s="2" t="s">
        <v>228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228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228</v>
      </c>
      <c r="AW316" s="8" t="s">
        <v>228</v>
      </c>
      <c r="AX316" s="4" t="s">
        <v>228</v>
      </c>
      <c r="AY316" s="8" t="s">
        <v>228</v>
      </c>
      <c r="AZ316" s="7" t="s">
        <v>228</v>
      </c>
      <c r="BA316" s="7" t="s">
        <v>228</v>
      </c>
      <c r="BB316" s="7" t="s">
        <v>228</v>
      </c>
      <c r="BC316" s="4" t="s">
        <v>228</v>
      </c>
      <c r="BD316" s="8" t="s">
        <v>228</v>
      </c>
      <c r="BE316" s="4" t="s">
        <v>228</v>
      </c>
      <c r="BF316" s="8" t="s">
        <v>228</v>
      </c>
      <c r="BG316" s="7" t="s">
        <v>228</v>
      </c>
      <c r="BH316" s="7" t="s">
        <v>228</v>
      </c>
      <c r="BI316" s="7"/>
      <c r="BJ316" s="4">
        <v>6</v>
      </c>
      <c r="BK316" s="8">
        <v>257.5</v>
      </c>
      <c r="BL316" s="2" t="s">
        <v>2193</v>
      </c>
      <c r="BM316" s="7"/>
      <c r="BN316" s="7"/>
      <c r="BO316" s="4"/>
      <c r="BP316" s="8"/>
      <c r="BQ316" s="4"/>
      <c r="BR316" s="8"/>
      <c r="BS316" s="7"/>
      <c r="BT316" s="7"/>
      <c r="BU316" s="2" t="s">
        <v>2194</v>
      </c>
      <c r="BV316" s="2" t="s">
        <v>228</v>
      </c>
      <c r="BW316" s="2" t="s">
        <v>228</v>
      </c>
      <c r="BX316" s="2" t="s">
        <v>273</v>
      </c>
      <c r="BY316" s="2" t="s">
        <v>274</v>
      </c>
      <c r="BZ316" s="2" t="s">
        <v>240</v>
      </c>
      <c r="CA316" s="2" t="s">
        <v>379</v>
      </c>
      <c r="CB316" s="2" t="s">
        <v>936</v>
      </c>
      <c r="CC316" s="2" t="s">
        <v>241</v>
      </c>
      <c r="CD316" s="2" t="s">
        <v>228</v>
      </c>
      <c r="CE316" s="4">
        <v>100</v>
      </c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</row>
    <row r="317">
      <c r="A317" s="2" t="s">
        <v>2195</v>
      </c>
      <c r="B317" s="2" t="s">
        <v>848</v>
      </c>
      <c r="C317" s="2" t="s">
        <v>1037</v>
      </c>
      <c r="D317" s="2" t="s">
        <v>850</v>
      </c>
      <c r="E317" s="2" t="s">
        <v>1038</v>
      </c>
      <c r="F317" s="2" t="s">
        <v>2179</v>
      </c>
      <c r="G317" s="2" t="s">
        <v>2180</v>
      </c>
      <c r="H317" s="2" t="s">
        <v>2181</v>
      </c>
      <c r="I317" s="2" t="s">
        <v>2188</v>
      </c>
      <c r="J317" s="2" t="s">
        <v>1043</v>
      </c>
      <c r="K317" s="2" t="s">
        <v>2183</v>
      </c>
      <c r="L317" s="3">
        <v>30.95</v>
      </c>
      <c r="M317" s="3">
        <v>32.5</v>
      </c>
      <c r="N317" s="3">
        <v>64.99</v>
      </c>
      <c r="O317" s="2" t="s">
        <v>240</v>
      </c>
      <c r="P317" s="2" t="s">
        <v>233</v>
      </c>
      <c r="Q317" s="2" t="s">
        <v>234</v>
      </c>
      <c r="R317" s="2" t="s">
        <v>228</v>
      </c>
      <c r="S317" s="2" t="s">
        <v>2184</v>
      </c>
      <c r="T317" s="2" t="s">
        <v>1414</v>
      </c>
      <c r="U317" s="2" t="s">
        <v>500</v>
      </c>
      <c r="V317" s="2" t="s">
        <v>980</v>
      </c>
      <c r="W317" s="2" t="s">
        <v>417</v>
      </c>
      <c r="X317" s="2" t="s">
        <v>228</v>
      </c>
      <c r="Y317" s="2" t="s">
        <v>2196</v>
      </c>
      <c r="Z317" s="4">
        <v>64</v>
      </c>
      <c r="AA317" s="4">
        <f>=ROUNDDOWN(45.7142857142857,0)</f>
      </c>
      <c r="AB317" s="5">
        <v>1.4</v>
      </c>
      <c r="AC317" s="2" t="s">
        <v>228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228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228</v>
      </c>
      <c r="AW317" s="8" t="s">
        <v>228</v>
      </c>
      <c r="AX317" s="4" t="s">
        <v>228</v>
      </c>
      <c r="AY317" s="8" t="s">
        <v>228</v>
      </c>
      <c r="AZ317" s="7" t="s">
        <v>228</v>
      </c>
      <c r="BA317" s="7" t="s">
        <v>228</v>
      </c>
      <c r="BB317" s="7" t="s">
        <v>228</v>
      </c>
      <c r="BC317" s="4" t="s">
        <v>228</v>
      </c>
      <c r="BD317" s="8" t="s">
        <v>228</v>
      </c>
      <c r="BE317" s="4" t="s">
        <v>228</v>
      </c>
      <c r="BF317" s="8" t="s">
        <v>228</v>
      </c>
      <c r="BG317" s="7" t="s">
        <v>228</v>
      </c>
      <c r="BH317" s="7" t="s">
        <v>228</v>
      </c>
      <c r="BI317" s="7"/>
      <c r="BJ317" s="4">
        <v>11</v>
      </c>
      <c r="BK317" s="8">
        <v>360.1</v>
      </c>
      <c r="BL317" s="2" t="s">
        <v>381</v>
      </c>
      <c r="BM317" s="7"/>
      <c r="BN317" s="7"/>
      <c r="BO317" s="4"/>
      <c r="BP317" s="8"/>
      <c r="BQ317" s="4"/>
      <c r="BR317" s="8"/>
      <c r="BS317" s="7"/>
      <c r="BT317" s="7"/>
      <c r="BU317" s="2" t="s">
        <v>2197</v>
      </c>
      <c r="BV317" s="2" t="s">
        <v>228</v>
      </c>
      <c r="BW317" s="2" t="s">
        <v>228</v>
      </c>
      <c r="BX317" s="2" t="s">
        <v>273</v>
      </c>
      <c r="BY317" s="2" t="s">
        <v>274</v>
      </c>
      <c r="BZ317" s="2" t="s">
        <v>240</v>
      </c>
      <c r="CA317" s="2" t="s">
        <v>379</v>
      </c>
      <c r="CB317" s="2" t="s">
        <v>2198</v>
      </c>
      <c r="CC317" s="2" t="s">
        <v>241</v>
      </c>
      <c r="CD317" s="2" t="s">
        <v>228</v>
      </c>
      <c r="CE317" s="4">
        <v>64</v>
      </c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</row>
    <row r="318">
      <c r="A318" s="2" t="s">
        <v>2199</v>
      </c>
      <c r="B318" s="2" t="s">
        <v>970</v>
      </c>
      <c r="C318" s="2" t="s">
        <v>1296</v>
      </c>
      <c r="D318" s="2" t="s">
        <v>971</v>
      </c>
      <c r="E318" s="2" t="s">
        <v>972</v>
      </c>
      <c r="F318" s="2" t="s">
        <v>2179</v>
      </c>
      <c r="G318" s="2" t="s">
        <v>1844</v>
      </c>
      <c r="H318" s="2" t="s">
        <v>2200</v>
      </c>
      <c r="I318" s="2" t="s">
        <v>2201</v>
      </c>
      <c r="J318" s="2" t="s">
        <v>1309</v>
      </c>
      <c r="K318" s="2" t="s">
        <v>480</v>
      </c>
      <c r="L318" s="3">
        <v>21</v>
      </c>
      <c r="M318" s="3">
        <v>22.05</v>
      </c>
      <c r="N318" s="3">
        <v>49.99</v>
      </c>
      <c r="O318" s="2" t="s">
        <v>240</v>
      </c>
      <c r="P318" s="2" t="s">
        <v>715</v>
      </c>
      <c r="Q318" s="2" t="s">
        <v>234</v>
      </c>
      <c r="R318" s="2" t="s">
        <v>228</v>
      </c>
      <c r="S318" s="2" t="s">
        <v>2202</v>
      </c>
      <c r="T318" s="2" t="s">
        <v>228</v>
      </c>
      <c r="U318" s="2" t="s">
        <v>228</v>
      </c>
      <c r="V318" s="2" t="s">
        <v>980</v>
      </c>
      <c r="W318" s="2" t="s">
        <v>417</v>
      </c>
      <c r="X318" s="2" t="s">
        <v>981</v>
      </c>
      <c r="Y318" s="2" t="s">
        <v>1055</v>
      </c>
      <c r="Z318" s="4">
        <v>102</v>
      </c>
      <c r="AA318" s="4">
        <f>=ROUNDDOWN(5.36842105263158,0)</f>
      </c>
      <c r="AB318" s="5">
        <v>19</v>
      </c>
      <c r="AC318" s="2" t="s">
        <v>159</v>
      </c>
      <c r="AD318" s="4">
        <v>260</v>
      </c>
      <c r="AE318" s="4">
        <v>464</v>
      </c>
      <c r="AF318" s="6">
        <v>68</v>
      </c>
      <c r="AG318" s="6"/>
      <c r="AH318" s="7">
        <v>0.3871</v>
      </c>
      <c r="AI318" s="4"/>
      <c r="AJ318" s="4">
        <f>=ROUNDDOWN({0},0)</f>
      </c>
      <c r="AK318" s="5"/>
      <c r="AL318" s="2" t="s">
        <v>228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 t="s">
        <v>228</v>
      </c>
      <c r="BD318" s="8" t="s">
        <v>228</v>
      </c>
      <c r="BE318" s="4" t="s">
        <v>228</v>
      </c>
      <c r="BF318" s="8" t="s">
        <v>228</v>
      </c>
      <c r="BG318" s="7" t="s">
        <v>228</v>
      </c>
      <c r="BH318" s="7" t="s">
        <v>228</v>
      </c>
      <c r="BI318" s="7"/>
      <c r="BJ318" s="4">
        <v>4</v>
      </c>
      <c r="BK318" s="8">
        <v>85.09</v>
      </c>
      <c r="BL318" s="2" t="s">
        <v>2203</v>
      </c>
      <c r="BM318" s="7"/>
      <c r="BN318" s="7"/>
      <c r="BO318" s="4"/>
      <c r="BP318" s="8"/>
      <c r="BQ318" s="4"/>
      <c r="BR318" s="8"/>
      <c r="BS318" s="7"/>
      <c r="BT318" s="7"/>
      <c r="BU318" s="2" t="s">
        <v>2204</v>
      </c>
      <c r="BV318" s="2" t="s">
        <v>228</v>
      </c>
      <c r="BW318" s="2" t="s">
        <v>228</v>
      </c>
      <c r="BX318" s="2" t="s">
        <v>273</v>
      </c>
      <c r="BY318" s="2" t="s">
        <v>274</v>
      </c>
      <c r="BZ318" s="2" t="s">
        <v>240</v>
      </c>
      <c r="CA318" s="2" t="s">
        <v>2205</v>
      </c>
      <c r="CB318" s="2" t="s">
        <v>2206</v>
      </c>
      <c r="CC318" s="2" t="s">
        <v>241</v>
      </c>
      <c r="CD318" s="2" t="s">
        <v>228</v>
      </c>
      <c r="CE318" s="4">
        <v>102</v>
      </c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>
        <v>260</v>
      </c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>
        <v>92</v>
      </c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>
        <v>112</v>
      </c>
      <c r="HC318" s="4"/>
      <c r="HD318" s="4"/>
      <c r="HE318" s="4"/>
    </row>
    <row r="319">
      <c r="A319" s="2" t="s">
        <v>2207</v>
      </c>
      <c r="B319" s="2" t="s">
        <v>970</v>
      </c>
      <c r="C319" s="2" t="s">
        <v>1296</v>
      </c>
      <c r="D319" s="2" t="s">
        <v>971</v>
      </c>
      <c r="E319" s="2" t="s">
        <v>972</v>
      </c>
      <c r="F319" s="2" t="s">
        <v>2179</v>
      </c>
      <c r="G319" s="2" t="s">
        <v>1844</v>
      </c>
      <c r="H319" s="2" t="s">
        <v>2200</v>
      </c>
      <c r="I319" s="2" t="s">
        <v>2201</v>
      </c>
      <c r="J319" s="2" t="s">
        <v>977</v>
      </c>
      <c r="K319" s="2" t="s">
        <v>829</v>
      </c>
      <c r="L319" s="3">
        <v>16.8</v>
      </c>
      <c r="M319" s="3">
        <v>17.64</v>
      </c>
      <c r="N319" s="3">
        <v>39.99</v>
      </c>
      <c r="O319" s="2" t="s">
        <v>240</v>
      </c>
      <c r="P319" s="2" t="s">
        <v>266</v>
      </c>
      <c r="Q319" s="2" t="s">
        <v>234</v>
      </c>
      <c r="R319" s="2" t="s">
        <v>228</v>
      </c>
      <c r="S319" s="2" t="s">
        <v>2208</v>
      </c>
      <c r="T319" s="2" t="s">
        <v>228</v>
      </c>
      <c r="U319" s="2" t="s">
        <v>416</v>
      </c>
      <c r="V319" s="2" t="s">
        <v>980</v>
      </c>
      <c r="W319" s="2" t="s">
        <v>417</v>
      </c>
      <c r="X319" s="2" t="s">
        <v>981</v>
      </c>
      <c r="Y319" s="2" t="s">
        <v>2209</v>
      </c>
      <c r="Z319" s="4">
        <v>857</v>
      </c>
      <c r="AA319" s="4">
        <f>=ROUNDDOWN(61.2142857142857,0)</f>
      </c>
      <c r="AB319" s="5">
        <v>14</v>
      </c>
      <c r="AC319" s="2" t="s">
        <v>1416</v>
      </c>
      <c r="AD319" s="4">
        <v>80</v>
      </c>
      <c r="AE319" s="4">
        <v>280</v>
      </c>
      <c r="AF319" s="6">
        <v>68</v>
      </c>
      <c r="AG319" s="6"/>
      <c r="AH319" s="7">
        <v>1</v>
      </c>
      <c r="AI319" s="4"/>
      <c r="AJ319" s="4">
        <f>=ROUNDDOWN({0},0)</f>
      </c>
      <c r="AK319" s="5"/>
      <c r="AL319" s="2" t="s">
        <v>228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228</v>
      </c>
      <c r="AW319" s="8" t="s">
        <v>228</v>
      </c>
      <c r="AX319" s="4" t="s">
        <v>228</v>
      </c>
      <c r="AY319" s="8" t="s">
        <v>228</v>
      </c>
      <c r="AZ319" s="7" t="s">
        <v>228</v>
      </c>
      <c r="BA319" s="7" t="s">
        <v>228</v>
      </c>
      <c r="BB319" s="7"/>
      <c r="BC319" s="4" t="s">
        <v>228</v>
      </c>
      <c r="BD319" s="8" t="s">
        <v>228</v>
      </c>
      <c r="BE319" s="4" t="s">
        <v>228</v>
      </c>
      <c r="BF319" s="8" t="s">
        <v>228</v>
      </c>
      <c r="BG319" s="7" t="s">
        <v>228</v>
      </c>
      <c r="BH319" s="7" t="s">
        <v>228</v>
      </c>
      <c r="BI319" s="7"/>
      <c r="BJ319" s="4">
        <v>24</v>
      </c>
      <c r="BK319" s="8">
        <v>402.94</v>
      </c>
      <c r="BL319" s="2" t="s">
        <v>2210</v>
      </c>
      <c r="BM319" s="7"/>
      <c r="BN319" s="7"/>
      <c r="BO319" s="4"/>
      <c r="BP319" s="8"/>
      <c r="BQ319" s="4"/>
      <c r="BR319" s="8"/>
      <c r="BS319" s="7"/>
      <c r="BT319" s="7"/>
      <c r="BU319" s="2" t="s">
        <v>2211</v>
      </c>
      <c r="BV319" s="2" t="s">
        <v>228</v>
      </c>
      <c r="BW319" s="2" t="s">
        <v>228</v>
      </c>
      <c r="BX319" s="2" t="s">
        <v>273</v>
      </c>
      <c r="BY319" s="2" t="s">
        <v>274</v>
      </c>
      <c r="BZ319" s="2" t="s">
        <v>240</v>
      </c>
      <c r="CA319" s="2" t="s">
        <v>1659</v>
      </c>
      <c r="CB319" s="2" t="s">
        <v>2212</v>
      </c>
      <c r="CC319" s="2" t="s">
        <v>241</v>
      </c>
      <c r="CD319" s="2" t="s">
        <v>228</v>
      </c>
      <c r="CE319" s="4">
        <v>857</v>
      </c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>
        <v>80</v>
      </c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>
        <v>200</v>
      </c>
      <c r="HE319" s="4"/>
    </row>
    <row r="320">
      <c r="A320" s="2" t="s">
        <v>2213</v>
      </c>
      <c r="B320" s="2" t="s">
        <v>970</v>
      </c>
      <c r="C320" s="2" t="s">
        <v>1296</v>
      </c>
      <c r="D320" s="2" t="s">
        <v>971</v>
      </c>
      <c r="E320" s="2" t="s">
        <v>972</v>
      </c>
      <c r="F320" s="2" t="s">
        <v>2179</v>
      </c>
      <c r="G320" s="2" t="s">
        <v>1844</v>
      </c>
      <c r="H320" s="2" t="s">
        <v>2200</v>
      </c>
      <c r="I320" s="2" t="s">
        <v>2201</v>
      </c>
      <c r="J320" s="2" t="s">
        <v>1309</v>
      </c>
      <c r="K320" s="2" t="s">
        <v>829</v>
      </c>
      <c r="L320" s="3">
        <v>21</v>
      </c>
      <c r="M320" s="3">
        <v>22.05</v>
      </c>
      <c r="N320" s="3">
        <v>49.99</v>
      </c>
      <c r="O320" s="2" t="s">
        <v>491</v>
      </c>
      <c r="P320" s="2" t="s">
        <v>333</v>
      </c>
      <c r="Q320" s="2" t="s">
        <v>234</v>
      </c>
      <c r="R320" s="2" t="s">
        <v>228</v>
      </c>
      <c r="S320" s="2" t="s">
        <v>2208</v>
      </c>
      <c r="T320" s="2" t="s">
        <v>228</v>
      </c>
      <c r="U320" s="2" t="s">
        <v>416</v>
      </c>
      <c r="V320" s="2" t="s">
        <v>980</v>
      </c>
      <c r="W320" s="2" t="s">
        <v>228</v>
      </c>
      <c r="X320" s="2" t="s">
        <v>228</v>
      </c>
      <c r="Y320" s="2" t="s">
        <v>2209</v>
      </c>
      <c r="Z320" s="4">
        <v>1</v>
      </c>
      <c r="AA320" s="4">
        <f>=ROUNDDOWN(0.166666666666667,0)</f>
      </c>
      <c r="AB320" s="5">
        <v>6</v>
      </c>
      <c r="AC320" s="2" t="s">
        <v>228</v>
      </c>
      <c r="AD320" s="4"/>
      <c r="AE320" s="4"/>
      <c r="AF320" s="6">
        <v>68</v>
      </c>
      <c r="AG320" s="6"/>
      <c r="AH320" s="7">
        <v>1</v>
      </c>
      <c r="AI320" s="4"/>
      <c r="AJ320" s="4">
        <f>=ROUNDDOWN({0},0)</f>
      </c>
      <c r="AK320" s="5"/>
      <c r="AL320" s="2" t="s">
        <v>228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228</v>
      </c>
      <c r="AW320" s="8" t="s">
        <v>228</v>
      </c>
      <c r="AX320" s="4" t="s">
        <v>228</v>
      </c>
      <c r="AY320" s="8" t="s">
        <v>228</v>
      </c>
      <c r="AZ320" s="7" t="s">
        <v>228</v>
      </c>
      <c r="BA320" s="7" t="s">
        <v>228</v>
      </c>
      <c r="BB320" s="7"/>
      <c r="BC320" s="4" t="s">
        <v>228</v>
      </c>
      <c r="BD320" s="8" t="s">
        <v>228</v>
      </c>
      <c r="BE320" s="4" t="s">
        <v>228</v>
      </c>
      <c r="BF320" s="8" t="s">
        <v>228</v>
      </c>
      <c r="BG320" s="7" t="s">
        <v>228</v>
      </c>
      <c r="BH320" s="7" t="s">
        <v>228</v>
      </c>
      <c r="BI320" s="7"/>
      <c r="BJ320" s="4">
        <v>20</v>
      </c>
      <c r="BK320" s="8">
        <v>275.38</v>
      </c>
      <c r="BL320" s="2" t="s">
        <v>1322</v>
      </c>
      <c r="BM320" s="7"/>
      <c r="BN320" s="7"/>
      <c r="BO320" s="4"/>
      <c r="BP320" s="8"/>
      <c r="BQ320" s="4"/>
      <c r="BR320" s="8"/>
      <c r="BS320" s="7"/>
      <c r="BT320" s="7"/>
      <c r="BU320" s="2" t="s">
        <v>2214</v>
      </c>
      <c r="BV320" s="2" t="s">
        <v>228</v>
      </c>
      <c r="BW320" s="2" t="s">
        <v>228</v>
      </c>
      <c r="BX320" s="2" t="s">
        <v>337</v>
      </c>
      <c r="BY320" s="2" t="s">
        <v>274</v>
      </c>
      <c r="BZ320" s="2" t="s">
        <v>240</v>
      </c>
      <c r="CA320" s="2" t="s">
        <v>1659</v>
      </c>
      <c r="CB320" s="2" t="s">
        <v>2215</v>
      </c>
      <c r="CC320" s="2" t="s">
        <v>241</v>
      </c>
      <c r="CD320" s="2" t="s">
        <v>228</v>
      </c>
      <c r="CE320" s="4">
        <v>1</v>
      </c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</row>
    <row r="321">
      <c r="A321" s="2" t="s">
        <v>2216</v>
      </c>
      <c r="B321" s="2" t="s">
        <v>1150</v>
      </c>
      <c r="C321" s="2" t="s">
        <v>2217</v>
      </c>
      <c r="D321" s="2" t="s">
        <v>850</v>
      </c>
      <c r="E321" s="2" t="s">
        <v>851</v>
      </c>
      <c r="F321" s="2" t="s">
        <v>2218</v>
      </c>
      <c r="G321" s="2" t="s">
        <v>2218</v>
      </c>
      <c r="H321" s="2" t="s">
        <v>2218</v>
      </c>
      <c r="I321" s="2" t="s">
        <v>1465</v>
      </c>
      <c r="J321" s="2" t="s">
        <v>1189</v>
      </c>
      <c r="K321" s="2" t="s">
        <v>231</v>
      </c>
      <c r="L321" s="3">
        <v>102.14</v>
      </c>
      <c r="M321" s="3">
        <v>107.25</v>
      </c>
      <c r="N321" s="3">
        <v>299.99</v>
      </c>
      <c r="O321" s="2" t="s">
        <v>240</v>
      </c>
      <c r="P321" s="2" t="s">
        <v>922</v>
      </c>
      <c r="Q321" s="2" t="s">
        <v>234</v>
      </c>
      <c r="R321" s="2" t="s">
        <v>228</v>
      </c>
      <c r="S321" s="2" t="s">
        <v>228</v>
      </c>
      <c r="T321" s="2" t="s">
        <v>350</v>
      </c>
      <c r="U321" s="2" t="s">
        <v>228</v>
      </c>
      <c r="V321" s="2" t="s">
        <v>1302</v>
      </c>
      <c r="W321" s="2" t="s">
        <v>463</v>
      </c>
      <c r="X321" s="2" t="s">
        <v>228</v>
      </c>
      <c r="Y321" s="2" t="s">
        <v>2219</v>
      </c>
      <c r="Z321" s="4">
        <v>5</v>
      </c>
      <c r="AA321" s="4">
        <f>=ROUNDDOWN(5,0)</f>
      </c>
      <c r="AB321" s="5">
        <v>1</v>
      </c>
      <c r="AC321" s="2" t="s">
        <v>228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228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228</v>
      </c>
      <c r="AW321" s="8" t="s">
        <v>228</v>
      </c>
      <c r="AX321" s="4" t="s">
        <v>228</v>
      </c>
      <c r="AY321" s="8" t="s">
        <v>228</v>
      </c>
      <c r="AZ321" s="7" t="s">
        <v>228</v>
      </c>
      <c r="BA321" s="7" t="s">
        <v>228</v>
      </c>
      <c r="BB321" s="7"/>
      <c r="BC321" s="4" t="s">
        <v>228</v>
      </c>
      <c r="BD321" s="8" t="s">
        <v>228</v>
      </c>
      <c r="BE321" s="4" t="s">
        <v>228</v>
      </c>
      <c r="BF321" s="8" t="s">
        <v>228</v>
      </c>
      <c r="BG321" s="7" t="s">
        <v>228</v>
      </c>
      <c r="BH321" s="7" t="s">
        <v>228</v>
      </c>
      <c r="BI321" s="7"/>
      <c r="BJ321" s="4">
        <v>9</v>
      </c>
      <c r="BK321" s="8">
        <v>632.78</v>
      </c>
      <c r="BL321" s="2" t="s">
        <v>2220</v>
      </c>
      <c r="BM321" s="7"/>
      <c r="BN321" s="7"/>
      <c r="BO321" s="4"/>
      <c r="BP321" s="8"/>
      <c r="BQ321" s="4"/>
      <c r="BR321" s="8"/>
      <c r="BS321" s="7"/>
      <c r="BT321" s="7"/>
      <c r="BU321" s="2" t="s">
        <v>2221</v>
      </c>
      <c r="BV321" s="2" t="s">
        <v>228</v>
      </c>
      <c r="BW321" s="2" t="s">
        <v>228</v>
      </c>
      <c r="BX321" s="2" t="s">
        <v>337</v>
      </c>
      <c r="BY321" s="2" t="s">
        <v>274</v>
      </c>
      <c r="BZ321" s="2" t="s">
        <v>240</v>
      </c>
      <c r="CA321" s="2" t="s">
        <v>1469</v>
      </c>
      <c r="CB321" s="2" t="s">
        <v>2222</v>
      </c>
      <c r="CC321" s="2" t="s">
        <v>241</v>
      </c>
      <c r="CD321" s="2" t="s">
        <v>228</v>
      </c>
      <c r="CE321" s="4">
        <v>5</v>
      </c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</row>
    <row r="322">
      <c r="A322" s="2" t="s">
        <v>2223</v>
      </c>
      <c r="B322" s="2" t="s">
        <v>1150</v>
      </c>
      <c r="C322" s="2" t="s">
        <v>2217</v>
      </c>
      <c r="D322" s="2" t="s">
        <v>850</v>
      </c>
      <c r="E322" s="2" t="s">
        <v>851</v>
      </c>
      <c r="F322" s="2" t="s">
        <v>2218</v>
      </c>
      <c r="G322" s="2" t="s">
        <v>2218</v>
      </c>
      <c r="H322" s="2" t="s">
        <v>2218</v>
      </c>
      <c r="I322" s="2" t="s">
        <v>1465</v>
      </c>
      <c r="J322" s="2" t="s">
        <v>1043</v>
      </c>
      <c r="K322" s="2" t="s">
        <v>231</v>
      </c>
      <c r="L322" s="3">
        <v>136.19</v>
      </c>
      <c r="M322" s="3">
        <v>143</v>
      </c>
      <c r="N322" s="3">
        <v>399.99</v>
      </c>
      <c r="O322" s="2" t="s">
        <v>240</v>
      </c>
      <c r="P322" s="2" t="s">
        <v>922</v>
      </c>
      <c r="Q322" s="2" t="s">
        <v>234</v>
      </c>
      <c r="R322" s="2" t="s">
        <v>228</v>
      </c>
      <c r="S322" s="2" t="s">
        <v>228</v>
      </c>
      <c r="T322" s="2" t="s">
        <v>350</v>
      </c>
      <c r="U322" s="2" t="s">
        <v>228</v>
      </c>
      <c r="V322" s="2" t="s">
        <v>1302</v>
      </c>
      <c r="W322" s="2" t="s">
        <v>463</v>
      </c>
      <c r="X322" s="2" t="s">
        <v>228</v>
      </c>
      <c r="Y322" s="2" t="s">
        <v>2219</v>
      </c>
      <c r="Z322" s="4">
        <v>13</v>
      </c>
      <c r="AA322" s="4">
        <f>=ROUNDDOWN(6.5,0)</f>
      </c>
      <c r="AB322" s="5">
        <v>2</v>
      </c>
      <c r="AC322" s="2" t="s">
        <v>228</v>
      </c>
      <c r="AD322" s="4"/>
      <c r="AE322" s="4"/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228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228</v>
      </c>
      <c r="AW322" s="8" t="s">
        <v>228</v>
      </c>
      <c r="AX322" s="4" t="s">
        <v>228</v>
      </c>
      <c r="AY322" s="8" t="s">
        <v>228</v>
      </c>
      <c r="AZ322" s="7" t="s">
        <v>228</v>
      </c>
      <c r="BA322" s="7" t="s">
        <v>228</v>
      </c>
      <c r="BB322" s="7"/>
      <c r="BC322" s="4" t="s">
        <v>228</v>
      </c>
      <c r="BD322" s="8" t="s">
        <v>228</v>
      </c>
      <c r="BE322" s="4" t="s">
        <v>228</v>
      </c>
      <c r="BF322" s="8" t="s">
        <v>228</v>
      </c>
      <c r="BG322" s="7" t="s">
        <v>228</v>
      </c>
      <c r="BH322" s="7" t="s">
        <v>228</v>
      </c>
      <c r="BI322" s="7"/>
      <c r="BJ322" s="4">
        <v>9</v>
      </c>
      <c r="BK322" s="8">
        <v>703.56</v>
      </c>
      <c r="BL322" s="2" t="s">
        <v>2224</v>
      </c>
      <c r="BM322" s="7"/>
      <c r="BN322" s="7"/>
      <c r="BO322" s="4"/>
      <c r="BP322" s="8"/>
      <c r="BQ322" s="4"/>
      <c r="BR322" s="8"/>
      <c r="BS322" s="7"/>
      <c r="BT322" s="7"/>
      <c r="BU322" s="2" t="s">
        <v>2225</v>
      </c>
      <c r="BV322" s="2" t="s">
        <v>228</v>
      </c>
      <c r="BW322" s="2" t="s">
        <v>228</v>
      </c>
      <c r="BX322" s="2" t="s">
        <v>337</v>
      </c>
      <c r="BY322" s="2" t="s">
        <v>274</v>
      </c>
      <c r="BZ322" s="2" t="s">
        <v>240</v>
      </c>
      <c r="CA322" s="2" t="s">
        <v>1469</v>
      </c>
      <c r="CB322" s="2" t="s">
        <v>2226</v>
      </c>
      <c r="CC322" s="2" t="s">
        <v>241</v>
      </c>
      <c r="CD322" s="2" t="s">
        <v>228</v>
      </c>
      <c r="CE322" s="4">
        <v>13</v>
      </c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</row>
    <row r="323">
      <c r="A323" s="2" t="s">
        <v>2227</v>
      </c>
      <c r="B323" s="2" t="s">
        <v>223</v>
      </c>
      <c r="C323" s="2" t="s">
        <v>1261</v>
      </c>
      <c r="D323" s="2" t="s">
        <v>1112</v>
      </c>
      <c r="E323" s="2" t="s">
        <v>1113</v>
      </c>
      <c r="F323" s="2" t="s">
        <v>2228</v>
      </c>
      <c r="G323" s="2" t="s">
        <v>2228</v>
      </c>
      <c r="H323" s="2" t="s">
        <v>2228</v>
      </c>
      <c r="I323" s="2" t="s">
        <v>2229</v>
      </c>
      <c r="J323" s="2" t="s">
        <v>856</v>
      </c>
      <c r="K323" s="2" t="s">
        <v>2230</v>
      </c>
      <c r="L323" s="3">
        <v>42.87</v>
      </c>
      <c r="M323" s="3">
        <v>45.02</v>
      </c>
      <c r="N323" s="3">
        <v>89.99</v>
      </c>
      <c r="O323" s="2" t="s">
        <v>461</v>
      </c>
      <c r="P323" s="2" t="s">
        <v>333</v>
      </c>
      <c r="Q323" s="2" t="s">
        <v>234</v>
      </c>
      <c r="R323" s="2" t="s">
        <v>228</v>
      </c>
      <c r="S323" s="2" t="s">
        <v>2231</v>
      </c>
      <c r="T323" s="2" t="s">
        <v>1608</v>
      </c>
      <c r="U323" s="2" t="s">
        <v>520</v>
      </c>
      <c r="V323" s="2" t="s">
        <v>1438</v>
      </c>
      <c r="W323" s="2" t="s">
        <v>1267</v>
      </c>
      <c r="X323" s="2" t="s">
        <v>269</v>
      </c>
      <c r="Y323" s="2" t="s">
        <v>748</v>
      </c>
      <c r="Z323" s="4">
        <v>93</v>
      </c>
      <c r="AA323" s="4">
        <f>=ROUNDDOWN(465,0)</f>
      </c>
      <c r="AB323" s="5">
        <v>0.2</v>
      </c>
      <c r="AC323" s="2" t="s">
        <v>228</v>
      </c>
      <c r="AD323" s="4"/>
      <c r="AE323" s="4"/>
      <c r="AF323" s="6"/>
      <c r="AG323" s="6"/>
      <c r="AH323" s="7">
        <v>1</v>
      </c>
      <c r="AI323" s="4"/>
      <c r="AJ323" s="4">
        <f>=ROUNDDOWN({0},0)</f>
      </c>
      <c r="AK323" s="5"/>
      <c r="AL323" s="2" t="s">
        <v>228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228</v>
      </c>
      <c r="AW323" s="8" t="s">
        <v>228</v>
      </c>
      <c r="AX323" s="4" t="s">
        <v>228</v>
      </c>
      <c r="AY323" s="8" t="s">
        <v>228</v>
      </c>
      <c r="AZ323" s="7" t="s">
        <v>228</v>
      </c>
      <c r="BA323" s="7" t="s">
        <v>228</v>
      </c>
      <c r="BB323" s="7"/>
      <c r="BC323" s="4" t="s">
        <v>228</v>
      </c>
      <c r="BD323" s="8" t="s">
        <v>228</v>
      </c>
      <c r="BE323" s="4" t="s">
        <v>228</v>
      </c>
      <c r="BF323" s="8" t="s">
        <v>228</v>
      </c>
      <c r="BG323" s="7" t="s">
        <v>228</v>
      </c>
      <c r="BH323" s="7" t="s">
        <v>228</v>
      </c>
      <c r="BI323" s="7"/>
      <c r="BJ323" s="4">
        <v>1</v>
      </c>
      <c r="BK323" s="8">
        <v>34.03</v>
      </c>
      <c r="BL323" s="2" t="s">
        <v>521</v>
      </c>
      <c r="BM323" s="7"/>
      <c r="BN323" s="7"/>
      <c r="BO323" s="4"/>
      <c r="BP323" s="8"/>
      <c r="BQ323" s="4"/>
      <c r="BR323" s="8"/>
      <c r="BS323" s="7"/>
      <c r="BT323" s="7"/>
      <c r="BU323" s="2" t="s">
        <v>2232</v>
      </c>
      <c r="BV323" s="2" t="s">
        <v>228</v>
      </c>
      <c r="BW323" s="2" t="s">
        <v>228</v>
      </c>
      <c r="BX323" s="2" t="s">
        <v>337</v>
      </c>
      <c r="BY323" s="2" t="s">
        <v>274</v>
      </c>
      <c r="BZ323" s="2" t="s">
        <v>240</v>
      </c>
      <c r="CA323" s="2" t="s">
        <v>2233</v>
      </c>
      <c r="CB323" s="2" t="s">
        <v>2234</v>
      </c>
      <c r="CC323" s="2" t="s">
        <v>241</v>
      </c>
      <c r="CD323" s="2" t="s">
        <v>228</v>
      </c>
      <c r="CE323" s="4"/>
      <c r="CF323" s="4"/>
      <c r="CG323" s="4"/>
      <c r="CH323" s="4">
        <v>93</v>
      </c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</row>
    <row r="324">
      <c r="A324" s="2" t="s">
        <v>2235</v>
      </c>
      <c r="B324" s="2" t="s">
        <v>223</v>
      </c>
      <c r="C324" s="2" t="s">
        <v>1261</v>
      </c>
      <c r="D324" s="2" t="s">
        <v>1112</v>
      </c>
      <c r="E324" s="2" t="s">
        <v>1113</v>
      </c>
      <c r="F324" s="2" t="s">
        <v>2228</v>
      </c>
      <c r="G324" s="2" t="s">
        <v>2228</v>
      </c>
      <c r="H324" s="2" t="s">
        <v>2228</v>
      </c>
      <c r="I324" s="2" t="s">
        <v>2229</v>
      </c>
      <c r="J324" s="2" t="s">
        <v>1189</v>
      </c>
      <c r="K324" s="2" t="s">
        <v>2230</v>
      </c>
      <c r="L324" s="3">
        <v>53.33</v>
      </c>
      <c r="M324" s="3">
        <v>56</v>
      </c>
      <c r="N324" s="3">
        <v>109.99</v>
      </c>
      <c r="O324" s="2" t="s">
        <v>461</v>
      </c>
      <c r="P324" s="2" t="s">
        <v>333</v>
      </c>
      <c r="Q324" s="2" t="s">
        <v>234</v>
      </c>
      <c r="R324" s="2" t="s">
        <v>228</v>
      </c>
      <c r="S324" s="2" t="s">
        <v>2231</v>
      </c>
      <c r="T324" s="2" t="s">
        <v>1608</v>
      </c>
      <c r="U324" s="2" t="s">
        <v>500</v>
      </c>
      <c r="V324" s="2" t="s">
        <v>1438</v>
      </c>
      <c r="W324" s="2" t="s">
        <v>1267</v>
      </c>
      <c r="X324" s="2" t="s">
        <v>269</v>
      </c>
      <c r="Y324" s="2" t="s">
        <v>748</v>
      </c>
      <c r="Z324" s="4">
        <v>358</v>
      </c>
      <c r="AA324" s="4">
        <f>=ROUNDDOWN(511.428571428571,0)</f>
      </c>
      <c r="AB324" s="5">
        <v>0.7</v>
      </c>
      <c r="AC324" s="2" t="s">
        <v>228</v>
      </c>
      <c r="AD324" s="4"/>
      <c r="AE324" s="4"/>
      <c r="AF324" s="6"/>
      <c r="AG324" s="6"/>
      <c r="AH324" s="7">
        <v>1</v>
      </c>
      <c r="AI324" s="4"/>
      <c r="AJ324" s="4">
        <f>=ROUNDDOWN({0},0)</f>
      </c>
      <c r="AK324" s="5"/>
      <c r="AL324" s="2" t="s">
        <v>228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228</v>
      </c>
      <c r="AW324" s="8" t="s">
        <v>228</v>
      </c>
      <c r="AX324" s="4" t="s">
        <v>228</v>
      </c>
      <c r="AY324" s="8" t="s">
        <v>228</v>
      </c>
      <c r="AZ324" s="7" t="s">
        <v>228</v>
      </c>
      <c r="BA324" s="7" t="s">
        <v>228</v>
      </c>
      <c r="BB324" s="7"/>
      <c r="BC324" s="4" t="s">
        <v>228</v>
      </c>
      <c r="BD324" s="8" t="s">
        <v>228</v>
      </c>
      <c r="BE324" s="4" t="s">
        <v>228</v>
      </c>
      <c r="BF324" s="8" t="s">
        <v>228</v>
      </c>
      <c r="BG324" s="7" t="s">
        <v>228</v>
      </c>
      <c r="BH324" s="7" t="s">
        <v>228</v>
      </c>
      <c r="BI324" s="7"/>
      <c r="BJ324" s="4">
        <v>4</v>
      </c>
      <c r="BK324" s="8">
        <v>232.4</v>
      </c>
      <c r="BL324" s="2" t="s">
        <v>2236</v>
      </c>
      <c r="BM324" s="7"/>
      <c r="BN324" s="7"/>
      <c r="BO324" s="4"/>
      <c r="BP324" s="8"/>
      <c r="BQ324" s="4"/>
      <c r="BR324" s="8"/>
      <c r="BS324" s="7"/>
      <c r="BT324" s="7"/>
      <c r="BU324" s="2" t="s">
        <v>2237</v>
      </c>
      <c r="BV324" s="2" t="s">
        <v>228</v>
      </c>
      <c r="BW324" s="2" t="s">
        <v>228</v>
      </c>
      <c r="BX324" s="2" t="s">
        <v>337</v>
      </c>
      <c r="BY324" s="2" t="s">
        <v>274</v>
      </c>
      <c r="BZ324" s="2" t="s">
        <v>240</v>
      </c>
      <c r="CA324" s="2" t="s">
        <v>2233</v>
      </c>
      <c r="CB324" s="2" t="s">
        <v>2226</v>
      </c>
      <c r="CC324" s="2" t="s">
        <v>241</v>
      </c>
      <c r="CD324" s="2" t="s">
        <v>228</v>
      </c>
      <c r="CE324" s="4"/>
      <c r="CF324" s="4"/>
      <c r="CG324" s="4"/>
      <c r="CH324" s="4">
        <v>358</v>
      </c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</row>
    <row r="325">
      <c r="A325" s="2" t="s">
        <v>2238</v>
      </c>
      <c r="B325" s="2" t="s">
        <v>223</v>
      </c>
      <c r="C325" s="2" t="s">
        <v>1261</v>
      </c>
      <c r="D325" s="2" t="s">
        <v>1112</v>
      </c>
      <c r="E325" s="2" t="s">
        <v>1113</v>
      </c>
      <c r="F325" s="2" t="s">
        <v>2228</v>
      </c>
      <c r="G325" s="2" t="s">
        <v>2228</v>
      </c>
      <c r="H325" s="2" t="s">
        <v>2228</v>
      </c>
      <c r="I325" s="2" t="s">
        <v>2229</v>
      </c>
      <c r="J325" s="2" t="s">
        <v>1043</v>
      </c>
      <c r="K325" s="2" t="s">
        <v>2230</v>
      </c>
      <c r="L325" s="3">
        <v>62.2</v>
      </c>
      <c r="M325" s="3">
        <v>65.31</v>
      </c>
      <c r="N325" s="3">
        <v>129.99</v>
      </c>
      <c r="O325" s="2" t="s">
        <v>461</v>
      </c>
      <c r="P325" s="2" t="s">
        <v>333</v>
      </c>
      <c r="Q325" s="2" t="s">
        <v>234</v>
      </c>
      <c r="R325" s="2" t="s">
        <v>228</v>
      </c>
      <c r="S325" s="2" t="s">
        <v>2231</v>
      </c>
      <c r="T325" s="2" t="s">
        <v>1608</v>
      </c>
      <c r="U325" s="2" t="s">
        <v>500</v>
      </c>
      <c r="V325" s="2" t="s">
        <v>1438</v>
      </c>
      <c r="W325" s="2" t="s">
        <v>1267</v>
      </c>
      <c r="X325" s="2" t="s">
        <v>269</v>
      </c>
      <c r="Y325" s="2" t="s">
        <v>748</v>
      </c>
      <c r="Z325" s="4">
        <v>192</v>
      </c>
      <c r="AA325" s="4">
        <f>=ROUNDDOWN(192,0)</f>
      </c>
      <c r="AB325" s="5">
        <v>1</v>
      </c>
      <c r="AC325" s="2" t="s">
        <v>228</v>
      </c>
      <c r="AD325" s="4"/>
      <c r="AE325" s="4"/>
      <c r="AF325" s="6"/>
      <c r="AG325" s="6"/>
      <c r="AH325" s="7">
        <v>1</v>
      </c>
      <c r="AI325" s="4"/>
      <c r="AJ325" s="4">
        <f>=ROUNDDOWN({0},0)</f>
      </c>
      <c r="AK325" s="5"/>
      <c r="AL325" s="2" t="s">
        <v>228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228</v>
      </c>
      <c r="AW325" s="8" t="s">
        <v>228</v>
      </c>
      <c r="AX325" s="4" t="s">
        <v>228</v>
      </c>
      <c r="AY325" s="8" t="s">
        <v>228</v>
      </c>
      <c r="AZ325" s="7" t="s">
        <v>228</v>
      </c>
      <c r="BA325" s="7" t="s">
        <v>228</v>
      </c>
      <c r="BB325" s="7"/>
      <c r="BC325" s="4" t="s">
        <v>228</v>
      </c>
      <c r="BD325" s="8" t="s">
        <v>228</v>
      </c>
      <c r="BE325" s="4" t="s">
        <v>228</v>
      </c>
      <c r="BF325" s="8" t="s">
        <v>228</v>
      </c>
      <c r="BG325" s="7" t="s">
        <v>228</v>
      </c>
      <c r="BH325" s="7" t="s">
        <v>228</v>
      </c>
      <c r="BI325" s="7"/>
      <c r="BJ325" s="4">
        <v>4</v>
      </c>
      <c r="BK325" s="8">
        <v>235.9</v>
      </c>
      <c r="BL325" s="2" t="s">
        <v>366</v>
      </c>
      <c r="BM325" s="7"/>
      <c r="BN325" s="7"/>
      <c r="BO325" s="4"/>
      <c r="BP325" s="8"/>
      <c r="BQ325" s="4"/>
      <c r="BR325" s="8"/>
      <c r="BS325" s="7"/>
      <c r="BT325" s="7"/>
      <c r="BU325" s="2" t="s">
        <v>2239</v>
      </c>
      <c r="BV325" s="2" t="s">
        <v>228</v>
      </c>
      <c r="BW325" s="2" t="s">
        <v>228</v>
      </c>
      <c r="BX325" s="2" t="s">
        <v>337</v>
      </c>
      <c r="BY325" s="2" t="s">
        <v>274</v>
      </c>
      <c r="BZ325" s="2" t="s">
        <v>240</v>
      </c>
      <c r="CA325" s="2" t="s">
        <v>2233</v>
      </c>
      <c r="CB325" s="2" t="s">
        <v>2240</v>
      </c>
      <c r="CC325" s="2" t="s">
        <v>241</v>
      </c>
      <c r="CD325" s="2" t="s">
        <v>228</v>
      </c>
      <c r="CE325" s="4"/>
      <c r="CF325" s="4"/>
      <c r="CG325" s="4"/>
      <c r="CH325" s="4">
        <v>192</v>
      </c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</row>
    <row r="326">
      <c r="A326" s="2" t="s">
        <v>2241</v>
      </c>
      <c r="B326" s="2" t="s">
        <v>223</v>
      </c>
      <c r="C326" s="2" t="s">
        <v>1261</v>
      </c>
      <c r="D326" s="2" t="s">
        <v>1112</v>
      </c>
      <c r="E326" s="2" t="s">
        <v>1113</v>
      </c>
      <c r="F326" s="2" t="s">
        <v>2228</v>
      </c>
      <c r="G326" s="2" t="s">
        <v>2228</v>
      </c>
      <c r="H326" s="2" t="s">
        <v>2228</v>
      </c>
      <c r="I326" s="2" t="s">
        <v>2229</v>
      </c>
      <c r="J326" s="2" t="s">
        <v>856</v>
      </c>
      <c r="K326" s="2" t="s">
        <v>2242</v>
      </c>
      <c r="L326" s="3">
        <v>42.87</v>
      </c>
      <c r="M326" s="3">
        <v>45.02</v>
      </c>
      <c r="N326" s="3">
        <v>89.99</v>
      </c>
      <c r="O326" s="2" t="s">
        <v>461</v>
      </c>
      <c r="P326" s="2" t="s">
        <v>333</v>
      </c>
      <c r="Q326" s="2" t="s">
        <v>234</v>
      </c>
      <c r="R326" s="2" t="s">
        <v>228</v>
      </c>
      <c r="S326" s="2" t="s">
        <v>2243</v>
      </c>
      <c r="T326" s="2" t="s">
        <v>1608</v>
      </c>
      <c r="U326" s="2" t="s">
        <v>520</v>
      </c>
      <c r="V326" s="2" t="s">
        <v>1438</v>
      </c>
      <c r="W326" s="2" t="s">
        <v>1267</v>
      </c>
      <c r="X326" s="2" t="s">
        <v>269</v>
      </c>
      <c r="Y326" s="2" t="s">
        <v>748</v>
      </c>
      <c r="Z326" s="4">
        <v>72</v>
      </c>
      <c r="AA326" s="4">
        <f>=ROUNDDOWN(102.857142857143,0)</f>
      </c>
      <c r="AB326" s="5">
        <v>0.7</v>
      </c>
      <c r="AC326" s="2" t="s">
        <v>228</v>
      </c>
      <c r="AD326" s="4"/>
      <c r="AE326" s="4"/>
      <c r="AF326" s="6"/>
      <c r="AG326" s="6"/>
      <c r="AH326" s="7">
        <v>1</v>
      </c>
      <c r="AI326" s="4"/>
      <c r="AJ326" s="4">
        <f>=ROUNDDOWN({0},0)</f>
      </c>
      <c r="AK326" s="5"/>
      <c r="AL326" s="2" t="s">
        <v>228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228</v>
      </c>
      <c r="AW326" s="8" t="s">
        <v>228</v>
      </c>
      <c r="AX326" s="4" t="s">
        <v>228</v>
      </c>
      <c r="AY326" s="8" t="s">
        <v>228</v>
      </c>
      <c r="AZ326" s="7" t="s">
        <v>228</v>
      </c>
      <c r="BA326" s="7" t="s">
        <v>228</v>
      </c>
      <c r="BB326" s="7"/>
      <c r="BC326" s="4" t="s">
        <v>228</v>
      </c>
      <c r="BD326" s="8" t="s">
        <v>228</v>
      </c>
      <c r="BE326" s="4" t="s">
        <v>228</v>
      </c>
      <c r="BF326" s="8" t="s">
        <v>228</v>
      </c>
      <c r="BG326" s="7" t="s">
        <v>228</v>
      </c>
      <c r="BH326" s="7" t="s">
        <v>228</v>
      </c>
      <c r="BI326" s="7"/>
      <c r="BJ326" s="4">
        <v>3</v>
      </c>
      <c r="BK326" s="8">
        <v>115.32</v>
      </c>
      <c r="BL326" s="2" t="s">
        <v>366</v>
      </c>
      <c r="BM326" s="7"/>
      <c r="BN326" s="7"/>
      <c r="BO326" s="4"/>
      <c r="BP326" s="8"/>
      <c r="BQ326" s="4"/>
      <c r="BR326" s="8"/>
      <c r="BS326" s="7"/>
      <c r="BT326" s="7"/>
      <c r="BU326" s="2" t="s">
        <v>2244</v>
      </c>
      <c r="BV326" s="2" t="s">
        <v>228</v>
      </c>
      <c r="BW326" s="2" t="s">
        <v>228</v>
      </c>
      <c r="BX326" s="2" t="s">
        <v>337</v>
      </c>
      <c r="BY326" s="2" t="s">
        <v>274</v>
      </c>
      <c r="BZ326" s="2" t="s">
        <v>240</v>
      </c>
      <c r="CA326" s="2" t="s">
        <v>2233</v>
      </c>
      <c r="CB326" s="2" t="s">
        <v>2167</v>
      </c>
      <c r="CC326" s="2" t="s">
        <v>241</v>
      </c>
      <c r="CD326" s="2" t="s">
        <v>228</v>
      </c>
      <c r="CE326" s="4"/>
      <c r="CF326" s="4"/>
      <c r="CG326" s="4"/>
      <c r="CH326" s="4">
        <v>72</v>
      </c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</row>
    <row r="327">
      <c r="A327" s="2" t="s">
        <v>2245</v>
      </c>
      <c r="B327" s="2" t="s">
        <v>223</v>
      </c>
      <c r="C327" s="2" t="s">
        <v>1261</v>
      </c>
      <c r="D327" s="2" t="s">
        <v>1112</v>
      </c>
      <c r="E327" s="2" t="s">
        <v>1113</v>
      </c>
      <c r="F327" s="2" t="s">
        <v>2228</v>
      </c>
      <c r="G327" s="2" t="s">
        <v>2228</v>
      </c>
      <c r="H327" s="2" t="s">
        <v>2228</v>
      </c>
      <c r="I327" s="2" t="s">
        <v>2229</v>
      </c>
      <c r="J327" s="2" t="s">
        <v>1189</v>
      </c>
      <c r="K327" s="2" t="s">
        <v>2242</v>
      </c>
      <c r="L327" s="3">
        <v>53.33</v>
      </c>
      <c r="M327" s="3">
        <v>56</v>
      </c>
      <c r="N327" s="3">
        <v>109.99</v>
      </c>
      <c r="O327" s="2" t="s">
        <v>461</v>
      </c>
      <c r="P327" s="2" t="s">
        <v>333</v>
      </c>
      <c r="Q327" s="2" t="s">
        <v>234</v>
      </c>
      <c r="R327" s="2" t="s">
        <v>228</v>
      </c>
      <c r="S327" s="2" t="s">
        <v>2243</v>
      </c>
      <c r="T327" s="2" t="s">
        <v>1608</v>
      </c>
      <c r="U327" s="2" t="s">
        <v>500</v>
      </c>
      <c r="V327" s="2" t="s">
        <v>1438</v>
      </c>
      <c r="W327" s="2" t="s">
        <v>1267</v>
      </c>
      <c r="X327" s="2" t="s">
        <v>269</v>
      </c>
      <c r="Y327" s="2" t="s">
        <v>2246</v>
      </c>
      <c r="Z327" s="4">
        <v>378</v>
      </c>
      <c r="AA327" s="4">
        <f>=ROUNDDOWN(1890,0)</f>
      </c>
      <c r="AB327" s="5">
        <v>0.2</v>
      </c>
      <c r="AC327" s="2" t="s">
        <v>228</v>
      </c>
      <c r="AD327" s="4"/>
      <c r="AE327" s="4"/>
      <c r="AF327" s="6"/>
      <c r="AG327" s="6"/>
      <c r="AH327" s="7">
        <v>1</v>
      </c>
      <c r="AI327" s="4"/>
      <c r="AJ327" s="4">
        <f>=ROUNDDOWN({0},0)</f>
      </c>
      <c r="AK327" s="5"/>
      <c r="AL327" s="2" t="s">
        <v>228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228</v>
      </c>
      <c r="AW327" s="8" t="s">
        <v>228</v>
      </c>
      <c r="AX327" s="4" t="s">
        <v>228</v>
      </c>
      <c r="AY327" s="8" t="s">
        <v>228</v>
      </c>
      <c r="AZ327" s="7" t="s">
        <v>228</v>
      </c>
      <c r="BA327" s="7" t="s">
        <v>228</v>
      </c>
      <c r="BB327" s="7"/>
      <c r="BC327" s="4" t="s">
        <v>228</v>
      </c>
      <c r="BD327" s="8" t="s">
        <v>228</v>
      </c>
      <c r="BE327" s="4" t="s">
        <v>228</v>
      </c>
      <c r="BF327" s="8" t="s">
        <v>228</v>
      </c>
      <c r="BG327" s="7" t="s">
        <v>228</v>
      </c>
      <c r="BH327" s="7" t="s">
        <v>228</v>
      </c>
      <c r="BI327" s="7"/>
      <c r="BJ327" s="4">
        <v>1</v>
      </c>
      <c r="BK327" s="8">
        <v>58.8</v>
      </c>
      <c r="BL327" s="2" t="s">
        <v>2236</v>
      </c>
      <c r="BM327" s="7"/>
      <c r="BN327" s="7"/>
      <c r="BO327" s="4"/>
      <c r="BP327" s="8"/>
      <c r="BQ327" s="4"/>
      <c r="BR327" s="8"/>
      <c r="BS327" s="7"/>
      <c r="BT327" s="7"/>
      <c r="BU327" s="2" t="s">
        <v>2247</v>
      </c>
      <c r="BV327" s="2" t="s">
        <v>228</v>
      </c>
      <c r="BW327" s="2" t="s">
        <v>228</v>
      </c>
      <c r="BX327" s="2" t="s">
        <v>337</v>
      </c>
      <c r="BY327" s="2" t="s">
        <v>274</v>
      </c>
      <c r="BZ327" s="2" t="s">
        <v>240</v>
      </c>
      <c r="CA327" s="2" t="s">
        <v>2233</v>
      </c>
      <c r="CB327" s="2" t="s">
        <v>396</v>
      </c>
      <c r="CC327" s="2" t="s">
        <v>241</v>
      </c>
      <c r="CD327" s="2" t="s">
        <v>228</v>
      </c>
      <c r="CE327" s="4"/>
      <c r="CF327" s="4"/>
      <c r="CG327" s="4"/>
      <c r="CH327" s="4">
        <v>378</v>
      </c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</row>
    <row r="328">
      <c r="A328" s="2" t="s">
        <v>2248</v>
      </c>
      <c r="B328" s="2" t="s">
        <v>223</v>
      </c>
      <c r="C328" s="2" t="s">
        <v>1261</v>
      </c>
      <c r="D328" s="2" t="s">
        <v>1112</v>
      </c>
      <c r="E328" s="2" t="s">
        <v>1113</v>
      </c>
      <c r="F328" s="2" t="s">
        <v>2228</v>
      </c>
      <c r="G328" s="2" t="s">
        <v>2228</v>
      </c>
      <c r="H328" s="2" t="s">
        <v>2228</v>
      </c>
      <c r="I328" s="2" t="s">
        <v>2229</v>
      </c>
      <c r="J328" s="2" t="s">
        <v>1043</v>
      </c>
      <c r="K328" s="2" t="s">
        <v>2242</v>
      </c>
      <c r="L328" s="3">
        <v>62.2</v>
      </c>
      <c r="M328" s="3">
        <v>65.31</v>
      </c>
      <c r="N328" s="3">
        <v>129.99</v>
      </c>
      <c r="O328" s="2" t="s">
        <v>461</v>
      </c>
      <c r="P328" s="2" t="s">
        <v>333</v>
      </c>
      <c r="Q328" s="2" t="s">
        <v>234</v>
      </c>
      <c r="R328" s="2" t="s">
        <v>228</v>
      </c>
      <c r="S328" s="2" t="s">
        <v>2243</v>
      </c>
      <c r="T328" s="2" t="s">
        <v>1608</v>
      </c>
      <c r="U328" s="2" t="s">
        <v>500</v>
      </c>
      <c r="V328" s="2" t="s">
        <v>1438</v>
      </c>
      <c r="W328" s="2" t="s">
        <v>1267</v>
      </c>
      <c r="X328" s="2" t="s">
        <v>269</v>
      </c>
      <c r="Y328" s="2" t="s">
        <v>748</v>
      </c>
      <c r="Z328" s="4">
        <v>197</v>
      </c>
      <c r="AA328" s="4">
        <f>=ROUNDDOWN({0},0)</f>
      </c>
      <c r="AB328" s="5"/>
      <c r="AC328" s="2" t="s">
        <v>228</v>
      </c>
      <c r="AD328" s="4"/>
      <c r="AE328" s="4"/>
      <c r="AF328" s="6"/>
      <c r="AG328" s="6"/>
      <c r="AH328" s="7">
        <v>1</v>
      </c>
      <c r="AI328" s="4"/>
      <c r="AJ328" s="4">
        <f>=ROUNDDOWN({0},0)</f>
      </c>
      <c r="AK328" s="5"/>
      <c r="AL328" s="2" t="s">
        <v>228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228</v>
      </c>
      <c r="AW328" s="8" t="s">
        <v>228</v>
      </c>
      <c r="AX328" s="4" t="s">
        <v>228</v>
      </c>
      <c r="AY328" s="8" t="s">
        <v>228</v>
      </c>
      <c r="AZ328" s="7" t="s">
        <v>228</v>
      </c>
      <c r="BA328" s="7" t="s">
        <v>228</v>
      </c>
      <c r="BB328" s="7"/>
      <c r="BC328" s="4" t="s">
        <v>228</v>
      </c>
      <c r="BD328" s="8" t="s">
        <v>228</v>
      </c>
      <c r="BE328" s="4" t="s">
        <v>228</v>
      </c>
      <c r="BF328" s="8" t="s">
        <v>228</v>
      </c>
      <c r="BG328" s="7" t="s">
        <v>228</v>
      </c>
      <c r="BH328" s="7" t="s">
        <v>228</v>
      </c>
      <c r="BI328" s="7"/>
      <c r="BJ328" s="4"/>
      <c r="BK328" s="8"/>
      <c r="BL328" s="2" t="s">
        <v>228</v>
      </c>
      <c r="BM328" s="7"/>
      <c r="BN328" s="7"/>
      <c r="BO328" s="4"/>
      <c r="BP328" s="8"/>
      <c r="BQ328" s="4"/>
      <c r="BR328" s="8"/>
      <c r="BS328" s="7"/>
      <c r="BT328" s="7"/>
      <c r="BU328" s="2" t="s">
        <v>2249</v>
      </c>
      <c r="BV328" s="2" t="s">
        <v>228</v>
      </c>
      <c r="BW328" s="2" t="s">
        <v>228</v>
      </c>
      <c r="BX328" s="2" t="s">
        <v>337</v>
      </c>
      <c r="BY328" s="2" t="s">
        <v>274</v>
      </c>
      <c r="BZ328" s="2" t="s">
        <v>240</v>
      </c>
      <c r="CA328" s="2" t="s">
        <v>2233</v>
      </c>
      <c r="CB328" s="2" t="s">
        <v>1749</v>
      </c>
      <c r="CC328" s="2" t="s">
        <v>241</v>
      </c>
      <c r="CD328" s="2" t="s">
        <v>228</v>
      </c>
      <c r="CE328" s="4"/>
      <c r="CF328" s="4"/>
      <c r="CG328" s="4"/>
      <c r="CH328" s="4">
        <v>197</v>
      </c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</row>
    <row r="329">
      <c r="A329" s="2" t="s">
        <v>2250</v>
      </c>
      <c r="B329" s="2" t="s">
        <v>223</v>
      </c>
      <c r="C329" s="2" t="s">
        <v>1261</v>
      </c>
      <c r="D329" s="2" t="s">
        <v>1112</v>
      </c>
      <c r="E329" s="2" t="s">
        <v>1113</v>
      </c>
      <c r="F329" s="2" t="s">
        <v>2228</v>
      </c>
      <c r="G329" s="2" t="s">
        <v>2228</v>
      </c>
      <c r="H329" s="2" t="s">
        <v>2228</v>
      </c>
      <c r="I329" s="2" t="s">
        <v>2229</v>
      </c>
      <c r="J329" s="2" t="s">
        <v>1189</v>
      </c>
      <c r="K329" s="2" t="s">
        <v>2251</v>
      </c>
      <c r="L329" s="3">
        <v>53.33</v>
      </c>
      <c r="M329" s="3">
        <v>56</v>
      </c>
      <c r="N329" s="3">
        <v>109.99</v>
      </c>
      <c r="O329" s="2" t="s">
        <v>461</v>
      </c>
      <c r="P329" s="2" t="s">
        <v>333</v>
      </c>
      <c r="Q329" s="2" t="s">
        <v>234</v>
      </c>
      <c r="R329" s="2" t="s">
        <v>228</v>
      </c>
      <c r="S329" s="2" t="s">
        <v>2252</v>
      </c>
      <c r="T329" s="2" t="s">
        <v>1608</v>
      </c>
      <c r="U329" s="2" t="s">
        <v>500</v>
      </c>
      <c r="V329" s="2" t="s">
        <v>1438</v>
      </c>
      <c r="W329" s="2" t="s">
        <v>1267</v>
      </c>
      <c r="X329" s="2" t="s">
        <v>269</v>
      </c>
      <c r="Y329" s="2" t="s">
        <v>748</v>
      </c>
      <c r="Z329" s="4">
        <v>366</v>
      </c>
      <c r="AA329" s="4">
        <f>=ROUNDDOWN(915,0)</f>
      </c>
      <c r="AB329" s="5">
        <v>0.4</v>
      </c>
      <c r="AC329" s="2" t="s">
        <v>228</v>
      </c>
      <c r="AD329" s="4"/>
      <c r="AE329" s="4"/>
      <c r="AF329" s="6"/>
      <c r="AG329" s="6"/>
      <c r="AH329" s="7">
        <v>1</v>
      </c>
      <c r="AI329" s="4"/>
      <c r="AJ329" s="4">
        <f>=ROUNDDOWN({0},0)</f>
      </c>
      <c r="AK329" s="5"/>
      <c r="AL329" s="2" t="s">
        <v>228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 t="s">
        <v>228</v>
      </c>
      <c r="BD329" s="8" t="s">
        <v>228</v>
      </c>
      <c r="BE329" s="4" t="s">
        <v>228</v>
      </c>
      <c r="BF329" s="8" t="s">
        <v>228</v>
      </c>
      <c r="BG329" s="7" t="s">
        <v>228</v>
      </c>
      <c r="BH329" s="7" t="s">
        <v>228</v>
      </c>
      <c r="BI329" s="7"/>
      <c r="BJ329" s="4">
        <v>2</v>
      </c>
      <c r="BK329" s="8">
        <v>101.14</v>
      </c>
      <c r="BL329" s="2" t="s">
        <v>366</v>
      </c>
      <c r="BM329" s="7"/>
      <c r="BN329" s="7"/>
      <c r="BO329" s="4"/>
      <c r="BP329" s="8"/>
      <c r="BQ329" s="4"/>
      <c r="BR329" s="8"/>
      <c r="BS329" s="7"/>
      <c r="BT329" s="7"/>
      <c r="BU329" s="2" t="s">
        <v>2253</v>
      </c>
      <c r="BV329" s="2" t="s">
        <v>228</v>
      </c>
      <c r="BW329" s="2" t="s">
        <v>228</v>
      </c>
      <c r="BX329" s="2" t="s">
        <v>337</v>
      </c>
      <c r="BY329" s="2" t="s">
        <v>274</v>
      </c>
      <c r="BZ329" s="2" t="s">
        <v>240</v>
      </c>
      <c r="CA329" s="2" t="s">
        <v>2233</v>
      </c>
      <c r="CB329" s="2" t="s">
        <v>2254</v>
      </c>
      <c r="CC329" s="2" t="s">
        <v>241</v>
      </c>
      <c r="CD329" s="2" t="s">
        <v>228</v>
      </c>
      <c r="CE329" s="4"/>
      <c r="CF329" s="4"/>
      <c r="CG329" s="4"/>
      <c r="CH329" s="4">
        <v>366</v>
      </c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</row>
    <row r="330">
      <c r="A330" s="2" t="s">
        <v>2255</v>
      </c>
      <c r="B330" s="2" t="s">
        <v>958</v>
      </c>
      <c r="C330" s="2" t="s">
        <v>835</v>
      </c>
      <c r="D330" s="2" t="s">
        <v>2256</v>
      </c>
      <c r="E330" s="2" t="s">
        <v>2257</v>
      </c>
      <c r="F330" s="2" t="s">
        <v>2258</v>
      </c>
      <c r="G330" s="2" t="s">
        <v>2258</v>
      </c>
      <c r="H330" s="2" t="s">
        <v>2258</v>
      </c>
      <c r="I330" s="2" t="s">
        <v>2259</v>
      </c>
      <c r="J330" s="2" t="s">
        <v>840</v>
      </c>
      <c r="K330" s="2" t="s">
        <v>2260</v>
      </c>
      <c r="L330" s="3">
        <v>61.84</v>
      </c>
      <c r="M330" s="3">
        <v>64.93</v>
      </c>
      <c r="N330" s="3">
        <v>129</v>
      </c>
      <c r="O330" s="2" t="s">
        <v>240</v>
      </c>
      <c r="P330" s="2" t="s">
        <v>333</v>
      </c>
      <c r="Q330" s="2" t="s">
        <v>234</v>
      </c>
      <c r="R330" s="2" t="s">
        <v>228</v>
      </c>
      <c r="S330" s="2" t="s">
        <v>228</v>
      </c>
      <c r="T330" s="2" t="s">
        <v>228</v>
      </c>
      <c r="U330" s="2" t="s">
        <v>228</v>
      </c>
      <c r="V330" s="2" t="s">
        <v>236</v>
      </c>
      <c r="W330" s="2" t="s">
        <v>843</v>
      </c>
      <c r="X330" s="2" t="s">
        <v>228</v>
      </c>
      <c r="Y330" s="2" t="s">
        <v>2206</v>
      </c>
      <c r="Z330" s="4">
        <v>55</v>
      </c>
      <c r="AA330" s="4">
        <f>=ROUNDDOWN(11,0)</f>
      </c>
      <c r="AB330" s="5">
        <v>5</v>
      </c>
      <c r="AC330" s="2" t="s">
        <v>228</v>
      </c>
      <c r="AD330" s="4"/>
      <c r="AE330" s="4"/>
      <c r="AF330" s="6">
        <v>66</v>
      </c>
      <c r="AG330" s="6"/>
      <c r="AH330" s="7">
        <v>1</v>
      </c>
      <c r="AI330" s="4"/>
      <c r="AJ330" s="4">
        <f>=ROUNDDOWN({0},0)</f>
      </c>
      <c r="AK330" s="5"/>
      <c r="AL330" s="2" t="s">
        <v>228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/>
      <c r="BD330" s="8"/>
      <c r="BE330" s="4"/>
      <c r="BF330" s="8"/>
      <c r="BG330" s="7"/>
      <c r="BH330" s="7"/>
      <c r="BI330" s="7"/>
      <c r="BJ330" s="4">
        <v>22</v>
      </c>
      <c r="BK330" s="8">
        <v>1390.81</v>
      </c>
      <c r="BL330" s="2" t="s">
        <v>2261</v>
      </c>
      <c r="BM330" s="7"/>
      <c r="BN330" s="7"/>
      <c r="BO330" s="4"/>
      <c r="BP330" s="8"/>
      <c r="BQ330" s="4"/>
      <c r="BR330" s="8"/>
      <c r="BS330" s="7"/>
      <c r="BT330" s="7"/>
      <c r="BU330" s="2" t="s">
        <v>2262</v>
      </c>
      <c r="BV330" s="2" t="s">
        <v>228</v>
      </c>
      <c r="BW330" s="2" t="s">
        <v>228</v>
      </c>
      <c r="BX330" s="2" t="s">
        <v>337</v>
      </c>
      <c r="BY330" s="2" t="s">
        <v>274</v>
      </c>
      <c r="BZ330" s="2" t="s">
        <v>240</v>
      </c>
      <c r="CA330" s="2" t="s">
        <v>2263</v>
      </c>
      <c r="CB330" s="2" t="s">
        <v>2264</v>
      </c>
      <c r="CC330" s="2" t="s">
        <v>241</v>
      </c>
      <c r="CD330" s="2" t="s">
        <v>228</v>
      </c>
      <c r="CE330" s="4"/>
      <c r="CF330" s="4">
        <v>55</v>
      </c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</row>
    <row r="331">
      <c r="A331" s="2" t="s">
        <v>2265</v>
      </c>
      <c r="B331" s="2" t="s">
        <v>958</v>
      </c>
      <c r="C331" s="2" t="s">
        <v>300</v>
      </c>
      <c r="D331" s="2" t="s">
        <v>1795</v>
      </c>
      <c r="E331" s="2" t="s">
        <v>1796</v>
      </c>
      <c r="F331" s="2" t="s">
        <v>2266</v>
      </c>
      <c r="G331" s="2" t="s">
        <v>2267</v>
      </c>
      <c r="H331" s="2" t="s">
        <v>2268</v>
      </c>
      <c r="I331" s="2" t="s">
        <v>2269</v>
      </c>
      <c r="J331" s="2" t="s">
        <v>840</v>
      </c>
      <c r="K331" s="2" t="s">
        <v>265</v>
      </c>
      <c r="L331" s="3">
        <v>125.4</v>
      </c>
      <c r="M331" s="3">
        <v>131.67</v>
      </c>
      <c r="N331" s="3">
        <v>259</v>
      </c>
      <c r="O331" s="2" t="s">
        <v>240</v>
      </c>
      <c r="P331" s="2" t="s">
        <v>266</v>
      </c>
      <c r="Q331" s="2" t="s">
        <v>234</v>
      </c>
      <c r="R331" s="2" t="s">
        <v>228</v>
      </c>
      <c r="S331" s="2" t="s">
        <v>2270</v>
      </c>
      <c r="T331" s="2" t="s">
        <v>228</v>
      </c>
      <c r="U331" s="2" t="s">
        <v>228</v>
      </c>
      <c r="V331" s="2" t="s">
        <v>236</v>
      </c>
      <c r="W331" s="2" t="s">
        <v>417</v>
      </c>
      <c r="X331" s="2" t="s">
        <v>228</v>
      </c>
      <c r="Y331" s="2" t="s">
        <v>270</v>
      </c>
      <c r="Z331" s="4">
        <v>92</v>
      </c>
      <c r="AA331" s="4">
        <f>=ROUNDDOWN(11.5,0)</f>
      </c>
      <c r="AB331" s="5">
        <v>8</v>
      </c>
      <c r="AC331" s="2" t="s">
        <v>1370</v>
      </c>
      <c r="AD331" s="4">
        <v>113</v>
      </c>
      <c r="AE331" s="4">
        <v>243</v>
      </c>
      <c r="AF331" s="6">
        <v>68</v>
      </c>
      <c r="AG331" s="6"/>
      <c r="AH331" s="7">
        <v>1</v>
      </c>
      <c r="AI331" s="4"/>
      <c r="AJ331" s="4">
        <f>=ROUNDDOWN({0},0)</f>
      </c>
      <c r="AK331" s="5"/>
      <c r="AL331" s="2" t="s">
        <v>228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 t="s">
        <v>228</v>
      </c>
      <c r="BD331" s="8" t="s">
        <v>228</v>
      </c>
      <c r="BE331" s="4" t="s">
        <v>228</v>
      </c>
      <c r="BF331" s="8" t="s">
        <v>228</v>
      </c>
      <c r="BG331" s="7" t="s">
        <v>228</v>
      </c>
      <c r="BH331" s="7" t="s">
        <v>228</v>
      </c>
      <c r="BI331" s="7"/>
      <c r="BJ331" s="4">
        <v>27</v>
      </c>
      <c r="BK331" s="8">
        <v>3220.56</v>
      </c>
      <c r="BL331" s="2" t="s">
        <v>2271</v>
      </c>
      <c r="BM331" s="7"/>
      <c r="BN331" s="7"/>
      <c r="BO331" s="4"/>
      <c r="BP331" s="8"/>
      <c r="BQ331" s="4"/>
      <c r="BR331" s="8"/>
      <c r="BS331" s="7"/>
      <c r="BT331" s="7"/>
      <c r="BU331" s="2" t="s">
        <v>2272</v>
      </c>
      <c r="BV331" s="2" t="s">
        <v>228</v>
      </c>
      <c r="BW331" s="2" t="s">
        <v>228</v>
      </c>
      <c r="BX331" s="2" t="s">
        <v>273</v>
      </c>
      <c r="BY331" s="2" t="s">
        <v>274</v>
      </c>
      <c r="BZ331" s="2" t="s">
        <v>240</v>
      </c>
      <c r="CA331" s="2" t="s">
        <v>2273</v>
      </c>
      <c r="CB331" s="2" t="s">
        <v>2274</v>
      </c>
      <c r="CC331" s="2" t="s">
        <v>241</v>
      </c>
      <c r="CD331" s="2" t="s">
        <v>228</v>
      </c>
      <c r="CE331" s="4"/>
      <c r="CF331" s="4">
        <v>92</v>
      </c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>
        <v>113</v>
      </c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>
        <v>130</v>
      </c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</row>
    <row r="332">
      <c r="A332" s="2" t="s">
        <v>2275</v>
      </c>
      <c r="B332" s="2" t="s">
        <v>958</v>
      </c>
      <c r="C332" s="2" t="s">
        <v>300</v>
      </c>
      <c r="D332" s="2" t="s">
        <v>1795</v>
      </c>
      <c r="E332" s="2" t="s">
        <v>1796</v>
      </c>
      <c r="F332" s="2" t="s">
        <v>2266</v>
      </c>
      <c r="G332" s="2" t="s">
        <v>2267</v>
      </c>
      <c r="H332" s="2" t="s">
        <v>2268</v>
      </c>
      <c r="I332" s="2" t="s">
        <v>2269</v>
      </c>
      <c r="J332" s="2" t="s">
        <v>840</v>
      </c>
      <c r="K332" s="2" t="s">
        <v>1466</v>
      </c>
      <c r="L332" s="3">
        <v>125.4</v>
      </c>
      <c r="M332" s="3">
        <v>131.67</v>
      </c>
      <c r="N332" s="3">
        <v>259</v>
      </c>
      <c r="O332" s="2" t="s">
        <v>240</v>
      </c>
      <c r="P332" s="2" t="s">
        <v>1012</v>
      </c>
      <c r="Q332" s="2" t="s">
        <v>234</v>
      </c>
      <c r="R332" s="2" t="s">
        <v>228</v>
      </c>
      <c r="S332" s="2" t="s">
        <v>2276</v>
      </c>
      <c r="T332" s="2" t="s">
        <v>228</v>
      </c>
      <c r="U332" s="2" t="s">
        <v>228</v>
      </c>
      <c r="V332" s="2" t="s">
        <v>236</v>
      </c>
      <c r="W332" s="2" t="s">
        <v>417</v>
      </c>
      <c r="X332" s="2" t="s">
        <v>228</v>
      </c>
      <c r="Y332" s="2" t="s">
        <v>270</v>
      </c>
      <c r="Z332" s="4">
        <v>217</v>
      </c>
      <c r="AA332" s="4">
        <f>=ROUNDDOWN(54.25,0)</f>
      </c>
      <c r="AB332" s="5">
        <v>4</v>
      </c>
      <c r="AC332" s="2" t="s">
        <v>228</v>
      </c>
      <c r="AD332" s="4"/>
      <c r="AE332" s="4"/>
      <c r="AF332" s="6">
        <v>68</v>
      </c>
      <c r="AG332" s="6"/>
      <c r="AH332" s="7">
        <v>1</v>
      </c>
      <c r="AI332" s="4"/>
      <c r="AJ332" s="4">
        <f>=ROUNDDOWN({0},0)</f>
      </c>
      <c r="AK332" s="5"/>
      <c r="AL332" s="2" t="s">
        <v>228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 t="s">
        <v>228</v>
      </c>
      <c r="BD332" s="8" t="s">
        <v>228</v>
      </c>
      <c r="BE332" s="4" t="s">
        <v>228</v>
      </c>
      <c r="BF332" s="8" t="s">
        <v>228</v>
      </c>
      <c r="BG332" s="7" t="s">
        <v>228</v>
      </c>
      <c r="BH332" s="7" t="s">
        <v>228</v>
      </c>
      <c r="BI332" s="7"/>
      <c r="BJ332" s="4">
        <v>24</v>
      </c>
      <c r="BK332" s="8">
        <v>2596.58</v>
      </c>
      <c r="BL332" s="2" t="s">
        <v>2277</v>
      </c>
      <c r="BM332" s="7"/>
      <c r="BN332" s="7"/>
      <c r="BO332" s="4"/>
      <c r="BP332" s="8"/>
      <c r="BQ332" s="4"/>
      <c r="BR332" s="8"/>
      <c r="BS332" s="7"/>
      <c r="BT332" s="7"/>
      <c r="BU332" s="2" t="s">
        <v>2278</v>
      </c>
      <c r="BV332" s="2" t="s">
        <v>228</v>
      </c>
      <c r="BW332" s="2" t="s">
        <v>228</v>
      </c>
      <c r="BX332" s="2" t="s">
        <v>273</v>
      </c>
      <c r="BY332" s="2" t="s">
        <v>274</v>
      </c>
      <c r="BZ332" s="2" t="s">
        <v>240</v>
      </c>
      <c r="CA332" s="2" t="s">
        <v>2279</v>
      </c>
      <c r="CB332" s="2" t="s">
        <v>2280</v>
      </c>
      <c r="CC332" s="2" t="s">
        <v>241</v>
      </c>
      <c r="CD332" s="2" t="s">
        <v>228</v>
      </c>
      <c r="CE332" s="4"/>
      <c r="CF332" s="4">
        <v>217</v>
      </c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</row>
    <row r="333">
      <c r="A333" s="2" t="s">
        <v>2281</v>
      </c>
      <c r="B333" s="2" t="s">
        <v>958</v>
      </c>
      <c r="C333" s="2" t="s">
        <v>300</v>
      </c>
      <c r="D333" s="2" t="s">
        <v>1795</v>
      </c>
      <c r="E333" s="2" t="s">
        <v>1796</v>
      </c>
      <c r="F333" s="2" t="s">
        <v>2266</v>
      </c>
      <c r="G333" s="2" t="s">
        <v>2267</v>
      </c>
      <c r="H333" s="2" t="s">
        <v>2268</v>
      </c>
      <c r="I333" s="2" t="s">
        <v>2269</v>
      </c>
      <c r="J333" s="2" t="s">
        <v>840</v>
      </c>
      <c r="K333" s="2" t="s">
        <v>1357</v>
      </c>
      <c r="L333" s="3">
        <v>125.4</v>
      </c>
      <c r="M333" s="3">
        <v>131.67</v>
      </c>
      <c r="N333" s="3">
        <v>259</v>
      </c>
      <c r="O333" s="2" t="s">
        <v>240</v>
      </c>
      <c r="P333" s="2" t="s">
        <v>266</v>
      </c>
      <c r="Q333" s="2" t="s">
        <v>234</v>
      </c>
      <c r="R333" s="2" t="s">
        <v>228</v>
      </c>
      <c r="S333" s="2" t="s">
        <v>2282</v>
      </c>
      <c r="T333" s="2" t="s">
        <v>228</v>
      </c>
      <c r="U333" s="2" t="s">
        <v>228</v>
      </c>
      <c r="V333" s="2" t="s">
        <v>236</v>
      </c>
      <c r="W333" s="2" t="s">
        <v>417</v>
      </c>
      <c r="X333" s="2" t="s">
        <v>228</v>
      </c>
      <c r="Y333" s="2" t="s">
        <v>270</v>
      </c>
      <c r="Z333" s="4">
        <v>313</v>
      </c>
      <c r="AA333" s="4">
        <f>=ROUNDDOWN(31.3,0)</f>
      </c>
      <c r="AB333" s="5">
        <v>10</v>
      </c>
      <c r="AC333" s="2" t="s">
        <v>228</v>
      </c>
      <c r="AD333" s="4"/>
      <c r="AE333" s="4"/>
      <c r="AF333" s="6">
        <v>68</v>
      </c>
      <c r="AG333" s="6">
        <v>51</v>
      </c>
      <c r="AH333" s="7">
        <v>1</v>
      </c>
      <c r="AI333" s="4"/>
      <c r="AJ333" s="4">
        <f>=ROUNDDOWN({0},0)</f>
      </c>
      <c r="AK333" s="5"/>
      <c r="AL333" s="2" t="s">
        <v>228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 t="s">
        <v>228</v>
      </c>
      <c r="BD333" s="8" t="s">
        <v>228</v>
      </c>
      <c r="BE333" s="4" t="s">
        <v>228</v>
      </c>
      <c r="BF333" s="8" t="s">
        <v>228</v>
      </c>
      <c r="BG333" s="7" t="s">
        <v>228</v>
      </c>
      <c r="BH333" s="7" t="s">
        <v>228</v>
      </c>
      <c r="BI333" s="7"/>
      <c r="BJ333" s="4">
        <v>13</v>
      </c>
      <c r="BK333" s="8">
        <v>1332.78</v>
      </c>
      <c r="BL333" s="2" t="s">
        <v>2283</v>
      </c>
      <c r="BM333" s="7"/>
      <c r="BN333" s="7"/>
      <c r="BO333" s="4"/>
      <c r="BP333" s="8"/>
      <c r="BQ333" s="4"/>
      <c r="BR333" s="8"/>
      <c r="BS333" s="7"/>
      <c r="BT333" s="7"/>
      <c r="BU333" s="2" t="s">
        <v>2284</v>
      </c>
      <c r="BV333" s="2" t="s">
        <v>228</v>
      </c>
      <c r="BW333" s="2" t="s">
        <v>228</v>
      </c>
      <c r="BX333" s="2" t="s">
        <v>273</v>
      </c>
      <c r="BY333" s="2" t="s">
        <v>274</v>
      </c>
      <c r="BZ333" s="2" t="s">
        <v>240</v>
      </c>
      <c r="CA333" s="2" t="s">
        <v>2285</v>
      </c>
      <c r="CB333" s="2" t="s">
        <v>2286</v>
      </c>
      <c r="CC333" s="2" t="s">
        <v>241</v>
      </c>
      <c r="CD333" s="2" t="s">
        <v>228</v>
      </c>
      <c r="CE333" s="4"/>
      <c r="CF333" s="4">
        <v>313</v>
      </c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</row>
    <row r="334">
      <c r="A334" s="2" t="s">
        <v>2287</v>
      </c>
      <c r="B334" s="2" t="s">
        <v>772</v>
      </c>
      <c r="C334" s="2" t="s">
        <v>1743</v>
      </c>
      <c r="D334" s="2" t="s">
        <v>774</v>
      </c>
      <c r="E334" s="2" t="s">
        <v>775</v>
      </c>
      <c r="F334" s="2" t="s">
        <v>2288</v>
      </c>
      <c r="G334" s="2" t="s">
        <v>2288</v>
      </c>
      <c r="H334" s="2" t="s">
        <v>2288</v>
      </c>
      <c r="I334" s="2" t="s">
        <v>2289</v>
      </c>
      <c r="J334" s="2" t="s">
        <v>2290</v>
      </c>
      <c r="K334" s="2" t="s">
        <v>305</v>
      </c>
      <c r="L334" s="3">
        <v>26.4</v>
      </c>
      <c r="M334" s="3">
        <v>27.72</v>
      </c>
      <c r="N334" s="3">
        <v>54.99</v>
      </c>
      <c r="O334" s="2" t="s">
        <v>240</v>
      </c>
      <c r="P334" s="2" t="s">
        <v>779</v>
      </c>
      <c r="Q334" s="2" t="s">
        <v>234</v>
      </c>
      <c r="R334" s="2" t="s">
        <v>228</v>
      </c>
      <c r="S334" s="2" t="s">
        <v>2291</v>
      </c>
      <c r="T334" s="2" t="s">
        <v>350</v>
      </c>
      <c r="U334" s="2" t="s">
        <v>1820</v>
      </c>
      <c r="V334" s="2" t="s">
        <v>236</v>
      </c>
      <c r="W334" s="2" t="s">
        <v>269</v>
      </c>
      <c r="X334" s="2" t="s">
        <v>228</v>
      </c>
      <c r="Y334" s="2" t="s">
        <v>2292</v>
      </c>
      <c r="Z334" s="4">
        <v>407</v>
      </c>
      <c r="AA334" s="4">
        <f>=ROUNDDOWN(15.6538461538462,0)</f>
      </c>
      <c r="AB334" s="5">
        <v>26</v>
      </c>
      <c r="AC334" s="2" t="s">
        <v>1492</v>
      </c>
      <c r="AD334" s="4">
        <v>480</v>
      </c>
      <c r="AE334" s="4">
        <v>1113</v>
      </c>
      <c r="AF334" s="6">
        <v>69</v>
      </c>
      <c r="AG334" s="6"/>
      <c r="AH334" s="7">
        <v>1</v>
      </c>
      <c r="AI334" s="4"/>
      <c r="AJ334" s="4">
        <f>=ROUNDDOWN({0},0)</f>
      </c>
      <c r="AK334" s="5"/>
      <c r="AL334" s="2" t="s">
        <v>228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 t="s">
        <v>228</v>
      </c>
      <c r="BD334" s="8" t="s">
        <v>228</v>
      </c>
      <c r="BE334" s="4" t="s">
        <v>228</v>
      </c>
      <c r="BF334" s="8" t="s">
        <v>228</v>
      </c>
      <c r="BG334" s="7" t="s">
        <v>228</v>
      </c>
      <c r="BH334" s="7" t="s">
        <v>228</v>
      </c>
      <c r="BI334" s="7"/>
      <c r="BJ334" s="4">
        <v>56</v>
      </c>
      <c r="BK334" s="8">
        <v>1604.08</v>
      </c>
      <c r="BL334" s="2" t="s">
        <v>2293</v>
      </c>
      <c r="BM334" s="7"/>
      <c r="BN334" s="7"/>
      <c r="BO334" s="4"/>
      <c r="BP334" s="8"/>
      <c r="BQ334" s="4"/>
      <c r="BR334" s="8"/>
      <c r="BS334" s="7"/>
      <c r="BT334" s="7"/>
      <c r="BU334" s="2" t="s">
        <v>2294</v>
      </c>
      <c r="BV334" s="2" t="s">
        <v>228</v>
      </c>
      <c r="BW334" s="2" t="s">
        <v>228</v>
      </c>
      <c r="BX334" s="2" t="s">
        <v>273</v>
      </c>
      <c r="BY334" s="2" t="s">
        <v>274</v>
      </c>
      <c r="BZ334" s="2" t="s">
        <v>240</v>
      </c>
      <c r="CA334" s="2" t="s">
        <v>2295</v>
      </c>
      <c r="CB334" s="2" t="s">
        <v>228</v>
      </c>
      <c r="CC334" s="2" t="s">
        <v>241</v>
      </c>
      <c r="CD334" s="2" t="s">
        <v>228</v>
      </c>
      <c r="CE334" s="4">
        <v>407</v>
      </c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>
        <v>480</v>
      </c>
      <c r="EN334" s="4"/>
      <c r="EO334" s="4"/>
      <c r="EP334" s="4"/>
      <c r="EQ334" s="4"/>
      <c r="ER334" s="4"/>
      <c r="ES334" s="4"/>
      <c r="ET334" s="4"/>
      <c r="EU334" s="4">
        <v>633</v>
      </c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</row>
    <row r="335">
      <c r="A335" s="2" t="s">
        <v>2296</v>
      </c>
      <c r="B335" s="2" t="s">
        <v>772</v>
      </c>
      <c r="C335" s="2" t="s">
        <v>1743</v>
      </c>
      <c r="D335" s="2" t="s">
        <v>774</v>
      </c>
      <c r="E335" s="2" t="s">
        <v>775</v>
      </c>
      <c r="F335" s="2" t="s">
        <v>2288</v>
      </c>
      <c r="G335" s="2" t="s">
        <v>2288</v>
      </c>
      <c r="H335" s="2" t="s">
        <v>2288</v>
      </c>
      <c r="I335" s="2" t="s">
        <v>2289</v>
      </c>
      <c r="J335" s="2" t="s">
        <v>2290</v>
      </c>
      <c r="K335" s="2" t="s">
        <v>249</v>
      </c>
      <c r="L335" s="3">
        <v>26.4</v>
      </c>
      <c r="M335" s="3">
        <v>27.72</v>
      </c>
      <c r="N335" s="3">
        <v>54.99</v>
      </c>
      <c r="O335" s="2" t="s">
        <v>240</v>
      </c>
      <c r="P335" s="2" t="s">
        <v>889</v>
      </c>
      <c r="Q335" s="2" t="s">
        <v>234</v>
      </c>
      <c r="R335" s="2" t="s">
        <v>228</v>
      </c>
      <c r="S335" s="2" t="s">
        <v>2297</v>
      </c>
      <c r="T335" s="2" t="s">
        <v>350</v>
      </c>
      <c r="U335" s="2" t="s">
        <v>1820</v>
      </c>
      <c r="V335" s="2" t="s">
        <v>236</v>
      </c>
      <c r="W335" s="2" t="s">
        <v>269</v>
      </c>
      <c r="X335" s="2" t="s">
        <v>228</v>
      </c>
      <c r="Y335" s="2" t="s">
        <v>1385</v>
      </c>
      <c r="Z335" s="4">
        <v>1099</v>
      </c>
      <c r="AA335" s="4">
        <f>=ROUNDDOWN(20.3518518518519,0)</f>
      </c>
      <c r="AB335" s="5">
        <v>54</v>
      </c>
      <c r="AC335" s="2" t="s">
        <v>1492</v>
      </c>
      <c r="AD335" s="4">
        <v>330</v>
      </c>
      <c r="AE335" s="4">
        <v>1482</v>
      </c>
      <c r="AF335" s="6">
        <v>69</v>
      </c>
      <c r="AG335" s="6"/>
      <c r="AH335" s="7">
        <v>1</v>
      </c>
      <c r="AI335" s="4"/>
      <c r="AJ335" s="4">
        <f>=ROUNDDOWN({0},0)</f>
      </c>
      <c r="AK335" s="5"/>
      <c r="AL335" s="2" t="s">
        <v>228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 t="s">
        <v>228</v>
      </c>
      <c r="BD335" s="8" t="s">
        <v>228</v>
      </c>
      <c r="BE335" s="4" t="s">
        <v>228</v>
      </c>
      <c r="BF335" s="8" t="s">
        <v>228</v>
      </c>
      <c r="BG335" s="7" t="s">
        <v>228</v>
      </c>
      <c r="BH335" s="7" t="s">
        <v>228</v>
      </c>
      <c r="BI335" s="7"/>
      <c r="BJ335" s="4">
        <v>141</v>
      </c>
      <c r="BK335" s="8">
        <v>4023.66</v>
      </c>
      <c r="BL335" s="2" t="s">
        <v>2298</v>
      </c>
      <c r="BM335" s="7"/>
      <c r="BN335" s="7"/>
      <c r="BO335" s="4"/>
      <c r="BP335" s="8"/>
      <c r="BQ335" s="4"/>
      <c r="BR335" s="8"/>
      <c r="BS335" s="7"/>
      <c r="BT335" s="7"/>
      <c r="BU335" s="2" t="s">
        <v>2299</v>
      </c>
      <c r="BV335" s="2" t="s">
        <v>228</v>
      </c>
      <c r="BW335" s="2" t="s">
        <v>228</v>
      </c>
      <c r="BX335" s="2" t="s">
        <v>273</v>
      </c>
      <c r="BY335" s="2" t="s">
        <v>274</v>
      </c>
      <c r="BZ335" s="2" t="s">
        <v>240</v>
      </c>
      <c r="CA335" s="2" t="s">
        <v>2300</v>
      </c>
      <c r="CB335" s="2" t="s">
        <v>2301</v>
      </c>
      <c r="CC335" s="2" t="s">
        <v>241</v>
      </c>
      <c r="CD335" s="2" t="s">
        <v>228</v>
      </c>
      <c r="CE335" s="4">
        <v>1099</v>
      </c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>
        <v>330</v>
      </c>
      <c r="EN335" s="4"/>
      <c r="EO335" s="4"/>
      <c r="EP335" s="4"/>
      <c r="EQ335" s="4"/>
      <c r="ER335" s="4"/>
      <c r="ES335" s="4"/>
      <c r="ET335" s="4"/>
      <c r="EU335" s="4">
        <v>400</v>
      </c>
      <c r="EV335" s="4"/>
      <c r="EW335" s="4"/>
      <c r="EX335" s="4"/>
      <c r="EY335" s="4"/>
      <c r="EZ335" s="4"/>
      <c r="FA335" s="4"/>
      <c r="FB335" s="4"/>
      <c r="FC335" s="4"/>
      <c r="FD335" s="4">
        <v>152</v>
      </c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>
        <v>600</v>
      </c>
    </row>
    <row r="336">
      <c r="A336" s="2" t="s">
        <v>2302</v>
      </c>
      <c r="B336" s="2" t="s">
        <v>772</v>
      </c>
      <c r="C336" s="2" t="s">
        <v>1743</v>
      </c>
      <c r="D336" s="2" t="s">
        <v>774</v>
      </c>
      <c r="E336" s="2" t="s">
        <v>775</v>
      </c>
      <c r="F336" s="2" t="s">
        <v>2288</v>
      </c>
      <c r="G336" s="2" t="s">
        <v>2288</v>
      </c>
      <c r="H336" s="2" t="s">
        <v>2288</v>
      </c>
      <c r="I336" s="2" t="s">
        <v>2289</v>
      </c>
      <c r="J336" s="2" t="s">
        <v>2290</v>
      </c>
      <c r="K336" s="2" t="s">
        <v>2303</v>
      </c>
      <c r="L336" s="3">
        <v>26.4</v>
      </c>
      <c r="M336" s="3">
        <v>27.72</v>
      </c>
      <c r="N336" s="3">
        <v>54.99</v>
      </c>
      <c r="O336" s="2" t="s">
        <v>240</v>
      </c>
      <c r="P336" s="2" t="s">
        <v>889</v>
      </c>
      <c r="Q336" s="2" t="s">
        <v>234</v>
      </c>
      <c r="R336" s="2" t="s">
        <v>228</v>
      </c>
      <c r="S336" s="2" t="s">
        <v>2304</v>
      </c>
      <c r="T336" s="2" t="s">
        <v>350</v>
      </c>
      <c r="U336" s="2" t="s">
        <v>1820</v>
      </c>
      <c r="V336" s="2" t="s">
        <v>236</v>
      </c>
      <c r="W336" s="2" t="s">
        <v>269</v>
      </c>
      <c r="X336" s="2" t="s">
        <v>228</v>
      </c>
      <c r="Y336" s="2" t="s">
        <v>1385</v>
      </c>
      <c r="Z336" s="4">
        <v>553</v>
      </c>
      <c r="AA336" s="4">
        <f>=ROUNDDOWN(11.7659574468085,0)</f>
      </c>
      <c r="AB336" s="5">
        <v>47</v>
      </c>
      <c r="AC336" s="2" t="s">
        <v>2305</v>
      </c>
      <c r="AD336" s="4">
        <v>500</v>
      </c>
      <c r="AE336" s="4">
        <v>1780</v>
      </c>
      <c r="AF336" s="6">
        <v>69</v>
      </c>
      <c r="AG336" s="6"/>
      <c r="AH336" s="7">
        <v>1</v>
      </c>
      <c r="AI336" s="4"/>
      <c r="AJ336" s="4">
        <f>=ROUNDDOWN({0},0)</f>
      </c>
      <c r="AK336" s="5"/>
      <c r="AL336" s="2" t="s">
        <v>228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 t="s">
        <v>228</v>
      </c>
      <c r="BD336" s="8" t="s">
        <v>228</v>
      </c>
      <c r="BE336" s="4" t="s">
        <v>228</v>
      </c>
      <c r="BF336" s="8" t="s">
        <v>228</v>
      </c>
      <c r="BG336" s="7" t="s">
        <v>228</v>
      </c>
      <c r="BH336" s="7" t="s">
        <v>228</v>
      </c>
      <c r="BI336" s="7"/>
      <c r="BJ336" s="4">
        <v>107</v>
      </c>
      <c r="BK336" s="8">
        <v>3033.41</v>
      </c>
      <c r="BL336" s="2" t="s">
        <v>2306</v>
      </c>
      <c r="BM336" s="7"/>
      <c r="BN336" s="7"/>
      <c r="BO336" s="4"/>
      <c r="BP336" s="8"/>
      <c r="BQ336" s="4"/>
      <c r="BR336" s="8"/>
      <c r="BS336" s="7"/>
      <c r="BT336" s="7"/>
      <c r="BU336" s="2" t="s">
        <v>2307</v>
      </c>
      <c r="BV336" s="2" t="s">
        <v>228</v>
      </c>
      <c r="BW336" s="2" t="s">
        <v>228</v>
      </c>
      <c r="BX336" s="2" t="s">
        <v>273</v>
      </c>
      <c r="BY336" s="2" t="s">
        <v>274</v>
      </c>
      <c r="BZ336" s="2" t="s">
        <v>240</v>
      </c>
      <c r="CA336" s="2" t="s">
        <v>2300</v>
      </c>
      <c r="CB336" s="2" t="s">
        <v>2308</v>
      </c>
      <c r="CC336" s="2" t="s">
        <v>241</v>
      </c>
      <c r="CD336" s="2" t="s">
        <v>228</v>
      </c>
      <c r="CE336" s="4">
        <v>553</v>
      </c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>
        <v>500</v>
      </c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>
        <v>480</v>
      </c>
      <c r="EN336" s="4"/>
      <c r="EO336" s="4"/>
      <c r="EP336" s="4"/>
      <c r="EQ336" s="4"/>
      <c r="ER336" s="4"/>
      <c r="ES336" s="4"/>
      <c r="ET336" s="4"/>
      <c r="EU336" s="4">
        <v>800</v>
      </c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</row>
    <row r="337">
      <c r="A337" s="2" t="s">
        <v>2309</v>
      </c>
      <c r="B337" s="2" t="s">
        <v>772</v>
      </c>
      <c r="C337" s="2" t="s">
        <v>1743</v>
      </c>
      <c r="D337" s="2" t="s">
        <v>774</v>
      </c>
      <c r="E337" s="2" t="s">
        <v>775</v>
      </c>
      <c r="F337" s="2" t="s">
        <v>2288</v>
      </c>
      <c r="G337" s="2" t="s">
        <v>2288</v>
      </c>
      <c r="H337" s="2" t="s">
        <v>2288</v>
      </c>
      <c r="I337" s="2" t="s">
        <v>2289</v>
      </c>
      <c r="J337" s="2" t="s">
        <v>2290</v>
      </c>
      <c r="K337" s="2" t="s">
        <v>316</v>
      </c>
      <c r="L337" s="3">
        <v>26.4</v>
      </c>
      <c r="M337" s="3">
        <v>27.72</v>
      </c>
      <c r="N337" s="3">
        <v>54.99</v>
      </c>
      <c r="O337" s="2" t="s">
        <v>240</v>
      </c>
      <c r="P337" s="2" t="s">
        <v>889</v>
      </c>
      <c r="Q337" s="2" t="s">
        <v>234</v>
      </c>
      <c r="R337" s="2" t="s">
        <v>228</v>
      </c>
      <c r="S337" s="2" t="s">
        <v>2310</v>
      </c>
      <c r="T337" s="2" t="s">
        <v>350</v>
      </c>
      <c r="U337" s="2" t="s">
        <v>1820</v>
      </c>
      <c r="V337" s="2" t="s">
        <v>236</v>
      </c>
      <c r="W337" s="2" t="s">
        <v>269</v>
      </c>
      <c r="X337" s="2" t="s">
        <v>228</v>
      </c>
      <c r="Y337" s="2" t="s">
        <v>1385</v>
      </c>
      <c r="Z337" s="4">
        <v>1071</v>
      </c>
      <c r="AA337" s="4">
        <f>=ROUNDDOWN(24.3409090909091,0)</f>
      </c>
      <c r="AB337" s="5">
        <v>44</v>
      </c>
      <c r="AC337" s="2" t="s">
        <v>1492</v>
      </c>
      <c r="AD337" s="4">
        <v>652</v>
      </c>
      <c r="AE337" s="4">
        <v>1030</v>
      </c>
      <c r="AF337" s="6">
        <v>69</v>
      </c>
      <c r="AG337" s="6"/>
      <c r="AH337" s="7">
        <v>1</v>
      </c>
      <c r="AI337" s="4"/>
      <c r="AJ337" s="4">
        <f>=ROUNDDOWN({0},0)</f>
      </c>
      <c r="AK337" s="5"/>
      <c r="AL337" s="2" t="s">
        <v>228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 t="s">
        <v>228</v>
      </c>
      <c r="BD337" s="8" t="s">
        <v>228</v>
      </c>
      <c r="BE337" s="4" t="s">
        <v>228</v>
      </c>
      <c r="BF337" s="8" t="s">
        <v>228</v>
      </c>
      <c r="BG337" s="7" t="s">
        <v>228</v>
      </c>
      <c r="BH337" s="7" t="s">
        <v>228</v>
      </c>
      <c r="BI337" s="7"/>
      <c r="BJ337" s="4">
        <v>147</v>
      </c>
      <c r="BK337" s="8">
        <v>4262.36</v>
      </c>
      <c r="BL337" s="2" t="s">
        <v>2311</v>
      </c>
      <c r="BM337" s="7"/>
      <c r="BN337" s="7"/>
      <c r="BO337" s="4"/>
      <c r="BP337" s="8"/>
      <c r="BQ337" s="4"/>
      <c r="BR337" s="8"/>
      <c r="BS337" s="7"/>
      <c r="BT337" s="7"/>
      <c r="BU337" s="2" t="s">
        <v>2312</v>
      </c>
      <c r="BV337" s="2" t="s">
        <v>228</v>
      </c>
      <c r="BW337" s="2" t="s">
        <v>228</v>
      </c>
      <c r="BX337" s="2" t="s">
        <v>273</v>
      </c>
      <c r="BY337" s="2" t="s">
        <v>274</v>
      </c>
      <c r="BZ337" s="2" t="s">
        <v>240</v>
      </c>
      <c r="CA337" s="2" t="s">
        <v>2300</v>
      </c>
      <c r="CB337" s="2" t="s">
        <v>2313</v>
      </c>
      <c r="CC337" s="2" t="s">
        <v>241</v>
      </c>
      <c r="CD337" s="2" t="s">
        <v>228</v>
      </c>
      <c r="CE337" s="4">
        <v>1071</v>
      </c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>
        <v>652</v>
      </c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>
        <v>278</v>
      </c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>
        <v>100</v>
      </c>
    </row>
    <row r="338">
      <c r="A338" s="2" t="s">
        <v>2314</v>
      </c>
      <c r="B338" s="2" t="s">
        <v>1150</v>
      </c>
      <c r="C338" s="2" t="s">
        <v>1861</v>
      </c>
      <c r="D338" s="2" t="s">
        <v>1862</v>
      </c>
      <c r="E338" s="2" t="s">
        <v>1863</v>
      </c>
      <c r="F338" s="2" t="s">
        <v>2315</v>
      </c>
      <c r="G338" s="2" t="s">
        <v>2315</v>
      </c>
      <c r="H338" s="2" t="s">
        <v>2315</v>
      </c>
      <c r="I338" s="2" t="s">
        <v>2316</v>
      </c>
      <c r="J338" s="2" t="s">
        <v>2317</v>
      </c>
      <c r="K338" s="2" t="s">
        <v>1421</v>
      </c>
      <c r="L338" s="3">
        <v>24.76</v>
      </c>
      <c r="M338" s="3">
        <v>26</v>
      </c>
      <c r="N338" s="3">
        <v>79.99</v>
      </c>
      <c r="O338" s="2" t="s">
        <v>240</v>
      </c>
      <c r="P338" s="2" t="s">
        <v>922</v>
      </c>
      <c r="Q338" s="2" t="s">
        <v>234</v>
      </c>
      <c r="R338" s="2" t="s">
        <v>228</v>
      </c>
      <c r="S338" s="2" t="s">
        <v>228</v>
      </c>
      <c r="T338" s="2" t="s">
        <v>228</v>
      </c>
      <c r="U338" s="2" t="s">
        <v>416</v>
      </c>
      <c r="V338" s="2" t="s">
        <v>1737</v>
      </c>
      <c r="W338" s="2" t="s">
        <v>743</v>
      </c>
      <c r="X338" s="2" t="s">
        <v>228</v>
      </c>
      <c r="Y338" s="2" t="s">
        <v>1520</v>
      </c>
      <c r="Z338" s="4">
        <v>48</v>
      </c>
      <c r="AA338" s="4">
        <f>=ROUNDDOWN(12,0)</f>
      </c>
      <c r="AB338" s="5">
        <v>4</v>
      </c>
      <c r="AC338" s="2" t="s">
        <v>228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228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 t="s">
        <v>228</v>
      </c>
      <c r="BD338" s="8" t="s">
        <v>228</v>
      </c>
      <c r="BE338" s="4" t="s">
        <v>228</v>
      </c>
      <c r="BF338" s="8" t="s">
        <v>228</v>
      </c>
      <c r="BG338" s="7" t="s">
        <v>228</v>
      </c>
      <c r="BH338" s="7" t="s">
        <v>228</v>
      </c>
      <c r="BI338" s="7"/>
      <c r="BJ338" s="4">
        <v>19</v>
      </c>
      <c r="BK338" s="8">
        <v>537.94</v>
      </c>
      <c r="BL338" s="2" t="s">
        <v>2318</v>
      </c>
      <c r="BM338" s="7"/>
      <c r="BN338" s="7"/>
      <c r="BO338" s="4"/>
      <c r="BP338" s="8"/>
      <c r="BQ338" s="4"/>
      <c r="BR338" s="8"/>
      <c r="BS338" s="7"/>
      <c r="BT338" s="7"/>
      <c r="BU338" s="2" t="s">
        <v>2319</v>
      </c>
      <c r="BV338" s="2" t="s">
        <v>228</v>
      </c>
      <c r="BW338" s="2" t="s">
        <v>228</v>
      </c>
      <c r="BX338" s="2" t="s">
        <v>337</v>
      </c>
      <c r="BY338" s="2" t="s">
        <v>274</v>
      </c>
      <c r="BZ338" s="2" t="s">
        <v>240</v>
      </c>
      <c r="CA338" s="2" t="s">
        <v>1469</v>
      </c>
      <c r="CB338" s="2" t="s">
        <v>1869</v>
      </c>
      <c r="CC338" s="2" t="s">
        <v>241</v>
      </c>
      <c r="CD338" s="2" t="s">
        <v>228</v>
      </c>
      <c r="CE338" s="4">
        <v>48</v>
      </c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</row>
    <row r="339">
      <c r="A339" s="2" t="s">
        <v>2320</v>
      </c>
      <c r="B339" s="2" t="s">
        <v>1150</v>
      </c>
      <c r="C339" s="2" t="s">
        <v>1861</v>
      </c>
      <c r="D339" s="2" t="s">
        <v>1862</v>
      </c>
      <c r="E339" s="2" t="s">
        <v>1863</v>
      </c>
      <c r="F339" s="2" t="s">
        <v>2315</v>
      </c>
      <c r="G339" s="2" t="s">
        <v>2315</v>
      </c>
      <c r="H339" s="2" t="s">
        <v>2315</v>
      </c>
      <c r="I339" s="2" t="s">
        <v>2316</v>
      </c>
      <c r="J339" s="2" t="s">
        <v>2317</v>
      </c>
      <c r="K339" s="2" t="s">
        <v>1960</v>
      </c>
      <c r="L339" s="3">
        <v>24.76</v>
      </c>
      <c r="M339" s="3">
        <v>26</v>
      </c>
      <c r="N339" s="3">
        <v>79.99</v>
      </c>
      <c r="O339" s="2" t="s">
        <v>240</v>
      </c>
      <c r="P339" s="2" t="s">
        <v>922</v>
      </c>
      <c r="Q339" s="2" t="s">
        <v>234</v>
      </c>
      <c r="R339" s="2" t="s">
        <v>228</v>
      </c>
      <c r="S339" s="2" t="s">
        <v>228</v>
      </c>
      <c r="T339" s="2" t="s">
        <v>228</v>
      </c>
      <c r="U339" s="2" t="s">
        <v>416</v>
      </c>
      <c r="V339" s="2" t="s">
        <v>1737</v>
      </c>
      <c r="W339" s="2" t="s">
        <v>743</v>
      </c>
      <c r="X339" s="2" t="s">
        <v>228</v>
      </c>
      <c r="Y339" s="2" t="s">
        <v>1520</v>
      </c>
      <c r="Z339" s="4">
        <v>6</v>
      </c>
      <c r="AA339" s="4">
        <f>=ROUNDDOWN(6,0)</f>
      </c>
      <c r="AB339" s="5">
        <v>1</v>
      </c>
      <c r="AC339" s="2" t="s">
        <v>228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228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 t="s">
        <v>228</v>
      </c>
      <c r="BD339" s="8" t="s">
        <v>228</v>
      </c>
      <c r="BE339" s="4" t="s">
        <v>228</v>
      </c>
      <c r="BF339" s="8" t="s">
        <v>228</v>
      </c>
      <c r="BG339" s="7" t="s">
        <v>228</v>
      </c>
      <c r="BH339" s="7" t="s">
        <v>228</v>
      </c>
      <c r="BI339" s="7"/>
      <c r="BJ339" s="4">
        <v>22</v>
      </c>
      <c r="BK339" s="8">
        <v>685.1</v>
      </c>
      <c r="BL339" s="2" t="s">
        <v>2321</v>
      </c>
      <c r="BM339" s="7"/>
      <c r="BN339" s="7"/>
      <c r="BO339" s="4"/>
      <c r="BP339" s="8"/>
      <c r="BQ339" s="4"/>
      <c r="BR339" s="8"/>
      <c r="BS339" s="7"/>
      <c r="BT339" s="7"/>
      <c r="BU339" s="2" t="s">
        <v>2322</v>
      </c>
      <c r="BV339" s="2" t="s">
        <v>228</v>
      </c>
      <c r="BW339" s="2" t="s">
        <v>228</v>
      </c>
      <c r="BX339" s="2" t="s">
        <v>337</v>
      </c>
      <c r="BY339" s="2" t="s">
        <v>274</v>
      </c>
      <c r="BZ339" s="2" t="s">
        <v>240</v>
      </c>
      <c r="CA339" s="2" t="s">
        <v>1469</v>
      </c>
      <c r="CB339" s="2" t="s">
        <v>2323</v>
      </c>
      <c r="CC339" s="2" t="s">
        <v>241</v>
      </c>
      <c r="CD339" s="2" t="s">
        <v>228</v>
      </c>
      <c r="CE339" s="4">
        <v>6</v>
      </c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</row>
    <row r="340">
      <c r="A340" s="2" t="s">
        <v>2324</v>
      </c>
      <c r="B340" s="2" t="s">
        <v>1150</v>
      </c>
      <c r="C340" s="2" t="s">
        <v>1861</v>
      </c>
      <c r="D340" s="2" t="s">
        <v>1862</v>
      </c>
      <c r="E340" s="2" t="s">
        <v>1863</v>
      </c>
      <c r="F340" s="2" t="s">
        <v>2315</v>
      </c>
      <c r="G340" s="2" t="s">
        <v>2315</v>
      </c>
      <c r="H340" s="2" t="s">
        <v>2315</v>
      </c>
      <c r="I340" s="2" t="s">
        <v>2316</v>
      </c>
      <c r="J340" s="2" t="s">
        <v>2317</v>
      </c>
      <c r="K340" s="2" t="s">
        <v>912</v>
      </c>
      <c r="L340" s="3">
        <v>24.76</v>
      </c>
      <c r="M340" s="3">
        <v>26</v>
      </c>
      <c r="N340" s="3">
        <v>79.99</v>
      </c>
      <c r="O340" s="2" t="s">
        <v>240</v>
      </c>
      <c r="P340" s="2" t="s">
        <v>1012</v>
      </c>
      <c r="Q340" s="2" t="s">
        <v>234</v>
      </c>
      <c r="R340" s="2" t="s">
        <v>228</v>
      </c>
      <c r="S340" s="2" t="s">
        <v>228</v>
      </c>
      <c r="T340" s="2" t="s">
        <v>228</v>
      </c>
      <c r="U340" s="2" t="s">
        <v>416</v>
      </c>
      <c r="V340" s="2" t="s">
        <v>1737</v>
      </c>
      <c r="W340" s="2" t="s">
        <v>743</v>
      </c>
      <c r="X340" s="2" t="s">
        <v>228</v>
      </c>
      <c r="Y340" s="2" t="s">
        <v>1520</v>
      </c>
      <c r="Z340" s="4">
        <v>156</v>
      </c>
      <c r="AA340" s="4">
        <f>=ROUNDDOWN(39,0)</f>
      </c>
      <c r="AB340" s="5">
        <v>4</v>
      </c>
      <c r="AC340" s="2" t="s">
        <v>228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228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 t="s">
        <v>228</v>
      </c>
      <c r="BD340" s="8" t="s">
        <v>228</v>
      </c>
      <c r="BE340" s="4" t="s">
        <v>228</v>
      </c>
      <c r="BF340" s="8" t="s">
        <v>228</v>
      </c>
      <c r="BG340" s="7" t="s">
        <v>228</v>
      </c>
      <c r="BH340" s="7" t="s">
        <v>228</v>
      </c>
      <c r="BI340" s="7"/>
      <c r="BJ340" s="4">
        <v>3</v>
      </c>
      <c r="BK340" s="8">
        <v>122.59</v>
      </c>
      <c r="BL340" s="2" t="s">
        <v>1968</v>
      </c>
      <c r="BM340" s="7"/>
      <c r="BN340" s="7"/>
      <c r="BO340" s="4"/>
      <c r="BP340" s="8"/>
      <c r="BQ340" s="4"/>
      <c r="BR340" s="8"/>
      <c r="BS340" s="7"/>
      <c r="BT340" s="7"/>
      <c r="BU340" s="2" t="s">
        <v>2325</v>
      </c>
      <c r="BV340" s="2" t="s">
        <v>228</v>
      </c>
      <c r="BW340" s="2" t="s">
        <v>228</v>
      </c>
      <c r="BX340" s="2" t="s">
        <v>273</v>
      </c>
      <c r="BY340" s="2" t="s">
        <v>274</v>
      </c>
      <c r="BZ340" s="2" t="s">
        <v>240</v>
      </c>
      <c r="CA340" s="2" t="s">
        <v>1469</v>
      </c>
      <c r="CB340" s="2" t="s">
        <v>846</v>
      </c>
      <c r="CC340" s="2" t="s">
        <v>241</v>
      </c>
      <c r="CD340" s="2" t="s">
        <v>228</v>
      </c>
      <c r="CE340" s="4">
        <v>156</v>
      </c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</row>
    <row r="341">
      <c r="A341" s="2" t="s">
        <v>2326</v>
      </c>
      <c r="B341" s="2" t="s">
        <v>1150</v>
      </c>
      <c r="C341" s="2" t="s">
        <v>1861</v>
      </c>
      <c r="D341" s="2" t="s">
        <v>1862</v>
      </c>
      <c r="E341" s="2" t="s">
        <v>1863</v>
      </c>
      <c r="F341" s="2" t="s">
        <v>2315</v>
      </c>
      <c r="G341" s="2" t="s">
        <v>2315</v>
      </c>
      <c r="H341" s="2" t="s">
        <v>2315</v>
      </c>
      <c r="I341" s="2" t="s">
        <v>2316</v>
      </c>
      <c r="J341" s="2" t="s">
        <v>2317</v>
      </c>
      <c r="K341" s="2" t="s">
        <v>823</v>
      </c>
      <c r="L341" s="3">
        <v>24.76</v>
      </c>
      <c r="M341" s="3">
        <v>26</v>
      </c>
      <c r="N341" s="3">
        <v>79.99</v>
      </c>
      <c r="O341" s="2" t="s">
        <v>240</v>
      </c>
      <c r="P341" s="2" t="s">
        <v>1012</v>
      </c>
      <c r="Q341" s="2" t="s">
        <v>234</v>
      </c>
      <c r="R341" s="2" t="s">
        <v>228</v>
      </c>
      <c r="S341" s="2" t="s">
        <v>228</v>
      </c>
      <c r="T341" s="2" t="s">
        <v>228</v>
      </c>
      <c r="U341" s="2" t="s">
        <v>416</v>
      </c>
      <c r="V341" s="2" t="s">
        <v>1737</v>
      </c>
      <c r="W341" s="2" t="s">
        <v>743</v>
      </c>
      <c r="X341" s="2" t="s">
        <v>228</v>
      </c>
      <c r="Y341" s="2" t="s">
        <v>1520</v>
      </c>
      <c r="Z341" s="4">
        <v>163</v>
      </c>
      <c r="AA341" s="4">
        <f>=ROUNDDOWN(54.3333333333333,0)</f>
      </c>
      <c r="AB341" s="5">
        <v>3</v>
      </c>
      <c r="AC341" s="2" t="s">
        <v>228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228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 t="s">
        <v>228</v>
      </c>
      <c r="BD341" s="8" t="s">
        <v>228</v>
      </c>
      <c r="BE341" s="4" t="s">
        <v>228</v>
      </c>
      <c r="BF341" s="8" t="s">
        <v>228</v>
      </c>
      <c r="BG341" s="7" t="s">
        <v>228</v>
      </c>
      <c r="BH341" s="7" t="s">
        <v>228</v>
      </c>
      <c r="BI341" s="7"/>
      <c r="BJ341" s="4">
        <v>11</v>
      </c>
      <c r="BK341" s="8">
        <v>346.45</v>
      </c>
      <c r="BL341" s="2" t="s">
        <v>2327</v>
      </c>
      <c r="BM341" s="7"/>
      <c r="BN341" s="7"/>
      <c r="BO341" s="4"/>
      <c r="BP341" s="8"/>
      <c r="BQ341" s="4"/>
      <c r="BR341" s="8"/>
      <c r="BS341" s="7"/>
      <c r="BT341" s="7"/>
      <c r="BU341" s="2" t="s">
        <v>2328</v>
      </c>
      <c r="BV341" s="2" t="s">
        <v>228</v>
      </c>
      <c r="BW341" s="2" t="s">
        <v>228</v>
      </c>
      <c r="BX341" s="2" t="s">
        <v>273</v>
      </c>
      <c r="BY341" s="2" t="s">
        <v>274</v>
      </c>
      <c r="BZ341" s="2" t="s">
        <v>240</v>
      </c>
      <c r="CA341" s="2" t="s">
        <v>1469</v>
      </c>
      <c r="CB341" s="2" t="s">
        <v>2226</v>
      </c>
      <c r="CC341" s="2" t="s">
        <v>241</v>
      </c>
      <c r="CD341" s="2" t="s">
        <v>228</v>
      </c>
      <c r="CE341" s="4">
        <v>163</v>
      </c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</row>
    <row r="342">
      <c r="A342" s="2" t="s">
        <v>2329</v>
      </c>
      <c r="B342" s="2" t="s">
        <v>223</v>
      </c>
      <c r="C342" s="2" t="s">
        <v>300</v>
      </c>
      <c r="D342" s="2" t="s">
        <v>1112</v>
      </c>
      <c r="E342" s="2" t="s">
        <v>1113</v>
      </c>
      <c r="F342" s="2" t="s">
        <v>2330</v>
      </c>
      <c r="G342" s="2" t="s">
        <v>2331</v>
      </c>
      <c r="H342" s="2" t="s">
        <v>2331</v>
      </c>
      <c r="I342" s="2" t="s">
        <v>2332</v>
      </c>
      <c r="J342" s="2" t="s">
        <v>1189</v>
      </c>
      <c r="K342" s="2" t="s">
        <v>249</v>
      </c>
      <c r="L342" s="3">
        <v>52.38</v>
      </c>
      <c r="M342" s="3">
        <v>55</v>
      </c>
      <c r="N342" s="3">
        <v>109.99</v>
      </c>
      <c r="O342" s="2" t="s">
        <v>240</v>
      </c>
      <c r="P342" s="2" t="s">
        <v>266</v>
      </c>
      <c r="Q342" s="2" t="s">
        <v>234</v>
      </c>
      <c r="R342" s="2" t="s">
        <v>228</v>
      </c>
      <c r="S342" s="2" t="s">
        <v>2333</v>
      </c>
      <c r="T342" s="2" t="s">
        <v>1608</v>
      </c>
      <c r="U342" s="2" t="s">
        <v>500</v>
      </c>
      <c r="V342" s="2" t="s">
        <v>236</v>
      </c>
      <c r="W342" s="2" t="s">
        <v>309</v>
      </c>
      <c r="X342" s="2" t="s">
        <v>269</v>
      </c>
      <c r="Y342" s="2" t="s">
        <v>2334</v>
      </c>
      <c r="Z342" s="4">
        <v>305</v>
      </c>
      <c r="AA342" s="4">
        <f>=ROUNDDOWN(76.25,0)</f>
      </c>
      <c r="AB342" s="5">
        <v>4</v>
      </c>
      <c r="AC342" s="2" t="s">
        <v>162</v>
      </c>
      <c r="AD342" s="4">
        <v>50</v>
      </c>
      <c r="AE342" s="4">
        <v>50</v>
      </c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228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228</v>
      </c>
      <c r="AW342" s="8" t="s">
        <v>228</v>
      </c>
      <c r="AX342" s="4" t="s">
        <v>228</v>
      </c>
      <c r="AY342" s="8" t="s">
        <v>228</v>
      </c>
      <c r="AZ342" s="7" t="s">
        <v>228</v>
      </c>
      <c r="BA342" s="7" t="s">
        <v>228</v>
      </c>
      <c r="BB342" s="7"/>
      <c r="BC342" s="4" t="s">
        <v>228</v>
      </c>
      <c r="BD342" s="8" t="s">
        <v>228</v>
      </c>
      <c r="BE342" s="4" t="s">
        <v>228</v>
      </c>
      <c r="BF342" s="8" t="s">
        <v>228</v>
      </c>
      <c r="BG342" s="7" t="s">
        <v>228</v>
      </c>
      <c r="BH342" s="7" t="s">
        <v>228</v>
      </c>
      <c r="BI342" s="7"/>
      <c r="BJ342" s="4">
        <v>9</v>
      </c>
      <c r="BK342" s="8">
        <v>524.15</v>
      </c>
      <c r="BL342" s="2" t="s">
        <v>1482</v>
      </c>
      <c r="BM342" s="7"/>
      <c r="BN342" s="7"/>
      <c r="BO342" s="4"/>
      <c r="BP342" s="8"/>
      <c r="BQ342" s="4"/>
      <c r="BR342" s="8"/>
      <c r="BS342" s="7"/>
      <c r="BT342" s="7"/>
      <c r="BU342" s="2" t="s">
        <v>2335</v>
      </c>
      <c r="BV342" s="2" t="s">
        <v>228</v>
      </c>
      <c r="BW342" s="2" t="s">
        <v>228</v>
      </c>
      <c r="BX342" s="2" t="s">
        <v>273</v>
      </c>
      <c r="BY342" s="2" t="s">
        <v>274</v>
      </c>
      <c r="BZ342" s="2" t="s">
        <v>240</v>
      </c>
      <c r="CA342" s="2" t="s">
        <v>2336</v>
      </c>
      <c r="CB342" s="2" t="s">
        <v>2337</v>
      </c>
      <c r="CC342" s="2" t="s">
        <v>241</v>
      </c>
      <c r="CD342" s="2" t="s">
        <v>228</v>
      </c>
      <c r="CE342" s="4">
        <v>305</v>
      </c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>
        <v>50</v>
      </c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</row>
    <row r="343">
      <c r="A343" s="2" t="s">
        <v>2338</v>
      </c>
      <c r="B343" s="2" t="s">
        <v>223</v>
      </c>
      <c r="C343" s="2" t="s">
        <v>300</v>
      </c>
      <c r="D343" s="2" t="s">
        <v>1112</v>
      </c>
      <c r="E343" s="2" t="s">
        <v>1113</v>
      </c>
      <c r="F343" s="2" t="s">
        <v>2330</v>
      </c>
      <c r="G343" s="2" t="s">
        <v>2331</v>
      </c>
      <c r="H343" s="2" t="s">
        <v>2331</v>
      </c>
      <c r="I343" s="2" t="s">
        <v>2332</v>
      </c>
      <c r="J343" s="2" t="s">
        <v>1043</v>
      </c>
      <c r="K343" s="2" t="s">
        <v>249</v>
      </c>
      <c r="L343" s="3">
        <v>61.9</v>
      </c>
      <c r="M343" s="3">
        <v>65</v>
      </c>
      <c r="N343" s="3">
        <v>129.99</v>
      </c>
      <c r="O343" s="2" t="s">
        <v>240</v>
      </c>
      <c r="P343" s="2" t="s">
        <v>266</v>
      </c>
      <c r="Q343" s="2" t="s">
        <v>234</v>
      </c>
      <c r="R343" s="2" t="s">
        <v>228</v>
      </c>
      <c r="S343" s="2" t="s">
        <v>2333</v>
      </c>
      <c r="T343" s="2" t="s">
        <v>1608</v>
      </c>
      <c r="U343" s="2" t="s">
        <v>500</v>
      </c>
      <c r="V343" s="2" t="s">
        <v>236</v>
      </c>
      <c r="W343" s="2" t="s">
        <v>309</v>
      </c>
      <c r="X343" s="2" t="s">
        <v>269</v>
      </c>
      <c r="Y343" s="2" t="s">
        <v>2334</v>
      </c>
      <c r="Z343" s="4">
        <v>142</v>
      </c>
      <c r="AA343" s="4">
        <f>=ROUNDDOWN(35.5,0)</f>
      </c>
      <c r="AB343" s="5">
        <v>4</v>
      </c>
      <c r="AC343" s="2" t="s">
        <v>162</v>
      </c>
      <c r="AD343" s="4">
        <v>200</v>
      </c>
      <c r="AE343" s="4">
        <v>200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228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228</v>
      </c>
      <c r="AW343" s="8" t="s">
        <v>228</v>
      </c>
      <c r="AX343" s="4" t="s">
        <v>228</v>
      </c>
      <c r="AY343" s="8" t="s">
        <v>228</v>
      </c>
      <c r="AZ343" s="7" t="s">
        <v>228</v>
      </c>
      <c r="BA343" s="7" t="s">
        <v>228</v>
      </c>
      <c r="BB343" s="7"/>
      <c r="BC343" s="4" t="s">
        <v>228</v>
      </c>
      <c r="BD343" s="8" t="s">
        <v>228</v>
      </c>
      <c r="BE343" s="4" t="s">
        <v>228</v>
      </c>
      <c r="BF343" s="8" t="s">
        <v>228</v>
      </c>
      <c r="BG343" s="7" t="s">
        <v>228</v>
      </c>
      <c r="BH343" s="7" t="s">
        <v>228</v>
      </c>
      <c r="BI343" s="7"/>
      <c r="BJ343" s="4">
        <v>12</v>
      </c>
      <c r="BK343" s="8">
        <v>834.8</v>
      </c>
      <c r="BL343" s="2" t="s">
        <v>2339</v>
      </c>
      <c r="BM343" s="7"/>
      <c r="BN343" s="7"/>
      <c r="BO343" s="4"/>
      <c r="BP343" s="8"/>
      <c r="BQ343" s="4"/>
      <c r="BR343" s="8"/>
      <c r="BS343" s="7"/>
      <c r="BT343" s="7"/>
      <c r="BU343" s="2" t="s">
        <v>2340</v>
      </c>
      <c r="BV343" s="2" t="s">
        <v>228</v>
      </c>
      <c r="BW343" s="2" t="s">
        <v>228</v>
      </c>
      <c r="BX343" s="2" t="s">
        <v>273</v>
      </c>
      <c r="BY343" s="2" t="s">
        <v>274</v>
      </c>
      <c r="BZ343" s="2" t="s">
        <v>240</v>
      </c>
      <c r="CA343" s="2" t="s">
        <v>2336</v>
      </c>
      <c r="CB343" s="2" t="s">
        <v>1749</v>
      </c>
      <c r="CC343" s="2" t="s">
        <v>241</v>
      </c>
      <c r="CD343" s="2" t="s">
        <v>228</v>
      </c>
      <c r="CE343" s="4">
        <v>142</v>
      </c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>
        <v>200</v>
      </c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</row>
    <row r="344">
      <c r="A344" s="2" t="s">
        <v>2341</v>
      </c>
      <c r="B344" s="2" t="s">
        <v>834</v>
      </c>
      <c r="C344" s="2" t="s">
        <v>835</v>
      </c>
      <c r="D344" s="2" t="s">
        <v>836</v>
      </c>
      <c r="E344" s="2" t="s">
        <v>837</v>
      </c>
      <c r="F344" s="2" t="s">
        <v>1040</v>
      </c>
      <c r="G344" s="2" t="s">
        <v>1040</v>
      </c>
      <c r="H344" s="2" t="s">
        <v>1040</v>
      </c>
      <c r="I344" s="2" t="s">
        <v>2342</v>
      </c>
      <c r="J344" s="2" t="s">
        <v>840</v>
      </c>
      <c r="K344" s="2" t="s">
        <v>2343</v>
      </c>
      <c r="L344" s="3">
        <v>103.68</v>
      </c>
      <c r="M344" s="3">
        <v>108.86</v>
      </c>
      <c r="N344" s="3">
        <v>239.99</v>
      </c>
      <c r="O344" s="2" t="s">
        <v>240</v>
      </c>
      <c r="P344" s="2" t="s">
        <v>333</v>
      </c>
      <c r="Q344" s="2" t="s">
        <v>234</v>
      </c>
      <c r="R344" s="2" t="s">
        <v>228</v>
      </c>
      <c r="S344" s="2" t="s">
        <v>228</v>
      </c>
      <c r="T344" s="2" t="s">
        <v>228</v>
      </c>
      <c r="U344" s="2" t="s">
        <v>416</v>
      </c>
      <c r="V344" s="2" t="s">
        <v>842</v>
      </c>
      <c r="W344" s="2" t="s">
        <v>417</v>
      </c>
      <c r="X344" s="2" t="s">
        <v>228</v>
      </c>
      <c r="Y344" s="2" t="s">
        <v>2076</v>
      </c>
      <c r="Z344" s="4">
        <v>23</v>
      </c>
      <c r="AA344" s="4">
        <f>=ROUNDDOWN(7.66666666666667,0)</f>
      </c>
      <c r="AB344" s="5">
        <v>3</v>
      </c>
      <c r="AC344" s="2" t="s">
        <v>228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228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 t="s">
        <v>228</v>
      </c>
      <c r="BD344" s="8" t="s">
        <v>228</v>
      </c>
      <c r="BE344" s="4" t="s">
        <v>228</v>
      </c>
      <c r="BF344" s="8" t="s">
        <v>228</v>
      </c>
      <c r="BG344" s="7" t="s">
        <v>228</v>
      </c>
      <c r="BH344" s="7" t="s">
        <v>228</v>
      </c>
      <c r="BI344" s="7"/>
      <c r="BJ344" s="4">
        <v>5</v>
      </c>
      <c r="BK344" s="8">
        <v>362.21</v>
      </c>
      <c r="BL344" s="2" t="s">
        <v>2344</v>
      </c>
      <c r="BM344" s="7"/>
      <c r="BN344" s="7"/>
      <c r="BO344" s="4"/>
      <c r="BP344" s="8"/>
      <c r="BQ344" s="4"/>
      <c r="BR344" s="8"/>
      <c r="BS344" s="7"/>
      <c r="BT344" s="7"/>
      <c r="BU344" s="2" t="s">
        <v>2345</v>
      </c>
      <c r="BV344" s="2" t="s">
        <v>228</v>
      </c>
      <c r="BW344" s="2" t="s">
        <v>228</v>
      </c>
      <c r="BX344" s="2" t="s">
        <v>337</v>
      </c>
      <c r="BY344" s="2" t="s">
        <v>274</v>
      </c>
      <c r="BZ344" s="2" t="s">
        <v>240</v>
      </c>
      <c r="CA344" s="2" t="s">
        <v>2346</v>
      </c>
      <c r="CB344" s="2" t="s">
        <v>2347</v>
      </c>
      <c r="CC344" s="2" t="s">
        <v>241</v>
      </c>
      <c r="CD344" s="2" t="s">
        <v>228</v>
      </c>
      <c r="CE344" s="4"/>
      <c r="CF344" s="4">
        <v>23</v>
      </c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</row>
    <row r="345">
      <c r="A345" s="2" t="s">
        <v>2348</v>
      </c>
      <c r="B345" s="2" t="s">
        <v>958</v>
      </c>
      <c r="C345" s="2" t="s">
        <v>1743</v>
      </c>
      <c r="D345" s="2" t="s">
        <v>1564</v>
      </c>
      <c r="E345" s="2" t="s">
        <v>1565</v>
      </c>
      <c r="F345" s="2" t="s">
        <v>1040</v>
      </c>
      <c r="G345" s="2" t="s">
        <v>1040</v>
      </c>
      <c r="H345" s="2" t="s">
        <v>1040</v>
      </c>
      <c r="I345" s="2" t="s">
        <v>2349</v>
      </c>
      <c r="J345" s="2" t="s">
        <v>840</v>
      </c>
      <c r="K345" s="2" t="s">
        <v>2350</v>
      </c>
      <c r="L345" s="3">
        <v>83.6</v>
      </c>
      <c r="M345" s="3">
        <v>87.78</v>
      </c>
      <c r="N345" s="3">
        <v>179</v>
      </c>
      <c r="O345" s="2" t="s">
        <v>240</v>
      </c>
      <c r="P345" s="2" t="s">
        <v>233</v>
      </c>
      <c r="Q345" s="2" t="s">
        <v>234</v>
      </c>
      <c r="R345" s="2" t="s">
        <v>228</v>
      </c>
      <c r="S345" s="2" t="s">
        <v>228</v>
      </c>
      <c r="T345" s="2" t="s">
        <v>228</v>
      </c>
      <c r="U345" s="2" t="s">
        <v>416</v>
      </c>
      <c r="V345" s="2" t="s">
        <v>842</v>
      </c>
      <c r="W345" s="2" t="s">
        <v>463</v>
      </c>
      <c r="X345" s="2" t="s">
        <v>417</v>
      </c>
      <c r="Y345" s="2" t="s">
        <v>2351</v>
      </c>
      <c r="Z345" s="4">
        <v>142</v>
      </c>
      <c r="AA345" s="4">
        <f>=ROUNDDOWN(71,0)</f>
      </c>
      <c r="AB345" s="5">
        <v>2</v>
      </c>
      <c r="AC345" s="2" t="s">
        <v>228</v>
      </c>
      <c r="AD345" s="4"/>
      <c r="AE345" s="4"/>
      <c r="AF345" s="6">
        <v>74</v>
      </c>
      <c r="AG345" s="6"/>
      <c r="AH345" s="7">
        <v>1</v>
      </c>
      <c r="AI345" s="4"/>
      <c r="AJ345" s="4">
        <f>=ROUNDDOWN({0},0)</f>
      </c>
      <c r="AK345" s="5"/>
      <c r="AL345" s="2" t="s">
        <v>228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 t="s">
        <v>228</v>
      </c>
      <c r="BD345" s="8" t="s">
        <v>228</v>
      </c>
      <c r="BE345" s="4" t="s">
        <v>228</v>
      </c>
      <c r="BF345" s="8" t="s">
        <v>228</v>
      </c>
      <c r="BG345" s="7" t="s">
        <v>228</v>
      </c>
      <c r="BH345" s="7" t="s">
        <v>228</v>
      </c>
      <c r="BI345" s="7"/>
      <c r="BJ345" s="4">
        <v>7</v>
      </c>
      <c r="BK345" s="8">
        <v>691.34</v>
      </c>
      <c r="BL345" s="2" t="s">
        <v>2352</v>
      </c>
      <c r="BM345" s="7"/>
      <c r="BN345" s="7"/>
      <c r="BO345" s="4"/>
      <c r="BP345" s="8"/>
      <c r="BQ345" s="4"/>
      <c r="BR345" s="8"/>
      <c r="BS345" s="7"/>
      <c r="BT345" s="7"/>
      <c r="BU345" s="2" t="s">
        <v>238</v>
      </c>
      <c r="BV345" s="2" t="s">
        <v>228</v>
      </c>
      <c r="BW345" s="2" t="s">
        <v>228</v>
      </c>
      <c r="BX345" s="2" t="s">
        <v>273</v>
      </c>
      <c r="BY345" s="2" t="s">
        <v>2353</v>
      </c>
      <c r="BZ345" s="2" t="s">
        <v>240</v>
      </c>
      <c r="CA345" s="2" t="s">
        <v>228</v>
      </c>
      <c r="CB345" s="2" t="s">
        <v>228</v>
      </c>
      <c r="CC345" s="2" t="s">
        <v>241</v>
      </c>
      <c r="CD345" s="2" t="s">
        <v>228</v>
      </c>
      <c r="CE345" s="4"/>
      <c r="CF345" s="4">
        <v>142</v>
      </c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</row>
    <row r="346">
      <c r="A346" s="2" t="s">
        <v>2354</v>
      </c>
      <c r="B346" s="2" t="s">
        <v>958</v>
      </c>
      <c r="C346" s="2" t="s">
        <v>1743</v>
      </c>
      <c r="D346" s="2" t="s">
        <v>1564</v>
      </c>
      <c r="E346" s="2" t="s">
        <v>1565</v>
      </c>
      <c r="F346" s="2" t="s">
        <v>1040</v>
      </c>
      <c r="G346" s="2" t="s">
        <v>1040</v>
      </c>
      <c r="H346" s="2" t="s">
        <v>1040</v>
      </c>
      <c r="I346" s="2" t="s">
        <v>2349</v>
      </c>
      <c r="J346" s="2" t="s">
        <v>840</v>
      </c>
      <c r="K346" s="2" t="s">
        <v>2355</v>
      </c>
      <c r="L346" s="3">
        <v>83.6</v>
      </c>
      <c r="M346" s="3">
        <v>87.78</v>
      </c>
      <c r="N346" s="3">
        <v>179</v>
      </c>
      <c r="O346" s="2" t="s">
        <v>240</v>
      </c>
      <c r="P346" s="2" t="s">
        <v>233</v>
      </c>
      <c r="Q346" s="2" t="s">
        <v>234</v>
      </c>
      <c r="R346" s="2" t="s">
        <v>228</v>
      </c>
      <c r="S346" s="2" t="s">
        <v>228</v>
      </c>
      <c r="T346" s="2" t="s">
        <v>228</v>
      </c>
      <c r="U346" s="2" t="s">
        <v>416</v>
      </c>
      <c r="V346" s="2" t="s">
        <v>842</v>
      </c>
      <c r="W346" s="2" t="s">
        <v>463</v>
      </c>
      <c r="X346" s="2" t="s">
        <v>417</v>
      </c>
      <c r="Y346" s="2" t="s">
        <v>2356</v>
      </c>
      <c r="Z346" s="4">
        <v>99</v>
      </c>
      <c r="AA346" s="4">
        <f>=ROUNDDOWN(49.5,0)</f>
      </c>
      <c r="AB346" s="5">
        <v>2</v>
      </c>
      <c r="AC346" s="2" t="s">
        <v>156</v>
      </c>
      <c r="AD346" s="4">
        <v>1</v>
      </c>
      <c r="AE346" s="4">
        <v>1</v>
      </c>
      <c r="AF346" s="6">
        <v>74</v>
      </c>
      <c r="AG346" s="6"/>
      <c r="AH346" s="7">
        <v>1</v>
      </c>
      <c r="AI346" s="4"/>
      <c r="AJ346" s="4">
        <f>=ROUNDDOWN({0},0)</f>
      </c>
      <c r="AK346" s="5"/>
      <c r="AL346" s="2" t="s">
        <v>228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 t="s">
        <v>228</v>
      </c>
      <c r="BD346" s="8" t="s">
        <v>228</v>
      </c>
      <c r="BE346" s="4" t="s">
        <v>228</v>
      </c>
      <c r="BF346" s="8" t="s">
        <v>228</v>
      </c>
      <c r="BG346" s="7" t="s">
        <v>228</v>
      </c>
      <c r="BH346" s="7" t="s">
        <v>228</v>
      </c>
      <c r="BI346" s="7"/>
      <c r="BJ346" s="4"/>
      <c r="BK346" s="8"/>
      <c r="BL346" s="2" t="s">
        <v>228</v>
      </c>
      <c r="BM346" s="7"/>
      <c r="BN346" s="7"/>
      <c r="BO346" s="4"/>
      <c r="BP346" s="8"/>
      <c r="BQ346" s="4"/>
      <c r="BR346" s="8"/>
      <c r="BS346" s="7"/>
      <c r="BT346" s="7"/>
      <c r="BU346" s="2" t="s">
        <v>238</v>
      </c>
      <c r="BV346" s="2" t="s">
        <v>228</v>
      </c>
      <c r="BW346" s="2" t="s">
        <v>228</v>
      </c>
      <c r="BX346" s="2" t="s">
        <v>273</v>
      </c>
      <c r="BY346" s="2" t="s">
        <v>2353</v>
      </c>
      <c r="BZ346" s="2" t="s">
        <v>240</v>
      </c>
      <c r="CA346" s="2" t="s">
        <v>228</v>
      </c>
      <c r="CB346" s="2" t="s">
        <v>228</v>
      </c>
      <c r="CC346" s="2" t="s">
        <v>241</v>
      </c>
      <c r="CD346" s="2" t="s">
        <v>228</v>
      </c>
      <c r="CE346" s="4"/>
      <c r="CF346" s="4">
        <v>99</v>
      </c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>
        <v>1</v>
      </c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</row>
    <row r="347">
      <c r="A347" s="2" t="s">
        <v>2357</v>
      </c>
      <c r="B347" s="2" t="s">
        <v>958</v>
      </c>
      <c r="C347" s="2" t="s">
        <v>1743</v>
      </c>
      <c r="D347" s="2" t="s">
        <v>1564</v>
      </c>
      <c r="E347" s="2" t="s">
        <v>1565</v>
      </c>
      <c r="F347" s="2" t="s">
        <v>1040</v>
      </c>
      <c r="G347" s="2" t="s">
        <v>1040</v>
      </c>
      <c r="H347" s="2" t="s">
        <v>1040</v>
      </c>
      <c r="I347" s="2" t="s">
        <v>2349</v>
      </c>
      <c r="J347" s="2" t="s">
        <v>840</v>
      </c>
      <c r="K347" s="2" t="s">
        <v>2358</v>
      </c>
      <c r="L347" s="3">
        <v>83.6</v>
      </c>
      <c r="M347" s="3">
        <v>87.78</v>
      </c>
      <c r="N347" s="3">
        <v>179</v>
      </c>
      <c r="O347" s="2" t="s">
        <v>240</v>
      </c>
      <c r="P347" s="2" t="s">
        <v>233</v>
      </c>
      <c r="Q347" s="2" t="s">
        <v>234</v>
      </c>
      <c r="R347" s="2" t="s">
        <v>228</v>
      </c>
      <c r="S347" s="2" t="s">
        <v>228</v>
      </c>
      <c r="T347" s="2" t="s">
        <v>228</v>
      </c>
      <c r="U347" s="2" t="s">
        <v>416</v>
      </c>
      <c r="V347" s="2" t="s">
        <v>842</v>
      </c>
      <c r="W347" s="2" t="s">
        <v>463</v>
      </c>
      <c r="X347" s="2" t="s">
        <v>417</v>
      </c>
      <c r="Y347" s="2" t="s">
        <v>1786</v>
      </c>
      <c r="Z347" s="4">
        <v>96</v>
      </c>
      <c r="AA347" s="4">
        <f>=ROUNDDOWN(48,0)</f>
      </c>
      <c r="AB347" s="5">
        <v>2</v>
      </c>
      <c r="AC347" s="2" t="s">
        <v>158</v>
      </c>
      <c r="AD347" s="4">
        <v>1</v>
      </c>
      <c r="AE347" s="4">
        <v>1</v>
      </c>
      <c r="AF347" s="6">
        <v>74</v>
      </c>
      <c r="AG347" s="6"/>
      <c r="AH347" s="7">
        <v>1</v>
      </c>
      <c r="AI347" s="4"/>
      <c r="AJ347" s="4">
        <f>=ROUNDDOWN({0},0)</f>
      </c>
      <c r="AK347" s="5"/>
      <c r="AL347" s="2" t="s">
        <v>228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 t="s">
        <v>228</v>
      </c>
      <c r="BD347" s="8" t="s">
        <v>228</v>
      </c>
      <c r="BE347" s="4" t="s">
        <v>228</v>
      </c>
      <c r="BF347" s="8" t="s">
        <v>228</v>
      </c>
      <c r="BG347" s="7" t="s">
        <v>228</v>
      </c>
      <c r="BH347" s="7" t="s">
        <v>228</v>
      </c>
      <c r="BI347" s="7"/>
      <c r="BJ347" s="4">
        <v>1</v>
      </c>
      <c r="BK347" s="8">
        <v>103.49</v>
      </c>
      <c r="BL347" s="2" t="s">
        <v>622</v>
      </c>
      <c r="BM347" s="7"/>
      <c r="BN347" s="7"/>
      <c r="BO347" s="4"/>
      <c r="BP347" s="8"/>
      <c r="BQ347" s="4"/>
      <c r="BR347" s="8"/>
      <c r="BS347" s="7"/>
      <c r="BT347" s="7"/>
      <c r="BU347" s="2" t="s">
        <v>2359</v>
      </c>
      <c r="BV347" s="2" t="s">
        <v>228</v>
      </c>
      <c r="BW347" s="2" t="s">
        <v>228</v>
      </c>
      <c r="BX347" s="2" t="s">
        <v>273</v>
      </c>
      <c r="BY347" s="2" t="s">
        <v>274</v>
      </c>
      <c r="BZ347" s="2" t="s">
        <v>240</v>
      </c>
      <c r="CA347" s="2" t="s">
        <v>1788</v>
      </c>
      <c r="CB347" s="2" t="s">
        <v>228</v>
      </c>
      <c r="CC347" s="2" t="s">
        <v>241</v>
      </c>
      <c r="CD347" s="2" t="s">
        <v>228</v>
      </c>
      <c r="CE347" s="4"/>
      <c r="CF347" s="4">
        <v>96</v>
      </c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>
        <v>1</v>
      </c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</row>
    <row r="348">
      <c r="A348" s="2" t="s">
        <v>2360</v>
      </c>
      <c r="B348" s="2" t="s">
        <v>848</v>
      </c>
      <c r="C348" s="2" t="s">
        <v>849</v>
      </c>
      <c r="D348" s="2" t="s">
        <v>1112</v>
      </c>
      <c r="E348" s="2" t="s">
        <v>1165</v>
      </c>
      <c r="F348" s="2" t="s">
        <v>2361</v>
      </c>
      <c r="G348" s="2" t="s">
        <v>2362</v>
      </c>
      <c r="H348" s="2" t="s">
        <v>2363</v>
      </c>
      <c r="I348" s="2" t="s">
        <v>2364</v>
      </c>
      <c r="J348" s="2" t="s">
        <v>856</v>
      </c>
      <c r="K348" s="2" t="s">
        <v>2365</v>
      </c>
      <c r="L348" s="3">
        <v>23.8</v>
      </c>
      <c r="M348" s="3">
        <v>24.99</v>
      </c>
      <c r="N348" s="3">
        <v>49.99</v>
      </c>
      <c r="O348" s="2" t="s">
        <v>240</v>
      </c>
      <c r="P348" s="2" t="s">
        <v>266</v>
      </c>
      <c r="Q348" s="2" t="s">
        <v>234</v>
      </c>
      <c r="R348" s="2" t="s">
        <v>228</v>
      </c>
      <c r="S348" s="2" t="s">
        <v>2366</v>
      </c>
      <c r="T348" s="2" t="s">
        <v>415</v>
      </c>
      <c r="U348" s="2" t="s">
        <v>308</v>
      </c>
      <c r="V348" s="2" t="s">
        <v>1438</v>
      </c>
      <c r="W348" s="2" t="s">
        <v>269</v>
      </c>
      <c r="X348" s="2" t="s">
        <v>1267</v>
      </c>
      <c r="Y348" s="2" t="s">
        <v>2367</v>
      </c>
      <c r="Z348" s="4">
        <v>13</v>
      </c>
      <c r="AA348" s="4">
        <f>=ROUNDDOWN(1.85714285714286,0)</f>
      </c>
      <c r="AB348" s="5">
        <v>7</v>
      </c>
      <c r="AC348" s="2" t="s">
        <v>187</v>
      </c>
      <c r="AD348" s="4">
        <v>210</v>
      </c>
      <c r="AE348" s="4">
        <v>210</v>
      </c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228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228</v>
      </c>
      <c r="AW348" s="8" t="s">
        <v>228</v>
      </c>
      <c r="AX348" s="4" t="s">
        <v>228</v>
      </c>
      <c r="AY348" s="8" t="s">
        <v>228</v>
      </c>
      <c r="AZ348" s="7" t="s">
        <v>228</v>
      </c>
      <c r="BA348" s="7" t="s">
        <v>228</v>
      </c>
      <c r="BB348" s="7" t="s">
        <v>228</v>
      </c>
      <c r="BC348" s="4" t="s">
        <v>228</v>
      </c>
      <c r="BD348" s="8" t="s">
        <v>228</v>
      </c>
      <c r="BE348" s="4" t="s">
        <v>228</v>
      </c>
      <c r="BF348" s="8" t="s">
        <v>228</v>
      </c>
      <c r="BG348" s="7" t="s">
        <v>228</v>
      </c>
      <c r="BH348" s="7" t="s">
        <v>228</v>
      </c>
      <c r="BI348" s="7"/>
      <c r="BJ348" s="4">
        <v>96</v>
      </c>
      <c r="BK348" s="8">
        <v>2650.83</v>
      </c>
      <c r="BL348" s="2" t="s">
        <v>2368</v>
      </c>
      <c r="BM348" s="7"/>
      <c r="BN348" s="7"/>
      <c r="BO348" s="4"/>
      <c r="BP348" s="8"/>
      <c r="BQ348" s="4"/>
      <c r="BR348" s="8"/>
      <c r="BS348" s="7"/>
      <c r="BT348" s="7"/>
      <c r="BU348" s="2" t="s">
        <v>2369</v>
      </c>
      <c r="BV348" s="2" t="s">
        <v>228</v>
      </c>
      <c r="BW348" s="2" t="s">
        <v>228</v>
      </c>
      <c r="BX348" s="2" t="s">
        <v>273</v>
      </c>
      <c r="BY348" s="2" t="s">
        <v>274</v>
      </c>
      <c r="BZ348" s="2" t="s">
        <v>240</v>
      </c>
      <c r="CA348" s="2" t="s">
        <v>2370</v>
      </c>
      <c r="CB348" s="2" t="s">
        <v>2371</v>
      </c>
      <c r="CC348" s="2" t="s">
        <v>241</v>
      </c>
      <c r="CD348" s="2" t="s">
        <v>228</v>
      </c>
      <c r="CE348" s="4">
        <v>13</v>
      </c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>
        <v>210</v>
      </c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</row>
    <row r="349">
      <c r="A349" s="2" t="s">
        <v>2372</v>
      </c>
      <c r="B349" s="2" t="s">
        <v>848</v>
      </c>
      <c r="C349" s="2" t="s">
        <v>849</v>
      </c>
      <c r="D349" s="2" t="s">
        <v>850</v>
      </c>
      <c r="E349" s="2" t="s">
        <v>1038</v>
      </c>
      <c r="F349" s="2" t="s">
        <v>2361</v>
      </c>
      <c r="G349" s="2" t="s">
        <v>2362</v>
      </c>
      <c r="H349" s="2" t="s">
        <v>2363</v>
      </c>
      <c r="I349" s="2" t="s">
        <v>2373</v>
      </c>
      <c r="J349" s="2" t="s">
        <v>856</v>
      </c>
      <c r="K349" s="2" t="s">
        <v>2365</v>
      </c>
      <c r="L349" s="3">
        <v>14.28</v>
      </c>
      <c r="M349" s="3">
        <v>14.99</v>
      </c>
      <c r="N349" s="3">
        <v>29.99</v>
      </c>
      <c r="O349" s="2" t="s">
        <v>240</v>
      </c>
      <c r="P349" s="2" t="s">
        <v>266</v>
      </c>
      <c r="Q349" s="2" t="s">
        <v>234</v>
      </c>
      <c r="R349" s="2" t="s">
        <v>228</v>
      </c>
      <c r="S349" s="2" t="s">
        <v>2366</v>
      </c>
      <c r="T349" s="2" t="s">
        <v>415</v>
      </c>
      <c r="U349" s="2" t="s">
        <v>520</v>
      </c>
      <c r="V349" s="2" t="s">
        <v>1438</v>
      </c>
      <c r="W349" s="2" t="s">
        <v>269</v>
      </c>
      <c r="X349" s="2" t="s">
        <v>1267</v>
      </c>
      <c r="Y349" s="2" t="s">
        <v>2367</v>
      </c>
      <c r="Z349" s="4">
        <v>57</v>
      </c>
      <c r="AA349" s="4">
        <f>=ROUNDDOWN(19,0)</f>
      </c>
      <c r="AB349" s="5">
        <v>3</v>
      </c>
      <c r="AC349" s="2" t="s">
        <v>187</v>
      </c>
      <c r="AD349" s="4">
        <v>80</v>
      </c>
      <c r="AE349" s="4">
        <v>80</v>
      </c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228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228</v>
      </c>
      <c r="AW349" s="8" t="s">
        <v>228</v>
      </c>
      <c r="AX349" s="4" t="s">
        <v>228</v>
      </c>
      <c r="AY349" s="8" t="s">
        <v>228</v>
      </c>
      <c r="AZ349" s="7" t="s">
        <v>228</v>
      </c>
      <c r="BA349" s="7" t="s">
        <v>228</v>
      </c>
      <c r="BB349" s="7" t="s">
        <v>228</v>
      </c>
      <c r="BC349" s="4" t="s">
        <v>228</v>
      </c>
      <c r="BD349" s="8" t="s">
        <v>228</v>
      </c>
      <c r="BE349" s="4" t="s">
        <v>228</v>
      </c>
      <c r="BF349" s="8" t="s">
        <v>228</v>
      </c>
      <c r="BG349" s="7" t="s">
        <v>228</v>
      </c>
      <c r="BH349" s="7" t="s">
        <v>228</v>
      </c>
      <c r="BI349" s="7"/>
      <c r="BJ349" s="4">
        <v>17</v>
      </c>
      <c r="BK349" s="8">
        <v>272.98</v>
      </c>
      <c r="BL349" s="2" t="s">
        <v>509</v>
      </c>
      <c r="BM349" s="7"/>
      <c r="BN349" s="7"/>
      <c r="BO349" s="4"/>
      <c r="BP349" s="8"/>
      <c r="BQ349" s="4"/>
      <c r="BR349" s="8"/>
      <c r="BS349" s="7"/>
      <c r="BT349" s="7"/>
      <c r="BU349" s="2" t="s">
        <v>2374</v>
      </c>
      <c r="BV349" s="2" t="s">
        <v>228</v>
      </c>
      <c r="BW349" s="2" t="s">
        <v>228</v>
      </c>
      <c r="BX349" s="2" t="s">
        <v>273</v>
      </c>
      <c r="BY349" s="2" t="s">
        <v>274</v>
      </c>
      <c r="BZ349" s="2" t="s">
        <v>240</v>
      </c>
      <c r="CA349" s="2" t="s">
        <v>2375</v>
      </c>
      <c r="CB349" s="2" t="s">
        <v>1217</v>
      </c>
      <c r="CC349" s="2" t="s">
        <v>241</v>
      </c>
      <c r="CD349" s="2" t="s">
        <v>228</v>
      </c>
      <c r="CE349" s="4">
        <v>57</v>
      </c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>
        <v>80</v>
      </c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</row>
    <row r="350">
      <c r="A350" s="2" t="s">
        <v>2376</v>
      </c>
      <c r="B350" s="2" t="s">
        <v>1150</v>
      </c>
      <c r="C350" s="2" t="s">
        <v>300</v>
      </c>
      <c r="D350" s="2" t="s">
        <v>1316</v>
      </c>
      <c r="E350" s="2" t="s">
        <v>1317</v>
      </c>
      <c r="F350" s="2" t="s">
        <v>2361</v>
      </c>
      <c r="G350" s="2" t="s">
        <v>2377</v>
      </c>
      <c r="H350" s="2" t="s">
        <v>2378</v>
      </c>
      <c r="I350" s="2" t="s">
        <v>2379</v>
      </c>
      <c r="J350" s="2" t="s">
        <v>1189</v>
      </c>
      <c r="K350" s="2" t="s">
        <v>2380</v>
      </c>
      <c r="L350" s="3">
        <v>38.09</v>
      </c>
      <c r="M350" s="3">
        <v>39.99</v>
      </c>
      <c r="N350" s="3">
        <v>79.99</v>
      </c>
      <c r="O350" s="2" t="s">
        <v>461</v>
      </c>
      <c r="P350" s="2" t="s">
        <v>333</v>
      </c>
      <c r="Q350" s="2" t="s">
        <v>234</v>
      </c>
      <c r="R350" s="2" t="s">
        <v>228</v>
      </c>
      <c r="S350" s="2" t="s">
        <v>2381</v>
      </c>
      <c r="T350" s="2" t="s">
        <v>415</v>
      </c>
      <c r="U350" s="2" t="s">
        <v>500</v>
      </c>
      <c r="V350" s="2" t="s">
        <v>1332</v>
      </c>
      <c r="W350" s="2" t="s">
        <v>269</v>
      </c>
      <c r="X350" s="2" t="s">
        <v>1761</v>
      </c>
      <c r="Y350" s="2" t="s">
        <v>2382</v>
      </c>
      <c r="Z350" s="4">
        <v>181</v>
      </c>
      <c r="AA350" s="4">
        <f>=ROUNDDOWN(90.5,0)</f>
      </c>
      <c r="AB350" s="5">
        <v>2</v>
      </c>
      <c r="AC350" s="2" t="s">
        <v>228</v>
      </c>
      <c r="AD350" s="4"/>
      <c r="AE350" s="4"/>
      <c r="AF350" s="6">
        <v>66</v>
      </c>
      <c r="AG350" s="6"/>
      <c r="AH350" s="7">
        <v>1</v>
      </c>
      <c r="AI350" s="4"/>
      <c r="AJ350" s="4">
        <f>=ROUNDDOWN({0},0)</f>
      </c>
      <c r="AK350" s="5"/>
      <c r="AL350" s="2" t="s">
        <v>228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228</v>
      </c>
      <c r="AW350" s="8" t="s">
        <v>228</v>
      </c>
      <c r="AX350" s="4" t="s">
        <v>228</v>
      </c>
      <c r="AY350" s="8" t="s">
        <v>228</v>
      </c>
      <c r="AZ350" s="7" t="s">
        <v>228</v>
      </c>
      <c r="BA350" s="7" t="s">
        <v>228</v>
      </c>
      <c r="BB350" s="7"/>
      <c r="BC350" s="4" t="s">
        <v>228</v>
      </c>
      <c r="BD350" s="8" t="s">
        <v>228</v>
      </c>
      <c r="BE350" s="4" t="s">
        <v>228</v>
      </c>
      <c r="BF350" s="8" t="s">
        <v>228</v>
      </c>
      <c r="BG350" s="7" t="s">
        <v>228</v>
      </c>
      <c r="BH350" s="7" t="s">
        <v>228</v>
      </c>
      <c r="BI350" s="7"/>
      <c r="BJ350" s="4">
        <v>3</v>
      </c>
      <c r="BK350" s="8">
        <v>86.99</v>
      </c>
      <c r="BL350" s="2" t="s">
        <v>1448</v>
      </c>
      <c r="BM350" s="7"/>
      <c r="BN350" s="7"/>
      <c r="BO350" s="4"/>
      <c r="BP350" s="8"/>
      <c r="BQ350" s="4"/>
      <c r="BR350" s="8"/>
      <c r="BS350" s="7"/>
      <c r="BT350" s="7"/>
      <c r="BU350" s="2" t="s">
        <v>2383</v>
      </c>
      <c r="BV350" s="2" t="s">
        <v>228</v>
      </c>
      <c r="BW350" s="2" t="s">
        <v>228</v>
      </c>
      <c r="BX350" s="2" t="s">
        <v>337</v>
      </c>
      <c r="BY350" s="2" t="s">
        <v>274</v>
      </c>
      <c r="BZ350" s="2" t="s">
        <v>240</v>
      </c>
      <c r="CA350" s="2" t="s">
        <v>1961</v>
      </c>
      <c r="CB350" s="2" t="s">
        <v>2384</v>
      </c>
      <c r="CC350" s="2" t="s">
        <v>241</v>
      </c>
      <c r="CD350" s="2" t="s">
        <v>228</v>
      </c>
      <c r="CE350" s="4">
        <v>181</v>
      </c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</row>
    <row r="351">
      <c r="A351" s="2" t="s">
        <v>2385</v>
      </c>
      <c r="B351" s="2" t="s">
        <v>1150</v>
      </c>
      <c r="C351" s="2" t="s">
        <v>300</v>
      </c>
      <c r="D351" s="2" t="s">
        <v>1316</v>
      </c>
      <c r="E351" s="2" t="s">
        <v>1317</v>
      </c>
      <c r="F351" s="2" t="s">
        <v>2361</v>
      </c>
      <c r="G351" s="2" t="s">
        <v>2377</v>
      </c>
      <c r="H351" s="2" t="s">
        <v>2378</v>
      </c>
      <c r="I351" s="2" t="s">
        <v>2379</v>
      </c>
      <c r="J351" s="2" t="s">
        <v>1043</v>
      </c>
      <c r="K351" s="2" t="s">
        <v>2380</v>
      </c>
      <c r="L351" s="3">
        <v>42.85</v>
      </c>
      <c r="M351" s="3">
        <v>44.99</v>
      </c>
      <c r="N351" s="3">
        <v>89.99</v>
      </c>
      <c r="O351" s="2" t="s">
        <v>461</v>
      </c>
      <c r="P351" s="2" t="s">
        <v>333</v>
      </c>
      <c r="Q351" s="2" t="s">
        <v>234</v>
      </c>
      <c r="R351" s="2" t="s">
        <v>228</v>
      </c>
      <c r="S351" s="2" t="s">
        <v>2381</v>
      </c>
      <c r="T351" s="2" t="s">
        <v>415</v>
      </c>
      <c r="U351" s="2" t="s">
        <v>500</v>
      </c>
      <c r="V351" s="2" t="s">
        <v>1332</v>
      </c>
      <c r="W351" s="2" t="s">
        <v>269</v>
      </c>
      <c r="X351" s="2" t="s">
        <v>1761</v>
      </c>
      <c r="Y351" s="2" t="s">
        <v>2382</v>
      </c>
      <c r="Z351" s="4">
        <v>195</v>
      </c>
      <c r="AA351" s="4">
        <f>=ROUNDDOWN(97.5,0)</f>
      </c>
      <c r="AB351" s="5">
        <v>2</v>
      </c>
      <c r="AC351" s="2" t="s">
        <v>228</v>
      </c>
      <c r="AD351" s="4"/>
      <c r="AE351" s="4"/>
      <c r="AF351" s="6">
        <v>66</v>
      </c>
      <c r="AG351" s="6"/>
      <c r="AH351" s="7">
        <v>1</v>
      </c>
      <c r="AI351" s="4"/>
      <c r="AJ351" s="4">
        <f>=ROUNDDOWN({0},0)</f>
      </c>
      <c r="AK351" s="5"/>
      <c r="AL351" s="2" t="s">
        <v>228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228</v>
      </c>
      <c r="AW351" s="8" t="s">
        <v>228</v>
      </c>
      <c r="AX351" s="4" t="s">
        <v>228</v>
      </c>
      <c r="AY351" s="8" t="s">
        <v>228</v>
      </c>
      <c r="AZ351" s="7" t="s">
        <v>228</v>
      </c>
      <c r="BA351" s="7" t="s">
        <v>228</v>
      </c>
      <c r="BB351" s="7"/>
      <c r="BC351" s="4" t="s">
        <v>228</v>
      </c>
      <c r="BD351" s="8" t="s">
        <v>228</v>
      </c>
      <c r="BE351" s="4" t="s">
        <v>228</v>
      </c>
      <c r="BF351" s="8" t="s">
        <v>228</v>
      </c>
      <c r="BG351" s="7" t="s">
        <v>228</v>
      </c>
      <c r="BH351" s="7" t="s">
        <v>228</v>
      </c>
      <c r="BI351" s="7"/>
      <c r="BJ351" s="4">
        <v>3</v>
      </c>
      <c r="BK351" s="8">
        <v>141.72</v>
      </c>
      <c r="BL351" s="2" t="s">
        <v>2386</v>
      </c>
      <c r="BM351" s="7"/>
      <c r="BN351" s="7"/>
      <c r="BO351" s="4"/>
      <c r="BP351" s="8"/>
      <c r="BQ351" s="4"/>
      <c r="BR351" s="8"/>
      <c r="BS351" s="7"/>
      <c r="BT351" s="7"/>
      <c r="BU351" s="2" t="s">
        <v>2387</v>
      </c>
      <c r="BV351" s="2" t="s">
        <v>228</v>
      </c>
      <c r="BW351" s="2" t="s">
        <v>228</v>
      </c>
      <c r="BX351" s="2" t="s">
        <v>337</v>
      </c>
      <c r="BY351" s="2" t="s">
        <v>274</v>
      </c>
      <c r="BZ351" s="2" t="s">
        <v>240</v>
      </c>
      <c r="CA351" s="2" t="s">
        <v>1961</v>
      </c>
      <c r="CB351" s="2" t="s">
        <v>2388</v>
      </c>
      <c r="CC351" s="2" t="s">
        <v>241</v>
      </c>
      <c r="CD351" s="2" t="s">
        <v>228</v>
      </c>
      <c r="CE351" s="4">
        <v>195</v>
      </c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</row>
    <row r="352">
      <c r="A352" s="2" t="s">
        <v>2389</v>
      </c>
      <c r="B352" s="2" t="s">
        <v>848</v>
      </c>
      <c r="C352" s="2" t="s">
        <v>2390</v>
      </c>
      <c r="D352" s="2" t="s">
        <v>1112</v>
      </c>
      <c r="E352" s="2" t="s">
        <v>1165</v>
      </c>
      <c r="F352" s="2" t="s">
        <v>2391</v>
      </c>
      <c r="G352" s="2" t="s">
        <v>2391</v>
      </c>
      <c r="H352" s="2" t="s">
        <v>2391</v>
      </c>
      <c r="I352" s="2" t="s">
        <v>2392</v>
      </c>
      <c r="J352" s="2" t="s">
        <v>264</v>
      </c>
      <c r="K352" s="2" t="s">
        <v>265</v>
      </c>
      <c r="L352" s="3">
        <v>31.89</v>
      </c>
      <c r="M352" s="3">
        <v>33.48</v>
      </c>
      <c r="N352" s="3">
        <v>54.99</v>
      </c>
      <c r="O352" s="2" t="s">
        <v>461</v>
      </c>
      <c r="P352" s="2" t="s">
        <v>1116</v>
      </c>
      <c r="Q352" s="2" t="s">
        <v>234</v>
      </c>
      <c r="R352" s="2" t="s">
        <v>727</v>
      </c>
      <c r="S352" s="2" t="s">
        <v>228</v>
      </c>
      <c r="T352" s="2" t="s">
        <v>228</v>
      </c>
      <c r="U352" s="2" t="s">
        <v>520</v>
      </c>
      <c r="V352" s="2" t="s">
        <v>374</v>
      </c>
      <c r="W352" s="2" t="s">
        <v>228</v>
      </c>
      <c r="X352" s="2" t="s">
        <v>228</v>
      </c>
      <c r="Y352" s="2" t="s">
        <v>2393</v>
      </c>
      <c r="Z352" s="4">
        <v>143</v>
      </c>
      <c r="AA352" s="4">
        <f>=ROUNDDOWN(71.5,0)</f>
      </c>
      <c r="AB352" s="5">
        <v>2</v>
      </c>
      <c r="AC352" s="2" t="s">
        <v>228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228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228</v>
      </c>
      <c r="AW352" s="8" t="s">
        <v>228</v>
      </c>
      <c r="AX352" s="4" t="s">
        <v>228</v>
      </c>
      <c r="AY352" s="8" t="s">
        <v>228</v>
      </c>
      <c r="AZ352" s="7" t="s">
        <v>228</v>
      </c>
      <c r="BA352" s="7" t="s">
        <v>228</v>
      </c>
      <c r="BB352" s="7" t="s">
        <v>228</v>
      </c>
      <c r="BC352" s="4" t="s">
        <v>228</v>
      </c>
      <c r="BD352" s="8" t="s">
        <v>228</v>
      </c>
      <c r="BE352" s="4" t="s">
        <v>228</v>
      </c>
      <c r="BF352" s="8" t="s">
        <v>228</v>
      </c>
      <c r="BG352" s="7" t="s">
        <v>228</v>
      </c>
      <c r="BH352" s="7" t="s">
        <v>228</v>
      </c>
      <c r="BI352" s="7"/>
      <c r="BJ352" s="4">
        <v>1</v>
      </c>
      <c r="BK352" s="8">
        <v>31.89</v>
      </c>
      <c r="BL352" s="2" t="s">
        <v>699</v>
      </c>
      <c r="BM352" s="7"/>
      <c r="BN352" s="7"/>
      <c r="BO352" s="4"/>
      <c r="BP352" s="8"/>
      <c r="BQ352" s="4"/>
      <c r="BR352" s="8"/>
      <c r="BS352" s="7"/>
      <c r="BT352" s="7"/>
      <c r="BU352" s="2" t="s">
        <v>2394</v>
      </c>
      <c r="BV352" s="2" t="s">
        <v>228</v>
      </c>
      <c r="BW352" s="2" t="s">
        <v>228</v>
      </c>
      <c r="BX352" s="2" t="s">
        <v>273</v>
      </c>
      <c r="BY352" s="2" t="s">
        <v>274</v>
      </c>
      <c r="BZ352" s="2" t="s">
        <v>240</v>
      </c>
      <c r="CA352" s="2" t="s">
        <v>947</v>
      </c>
      <c r="CB352" s="2" t="s">
        <v>228</v>
      </c>
      <c r="CC352" s="2" t="s">
        <v>241</v>
      </c>
      <c r="CD352" s="2" t="s">
        <v>228</v>
      </c>
      <c r="CE352" s="4">
        <v>143</v>
      </c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</row>
    <row r="353">
      <c r="A353" s="2" t="s">
        <v>2395</v>
      </c>
      <c r="B353" s="2" t="s">
        <v>848</v>
      </c>
      <c r="C353" s="2" t="s">
        <v>2390</v>
      </c>
      <c r="D353" s="2" t="s">
        <v>1316</v>
      </c>
      <c r="E353" s="2" t="s">
        <v>2396</v>
      </c>
      <c r="F353" s="2" t="s">
        <v>2391</v>
      </c>
      <c r="G353" s="2" t="s">
        <v>2391</v>
      </c>
      <c r="H353" s="2" t="s">
        <v>2391</v>
      </c>
      <c r="I353" s="2" t="s">
        <v>2397</v>
      </c>
      <c r="J353" s="2" t="s">
        <v>264</v>
      </c>
      <c r="K353" s="2" t="s">
        <v>265</v>
      </c>
      <c r="L353" s="3">
        <v>31.89</v>
      </c>
      <c r="M353" s="3">
        <v>33.48</v>
      </c>
      <c r="N353" s="3">
        <v>54.99</v>
      </c>
      <c r="O353" s="2" t="s">
        <v>461</v>
      </c>
      <c r="P353" s="2" t="s">
        <v>1116</v>
      </c>
      <c r="Q353" s="2" t="s">
        <v>234</v>
      </c>
      <c r="R353" s="2" t="s">
        <v>727</v>
      </c>
      <c r="S353" s="2" t="s">
        <v>228</v>
      </c>
      <c r="T353" s="2" t="s">
        <v>228</v>
      </c>
      <c r="U353" s="2" t="s">
        <v>228</v>
      </c>
      <c r="V353" s="2" t="s">
        <v>374</v>
      </c>
      <c r="W353" s="2" t="s">
        <v>228</v>
      </c>
      <c r="X353" s="2" t="s">
        <v>228</v>
      </c>
      <c r="Y353" s="2" t="s">
        <v>2393</v>
      </c>
      <c r="Z353" s="4">
        <v>42</v>
      </c>
      <c r="AA353" s="4">
        <f>=ROUNDDOWN(42,0)</f>
      </c>
      <c r="AB353" s="5">
        <v>1</v>
      </c>
      <c r="AC353" s="2" t="s">
        <v>228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228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228</v>
      </c>
      <c r="AW353" s="8" t="s">
        <v>228</v>
      </c>
      <c r="AX353" s="4" t="s">
        <v>228</v>
      </c>
      <c r="AY353" s="8" t="s">
        <v>228</v>
      </c>
      <c r="AZ353" s="7" t="s">
        <v>228</v>
      </c>
      <c r="BA353" s="7" t="s">
        <v>228</v>
      </c>
      <c r="BB353" s="7" t="s">
        <v>228</v>
      </c>
      <c r="BC353" s="4" t="s">
        <v>228</v>
      </c>
      <c r="BD353" s="8" t="s">
        <v>228</v>
      </c>
      <c r="BE353" s="4" t="s">
        <v>228</v>
      </c>
      <c r="BF353" s="8" t="s">
        <v>228</v>
      </c>
      <c r="BG353" s="7" t="s">
        <v>228</v>
      </c>
      <c r="BH353" s="7" t="s">
        <v>228</v>
      </c>
      <c r="BI353" s="7"/>
      <c r="BJ353" s="4">
        <v>2</v>
      </c>
      <c r="BK353" s="8">
        <v>63.78</v>
      </c>
      <c r="BL353" s="2" t="s">
        <v>699</v>
      </c>
      <c r="BM353" s="7"/>
      <c r="BN353" s="7"/>
      <c r="BO353" s="4"/>
      <c r="BP353" s="8"/>
      <c r="BQ353" s="4"/>
      <c r="BR353" s="8"/>
      <c r="BS353" s="7"/>
      <c r="BT353" s="7"/>
      <c r="BU353" s="2" t="s">
        <v>2398</v>
      </c>
      <c r="BV353" s="2" t="s">
        <v>228</v>
      </c>
      <c r="BW353" s="2" t="s">
        <v>228</v>
      </c>
      <c r="BX353" s="2" t="s">
        <v>273</v>
      </c>
      <c r="BY353" s="2" t="s">
        <v>274</v>
      </c>
      <c r="BZ353" s="2" t="s">
        <v>240</v>
      </c>
      <c r="CA353" s="2" t="s">
        <v>1554</v>
      </c>
      <c r="CB353" s="2" t="s">
        <v>228</v>
      </c>
      <c r="CC353" s="2" t="s">
        <v>241</v>
      </c>
      <c r="CD353" s="2" t="s">
        <v>228</v>
      </c>
      <c r="CE353" s="4">
        <v>42</v>
      </c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</row>
    <row r="354">
      <c r="A354" s="2" t="s">
        <v>2399</v>
      </c>
      <c r="B354" s="2" t="s">
        <v>848</v>
      </c>
      <c r="C354" s="2" t="s">
        <v>2390</v>
      </c>
      <c r="D354" s="2" t="s">
        <v>1112</v>
      </c>
      <c r="E354" s="2" t="s">
        <v>1165</v>
      </c>
      <c r="F354" s="2" t="s">
        <v>2391</v>
      </c>
      <c r="G354" s="2" t="s">
        <v>2391</v>
      </c>
      <c r="H354" s="2" t="s">
        <v>2391</v>
      </c>
      <c r="I354" s="2" t="s">
        <v>2400</v>
      </c>
      <c r="J354" s="2" t="s">
        <v>1189</v>
      </c>
      <c r="K354" s="2" t="s">
        <v>265</v>
      </c>
      <c r="L354" s="3">
        <v>37.69</v>
      </c>
      <c r="M354" s="3">
        <v>39.57</v>
      </c>
      <c r="N354" s="3">
        <v>64.99</v>
      </c>
      <c r="O354" s="2" t="s">
        <v>461</v>
      </c>
      <c r="P354" s="2" t="s">
        <v>1116</v>
      </c>
      <c r="Q354" s="2" t="s">
        <v>234</v>
      </c>
      <c r="R354" s="2" t="s">
        <v>727</v>
      </c>
      <c r="S354" s="2" t="s">
        <v>228</v>
      </c>
      <c r="T354" s="2" t="s">
        <v>228</v>
      </c>
      <c r="U354" s="2" t="s">
        <v>500</v>
      </c>
      <c r="V354" s="2" t="s">
        <v>374</v>
      </c>
      <c r="W354" s="2" t="s">
        <v>228</v>
      </c>
      <c r="X354" s="2" t="s">
        <v>228</v>
      </c>
      <c r="Y354" s="2" t="s">
        <v>2393</v>
      </c>
      <c r="Z354" s="4">
        <v>209</v>
      </c>
      <c r="AA354" s="4">
        <f>=ROUNDDOWN(104.5,0)</f>
      </c>
      <c r="AB354" s="5">
        <v>2</v>
      </c>
      <c r="AC354" s="2" t="s">
        <v>228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228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228</v>
      </c>
      <c r="AW354" s="8" t="s">
        <v>228</v>
      </c>
      <c r="AX354" s="4" t="s">
        <v>228</v>
      </c>
      <c r="AY354" s="8" t="s">
        <v>228</v>
      </c>
      <c r="AZ354" s="7" t="s">
        <v>228</v>
      </c>
      <c r="BA354" s="7" t="s">
        <v>228</v>
      </c>
      <c r="BB354" s="7" t="s">
        <v>228</v>
      </c>
      <c r="BC354" s="4" t="s">
        <v>228</v>
      </c>
      <c r="BD354" s="8" t="s">
        <v>228</v>
      </c>
      <c r="BE354" s="4" t="s">
        <v>228</v>
      </c>
      <c r="BF354" s="8" t="s">
        <v>228</v>
      </c>
      <c r="BG354" s="7" t="s">
        <v>228</v>
      </c>
      <c r="BH354" s="7" t="s">
        <v>228</v>
      </c>
      <c r="BI354" s="7"/>
      <c r="BJ354" s="4"/>
      <c r="BK354" s="8"/>
      <c r="BL354" s="2" t="s">
        <v>228</v>
      </c>
      <c r="BM354" s="7"/>
      <c r="BN354" s="7"/>
      <c r="BO354" s="4"/>
      <c r="BP354" s="8"/>
      <c r="BQ354" s="4"/>
      <c r="BR354" s="8"/>
      <c r="BS354" s="7"/>
      <c r="BT354" s="7"/>
      <c r="BU354" s="2" t="s">
        <v>2401</v>
      </c>
      <c r="BV354" s="2" t="s">
        <v>228</v>
      </c>
      <c r="BW354" s="2" t="s">
        <v>228</v>
      </c>
      <c r="BX354" s="2" t="s">
        <v>273</v>
      </c>
      <c r="BY354" s="2" t="s">
        <v>274</v>
      </c>
      <c r="BZ354" s="2" t="s">
        <v>240</v>
      </c>
      <c r="CA354" s="2" t="s">
        <v>947</v>
      </c>
      <c r="CB354" s="2" t="s">
        <v>228</v>
      </c>
      <c r="CC354" s="2" t="s">
        <v>241</v>
      </c>
      <c r="CD354" s="2" t="s">
        <v>228</v>
      </c>
      <c r="CE354" s="4">
        <v>209</v>
      </c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</row>
    <row r="355">
      <c r="A355" s="2" t="s">
        <v>2402</v>
      </c>
      <c r="B355" s="2" t="s">
        <v>848</v>
      </c>
      <c r="C355" s="2" t="s">
        <v>2390</v>
      </c>
      <c r="D355" s="2" t="s">
        <v>1316</v>
      </c>
      <c r="E355" s="2" t="s">
        <v>2396</v>
      </c>
      <c r="F355" s="2" t="s">
        <v>2391</v>
      </c>
      <c r="G355" s="2" t="s">
        <v>2391</v>
      </c>
      <c r="H355" s="2" t="s">
        <v>2391</v>
      </c>
      <c r="I355" s="2" t="s">
        <v>2403</v>
      </c>
      <c r="J355" s="2" t="s">
        <v>1189</v>
      </c>
      <c r="K355" s="2" t="s">
        <v>265</v>
      </c>
      <c r="L355" s="3">
        <v>37.69</v>
      </c>
      <c r="M355" s="3">
        <v>39.57</v>
      </c>
      <c r="N355" s="3">
        <v>64.99</v>
      </c>
      <c r="O355" s="2" t="s">
        <v>461</v>
      </c>
      <c r="P355" s="2" t="s">
        <v>1116</v>
      </c>
      <c r="Q355" s="2" t="s">
        <v>234</v>
      </c>
      <c r="R355" s="2" t="s">
        <v>727</v>
      </c>
      <c r="S355" s="2" t="s">
        <v>228</v>
      </c>
      <c r="T355" s="2" t="s">
        <v>228</v>
      </c>
      <c r="U355" s="2" t="s">
        <v>228</v>
      </c>
      <c r="V355" s="2" t="s">
        <v>374</v>
      </c>
      <c r="W355" s="2" t="s">
        <v>228</v>
      </c>
      <c r="X355" s="2" t="s">
        <v>228</v>
      </c>
      <c r="Y355" s="2" t="s">
        <v>2393</v>
      </c>
      <c r="Z355" s="4">
        <v>70</v>
      </c>
      <c r="AA355" s="4">
        <f>=ROUNDDOWN(35,0)</f>
      </c>
      <c r="AB355" s="5">
        <v>2</v>
      </c>
      <c r="AC355" s="2" t="s">
        <v>228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228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228</v>
      </c>
      <c r="AW355" s="8" t="s">
        <v>228</v>
      </c>
      <c r="AX355" s="4" t="s">
        <v>228</v>
      </c>
      <c r="AY355" s="8" t="s">
        <v>228</v>
      </c>
      <c r="AZ355" s="7" t="s">
        <v>228</v>
      </c>
      <c r="BA355" s="7" t="s">
        <v>228</v>
      </c>
      <c r="BB355" s="7" t="s">
        <v>228</v>
      </c>
      <c r="BC355" s="4" t="s">
        <v>228</v>
      </c>
      <c r="BD355" s="8" t="s">
        <v>228</v>
      </c>
      <c r="BE355" s="4" t="s">
        <v>228</v>
      </c>
      <c r="BF355" s="8" t="s">
        <v>228</v>
      </c>
      <c r="BG355" s="7" t="s">
        <v>228</v>
      </c>
      <c r="BH355" s="7" t="s">
        <v>228</v>
      </c>
      <c r="BI355" s="7"/>
      <c r="BJ355" s="4">
        <v>1</v>
      </c>
      <c r="BK355" s="8">
        <v>37.69</v>
      </c>
      <c r="BL355" s="2" t="s">
        <v>699</v>
      </c>
      <c r="BM355" s="7"/>
      <c r="BN355" s="7"/>
      <c r="BO355" s="4"/>
      <c r="BP355" s="8"/>
      <c r="BQ355" s="4"/>
      <c r="BR355" s="8"/>
      <c r="BS355" s="7"/>
      <c r="BT355" s="7"/>
      <c r="BU355" s="2" t="s">
        <v>2404</v>
      </c>
      <c r="BV355" s="2" t="s">
        <v>228</v>
      </c>
      <c r="BW355" s="2" t="s">
        <v>228</v>
      </c>
      <c r="BX355" s="2" t="s">
        <v>273</v>
      </c>
      <c r="BY355" s="2" t="s">
        <v>274</v>
      </c>
      <c r="BZ355" s="2" t="s">
        <v>240</v>
      </c>
      <c r="CA355" s="2" t="s">
        <v>1554</v>
      </c>
      <c r="CB355" s="2" t="s">
        <v>228</v>
      </c>
      <c r="CC355" s="2" t="s">
        <v>241</v>
      </c>
      <c r="CD355" s="2" t="s">
        <v>228</v>
      </c>
      <c r="CE355" s="4">
        <v>70</v>
      </c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</row>
    <row r="356">
      <c r="A356" s="2" t="s">
        <v>2405</v>
      </c>
      <c r="B356" s="2" t="s">
        <v>970</v>
      </c>
      <c r="C356" s="2" t="s">
        <v>1296</v>
      </c>
      <c r="D356" s="2" t="s">
        <v>971</v>
      </c>
      <c r="E356" s="2" t="s">
        <v>972</v>
      </c>
      <c r="F356" s="2" t="s">
        <v>2406</v>
      </c>
      <c r="G356" s="2" t="s">
        <v>2407</v>
      </c>
      <c r="H356" s="2" t="s">
        <v>2408</v>
      </c>
      <c r="I356" s="2" t="s">
        <v>2409</v>
      </c>
      <c r="J356" s="2" t="s">
        <v>1300</v>
      </c>
      <c r="K356" s="2" t="s">
        <v>978</v>
      </c>
      <c r="L356" s="3">
        <v>18</v>
      </c>
      <c r="M356" s="3">
        <v>18.9</v>
      </c>
      <c r="N356" s="3">
        <v>39.99</v>
      </c>
      <c r="O356" s="2" t="s">
        <v>240</v>
      </c>
      <c r="P356" s="2" t="s">
        <v>266</v>
      </c>
      <c r="Q356" s="2" t="s">
        <v>234</v>
      </c>
      <c r="R356" s="2" t="s">
        <v>228</v>
      </c>
      <c r="S356" s="2" t="s">
        <v>2410</v>
      </c>
      <c r="T356" s="2" t="s">
        <v>228</v>
      </c>
      <c r="U356" s="2" t="s">
        <v>228</v>
      </c>
      <c r="V356" s="2" t="s">
        <v>1644</v>
      </c>
      <c r="W356" s="2" t="s">
        <v>417</v>
      </c>
      <c r="X356" s="2" t="s">
        <v>2411</v>
      </c>
      <c r="Y356" s="2" t="s">
        <v>1055</v>
      </c>
      <c r="Z356" s="4">
        <v>3</v>
      </c>
      <c r="AA356" s="4">
        <f>=ROUNDDOWN(0.15,0)</f>
      </c>
      <c r="AB356" s="5">
        <v>20</v>
      </c>
      <c r="AC356" s="2" t="s">
        <v>1352</v>
      </c>
      <c r="AD356" s="4">
        <v>200</v>
      </c>
      <c r="AE356" s="4">
        <v>560</v>
      </c>
      <c r="AF356" s="6">
        <v>65</v>
      </c>
      <c r="AG356" s="6"/>
      <c r="AH356" s="7">
        <v>0</v>
      </c>
      <c r="AI356" s="4"/>
      <c r="AJ356" s="4">
        <f>=ROUNDDOWN({0},0)</f>
      </c>
      <c r="AK356" s="5"/>
      <c r="AL356" s="2" t="s">
        <v>228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 t="s">
        <v>228</v>
      </c>
      <c r="BD356" s="8" t="s">
        <v>228</v>
      </c>
      <c r="BE356" s="4" t="s">
        <v>228</v>
      </c>
      <c r="BF356" s="8" t="s">
        <v>228</v>
      </c>
      <c r="BG356" s="7" t="s">
        <v>228</v>
      </c>
      <c r="BH356" s="7" t="s">
        <v>228</v>
      </c>
      <c r="BI356" s="7"/>
      <c r="BJ356" s="4">
        <v>7</v>
      </c>
      <c r="BK356" s="8">
        <v>141.1</v>
      </c>
      <c r="BL356" s="2" t="s">
        <v>2412</v>
      </c>
      <c r="BM356" s="7"/>
      <c r="BN356" s="7"/>
      <c r="BO356" s="4"/>
      <c r="BP356" s="8"/>
      <c r="BQ356" s="4"/>
      <c r="BR356" s="8"/>
      <c r="BS356" s="7"/>
      <c r="BT356" s="7"/>
      <c r="BU356" s="2" t="s">
        <v>2413</v>
      </c>
      <c r="BV356" s="2" t="s">
        <v>228</v>
      </c>
      <c r="BW356" s="2" t="s">
        <v>228</v>
      </c>
      <c r="BX356" s="2" t="s">
        <v>273</v>
      </c>
      <c r="BY356" s="2" t="s">
        <v>274</v>
      </c>
      <c r="BZ356" s="2" t="s">
        <v>240</v>
      </c>
      <c r="CA356" s="2" t="s">
        <v>1242</v>
      </c>
      <c r="CB356" s="2" t="s">
        <v>2414</v>
      </c>
      <c r="CC356" s="2" t="s">
        <v>241</v>
      </c>
      <c r="CD356" s="2" t="s">
        <v>228</v>
      </c>
      <c r="CE356" s="4">
        <v>3</v>
      </c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>
        <v>200</v>
      </c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>
        <v>120</v>
      </c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>
        <v>100</v>
      </c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>
        <v>140</v>
      </c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</row>
    <row r="357">
      <c r="A357" s="2" t="s">
        <v>2415</v>
      </c>
      <c r="B357" s="2" t="s">
        <v>970</v>
      </c>
      <c r="C357" s="2" t="s">
        <v>1296</v>
      </c>
      <c r="D357" s="2" t="s">
        <v>971</v>
      </c>
      <c r="E357" s="2" t="s">
        <v>972</v>
      </c>
      <c r="F357" s="2" t="s">
        <v>2406</v>
      </c>
      <c r="G357" s="2" t="s">
        <v>2407</v>
      </c>
      <c r="H357" s="2" t="s">
        <v>2408</v>
      </c>
      <c r="I357" s="2" t="s">
        <v>2409</v>
      </c>
      <c r="J357" s="2" t="s">
        <v>1300</v>
      </c>
      <c r="K357" s="2" t="s">
        <v>829</v>
      </c>
      <c r="L357" s="3">
        <v>18</v>
      </c>
      <c r="M357" s="3">
        <v>18.9</v>
      </c>
      <c r="N357" s="3">
        <v>39.99</v>
      </c>
      <c r="O357" s="2" t="s">
        <v>240</v>
      </c>
      <c r="P357" s="2" t="s">
        <v>266</v>
      </c>
      <c r="Q357" s="2" t="s">
        <v>234</v>
      </c>
      <c r="R357" s="2" t="s">
        <v>228</v>
      </c>
      <c r="S357" s="2" t="s">
        <v>2416</v>
      </c>
      <c r="T357" s="2" t="s">
        <v>228</v>
      </c>
      <c r="U357" s="2" t="s">
        <v>228</v>
      </c>
      <c r="V357" s="2" t="s">
        <v>1644</v>
      </c>
      <c r="W357" s="2" t="s">
        <v>417</v>
      </c>
      <c r="X357" s="2" t="s">
        <v>2411</v>
      </c>
      <c r="Y357" s="2" t="s">
        <v>1055</v>
      </c>
      <c r="Z357" s="4">
        <v>203</v>
      </c>
      <c r="AA357" s="4">
        <f>=ROUNDDOWN(18.4545454545455,0)</f>
      </c>
      <c r="AB357" s="5">
        <v>11</v>
      </c>
      <c r="AC357" s="2" t="s">
        <v>228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228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 t="s">
        <v>228</v>
      </c>
      <c r="BD357" s="8" t="s">
        <v>228</v>
      </c>
      <c r="BE357" s="4" t="s">
        <v>228</v>
      </c>
      <c r="BF357" s="8" t="s">
        <v>228</v>
      </c>
      <c r="BG357" s="7" t="s">
        <v>228</v>
      </c>
      <c r="BH357" s="7" t="s">
        <v>228</v>
      </c>
      <c r="BI357" s="7"/>
      <c r="BJ357" s="4">
        <v>51</v>
      </c>
      <c r="BK357" s="8">
        <v>1258.58</v>
      </c>
      <c r="BL357" s="2" t="s">
        <v>2417</v>
      </c>
      <c r="BM357" s="7"/>
      <c r="BN357" s="7"/>
      <c r="BO357" s="4"/>
      <c r="BP357" s="8"/>
      <c r="BQ357" s="4"/>
      <c r="BR357" s="8"/>
      <c r="BS357" s="7"/>
      <c r="BT357" s="7"/>
      <c r="BU357" s="2" t="s">
        <v>2418</v>
      </c>
      <c r="BV357" s="2" t="s">
        <v>228</v>
      </c>
      <c r="BW357" s="2" t="s">
        <v>228</v>
      </c>
      <c r="BX357" s="2" t="s">
        <v>273</v>
      </c>
      <c r="BY357" s="2" t="s">
        <v>274</v>
      </c>
      <c r="BZ357" s="2" t="s">
        <v>240</v>
      </c>
      <c r="CA357" s="2" t="s">
        <v>1242</v>
      </c>
      <c r="CB357" s="2" t="s">
        <v>2419</v>
      </c>
      <c r="CC357" s="2" t="s">
        <v>241</v>
      </c>
      <c r="CD357" s="2" t="s">
        <v>228</v>
      </c>
      <c r="CE357" s="4">
        <v>203</v>
      </c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</row>
    <row r="358">
      <c r="A358" s="2" t="s">
        <v>2420</v>
      </c>
      <c r="B358" s="2" t="s">
        <v>223</v>
      </c>
      <c r="C358" s="2" t="s">
        <v>1261</v>
      </c>
      <c r="D358" s="2" t="s">
        <v>1601</v>
      </c>
      <c r="E358" s="2" t="s">
        <v>2421</v>
      </c>
      <c r="F358" s="2" t="s">
        <v>2422</v>
      </c>
      <c r="G358" s="2" t="s">
        <v>2422</v>
      </c>
      <c r="H358" s="2" t="s">
        <v>2422</v>
      </c>
      <c r="I358" s="2" t="s">
        <v>2423</v>
      </c>
      <c r="J358" s="2" t="s">
        <v>1412</v>
      </c>
      <c r="K358" s="2" t="s">
        <v>1357</v>
      </c>
      <c r="L358" s="3">
        <v>20.14</v>
      </c>
      <c r="M358" s="3">
        <v>21.15</v>
      </c>
      <c r="N358" s="3">
        <v>44.99</v>
      </c>
      <c r="O358" s="2" t="s">
        <v>240</v>
      </c>
      <c r="P358" s="2" t="s">
        <v>266</v>
      </c>
      <c r="Q358" s="2" t="s">
        <v>234</v>
      </c>
      <c r="R358" s="2" t="s">
        <v>228</v>
      </c>
      <c r="S358" s="2" t="s">
        <v>2424</v>
      </c>
      <c r="T358" s="2" t="s">
        <v>1266</v>
      </c>
      <c r="U358" s="2" t="s">
        <v>416</v>
      </c>
      <c r="V358" s="2" t="s">
        <v>1438</v>
      </c>
      <c r="W358" s="2" t="s">
        <v>1267</v>
      </c>
      <c r="X358" s="2" t="s">
        <v>743</v>
      </c>
      <c r="Y358" s="2" t="s">
        <v>2425</v>
      </c>
      <c r="Z358" s="4">
        <v>329</v>
      </c>
      <c r="AA358" s="4">
        <f>=ROUNDDOWN(47,0)</f>
      </c>
      <c r="AB358" s="5">
        <v>7</v>
      </c>
      <c r="AC358" s="2" t="s">
        <v>192</v>
      </c>
      <c r="AD358" s="4">
        <v>800</v>
      </c>
      <c r="AE358" s="4">
        <v>800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228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 t="s">
        <v>228</v>
      </c>
      <c r="BD358" s="8" t="s">
        <v>228</v>
      </c>
      <c r="BE358" s="4" t="s">
        <v>228</v>
      </c>
      <c r="BF358" s="8" t="s">
        <v>228</v>
      </c>
      <c r="BG358" s="7" t="s">
        <v>228</v>
      </c>
      <c r="BH358" s="7" t="s">
        <v>228</v>
      </c>
      <c r="BI358" s="7"/>
      <c r="BJ358" s="4">
        <v>36</v>
      </c>
      <c r="BK358" s="8">
        <v>876.8</v>
      </c>
      <c r="BL358" s="2" t="s">
        <v>2426</v>
      </c>
      <c r="BM358" s="7"/>
      <c r="BN358" s="7"/>
      <c r="BO358" s="4"/>
      <c r="BP358" s="8"/>
      <c r="BQ358" s="4"/>
      <c r="BR358" s="8"/>
      <c r="BS358" s="7"/>
      <c r="BT358" s="7"/>
      <c r="BU358" s="2" t="s">
        <v>2427</v>
      </c>
      <c r="BV358" s="2" t="s">
        <v>228</v>
      </c>
      <c r="BW358" s="2" t="s">
        <v>228</v>
      </c>
      <c r="BX358" s="2" t="s">
        <v>273</v>
      </c>
      <c r="BY358" s="2" t="s">
        <v>274</v>
      </c>
      <c r="BZ358" s="2" t="s">
        <v>240</v>
      </c>
      <c r="CA358" s="2" t="s">
        <v>486</v>
      </c>
      <c r="CB358" s="2" t="s">
        <v>2428</v>
      </c>
      <c r="CC358" s="2" t="s">
        <v>241</v>
      </c>
      <c r="CD358" s="2" t="s">
        <v>228</v>
      </c>
      <c r="CE358" s="4">
        <v>329</v>
      </c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>
        <v>800</v>
      </c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</row>
    <row r="359">
      <c r="A359" s="2" t="s">
        <v>2429</v>
      </c>
      <c r="B359" s="2" t="s">
        <v>223</v>
      </c>
      <c r="C359" s="2" t="s">
        <v>1261</v>
      </c>
      <c r="D359" s="2" t="s">
        <v>1601</v>
      </c>
      <c r="E359" s="2" t="s">
        <v>2421</v>
      </c>
      <c r="F359" s="2" t="s">
        <v>2422</v>
      </c>
      <c r="G359" s="2" t="s">
        <v>2422</v>
      </c>
      <c r="H359" s="2" t="s">
        <v>2422</v>
      </c>
      <c r="I359" s="2" t="s">
        <v>2423</v>
      </c>
      <c r="J359" s="2" t="s">
        <v>1412</v>
      </c>
      <c r="K359" s="2" t="s">
        <v>1390</v>
      </c>
      <c r="L359" s="3">
        <v>20.14</v>
      </c>
      <c r="M359" s="3">
        <v>21.15</v>
      </c>
      <c r="N359" s="3">
        <v>44.99</v>
      </c>
      <c r="O359" s="2" t="s">
        <v>240</v>
      </c>
      <c r="P359" s="2" t="s">
        <v>1012</v>
      </c>
      <c r="Q359" s="2" t="s">
        <v>234</v>
      </c>
      <c r="R359" s="2" t="s">
        <v>228</v>
      </c>
      <c r="S359" s="2" t="s">
        <v>2430</v>
      </c>
      <c r="T359" s="2" t="s">
        <v>1266</v>
      </c>
      <c r="U359" s="2" t="s">
        <v>416</v>
      </c>
      <c r="V359" s="2" t="s">
        <v>1438</v>
      </c>
      <c r="W359" s="2" t="s">
        <v>1267</v>
      </c>
      <c r="X359" s="2" t="s">
        <v>743</v>
      </c>
      <c r="Y359" s="2" t="s">
        <v>2425</v>
      </c>
      <c r="Z359" s="4">
        <v>473</v>
      </c>
      <c r="AA359" s="4">
        <f>=ROUNDDOWN(94.6,0)</f>
      </c>
      <c r="AB359" s="5">
        <v>5</v>
      </c>
      <c r="AC359" s="2" t="s">
        <v>228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228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 t="s">
        <v>228</v>
      </c>
      <c r="BD359" s="8" t="s">
        <v>228</v>
      </c>
      <c r="BE359" s="4" t="s">
        <v>228</v>
      </c>
      <c r="BF359" s="8" t="s">
        <v>228</v>
      </c>
      <c r="BG359" s="7" t="s">
        <v>228</v>
      </c>
      <c r="BH359" s="7" t="s">
        <v>228</v>
      </c>
      <c r="BI359" s="7"/>
      <c r="BJ359" s="4">
        <v>18</v>
      </c>
      <c r="BK359" s="8">
        <v>432.99</v>
      </c>
      <c r="BL359" s="2" t="s">
        <v>2431</v>
      </c>
      <c r="BM359" s="7"/>
      <c r="BN359" s="7"/>
      <c r="BO359" s="4"/>
      <c r="BP359" s="8"/>
      <c r="BQ359" s="4"/>
      <c r="BR359" s="8"/>
      <c r="BS359" s="7"/>
      <c r="BT359" s="7"/>
      <c r="BU359" s="2" t="s">
        <v>2432</v>
      </c>
      <c r="BV359" s="2" t="s">
        <v>228</v>
      </c>
      <c r="BW359" s="2" t="s">
        <v>228</v>
      </c>
      <c r="BX359" s="2" t="s">
        <v>273</v>
      </c>
      <c r="BY359" s="2" t="s">
        <v>274</v>
      </c>
      <c r="BZ359" s="2" t="s">
        <v>240</v>
      </c>
      <c r="CA359" s="2" t="s">
        <v>486</v>
      </c>
      <c r="CB359" s="2" t="s">
        <v>1443</v>
      </c>
      <c r="CC359" s="2" t="s">
        <v>241</v>
      </c>
      <c r="CD359" s="2" t="s">
        <v>228</v>
      </c>
      <c r="CE359" s="4">
        <v>473</v>
      </c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</row>
    <row r="360">
      <c r="A360" s="2" t="s">
        <v>2433</v>
      </c>
      <c r="B360" s="2" t="s">
        <v>866</v>
      </c>
      <c r="C360" s="2" t="s">
        <v>300</v>
      </c>
      <c r="D360" s="2" t="s">
        <v>899</v>
      </c>
      <c r="E360" s="2" t="s">
        <v>877</v>
      </c>
      <c r="F360" s="2" t="s">
        <v>2434</v>
      </c>
      <c r="G360" s="2" t="s">
        <v>2434</v>
      </c>
      <c r="H360" s="2" t="s">
        <v>2434</v>
      </c>
      <c r="I360" s="2" t="s">
        <v>2435</v>
      </c>
      <c r="J360" s="2" t="s">
        <v>840</v>
      </c>
      <c r="K360" s="2" t="s">
        <v>1357</v>
      </c>
      <c r="L360" s="3">
        <v>76.19</v>
      </c>
      <c r="M360" s="3">
        <v>80</v>
      </c>
      <c r="N360" s="3">
        <v>140.24</v>
      </c>
      <c r="O360" s="2" t="s">
        <v>240</v>
      </c>
      <c r="P360" s="2" t="s">
        <v>889</v>
      </c>
      <c r="Q360" s="2" t="s">
        <v>234</v>
      </c>
      <c r="R360" s="2" t="s">
        <v>228</v>
      </c>
      <c r="S360" s="2" t="s">
        <v>2436</v>
      </c>
      <c r="T360" s="2" t="s">
        <v>228</v>
      </c>
      <c r="U360" s="2" t="s">
        <v>1170</v>
      </c>
      <c r="V360" s="2" t="s">
        <v>859</v>
      </c>
      <c r="W360" s="2" t="s">
        <v>417</v>
      </c>
      <c r="X360" s="2" t="s">
        <v>228</v>
      </c>
      <c r="Y360" s="2" t="s">
        <v>2437</v>
      </c>
      <c r="Z360" s="4">
        <v>66</v>
      </c>
      <c r="AA360" s="4">
        <f>=ROUNDDOWN(13.2,0)</f>
      </c>
      <c r="AB360" s="5">
        <v>5</v>
      </c>
      <c r="AC360" s="2" t="s">
        <v>157</v>
      </c>
      <c r="AD360" s="4">
        <v>160</v>
      </c>
      <c r="AE360" s="4">
        <v>160</v>
      </c>
      <c r="AF360" s="6">
        <v>63</v>
      </c>
      <c r="AG360" s="6"/>
      <c r="AH360" s="7">
        <v>1</v>
      </c>
      <c r="AI360" s="4"/>
      <c r="AJ360" s="4">
        <f>=ROUNDDOWN({0},0)</f>
      </c>
      <c r="AK360" s="5"/>
      <c r="AL360" s="2" t="s">
        <v>228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>
        <v>13</v>
      </c>
      <c r="BK360" s="8">
        <v>1166.67</v>
      </c>
      <c r="BL360" s="2" t="s">
        <v>2438</v>
      </c>
      <c r="BM360" s="7"/>
      <c r="BN360" s="7"/>
      <c r="BO360" s="4"/>
      <c r="BP360" s="8"/>
      <c r="BQ360" s="4"/>
      <c r="BR360" s="8"/>
      <c r="BS360" s="7"/>
      <c r="BT360" s="7"/>
      <c r="BU360" s="2" t="s">
        <v>2439</v>
      </c>
      <c r="BV360" s="2" t="s">
        <v>228</v>
      </c>
      <c r="BW360" s="2" t="s">
        <v>228</v>
      </c>
      <c r="BX360" s="2" t="s">
        <v>273</v>
      </c>
      <c r="BY360" s="2" t="s">
        <v>274</v>
      </c>
      <c r="BZ360" s="2" t="s">
        <v>240</v>
      </c>
      <c r="CA360" s="2" t="s">
        <v>2440</v>
      </c>
      <c r="CB360" s="2" t="s">
        <v>1920</v>
      </c>
      <c r="CC360" s="2" t="s">
        <v>241</v>
      </c>
      <c r="CD360" s="2" t="s">
        <v>228</v>
      </c>
      <c r="CE360" s="4"/>
      <c r="CF360" s="4">
        <v>66</v>
      </c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>
        <v>160</v>
      </c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</row>
    <row r="361">
      <c r="A361" s="2" t="s">
        <v>2441</v>
      </c>
      <c r="B361" s="2" t="s">
        <v>866</v>
      </c>
      <c r="C361" s="2" t="s">
        <v>300</v>
      </c>
      <c r="D361" s="2" t="s">
        <v>899</v>
      </c>
      <c r="E361" s="2" t="s">
        <v>877</v>
      </c>
      <c r="F361" s="2" t="s">
        <v>2442</v>
      </c>
      <c r="G361" s="2" t="s">
        <v>2442</v>
      </c>
      <c r="H361" s="2" t="s">
        <v>2442</v>
      </c>
      <c r="I361" s="2" t="s">
        <v>2443</v>
      </c>
      <c r="J361" s="2" t="s">
        <v>840</v>
      </c>
      <c r="K361" s="2" t="s">
        <v>2444</v>
      </c>
      <c r="L361" s="3">
        <v>69.19</v>
      </c>
      <c r="M361" s="3">
        <v>72.65</v>
      </c>
      <c r="N361" s="3">
        <v>135.99</v>
      </c>
      <c r="O361" s="2" t="s">
        <v>240</v>
      </c>
      <c r="P361" s="2" t="s">
        <v>266</v>
      </c>
      <c r="Q361" s="2" t="s">
        <v>234</v>
      </c>
      <c r="R361" s="2" t="s">
        <v>228</v>
      </c>
      <c r="S361" s="2" t="s">
        <v>2445</v>
      </c>
      <c r="T361" s="2" t="s">
        <v>228</v>
      </c>
      <c r="U361" s="2" t="s">
        <v>1170</v>
      </c>
      <c r="V361" s="2" t="s">
        <v>859</v>
      </c>
      <c r="W361" s="2" t="s">
        <v>417</v>
      </c>
      <c r="X361" s="2" t="s">
        <v>2446</v>
      </c>
      <c r="Y361" s="2" t="s">
        <v>2447</v>
      </c>
      <c r="Z361" s="4">
        <v>35</v>
      </c>
      <c r="AA361" s="4">
        <f>=ROUNDDOWN(11.6666666666667,0)</f>
      </c>
      <c r="AB361" s="5">
        <v>3</v>
      </c>
      <c r="AC361" s="2" t="s">
        <v>168</v>
      </c>
      <c r="AD361" s="4">
        <v>60</v>
      </c>
      <c r="AE361" s="4">
        <v>60</v>
      </c>
      <c r="AF361" s="6">
        <v>63</v>
      </c>
      <c r="AG361" s="6">
        <v>46</v>
      </c>
      <c r="AH361" s="7">
        <v>1</v>
      </c>
      <c r="AI361" s="4"/>
      <c r="AJ361" s="4">
        <f>=ROUNDDOWN({0},0)</f>
      </c>
      <c r="AK361" s="5"/>
      <c r="AL361" s="2" t="s">
        <v>228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>
        <v>12</v>
      </c>
      <c r="BK361" s="8">
        <v>973.58</v>
      </c>
      <c r="BL361" s="2" t="s">
        <v>2448</v>
      </c>
      <c r="BM361" s="7"/>
      <c r="BN361" s="7"/>
      <c r="BO361" s="4"/>
      <c r="BP361" s="8"/>
      <c r="BQ361" s="4"/>
      <c r="BR361" s="8"/>
      <c r="BS361" s="7"/>
      <c r="BT361" s="7"/>
      <c r="BU361" s="2" t="s">
        <v>2449</v>
      </c>
      <c r="BV361" s="2" t="s">
        <v>228</v>
      </c>
      <c r="BW361" s="2" t="s">
        <v>228</v>
      </c>
      <c r="BX361" s="2" t="s">
        <v>273</v>
      </c>
      <c r="BY361" s="2" t="s">
        <v>274</v>
      </c>
      <c r="BZ361" s="2" t="s">
        <v>240</v>
      </c>
      <c r="CA361" s="2" t="s">
        <v>2450</v>
      </c>
      <c r="CB361" s="2" t="s">
        <v>2451</v>
      </c>
      <c r="CC361" s="2" t="s">
        <v>241</v>
      </c>
      <c r="CD361" s="2" t="s">
        <v>228</v>
      </c>
      <c r="CE361" s="4"/>
      <c r="CF361" s="4">
        <v>35</v>
      </c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>
        <v>60</v>
      </c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</row>
    <row r="362">
      <c r="A362" s="2" t="s">
        <v>2452</v>
      </c>
      <c r="B362" s="2" t="s">
        <v>866</v>
      </c>
      <c r="C362" s="2" t="s">
        <v>300</v>
      </c>
      <c r="D362" s="2" t="s">
        <v>899</v>
      </c>
      <c r="E362" s="2" t="s">
        <v>877</v>
      </c>
      <c r="F362" s="2" t="s">
        <v>2453</v>
      </c>
      <c r="G362" s="2" t="s">
        <v>2453</v>
      </c>
      <c r="H362" s="2" t="s">
        <v>2453</v>
      </c>
      <c r="I362" s="2" t="s">
        <v>2454</v>
      </c>
      <c r="J362" s="2" t="s">
        <v>840</v>
      </c>
      <c r="K362" s="2" t="s">
        <v>265</v>
      </c>
      <c r="L362" s="3">
        <v>46.22</v>
      </c>
      <c r="M362" s="3">
        <v>48.53</v>
      </c>
      <c r="N362" s="3">
        <v>89.24</v>
      </c>
      <c r="O362" s="2" t="s">
        <v>240</v>
      </c>
      <c r="P362" s="2" t="s">
        <v>266</v>
      </c>
      <c r="Q362" s="2" t="s">
        <v>234</v>
      </c>
      <c r="R362" s="2" t="s">
        <v>228</v>
      </c>
      <c r="S362" s="2" t="s">
        <v>2455</v>
      </c>
      <c r="T362" s="2" t="s">
        <v>228</v>
      </c>
      <c r="U362" s="2" t="s">
        <v>520</v>
      </c>
      <c r="V362" s="2" t="s">
        <v>859</v>
      </c>
      <c r="W362" s="2" t="s">
        <v>417</v>
      </c>
      <c r="X362" s="2" t="s">
        <v>228</v>
      </c>
      <c r="Y362" s="2" t="s">
        <v>2456</v>
      </c>
      <c r="Z362" s="4">
        <v>59</v>
      </c>
      <c r="AA362" s="4">
        <f>=ROUNDDOWN(11.8,0)</f>
      </c>
      <c r="AB362" s="5">
        <v>5</v>
      </c>
      <c r="AC362" s="2" t="s">
        <v>157</v>
      </c>
      <c r="AD362" s="4">
        <v>120</v>
      </c>
      <c r="AE362" s="4">
        <v>120</v>
      </c>
      <c r="AF362" s="6">
        <v>63</v>
      </c>
      <c r="AG362" s="6"/>
      <c r="AH362" s="7">
        <v>1</v>
      </c>
      <c r="AI362" s="4"/>
      <c r="AJ362" s="4">
        <f>=ROUNDDOWN({0},0)</f>
      </c>
      <c r="AK362" s="5"/>
      <c r="AL362" s="2" t="s">
        <v>228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>
        <v>12</v>
      </c>
      <c r="BK362" s="8">
        <v>664.78</v>
      </c>
      <c r="BL362" s="2" t="s">
        <v>2457</v>
      </c>
      <c r="BM362" s="7"/>
      <c r="BN362" s="7"/>
      <c r="BO362" s="4"/>
      <c r="BP362" s="8"/>
      <c r="BQ362" s="4"/>
      <c r="BR362" s="8"/>
      <c r="BS362" s="7"/>
      <c r="BT362" s="7"/>
      <c r="BU362" s="2" t="s">
        <v>2458</v>
      </c>
      <c r="BV362" s="2" t="s">
        <v>228</v>
      </c>
      <c r="BW362" s="2" t="s">
        <v>228</v>
      </c>
      <c r="BX362" s="2" t="s">
        <v>273</v>
      </c>
      <c r="BY362" s="2" t="s">
        <v>274</v>
      </c>
      <c r="BZ362" s="2" t="s">
        <v>240</v>
      </c>
      <c r="CA362" s="2" t="s">
        <v>2459</v>
      </c>
      <c r="CB362" s="2" t="s">
        <v>2460</v>
      </c>
      <c r="CC362" s="2" t="s">
        <v>241</v>
      </c>
      <c r="CD362" s="2" t="s">
        <v>228</v>
      </c>
      <c r="CE362" s="4"/>
      <c r="CF362" s="4">
        <v>59</v>
      </c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>
        <v>120</v>
      </c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</row>
    <row r="363">
      <c r="A363" s="2" t="s">
        <v>2461</v>
      </c>
      <c r="B363" s="2" t="s">
        <v>866</v>
      </c>
      <c r="C363" s="2" t="s">
        <v>300</v>
      </c>
      <c r="D363" s="2" t="s">
        <v>899</v>
      </c>
      <c r="E363" s="2" t="s">
        <v>877</v>
      </c>
      <c r="F363" s="2" t="s">
        <v>2462</v>
      </c>
      <c r="G363" s="2" t="s">
        <v>228</v>
      </c>
      <c r="H363" s="2" t="s">
        <v>228</v>
      </c>
      <c r="I363" s="2" t="s">
        <v>2463</v>
      </c>
      <c r="J363" s="2" t="s">
        <v>840</v>
      </c>
      <c r="K363" s="2" t="s">
        <v>265</v>
      </c>
      <c r="L363" s="3">
        <v>21.58</v>
      </c>
      <c r="M363" s="3">
        <v>22.66</v>
      </c>
      <c r="N363" s="3">
        <v>49.99</v>
      </c>
      <c r="O363" s="2" t="s">
        <v>491</v>
      </c>
      <c r="P363" s="2" t="s">
        <v>333</v>
      </c>
      <c r="Q363" s="2" t="s">
        <v>234</v>
      </c>
      <c r="R363" s="2" t="s">
        <v>228</v>
      </c>
      <c r="S363" s="2" t="s">
        <v>2464</v>
      </c>
      <c r="T363" s="2" t="s">
        <v>228</v>
      </c>
      <c r="U363" s="2" t="s">
        <v>500</v>
      </c>
      <c r="V363" s="2" t="s">
        <v>1156</v>
      </c>
      <c r="W363" s="2" t="s">
        <v>463</v>
      </c>
      <c r="X363" s="2" t="s">
        <v>228</v>
      </c>
      <c r="Y363" s="2" t="s">
        <v>2465</v>
      </c>
      <c r="Z363" s="4"/>
      <c r="AA363" s="4">
        <f>=ROUNDDOWN({0},0)</f>
      </c>
      <c r="AB363" s="5">
        <v>2.8</v>
      </c>
      <c r="AC363" s="2" t="s">
        <v>228</v>
      </c>
      <c r="AD363" s="4"/>
      <c r="AE363" s="4"/>
      <c r="AF363" s="6">
        <v>63</v>
      </c>
      <c r="AG363" s="6"/>
      <c r="AH363" s="7">
        <v>0.6774</v>
      </c>
      <c r="AI363" s="4"/>
      <c r="AJ363" s="4">
        <f>=ROUNDDOWN({0},0)</f>
      </c>
      <c r="AK363" s="5"/>
      <c r="AL363" s="2" t="s">
        <v>228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/>
      <c r="BD363" s="8"/>
      <c r="BE363" s="4"/>
      <c r="BF363" s="8"/>
      <c r="BG363" s="7"/>
      <c r="BH363" s="7"/>
      <c r="BI363" s="7"/>
      <c r="BJ363" s="4">
        <v>3</v>
      </c>
      <c r="BK363" s="8">
        <v>85.78</v>
      </c>
      <c r="BL363" s="2" t="s">
        <v>2466</v>
      </c>
      <c r="BM363" s="7"/>
      <c r="BN363" s="7"/>
      <c r="BO363" s="4"/>
      <c r="BP363" s="8"/>
      <c r="BQ363" s="4"/>
      <c r="BR363" s="8"/>
      <c r="BS363" s="7"/>
      <c r="BT363" s="7"/>
      <c r="BU363" s="2" t="s">
        <v>2467</v>
      </c>
      <c r="BV363" s="2" t="s">
        <v>228</v>
      </c>
      <c r="BW363" s="2" t="s">
        <v>228</v>
      </c>
      <c r="BX363" s="2" t="s">
        <v>337</v>
      </c>
      <c r="BY363" s="2" t="s">
        <v>274</v>
      </c>
      <c r="BZ363" s="2" t="s">
        <v>240</v>
      </c>
      <c r="CA363" s="2" t="s">
        <v>281</v>
      </c>
      <c r="CB363" s="2" t="s">
        <v>1950</v>
      </c>
      <c r="CC363" s="2" t="s">
        <v>241</v>
      </c>
      <c r="CD363" s="2" t="s">
        <v>228</v>
      </c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</row>
    <row r="364">
      <c r="A364" s="2" t="s">
        <v>2468</v>
      </c>
      <c r="B364" s="2" t="s">
        <v>866</v>
      </c>
      <c r="C364" s="2" t="s">
        <v>300</v>
      </c>
      <c r="D364" s="2" t="s">
        <v>1880</v>
      </c>
      <c r="E364" s="2" t="s">
        <v>868</v>
      </c>
      <c r="F364" s="2" t="s">
        <v>2469</v>
      </c>
      <c r="G364" s="2" t="s">
        <v>2469</v>
      </c>
      <c r="H364" s="2" t="s">
        <v>2469</v>
      </c>
      <c r="I364" s="2" t="s">
        <v>2470</v>
      </c>
      <c r="J364" s="2" t="s">
        <v>840</v>
      </c>
      <c r="K364" s="2" t="s">
        <v>316</v>
      </c>
      <c r="L364" s="3">
        <v>20.4</v>
      </c>
      <c r="M364" s="3">
        <v>21.42</v>
      </c>
      <c r="N364" s="3">
        <v>42.49</v>
      </c>
      <c r="O364" s="2" t="s">
        <v>240</v>
      </c>
      <c r="P364" s="2" t="s">
        <v>1012</v>
      </c>
      <c r="Q364" s="2" t="s">
        <v>234</v>
      </c>
      <c r="R364" s="2" t="s">
        <v>228</v>
      </c>
      <c r="S364" s="2" t="s">
        <v>2471</v>
      </c>
      <c r="T364" s="2" t="s">
        <v>228</v>
      </c>
      <c r="U364" s="2" t="s">
        <v>416</v>
      </c>
      <c r="V364" s="2" t="s">
        <v>1681</v>
      </c>
      <c r="W364" s="2" t="s">
        <v>2472</v>
      </c>
      <c r="X364" s="2" t="s">
        <v>228</v>
      </c>
      <c r="Y364" s="2" t="s">
        <v>2473</v>
      </c>
      <c r="Z364" s="4">
        <v>128</v>
      </c>
      <c r="AA364" s="4">
        <f>=ROUNDDOWN(32,0)</f>
      </c>
      <c r="AB364" s="5">
        <v>4</v>
      </c>
      <c r="AC364" s="2" t="s">
        <v>228</v>
      </c>
      <c r="AD364" s="4"/>
      <c r="AE364" s="4"/>
      <c r="AF364" s="6">
        <v>63</v>
      </c>
      <c r="AG364" s="6"/>
      <c r="AH364" s="7">
        <v>1</v>
      </c>
      <c r="AI364" s="4"/>
      <c r="AJ364" s="4">
        <f>=ROUNDDOWN({0},0)</f>
      </c>
      <c r="AK364" s="5"/>
      <c r="AL364" s="2" t="s">
        <v>228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/>
      <c r="BD364" s="8"/>
      <c r="BE364" s="4"/>
      <c r="BF364" s="8"/>
      <c r="BG364" s="7"/>
      <c r="BH364" s="7"/>
      <c r="BI364" s="7"/>
      <c r="BJ364" s="4">
        <v>17</v>
      </c>
      <c r="BK364" s="8">
        <v>394.73</v>
      </c>
      <c r="BL364" s="2" t="s">
        <v>2087</v>
      </c>
      <c r="BM364" s="7"/>
      <c r="BN364" s="7"/>
      <c r="BO364" s="4"/>
      <c r="BP364" s="8"/>
      <c r="BQ364" s="4"/>
      <c r="BR364" s="8"/>
      <c r="BS364" s="7"/>
      <c r="BT364" s="7"/>
      <c r="BU364" s="2" t="s">
        <v>2474</v>
      </c>
      <c r="BV364" s="2" t="s">
        <v>228</v>
      </c>
      <c r="BW364" s="2" t="s">
        <v>228</v>
      </c>
      <c r="BX364" s="2" t="s">
        <v>273</v>
      </c>
      <c r="BY364" s="2" t="s">
        <v>274</v>
      </c>
      <c r="BZ364" s="2" t="s">
        <v>240</v>
      </c>
      <c r="CA364" s="2" t="s">
        <v>2475</v>
      </c>
      <c r="CB364" s="2" t="s">
        <v>2476</v>
      </c>
      <c r="CC364" s="2" t="s">
        <v>241</v>
      </c>
      <c r="CD364" s="2" t="s">
        <v>228</v>
      </c>
      <c r="CE364" s="4"/>
      <c r="CF364" s="4">
        <v>128</v>
      </c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</row>
    <row r="365">
      <c r="A365" s="2" t="s">
        <v>2477</v>
      </c>
      <c r="B365" s="2" t="s">
        <v>958</v>
      </c>
      <c r="C365" s="2" t="s">
        <v>835</v>
      </c>
      <c r="D365" s="2" t="s">
        <v>1006</v>
      </c>
      <c r="E365" s="2" t="s">
        <v>1007</v>
      </c>
      <c r="F365" s="2" t="s">
        <v>2478</v>
      </c>
      <c r="G365" s="2" t="s">
        <v>2478</v>
      </c>
      <c r="H365" s="2" t="s">
        <v>2478</v>
      </c>
      <c r="I365" s="2" t="s">
        <v>2479</v>
      </c>
      <c r="J365" s="2" t="s">
        <v>840</v>
      </c>
      <c r="K365" s="2" t="s">
        <v>2480</v>
      </c>
      <c r="L365" s="3">
        <v>213.75</v>
      </c>
      <c r="M365" s="3">
        <v>224.44</v>
      </c>
      <c r="N365" s="3">
        <v>449</v>
      </c>
      <c r="O365" s="2" t="s">
        <v>240</v>
      </c>
      <c r="P365" s="2" t="s">
        <v>266</v>
      </c>
      <c r="Q365" s="2" t="s">
        <v>234</v>
      </c>
      <c r="R365" s="2" t="s">
        <v>228</v>
      </c>
      <c r="S365" s="2" t="s">
        <v>228</v>
      </c>
      <c r="T365" s="2" t="s">
        <v>228</v>
      </c>
      <c r="U365" s="2" t="s">
        <v>416</v>
      </c>
      <c r="V365" s="2" t="s">
        <v>842</v>
      </c>
      <c r="W365" s="2" t="s">
        <v>463</v>
      </c>
      <c r="X365" s="2" t="s">
        <v>269</v>
      </c>
      <c r="Y365" s="2" t="s">
        <v>2481</v>
      </c>
      <c r="Z365" s="4">
        <v>108</v>
      </c>
      <c r="AA365" s="4">
        <f>=ROUNDDOWN(21.6,0)</f>
      </c>
      <c r="AB365" s="5">
        <v>5</v>
      </c>
      <c r="AC365" s="2" t="s">
        <v>2482</v>
      </c>
      <c r="AD365" s="4">
        <v>180</v>
      </c>
      <c r="AE365" s="4">
        <v>180</v>
      </c>
      <c r="AF365" s="6">
        <v>74</v>
      </c>
      <c r="AG365" s="6"/>
      <c r="AH365" s="7">
        <v>1</v>
      </c>
      <c r="AI365" s="4"/>
      <c r="AJ365" s="4">
        <f>=ROUNDDOWN({0},0)</f>
      </c>
      <c r="AK365" s="5"/>
      <c r="AL365" s="2" t="s">
        <v>228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 t="s">
        <v>228</v>
      </c>
      <c r="BD365" s="8" t="s">
        <v>228</v>
      </c>
      <c r="BE365" s="4" t="s">
        <v>228</v>
      </c>
      <c r="BF365" s="8" t="s">
        <v>228</v>
      </c>
      <c r="BG365" s="7" t="s">
        <v>228</v>
      </c>
      <c r="BH365" s="7" t="s">
        <v>228</v>
      </c>
      <c r="BI365" s="7"/>
      <c r="BJ365" s="4">
        <v>20</v>
      </c>
      <c r="BK365" s="8">
        <v>4580.8</v>
      </c>
      <c r="BL365" s="2" t="s">
        <v>2483</v>
      </c>
      <c r="BM365" s="7"/>
      <c r="BN365" s="7"/>
      <c r="BO365" s="4"/>
      <c r="BP365" s="8"/>
      <c r="BQ365" s="4"/>
      <c r="BR365" s="8"/>
      <c r="BS365" s="7"/>
      <c r="BT365" s="7"/>
      <c r="BU365" s="2" t="s">
        <v>2484</v>
      </c>
      <c r="BV365" s="2" t="s">
        <v>228</v>
      </c>
      <c r="BW365" s="2" t="s">
        <v>228</v>
      </c>
      <c r="BX365" s="2" t="s">
        <v>273</v>
      </c>
      <c r="BY365" s="2" t="s">
        <v>274</v>
      </c>
      <c r="BZ365" s="2" t="s">
        <v>240</v>
      </c>
      <c r="CA365" s="2" t="s">
        <v>2485</v>
      </c>
      <c r="CB365" s="2" t="s">
        <v>2486</v>
      </c>
      <c r="CC365" s="2" t="s">
        <v>241</v>
      </c>
      <c r="CD365" s="2" t="s">
        <v>228</v>
      </c>
      <c r="CE365" s="4"/>
      <c r="CF365" s="4">
        <v>108</v>
      </c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>
        <v>180</v>
      </c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</row>
    <row r="366">
      <c r="A366" s="2" t="s">
        <v>2487</v>
      </c>
      <c r="B366" s="2" t="s">
        <v>958</v>
      </c>
      <c r="C366" s="2" t="s">
        <v>835</v>
      </c>
      <c r="D366" s="2" t="s">
        <v>1006</v>
      </c>
      <c r="E366" s="2" t="s">
        <v>1007</v>
      </c>
      <c r="F366" s="2" t="s">
        <v>2478</v>
      </c>
      <c r="G366" s="2" t="s">
        <v>2478</v>
      </c>
      <c r="H366" s="2" t="s">
        <v>2478</v>
      </c>
      <c r="I366" s="2" t="s">
        <v>2479</v>
      </c>
      <c r="J366" s="2" t="s">
        <v>840</v>
      </c>
      <c r="K366" s="2" t="s">
        <v>1606</v>
      </c>
      <c r="L366" s="3">
        <v>213.75</v>
      </c>
      <c r="M366" s="3">
        <v>224.44</v>
      </c>
      <c r="N366" s="3">
        <v>449</v>
      </c>
      <c r="O366" s="2" t="s">
        <v>240</v>
      </c>
      <c r="P366" s="2" t="s">
        <v>233</v>
      </c>
      <c r="Q366" s="2" t="s">
        <v>234</v>
      </c>
      <c r="R366" s="2" t="s">
        <v>228</v>
      </c>
      <c r="S366" s="2" t="s">
        <v>228</v>
      </c>
      <c r="T366" s="2" t="s">
        <v>228</v>
      </c>
      <c r="U366" s="2" t="s">
        <v>416</v>
      </c>
      <c r="V366" s="2" t="s">
        <v>842</v>
      </c>
      <c r="W366" s="2" t="s">
        <v>463</v>
      </c>
      <c r="X366" s="2" t="s">
        <v>269</v>
      </c>
      <c r="Y366" s="2" t="s">
        <v>2488</v>
      </c>
      <c r="Z366" s="4">
        <v>96</v>
      </c>
      <c r="AA366" s="4">
        <f>=ROUNDDOWN(64,0)</f>
      </c>
      <c r="AB366" s="5">
        <v>1.5</v>
      </c>
      <c r="AC366" s="2" t="s">
        <v>228</v>
      </c>
      <c r="AD366" s="4"/>
      <c r="AE366" s="4"/>
      <c r="AF366" s="6">
        <v>74</v>
      </c>
      <c r="AG366" s="6"/>
      <c r="AH366" s="7">
        <v>1</v>
      </c>
      <c r="AI366" s="4"/>
      <c r="AJ366" s="4">
        <f>=ROUNDDOWN({0},0)</f>
      </c>
      <c r="AK366" s="5"/>
      <c r="AL366" s="2" t="s">
        <v>228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 t="s">
        <v>228</v>
      </c>
      <c r="BD366" s="8" t="s">
        <v>228</v>
      </c>
      <c r="BE366" s="4" t="s">
        <v>228</v>
      </c>
      <c r="BF366" s="8" t="s">
        <v>228</v>
      </c>
      <c r="BG366" s="7" t="s">
        <v>228</v>
      </c>
      <c r="BH366" s="7" t="s">
        <v>228</v>
      </c>
      <c r="BI366" s="7"/>
      <c r="BJ366" s="4">
        <v>4</v>
      </c>
      <c r="BK366" s="8">
        <v>1000.72</v>
      </c>
      <c r="BL366" s="2" t="s">
        <v>1033</v>
      </c>
      <c r="BM366" s="7"/>
      <c r="BN366" s="7"/>
      <c r="BO366" s="4"/>
      <c r="BP366" s="8"/>
      <c r="BQ366" s="4"/>
      <c r="BR366" s="8"/>
      <c r="BS366" s="7"/>
      <c r="BT366" s="7"/>
      <c r="BU366" s="2" t="s">
        <v>2489</v>
      </c>
      <c r="BV366" s="2" t="s">
        <v>228</v>
      </c>
      <c r="BW366" s="2" t="s">
        <v>228</v>
      </c>
      <c r="BX366" s="2" t="s">
        <v>273</v>
      </c>
      <c r="BY366" s="2" t="s">
        <v>274</v>
      </c>
      <c r="BZ366" s="2" t="s">
        <v>240</v>
      </c>
      <c r="CA366" s="2" t="s">
        <v>2490</v>
      </c>
      <c r="CB366" s="2" t="s">
        <v>2491</v>
      </c>
      <c r="CC366" s="2" t="s">
        <v>241</v>
      </c>
      <c r="CD366" s="2" t="s">
        <v>228</v>
      </c>
      <c r="CE366" s="4"/>
      <c r="CF366" s="4">
        <v>96</v>
      </c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</row>
    <row r="367">
      <c r="A367" s="2" t="s">
        <v>2492</v>
      </c>
      <c r="B367" s="2" t="s">
        <v>958</v>
      </c>
      <c r="C367" s="2" t="s">
        <v>835</v>
      </c>
      <c r="D367" s="2" t="s">
        <v>1006</v>
      </c>
      <c r="E367" s="2" t="s">
        <v>1007</v>
      </c>
      <c r="F367" s="2" t="s">
        <v>2478</v>
      </c>
      <c r="G367" s="2" t="s">
        <v>2478</v>
      </c>
      <c r="H367" s="2" t="s">
        <v>2478</v>
      </c>
      <c r="I367" s="2" t="s">
        <v>2479</v>
      </c>
      <c r="J367" s="2" t="s">
        <v>840</v>
      </c>
      <c r="K367" s="2" t="s">
        <v>1105</v>
      </c>
      <c r="L367" s="3">
        <v>213.75</v>
      </c>
      <c r="M367" s="3">
        <v>224.44</v>
      </c>
      <c r="N367" s="3">
        <v>449</v>
      </c>
      <c r="O367" s="2" t="s">
        <v>240</v>
      </c>
      <c r="P367" s="2" t="s">
        <v>233</v>
      </c>
      <c r="Q367" s="2" t="s">
        <v>234</v>
      </c>
      <c r="R367" s="2" t="s">
        <v>228</v>
      </c>
      <c r="S367" s="2" t="s">
        <v>228</v>
      </c>
      <c r="T367" s="2" t="s">
        <v>228</v>
      </c>
      <c r="U367" s="2" t="s">
        <v>416</v>
      </c>
      <c r="V367" s="2" t="s">
        <v>842</v>
      </c>
      <c r="W367" s="2" t="s">
        <v>463</v>
      </c>
      <c r="X367" s="2" t="s">
        <v>269</v>
      </c>
      <c r="Y367" s="2" t="s">
        <v>1720</v>
      </c>
      <c r="Z367" s="4">
        <v>72</v>
      </c>
      <c r="AA367" s="4">
        <f>=ROUNDDOWN(40,0)</f>
      </c>
      <c r="AB367" s="5">
        <v>1.8</v>
      </c>
      <c r="AC367" s="2" t="s">
        <v>228</v>
      </c>
      <c r="AD367" s="4"/>
      <c r="AE367" s="4"/>
      <c r="AF367" s="6">
        <v>74</v>
      </c>
      <c r="AG367" s="6"/>
      <c r="AH367" s="7">
        <v>1</v>
      </c>
      <c r="AI367" s="4"/>
      <c r="AJ367" s="4">
        <f>=ROUNDDOWN({0},0)</f>
      </c>
      <c r="AK367" s="5"/>
      <c r="AL367" s="2" t="s">
        <v>228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 t="s">
        <v>228</v>
      </c>
      <c r="BD367" s="8" t="s">
        <v>228</v>
      </c>
      <c r="BE367" s="4" t="s">
        <v>228</v>
      </c>
      <c r="BF367" s="8" t="s">
        <v>228</v>
      </c>
      <c r="BG367" s="7" t="s">
        <v>228</v>
      </c>
      <c r="BH367" s="7" t="s">
        <v>228</v>
      </c>
      <c r="BI367" s="7"/>
      <c r="BJ367" s="4">
        <v>7</v>
      </c>
      <c r="BK367" s="8">
        <v>1768.31</v>
      </c>
      <c r="BL367" s="2" t="s">
        <v>2493</v>
      </c>
      <c r="BM367" s="7"/>
      <c r="BN367" s="7"/>
      <c r="BO367" s="4"/>
      <c r="BP367" s="8"/>
      <c r="BQ367" s="4"/>
      <c r="BR367" s="8"/>
      <c r="BS367" s="7"/>
      <c r="BT367" s="7"/>
      <c r="BU367" s="2" t="s">
        <v>2494</v>
      </c>
      <c r="BV367" s="2" t="s">
        <v>228</v>
      </c>
      <c r="BW367" s="2" t="s">
        <v>228</v>
      </c>
      <c r="BX367" s="2" t="s">
        <v>273</v>
      </c>
      <c r="BY367" s="2" t="s">
        <v>274</v>
      </c>
      <c r="BZ367" s="2" t="s">
        <v>240</v>
      </c>
      <c r="CA367" s="2" t="s">
        <v>2490</v>
      </c>
      <c r="CB367" s="2" t="s">
        <v>2495</v>
      </c>
      <c r="CC367" s="2" t="s">
        <v>241</v>
      </c>
      <c r="CD367" s="2" t="s">
        <v>228</v>
      </c>
      <c r="CE367" s="4"/>
      <c r="CF367" s="4">
        <v>72</v>
      </c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</row>
    <row r="368">
      <c r="A368" s="2" t="s">
        <v>2496</v>
      </c>
      <c r="B368" s="2" t="s">
        <v>1150</v>
      </c>
      <c r="C368" s="2" t="s">
        <v>300</v>
      </c>
      <c r="D368" s="2" t="s">
        <v>1112</v>
      </c>
      <c r="E368" s="2" t="s">
        <v>1165</v>
      </c>
      <c r="F368" s="2" t="s">
        <v>2497</v>
      </c>
      <c r="G368" s="2" t="s">
        <v>2498</v>
      </c>
      <c r="H368" s="2" t="s">
        <v>2499</v>
      </c>
      <c r="I368" s="2" t="s">
        <v>2500</v>
      </c>
      <c r="J368" s="2" t="s">
        <v>1189</v>
      </c>
      <c r="K368" s="2" t="s">
        <v>265</v>
      </c>
      <c r="L368" s="3">
        <v>41.14</v>
      </c>
      <c r="M368" s="3">
        <v>43.2</v>
      </c>
      <c r="N368" s="3">
        <v>89.99</v>
      </c>
      <c r="O368" s="2" t="s">
        <v>240</v>
      </c>
      <c r="P368" s="2" t="s">
        <v>333</v>
      </c>
      <c r="Q368" s="2" t="s">
        <v>234</v>
      </c>
      <c r="R368" s="2" t="s">
        <v>228</v>
      </c>
      <c r="S368" s="2" t="s">
        <v>2501</v>
      </c>
      <c r="T368" s="2" t="s">
        <v>415</v>
      </c>
      <c r="U368" s="2" t="s">
        <v>1170</v>
      </c>
      <c r="V368" s="2" t="s">
        <v>387</v>
      </c>
      <c r="W368" s="2" t="s">
        <v>269</v>
      </c>
      <c r="X368" s="2" t="s">
        <v>1268</v>
      </c>
      <c r="Y368" s="2" t="s">
        <v>1821</v>
      </c>
      <c r="Z368" s="4">
        <v>199</v>
      </c>
      <c r="AA368" s="4">
        <f>=ROUNDDOWN(28.4285714285714,0)</f>
      </c>
      <c r="AB368" s="5">
        <v>7</v>
      </c>
      <c r="AC368" s="2" t="s">
        <v>228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228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228</v>
      </c>
      <c r="AW368" s="8" t="s">
        <v>228</v>
      </c>
      <c r="AX368" s="4" t="s">
        <v>228</v>
      </c>
      <c r="AY368" s="8" t="s">
        <v>228</v>
      </c>
      <c r="AZ368" s="7" t="s">
        <v>228</v>
      </c>
      <c r="BA368" s="7" t="s">
        <v>228</v>
      </c>
      <c r="BB368" s="7"/>
      <c r="BC368" s="4" t="s">
        <v>228</v>
      </c>
      <c r="BD368" s="8" t="s">
        <v>228</v>
      </c>
      <c r="BE368" s="4" t="s">
        <v>228</v>
      </c>
      <c r="BF368" s="8" t="s">
        <v>228</v>
      </c>
      <c r="BG368" s="7" t="s">
        <v>228</v>
      </c>
      <c r="BH368" s="7" t="s">
        <v>228</v>
      </c>
      <c r="BI368" s="7"/>
      <c r="BJ368" s="4">
        <v>18</v>
      </c>
      <c r="BK368" s="8">
        <v>813.84</v>
      </c>
      <c r="BL368" s="2" t="s">
        <v>2502</v>
      </c>
      <c r="BM368" s="7"/>
      <c r="BN368" s="7"/>
      <c r="BO368" s="4"/>
      <c r="BP368" s="8"/>
      <c r="BQ368" s="4"/>
      <c r="BR368" s="8"/>
      <c r="BS368" s="7"/>
      <c r="BT368" s="7"/>
      <c r="BU368" s="2" t="s">
        <v>2503</v>
      </c>
      <c r="BV368" s="2" t="s">
        <v>228</v>
      </c>
      <c r="BW368" s="2" t="s">
        <v>228</v>
      </c>
      <c r="BX368" s="2" t="s">
        <v>337</v>
      </c>
      <c r="BY368" s="2" t="s">
        <v>274</v>
      </c>
      <c r="BZ368" s="2" t="s">
        <v>240</v>
      </c>
      <c r="CA368" s="2" t="s">
        <v>1821</v>
      </c>
      <c r="CB368" s="2" t="s">
        <v>2504</v>
      </c>
      <c r="CC368" s="2" t="s">
        <v>241</v>
      </c>
      <c r="CD368" s="2" t="s">
        <v>228</v>
      </c>
      <c r="CE368" s="4">
        <v>199</v>
      </c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</row>
    <row r="369">
      <c r="A369" s="2" t="s">
        <v>2505</v>
      </c>
      <c r="B369" s="2" t="s">
        <v>1150</v>
      </c>
      <c r="C369" s="2" t="s">
        <v>300</v>
      </c>
      <c r="D369" s="2" t="s">
        <v>850</v>
      </c>
      <c r="E369" s="2" t="s">
        <v>851</v>
      </c>
      <c r="F369" s="2" t="s">
        <v>2497</v>
      </c>
      <c r="G369" s="2" t="s">
        <v>2498</v>
      </c>
      <c r="H369" s="2" t="s">
        <v>2499</v>
      </c>
      <c r="I369" s="2" t="s">
        <v>2506</v>
      </c>
      <c r="J369" s="2" t="s">
        <v>1043</v>
      </c>
      <c r="K369" s="2" t="s">
        <v>265</v>
      </c>
      <c r="L369" s="3">
        <v>32</v>
      </c>
      <c r="M369" s="3">
        <v>33.6</v>
      </c>
      <c r="N369" s="3">
        <v>69.99</v>
      </c>
      <c r="O369" s="2" t="s">
        <v>240</v>
      </c>
      <c r="P369" s="2" t="s">
        <v>333</v>
      </c>
      <c r="Q369" s="2" t="s">
        <v>234</v>
      </c>
      <c r="R369" s="2" t="s">
        <v>228</v>
      </c>
      <c r="S369" s="2" t="s">
        <v>2501</v>
      </c>
      <c r="T369" s="2" t="s">
        <v>415</v>
      </c>
      <c r="U369" s="2" t="s">
        <v>1170</v>
      </c>
      <c r="V369" s="2" t="s">
        <v>387</v>
      </c>
      <c r="W369" s="2" t="s">
        <v>269</v>
      </c>
      <c r="X369" s="2" t="s">
        <v>1268</v>
      </c>
      <c r="Y369" s="2" t="s">
        <v>390</v>
      </c>
      <c r="Z369" s="4">
        <v>18</v>
      </c>
      <c r="AA369" s="4">
        <f>=ROUNDDOWN(4.5,0)</f>
      </c>
      <c r="AB369" s="5">
        <v>4</v>
      </c>
      <c r="AC369" s="2" t="s">
        <v>228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228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228</v>
      </c>
      <c r="AW369" s="8" t="s">
        <v>228</v>
      </c>
      <c r="AX369" s="4" t="s">
        <v>228</v>
      </c>
      <c r="AY369" s="8" t="s">
        <v>228</v>
      </c>
      <c r="AZ369" s="7" t="s">
        <v>228</v>
      </c>
      <c r="BA369" s="7" t="s">
        <v>228</v>
      </c>
      <c r="BB369" s="7"/>
      <c r="BC369" s="4" t="s">
        <v>228</v>
      </c>
      <c r="BD369" s="8" t="s">
        <v>228</v>
      </c>
      <c r="BE369" s="4" t="s">
        <v>228</v>
      </c>
      <c r="BF369" s="8" t="s">
        <v>228</v>
      </c>
      <c r="BG369" s="7" t="s">
        <v>228</v>
      </c>
      <c r="BH369" s="7" t="s">
        <v>228</v>
      </c>
      <c r="BI369" s="7"/>
      <c r="BJ369" s="4">
        <v>7</v>
      </c>
      <c r="BK369" s="8">
        <v>251</v>
      </c>
      <c r="BL369" s="2" t="s">
        <v>2507</v>
      </c>
      <c r="BM369" s="7"/>
      <c r="BN369" s="7"/>
      <c r="BO369" s="4"/>
      <c r="BP369" s="8"/>
      <c r="BQ369" s="4"/>
      <c r="BR369" s="8"/>
      <c r="BS369" s="7"/>
      <c r="BT369" s="7"/>
      <c r="BU369" s="2" t="s">
        <v>2508</v>
      </c>
      <c r="BV369" s="2" t="s">
        <v>228</v>
      </c>
      <c r="BW369" s="2" t="s">
        <v>228</v>
      </c>
      <c r="BX369" s="2" t="s">
        <v>337</v>
      </c>
      <c r="BY369" s="2" t="s">
        <v>274</v>
      </c>
      <c r="BZ369" s="2" t="s">
        <v>240</v>
      </c>
      <c r="CA369" s="2" t="s">
        <v>1821</v>
      </c>
      <c r="CB369" s="2" t="s">
        <v>2509</v>
      </c>
      <c r="CC369" s="2" t="s">
        <v>241</v>
      </c>
      <c r="CD369" s="2" t="s">
        <v>228</v>
      </c>
      <c r="CE369" s="4">
        <v>18</v>
      </c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</row>
    <row r="370">
      <c r="A370" s="2" t="s">
        <v>2510</v>
      </c>
      <c r="B370" s="2" t="s">
        <v>1374</v>
      </c>
      <c r="C370" s="2" t="s">
        <v>300</v>
      </c>
      <c r="D370" s="2" t="s">
        <v>1399</v>
      </c>
      <c r="E370" s="2" t="s">
        <v>1400</v>
      </c>
      <c r="F370" s="2" t="s">
        <v>2497</v>
      </c>
      <c r="G370" s="2" t="s">
        <v>2498</v>
      </c>
      <c r="H370" s="2" t="s">
        <v>2499</v>
      </c>
      <c r="I370" s="2" t="s">
        <v>2511</v>
      </c>
      <c r="J370" s="2" t="s">
        <v>1402</v>
      </c>
      <c r="K370" s="2" t="s">
        <v>265</v>
      </c>
      <c r="L370" s="3">
        <v>13.2</v>
      </c>
      <c r="M370" s="3">
        <v>13.86</v>
      </c>
      <c r="N370" s="3">
        <v>29.99</v>
      </c>
      <c r="O370" s="2" t="s">
        <v>240</v>
      </c>
      <c r="P370" s="2" t="s">
        <v>233</v>
      </c>
      <c r="Q370" s="2" t="s">
        <v>234</v>
      </c>
      <c r="R370" s="2" t="s">
        <v>228</v>
      </c>
      <c r="S370" s="2" t="s">
        <v>2501</v>
      </c>
      <c r="T370" s="2" t="s">
        <v>415</v>
      </c>
      <c r="U370" s="2" t="s">
        <v>416</v>
      </c>
      <c r="V370" s="2" t="s">
        <v>1644</v>
      </c>
      <c r="W370" s="2" t="s">
        <v>2512</v>
      </c>
      <c r="X370" s="2" t="s">
        <v>417</v>
      </c>
      <c r="Y370" s="2" t="s">
        <v>390</v>
      </c>
      <c r="Z370" s="4"/>
      <c r="AA370" s="4">
        <f>=ROUNDDOWN({0},0)</f>
      </c>
      <c r="AB370" s="5">
        <v>13</v>
      </c>
      <c r="AC370" s="2" t="s">
        <v>2513</v>
      </c>
      <c r="AD370" s="4">
        <v>1200</v>
      </c>
      <c r="AE370" s="4">
        <v>1200</v>
      </c>
      <c r="AF370" s="6">
        <v>65</v>
      </c>
      <c r="AG370" s="6"/>
      <c r="AH370" s="7">
        <v>0</v>
      </c>
      <c r="AI370" s="4"/>
      <c r="AJ370" s="4">
        <f>=ROUNDDOWN({0},0)</f>
      </c>
      <c r="AK370" s="5"/>
      <c r="AL370" s="2" t="s">
        <v>228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228</v>
      </c>
      <c r="AW370" s="8" t="s">
        <v>228</v>
      </c>
      <c r="AX370" s="4" t="s">
        <v>228</v>
      </c>
      <c r="AY370" s="8" t="s">
        <v>228</v>
      </c>
      <c r="AZ370" s="7" t="s">
        <v>228</v>
      </c>
      <c r="BA370" s="7" t="s">
        <v>228</v>
      </c>
      <c r="BB370" s="7"/>
      <c r="BC370" s="4" t="s">
        <v>228</v>
      </c>
      <c r="BD370" s="8" t="s">
        <v>228</v>
      </c>
      <c r="BE370" s="4" t="s">
        <v>228</v>
      </c>
      <c r="BF370" s="8" t="s">
        <v>228</v>
      </c>
      <c r="BG370" s="7" t="s">
        <v>228</v>
      </c>
      <c r="BH370" s="7" t="s">
        <v>228</v>
      </c>
      <c r="BI370" s="7"/>
      <c r="BJ370" s="4"/>
      <c r="BK370" s="8"/>
      <c r="BL370" s="2" t="s">
        <v>228</v>
      </c>
      <c r="BM370" s="7"/>
      <c r="BN370" s="7"/>
      <c r="BO370" s="4"/>
      <c r="BP370" s="8"/>
      <c r="BQ370" s="4"/>
      <c r="BR370" s="8"/>
      <c r="BS370" s="7"/>
      <c r="BT370" s="7"/>
      <c r="BU370" s="2" t="s">
        <v>2514</v>
      </c>
      <c r="BV370" s="2" t="s">
        <v>228</v>
      </c>
      <c r="BW370" s="2" t="s">
        <v>228</v>
      </c>
      <c r="BX370" s="2" t="s">
        <v>273</v>
      </c>
      <c r="BY370" s="2" t="s">
        <v>274</v>
      </c>
      <c r="BZ370" s="2" t="s">
        <v>240</v>
      </c>
      <c r="CA370" s="2" t="s">
        <v>1821</v>
      </c>
      <c r="CB370" s="2" t="s">
        <v>2515</v>
      </c>
      <c r="CC370" s="2" t="s">
        <v>241</v>
      </c>
      <c r="CD370" s="2" t="s">
        <v>228</v>
      </c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>
        <v>1200</v>
      </c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</row>
    <row r="371">
      <c r="A371" s="2" t="s">
        <v>2516</v>
      </c>
      <c r="B371" s="2" t="s">
        <v>958</v>
      </c>
      <c r="C371" s="2" t="s">
        <v>835</v>
      </c>
      <c r="D371" s="2" t="s">
        <v>1795</v>
      </c>
      <c r="E371" s="2" t="s">
        <v>1796</v>
      </c>
      <c r="F371" s="2" t="s">
        <v>2517</v>
      </c>
      <c r="G371" s="2" t="s">
        <v>2517</v>
      </c>
      <c r="H371" s="2" t="s">
        <v>2517</v>
      </c>
      <c r="I371" s="2" t="s">
        <v>2518</v>
      </c>
      <c r="J371" s="2" t="s">
        <v>840</v>
      </c>
      <c r="K371" s="2" t="s">
        <v>265</v>
      </c>
      <c r="L371" s="3">
        <v>193.5</v>
      </c>
      <c r="M371" s="3">
        <v>203.18</v>
      </c>
      <c r="N371" s="3">
        <v>399</v>
      </c>
      <c r="O371" s="2" t="s">
        <v>240</v>
      </c>
      <c r="P371" s="2" t="s">
        <v>266</v>
      </c>
      <c r="Q371" s="2" t="s">
        <v>234</v>
      </c>
      <c r="R371" s="2" t="s">
        <v>228</v>
      </c>
      <c r="S371" s="2" t="s">
        <v>2519</v>
      </c>
      <c r="T371" s="2" t="s">
        <v>228</v>
      </c>
      <c r="U371" s="2" t="s">
        <v>228</v>
      </c>
      <c r="V371" s="2" t="s">
        <v>236</v>
      </c>
      <c r="W371" s="2" t="s">
        <v>843</v>
      </c>
      <c r="X371" s="2" t="s">
        <v>228</v>
      </c>
      <c r="Y371" s="2" t="s">
        <v>270</v>
      </c>
      <c r="Z371" s="4">
        <v>162</v>
      </c>
      <c r="AA371" s="4">
        <f>=ROUNDDOWN(13.5,0)</f>
      </c>
      <c r="AB371" s="5">
        <v>12</v>
      </c>
      <c r="AC371" s="2" t="s">
        <v>188</v>
      </c>
      <c r="AD371" s="4">
        <v>100</v>
      </c>
      <c r="AE371" s="4">
        <v>250</v>
      </c>
      <c r="AF371" s="6">
        <v>66</v>
      </c>
      <c r="AG371" s="6"/>
      <c r="AH371" s="7">
        <v>1</v>
      </c>
      <c r="AI371" s="4"/>
      <c r="AJ371" s="4">
        <f>=ROUNDDOWN({0},0)</f>
      </c>
      <c r="AK371" s="5"/>
      <c r="AL371" s="2" t="s">
        <v>228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/>
      <c r="BD371" s="8"/>
      <c r="BE371" s="4"/>
      <c r="BF371" s="8"/>
      <c r="BG371" s="7"/>
      <c r="BH371" s="7"/>
      <c r="BI371" s="7"/>
      <c r="BJ371" s="4">
        <v>32</v>
      </c>
      <c r="BK371" s="8">
        <v>6268.86</v>
      </c>
      <c r="BL371" s="2" t="s">
        <v>2520</v>
      </c>
      <c r="BM371" s="7"/>
      <c r="BN371" s="7"/>
      <c r="BO371" s="4"/>
      <c r="BP371" s="8"/>
      <c r="BQ371" s="4"/>
      <c r="BR371" s="8"/>
      <c r="BS371" s="7"/>
      <c r="BT371" s="7"/>
      <c r="BU371" s="2" t="s">
        <v>2521</v>
      </c>
      <c r="BV371" s="2" t="s">
        <v>228</v>
      </c>
      <c r="BW371" s="2" t="s">
        <v>228</v>
      </c>
      <c r="BX371" s="2" t="s">
        <v>273</v>
      </c>
      <c r="BY371" s="2" t="s">
        <v>274</v>
      </c>
      <c r="BZ371" s="2" t="s">
        <v>240</v>
      </c>
      <c r="CA371" s="2" t="s">
        <v>2522</v>
      </c>
      <c r="CB371" s="2" t="s">
        <v>2523</v>
      </c>
      <c r="CC371" s="2" t="s">
        <v>241</v>
      </c>
      <c r="CD371" s="2" t="s">
        <v>228</v>
      </c>
      <c r="CE371" s="4"/>
      <c r="CF371" s="4">
        <v>162</v>
      </c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>
        <v>100</v>
      </c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>
        <v>150</v>
      </c>
      <c r="GV371" s="4"/>
      <c r="GW371" s="4"/>
      <c r="GX371" s="4"/>
      <c r="GY371" s="4"/>
      <c r="GZ371" s="4"/>
      <c r="HA371" s="4"/>
      <c r="HB371" s="4"/>
      <c r="HC371" s="4"/>
      <c r="HD371" s="4"/>
      <c r="HE371" s="4"/>
    </row>
    <row r="372">
      <c r="A372" s="2" t="s">
        <v>2524</v>
      </c>
      <c r="B372" s="2" t="s">
        <v>834</v>
      </c>
      <c r="C372" s="2" t="s">
        <v>1743</v>
      </c>
      <c r="D372" s="2" t="s">
        <v>1101</v>
      </c>
      <c r="E372" s="2" t="s">
        <v>1102</v>
      </c>
      <c r="F372" s="2" t="s">
        <v>2525</v>
      </c>
      <c r="G372" s="2" t="s">
        <v>2525</v>
      </c>
      <c r="H372" s="2" t="s">
        <v>2525</v>
      </c>
      <c r="I372" s="2" t="s">
        <v>2526</v>
      </c>
      <c r="J372" s="2" t="s">
        <v>840</v>
      </c>
      <c r="K372" s="2" t="s">
        <v>265</v>
      </c>
      <c r="L372" s="3">
        <v>54.94</v>
      </c>
      <c r="M372" s="3">
        <v>57.69</v>
      </c>
      <c r="N372" s="3">
        <v>119.99</v>
      </c>
      <c r="O372" s="2" t="s">
        <v>240</v>
      </c>
      <c r="P372" s="2" t="s">
        <v>889</v>
      </c>
      <c r="Q372" s="2" t="s">
        <v>234</v>
      </c>
      <c r="R372" s="2" t="s">
        <v>228</v>
      </c>
      <c r="S372" s="2" t="s">
        <v>228</v>
      </c>
      <c r="T372" s="2" t="s">
        <v>228</v>
      </c>
      <c r="U372" s="2" t="s">
        <v>228</v>
      </c>
      <c r="V372" s="2" t="s">
        <v>236</v>
      </c>
      <c r="W372" s="2" t="s">
        <v>228</v>
      </c>
      <c r="X372" s="2" t="s">
        <v>228</v>
      </c>
      <c r="Y372" s="2" t="s">
        <v>1506</v>
      </c>
      <c r="Z372" s="4">
        <v>99</v>
      </c>
      <c r="AA372" s="4">
        <f>=ROUNDDOWN(16.5,0)</f>
      </c>
      <c r="AB372" s="5">
        <v>6</v>
      </c>
      <c r="AC372" s="2" t="s">
        <v>163</v>
      </c>
      <c r="AD372" s="4">
        <v>100</v>
      </c>
      <c r="AE372" s="4">
        <v>100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228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/>
      <c r="BD372" s="8"/>
      <c r="BE372" s="4"/>
      <c r="BF372" s="8"/>
      <c r="BG372" s="7"/>
      <c r="BH372" s="7"/>
      <c r="BI372" s="7"/>
      <c r="BJ372" s="4">
        <v>17</v>
      </c>
      <c r="BK372" s="8">
        <v>986.12</v>
      </c>
      <c r="BL372" s="2" t="s">
        <v>2527</v>
      </c>
      <c r="BM372" s="7"/>
      <c r="BN372" s="7"/>
      <c r="BO372" s="4"/>
      <c r="BP372" s="8"/>
      <c r="BQ372" s="4"/>
      <c r="BR372" s="8"/>
      <c r="BS372" s="7"/>
      <c r="BT372" s="7"/>
      <c r="BU372" s="2" t="s">
        <v>2528</v>
      </c>
      <c r="BV372" s="2" t="s">
        <v>228</v>
      </c>
      <c r="BW372" s="2" t="s">
        <v>228</v>
      </c>
      <c r="BX372" s="2" t="s">
        <v>273</v>
      </c>
      <c r="BY372" s="2" t="s">
        <v>274</v>
      </c>
      <c r="BZ372" s="2" t="s">
        <v>240</v>
      </c>
      <c r="CA372" s="2" t="s">
        <v>2529</v>
      </c>
      <c r="CB372" s="2" t="s">
        <v>2530</v>
      </c>
      <c r="CC372" s="2" t="s">
        <v>241</v>
      </c>
      <c r="CD372" s="2" t="s">
        <v>228</v>
      </c>
      <c r="CE372" s="4"/>
      <c r="CF372" s="4">
        <v>99</v>
      </c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>
        <v>100</v>
      </c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</row>
    <row r="373">
      <c r="A373" s="2" t="s">
        <v>2531</v>
      </c>
      <c r="B373" s="2" t="s">
        <v>2532</v>
      </c>
      <c r="C373" s="2" t="s">
        <v>731</v>
      </c>
      <c r="D373" s="2" t="s">
        <v>2533</v>
      </c>
      <c r="E373" s="2" t="s">
        <v>2534</v>
      </c>
      <c r="F373" s="2" t="s">
        <v>2535</v>
      </c>
      <c r="G373" s="2" t="s">
        <v>2535</v>
      </c>
      <c r="H373" s="2" t="s">
        <v>2535</v>
      </c>
      <c r="I373" s="2" t="s">
        <v>2534</v>
      </c>
      <c r="J373" s="2" t="s">
        <v>2536</v>
      </c>
      <c r="K373" s="2" t="s">
        <v>2537</v>
      </c>
      <c r="L373" s="3">
        <v>22.03</v>
      </c>
      <c r="M373" s="3">
        <v>23.13</v>
      </c>
      <c r="N373" s="3"/>
      <c r="O373" s="2" t="s">
        <v>461</v>
      </c>
      <c r="P373" s="2" t="s">
        <v>333</v>
      </c>
      <c r="Q373" s="2" t="s">
        <v>234</v>
      </c>
      <c r="R373" s="2" t="s">
        <v>228</v>
      </c>
      <c r="S373" s="2" t="s">
        <v>228</v>
      </c>
      <c r="T373" s="2" t="s">
        <v>228</v>
      </c>
      <c r="U373" s="2" t="s">
        <v>416</v>
      </c>
      <c r="V373" s="2" t="s">
        <v>842</v>
      </c>
      <c r="W373" s="2" t="s">
        <v>228</v>
      </c>
      <c r="X373" s="2" t="s">
        <v>228</v>
      </c>
      <c r="Y373" s="2" t="s">
        <v>2538</v>
      </c>
      <c r="Z373" s="4">
        <v>500</v>
      </c>
      <c r="AA373" s="4">
        <f>=ROUNDDOWN({0},0)</f>
      </c>
      <c r="AB373" s="5"/>
      <c r="AC373" s="2" t="s">
        <v>228</v>
      </c>
      <c r="AD373" s="4"/>
      <c r="AE373" s="4"/>
      <c r="AF373" s="6"/>
      <c r="AG373" s="6"/>
      <c r="AH373" s="7">
        <v>1</v>
      </c>
      <c r="AI373" s="4"/>
      <c r="AJ373" s="4">
        <f>=ROUNDDOWN({0},0)</f>
      </c>
      <c r="AK373" s="5"/>
      <c r="AL373" s="2" t="s">
        <v>228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228</v>
      </c>
      <c r="AW373" s="8" t="s">
        <v>228</v>
      </c>
      <c r="AX373" s="4" t="s">
        <v>228</v>
      </c>
      <c r="AY373" s="8" t="s">
        <v>228</v>
      </c>
      <c r="AZ373" s="7" t="s">
        <v>228</v>
      </c>
      <c r="BA373" s="7" t="s">
        <v>228</v>
      </c>
      <c r="BB373" s="7"/>
      <c r="BC373" s="4" t="s">
        <v>228</v>
      </c>
      <c r="BD373" s="8" t="s">
        <v>228</v>
      </c>
      <c r="BE373" s="4" t="s">
        <v>228</v>
      </c>
      <c r="BF373" s="8" t="s">
        <v>228</v>
      </c>
      <c r="BG373" s="7" t="s">
        <v>228</v>
      </c>
      <c r="BH373" s="7" t="s">
        <v>228</v>
      </c>
      <c r="BI373" s="7"/>
      <c r="BJ373" s="4"/>
      <c r="BK373" s="8"/>
      <c r="BL373" s="2" t="s">
        <v>228</v>
      </c>
      <c r="BM373" s="7"/>
      <c r="BN373" s="7"/>
      <c r="BO373" s="4"/>
      <c r="BP373" s="8"/>
      <c r="BQ373" s="4"/>
      <c r="BR373" s="8"/>
      <c r="BS373" s="7"/>
      <c r="BT373" s="7"/>
      <c r="BU373" s="2" t="s">
        <v>2539</v>
      </c>
      <c r="BV373" s="2" t="s">
        <v>228</v>
      </c>
      <c r="BW373" s="2" t="s">
        <v>228</v>
      </c>
      <c r="BX373" s="2" t="s">
        <v>337</v>
      </c>
      <c r="BY373" s="2" t="s">
        <v>274</v>
      </c>
      <c r="BZ373" s="2" t="s">
        <v>240</v>
      </c>
      <c r="CA373" s="2" t="s">
        <v>2540</v>
      </c>
      <c r="CB373" s="2" t="s">
        <v>228</v>
      </c>
      <c r="CC373" s="2" t="s">
        <v>241</v>
      </c>
      <c r="CD373" s="2" t="s">
        <v>228</v>
      </c>
      <c r="CE373" s="4"/>
      <c r="CF373" s="4"/>
      <c r="CG373" s="4"/>
      <c r="CH373" s="4">
        <v>500</v>
      </c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</row>
    <row r="374">
      <c r="A374" s="2" t="s">
        <v>2541</v>
      </c>
      <c r="B374" s="2" t="s">
        <v>2532</v>
      </c>
      <c r="C374" s="2" t="s">
        <v>731</v>
      </c>
      <c r="D374" s="2" t="s">
        <v>2533</v>
      </c>
      <c r="E374" s="2" t="s">
        <v>2534</v>
      </c>
      <c r="F374" s="2" t="s">
        <v>2535</v>
      </c>
      <c r="G374" s="2" t="s">
        <v>2535</v>
      </c>
      <c r="H374" s="2" t="s">
        <v>2535</v>
      </c>
      <c r="I374" s="2" t="s">
        <v>2534</v>
      </c>
      <c r="J374" s="2" t="s">
        <v>1202</v>
      </c>
      <c r="K374" s="2" t="s">
        <v>2537</v>
      </c>
      <c r="L374" s="3">
        <v>22.03</v>
      </c>
      <c r="M374" s="3">
        <v>23.13</v>
      </c>
      <c r="N374" s="3"/>
      <c r="O374" s="2" t="s">
        <v>461</v>
      </c>
      <c r="P374" s="2" t="s">
        <v>333</v>
      </c>
      <c r="Q374" s="2" t="s">
        <v>234</v>
      </c>
      <c r="R374" s="2" t="s">
        <v>228</v>
      </c>
      <c r="S374" s="2" t="s">
        <v>228</v>
      </c>
      <c r="T374" s="2" t="s">
        <v>228</v>
      </c>
      <c r="U374" s="2" t="s">
        <v>416</v>
      </c>
      <c r="V374" s="2" t="s">
        <v>842</v>
      </c>
      <c r="W374" s="2" t="s">
        <v>228</v>
      </c>
      <c r="X374" s="2" t="s">
        <v>228</v>
      </c>
      <c r="Y374" s="2" t="s">
        <v>2538</v>
      </c>
      <c r="Z374" s="4">
        <v>1021</v>
      </c>
      <c r="AA374" s="4">
        <f>=ROUNDDOWN({0},0)</f>
      </c>
      <c r="AB374" s="5"/>
      <c r="AC374" s="2" t="s">
        <v>228</v>
      </c>
      <c r="AD374" s="4"/>
      <c r="AE374" s="4"/>
      <c r="AF374" s="6"/>
      <c r="AG374" s="6"/>
      <c r="AH374" s="7">
        <v>1</v>
      </c>
      <c r="AI374" s="4"/>
      <c r="AJ374" s="4">
        <f>=ROUNDDOWN({0},0)</f>
      </c>
      <c r="AK374" s="5"/>
      <c r="AL374" s="2" t="s">
        <v>228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228</v>
      </c>
      <c r="AW374" s="8" t="s">
        <v>228</v>
      </c>
      <c r="AX374" s="4" t="s">
        <v>228</v>
      </c>
      <c r="AY374" s="8" t="s">
        <v>228</v>
      </c>
      <c r="AZ374" s="7" t="s">
        <v>228</v>
      </c>
      <c r="BA374" s="7" t="s">
        <v>228</v>
      </c>
      <c r="BB374" s="7"/>
      <c r="BC374" s="4" t="s">
        <v>228</v>
      </c>
      <c r="BD374" s="8" t="s">
        <v>228</v>
      </c>
      <c r="BE374" s="4" t="s">
        <v>228</v>
      </c>
      <c r="BF374" s="8" t="s">
        <v>228</v>
      </c>
      <c r="BG374" s="7" t="s">
        <v>228</v>
      </c>
      <c r="BH374" s="7" t="s">
        <v>228</v>
      </c>
      <c r="BI374" s="7"/>
      <c r="BJ374" s="4"/>
      <c r="BK374" s="8"/>
      <c r="BL374" s="2" t="s">
        <v>228</v>
      </c>
      <c r="BM374" s="7"/>
      <c r="BN374" s="7"/>
      <c r="BO374" s="4"/>
      <c r="BP374" s="8"/>
      <c r="BQ374" s="4"/>
      <c r="BR374" s="8"/>
      <c r="BS374" s="7"/>
      <c r="BT374" s="7"/>
      <c r="BU374" s="2" t="s">
        <v>2542</v>
      </c>
      <c r="BV374" s="2" t="s">
        <v>228</v>
      </c>
      <c r="BW374" s="2" t="s">
        <v>228</v>
      </c>
      <c r="BX374" s="2" t="s">
        <v>337</v>
      </c>
      <c r="BY374" s="2" t="s">
        <v>274</v>
      </c>
      <c r="BZ374" s="2" t="s">
        <v>240</v>
      </c>
      <c r="CA374" s="2" t="s">
        <v>2540</v>
      </c>
      <c r="CB374" s="2" t="s">
        <v>228</v>
      </c>
      <c r="CC374" s="2" t="s">
        <v>241</v>
      </c>
      <c r="CD374" s="2" t="s">
        <v>228</v>
      </c>
      <c r="CE374" s="4"/>
      <c r="CF374" s="4"/>
      <c r="CG374" s="4"/>
      <c r="CH374" s="4">
        <v>1021</v>
      </c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</row>
    <row r="375">
      <c r="A375" s="2" t="s">
        <v>2543</v>
      </c>
      <c r="B375" s="2" t="s">
        <v>2532</v>
      </c>
      <c r="C375" s="2" t="s">
        <v>731</v>
      </c>
      <c r="D375" s="2" t="s">
        <v>2533</v>
      </c>
      <c r="E375" s="2" t="s">
        <v>2534</v>
      </c>
      <c r="F375" s="2" t="s">
        <v>2535</v>
      </c>
      <c r="G375" s="2" t="s">
        <v>2535</v>
      </c>
      <c r="H375" s="2" t="s">
        <v>2535</v>
      </c>
      <c r="I375" s="2" t="s">
        <v>2534</v>
      </c>
      <c r="J375" s="2" t="s">
        <v>1208</v>
      </c>
      <c r="K375" s="2" t="s">
        <v>2537</v>
      </c>
      <c r="L375" s="3">
        <v>22.03</v>
      </c>
      <c r="M375" s="3">
        <v>23.13</v>
      </c>
      <c r="N375" s="3"/>
      <c r="O375" s="2" t="s">
        <v>461</v>
      </c>
      <c r="P375" s="2" t="s">
        <v>333</v>
      </c>
      <c r="Q375" s="2" t="s">
        <v>234</v>
      </c>
      <c r="R375" s="2" t="s">
        <v>228</v>
      </c>
      <c r="S375" s="2" t="s">
        <v>228</v>
      </c>
      <c r="T375" s="2" t="s">
        <v>228</v>
      </c>
      <c r="U375" s="2" t="s">
        <v>416</v>
      </c>
      <c r="V375" s="2" t="s">
        <v>842</v>
      </c>
      <c r="W375" s="2" t="s">
        <v>228</v>
      </c>
      <c r="X375" s="2" t="s">
        <v>228</v>
      </c>
      <c r="Y375" s="2" t="s">
        <v>2538</v>
      </c>
      <c r="Z375" s="4">
        <v>999</v>
      </c>
      <c r="AA375" s="4">
        <f>=ROUNDDOWN({0},0)</f>
      </c>
      <c r="AB375" s="5"/>
      <c r="AC375" s="2" t="s">
        <v>228</v>
      </c>
      <c r="AD375" s="4"/>
      <c r="AE375" s="4"/>
      <c r="AF375" s="6"/>
      <c r="AG375" s="6"/>
      <c r="AH375" s="7">
        <v>1</v>
      </c>
      <c r="AI375" s="4"/>
      <c r="AJ375" s="4">
        <f>=ROUNDDOWN({0},0)</f>
      </c>
      <c r="AK375" s="5"/>
      <c r="AL375" s="2" t="s">
        <v>228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228</v>
      </c>
      <c r="AW375" s="8" t="s">
        <v>228</v>
      </c>
      <c r="AX375" s="4" t="s">
        <v>228</v>
      </c>
      <c r="AY375" s="8" t="s">
        <v>228</v>
      </c>
      <c r="AZ375" s="7" t="s">
        <v>228</v>
      </c>
      <c r="BA375" s="7" t="s">
        <v>228</v>
      </c>
      <c r="BB375" s="7"/>
      <c r="BC375" s="4" t="s">
        <v>228</v>
      </c>
      <c r="BD375" s="8" t="s">
        <v>228</v>
      </c>
      <c r="BE375" s="4" t="s">
        <v>228</v>
      </c>
      <c r="BF375" s="8" t="s">
        <v>228</v>
      </c>
      <c r="BG375" s="7" t="s">
        <v>228</v>
      </c>
      <c r="BH375" s="7" t="s">
        <v>228</v>
      </c>
      <c r="BI375" s="7"/>
      <c r="BJ375" s="4"/>
      <c r="BK375" s="8"/>
      <c r="BL375" s="2" t="s">
        <v>228</v>
      </c>
      <c r="BM375" s="7"/>
      <c r="BN375" s="7"/>
      <c r="BO375" s="4"/>
      <c r="BP375" s="8"/>
      <c r="BQ375" s="4"/>
      <c r="BR375" s="8"/>
      <c r="BS375" s="7"/>
      <c r="BT375" s="7"/>
      <c r="BU375" s="2" t="s">
        <v>2544</v>
      </c>
      <c r="BV375" s="2" t="s">
        <v>228</v>
      </c>
      <c r="BW375" s="2" t="s">
        <v>228</v>
      </c>
      <c r="BX375" s="2" t="s">
        <v>337</v>
      </c>
      <c r="BY375" s="2" t="s">
        <v>274</v>
      </c>
      <c r="BZ375" s="2" t="s">
        <v>240</v>
      </c>
      <c r="CA375" s="2" t="s">
        <v>2540</v>
      </c>
      <c r="CB375" s="2" t="s">
        <v>228</v>
      </c>
      <c r="CC375" s="2" t="s">
        <v>241</v>
      </c>
      <c r="CD375" s="2" t="s">
        <v>228</v>
      </c>
      <c r="CE375" s="4"/>
      <c r="CF375" s="4"/>
      <c r="CG375" s="4"/>
      <c r="CH375" s="4">
        <v>999</v>
      </c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</row>
    <row r="376">
      <c r="A376" s="2" t="s">
        <v>2545</v>
      </c>
      <c r="B376" s="2" t="s">
        <v>2532</v>
      </c>
      <c r="C376" s="2" t="s">
        <v>731</v>
      </c>
      <c r="D376" s="2" t="s">
        <v>2533</v>
      </c>
      <c r="E376" s="2" t="s">
        <v>2534</v>
      </c>
      <c r="F376" s="2" t="s">
        <v>2535</v>
      </c>
      <c r="G376" s="2" t="s">
        <v>2535</v>
      </c>
      <c r="H376" s="2" t="s">
        <v>2535</v>
      </c>
      <c r="I376" s="2" t="s">
        <v>2534</v>
      </c>
      <c r="J376" s="2" t="s">
        <v>1213</v>
      </c>
      <c r="K376" s="2" t="s">
        <v>2537</v>
      </c>
      <c r="L376" s="3">
        <v>22.03</v>
      </c>
      <c r="M376" s="3">
        <v>23.13</v>
      </c>
      <c r="N376" s="3"/>
      <c r="O376" s="2" t="s">
        <v>461</v>
      </c>
      <c r="P376" s="2" t="s">
        <v>333</v>
      </c>
      <c r="Q376" s="2" t="s">
        <v>234</v>
      </c>
      <c r="R376" s="2" t="s">
        <v>228</v>
      </c>
      <c r="S376" s="2" t="s">
        <v>228</v>
      </c>
      <c r="T376" s="2" t="s">
        <v>228</v>
      </c>
      <c r="U376" s="2" t="s">
        <v>416</v>
      </c>
      <c r="V376" s="2" t="s">
        <v>842</v>
      </c>
      <c r="W376" s="2" t="s">
        <v>228</v>
      </c>
      <c r="X376" s="2" t="s">
        <v>228</v>
      </c>
      <c r="Y376" s="2" t="s">
        <v>2538</v>
      </c>
      <c r="Z376" s="4">
        <v>485</v>
      </c>
      <c r="AA376" s="4">
        <f>=ROUNDDOWN(2425,0)</f>
      </c>
      <c r="AB376" s="5">
        <v>0.2</v>
      </c>
      <c r="AC376" s="2" t="s">
        <v>228</v>
      </c>
      <c r="AD376" s="4"/>
      <c r="AE376" s="4"/>
      <c r="AF376" s="6"/>
      <c r="AG376" s="6"/>
      <c r="AH376" s="7">
        <v>1</v>
      </c>
      <c r="AI376" s="4"/>
      <c r="AJ376" s="4">
        <f>=ROUNDDOWN({0},0)</f>
      </c>
      <c r="AK376" s="5"/>
      <c r="AL376" s="2" t="s">
        <v>228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228</v>
      </c>
      <c r="AW376" s="8" t="s">
        <v>228</v>
      </c>
      <c r="AX376" s="4" t="s">
        <v>228</v>
      </c>
      <c r="AY376" s="8" t="s">
        <v>228</v>
      </c>
      <c r="AZ376" s="7" t="s">
        <v>228</v>
      </c>
      <c r="BA376" s="7" t="s">
        <v>228</v>
      </c>
      <c r="BB376" s="7"/>
      <c r="BC376" s="4" t="s">
        <v>228</v>
      </c>
      <c r="BD376" s="8" t="s">
        <v>228</v>
      </c>
      <c r="BE376" s="4" t="s">
        <v>228</v>
      </c>
      <c r="BF376" s="8" t="s">
        <v>228</v>
      </c>
      <c r="BG376" s="7" t="s">
        <v>228</v>
      </c>
      <c r="BH376" s="7" t="s">
        <v>228</v>
      </c>
      <c r="BI376" s="7"/>
      <c r="BJ376" s="4">
        <v>1</v>
      </c>
      <c r="BK376" s="8">
        <v>13.1</v>
      </c>
      <c r="BL376" s="2" t="s">
        <v>708</v>
      </c>
      <c r="BM376" s="7"/>
      <c r="BN376" s="7"/>
      <c r="BO376" s="4"/>
      <c r="BP376" s="8"/>
      <c r="BQ376" s="4"/>
      <c r="BR376" s="8"/>
      <c r="BS376" s="7"/>
      <c r="BT376" s="7"/>
      <c r="BU376" s="2" t="s">
        <v>2546</v>
      </c>
      <c r="BV376" s="2" t="s">
        <v>228</v>
      </c>
      <c r="BW376" s="2" t="s">
        <v>228</v>
      </c>
      <c r="BX376" s="2" t="s">
        <v>337</v>
      </c>
      <c r="BY376" s="2" t="s">
        <v>274</v>
      </c>
      <c r="BZ376" s="2" t="s">
        <v>240</v>
      </c>
      <c r="CA376" s="2" t="s">
        <v>2540</v>
      </c>
      <c r="CB376" s="2" t="s">
        <v>228</v>
      </c>
      <c r="CC376" s="2" t="s">
        <v>241</v>
      </c>
      <c r="CD376" s="2" t="s">
        <v>228</v>
      </c>
      <c r="CE376" s="4"/>
      <c r="CF376" s="4"/>
      <c r="CG376" s="4"/>
      <c r="CH376" s="4">
        <v>485</v>
      </c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</row>
    <row r="377">
      <c r="A377" s="2" t="s">
        <v>2547</v>
      </c>
      <c r="B377" s="2" t="s">
        <v>2532</v>
      </c>
      <c r="C377" s="2" t="s">
        <v>731</v>
      </c>
      <c r="D377" s="2" t="s">
        <v>2533</v>
      </c>
      <c r="E377" s="2" t="s">
        <v>2534</v>
      </c>
      <c r="F377" s="2" t="s">
        <v>2535</v>
      </c>
      <c r="G377" s="2" t="s">
        <v>2535</v>
      </c>
      <c r="H377" s="2" t="s">
        <v>2535</v>
      </c>
      <c r="I377" s="2" t="s">
        <v>2534</v>
      </c>
      <c r="J377" s="2" t="s">
        <v>2536</v>
      </c>
      <c r="K377" s="2" t="s">
        <v>2548</v>
      </c>
      <c r="L377" s="3">
        <v>22.03</v>
      </c>
      <c r="M377" s="3">
        <v>23.13</v>
      </c>
      <c r="N377" s="3"/>
      <c r="O377" s="2" t="s">
        <v>461</v>
      </c>
      <c r="P377" s="2" t="s">
        <v>333</v>
      </c>
      <c r="Q377" s="2" t="s">
        <v>234</v>
      </c>
      <c r="R377" s="2" t="s">
        <v>228</v>
      </c>
      <c r="S377" s="2" t="s">
        <v>228</v>
      </c>
      <c r="T377" s="2" t="s">
        <v>228</v>
      </c>
      <c r="U377" s="2" t="s">
        <v>416</v>
      </c>
      <c r="V377" s="2" t="s">
        <v>842</v>
      </c>
      <c r="W377" s="2" t="s">
        <v>228</v>
      </c>
      <c r="X377" s="2" t="s">
        <v>228</v>
      </c>
      <c r="Y377" s="2" t="s">
        <v>2538</v>
      </c>
      <c r="Z377" s="4">
        <v>477</v>
      </c>
      <c r="AA377" s="4">
        <f>=ROUNDDOWN({0},0)</f>
      </c>
      <c r="AB377" s="5"/>
      <c r="AC377" s="2" t="s">
        <v>228</v>
      </c>
      <c r="AD377" s="4"/>
      <c r="AE377" s="4"/>
      <c r="AF377" s="6"/>
      <c r="AG377" s="6"/>
      <c r="AH377" s="7">
        <v>1</v>
      </c>
      <c r="AI377" s="4"/>
      <c r="AJ377" s="4">
        <f>=ROUNDDOWN({0},0)</f>
      </c>
      <c r="AK377" s="5"/>
      <c r="AL377" s="2" t="s">
        <v>228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228</v>
      </c>
      <c r="AW377" s="8" t="s">
        <v>228</v>
      </c>
      <c r="AX377" s="4" t="s">
        <v>228</v>
      </c>
      <c r="AY377" s="8" t="s">
        <v>228</v>
      </c>
      <c r="AZ377" s="7" t="s">
        <v>228</v>
      </c>
      <c r="BA377" s="7" t="s">
        <v>228</v>
      </c>
      <c r="BB377" s="7"/>
      <c r="BC377" s="4" t="s">
        <v>228</v>
      </c>
      <c r="BD377" s="8" t="s">
        <v>228</v>
      </c>
      <c r="BE377" s="4" t="s">
        <v>228</v>
      </c>
      <c r="BF377" s="8" t="s">
        <v>228</v>
      </c>
      <c r="BG377" s="7" t="s">
        <v>228</v>
      </c>
      <c r="BH377" s="7" t="s">
        <v>228</v>
      </c>
      <c r="BI377" s="7"/>
      <c r="BJ377" s="4"/>
      <c r="BK377" s="8"/>
      <c r="BL377" s="2" t="s">
        <v>228</v>
      </c>
      <c r="BM377" s="7"/>
      <c r="BN377" s="7"/>
      <c r="BO377" s="4"/>
      <c r="BP377" s="8"/>
      <c r="BQ377" s="4"/>
      <c r="BR377" s="8"/>
      <c r="BS377" s="7"/>
      <c r="BT377" s="7"/>
      <c r="BU377" s="2" t="s">
        <v>2549</v>
      </c>
      <c r="BV377" s="2" t="s">
        <v>228</v>
      </c>
      <c r="BW377" s="2" t="s">
        <v>228</v>
      </c>
      <c r="BX377" s="2" t="s">
        <v>337</v>
      </c>
      <c r="BY377" s="2" t="s">
        <v>274</v>
      </c>
      <c r="BZ377" s="2" t="s">
        <v>240</v>
      </c>
      <c r="CA377" s="2" t="s">
        <v>2540</v>
      </c>
      <c r="CB377" s="2" t="s">
        <v>228</v>
      </c>
      <c r="CC377" s="2" t="s">
        <v>241</v>
      </c>
      <c r="CD377" s="2" t="s">
        <v>228</v>
      </c>
      <c r="CE377" s="4"/>
      <c r="CF377" s="4"/>
      <c r="CG377" s="4"/>
      <c r="CH377" s="4">
        <v>477</v>
      </c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</row>
    <row r="378">
      <c r="A378" s="2" t="s">
        <v>2550</v>
      </c>
      <c r="B378" s="2" t="s">
        <v>2532</v>
      </c>
      <c r="C378" s="2" t="s">
        <v>731</v>
      </c>
      <c r="D378" s="2" t="s">
        <v>2533</v>
      </c>
      <c r="E378" s="2" t="s">
        <v>2534</v>
      </c>
      <c r="F378" s="2" t="s">
        <v>2535</v>
      </c>
      <c r="G378" s="2" t="s">
        <v>2535</v>
      </c>
      <c r="H378" s="2" t="s">
        <v>2535</v>
      </c>
      <c r="I378" s="2" t="s">
        <v>2534</v>
      </c>
      <c r="J378" s="2" t="s">
        <v>1202</v>
      </c>
      <c r="K378" s="2" t="s">
        <v>2548</v>
      </c>
      <c r="L378" s="3">
        <v>22.03</v>
      </c>
      <c r="M378" s="3">
        <v>23.13</v>
      </c>
      <c r="N378" s="3"/>
      <c r="O378" s="2" t="s">
        <v>461</v>
      </c>
      <c r="P378" s="2" t="s">
        <v>333</v>
      </c>
      <c r="Q378" s="2" t="s">
        <v>234</v>
      </c>
      <c r="R378" s="2" t="s">
        <v>228</v>
      </c>
      <c r="S378" s="2" t="s">
        <v>228</v>
      </c>
      <c r="T378" s="2" t="s">
        <v>228</v>
      </c>
      <c r="U378" s="2" t="s">
        <v>416</v>
      </c>
      <c r="V378" s="2" t="s">
        <v>842</v>
      </c>
      <c r="W378" s="2" t="s">
        <v>228</v>
      </c>
      <c r="X378" s="2" t="s">
        <v>228</v>
      </c>
      <c r="Y378" s="2" t="s">
        <v>2538</v>
      </c>
      <c r="Z378" s="4">
        <v>996</v>
      </c>
      <c r="AA378" s="4">
        <f>=ROUNDDOWN(4980,0)</f>
      </c>
      <c r="AB378" s="5">
        <v>0.2</v>
      </c>
      <c r="AC378" s="2" t="s">
        <v>228</v>
      </c>
      <c r="AD378" s="4"/>
      <c r="AE378" s="4"/>
      <c r="AF378" s="6"/>
      <c r="AG378" s="6"/>
      <c r="AH378" s="7">
        <v>1</v>
      </c>
      <c r="AI378" s="4"/>
      <c r="AJ378" s="4">
        <f>=ROUNDDOWN({0},0)</f>
      </c>
      <c r="AK378" s="5"/>
      <c r="AL378" s="2" t="s">
        <v>228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228</v>
      </c>
      <c r="AW378" s="8" t="s">
        <v>228</v>
      </c>
      <c r="AX378" s="4" t="s">
        <v>228</v>
      </c>
      <c r="AY378" s="8" t="s">
        <v>228</v>
      </c>
      <c r="AZ378" s="7" t="s">
        <v>228</v>
      </c>
      <c r="BA378" s="7" t="s">
        <v>228</v>
      </c>
      <c r="BB378" s="7"/>
      <c r="BC378" s="4" t="s">
        <v>228</v>
      </c>
      <c r="BD378" s="8" t="s">
        <v>228</v>
      </c>
      <c r="BE378" s="4" t="s">
        <v>228</v>
      </c>
      <c r="BF378" s="8" t="s">
        <v>228</v>
      </c>
      <c r="BG378" s="7" t="s">
        <v>228</v>
      </c>
      <c r="BH378" s="7" t="s">
        <v>228</v>
      </c>
      <c r="BI378" s="7"/>
      <c r="BJ378" s="4">
        <v>1</v>
      </c>
      <c r="BK378" s="8">
        <v>13.1</v>
      </c>
      <c r="BL378" s="2" t="s">
        <v>708</v>
      </c>
      <c r="BM378" s="7"/>
      <c r="BN378" s="7"/>
      <c r="BO378" s="4"/>
      <c r="BP378" s="8"/>
      <c r="BQ378" s="4"/>
      <c r="BR378" s="8"/>
      <c r="BS378" s="7"/>
      <c r="BT378" s="7"/>
      <c r="BU378" s="2" t="s">
        <v>2551</v>
      </c>
      <c r="BV378" s="2" t="s">
        <v>228</v>
      </c>
      <c r="BW378" s="2" t="s">
        <v>228</v>
      </c>
      <c r="BX378" s="2" t="s">
        <v>337</v>
      </c>
      <c r="BY378" s="2" t="s">
        <v>274</v>
      </c>
      <c r="BZ378" s="2" t="s">
        <v>240</v>
      </c>
      <c r="CA378" s="2" t="s">
        <v>2540</v>
      </c>
      <c r="CB378" s="2" t="s">
        <v>228</v>
      </c>
      <c r="CC378" s="2" t="s">
        <v>241</v>
      </c>
      <c r="CD378" s="2" t="s">
        <v>228</v>
      </c>
      <c r="CE378" s="4"/>
      <c r="CF378" s="4"/>
      <c r="CG378" s="4"/>
      <c r="CH378" s="4">
        <v>996</v>
      </c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</row>
    <row r="379">
      <c r="A379" s="2" t="s">
        <v>2552</v>
      </c>
      <c r="B379" s="2" t="s">
        <v>2532</v>
      </c>
      <c r="C379" s="2" t="s">
        <v>731</v>
      </c>
      <c r="D379" s="2" t="s">
        <v>2533</v>
      </c>
      <c r="E379" s="2" t="s">
        <v>2534</v>
      </c>
      <c r="F379" s="2" t="s">
        <v>2535</v>
      </c>
      <c r="G379" s="2" t="s">
        <v>2535</v>
      </c>
      <c r="H379" s="2" t="s">
        <v>2535</v>
      </c>
      <c r="I379" s="2" t="s">
        <v>2534</v>
      </c>
      <c r="J379" s="2" t="s">
        <v>1208</v>
      </c>
      <c r="K379" s="2" t="s">
        <v>2548</v>
      </c>
      <c r="L379" s="3">
        <v>22.03</v>
      </c>
      <c r="M379" s="3">
        <v>23.13</v>
      </c>
      <c r="N379" s="3"/>
      <c r="O379" s="2" t="s">
        <v>461</v>
      </c>
      <c r="P379" s="2" t="s">
        <v>333</v>
      </c>
      <c r="Q379" s="2" t="s">
        <v>234</v>
      </c>
      <c r="R379" s="2" t="s">
        <v>228</v>
      </c>
      <c r="S379" s="2" t="s">
        <v>228</v>
      </c>
      <c r="T379" s="2" t="s">
        <v>228</v>
      </c>
      <c r="U379" s="2" t="s">
        <v>416</v>
      </c>
      <c r="V379" s="2" t="s">
        <v>842</v>
      </c>
      <c r="W379" s="2" t="s">
        <v>228</v>
      </c>
      <c r="X379" s="2" t="s">
        <v>228</v>
      </c>
      <c r="Y379" s="2" t="s">
        <v>2538</v>
      </c>
      <c r="Z379" s="4">
        <v>1003</v>
      </c>
      <c r="AA379" s="4">
        <f>=ROUNDDOWN(5015,0)</f>
      </c>
      <c r="AB379" s="5">
        <v>0.2</v>
      </c>
      <c r="AC379" s="2" t="s">
        <v>228</v>
      </c>
      <c r="AD379" s="4"/>
      <c r="AE379" s="4"/>
      <c r="AF379" s="6"/>
      <c r="AG379" s="6"/>
      <c r="AH379" s="7">
        <v>1</v>
      </c>
      <c r="AI379" s="4"/>
      <c r="AJ379" s="4">
        <f>=ROUNDDOWN({0},0)</f>
      </c>
      <c r="AK379" s="5"/>
      <c r="AL379" s="2" t="s">
        <v>228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228</v>
      </c>
      <c r="AW379" s="8" t="s">
        <v>228</v>
      </c>
      <c r="AX379" s="4" t="s">
        <v>228</v>
      </c>
      <c r="AY379" s="8" t="s">
        <v>228</v>
      </c>
      <c r="AZ379" s="7" t="s">
        <v>228</v>
      </c>
      <c r="BA379" s="7" t="s">
        <v>228</v>
      </c>
      <c r="BB379" s="7"/>
      <c r="BC379" s="4" t="s">
        <v>228</v>
      </c>
      <c r="BD379" s="8" t="s">
        <v>228</v>
      </c>
      <c r="BE379" s="4" t="s">
        <v>228</v>
      </c>
      <c r="BF379" s="8" t="s">
        <v>228</v>
      </c>
      <c r="BG379" s="7" t="s">
        <v>228</v>
      </c>
      <c r="BH379" s="7" t="s">
        <v>228</v>
      </c>
      <c r="BI379" s="7"/>
      <c r="BJ379" s="4">
        <v>1</v>
      </c>
      <c r="BK379" s="8">
        <v>13.1</v>
      </c>
      <c r="BL379" s="2" t="s">
        <v>708</v>
      </c>
      <c r="BM379" s="7"/>
      <c r="BN379" s="7"/>
      <c r="BO379" s="4"/>
      <c r="BP379" s="8"/>
      <c r="BQ379" s="4"/>
      <c r="BR379" s="8"/>
      <c r="BS379" s="7"/>
      <c r="BT379" s="7"/>
      <c r="BU379" s="2" t="s">
        <v>2553</v>
      </c>
      <c r="BV379" s="2" t="s">
        <v>228</v>
      </c>
      <c r="BW379" s="2" t="s">
        <v>228</v>
      </c>
      <c r="BX379" s="2" t="s">
        <v>337</v>
      </c>
      <c r="BY379" s="2" t="s">
        <v>274</v>
      </c>
      <c r="BZ379" s="2" t="s">
        <v>240</v>
      </c>
      <c r="CA379" s="2" t="s">
        <v>2540</v>
      </c>
      <c r="CB379" s="2" t="s">
        <v>228</v>
      </c>
      <c r="CC379" s="2" t="s">
        <v>241</v>
      </c>
      <c r="CD379" s="2" t="s">
        <v>228</v>
      </c>
      <c r="CE379" s="4"/>
      <c r="CF379" s="4"/>
      <c r="CG379" s="4"/>
      <c r="CH379" s="4">
        <v>1003</v>
      </c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</row>
    <row r="380">
      <c r="A380" s="2" t="s">
        <v>2554</v>
      </c>
      <c r="B380" s="2" t="s">
        <v>2532</v>
      </c>
      <c r="C380" s="2" t="s">
        <v>731</v>
      </c>
      <c r="D380" s="2" t="s">
        <v>2533</v>
      </c>
      <c r="E380" s="2" t="s">
        <v>2534</v>
      </c>
      <c r="F380" s="2" t="s">
        <v>2535</v>
      </c>
      <c r="G380" s="2" t="s">
        <v>2535</v>
      </c>
      <c r="H380" s="2" t="s">
        <v>2535</v>
      </c>
      <c r="I380" s="2" t="s">
        <v>2534</v>
      </c>
      <c r="J380" s="2" t="s">
        <v>1213</v>
      </c>
      <c r="K380" s="2" t="s">
        <v>2548</v>
      </c>
      <c r="L380" s="3">
        <v>22.03</v>
      </c>
      <c r="M380" s="3">
        <v>23.13</v>
      </c>
      <c r="N380" s="3"/>
      <c r="O380" s="2" t="s">
        <v>461</v>
      </c>
      <c r="P380" s="2" t="s">
        <v>333</v>
      </c>
      <c r="Q380" s="2" t="s">
        <v>234</v>
      </c>
      <c r="R380" s="2" t="s">
        <v>228</v>
      </c>
      <c r="S380" s="2" t="s">
        <v>228</v>
      </c>
      <c r="T380" s="2" t="s">
        <v>228</v>
      </c>
      <c r="U380" s="2" t="s">
        <v>416</v>
      </c>
      <c r="V380" s="2" t="s">
        <v>842</v>
      </c>
      <c r="W380" s="2" t="s">
        <v>228</v>
      </c>
      <c r="X380" s="2" t="s">
        <v>228</v>
      </c>
      <c r="Y380" s="2" t="s">
        <v>2538</v>
      </c>
      <c r="Z380" s="4">
        <v>475</v>
      </c>
      <c r="AA380" s="4">
        <f>=ROUNDDOWN({0},0)</f>
      </c>
      <c r="AB380" s="5"/>
      <c r="AC380" s="2" t="s">
        <v>228</v>
      </c>
      <c r="AD380" s="4"/>
      <c r="AE380" s="4"/>
      <c r="AF380" s="6"/>
      <c r="AG380" s="6"/>
      <c r="AH380" s="7">
        <v>1</v>
      </c>
      <c r="AI380" s="4"/>
      <c r="AJ380" s="4">
        <f>=ROUNDDOWN({0},0)</f>
      </c>
      <c r="AK380" s="5"/>
      <c r="AL380" s="2" t="s">
        <v>228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228</v>
      </c>
      <c r="AW380" s="8" t="s">
        <v>228</v>
      </c>
      <c r="AX380" s="4" t="s">
        <v>228</v>
      </c>
      <c r="AY380" s="8" t="s">
        <v>228</v>
      </c>
      <c r="AZ380" s="7" t="s">
        <v>228</v>
      </c>
      <c r="BA380" s="7" t="s">
        <v>228</v>
      </c>
      <c r="BB380" s="7"/>
      <c r="BC380" s="4" t="s">
        <v>228</v>
      </c>
      <c r="BD380" s="8" t="s">
        <v>228</v>
      </c>
      <c r="BE380" s="4" t="s">
        <v>228</v>
      </c>
      <c r="BF380" s="8" t="s">
        <v>228</v>
      </c>
      <c r="BG380" s="7" t="s">
        <v>228</v>
      </c>
      <c r="BH380" s="7" t="s">
        <v>228</v>
      </c>
      <c r="BI380" s="7"/>
      <c r="BJ380" s="4"/>
      <c r="BK380" s="8"/>
      <c r="BL380" s="2" t="s">
        <v>708</v>
      </c>
      <c r="BM380" s="7"/>
      <c r="BN380" s="7"/>
      <c r="BO380" s="4"/>
      <c r="BP380" s="8"/>
      <c r="BQ380" s="4"/>
      <c r="BR380" s="8"/>
      <c r="BS380" s="7"/>
      <c r="BT380" s="7"/>
      <c r="BU380" s="2" t="s">
        <v>2555</v>
      </c>
      <c r="BV380" s="2" t="s">
        <v>228</v>
      </c>
      <c r="BW380" s="2" t="s">
        <v>228</v>
      </c>
      <c r="BX380" s="2" t="s">
        <v>337</v>
      </c>
      <c r="BY380" s="2" t="s">
        <v>274</v>
      </c>
      <c r="BZ380" s="2" t="s">
        <v>240</v>
      </c>
      <c r="CA380" s="2" t="s">
        <v>2540</v>
      </c>
      <c r="CB380" s="2" t="s">
        <v>228</v>
      </c>
      <c r="CC380" s="2" t="s">
        <v>241</v>
      </c>
      <c r="CD380" s="2" t="s">
        <v>228</v>
      </c>
      <c r="CE380" s="4"/>
      <c r="CF380" s="4"/>
      <c r="CG380" s="4"/>
      <c r="CH380" s="4">
        <v>475</v>
      </c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</row>
    <row r="381">
      <c r="A381" s="2" t="s">
        <v>2556</v>
      </c>
      <c r="B381" s="2" t="s">
        <v>958</v>
      </c>
      <c r="C381" s="2" t="s">
        <v>300</v>
      </c>
      <c r="D381" s="2" t="s">
        <v>959</v>
      </c>
      <c r="E381" s="2" t="s">
        <v>960</v>
      </c>
      <c r="F381" s="2" t="s">
        <v>2557</v>
      </c>
      <c r="G381" s="2" t="s">
        <v>2558</v>
      </c>
      <c r="H381" s="2" t="s">
        <v>2559</v>
      </c>
      <c r="I381" s="2" t="s">
        <v>2560</v>
      </c>
      <c r="J381" s="2" t="s">
        <v>840</v>
      </c>
      <c r="K381" s="2" t="s">
        <v>249</v>
      </c>
      <c r="L381" s="3">
        <v>276</v>
      </c>
      <c r="M381" s="3">
        <v>289.8</v>
      </c>
      <c r="N381" s="3">
        <v>579</v>
      </c>
      <c r="O381" s="2" t="s">
        <v>240</v>
      </c>
      <c r="P381" s="2" t="s">
        <v>1012</v>
      </c>
      <c r="Q381" s="2" t="s">
        <v>234</v>
      </c>
      <c r="R381" s="2" t="s">
        <v>228</v>
      </c>
      <c r="S381" s="2" t="s">
        <v>2561</v>
      </c>
      <c r="T381" s="2" t="s">
        <v>228</v>
      </c>
      <c r="U381" s="2" t="s">
        <v>416</v>
      </c>
      <c r="V381" s="2" t="s">
        <v>236</v>
      </c>
      <c r="W381" s="2" t="s">
        <v>463</v>
      </c>
      <c r="X381" s="2" t="s">
        <v>228</v>
      </c>
      <c r="Y381" s="2" t="s">
        <v>2562</v>
      </c>
      <c r="Z381" s="4">
        <v>107</v>
      </c>
      <c r="AA381" s="4">
        <f>=ROUNDDOWN(26.75,0)</f>
      </c>
      <c r="AB381" s="5">
        <v>4</v>
      </c>
      <c r="AC381" s="2" t="s">
        <v>200</v>
      </c>
      <c r="AD381" s="4">
        <v>100</v>
      </c>
      <c r="AE381" s="4">
        <v>100</v>
      </c>
      <c r="AF381" s="6">
        <v>67</v>
      </c>
      <c r="AG381" s="6"/>
      <c r="AH381" s="7">
        <v>1</v>
      </c>
      <c r="AI381" s="4"/>
      <c r="AJ381" s="4">
        <f>=ROUNDDOWN({0},0)</f>
      </c>
      <c r="AK381" s="5"/>
      <c r="AL381" s="2" t="s">
        <v>228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/>
      <c r="BD381" s="8"/>
      <c r="BE381" s="4"/>
      <c r="BF381" s="8"/>
      <c r="BG381" s="7"/>
      <c r="BH381" s="7"/>
      <c r="BI381" s="7"/>
      <c r="BJ381" s="4">
        <v>2</v>
      </c>
      <c r="BK381" s="8">
        <v>579.6</v>
      </c>
      <c r="BL381" s="2" t="s">
        <v>1921</v>
      </c>
      <c r="BM381" s="7"/>
      <c r="BN381" s="7"/>
      <c r="BO381" s="4"/>
      <c r="BP381" s="8"/>
      <c r="BQ381" s="4"/>
      <c r="BR381" s="8"/>
      <c r="BS381" s="7"/>
      <c r="BT381" s="7"/>
      <c r="BU381" s="2" t="s">
        <v>2563</v>
      </c>
      <c r="BV381" s="2" t="s">
        <v>228</v>
      </c>
      <c r="BW381" s="2" t="s">
        <v>228</v>
      </c>
      <c r="BX381" s="2" t="s">
        <v>273</v>
      </c>
      <c r="BY381" s="2" t="s">
        <v>274</v>
      </c>
      <c r="BZ381" s="2" t="s">
        <v>240</v>
      </c>
      <c r="CA381" s="2" t="s">
        <v>2564</v>
      </c>
      <c r="CB381" s="2" t="s">
        <v>2565</v>
      </c>
      <c r="CC381" s="2" t="s">
        <v>241</v>
      </c>
      <c r="CD381" s="2" t="s">
        <v>228</v>
      </c>
      <c r="CE381" s="4"/>
      <c r="CF381" s="4">
        <v>107</v>
      </c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>
        <v>100</v>
      </c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</row>
    <row r="382">
      <c r="A382" s="2" t="s">
        <v>2566</v>
      </c>
      <c r="B382" s="2" t="s">
        <v>1150</v>
      </c>
      <c r="C382" s="2" t="s">
        <v>1261</v>
      </c>
      <c r="D382" s="2" t="s">
        <v>1112</v>
      </c>
      <c r="E382" s="2" t="s">
        <v>1113</v>
      </c>
      <c r="F382" s="2" t="s">
        <v>2567</v>
      </c>
      <c r="G382" s="2" t="s">
        <v>2567</v>
      </c>
      <c r="H382" s="2" t="s">
        <v>2567</v>
      </c>
      <c r="I382" s="2" t="s">
        <v>2568</v>
      </c>
      <c r="J382" s="2" t="s">
        <v>856</v>
      </c>
      <c r="K382" s="2" t="s">
        <v>1478</v>
      </c>
      <c r="L382" s="3">
        <v>45.71</v>
      </c>
      <c r="M382" s="3">
        <v>48</v>
      </c>
      <c r="N382" s="3">
        <v>99.99</v>
      </c>
      <c r="O382" s="2" t="s">
        <v>240</v>
      </c>
      <c r="P382" s="2" t="s">
        <v>233</v>
      </c>
      <c r="Q382" s="2" t="s">
        <v>234</v>
      </c>
      <c r="R382" s="2" t="s">
        <v>228</v>
      </c>
      <c r="S382" s="2" t="s">
        <v>2569</v>
      </c>
      <c r="T382" s="2" t="s">
        <v>1414</v>
      </c>
      <c r="U382" s="2" t="s">
        <v>520</v>
      </c>
      <c r="V382" s="2" t="s">
        <v>2570</v>
      </c>
      <c r="W382" s="2" t="s">
        <v>1267</v>
      </c>
      <c r="X382" s="2" t="s">
        <v>463</v>
      </c>
      <c r="Y382" s="2" t="s">
        <v>2488</v>
      </c>
      <c r="Z382" s="4">
        <v>134</v>
      </c>
      <c r="AA382" s="4">
        <f>=ROUNDDOWN(26.8,0)</f>
      </c>
      <c r="AB382" s="5">
        <v>5</v>
      </c>
      <c r="AC382" s="2" t="s">
        <v>782</v>
      </c>
      <c r="AD382" s="4">
        <v>170</v>
      </c>
      <c r="AE382" s="4">
        <v>170</v>
      </c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228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/>
      <c r="BD382" s="8"/>
      <c r="BE382" s="4"/>
      <c r="BF382" s="8"/>
      <c r="BG382" s="7"/>
      <c r="BH382" s="7"/>
      <c r="BI382" s="7"/>
      <c r="BJ382" s="4">
        <v>5</v>
      </c>
      <c r="BK382" s="8">
        <v>270.47</v>
      </c>
      <c r="BL382" s="2" t="s">
        <v>2571</v>
      </c>
      <c r="BM382" s="7"/>
      <c r="BN382" s="7"/>
      <c r="BO382" s="4"/>
      <c r="BP382" s="8"/>
      <c r="BQ382" s="4"/>
      <c r="BR382" s="8"/>
      <c r="BS382" s="7"/>
      <c r="BT382" s="7"/>
      <c r="BU382" s="2" t="s">
        <v>2572</v>
      </c>
      <c r="BV382" s="2" t="s">
        <v>228</v>
      </c>
      <c r="BW382" s="2" t="s">
        <v>228</v>
      </c>
      <c r="BX382" s="2" t="s">
        <v>273</v>
      </c>
      <c r="BY382" s="2" t="s">
        <v>274</v>
      </c>
      <c r="BZ382" s="2" t="s">
        <v>240</v>
      </c>
      <c r="CA382" s="2" t="s">
        <v>2370</v>
      </c>
      <c r="CB382" s="2" t="s">
        <v>228</v>
      </c>
      <c r="CC382" s="2" t="s">
        <v>241</v>
      </c>
      <c r="CD382" s="2" t="s">
        <v>228</v>
      </c>
      <c r="CE382" s="4">
        <v>134</v>
      </c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>
        <v>170</v>
      </c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</row>
    <row r="383">
      <c r="A383" s="2" t="s">
        <v>2573</v>
      </c>
      <c r="B383" s="2" t="s">
        <v>848</v>
      </c>
      <c r="C383" s="2" t="s">
        <v>849</v>
      </c>
      <c r="D383" s="2" t="s">
        <v>1112</v>
      </c>
      <c r="E383" s="2" t="s">
        <v>1113</v>
      </c>
      <c r="F383" s="2" t="s">
        <v>2574</v>
      </c>
      <c r="G383" s="2" t="s">
        <v>2575</v>
      </c>
      <c r="H383" s="2" t="s">
        <v>2576</v>
      </c>
      <c r="I383" s="2" t="s">
        <v>2577</v>
      </c>
      <c r="J383" s="2" t="s">
        <v>1189</v>
      </c>
      <c r="K383" s="2" t="s">
        <v>265</v>
      </c>
      <c r="L383" s="3">
        <v>38.09</v>
      </c>
      <c r="M383" s="3">
        <v>39.99</v>
      </c>
      <c r="N383" s="3">
        <v>79.99</v>
      </c>
      <c r="O383" s="2" t="s">
        <v>240</v>
      </c>
      <c r="P383" s="2" t="s">
        <v>333</v>
      </c>
      <c r="Q383" s="2" t="s">
        <v>234</v>
      </c>
      <c r="R383" s="2" t="s">
        <v>228</v>
      </c>
      <c r="S383" s="2" t="s">
        <v>2578</v>
      </c>
      <c r="T383" s="2" t="s">
        <v>228</v>
      </c>
      <c r="U383" s="2" t="s">
        <v>500</v>
      </c>
      <c r="V383" s="2" t="s">
        <v>842</v>
      </c>
      <c r="W383" s="2" t="s">
        <v>269</v>
      </c>
      <c r="X383" s="2" t="s">
        <v>228</v>
      </c>
      <c r="Y383" s="2" t="s">
        <v>2579</v>
      </c>
      <c r="Z383" s="4">
        <v>98</v>
      </c>
      <c r="AA383" s="4">
        <f>=ROUNDDOWN(57.6470588235294,0)</f>
      </c>
      <c r="AB383" s="5">
        <v>1.7</v>
      </c>
      <c r="AC383" s="2" t="s">
        <v>228</v>
      </c>
      <c r="AD383" s="4"/>
      <c r="AE383" s="4"/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228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228</v>
      </c>
      <c r="AW383" s="8" t="s">
        <v>228</v>
      </c>
      <c r="AX383" s="4" t="s">
        <v>228</v>
      </c>
      <c r="AY383" s="8" t="s">
        <v>228</v>
      </c>
      <c r="AZ383" s="7" t="s">
        <v>228</v>
      </c>
      <c r="BA383" s="7" t="s">
        <v>228</v>
      </c>
      <c r="BB383" s="7" t="s">
        <v>228</v>
      </c>
      <c r="BC383" s="4" t="s">
        <v>228</v>
      </c>
      <c r="BD383" s="8" t="s">
        <v>228</v>
      </c>
      <c r="BE383" s="4" t="s">
        <v>228</v>
      </c>
      <c r="BF383" s="8" t="s">
        <v>228</v>
      </c>
      <c r="BG383" s="7" t="s">
        <v>228</v>
      </c>
      <c r="BH383" s="7" t="s">
        <v>228</v>
      </c>
      <c r="BI383" s="7"/>
      <c r="BJ383" s="4">
        <v>6</v>
      </c>
      <c r="BK383" s="8">
        <v>224.46</v>
      </c>
      <c r="BL383" s="2" t="s">
        <v>1173</v>
      </c>
      <c r="BM383" s="7"/>
      <c r="BN383" s="7"/>
      <c r="BO383" s="4"/>
      <c r="BP383" s="8"/>
      <c r="BQ383" s="4"/>
      <c r="BR383" s="8"/>
      <c r="BS383" s="7"/>
      <c r="BT383" s="7"/>
      <c r="BU383" s="2" t="s">
        <v>2580</v>
      </c>
      <c r="BV383" s="2" t="s">
        <v>228</v>
      </c>
      <c r="BW383" s="2" t="s">
        <v>228</v>
      </c>
      <c r="BX383" s="2" t="s">
        <v>337</v>
      </c>
      <c r="BY383" s="2" t="s">
        <v>274</v>
      </c>
      <c r="BZ383" s="2" t="s">
        <v>240</v>
      </c>
      <c r="CA383" s="2" t="s">
        <v>2581</v>
      </c>
      <c r="CB383" s="2" t="s">
        <v>2582</v>
      </c>
      <c r="CC383" s="2" t="s">
        <v>241</v>
      </c>
      <c r="CD383" s="2" t="s">
        <v>228</v>
      </c>
      <c r="CE383" s="4">
        <v>98</v>
      </c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</row>
    <row r="384">
      <c r="A384" s="2" t="s">
        <v>2583</v>
      </c>
      <c r="B384" s="2" t="s">
        <v>848</v>
      </c>
      <c r="C384" s="2" t="s">
        <v>849</v>
      </c>
      <c r="D384" s="2" t="s">
        <v>850</v>
      </c>
      <c r="E384" s="2" t="s">
        <v>1038</v>
      </c>
      <c r="F384" s="2" t="s">
        <v>2574</v>
      </c>
      <c r="G384" s="2" t="s">
        <v>2575</v>
      </c>
      <c r="H384" s="2" t="s">
        <v>2576</v>
      </c>
      <c r="I384" s="2" t="s">
        <v>2584</v>
      </c>
      <c r="J384" s="2" t="s">
        <v>1189</v>
      </c>
      <c r="K384" s="2" t="s">
        <v>265</v>
      </c>
      <c r="L384" s="3">
        <v>30.95</v>
      </c>
      <c r="M384" s="3">
        <v>32.5</v>
      </c>
      <c r="N384" s="3">
        <v>64.99</v>
      </c>
      <c r="O384" s="2" t="s">
        <v>240</v>
      </c>
      <c r="P384" s="2" t="s">
        <v>333</v>
      </c>
      <c r="Q384" s="2" t="s">
        <v>234</v>
      </c>
      <c r="R384" s="2" t="s">
        <v>228</v>
      </c>
      <c r="S384" s="2" t="s">
        <v>2578</v>
      </c>
      <c r="T384" s="2" t="s">
        <v>228</v>
      </c>
      <c r="U384" s="2" t="s">
        <v>500</v>
      </c>
      <c r="V384" s="2" t="s">
        <v>842</v>
      </c>
      <c r="W384" s="2" t="s">
        <v>269</v>
      </c>
      <c r="X384" s="2" t="s">
        <v>228</v>
      </c>
      <c r="Y384" s="2" t="s">
        <v>2579</v>
      </c>
      <c r="Z384" s="4">
        <v>13</v>
      </c>
      <c r="AA384" s="4">
        <f>=ROUNDDOWN(10,0)</f>
      </c>
      <c r="AB384" s="5">
        <v>1.3</v>
      </c>
      <c r="AC384" s="2" t="s">
        <v>228</v>
      </c>
      <c r="AD384" s="4"/>
      <c r="AE384" s="4"/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228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228</v>
      </c>
      <c r="AW384" s="8" t="s">
        <v>228</v>
      </c>
      <c r="AX384" s="4" t="s">
        <v>228</v>
      </c>
      <c r="AY384" s="8" t="s">
        <v>228</v>
      </c>
      <c r="AZ384" s="7" t="s">
        <v>228</v>
      </c>
      <c r="BA384" s="7" t="s">
        <v>228</v>
      </c>
      <c r="BB384" s="7" t="s">
        <v>228</v>
      </c>
      <c r="BC384" s="4" t="s">
        <v>228</v>
      </c>
      <c r="BD384" s="8" t="s">
        <v>228</v>
      </c>
      <c r="BE384" s="4" t="s">
        <v>228</v>
      </c>
      <c r="BF384" s="8" t="s">
        <v>228</v>
      </c>
      <c r="BG384" s="7" t="s">
        <v>228</v>
      </c>
      <c r="BH384" s="7" t="s">
        <v>228</v>
      </c>
      <c r="BI384" s="7"/>
      <c r="BJ384" s="4">
        <v>4</v>
      </c>
      <c r="BK384" s="8">
        <v>106.23</v>
      </c>
      <c r="BL384" s="2" t="s">
        <v>2585</v>
      </c>
      <c r="BM384" s="7"/>
      <c r="BN384" s="7"/>
      <c r="BO384" s="4"/>
      <c r="BP384" s="8"/>
      <c r="BQ384" s="4"/>
      <c r="BR384" s="8"/>
      <c r="BS384" s="7"/>
      <c r="BT384" s="7"/>
      <c r="BU384" s="2" t="s">
        <v>2586</v>
      </c>
      <c r="BV384" s="2" t="s">
        <v>228</v>
      </c>
      <c r="BW384" s="2" t="s">
        <v>228</v>
      </c>
      <c r="BX384" s="2" t="s">
        <v>337</v>
      </c>
      <c r="BY384" s="2" t="s">
        <v>274</v>
      </c>
      <c r="BZ384" s="2" t="s">
        <v>240</v>
      </c>
      <c r="CA384" s="2" t="s">
        <v>2587</v>
      </c>
      <c r="CB384" s="2" t="s">
        <v>2588</v>
      </c>
      <c r="CC384" s="2" t="s">
        <v>241</v>
      </c>
      <c r="CD384" s="2" t="s">
        <v>228</v>
      </c>
      <c r="CE384" s="4">
        <v>13</v>
      </c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</row>
    <row r="385">
      <c r="A385" s="2" t="s">
        <v>2589</v>
      </c>
      <c r="B385" s="2" t="s">
        <v>223</v>
      </c>
      <c r="C385" s="2" t="s">
        <v>835</v>
      </c>
      <c r="D385" s="2" t="s">
        <v>516</v>
      </c>
      <c r="E385" s="2" t="s">
        <v>517</v>
      </c>
      <c r="F385" s="2" t="s">
        <v>2590</v>
      </c>
      <c r="G385" s="2" t="s">
        <v>2590</v>
      </c>
      <c r="H385" s="2" t="s">
        <v>2590</v>
      </c>
      <c r="I385" s="2" t="s">
        <v>2591</v>
      </c>
      <c r="J385" s="2" t="s">
        <v>2592</v>
      </c>
      <c r="K385" s="2" t="s">
        <v>1421</v>
      </c>
      <c r="L385" s="3">
        <v>10.58</v>
      </c>
      <c r="M385" s="3">
        <v>11.11</v>
      </c>
      <c r="N385" s="3">
        <v>22.99</v>
      </c>
      <c r="O385" s="2" t="s">
        <v>240</v>
      </c>
      <c r="P385" s="2" t="s">
        <v>1012</v>
      </c>
      <c r="Q385" s="2" t="s">
        <v>234</v>
      </c>
      <c r="R385" s="2" t="s">
        <v>228</v>
      </c>
      <c r="S385" s="2" t="s">
        <v>2593</v>
      </c>
      <c r="T385" s="2" t="s">
        <v>2594</v>
      </c>
      <c r="U385" s="2" t="s">
        <v>416</v>
      </c>
      <c r="V385" s="2" t="s">
        <v>236</v>
      </c>
      <c r="W385" s="2" t="s">
        <v>269</v>
      </c>
      <c r="X385" s="2" t="s">
        <v>1268</v>
      </c>
      <c r="Y385" s="2" t="s">
        <v>1443</v>
      </c>
      <c r="Z385" s="4">
        <v>526</v>
      </c>
      <c r="AA385" s="4">
        <f>=ROUNDDOWN(87.6666666666667,0)</f>
      </c>
      <c r="AB385" s="5">
        <v>6</v>
      </c>
      <c r="AC385" s="2" t="s">
        <v>228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228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228</v>
      </c>
      <c r="AW385" s="8" t="s">
        <v>228</v>
      </c>
      <c r="AX385" s="4" t="s">
        <v>228</v>
      </c>
      <c r="AY385" s="8" t="s">
        <v>228</v>
      </c>
      <c r="AZ385" s="7" t="s">
        <v>228</v>
      </c>
      <c r="BA385" s="7" t="s">
        <v>228</v>
      </c>
      <c r="BB385" s="7"/>
      <c r="BC385" s="4" t="s">
        <v>228</v>
      </c>
      <c r="BD385" s="8" t="s">
        <v>228</v>
      </c>
      <c r="BE385" s="4" t="s">
        <v>228</v>
      </c>
      <c r="BF385" s="8" t="s">
        <v>228</v>
      </c>
      <c r="BG385" s="7" t="s">
        <v>228</v>
      </c>
      <c r="BH385" s="7" t="s">
        <v>228</v>
      </c>
      <c r="BI385" s="7"/>
      <c r="BJ385" s="4">
        <v>9</v>
      </c>
      <c r="BK385" s="8">
        <v>106.13</v>
      </c>
      <c r="BL385" s="2" t="s">
        <v>318</v>
      </c>
      <c r="BM385" s="7"/>
      <c r="BN385" s="7"/>
      <c r="BO385" s="4"/>
      <c r="BP385" s="8"/>
      <c r="BQ385" s="4"/>
      <c r="BR385" s="8"/>
      <c r="BS385" s="7"/>
      <c r="BT385" s="7"/>
      <c r="BU385" s="2" t="s">
        <v>2595</v>
      </c>
      <c r="BV385" s="2" t="s">
        <v>228</v>
      </c>
      <c r="BW385" s="2" t="s">
        <v>228</v>
      </c>
      <c r="BX385" s="2" t="s">
        <v>273</v>
      </c>
      <c r="BY385" s="2" t="s">
        <v>274</v>
      </c>
      <c r="BZ385" s="2" t="s">
        <v>240</v>
      </c>
      <c r="CA385" s="2" t="s">
        <v>846</v>
      </c>
      <c r="CB385" s="2" t="s">
        <v>1004</v>
      </c>
      <c r="CC385" s="2" t="s">
        <v>241</v>
      </c>
      <c r="CD385" s="2" t="s">
        <v>228</v>
      </c>
      <c r="CE385" s="4">
        <v>526</v>
      </c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</row>
    <row r="386">
      <c r="A386" s="2" t="s">
        <v>2596</v>
      </c>
      <c r="B386" s="2" t="s">
        <v>223</v>
      </c>
      <c r="C386" s="2" t="s">
        <v>835</v>
      </c>
      <c r="D386" s="2" t="s">
        <v>516</v>
      </c>
      <c r="E386" s="2" t="s">
        <v>517</v>
      </c>
      <c r="F386" s="2" t="s">
        <v>2590</v>
      </c>
      <c r="G386" s="2" t="s">
        <v>2590</v>
      </c>
      <c r="H386" s="2" t="s">
        <v>2590</v>
      </c>
      <c r="I386" s="2" t="s">
        <v>2597</v>
      </c>
      <c r="J386" s="2" t="s">
        <v>1991</v>
      </c>
      <c r="K386" s="2" t="s">
        <v>1421</v>
      </c>
      <c r="L386" s="3">
        <v>12.96</v>
      </c>
      <c r="M386" s="3">
        <v>13.61</v>
      </c>
      <c r="N386" s="3">
        <v>26.99</v>
      </c>
      <c r="O386" s="2" t="s">
        <v>240</v>
      </c>
      <c r="P386" s="2" t="s">
        <v>1012</v>
      </c>
      <c r="Q386" s="2" t="s">
        <v>234</v>
      </c>
      <c r="R386" s="2" t="s">
        <v>228</v>
      </c>
      <c r="S386" s="2" t="s">
        <v>2593</v>
      </c>
      <c r="T386" s="2" t="s">
        <v>2594</v>
      </c>
      <c r="U386" s="2" t="s">
        <v>416</v>
      </c>
      <c r="V386" s="2" t="s">
        <v>236</v>
      </c>
      <c r="W386" s="2" t="s">
        <v>269</v>
      </c>
      <c r="X386" s="2" t="s">
        <v>1268</v>
      </c>
      <c r="Y386" s="2" t="s">
        <v>1443</v>
      </c>
      <c r="Z386" s="4">
        <v>725</v>
      </c>
      <c r="AA386" s="4">
        <f>=ROUNDDOWN(60.4166666666667,0)</f>
      </c>
      <c r="AB386" s="5">
        <v>12</v>
      </c>
      <c r="AC386" s="2" t="s">
        <v>228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228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228</v>
      </c>
      <c r="AW386" s="8" t="s">
        <v>228</v>
      </c>
      <c r="AX386" s="4" t="s">
        <v>228</v>
      </c>
      <c r="AY386" s="8" t="s">
        <v>228</v>
      </c>
      <c r="AZ386" s="7" t="s">
        <v>228</v>
      </c>
      <c r="BA386" s="7" t="s">
        <v>228</v>
      </c>
      <c r="BB386" s="7"/>
      <c r="BC386" s="4" t="s">
        <v>228</v>
      </c>
      <c r="BD386" s="8" t="s">
        <v>228</v>
      </c>
      <c r="BE386" s="4" t="s">
        <v>228</v>
      </c>
      <c r="BF386" s="8" t="s">
        <v>228</v>
      </c>
      <c r="BG386" s="7" t="s">
        <v>228</v>
      </c>
      <c r="BH386" s="7" t="s">
        <v>228</v>
      </c>
      <c r="BI386" s="7"/>
      <c r="BJ386" s="4">
        <v>6</v>
      </c>
      <c r="BK386" s="8">
        <v>82.22</v>
      </c>
      <c r="BL386" s="2" t="s">
        <v>366</v>
      </c>
      <c r="BM386" s="7"/>
      <c r="BN386" s="7"/>
      <c r="BO386" s="4"/>
      <c r="BP386" s="8"/>
      <c r="BQ386" s="4"/>
      <c r="BR386" s="8"/>
      <c r="BS386" s="7"/>
      <c r="BT386" s="7"/>
      <c r="BU386" s="2" t="s">
        <v>2598</v>
      </c>
      <c r="BV386" s="2" t="s">
        <v>228</v>
      </c>
      <c r="BW386" s="2" t="s">
        <v>228</v>
      </c>
      <c r="BX386" s="2" t="s">
        <v>273</v>
      </c>
      <c r="BY386" s="2" t="s">
        <v>274</v>
      </c>
      <c r="BZ386" s="2" t="s">
        <v>240</v>
      </c>
      <c r="CA386" s="2" t="s">
        <v>846</v>
      </c>
      <c r="CB386" s="2" t="s">
        <v>228</v>
      </c>
      <c r="CC386" s="2" t="s">
        <v>241</v>
      </c>
      <c r="CD386" s="2" t="s">
        <v>228</v>
      </c>
      <c r="CE386" s="4">
        <v>725</v>
      </c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</row>
    <row r="387">
      <c r="A387" s="2" t="s">
        <v>2599</v>
      </c>
      <c r="B387" s="2" t="s">
        <v>223</v>
      </c>
      <c r="C387" s="2" t="s">
        <v>835</v>
      </c>
      <c r="D387" s="2" t="s">
        <v>516</v>
      </c>
      <c r="E387" s="2" t="s">
        <v>517</v>
      </c>
      <c r="F387" s="2" t="s">
        <v>2590</v>
      </c>
      <c r="G387" s="2" t="s">
        <v>2590</v>
      </c>
      <c r="H387" s="2" t="s">
        <v>2590</v>
      </c>
      <c r="I387" s="2" t="s">
        <v>2600</v>
      </c>
      <c r="J387" s="2" t="s">
        <v>2601</v>
      </c>
      <c r="K387" s="2" t="s">
        <v>1421</v>
      </c>
      <c r="L387" s="3">
        <v>18.4</v>
      </c>
      <c r="M387" s="3">
        <v>19.32</v>
      </c>
      <c r="N387" s="3">
        <v>39.99</v>
      </c>
      <c r="O387" s="2" t="s">
        <v>240</v>
      </c>
      <c r="P387" s="2" t="s">
        <v>1012</v>
      </c>
      <c r="Q387" s="2" t="s">
        <v>234</v>
      </c>
      <c r="R387" s="2" t="s">
        <v>228</v>
      </c>
      <c r="S387" s="2" t="s">
        <v>2593</v>
      </c>
      <c r="T387" s="2" t="s">
        <v>2594</v>
      </c>
      <c r="U387" s="2" t="s">
        <v>416</v>
      </c>
      <c r="V387" s="2" t="s">
        <v>236</v>
      </c>
      <c r="W387" s="2" t="s">
        <v>269</v>
      </c>
      <c r="X387" s="2" t="s">
        <v>1268</v>
      </c>
      <c r="Y387" s="2" t="s">
        <v>1443</v>
      </c>
      <c r="Z387" s="4">
        <v>388</v>
      </c>
      <c r="AA387" s="4">
        <f>=ROUNDDOWN(64.6666666666667,0)</f>
      </c>
      <c r="AB387" s="5">
        <v>6</v>
      </c>
      <c r="AC387" s="2" t="s">
        <v>228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228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228</v>
      </c>
      <c r="AW387" s="8" t="s">
        <v>228</v>
      </c>
      <c r="AX387" s="4" t="s">
        <v>228</v>
      </c>
      <c r="AY387" s="8" t="s">
        <v>228</v>
      </c>
      <c r="AZ387" s="7" t="s">
        <v>228</v>
      </c>
      <c r="BA387" s="7" t="s">
        <v>228</v>
      </c>
      <c r="BB387" s="7"/>
      <c r="BC387" s="4" t="s">
        <v>228</v>
      </c>
      <c r="BD387" s="8" t="s">
        <v>228</v>
      </c>
      <c r="BE387" s="4" t="s">
        <v>228</v>
      </c>
      <c r="BF387" s="8" t="s">
        <v>228</v>
      </c>
      <c r="BG387" s="7" t="s">
        <v>228</v>
      </c>
      <c r="BH387" s="7" t="s">
        <v>228</v>
      </c>
      <c r="BI387" s="7"/>
      <c r="BJ387" s="4">
        <v>14</v>
      </c>
      <c r="BK387" s="8">
        <v>278.21</v>
      </c>
      <c r="BL387" s="2" t="s">
        <v>2602</v>
      </c>
      <c r="BM387" s="7"/>
      <c r="BN387" s="7"/>
      <c r="BO387" s="4"/>
      <c r="BP387" s="8"/>
      <c r="BQ387" s="4"/>
      <c r="BR387" s="8"/>
      <c r="BS387" s="7"/>
      <c r="BT387" s="7"/>
      <c r="BU387" s="2" t="s">
        <v>2603</v>
      </c>
      <c r="BV387" s="2" t="s">
        <v>228</v>
      </c>
      <c r="BW387" s="2" t="s">
        <v>228</v>
      </c>
      <c r="BX387" s="2" t="s">
        <v>273</v>
      </c>
      <c r="BY387" s="2" t="s">
        <v>274</v>
      </c>
      <c r="BZ387" s="2" t="s">
        <v>240</v>
      </c>
      <c r="CA387" s="2" t="s">
        <v>846</v>
      </c>
      <c r="CB387" s="2" t="s">
        <v>2052</v>
      </c>
      <c r="CC387" s="2" t="s">
        <v>241</v>
      </c>
      <c r="CD387" s="2" t="s">
        <v>228</v>
      </c>
      <c r="CE387" s="4">
        <v>388</v>
      </c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</row>
    <row r="388">
      <c r="A388" s="2" t="s">
        <v>2604</v>
      </c>
      <c r="B388" s="2" t="s">
        <v>223</v>
      </c>
      <c r="C388" s="2" t="s">
        <v>835</v>
      </c>
      <c r="D388" s="2" t="s">
        <v>516</v>
      </c>
      <c r="E388" s="2" t="s">
        <v>517</v>
      </c>
      <c r="F388" s="2" t="s">
        <v>2590</v>
      </c>
      <c r="G388" s="2" t="s">
        <v>2590</v>
      </c>
      <c r="H388" s="2" t="s">
        <v>2590</v>
      </c>
      <c r="I388" s="2" t="s">
        <v>2597</v>
      </c>
      <c r="J388" s="2" t="s">
        <v>1991</v>
      </c>
      <c r="K388" s="2" t="s">
        <v>460</v>
      </c>
      <c r="L388" s="3">
        <v>12.96</v>
      </c>
      <c r="M388" s="3">
        <v>13.61</v>
      </c>
      <c r="N388" s="3">
        <v>26.99</v>
      </c>
      <c r="O388" s="2" t="s">
        <v>240</v>
      </c>
      <c r="P388" s="2" t="s">
        <v>1012</v>
      </c>
      <c r="Q388" s="2" t="s">
        <v>234</v>
      </c>
      <c r="R388" s="2" t="s">
        <v>228</v>
      </c>
      <c r="S388" s="2" t="s">
        <v>2605</v>
      </c>
      <c r="T388" s="2" t="s">
        <v>2594</v>
      </c>
      <c r="U388" s="2" t="s">
        <v>416</v>
      </c>
      <c r="V388" s="2" t="s">
        <v>236</v>
      </c>
      <c r="W388" s="2" t="s">
        <v>269</v>
      </c>
      <c r="X388" s="2" t="s">
        <v>1268</v>
      </c>
      <c r="Y388" s="2" t="s">
        <v>1443</v>
      </c>
      <c r="Z388" s="4">
        <v>207</v>
      </c>
      <c r="AA388" s="4">
        <f>=ROUNDDOWN(103.5,0)</f>
      </c>
      <c r="AB388" s="5">
        <v>2</v>
      </c>
      <c r="AC388" s="2" t="s">
        <v>228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228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 t="s">
        <v>228</v>
      </c>
      <c r="BD388" s="8" t="s">
        <v>228</v>
      </c>
      <c r="BE388" s="4" t="s">
        <v>228</v>
      </c>
      <c r="BF388" s="8" t="s">
        <v>228</v>
      </c>
      <c r="BG388" s="7" t="s">
        <v>228</v>
      </c>
      <c r="BH388" s="7" t="s">
        <v>228</v>
      </c>
      <c r="BI388" s="7"/>
      <c r="BJ388" s="4">
        <v>8</v>
      </c>
      <c r="BK388" s="8">
        <v>106.96</v>
      </c>
      <c r="BL388" s="2" t="s">
        <v>2606</v>
      </c>
      <c r="BM388" s="7"/>
      <c r="BN388" s="7"/>
      <c r="BO388" s="4"/>
      <c r="BP388" s="8"/>
      <c r="BQ388" s="4"/>
      <c r="BR388" s="8"/>
      <c r="BS388" s="7"/>
      <c r="BT388" s="7"/>
      <c r="BU388" s="2" t="s">
        <v>2607</v>
      </c>
      <c r="BV388" s="2" t="s">
        <v>228</v>
      </c>
      <c r="BW388" s="2" t="s">
        <v>228</v>
      </c>
      <c r="BX388" s="2" t="s">
        <v>273</v>
      </c>
      <c r="BY388" s="2" t="s">
        <v>274</v>
      </c>
      <c r="BZ388" s="2" t="s">
        <v>240</v>
      </c>
      <c r="CA388" s="2" t="s">
        <v>846</v>
      </c>
      <c r="CB388" s="2" t="s">
        <v>932</v>
      </c>
      <c r="CC388" s="2" t="s">
        <v>241</v>
      </c>
      <c r="CD388" s="2" t="s">
        <v>228</v>
      </c>
      <c r="CE388" s="4">
        <v>207</v>
      </c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</row>
    <row r="389">
      <c r="A389" s="2" t="s">
        <v>2608</v>
      </c>
      <c r="B389" s="2" t="s">
        <v>223</v>
      </c>
      <c r="C389" s="2" t="s">
        <v>835</v>
      </c>
      <c r="D389" s="2" t="s">
        <v>225</v>
      </c>
      <c r="E389" s="2" t="s">
        <v>226</v>
      </c>
      <c r="F389" s="2" t="s">
        <v>2590</v>
      </c>
      <c r="G389" s="2" t="s">
        <v>2590</v>
      </c>
      <c r="H389" s="2" t="s">
        <v>2590</v>
      </c>
      <c r="I389" s="2" t="s">
        <v>226</v>
      </c>
      <c r="J389" s="2" t="s">
        <v>264</v>
      </c>
      <c r="K389" s="2" t="s">
        <v>249</v>
      </c>
      <c r="L389" s="3">
        <v>30.35</v>
      </c>
      <c r="M389" s="3">
        <v>31.87</v>
      </c>
      <c r="N389" s="3">
        <v>65.99</v>
      </c>
      <c r="O389" s="2" t="s">
        <v>240</v>
      </c>
      <c r="P389" s="2" t="s">
        <v>266</v>
      </c>
      <c r="Q389" s="2" t="s">
        <v>234</v>
      </c>
      <c r="R389" s="2" t="s">
        <v>228</v>
      </c>
      <c r="S389" s="2" t="s">
        <v>2609</v>
      </c>
      <c r="T389" s="2" t="s">
        <v>2594</v>
      </c>
      <c r="U389" s="2" t="s">
        <v>416</v>
      </c>
      <c r="V389" s="2" t="s">
        <v>236</v>
      </c>
      <c r="W389" s="2" t="s">
        <v>269</v>
      </c>
      <c r="X389" s="2" t="s">
        <v>1268</v>
      </c>
      <c r="Y389" s="2" t="s">
        <v>2610</v>
      </c>
      <c r="Z389" s="4">
        <v>151</v>
      </c>
      <c r="AA389" s="4">
        <f>=ROUNDDOWN(30.2,0)</f>
      </c>
      <c r="AB389" s="5">
        <v>5</v>
      </c>
      <c r="AC389" s="2" t="s">
        <v>228</v>
      </c>
      <c r="AD389" s="4"/>
      <c r="AE389" s="4"/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228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228</v>
      </c>
      <c r="AW389" s="8" t="s">
        <v>228</v>
      </c>
      <c r="AX389" s="4" t="s">
        <v>228</v>
      </c>
      <c r="AY389" s="8" t="s">
        <v>228</v>
      </c>
      <c r="AZ389" s="7" t="s">
        <v>228</v>
      </c>
      <c r="BA389" s="7" t="s">
        <v>228</v>
      </c>
      <c r="BB389" s="7"/>
      <c r="BC389" s="4" t="s">
        <v>228</v>
      </c>
      <c r="BD389" s="8" t="s">
        <v>228</v>
      </c>
      <c r="BE389" s="4" t="s">
        <v>228</v>
      </c>
      <c r="BF389" s="8" t="s">
        <v>228</v>
      </c>
      <c r="BG389" s="7" t="s">
        <v>228</v>
      </c>
      <c r="BH389" s="7" t="s">
        <v>228</v>
      </c>
      <c r="BI389" s="7"/>
      <c r="BJ389" s="4">
        <v>12</v>
      </c>
      <c r="BK389" s="8">
        <v>438.46</v>
      </c>
      <c r="BL389" s="2" t="s">
        <v>2611</v>
      </c>
      <c r="BM389" s="7"/>
      <c r="BN389" s="7"/>
      <c r="BO389" s="4"/>
      <c r="BP389" s="8"/>
      <c r="BQ389" s="4"/>
      <c r="BR389" s="8"/>
      <c r="BS389" s="7"/>
      <c r="BT389" s="7"/>
      <c r="BU389" s="2" t="s">
        <v>2612</v>
      </c>
      <c r="BV389" s="2" t="s">
        <v>228</v>
      </c>
      <c r="BW389" s="2" t="s">
        <v>228</v>
      </c>
      <c r="BX389" s="2" t="s">
        <v>273</v>
      </c>
      <c r="BY389" s="2" t="s">
        <v>274</v>
      </c>
      <c r="BZ389" s="2" t="s">
        <v>240</v>
      </c>
      <c r="CA389" s="2" t="s">
        <v>2613</v>
      </c>
      <c r="CB389" s="2" t="s">
        <v>2614</v>
      </c>
      <c r="CC389" s="2" t="s">
        <v>241</v>
      </c>
      <c r="CD389" s="2" t="s">
        <v>228</v>
      </c>
      <c r="CE389" s="4">
        <v>114</v>
      </c>
      <c r="CF389" s="4"/>
      <c r="CG389" s="4"/>
      <c r="CH389" s="4">
        <v>37</v>
      </c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</row>
    <row r="390">
      <c r="A390" s="2" t="s">
        <v>2615</v>
      </c>
      <c r="B390" s="2" t="s">
        <v>223</v>
      </c>
      <c r="C390" s="2" t="s">
        <v>835</v>
      </c>
      <c r="D390" s="2" t="s">
        <v>516</v>
      </c>
      <c r="E390" s="2" t="s">
        <v>517</v>
      </c>
      <c r="F390" s="2" t="s">
        <v>2590</v>
      </c>
      <c r="G390" s="2" t="s">
        <v>2590</v>
      </c>
      <c r="H390" s="2" t="s">
        <v>2590</v>
      </c>
      <c r="I390" s="2" t="s">
        <v>2597</v>
      </c>
      <c r="J390" s="2" t="s">
        <v>1991</v>
      </c>
      <c r="K390" s="2" t="s">
        <v>249</v>
      </c>
      <c r="L390" s="3">
        <v>12.96</v>
      </c>
      <c r="M390" s="3">
        <v>13.61</v>
      </c>
      <c r="N390" s="3">
        <v>26.99</v>
      </c>
      <c r="O390" s="2" t="s">
        <v>240</v>
      </c>
      <c r="P390" s="2" t="s">
        <v>266</v>
      </c>
      <c r="Q390" s="2" t="s">
        <v>234</v>
      </c>
      <c r="R390" s="2" t="s">
        <v>228</v>
      </c>
      <c r="S390" s="2" t="s">
        <v>2609</v>
      </c>
      <c r="T390" s="2" t="s">
        <v>2594</v>
      </c>
      <c r="U390" s="2" t="s">
        <v>416</v>
      </c>
      <c r="V390" s="2" t="s">
        <v>236</v>
      </c>
      <c r="W390" s="2" t="s">
        <v>269</v>
      </c>
      <c r="X390" s="2" t="s">
        <v>1268</v>
      </c>
      <c r="Y390" s="2" t="s">
        <v>2616</v>
      </c>
      <c r="Z390" s="4">
        <v>278</v>
      </c>
      <c r="AA390" s="4">
        <f>=ROUNDDOWN(92.6666666666667,0)</f>
      </c>
      <c r="AB390" s="5">
        <v>3</v>
      </c>
      <c r="AC390" s="2" t="s">
        <v>228</v>
      </c>
      <c r="AD390" s="4"/>
      <c r="AE390" s="4"/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228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228</v>
      </c>
      <c r="AW390" s="8" t="s">
        <v>228</v>
      </c>
      <c r="AX390" s="4" t="s">
        <v>228</v>
      </c>
      <c r="AY390" s="8" t="s">
        <v>228</v>
      </c>
      <c r="AZ390" s="7" t="s">
        <v>228</v>
      </c>
      <c r="BA390" s="7" t="s">
        <v>228</v>
      </c>
      <c r="BB390" s="7"/>
      <c r="BC390" s="4" t="s">
        <v>228</v>
      </c>
      <c r="BD390" s="8" t="s">
        <v>228</v>
      </c>
      <c r="BE390" s="4" t="s">
        <v>228</v>
      </c>
      <c r="BF390" s="8" t="s">
        <v>228</v>
      </c>
      <c r="BG390" s="7" t="s">
        <v>228</v>
      </c>
      <c r="BH390" s="7" t="s">
        <v>228</v>
      </c>
      <c r="BI390" s="7"/>
      <c r="BJ390" s="4">
        <v>8</v>
      </c>
      <c r="BK390" s="8">
        <v>105.04</v>
      </c>
      <c r="BL390" s="2" t="s">
        <v>366</v>
      </c>
      <c r="BM390" s="7"/>
      <c r="BN390" s="7"/>
      <c r="BO390" s="4"/>
      <c r="BP390" s="8"/>
      <c r="BQ390" s="4"/>
      <c r="BR390" s="8"/>
      <c r="BS390" s="7"/>
      <c r="BT390" s="7"/>
      <c r="BU390" s="2" t="s">
        <v>2617</v>
      </c>
      <c r="BV390" s="2" t="s">
        <v>228</v>
      </c>
      <c r="BW390" s="2" t="s">
        <v>228</v>
      </c>
      <c r="BX390" s="2" t="s">
        <v>273</v>
      </c>
      <c r="BY390" s="2" t="s">
        <v>274</v>
      </c>
      <c r="BZ390" s="2" t="s">
        <v>240</v>
      </c>
      <c r="CA390" s="2" t="s">
        <v>2618</v>
      </c>
      <c r="CB390" s="2" t="s">
        <v>2619</v>
      </c>
      <c r="CC390" s="2" t="s">
        <v>241</v>
      </c>
      <c r="CD390" s="2" t="s">
        <v>228</v>
      </c>
      <c r="CE390" s="4">
        <v>278</v>
      </c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</row>
    <row r="391">
      <c r="A391" s="2" t="s">
        <v>2620</v>
      </c>
      <c r="B391" s="2" t="s">
        <v>223</v>
      </c>
      <c r="C391" s="2" t="s">
        <v>835</v>
      </c>
      <c r="D391" s="2" t="s">
        <v>225</v>
      </c>
      <c r="E391" s="2" t="s">
        <v>226</v>
      </c>
      <c r="F391" s="2" t="s">
        <v>2590</v>
      </c>
      <c r="G391" s="2" t="s">
        <v>2590</v>
      </c>
      <c r="H391" s="2" t="s">
        <v>2590</v>
      </c>
      <c r="I391" s="2" t="s">
        <v>226</v>
      </c>
      <c r="J391" s="2" t="s">
        <v>264</v>
      </c>
      <c r="K391" s="2" t="s">
        <v>2303</v>
      </c>
      <c r="L391" s="3">
        <v>30.35</v>
      </c>
      <c r="M391" s="3">
        <v>31.87</v>
      </c>
      <c r="N391" s="3">
        <v>65.99</v>
      </c>
      <c r="O391" s="2" t="s">
        <v>240</v>
      </c>
      <c r="P391" s="2" t="s">
        <v>266</v>
      </c>
      <c r="Q391" s="2" t="s">
        <v>234</v>
      </c>
      <c r="R391" s="2" t="s">
        <v>228</v>
      </c>
      <c r="S391" s="2" t="s">
        <v>2621</v>
      </c>
      <c r="T391" s="2" t="s">
        <v>2594</v>
      </c>
      <c r="U391" s="2" t="s">
        <v>416</v>
      </c>
      <c r="V391" s="2" t="s">
        <v>236</v>
      </c>
      <c r="W391" s="2" t="s">
        <v>269</v>
      </c>
      <c r="X391" s="2" t="s">
        <v>1268</v>
      </c>
      <c r="Y391" s="2" t="s">
        <v>2610</v>
      </c>
      <c r="Z391" s="4">
        <v>146</v>
      </c>
      <c r="AA391" s="4">
        <f>=ROUNDDOWN(29.2,0)</f>
      </c>
      <c r="AB391" s="5">
        <v>5</v>
      </c>
      <c r="AC391" s="2" t="s">
        <v>168</v>
      </c>
      <c r="AD391" s="4">
        <v>30</v>
      </c>
      <c r="AE391" s="4">
        <v>30</v>
      </c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228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 t="s">
        <v>228</v>
      </c>
      <c r="BD391" s="8" t="s">
        <v>228</v>
      </c>
      <c r="BE391" s="4" t="s">
        <v>228</v>
      </c>
      <c r="BF391" s="8" t="s">
        <v>228</v>
      </c>
      <c r="BG391" s="7" t="s">
        <v>228</v>
      </c>
      <c r="BH391" s="7" t="s">
        <v>228</v>
      </c>
      <c r="BI391" s="7"/>
      <c r="BJ391" s="4">
        <v>25</v>
      </c>
      <c r="BK391" s="8">
        <v>836.13</v>
      </c>
      <c r="BL391" s="2" t="s">
        <v>2622</v>
      </c>
      <c r="BM391" s="7"/>
      <c r="BN391" s="7"/>
      <c r="BO391" s="4"/>
      <c r="BP391" s="8"/>
      <c r="BQ391" s="4"/>
      <c r="BR391" s="8"/>
      <c r="BS391" s="7"/>
      <c r="BT391" s="7"/>
      <c r="BU391" s="2" t="s">
        <v>2623</v>
      </c>
      <c r="BV391" s="2" t="s">
        <v>228</v>
      </c>
      <c r="BW391" s="2" t="s">
        <v>228</v>
      </c>
      <c r="BX391" s="2" t="s">
        <v>273</v>
      </c>
      <c r="BY391" s="2" t="s">
        <v>274</v>
      </c>
      <c r="BZ391" s="2" t="s">
        <v>240</v>
      </c>
      <c r="CA391" s="2" t="s">
        <v>2613</v>
      </c>
      <c r="CB391" s="2" t="s">
        <v>2624</v>
      </c>
      <c r="CC391" s="2" t="s">
        <v>241</v>
      </c>
      <c r="CD391" s="2" t="s">
        <v>228</v>
      </c>
      <c r="CE391" s="4">
        <v>146</v>
      </c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>
        <v>30</v>
      </c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</row>
    <row r="392">
      <c r="A392" s="2" t="s">
        <v>2625</v>
      </c>
      <c r="B392" s="2" t="s">
        <v>223</v>
      </c>
      <c r="C392" s="2" t="s">
        <v>835</v>
      </c>
      <c r="D392" s="2" t="s">
        <v>225</v>
      </c>
      <c r="E392" s="2" t="s">
        <v>226</v>
      </c>
      <c r="F392" s="2" t="s">
        <v>2590</v>
      </c>
      <c r="G392" s="2" t="s">
        <v>2590</v>
      </c>
      <c r="H392" s="2" t="s">
        <v>2590</v>
      </c>
      <c r="I392" s="2" t="s">
        <v>226</v>
      </c>
      <c r="J392" s="2" t="s">
        <v>264</v>
      </c>
      <c r="K392" s="2" t="s">
        <v>480</v>
      </c>
      <c r="L392" s="3">
        <v>30.35</v>
      </c>
      <c r="M392" s="3">
        <v>31.87</v>
      </c>
      <c r="N392" s="3">
        <v>65.99</v>
      </c>
      <c r="O392" s="2" t="s">
        <v>240</v>
      </c>
      <c r="P392" s="2" t="s">
        <v>266</v>
      </c>
      <c r="Q392" s="2" t="s">
        <v>234</v>
      </c>
      <c r="R392" s="2" t="s">
        <v>228</v>
      </c>
      <c r="S392" s="2" t="s">
        <v>2626</v>
      </c>
      <c r="T392" s="2" t="s">
        <v>2594</v>
      </c>
      <c r="U392" s="2" t="s">
        <v>228</v>
      </c>
      <c r="V392" s="2" t="s">
        <v>236</v>
      </c>
      <c r="W392" s="2" t="s">
        <v>269</v>
      </c>
      <c r="X392" s="2" t="s">
        <v>1268</v>
      </c>
      <c r="Y392" s="2" t="s">
        <v>270</v>
      </c>
      <c r="Z392" s="4">
        <v>191</v>
      </c>
      <c r="AA392" s="4">
        <f>=ROUNDDOWN(47.75,0)</f>
      </c>
      <c r="AB392" s="5">
        <v>4</v>
      </c>
      <c r="AC392" s="2" t="s">
        <v>209</v>
      </c>
      <c r="AD392" s="4">
        <v>30</v>
      </c>
      <c r="AE392" s="4">
        <v>30</v>
      </c>
      <c r="AF392" s="6">
        <v>64</v>
      </c>
      <c r="AG392" s="6"/>
      <c r="AH392" s="7">
        <v>1</v>
      </c>
      <c r="AI392" s="4"/>
      <c r="AJ392" s="4">
        <f>=ROUNDDOWN({0},0)</f>
      </c>
      <c r="AK392" s="5"/>
      <c r="AL392" s="2" t="s">
        <v>228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228</v>
      </c>
      <c r="AW392" s="8" t="s">
        <v>228</v>
      </c>
      <c r="AX392" s="4" t="s">
        <v>228</v>
      </c>
      <c r="AY392" s="8" t="s">
        <v>228</v>
      </c>
      <c r="AZ392" s="7" t="s">
        <v>228</v>
      </c>
      <c r="BA392" s="7" t="s">
        <v>228</v>
      </c>
      <c r="BB392" s="7"/>
      <c r="BC392" s="4" t="s">
        <v>228</v>
      </c>
      <c r="BD392" s="8" t="s">
        <v>228</v>
      </c>
      <c r="BE392" s="4" t="s">
        <v>228</v>
      </c>
      <c r="BF392" s="8" t="s">
        <v>228</v>
      </c>
      <c r="BG392" s="7" t="s">
        <v>228</v>
      </c>
      <c r="BH392" s="7" t="s">
        <v>228</v>
      </c>
      <c r="BI392" s="7"/>
      <c r="BJ392" s="4">
        <v>20</v>
      </c>
      <c r="BK392" s="8">
        <v>670.84</v>
      </c>
      <c r="BL392" s="2" t="s">
        <v>2627</v>
      </c>
      <c r="BM392" s="7"/>
      <c r="BN392" s="7"/>
      <c r="BO392" s="4"/>
      <c r="BP392" s="8"/>
      <c r="BQ392" s="4"/>
      <c r="BR392" s="8"/>
      <c r="BS392" s="7"/>
      <c r="BT392" s="7"/>
      <c r="BU392" s="2" t="s">
        <v>2628</v>
      </c>
      <c r="BV392" s="2" t="s">
        <v>228</v>
      </c>
      <c r="BW392" s="2" t="s">
        <v>228</v>
      </c>
      <c r="BX392" s="2" t="s">
        <v>273</v>
      </c>
      <c r="BY392" s="2" t="s">
        <v>274</v>
      </c>
      <c r="BZ392" s="2" t="s">
        <v>240</v>
      </c>
      <c r="CA392" s="2" t="s">
        <v>275</v>
      </c>
      <c r="CB392" s="2" t="s">
        <v>276</v>
      </c>
      <c r="CC392" s="2" t="s">
        <v>241</v>
      </c>
      <c r="CD392" s="2" t="s">
        <v>228</v>
      </c>
      <c r="CE392" s="4">
        <v>191</v>
      </c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>
        <v>30</v>
      </c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</row>
    <row r="393">
      <c r="A393" s="2" t="s">
        <v>2629</v>
      </c>
      <c r="B393" s="2" t="s">
        <v>223</v>
      </c>
      <c r="C393" s="2" t="s">
        <v>835</v>
      </c>
      <c r="D393" s="2" t="s">
        <v>225</v>
      </c>
      <c r="E393" s="2" t="s">
        <v>226</v>
      </c>
      <c r="F393" s="2" t="s">
        <v>2590</v>
      </c>
      <c r="G393" s="2" t="s">
        <v>2590</v>
      </c>
      <c r="H393" s="2" t="s">
        <v>2590</v>
      </c>
      <c r="I393" s="2" t="s">
        <v>226</v>
      </c>
      <c r="J393" s="2" t="s">
        <v>1189</v>
      </c>
      <c r="K393" s="2" t="s">
        <v>480</v>
      </c>
      <c r="L393" s="3">
        <v>36.18</v>
      </c>
      <c r="M393" s="3">
        <v>37.99</v>
      </c>
      <c r="N393" s="3">
        <v>76.99</v>
      </c>
      <c r="O393" s="2" t="s">
        <v>240</v>
      </c>
      <c r="P393" s="2" t="s">
        <v>266</v>
      </c>
      <c r="Q393" s="2" t="s">
        <v>234</v>
      </c>
      <c r="R393" s="2" t="s">
        <v>228</v>
      </c>
      <c r="S393" s="2" t="s">
        <v>2626</v>
      </c>
      <c r="T393" s="2" t="s">
        <v>2594</v>
      </c>
      <c r="U393" s="2" t="s">
        <v>228</v>
      </c>
      <c r="V393" s="2" t="s">
        <v>236</v>
      </c>
      <c r="W393" s="2" t="s">
        <v>269</v>
      </c>
      <c r="X393" s="2" t="s">
        <v>1268</v>
      </c>
      <c r="Y393" s="2" t="s">
        <v>270</v>
      </c>
      <c r="Z393" s="4">
        <v>283</v>
      </c>
      <c r="AA393" s="4">
        <f>=ROUNDDOWN(31.4444444444444,0)</f>
      </c>
      <c r="AB393" s="5">
        <v>9</v>
      </c>
      <c r="AC393" s="2" t="s">
        <v>168</v>
      </c>
      <c r="AD393" s="4">
        <v>80</v>
      </c>
      <c r="AE393" s="4">
        <v>230</v>
      </c>
      <c r="AF393" s="6">
        <v>64</v>
      </c>
      <c r="AG393" s="6"/>
      <c r="AH393" s="7">
        <v>1</v>
      </c>
      <c r="AI393" s="4"/>
      <c r="AJ393" s="4">
        <f>=ROUNDDOWN({0},0)</f>
      </c>
      <c r="AK393" s="5"/>
      <c r="AL393" s="2" t="s">
        <v>228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228</v>
      </c>
      <c r="AW393" s="8" t="s">
        <v>228</v>
      </c>
      <c r="AX393" s="4" t="s">
        <v>228</v>
      </c>
      <c r="AY393" s="8" t="s">
        <v>228</v>
      </c>
      <c r="AZ393" s="7" t="s">
        <v>228</v>
      </c>
      <c r="BA393" s="7" t="s">
        <v>228</v>
      </c>
      <c r="BB393" s="7"/>
      <c r="BC393" s="4" t="s">
        <v>228</v>
      </c>
      <c r="BD393" s="8" t="s">
        <v>228</v>
      </c>
      <c r="BE393" s="4" t="s">
        <v>228</v>
      </c>
      <c r="BF393" s="8" t="s">
        <v>228</v>
      </c>
      <c r="BG393" s="7" t="s">
        <v>228</v>
      </c>
      <c r="BH393" s="7" t="s">
        <v>228</v>
      </c>
      <c r="BI393" s="7"/>
      <c r="BJ393" s="4">
        <v>51</v>
      </c>
      <c r="BK393" s="8">
        <v>1977.77</v>
      </c>
      <c r="BL393" s="2" t="s">
        <v>398</v>
      </c>
      <c r="BM393" s="7"/>
      <c r="BN393" s="7"/>
      <c r="BO393" s="4"/>
      <c r="BP393" s="8"/>
      <c r="BQ393" s="4"/>
      <c r="BR393" s="8"/>
      <c r="BS393" s="7"/>
      <c r="BT393" s="7"/>
      <c r="BU393" s="2" t="s">
        <v>2630</v>
      </c>
      <c r="BV393" s="2" t="s">
        <v>228</v>
      </c>
      <c r="BW393" s="2" t="s">
        <v>228</v>
      </c>
      <c r="BX393" s="2" t="s">
        <v>273</v>
      </c>
      <c r="BY393" s="2" t="s">
        <v>274</v>
      </c>
      <c r="BZ393" s="2" t="s">
        <v>240</v>
      </c>
      <c r="CA393" s="2" t="s">
        <v>275</v>
      </c>
      <c r="CB393" s="2" t="s">
        <v>1950</v>
      </c>
      <c r="CC393" s="2" t="s">
        <v>241</v>
      </c>
      <c r="CD393" s="2" t="s">
        <v>228</v>
      </c>
      <c r="CE393" s="4">
        <v>283</v>
      </c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>
        <v>80</v>
      </c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>
        <v>150</v>
      </c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</row>
    <row r="394">
      <c r="A394" s="2" t="s">
        <v>2631</v>
      </c>
      <c r="B394" s="2" t="s">
        <v>223</v>
      </c>
      <c r="C394" s="2" t="s">
        <v>835</v>
      </c>
      <c r="D394" s="2" t="s">
        <v>516</v>
      </c>
      <c r="E394" s="2" t="s">
        <v>517</v>
      </c>
      <c r="F394" s="2" t="s">
        <v>2590</v>
      </c>
      <c r="G394" s="2" t="s">
        <v>2590</v>
      </c>
      <c r="H394" s="2" t="s">
        <v>2590</v>
      </c>
      <c r="I394" s="2" t="s">
        <v>2591</v>
      </c>
      <c r="J394" s="2" t="s">
        <v>2592</v>
      </c>
      <c r="K394" s="2" t="s">
        <v>480</v>
      </c>
      <c r="L394" s="3">
        <v>10.58</v>
      </c>
      <c r="M394" s="3">
        <v>11.11</v>
      </c>
      <c r="N394" s="3">
        <v>22.99</v>
      </c>
      <c r="O394" s="2" t="s">
        <v>240</v>
      </c>
      <c r="P394" s="2" t="s">
        <v>715</v>
      </c>
      <c r="Q394" s="2" t="s">
        <v>234</v>
      </c>
      <c r="R394" s="2" t="s">
        <v>228</v>
      </c>
      <c r="S394" s="2" t="s">
        <v>2626</v>
      </c>
      <c r="T394" s="2" t="s">
        <v>2594</v>
      </c>
      <c r="U394" s="2" t="s">
        <v>228</v>
      </c>
      <c r="V394" s="2" t="s">
        <v>236</v>
      </c>
      <c r="W394" s="2" t="s">
        <v>269</v>
      </c>
      <c r="X394" s="2" t="s">
        <v>1268</v>
      </c>
      <c r="Y394" s="2" t="s">
        <v>270</v>
      </c>
      <c r="Z394" s="4">
        <v>896</v>
      </c>
      <c r="AA394" s="4">
        <f>=ROUNDDOWN(68.9230769230769,0)</f>
      </c>
      <c r="AB394" s="5">
        <v>13</v>
      </c>
      <c r="AC394" s="2" t="s">
        <v>228</v>
      </c>
      <c r="AD394" s="4"/>
      <c r="AE394" s="4"/>
      <c r="AF394" s="6">
        <v>64</v>
      </c>
      <c r="AG394" s="6"/>
      <c r="AH394" s="7">
        <v>1</v>
      </c>
      <c r="AI394" s="4"/>
      <c r="AJ394" s="4">
        <f>=ROUNDDOWN({0},0)</f>
      </c>
      <c r="AK394" s="5"/>
      <c r="AL394" s="2" t="s">
        <v>228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228</v>
      </c>
      <c r="AW394" s="8" t="s">
        <v>228</v>
      </c>
      <c r="AX394" s="4" t="s">
        <v>228</v>
      </c>
      <c r="AY394" s="8" t="s">
        <v>228</v>
      </c>
      <c r="AZ394" s="7" t="s">
        <v>228</v>
      </c>
      <c r="BA394" s="7" t="s">
        <v>228</v>
      </c>
      <c r="BB394" s="7"/>
      <c r="BC394" s="4" t="s">
        <v>228</v>
      </c>
      <c r="BD394" s="8" t="s">
        <v>228</v>
      </c>
      <c r="BE394" s="4" t="s">
        <v>228</v>
      </c>
      <c r="BF394" s="8" t="s">
        <v>228</v>
      </c>
      <c r="BG394" s="7" t="s">
        <v>228</v>
      </c>
      <c r="BH394" s="7" t="s">
        <v>228</v>
      </c>
      <c r="BI394" s="7"/>
      <c r="BJ394" s="4">
        <v>69</v>
      </c>
      <c r="BK394" s="8">
        <v>770.23</v>
      </c>
      <c r="BL394" s="2" t="s">
        <v>537</v>
      </c>
      <c r="BM394" s="7"/>
      <c r="BN394" s="7"/>
      <c r="BO394" s="4"/>
      <c r="BP394" s="8"/>
      <c r="BQ394" s="4"/>
      <c r="BR394" s="8"/>
      <c r="BS394" s="7"/>
      <c r="BT394" s="7"/>
      <c r="BU394" s="2" t="s">
        <v>2632</v>
      </c>
      <c r="BV394" s="2" t="s">
        <v>228</v>
      </c>
      <c r="BW394" s="2" t="s">
        <v>228</v>
      </c>
      <c r="BX394" s="2" t="s">
        <v>273</v>
      </c>
      <c r="BY394" s="2" t="s">
        <v>274</v>
      </c>
      <c r="BZ394" s="2" t="s">
        <v>240</v>
      </c>
      <c r="CA394" s="2" t="s">
        <v>428</v>
      </c>
      <c r="CB394" s="2" t="s">
        <v>2633</v>
      </c>
      <c r="CC394" s="2" t="s">
        <v>241</v>
      </c>
      <c r="CD394" s="2" t="s">
        <v>228</v>
      </c>
      <c r="CE394" s="4">
        <v>896</v>
      </c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</row>
    <row r="395">
      <c r="A395" s="2" t="s">
        <v>2634</v>
      </c>
      <c r="B395" s="2" t="s">
        <v>223</v>
      </c>
      <c r="C395" s="2" t="s">
        <v>835</v>
      </c>
      <c r="D395" s="2" t="s">
        <v>225</v>
      </c>
      <c r="E395" s="2" t="s">
        <v>226</v>
      </c>
      <c r="F395" s="2" t="s">
        <v>2590</v>
      </c>
      <c r="G395" s="2" t="s">
        <v>2590</v>
      </c>
      <c r="H395" s="2" t="s">
        <v>2590</v>
      </c>
      <c r="I395" s="2" t="s">
        <v>226</v>
      </c>
      <c r="J395" s="2" t="s">
        <v>264</v>
      </c>
      <c r="K395" s="2" t="s">
        <v>1653</v>
      </c>
      <c r="L395" s="3">
        <v>30.35</v>
      </c>
      <c r="M395" s="3">
        <v>31.87</v>
      </c>
      <c r="N395" s="3">
        <v>65.99</v>
      </c>
      <c r="O395" s="2" t="s">
        <v>240</v>
      </c>
      <c r="P395" s="2" t="s">
        <v>266</v>
      </c>
      <c r="Q395" s="2" t="s">
        <v>234</v>
      </c>
      <c r="R395" s="2" t="s">
        <v>228</v>
      </c>
      <c r="S395" s="2" t="s">
        <v>2635</v>
      </c>
      <c r="T395" s="2" t="s">
        <v>2594</v>
      </c>
      <c r="U395" s="2" t="s">
        <v>416</v>
      </c>
      <c r="V395" s="2" t="s">
        <v>236</v>
      </c>
      <c r="W395" s="2" t="s">
        <v>269</v>
      </c>
      <c r="X395" s="2" t="s">
        <v>1268</v>
      </c>
      <c r="Y395" s="2" t="s">
        <v>1443</v>
      </c>
      <c r="Z395" s="4">
        <v>200</v>
      </c>
      <c r="AA395" s="4">
        <f>=ROUNDDOWN(33.3333333333333,0)</f>
      </c>
      <c r="AB395" s="5">
        <v>6</v>
      </c>
      <c r="AC395" s="2" t="s">
        <v>228</v>
      </c>
      <c r="AD395" s="4"/>
      <c r="AE395" s="4"/>
      <c r="AF395" s="6">
        <v>65</v>
      </c>
      <c r="AG395" s="6"/>
      <c r="AH395" s="7">
        <v>0.5161</v>
      </c>
      <c r="AI395" s="4"/>
      <c r="AJ395" s="4">
        <f>=ROUNDDOWN({0},0)</f>
      </c>
      <c r="AK395" s="5"/>
      <c r="AL395" s="2" t="s">
        <v>228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228</v>
      </c>
      <c r="AW395" s="8" t="s">
        <v>228</v>
      </c>
      <c r="AX395" s="4" t="s">
        <v>228</v>
      </c>
      <c r="AY395" s="8" t="s">
        <v>228</v>
      </c>
      <c r="AZ395" s="7" t="s">
        <v>228</v>
      </c>
      <c r="BA395" s="7" t="s">
        <v>228</v>
      </c>
      <c r="BB395" s="7"/>
      <c r="BC395" s="4" t="s">
        <v>228</v>
      </c>
      <c r="BD395" s="8" t="s">
        <v>228</v>
      </c>
      <c r="BE395" s="4" t="s">
        <v>228</v>
      </c>
      <c r="BF395" s="8" t="s">
        <v>228</v>
      </c>
      <c r="BG395" s="7" t="s">
        <v>228</v>
      </c>
      <c r="BH395" s="7" t="s">
        <v>228</v>
      </c>
      <c r="BI395" s="7"/>
      <c r="BJ395" s="4">
        <v>27</v>
      </c>
      <c r="BK395" s="8">
        <v>932.7</v>
      </c>
      <c r="BL395" s="2" t="s">
        <v>2636</v>
      </c>
      <c r="BM395" s="7"/>
      <c r="BN395" s="7"/>
      <c r="BO395" s="4"/>
      <c r="BP395" s="8"/>
      <c r="BQ395" s="4"/>
      <c r="BR395" s="8"/>
      <c r="BS395" s="7"/>
      <c r="BT395" s="7"/>
      <c r="BU395" s="2" t="s">
        <v>2637</v>
      </c>
      <c r="BV395" s="2" t="s">
        <v>228</v>
      </c>
      <c r="BW395" s="2" t="s">
        <v>228</v>
      </c>
      <c r="BX395" s="2" t="s">
        <v>273</v>
      </c>
      <c r="BY395" s="2" t="s">
        <v>274</v>
      </c>
      <c r="BZ395" s="2" t="s">
        <v>240</v>
      </c>
      <c r="CA395" s="2" t="s">
        <v>2428</v>
      </c>
      <c r="CB395" s="2" t="s">
        <v>1824</v>
      </c>
      <c r="CC395" s="2" t="s">
        <v>241</v>
      </c>
      <c r="CD395" s="2" t="s">
        <v>228</v>
      </c>
      <c r="CE395" s="4"/>
      <c r="CF395" s="4"/>
      <c r="CG395" s="4"/>
      <c r="CH395" s="4"/>
      <c r="CI395" s="4"/>
      <c r="CJ395" s="4"/>
      <c r="CK395" s="4">
        <v>200</v>
      </c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</row>
    <row r="396">
      <c r="A396" s="2" t="s">
        <v>2638</v>
      </c>
      <c r="B396" s="2" t="s">
        <v>223</v>
      </c>
      <c r="C396" s="2" t="s">
        <v>835</v>
      </c>
      <c r="D396" s="2" t="s">
        <v>225</v>
      </c>
      <c r="E396" s="2" t="s">
        <v>226</v>
      </c>
      <c r="F396" s="2" t="s">
        <v>2590</v>
      </c>
      <c r="G396" s="2" t="s">
        <v>2590</v>
      </c>
      <c r="H396" s="2" t="s">
        <v>2590</v>
      </c>
      <c r="I396" s="2" t="s">
        <v>226</v>
      </c>
      <c r="J396" s="2" t="s">
        <v>1189</v>
      </c>
      <c r="K396" s="2" t="s">
        <v>1653</v>
      </c>
      <c r="L396" s="3">
        <v>36.18</v>
      </c>
      <c r="M396" s="3">
        <v>37.99</v>
      </c>
      <c r="N396" s="3">
        <v>76.99</v>
      </c>
      <c r="O396" s="2" t="s">
        <v>240</v>
      </c>
      <c r="P396" s="2" t="s">
        <v>266</v>
      </c>
      <c r="Q396" s="2" t="s">
        <v>234</v>
      </c>
      <c r="R396" s="2" t="s">
        <v>228</v>
      </c>
      <c r="S396" s="2" t="s">
        <v>2635</v>
      </c>
      <c r="T396" s="2" t="s">
        <v>2594</v>
      </c>
      <c r="U396" s="2" t="s">
        <v>416</v>
      </c>
      <c r="V396" s="2" t="s">
        <v>236</v>
      </c>
      <c r="W396" s="2" t="s">
        <v>269</v>
      </c>
      <c r="X396" s="2" t="s">
        <v>1268</v>
      </c>
      <c r="Y396" s="2" t="s">
        <v>1443</v>
      </c>
      <c r="Z396" s="4">
        <v>166</v>
      </c>
      <c r="AA396" s="4">
        <f>=ROUNDDOWN(41.5,0)</f>
      </c>
      <c r="AB396" s="5">
        <v>4</v>
      </c>
      <c r="AC396" s="2" t="s">
        <v>1516</v>
      </c>
      <c r="AD396" s="4">
        <v>80</v>
      </c>
      <c r="AE396" s="4">
        <v>80</v>
      </c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228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228</v>
      </c>
      <c r="AW396" s="8" t="s">
        <v>228</v>
      </c>
      <c r="AX396" s="4" t="s">
        <v>228</v>
      </c>
      <c r="AY396" s="8" t="s">
        <v>228</v>
      </c>
      <c r="AZ396" s="7" t="s">
        <v>228</v>
      </c>
      <c r="BA396" s="7" t="s">
        <v>228</v>
      </c>
      <c r="BB396" s="7"/>
      <c r="BC396" s="4" t="s">
        <v>228</v>
      </c>
      <c r="BD396" s="8" t="s">
        <v>228</v>
      </c>
      <c r="BE396" s="4" t="s">
        <v>228</v>
      </c>
      <c r="BF396" s="8" t="s">
        <v>228</v>
      </c>
      <c r="BG396" s="7" t="s">
        <v>228</v>
      </c>
      <c r="BH396" s="7" t="s">
        <v>228</v>
      </c>
      <c r="BI396" s="7"/>
      <c r="BJ396" s="4">
        <v>17</v>
      </c>
      <c r="BK396" s="8">
        <v>666.56</v>
      </c>
      <c r="BL396" s="2" t="s">
        <v>2639</v>
      </c>
      <c r="BM396" s="7"/>
      <c r="BN396" s="7"/>
      <c r="BO396" s="4"/>
      <c r="BP396" s="8"/>
      <c r="BQ396" s="4"/>
      <c r="BR396" s="8"/>
      <c r="BS396" s="7"/>
      <c r="BT396" s="7"/>
      <c r="BU396" s="2" t="s">
        <v>2640</v>
      </c>
      <c r="BV396" s="2" t="s">
        <v>228</v>
      </c>
      <c r="BW396" s="2" t="s">
        <v>228</v>
      </c>
      <c r="BX396" s="2" t="s">
        <v>273</v>
      </c>
      <c r="BY396" s="2" t="s">
        <v>274</v>
      </c>
      <c r="BZ396" s="2" t="s">
        <v>240</v>
      </c>
      <c r="CA396" s="2" t="s">
        <v>2428</v>
      </c>
      <c r="CB396" s="2" t="s">
        <v>1821</v>
      </c>
      <c r="CC396" s="2" t="s">
        <v>241</v>
      </c>
      <c r="CD396" s="2" t="s">
        <v>228</v>
      </c>
      <c r="CE396" s="4">
        <v>166</v>
      </c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>
        <v>80</v>
      </c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</row>
    <row r="397">
      <c r="A397" s="2" t="s">
        <v>2641</v>
      </c>
      <c r="B397" s="2" t="s">
        <v>223</v>
      </c>
      <c r="C397" s="2" t="s">
        <v>835</v>
      </c>
      <c r="D397" s="2" t="s">
        <v>225</v>
      </c>
      <c r="E397" s="2" t="s">
        <v>226</v>
      </c>
      <c r="F397" s="2" t="s">
        <v>2590</v>
      </c>
      <c r="G397" s="2" t="s">
        <v>2590</v>
      </c>
      <c r="H397" s="2" t="s">
        <v>2590</v>
      </c>
      <c r="I397" s="2" t="s">
        <v>226</v>
      </c>
      <c r="J397" s="2" t="s">
        <v>294</v>
      </c>
      <c r="K397" s="2" t="s">
        <v>1653</v>
      </c>
      <c r="L397" s="3">
        <v>42.4</v>
      </c>
      <c r="M397" s="3">
        <v>44.52</v>
      </c>
      <c r="N397" s="3">
        <v>89.99</v>
      </c>
      <c r="O397" s="2" t="s">
        <v>240</v>
      </c>
      <c r="P397" s="2" t="s">
        <v>266</v>
      </c>
      <c r="Q397" s="2" t="s">
        <v>234</v>
      </c>
      <c r="R397" s="2" t="s">
        <v>228</v>
      </c>
      <c r="S397" s="2" t="s">
        <v>2635</v>
      </c>
      <c r="T397" s="2" t="s">
        <v>2594</v>
      </c>
      <c r="U397" s="2" t="s">
        <v>416</v>
      </c>
      <c r="V397" s="2" t="s">
        <v>236</v>
      </c>
      <c r="W397" s="2" t="s">
        <v>269</v>
      </c>
      <c r="X397" s="2" t="s">
        <v>1268</v>
      </c>
      <c r="Y397" s="2" t="s">
        <v>1443</v>
      </c>
      <c r="Z397" s="4">
        <v>196</v>
      </c>
      <c r="AA397" s="4">
        <f>=ROUNDDOWN(39.2,0)</f>
      </c>
      <c r="AB397" s="5">
        <v>5</v>
      </c>
      <c r="AC397" s="2" t="s">
        <v>1516</v>
      </c>
      <c r="AD397" s="4">
        <v>30</v>
      </c>
      <c r="AE397" s="4">
        <v>30</v>
      </c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228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228</v>
      </c>
      <c r="AW397" s="8" t="s">
        <v>228</v>
      </c>
      <c r="AX397" s="4" t="s">
        <v>228</v>
      </c>
      <c r="AY397" s="8" t="s">
        <v>228</v>
      </c>
      <c r="AZ397" s="7" t="s">
        <v>228</v>
      </c>
      <c r="BA397" s="7" t="s">
        <v>228</v>
      </c>
      <c r="BB397" s="7"/>
      <c r="BC397" s="4" t="s">
        <v>228</v>
      </c>
      <c r="BD397" s="8" t="s">
        <v>228</v>
      </c>
      <c r="BE397" s="4" t="s">
        <v>228</v>
      </c>
      <c r="BF397" s="8" t="s">
        <v>228</v>
      </c>
      <c r="BG397" s="7" t="s">
        <v>228</v>
      </c>
      <c r="BH397" s="7" t="s">
        <v>228</v>
      </c>
      <c r="BI397" s="7"/>
      <c r="BJ397" s="4">
        <v>20</v>
      </c>
      <c r="BK397" s="8">
        <v>950.41</v>
      </c>
      <c r="BL397" s="2" t="s">
        <v>1245</v>
      </c>
      <c r="BM397" s="7"/>
      <c r="BN397" s="7"/>
      <c r="BO397" s="4"/>
      <c r="BP397" s="8"/>
      <c r="BQ397" s="4"/>
      <c r="BR397" s="8"/>
      <c r="BS397" s="7"/>
      <c r="BT397" s="7"/>
      <c r="BU397" s="2" t="s">
        <v>2642</v>
      </c>
      <c r="BV397" s="2" t="s">
        <v>228</v>
      </c>
      <c r="BW397" s="2" t="s">
        <v>228</v>
      </c>
      <c r="BX397" s="2" t="s">
        <v>273</v>
      </c>
      <c r="BY397" s="2" t="s">
        <v>274</v>
      </c>
      <c r="BZ397" s="2" t="s">
        <v>240</v>
      </c>
      <c r="CA397" s="2" t="s">
        <v>2428</v>
      </c>
      <c r="CB397" s="2" t="s">
        <v>2643</v>
      </c>
      <c r="CC397" s="2" t="s">
        <v>241</v>
      </c>
      <c r="CD397" s="2" t="s">
        <v>228</v>
      </c>
      <c r="CE397" s="4">
        <v>196</v>
      </c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>
        <v>30</v>
      </c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</row>
    <row r="398">
      <c r="A398" s="2" t="s">
        <v>2644</v>
      </c>
      <c r="B398" s="2" t="s">
        <v>223</v>
      </c>
      <c r="C398" s="2" t="s">
        <v>835</v>
      </c>
      <c r="D398" s="2" t="s">
        <v>516</v>
      </c>
      <c r="E398" s="2" t="s">
        <v>517</v>
      </c>
      <c r="F398" s="2" t="s">
        <v>2590</v>
      </c>
      <c r="G398" s="2" t="s">
        <v>2590</v>
      </c>
      <c r="H398" s="2" t="s">
        <v>2590</v>
      </c>
      <c r="I398" s="2" t="s">
        <v>2591</v>
      </c>
      <c r="J398" s="2" t="s">
        <v>2592</v>
      </c>
      <c r="K398" s="2" t="s">
        <v>1653</v>
      </c>
      <c r="L398" s="3">
        <v>10.58</v>
      </c>
      <c r="M398" s="3">
        <v>11.11</v>
      </c>
      <c r="N398" s="3">
        <v>22.99</v>
      </c>
      <c r="O398" s="2" t="s">
        <v>240</v>
      </c>
      <c r="P398" s="2" t="s">
        <v>1012</v>
      </c>
      <c r="Q398" s="2" t="s">
        <v>234</v>
      </c>
      <c r="R398" s="2" t="s">
        <v>228</v>
      </c>
      <c r="S398" s="2" t="s">
        <v>2635</v>
      </c>
      <c r="T398" s="2" t="s">
        <v>2594</v>
      </c>
      <c r="U398" s="2" t="s">
        <v>416</v>
      </c>
      <c r="V398" s="2" t="s">
        <v>236</v>
      </c>
      <c r="W398" s="2" t="s">
        <v>269</v>
      </c>
      <c r="X398" s="2" t="s">
        <v>1268</v>
      </c>
      <c r="Y398" s="2" t="s">
        <v>1443</v>
      </c>
      <c r="Z398" s="4">
        <v>312</v>
      </c>
      <c r="AA398" s="4">
        <f>=ROUNDDOWN(173.333333333333,0)</f>
      </c>
      <c r="AB398" s="5">
        <v>1.8</v>
      </c>
      <c r="AC398" s="2" t="s">
        <v>228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228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228</v>
      </c>
      <c r="AW398" s="8" t="s">
        <v>228</v>
      </c>
      <c r="AX398" s="4" t="s">
        <v>228</v>
      </c>
      <c r="AY398" s="8" t="s">
        <v>228</v>
      </c>
      <c r="AZ398" s="7" t="s">
        <v>228</v>
      </c>
      <c r="BA398" s="7" t="s">
        <v>228</v>
      </c>
      <c r="BB398" s="7"/>
      <c r="BC398" s="4" t="s">
        <v>228</v>
      </c>
      <c r="BD398" s="8" t="s">
        <v>228</v>
      </c>
      <c r="BE398" s="4" t="s">
        <v>228</v>
      </c>
      <c r="BF398" s="8" t="s">
        <v>228</v>
      </c>
      <c r="BG398" s="7" t="s">
        <v>228</v>
      </c>
      <c r="BH398" s="7" t="s">
        <v>228</v>
      </c>
      <c r="BI398" s="7"/>
      <c r="BJ398" s="4">
        <v>12</v>
      </c>
      <c r="BK398" s="8">
        <v>138.87</v>
      </c>
      <c r="BL398" s="2" t="s">
        <v>2606</v>
      </c>
      <c r="BM398" s="7"/>
      <c r="BN398" s="7"/>
      <c r="BO398" s="4"/>
      <c r="BP398" s="8"/>
      <c r="BQ398" s="4"/>
      <c r="BR398" s="8"/>
      <c r="BS398" s="7"/>
      <c r="BT398" s="7"/>
      <c r="BU398" s="2" t="s">
        <v>2645</v>
      </c>
      <c r="BV398" s="2" t="s">
        <v>228</v>
      </c>
      <c r="BW398" s="2" t="s">
        <v>228</v>
      </c>
      <c r="BX398" s="2" t="s">
        <v>273</v>
      </c>
      <c r="BY398" s="2" t="s">
        <v>274</v>
      </c>
      <c r="BZ398" s="2" t="s">
        <v>240</v>
      </c>
      <c r="CA398" s="2" t="s">
        <v>846</v>
      </c>
      <c r="CB398" s="2" t="s">
        <v>2295</v>
      </c>
      <c r="CC398" s="2" t="s">
        <v>241</v>
      </c>
      <c r="CD398" s="2" t="s">
        <v>228</v>
      </c>
      <c r="CE398" s="4">
        <v>312</v>
      </c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</row>
    <row r="399">
      <c r="A399" s="2" t="s">
        <v>2646</v>
      </c>
      <c r="B399" s="2" t="s">
        <v>223</v>
      </c>
      <c r="C399" s="2" t="s">
        <v>835</v>
      </c>
      <c r="D399" s="2" t="s">
        <v>516</v>
      </c>
      <c r="E399" s="2" t="s">
        <v>517</v>
      </c>
      <c r="F399" s="2" t="s">
        <v>2590</v>
      </c>
      <c r="G399" s="2" t="s">
        <v>2590</v>
      </c>
      <c r="H399" s="2" t="s">
        <v>2590</v>
      </c>
      <c r="I399" s="2" t="s">
        <v>2600</v>
      </c>
      <c r="J399" s="2" t="s">
        <v>2601</v>
      </c>
      <c r="K399" s="2" t="s">
        <v>1653</v>
      </c>
      <c r="L399" s="3">
        <v>18.4</v>
      </c>
      <c r="M399" s="3">
        <v>19.32</v>
      </c>
      <c r="N399" s="3">
        <v>39.99</v>
      </c>
      <c r="O399" s="2" t="s">
        <v>240</v>
      </c>
      <c r="P399" s="2" t="s">
        <v>1012</v>
      </c>
      <c r="Q399" s="2" t="s">
        <v>234</v>
      </c>
      <c r="R399" s="2" t="s">
        <v>228</v>
      </c>
      <c r="S399" s="2" t="s">
        <v>2635</v>
      </c>
      <c r="T399" s="2" t="s">
        <v>2594</v>
      </c>
      <c r="U399" s="2" t="s">
        <v>416</v>
      </c>
      <c r="V399" s="2" t="s">
        <v>236</v>
      </c>
      <c r="W399" s="2" t="s">
        <v>269</v>
      </c>
      <c r="X399" s="2" t="s">
        <v>1268</v>
      </c>
      <c r="Y399" s="2" t="s">
        <v>1443</v>
      </c>
      <c r="Z399" s="4">
        <v>189</v>
      </c>
      <c r="AA399" s="4">
        <f>=ROUNDDOWN(55.5882352941177,0)</f>
      </c>
      <c r="AB399" s="5">
        <v>3.4</v>
      </c>
      <c r="AC399" s="2" t="s">
        <v>228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228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228</v>
      </c>
      <c r="AW399" s="8" t="s">
        <v>228</v>
      </c>
      <c r="AX399" s="4" t="s">
        <v>228</v>
      </c>
      <c r="AY399" s="8" t="s">
        <v>228</v>
      </c>
      <c r="AZ399" s="7" t="s">
        <v>228</v>
      </c>
      <c r="BA399" s="7" t="s">
        <v>228</v>
      </c>
      <c r="BB399" s="7"/>
      <c r="BC399" s="4" t="s">
        <v>228</v>
      </c>
      <c r="BD399" s="8" t="s">
        <v>228</v>
      </c>
      <c r="BE399" s="4" t="s">
        <v>228</v>
      </c>
      <c r="BF399" s="8" t="s">
        <v>228</v>
      </c>
      <c r="BG399" s="7" t="s">
        <v>228</v>
      </c>
      <c r="BH399" s="7" t="s">
        <v>228</v>
      </c>
      <c r="BI399" s="7"/>
      <c r="BJ399" s="4">
        <v>23</v>
      </c>
      <c r="BK399" s="8">
        <v>441.56</v>
      </c>
      <c r="BL399" s="2" t="s">
        <v>318</v>
      </c>
      <c r="BM399" s="7"/>
      <c r="BN399" s="7"/>
      <c r="BO399" s="4"/>
      <c r="BP399" s="8"/>
      <c r="BQ399" s="4"/>
      <c r="BR399" s="8"/>
      <c r="BS399" s="7"/>
      <c r="BT399" s="7"/>
      <c r="BU399" s="2" t="s">
        <v>2647</v>
      </c>
      <c r="BV399" s="2" t="s">
        <v>228</v>
      </c>
      <c r="BW399" s="2" t="s">
        <v>228</v>
      </c>
      <c r="BX399" s="2" t="s">
        <v>273</v>
      </c>
      <c r="BY399" s="2" t="s">
        <v>274</v>
      </c>
      <c r="BZ399" s="2" t="s">
        <v>240</v>
      </c>
      <c r="CA399" s="2" t="s">
        <v>846</v>
      </c>
      <c r="CB399" s="2" t="s">
        <v>2490</v>
      </c>
      <c r="CC399" s="2" t="s">
        <v>241</v>
      </c>
      <c r="CD399" s="2" t="s">
        <v>228</v>
      </c>
      <c r="CE399" s="4">
        <v>189</v>
      </c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</row>
    <row r="400">
      <c r="A400" s="2" t="s">
        <v>2648</v>
      </c>
      <c r="B400" s="2" t="s">
        <v>223</v>
      </c>
      <c r="C400" s="2" t="s">
        <v>1261</v>
      </c>
      <c r="D400" s="2" t="s">
        <v>1601</v>
      </c>
      <c r="E400" s="2" t="s">
        <v>1602</v>
      </c>
      <c r="F400" s="2" t="s">
        <v>2649</v>
      </c>
      <c r="G400" s="2" t="s">
        <v>2649</v>
      </c>
      <c r="H400" s="2" t="s">
        <v>2649</v>
      </c>
      <c r="I400" s="2" t="s">
        <v>2650</v>
      </c>
      <c r="J400" s="2" t="s">
        <v>2651</v>
      </c>
      <c r="K400" s="2" t="s">
        <v>265</v>
      </c>
      <c r="L400" s="3">
        <v>16.1</v>
      </c>
      <c r="M400" s="3">
        <v>16.9</v>
      </c>
      <c r="N400" s="3">
        <v>34.99</v>
      </c>
      <c r="O400" s="2" t="s">
        <v>461</v>
      </c>
      <c r="P400" s="2" t="s">
        <v>333</v>
      </c>
      <c r="Q400" s="2" t="s">
        <v>234</v>
      </c>
      <c r="R400" s="2" t="s">
        <v>228</v>
      </c>
      <c r="S400" s="2" t="s">
        <v>2652</v>
      </c>
      <c r="T400" s="2" t="s">
        <v>1266</v>
      </c>
      <c r="U400" s="2" t="s">
        <v>228</v>
      </c>
      <c r="V400" s="2" t="s">
        <v>1438</v>
      </c>
      <c r="W400" s="2" t="s">
        <v>1267</v>
      </c>
      <c r="X400" s="2" t="s">
        <v>1268</v>
      </c>
      <c r="Y400" s="2" t="s">
        <v>270</v>
      </c>
      <c r="Z400" s="4">
        <v>472</v>
      </c>
      <c r="AA400" s="4">
        <f>=ROUNDDOWN(13.1111111111111,0)</f>
      </c>
      <c r="AB400" s="5">
        <v>36</v>
      </c>
      <c r="AC400" s="2" t="s">
        <v>228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228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/>
      <c r="BD400" s="8"/>
      <c r="BE400" s="4"/>
      <c r="BF400" s="8"/>
      <c r="BG400" s="7"/>
      <c r="BH400" s="7"/>
      <c r="BI400" s="7"/>
      <c r="BJ400" s="4">
        <v>74</v>
      </c>
      <c r="BK400" s="8">
        <v>1055.14</v>
      </c>
      <c r="BL400" s="2" t="s">
        <v>2653</v>
      </c>
      <c r="BM400" s="7"/>
      <c r="BN400" s="7"/>
      <c r="BO400" s="4"/>
      <c r="BP400" s="8"/>
      <c r="BQ400" s="4"/>
      <c r="BR400" s="8"/>
      <c r="BS400" s="7"/>
      <c r="BT400" s="7"/>
      <c r="BU400" s="2" t="s">
        <v>2654</v>
      </c>
      <c r="BV400" s="2" t="s">
        <v>228</v>
      </c>
      <c r="BW400" s="2" t="s">
        <v>228</v>
      </c>
      <c r="BX400" s="2" t="s">
        <v>337</v>
      </c>
      <c r="BY400" s="2" t="s">
        <v>274</v>
      </c>
      <c r="BZ400" s="2" t="s">
        <v>240</v>
      </c>
      <c r="CA400" s="2" t="s">
        <v>2655</v>
      </c>
      <c r="CB400" s="2" t="s">
        <v>1365</v>
      </c>
      <c r="CC400" s="2" t="s">
        <v>241</v>
      </c>
      <c r="CD400" s="2" t="s">
        <v>228</v>
      </c>
      <c r="CE400" s="4">
        <v>472</v>
      </c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</row>
    <row r="401">
      <c r="A401" s="2" t="s">
        <v>2656</v>
      </c>
      <c r="B401" s="2" t="s">
        <v>958</v>
      </c>
      <c r="C401" s="2" t="s">
        <v>300</v>
      </c>
      <c r="D401" s="2" t="s">
        <v>1006</v>
      </c>
      <c r="E401" s="2" t="s">
        <v>1007</v>
      </c>
      <c r="F401" s="2" t="s">
        <v>2657</v>
      </c>
      <c r="G401" s="2" t="s">
        <v>2658</v>
      </c>
      <c r="H401" s="2" t="s">
        <v>2659</v>
      </c>
      <c r="I401" s="2" t="s">
        <v>2660</v>
      </c>
      <c r="J401" s="2" t="s">
        <v>840</v>
      </c>
      <c r="K401" s="2" t="s">
        <v>888</v>
      </c>
      <c r="L401" s="3">
        <v>465.5</v>
      </c>
      <c r="M401" s="3">
        <v>488.78</v>
      </c>
      <c r="N401" s="3">
        <v>979</v>
      </c>
      <c r="O401" s="2" t="s">
        <v>240</v>
      </c>
      <c r="P401" s="2" t="s">
        <v>1022</v>
      </c>
      <c r="Q401" s="2" t="s">
        <v>234</v>
      </c>
      <c r="R401" s="2" t="s">
        <v>16</v>
      </c>
      <c r="S401" s="2" t="s">
        <v>2661</v>
      </c>
      <c r="T401" s="2" t="s">
        <v>228</v>
      </c>
      <c r="U401" s="2" t="s">
        <v>520</v>
      </c>
      <c r="V401" s="2" t="s">
        <v>1644</v>
      </c>
      <c r="W401" s="2" t="s">
        <v>463</v>
      </c>
      <c r="X401" s="2" t="s">
        <v>228</v>
      </c>
      <c r="Y401" s="2" t="s">
        <v>2662</v>
      </c>
      <c r="Z401" s="4">
        <v>100</v>
      </c>
      <c r="AA401" s="4">
        <f>=ROUNDDOWN({0},0)</f>
      </c>
      <c r="AB401" s="5"/>
      <c r="AC401" s="2" t="s">
        <v>192</v>
      </c>
      <c r="AD401" s="4">
        <v>75</v>
      </c>
      <c r="AE401" s="4">
        <v>75</v>
      </c>
      <c r="AF401" s="6"/>
      <c r="AG401" s="6"/>
      <c r="AH401" s="7">
        <v>1</v>
      </c>
      <c r="AI401" s="4"/>
      <c r="AJ401" s="4">
        <f>=ROUNDDOWN({0},0)</f>
      </c>
      <c r="AK401" s="5"/>
      <c r="AL401" s="2" t="s">
        <v>228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/>
      <c r="BD401" s="8"/>
      <c r="BE401" s="4"/>
      <c r="BF401" s="8"/>
      <c r="BG401" s="7"/>
      <c r="BH401" s="7"/>
      <c r="BI401" s="7"/>
      <c r="BJ401" s="4"/>
      <c r="BK401" s="8"/>
      <c r="BL401" s="2" t="s">
        <v>228</v>
      </c>
      <c r="BM401" s="7"/>
      <c r="BN401" s="7"/>
      <c r="BO401" s="4"/>
      <c r="BP401" s="8"/>
      <c r="BQ401" s="4"/>
      <c r="BR401" s="8"/>
      <c r="BS401" s="7"/>
      <c r="BT401" s="7"/>
      <c r="BU401" s="2" t="s">
        <v>2663</v>
      </c>
      <c r="BV401" s="2" t="s">
        <v>228</v>
      </c>
      <c r="BW401" s="2" t="s">
        <v>228</v>
      </c>
      <c r="BX401" s="2" t="s">
        <v>735</v>
      </c>
      <c r="BY401" s="2" t="s">
        <v>274</v>
      </c>
      <c r="BZ401" s="2" t="s">
        <v>240</v>
      </c>
      <c r="CA401" s="2" t="s">
        <v>1026</v>
      </c>
      <c r="CB401" s="2" t="s">
        <v>2664</v>
      </c>
      <c r="CC401" s="2" t="s">
        <v>241</v>
      </c>
      <c r="CD401" s="2" t="s">
        <v>228</v>
      </c>
      <c r="CE401" s="4"/>
      <c r="CF401" s="4">
        <v>100</v>
      </c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>
        <v>75</v>
      </c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</row>
    <row r="402">
      <c r="A402" s="2" t="s">
        <v>2665</v>
      </c>
      <c r="B402" s="2" t="s">
        <v>1150</v>
      </c>
      <c r="C402" s="2" t="s">
        <v>300</v>
      </c>
      <c r="D402" s="2" t="s">
        <v>1112</v>
      </c>
      <c r="E402" s="2" t="s">
        <v>1113</v>
      </c>
      <c r="F402" s="2" t="s">
        <v>2666</v>
      </c>
      <c r="G402" s="2" t="s">
        <v>2667</v>
      </c>
      <c r="H402" s="2" t="s">
        <v>2668</v>
      </c>
      <c r="I402" s="2" t="s">
        <v>2669</v>
      </c>
      <c r="J402" s="2" t="s">
        <v>1043</v>
      </c>
      <c r="K402" s="2" t="s">
        <v>265</v>
      </c>
      <c r="L402" s="3">
        <v>45.71</v>
      </c>
      <c r="M402" s="3">
        <v>48</v>
      </c>
      <c r="N402" s="3">
        <v>99.99</v>
      </c>
      <c r="O402" s="2" t="s">
        <v>240</v>
      </c>
      <c r="P402" s="2" t="s">
        <v>233</v>
      </c>
      <c r="Q402" s="2" t="s">
        <v>234</v>
      </c>
      <c r="R402" s="2" t="s">
        <v>228</v>
      </c>
      <c r="S402" s="2" t="s">
        <v>2670</v>
      </c>
      <c r="T402" s="2" t="s">
        <v>350</v>
      </c>
      <c r="U402" s="2" t="s">
        <v>500</v>
      </c>
      <c r="V402" s="2" t="s">
        <v>1156</v>
      </c>
      <c r="W402" s="2" t="s">
        <v>269</v>
      </c>
      <c r="X402" s="2" t="s">
        <v>1761</v>
      </c>
      <c r="Y402" s="2" t="s">
        <v>383</v>
      </c>
      <c r="Z402" s="4">
        <v>367</v>
      </c>
      <c r="AA402" s="4">
        <f>=ROUNDDOWN(36.7,0)</f>
      </c>
      <c r="AB402" s="5">
        <v>10</v>
      </c>
      <c r="AC402" s="2" t="s">
        <v>228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228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 t="s">
        <v>228</v>
      </c>
      <c r="BD402" s="8" t="s">
        <v>228</v>
      </c>
      <c r="BE402" s="4" t="s">
        <v>228</v>
      </c>
      <c r="BF402" s="8" t="s">
        <v>228</v>
      </c>
      <c r="BG402" s="7" t="s">
        <v>228</v>
      </c>
      <c r="BH402" s="7" t="s">
        <v>228</v>
      </c>
      <c r="BI402" s="7"/>
      <c r="BJ402" s="4">
        <v>21</v>
      </c>
      <c r="BK402" s="8">
        <v>1036.32</v>
      </c>
      <c r="BL402" s="2" t="s">
        <v>2671</v>
      </c>
      <c r="BM402" s="7"/>
      <c r="BN402" s="7"/>
      <c r="BO402" s="4"/>
      <c r="BP402" s="8"/>
      <c r="BQ402" s="4"/>
      <c r="BR402" s="8"/>
      <c r="BS402" s="7"/>
      <c r="BT402" s="7"/>
      <c r="BU402" s="2" t="s">
        <v>2672</v>
      </c>
      <c r="BV402" s="2" t="s">
        <v>228</v>
      </c>
      <c r="BW402" s="2" t="s">
        <v>228</v>
      </c>
      <c r="BX402" s="2" t="s">
        <v>273</v>
      </c>
      <c r="BY402" s="2" t="s">
        <v>274</v>
      </c>
      <c r="BZ402" s="2" t="s">
        <v>240</v>
      </c>
      <c r="CA402" s="2" t="s">
        <v>2488</v>
      </c>
      <c r="CB402" s="2" t="s">
        <v>2673</v>
      </c>
      <c r="CC402" s="2" t="s">
        <v>241</v>
      </c>
      <c r="CD402" s="2" t="s">
        <v>228</v>
      </c>
      <c r="CE402" s="4">
        <v>367</v>
      </c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</row>
    <row r="403">
      <c r="A403" s="2" t="s">
        <v>2674</v>
      </c>
      <c r="B403" s="2" t="s">
        <v>223</v>
      </c>
      <c r="C403" s="2" t="s">
        <v>849</v>
      </c>
      <c r="D403" s="2" t="s">
        <v>1112</v>
      </c>
      <c r="E403" s="2" t="s">
        <v>1113</v>
      </c>
      <c r="F403" s="2" t="s">
        <v>2666</v>
      </c>
      <c r="G403" s="2" t="s">
        <v>2675</v>
      </c>
      <c r="H403" s="2" t="s">
        <v>2675</v>
      </c>
      <c r="I403" s="2" t="s">
        <v>2676</v>
      </c>
      <c r="J403" s="2" t="s">
        <v>1189</v>
      </c>
      <c r="K403" s="2" t="s">
        <v>1357</v>
      </c>
      <c r="L403" s="3">
        <v>37.23</v>
      </c>
      <c r="M403" s="3">
        <v>39.09</v>
      </c>
      <c r="N403" s="3">
        <v>79.99</v>
      </c>
      <c r="O403" s="2" t="s">
        <v>240</v>
      </c>
      <c r="P403" s="2" t="s">
        <v>266</v>
      </c>
      <c r="Q403" s="2" t="s">
        <v>234</v>
      </c>
      <c r="R403" s="2" t="s">
        <v>228</v>
      </c>
      <c r="S403" s="2" t="s">
        <v>2677</v>
      </c>
      <c r="T403" s="2" t="s">
        <v>1608</v>
      </c>
      <c r="U403" s="2" t="s">
        <v>500</v>
      </c>
      <c r="V403" s="2" t="s">
        <v>1586</v>
      </c>
      <c r="W403" s="2" t="s">
        <v>463</v>
      </c>
      <c r="X403" s="2" t="s">
        <v>417</v>
      </c>
      <c r="Y403" s="2" t="s">
        <v>2425</v>
      </c>
      <c r="Z403" s="4">
        <v>576</v>
      </c>
      <c r="AA403" s="4">
        <f>=ROUNDDOWN(32,0)</f>
      </c>
      <c r="AB403" s="5">
        <v>18</v>
      </c>
      <c r="AC403" s="2" t="s">
        <v>160</v>
      </c>
      <c r="AD403" s="4">
        <v>300</v>
      </c>
      <c r="AE403" s="4">
        <v>650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228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 t="s">
        <v>228</v>
      </c>
      <c r="BD403" s="8" t="s">
        <v>228</v>
      </c>
      <c r="BE403" s="4" t="s">
        <v>228</v>
      </c>
      <c r="BF403" s="8" t="s">
        <v>228</v>
      </c>
      <c r="BG403" s="7" t="s">
        <v>228</v>
      </c>
      <c r="BH403" s="7" t="s">
        <v>228</v>
      </c>
      <c r="BI403" s="7"/>
      <c r="BJ403" s="4">
        <v>55</v>
      </c>
      <c r="BK403" s="8">
        <v>2085.46</v>
      </c>
      <c r="BL403" s="2" t="s">
        <v>2678</v>
      </c>
      <c r="BM403" s="7"/>
      <c r="BN403" s="7"/>
      <c r="BO403" s="4"/>
      <c r="BP403" s="8"/>
      <c r="BQ403" s="4"/>
      <c r="BR403" s="8"/>
      <c r="BS403" s="7"/>
      <c r="BT403" s="7"/>
      <c r="BU403" s="2" t="s">
        <v>2679</v>
      </c>
      <c r="BV403" s="2" t="s">
        <v>228</v>
      </c>
      <c r="BW403" s="2" t="s">
        <v>228</v>
      </c>
      <c r="BX403" s="2" t="s">
        <v>273</v>
      </c>
      <c r="BY403" s="2" t="s">
        <v>274</v>
      </c>
      <c r="BZ403" s="2" t="s">
        <v>240</v>
      </c>
      <c r="CA403" s="2" t="s">
        <v>2680</v>
      </c>
      <c r="CB403" s="2" t="s">
        <v>1082</v>
      </c>
      <c r="CC403" s="2" t="s">
        <v>241</v>
      </c>
      <c r="CD403" s="2" t="s">
        <v>228</v>
      </c>
      <c r="CE403" s="4">
        <v>576</v>
      </c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>
        <v>300</v>
      </c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>
        <v>150</v>
      </c>
      <c r="GT403" s="4"/>
      <c r="GU403" s="4"/>
      <c r="GV403" s="4"/>
      <c r="GW403" s="4"/>
      <c r="GX403" s="4"/>
      <c r="GY403" s="4"/>
      <c r="GZ403" s="4"/>
      <c r="HA403" s="4"/>
      <c r="HB403" s="4">
        <v>200</v>
      </c>
      <c r="HC403" s="4"/>
      <c r="HD403" s="4"/>
      <c r="HE403" s="4"/>
    </row>
    <row r="404">
      <c r="A404" s="2" t="s">
        <v>2681</v>
      </c>
      <c r="B404" s="2" t="s">
        <v>834</v>
      </c>
      <c r="C404" s="2" t="s">
        <v>835</v>
      </c>
      <c r="D404" s="2" t="s">
        <v>1744</v>
      </c>
      <c r="E404" s="2" t="s">
        <v>1745</v>
      </c>
      <c r="F404" s="2" t="s">
        <v>2682</v>
      </c>
      <c r="G404" s="2" t="s">
        <v>2682</v>
      </c>
      <c r="H404" s="2" t="s">
        <v>2682</v>
      </c>
      <c r="I404" s="2" t="s">
        <v>2683</v>
      </c>
      <c r="J404" s="2" t="s">
        <v>840</v>
      </c>
      <c r="K404" s="2" t="s">
        <v>2684</v>
      </c>
      <c r="L404" s="3">
        <v>86</v>
      </c>
      <c r="M404" s="3">
        <v>90.3</v>
      </c>
      <c r="N404" s="3">
        <v>179.99</v>
      </c>
      <c r="O404" s="2" t="s">
        <v>240</v>
      </c>
      <c r="P404" s="2" t="s">
        <v>233</v>
      </c>
      <c r="Q404" s="2" t="s">
        <v>234</v>
      </c>
      <c r="R404" s="2" t="s">
        <v>228</v>
      </c>
      <c r="S404" s="2" t="s">
        <v>228</v>
      </c>
      <c r="T404" s="2" t="s">
        <v>228</v>
      </c>
      <c r="U404" s="2" t="s">
        <v>416</v>
      </c>
      <c r="V404" s="2" t="s">
        <v>842</v>
      </c>
      <c r="W404" s="2" t="s">
        <v>843</v>
      </c>
      <c r="X404" s="2" t="s">
        <v>417</v>
      </c>
      <c r="Y404" s="2" t="s">
        <v>1106</v>
      </c>
      <c r="Z404" s="4">
        <v>100</v>
      </c>
      <c r="AA404" s="4">
        <f>=ROUNDDOWN({0},0)</f>
      </c>
      <c r="AB404" s="5"/>
      <c r="AC404" s="2" t="s">
        <v>228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228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/>
      <c r="BD404" s="8"/>
      <c r="BE404" s="4"/>
      <c r="BF404" s="8"/>
      <c r="BG404" s="7"/>
      <c r="BH404" s="7"/>
      <c r="BI404" s="7"/>
      <c r="BJ404" s="4"/>
      <c r="BK404" s="8"/>
      <c r="BL404" s="2" t="s">
        <v>228</v>
      </c>
      <c r="BM404" s="7"/>
      <c r="BN404" s="7"/>
      <c r="BO404" s="4"/>
      <c r="BP404" s="8"/>
      <c r="BQ404" s="4"/>
      <c r="BR404" s="8"/>
      <c r="BS404" s="7"/>
      <c r="BT404" s="7"/>
      <c r="BU404" s="2" t="s">
        <v>2685</v>
      </c>
      <c r="BV404" s="2" t="s">
        <v>228</v>
      </c>
      <c r="BW404" s="2" t="s">
        <v>228</v>
      </c>
      <c r="BX404" s="2" t="s">
        <v>238</v>
      </c>
      <c r="BY404" s="2" t="s">
        <v>274</v>
      </c>
      <c r="BZ404" s="2" t="s">
        <v>240</v>
      </c>
      <c r="CA404" s="2" t="s">
        <v>228</v>
      </c>
      <c r="CB404" s="2" t="s">
        <v>228</v>
      </c>
      <c r="CC404" s="2" t="s">
        <v>241</v>
      </c>
      <c r="CD404" s="2" t="s">
        <v>228</v>
      </c>
      <c r="CE404" s="4"/>
      <c r="CF404" s="4">
        <v>100</v>
      </c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</row>
    <row r="405">
      <c r="A405" s="2" t="s">
        <v>2686</v>
      </c>
      <c r="B405" s="2" t="s">
        <v>834</v>
      </c>
      <c r="C405" s="2" t="s">
        <v>835</v>
      </c>
      <c r="D405" s="2" t="s">
        <v>1744</v>
      </c>
      <c r="E405" s="2" t="s">
        <v>1745</v>
      </c>
      <c r="F405" s="2" t="s">
        <v>2687</v>
      </c>
      <c r="G405" s="2" t="s">
        <v>2687</v>
      </c>
      <c r="H405" s="2" t="s">
        <v>2687</v>
      </c>
      <c r="I405" s="2" t="s">
        <v>2688</v>
      </c>
      <c r="J405" s="2" t="s">
        <v>840</v>
      </c>
      <c r="K405" s="2" t="s">
        <v>2689</v>
      </c>
      <c r="L405" s="3">
        <v>54.27</v>
      </c>
      <c r="M405" s="3">
        <v>56.98</v>
      </c>
      <c r="N405" s="3">
        <v>129.99</v>
      </c>
      <c r="O405" s="2" t="s">
        <v>461</v>
      </c>
      <c r="P405" s="2" t="s">
        <v>333</v>
      </c>
      <c r="Q405" s="2" t="s">
        <v>234</v>
      </c>
      <c r="R405" s="2" t="s">
        <v>228</v>
      </c>
      <c r="S405" s="2" t="s">
        <v>228</v>
      </c>
      <c r="T405" s="2" t="s">
        <v>228</v>
      </c>
      <c r="U405" s="2" t="s">
        <v>416</v>
      </c>
      <c r="V405" s="2" t="s">
        <v>842</v>
      </c>
      <c r="W405" s="2" t="s">
        <v>463</v>
      </c>
      <c r="X405" s="2" t="s">
        <v>228</v>
      </c>
      <c r="Y405" s="2" t="s">
        <v>2076</v>
      </c>
      <c r="Z405" s="4">
        <v>31</v>
      </c>
      <c r="AA405" s="4">
        <f>=ROUNDDOWN(22.1428571428571,0)</f>
      </c>
      <c r="AB405" s="5">
        <v>1.4</v>
      </c>
      <c r="AC405" s="2" t="s">
        <v>228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228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 t="s">
        <v>228</v>
      </c>
      <c r="BD405" s="8" t="s">
        <v>228</v>
      </c>
      <c r="BE405" s="4" t="s">
        <v>228</v>
      </c>
      <c r="BF405" s="8" t="s">
        <v>228</v>
      </c>
      <c r="BG405" s="7" t="s">
        <v>228</v>
      </c>
      <c r="BH405" s="7" t="s">
        <v>228</v>
      </c>
      <c r="BI405" s="7"/>
      <c r="BJ405" s="4">
        <v>4</v>
      </c>
      <c r="BK405" s="8">
        <v>254.71</v>
      </c>
      <c r="BL405" s="2" t="s">
        <v>2690</v>
      </c>
      <c r="BM405" s="7"/>
      <c r="BN405" s="7"/>
      <c r="BO405" s="4"/>
      <c r="BP405" s="8"/>
      <c r="BQ405" s="4"/>
      <c r="BR405" s="8"/>
      <c r="BS405" s="7"/>
      <c r="BT405" s="7"/>
      <c r="BU405" s="2" t="s">
        <v>2691</v>
      </c>
      <c r="BV405" s="2" t="s">
        <v>228</v>
      </c>
      <c r="BW405" s="2" t="s">
        <v>228</v>
      </c>
      <c r="BX405" s="2" t="s">
        <v>337</v>
      </c>
      <c r="BY405" s="2" t="s">
        <v>274</v>
      </c>
      <c r="BZ405" s="2" t="s">
        <v>240</v>
      </c>
      <c r="CA405" s="2" t="s">
        <v>2692</v>
      </c>
      <c r="CB405" s="2" t="s">
        <v>2693</v>
      </c>
      <c r="CC405" s="2" t="s">
        <v>241</v>
      </c>
      <c r="CD405" s="2" t="s">
        <v>228</v>
      </c>
      <c r="CE405" s="4"/>
      <c r="CF405" s="4">
        <v>31</v>
      </c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</row>
    <row r="406">
      <c r="A406" s="2" t="s">
        <v>2694</v>
      </c>
      <c r="B406" s="2" t="s">
        <v>223</v>
      </c>
      <c r="C406" s="2" t="s">
        <v>300</v>
      </c>
      <c r="D406" s="2" t="s">
        <v>1601</v>
      </c>
      <c r="E406" s="2" t="s">
        <v>2421</v>
      </c>
      <c r="F406" s="2" t="s">
        <v>2687</v>
      </c>
      <c r="G406" s="2" t="s">
        <v>2695</v>
      </c>
      <c r="H406" s="2" t="s">
        <v>2695</v>
      </c>
      <c r="I406" s="2" t="s">
        <v>2696</v>
      </c>
      <c r="J406" s="2" t="s">
        <v>1412</v>
      </c>
      <c r="K406" s="2" t="s">
        <v>1478</v>
      </c>
      <c r="L406" s="3">
        <v>28.57</v>
      </c>
      <c r="M406" s="3">
        <v>30</v>
      </c>
      <c r="N406" s="3">
        <v>59.99</v>
      </c>
      <c r="O406" s="2" t="s">
        <v>461</v>
      </c>
      <c r="P406" s="2" t="s">
        <v>333</v>
      </c>
      <c r="Q406" s="2" t="s">
        <v>234</v>
      </c>
      <c r="R406" s="2" t="s">
        <v>228</v>
      </c>
      <c r="S406" s="2" t="s">
        <v>2697</v>
      </c>
      <c r="T406" s="2" t="s">
        <v>1608</v>
      </c>
      <c r="U406" s="2" t="s">
        <v>416</v>
      </c>
      <c r="V406" s="2" t="s">
        <v>236</v>
      </c>
      <c r="W406" s="2" t="s">
        <v>309</v>
      </c>
      <c r="X406" s="2" t="s">
        <v>463</v>
      </c>
      <c r="Y406" s="2" t="s">
        <v>1631</v>
      </c>
      <c r="Z406" s="4">
        <v>256</v>
      </c>
      <c r="AA406" s="4">
        <f>=ROUNDDOWN(19.6923076923077,0)</f>
      </c>
      <c r="AB406" s="5">
        <v>13</v>
      </c>
      <c r="AC406" s="2" t="s">
        <v>228</v>
      </c>
      <c r="AD406" s="4"/>
      <c r="AE406" s="4"/>
      <c r="AF406" s="6">
        <v>64</v>
      </c>
      <c r="AG406" s="6"/>
      <c r="AH406" s="7">
        <v>1</v>
      </c>
      <c r="AI406" s="4"/>
      <c r="AJ406" s="4">
        <f>=ROUNDDOWN({0},0)</f>
      </c>
      <c r="AK406" s="5"/>
      <c r="AL406" s="2" t="s">
        <v>228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 t="s">
        <v>228</v>
      </c>
      <c r="BD406" s="8" t="s">
        <v>228</v>
      </c>
      <c r="BE406" s="4" t="s">
        <v>228</v>
      </c>
      <c r="BF406" s="8" t="s">
        <v>228</v>
      </c>
      <c r="BG406" s="7" t="s">
        <v>228</v>
      </c>
      <c r="BH406" s="7" t="s">
        <v>228</v>
      </c>
      <c r="BI406" s="7"/>
      <c r="BJ406" s="4">
        <v>39</v>
      </c>
      <c r="BK406" s="8">
        <v>969.38</v>
      </c>
      <c r="BL406" s="2" t="s">
        <v>2698</v>
      </c>
      <c r="BM406" s="7"/>
      <c r="BN406" s="7"/>
      <c r="BO406" s="4"/>
      <c r="BP406" s="8"/>
      <c r="BQ406" s="4"/>
      <c r="BR406" s="8"/>
      <c r="BS406" s="7"/>
      <c r="BT406" s="7"/>
      <c r="BU406" s="2" t="s">
        <v>2699</v>
      </c>
      <c r="BV406" s="2" t="s">
        <v>228</v>
      </c>
      <c r="BW406" s="2" t="s">
        <v>228</v>
      </c>
      <c r="BX406" s="2" t="s">
        <v>337</v>
      </c>
      <c r="BY406" s="2" t="s">
        <v>274</v>
      </c>
      <c r="BZ406" s="2" t="s">
        <v>240</v>
      </c>
      <c r="CA406" s="2" t="s">
        <v>1871</v>
      </c>
      <c r="CB406" s="2" t="s">
        <v>2700</v>
      </c>
      <c r="CC406" s="2" t="s">
        <v>241</v>
      </c>
      <c r="CD406" s="2" t="s">
        <v>228</v>
      </c>
      <c r="CE406" s="4">
        <v>256</v>
      </c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</row>
    <row r="407">
      <c r="A407" s="2" t="s">
        <v>2701</v>
      </c>
      <c r="B407" s="2" t="s">
        <v>958</v>
      </c>
      <c r="C407" s="2" t="s">
        <v>300</v>
      </c>
      <c r="D407" s="2" t="s">
        <v>1795</v>
      </c>
      <c r="E407" s="2" t="s">
        <v>1796</v>
      </c>
      <c r="F407" s="2" t="s">
        <v>2702</v>
      </c>
      <c r="G407" s="2" t="s">
        <v>2703</v>
      </c>
      <c r="H407" s="2" t="s">
        <v>2704</v>
      </c>
      <c r="I407" s="2" t="s">
        <v>2705</v>
      </c>
      <c r="J407" s="2" t="s">
        <v>840</v>
      </c>
      <c r="K407" s="2" t="s">
        <v>1105</v>
      </c>
      <c r="L407" s="3">
        <v>171</v>
      </c>
      <c r="M407" s="3">
        <v>179.55</v>
      </c>
      <c r="N407" s="3">
        <v>359</v>
      </c>
      <c r="O407" s="2" t="s">
        <v>240</v>
      </c>
      <c r="P407" s="2" t="s">
        <v>266</v>
      </c>
      <c r="Q407" s="2" t="s">
        <v>234</v>
      </c>
      <c r="R407" s="2" t="s">
        <v>228</v>
      </c>
      <c r="S407" s="2" t="s">
        <v>2706</v>
      </c>
      <c r="T407" s="2" t="s">
        <v>228</v>
      </c>
      <c r="U407" s="2" t="s">
        <v>228</v>
      </c>
      <c r="V407" s="2" t="s">
        <v>236</v>
      </c>
      <c r="W407" s="2" t="s">
        <v>417</v>
      </c>
      <c r="X407" s="2" t="s">
        <v>228</v>
      </c>
      <c r="Y407" s="2" t="s">
        <v>270</v>
      </c>
      <c r="Z407" s="4">
        <v>255</v>
      </c>
      <c r="AA407" s="4">
        <f>=ROUNDDOWN(62.1951219512195,0)</f>
      </c>
      <c r="AB407" s="5">
        <v>4.1</v>
      </c>
      <c r="AC407" s="2" t="s">
        <v>228</v>
      </c>
      <c r="AD407" s="4"/>
      <c r="AE407" s="4"/>
      <c r="AF407" s="6">
        <v>74</v>
      </c>
      <c r="AG407" s="6"/>
      <c r="AH407" s="7">
        <v>1</v>
      </c>
      <c r="AI407" s="4"/>
      <c r="AJ407" s="4">
        <f>=ROUNDDOWN({0},0)</f>
      </c>
      <c r="AK407" s="5"/>
      <c r="AL407" s="2" t="s">
        <v>228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 t="s">
        <v>228</v>
      </c>
      <c r="BD407" s="8" t="s">
        <v>228</v>
      </c>
      <c r="BE407" s="4" t="s">
        <v>228</v>
      </c>
      <c r="BF407" s="8" t="s">
        <v>228</v>
      </c>
      <c r="BG407" s="7" t="s">
        <v>228</v>
      </c>
      <c r="BH407" s="7" t="s">
        <v>228</v>
      </c>
      <c r="BI407" s="7"/>
      <c r="BJ407" s="4">
        <v>18</v>
      </c>
      <c r="BK407" s="8">
        <v>2997.11</v>
      </c>
      <c r="BL407" s="2" t="s">
        <v>2707</v>
      </c>
      <c r="BM407" s="7"/>
      <c r="BN407" s="7"/>
      <c r="BO407" s="4"/>
      <c r="BP407" s="8"/>
      <c r="BQ407" s="4"/>
      <c r="BR407" s="8"/>
      <c r="BS407" s="7"/>
      <c r="BT407" s="7"/>
      <c r="BU407" s="2" t="s">
        <v>2708</v>
      </c>
      <c r="BV407" s="2" t="s">
        <v>228</v>
      </c>
      <c r="BW407" s="2" t="s">
        <v>228</v>
      </c>
      <c r="BX407" s="2" t="s">
        <v>273</v>
      </c>
      <c r="BY407" s="2" t="s">
        <v>274</v>
      </c>
      <c r="BZ407" s="2" t="s">
        <v>240</v>
      </c>
      <c r="CA407" s="2" t="s">
        <v>2709</v>
      </c>
      <c r="CB407" s="2" t="s">
        <v>455</v>
      </c>
      <c r="CC407" s="2" t="s">
        <v>241</v>
      </c>
      <c r="CD407" s="2" t="s">
        <v>228</v>
      </c>
      <c r="CE407" s="4"/>
      <c r="CF407" s="4">
        <v>255</v>
      </c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</row>
    <row r="408">
      <c r="A408" s="2" t="s">
        <v>2710</v>
      </c>
      <c r="B408" s="2" t="s">
        <v>958</v>
      </c>
      <c r="C408" s="2" t="s">
        <v>300</v>
      </c>
      <c r="D408" s="2" t="s">
        <v>1790</v>
      </c>
      <c r="E408" s="2" t="s">
        <v>1791</v>
      </c>
      <c r="F408" s="2" t="s">
        <v>2702</v>
      </c>
      <c r="G408" s="2" t="s">
        <v>2703</v>
      </c>
      <c r="H408" s="2" t="s">
        <v>2704</v>
      </c>
      <c r="I408" s="2" t="s">
        <v>1791</v>
      </c>
      <c r="J408" s="2" t="s">
        <v>840</v>
      </c>
      <c r="K408" s="2" t="s">
        <v>249</v>
      </c>
      <c r="L408" s="3">
        <v>80.75</v>
      </c>
      <c r="M408" s="3">
        <v>84.79</v>
      </c>
      <c r="N408" s="3">
        <v>169</v>
      </c>
      <c r="O408" s="2" t="s">
        <v>240</v>
      </c>
      <c r="P408" s="2" t="s">
        <v>1012</v>
      </c>
      <c r="Q408" s="2" t="s">
        <v>234</v>
      </c>
      <c r="R408" s="2" t="s">
        <v>228</v>
      </c>
      <c r="S408" s="2" t="s">
        <v>2711</v>
      </c>
      <c r="T408" s="2" t="s">
        <v>228</v>
      </c>
      <c r="U408" s="2" t="s">
        <v>228</v>
      </c>
      <c r="V408" s="2" t="s">
        <v>236</v>
      </c>
      <c r="W408" s="2" t="s">
        <v>417</v>
      </c>
      <c r="X408" s="2" t="s">
        <v>228</v>
      </c>
      <c r="Y408" s="2" t="s">
        <v>270</v>
      </c>
      <c r="Z408" s="4">
        <v>216</v>
      </c>
      <c r="AA408" s="4">
        <f>=ROUNDDOWN(216,0)</f>
      </c>
      <c r="AB408" s="5">
        <v>1</v>
      </c>
      <c r="AC408" s="2" t="s">
        <v>228</v>
      </c>
      <c r="AD408" s="4"/>
      <c r="AE408" s="4"/>
      <c r="AF408" s="6">
        <v>74</v>
      </c>
      <c r="AG408" s="6"/>
      <c r="AH408" s="7">
        <v>1</v>
      </c>
      <c r="AI408" s="4"/>
      <c r="AJ408" s="4">
        <f>=ROUNDDOWN({0},0)</f>
      </c>
      <c r="AK408" s="5"/>
      <c r="AL408" s="2" t="s">
        <v>228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 t="s">
        <v>228</v>
      </c>
      <c r="BD408" s="8" t="s">
        <v>228</v>
      </c>
      <c r="BE408" s="4" t="s">
        <v>228</v>
      </c>
      <c r="BF408" s="8" t="s">
        <v>228</v>
      </c>
      <c r="BG408" s="7" t="s">
        <v>228</v>
      </c>
      <c r="BH408" s="7" t="s">
        <v>228</v>
      </c>
      <c r="BI408" s="7"/>
      <c r="BJ408" s="4">
        <v>16</v>
      </c>
      <c r="BK408" s="8">
        <v>1037.92</v>
      </c>
      <c r="BL408" s="2" t="s">
        <v>2712</v>
      </c>
      <c r="BM408" s="7"/>
      <c r="BN408" s="7"/>
      <c r="BO408" s="4"/>
      <c r="BP408" s="8"/>
      <c r="BQ408" s="4"/>
      <c r="BR408" s="8"/>
      <c r="BS408" s="7"/>
      <c r="BT408" s="7"/>
      <c r="BU408" s="2" t="s">
        <v>2713</v>
      </c>
      <c r="BV408" s="2" t="s">
        <v>228</v>
      </c>
      <c r="BW408" s="2" t="s">
        <v>228</v>
      </c>
      <c r="BX408" s="2" t="s">
        <v>273</v>
      </c>
      <c r="BY408" s="2" t="s">
        <v>274</v>
      </c>
      <c r="BZ408" s="2" t="s">
        <v>240</v>
      </c>
      <c r="CA408" s="2" t="s">
        <v>275</v>
      </c>
      <c r="CB408" s="2" t="s">
        <v>2714</v>
      </c>
      <c r="CC408" s="2" t="s">
        <v>241</v>
      </c>
      <c r="CD408" s="2" t="s">
        <v>228</v>
      </c>
      <c r="CE408" s="4"/>
      <c r="CF408" s="4">
        <v>216</v>
      </c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</row>
    <row r="409">
      <c r="A409" s="2" t="s">
        <v>2715</v>
      </c>
      <c r="B409" s="2" t="s">
        <v>834</v>
      </c>
      <c r="C409" s="2" t="s">
        <v>835</v>
      </c>
      <c r="D409" s="2" t="s">
        <v>1101</v>
      </c>
      <c r="E409" s="2" t="s">
        <v>1102</v>
      </c>
      <c r="F409" s="2" t="s">
        <v>2716</v>
      </c>
      <c r="G409" s="2" t="s">
        <v>2716</v>
      </c>
      <c r="H409" s="2" t="s">
        <v>2716</v>
      </c>
      <c r="I409" s="2" t="s">
        <v>2717</v>
      </c>
      <c r="J409" s="2" t="s">
        <v>840</v>
      </c>
      <c r="K409" s="2" t="s">
        <v>2718</v>
      </c>
      <c r="L409" s="3">
        <v>38.7</v>
      </c>
      <c r="M409" s="3">
        <v>40.64</v>
      </c>
      <c r="N409" s="3">
        <v>89.99</v>
      </c>
      <c r="O409" s="2" t="s">
        <v>240</v>
      </c>
      <c r="P409" s="2" t="s">
        <v>266</v>
      </c>
      <c r="Q409" s="2" t="s">
        <v>234</v>
      </c>
      <c r="R409" s="2" t="s">
        <v>228</v>
      </c>
      <c r="S409" s="2" t="s">
        <v>228</v>
      </c>
      <c r="T409" s="2" t="s">
        <v>228</v>
      </c>
      <c r="U409" s="2" t="s">
        <v>416</v>
      </c>
      <c r="V409" s="2" t="s">
        <v>842</v>
      </c>
      <c r="W409" s="2" t="s">
        <v>843</v>
      </c>
      <c r="X409" s="2" t="s">
        <v>228</v>
      </c>
      <c r="Y409" s="2" t="s">
        <v>2719</v>
      </c>
      <c r="Z409" s="4">
        <v>130</v>
      </c>
      <c r="AA409" s="4">
        <f>=ROUNDDOWN(41.9354838709677,0)</f>
      </c>
      <c r="AB409" s="5">
        <v>3.1</v>
      </c>
      <c r="AC409" s="2" t="s">
        <v>228</v>
      </c>
      <c r="AD409" s="4"/>
      <c r="AE409" s="4"/>
      <c r="AF409" s="6">
        <v>63</v>
      </c>
      <c r="AG409" s="6"/>
      <c r="AH409" s="7">
        <v>1</v>
      </c>
      <c r="AI409" s="4"/>
      <c r="AJ409" s="4">
        <f>=ROUNDDOWN({0},0)</f>
      </c>
      <c r="AK409" s="5"/>
      <c r="AL409" s="2" t="s">
        <v>228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/>
      <c r="BD409" s="8"/>
      <c r="BE409" s="4"/>
      <c r="BF409" s="8"/>
      <c r="BG409" s="7"/>
      <c r="BH409" s="7"/>
      <c r="BI409" s="7"/>
      <c r="BJ409" s="4">
        <v>18</v>
      </c>
      <c r="BK409" s="8">
        <v>835.04</v>
      </c>
      <c r="BL409" s="2" t="s">
        <v>2720</v>
      </c>
      <c r="BM409" s="7"/>
      <c r="BN409" s="7"/>
      <c r="BO409" s="4"/>
      <c r="BP409" s="8"/>
      <c r="BQ409" s="4"/>
      <c r="BR409" s="8"/>
      <c r="BS409" s="7"/>
      <c r="BT409" s="7"/>
      <c r="BU409" s="2" t="s">
        <v>2721</v>
      </c>
      <c r="BV409" s="2" t="s">
        <v>228</v>
      </c>
      <c r="BW409" s="2" t="s">
        <v>228</v>
      </c>
      <c r="BX409" s="2" t="s">
        <v>273</v>
      </c>
      <c r="BY409" s="2" t="s">
        <v>274</v>
      </c>
      <c r="BZ409" s="2" t="s">
        <v>240</v>
      </c>
      <c r="CA409" s="2" t="s">
        <v>2722</v>
      </c>
      <c r="CB409" s="2" t="s">
        <v>2723</v>
      </c>
      <c r="CC409" s="2" t="s">
        <v>241</v>
      </c>
      <c r="CD409" s="2" t="s">
        <v>228</v>
      </c>
      <c r="CE409" s="4"/>
      <c r="CF409" s="4">
        <v>130</v>
      </c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</row>
    <row r="410">
      <c r="A410" s="2" t="s">
        <v>2724</v>
      </c>
      <c r="B410" s="2" t="s">
        <v>958</v>
      </c>
      <c r="C410" s="2" t="s">
        <v>300</v>
      </c>
      <c r="D410" s="2" t="s">
        <v>959</v>
      </c>
      <c r="E410" s="2" t="s">
        <v>960</v>
      </c>
      <c r="F410" s="2" t="s">
        <v>2725</v>
      </c>
      <c r="G410" s="2" t="s">
        <v>2726</v>
      </c>
      <c r="H410" s="2" t="s">
        <v>2727</v>
      </c>
      <c r="I410" s="2" t="s">
        <v>2728</v>
      </c>
      <c r="J410" s="2" t="s">
        <v>840</v>
      </c>
      <c r="K410" s="2" t="s">
        <v>249</v>
      </c>
      <c r="L410" s="3">
        <v>162.45</v>
      </c>
      <c r="M410" s="3">
        <v>170.57</v>
      </c>
      <c r="N410" s="3">
        <v>339</v>
      </c>
      <c r="O410" s="2" t="s">
        <v>240</v>
      </c>
      <c r="P410" s="2" t="s">
        <v>333</v>
      </c>
      <c r="Q410" s="2" t="s">
        <v>234</v>
      </c>
      <c r="R410" s="2" t="s">
        <v>228</v>
      </c>
      <c r="S410" s="2" t="s">
        <v>2729</v>
      </c>
      <c r="T410" s="2" t="s">
        <v>228</v>
      </c>
      <c r="U410" s="2" t="s">
        <v>228</v>
      </c>
      <c r="V410" s="2" t="s">
        <v>1644</v>
      </c>
      <c r="W410" s="2" t="s">
        <v>417</v>
      </c>
      <c r="X410" s="2" t="s">
        <v>228</v>
      </c>
      <c r="Y410" s="2" t="s">
        <v>270</v>
      </c>
      <c r="Z410" s="4">
        <v>258</v>
      </c>
      <c r="AA410" s="4">
        <f>=ROUNDDOWN(73.7142857142857,0)</f>
      </c>
      <c r="AB410" s="5">
        <v>3.5</v>
      </c>
      <c r="AC410" s="2" t="s">
        <v>228</v>
      </c>
      <c r="AD410" s="4"/>
      <c r="AE410" s="4"/>
      <c r="AF410" s="6">
        <v>74</v>
      </c>
      <c r="AG410" s="6"/>
      <c r="AH410" s="7">
        <v>1</v>
      </c>
      <c r="AI410" s="4"/>
      <c r="AJ410" s="4">
        <f>=ROUNDDOWN({0},0)</f>
      </c>
      <c r="AK410" s="5"/>
      <c r="AL410" s="2" t="s">
        <v>228</v>
      </c>
      <c r="AM410" s="4"/>
      <c r="AN410" s="4"/>
      <c r="AO410" s="7">
        <v>0.5484</v>
      </c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 t="s">
        <v>228</v>
      </c>
      <c r="BD410" s="8" t="s">
        <v>228</v>
      </c>
      <c r="BE410" s="4" t="s">
        <v>228</v>
      </c>
      <c r="BF410" s="8" t="s">
        <v>228</v>
      </c>
      <c r="BG410" s="7" t="s">
        <v>228</v>
      </c>
      <c r="BH410" s="7" t="s">
        <v>228</v>
      </c>
      <c r="BI410" s="7"/>
      <c r="BJ410" s="4">
        <v>20</v>
      </c>
      <c r="BK410" s="8">
        <v>3398.4</v>
      </c>
      <c r="BL410" s="2" t="s">
        <v>2730</v>
      </c>
      <c r="BM410" s="7"/>
      <c r="BN410" s="7"/>
      <c r="BO410" s="4"/>
      <c r="BP410" s="8"/>
      <c r="BQ410" s="4"/>
      <c r="BR410" s="8"/>
      <c r="BS410" s="7"/>
      <c r="BT410" s="7"/>
      <c r="BU410" s="2" t="s">
        <v>2731</v>
      </c>
      <c r="BV410" s="2" t="s">
        <v>228</v>
      </c>
      <c r="BW410" s="2" t="s">
        <v>228</v>
      </c>
      <c r="BX410" s="2" t="s">
        <v>337</v>
      </c>
      <c r="BY410" s="2" t="s">
        <v>274</v>
      </c>
      <c r="BZ410" s="2" t="s">
        <v>240</v>
      </c>
      <c r="CA410" s="2" t="s">
        <v>275</v>
      </c>
      <c r="CB410" s="2" t="s">
        <v>1397</v>
      </c>
      <c r="CC410" s="2" t="s">
        <v>241</v>
      </c>
      <c r="CD410" s="2" t="s">
        <v>228</v>
      </c>
      <c r="CE410" s="4"/>
      <c r="CF410" s="4">
        <v>258</v>
      </c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</row>
    <row r="411">
      <c r="A411" s="2" t="s">
        <v>2732</v>
      </c>
      <c r="B411" s="2" t="s">
        <v>958</v>
      </c>
      <c r="C411" s="2" t="s">
        <v>300</v>
      </c>
      <c r="D411" s="2" t="s">
        <v>959</v>
      </c>
      <c r="E411" s="2" t="s">
        <v>960</v>
      </c>
      <c r="F411" s="2" t="s">
        <v>2725</v>
      </c>
      <c r="G411" s="2" t="s">
        <v>2726</v>
      </c>
      <c r="H411" s="2" t="s">
        <v>2727</v>
      </c>
      <c r="I411" s="2" t="s">
        <v>2728</v>
      </c>
      <c r="J411" s="2" t="s">
        <v>840</v>
      </c>
      <c r="K411" s="2" t="s">
        <v>1357</v>
      </c>
      <c r="L411" s="3">
        <v>162.45</v>
      </c>
      <c r="M411" s="3">
        <v>170.57</v>
      </c>
      <c r="N411" s="3">
        <v>339</v>
      </c>
      <c r="O411" s="2" t="s">
        <v>240</v>
      </c>
      <c r="P411" s="2" t="s">
        <v>1012</v>
      </c>
      <c r="Q411" s="2" t="s">
        <v>234</v>
      </c>
      <c r="R411" s="2" t="s">
        <v>228</v>
      </c>
      <c r="S411" s="2" t="s">
        <v>228</v>
      </c>
      <c r="T411" s="2" t="s">
        <v>228</v>
      </c>
      <c r="U411" s="2" t="s">
        <v>228</v>
      </c>
      <c r="V411" s="2" t="s">
        <v>980</v>
      </c>
      <c r="W411" s="2" t="s">
        <v>463</v>
      </c>
      <c r="X411" s="2" t="s">
        <v>228</v>
      </c>
      <c r="Y411" s="2" t="s">
        <v>2733</v>
      </c>
      <c r="Z411" s="4">
        <v>212</v>
      </c>
      <c r="AA411" s="4">
        <f>=ROUNDDOWN(70.6666666666667,0)</f>
      </c>
      <c r="AB411" s="5">
        <v>3</v>
      </c>
      <c r="AC411" s="2" t="s">
        <v>228</v>
      </c>
      <c r="AD411" s="4"/>
      <c r="AE411" s="4"/>
      <c r="AF411" s="6">
        <v>74</v>
      </c>
      <c r="AG411" s="6"/>
      <c r="AH411" s="7">
        <v>1</v>
      </c>
      <c r="AI411" s="4"/>
      <c r="AJ411" s="4">
        <f>=ROUNDDOWN({0},0)</f>
      </c>
      <c r="AK411" s="5"/>
      <c r="AL411" s="2" t="s">
        <v>228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 t="s">
        <v>228</v>
      </c>
      <c r="BD411" s="8" t="s">
        <v>228</v>
      </c>
      <c r="BE411" s="4" t="s">
        <v>228</v>
      </c>
      <c r="BF411" s="8" t="s">
        <v>228</v>
      </c>
      <c r="BG411" s="7" t="s">
        <v>228</v>
      </c>
      <c r="BH411" s="7" t="s">
        <v>228</v>
      </c>
      <c r="BI411" s="7"/>
      <c r="BJ411" s="4">
        <v>50</v>
      </c>
      <c r="BK411" s="8">
        <v>8594.7</v>
      </c>
      <c r="BL411" s="2" t="s">
        <v>2734</v>
      </c>
      <c r="BM411" s="7"/>
      <c r="BN411" s="7"/>
      <c r="BO411" s="4"/>
      <c r="BP411" s="8"/>
      <c r="BQ411" s="4"/>
      <c r="BR411" s="8"/>
      <c r="BS411" s="7"/>
      <c r="BT411" s="7"/>
      <c r="BU411" s="2" t="s">
        <v>2735</v>
      </c>
      <c r="BV411" s="2" t="s">
        <v>228</v>
      </c>
      <c r="BW411" s="2" t="s">
        <v>228</v>
      </c>
      <c r="BX411" s="2" t="s">
        <v>273</v>
      </c>
      <c r="BY411" s="2" t="s">
        <v>274</v>
      </c>
      <c r="BZ411" s="2" t="s">
        <v>240</v>
      </c>
      <c r="CA411" s="2" t="s">
        <v>2736</v>
      </c>
      <c r="CB411" s="2" t="s">
        <v>2737</v>
      </c>
      <c r="CC411" s="2" t="s">
        <v>241</v>
      </c>
      <c r="CD411" s="2" t="s">
        <v>228</v>
      </c>
      <c r="CE411" s="4"/>
      <c r="CF411" s="4">
        <v>212</v>
      </c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</row>
    <row r="412">
      <c r="A412" s="2" t="s">
        <v>2738</v>
      </c>
      <c r="B412" s="2" t="s">
        <v>958</v>
      </c>
      <c r="C412" s="2" t="s">
        <v>300</v>
      </c>
      <c r="D412" s="2" t="s">
        <v>959</v>
      </c>
      <c r="E412" s="2" t="s">
        <v>960</v>
      </c>
      <c r="F412" s="2" t="s">
        <v>2725</v>
      </c>
      <c r="G412" s="2" t="s">
        <v>2726</v>
      </c>
      <c r="H412" s="2" t="s">
        <v>2727</v>
      </c>
      <c r="I412" s="2" t="s">
        <v>2728</v>
      </c>
      <c r="J412" s="2" t="s">
        <v>840</v>
      </c>
      <c r="K412" s="2" t="s">
        <v>251</v>
      </c>
      <c r="L412" s="3">
        <v>162.45</v>
      </c>
      <c r="M412" s="3">
        <v>170.57</v>
      </c>
      <c r="N412" s="3">
        <v>339</v>
      </c>
      <c r="O412" s="2" t="s">
        <v>240</v>
      </c>
      <c r="P412" s="2" t="s">
        <v>266</v>
      </c>
      <c r="Q412" s="2" t="s">
        <v>234</v>
      </c>
      <c r="R412" s="2" t="s">
        <v>228</v>
      </c>
      <c r="S412" s="2" t="s">
        <v>2739</v>
      </c>
      <c r="T412" s="2" t="s">
        <v>228</v>
      </c>
      <c r="U412" s="2" t="s">
        <v>228</v>
      </c>
      <c r="V412" s="2" t="s">
        <v>1644</v>
      </c>
      <c r="W412" s="2" t="s">
        <v>417</v>
      </c>
      <c r="X412" s="2" t="s">
        <v>228</v>
      </c>
      <c r="Y412" s="2" t="s">
        <v>270</v>
      </c>
      <c r="Z412" s="4">
        <v>256</v>
      </c>
      <c r="AA412" s="4">
        <f>=ROUNDDOWN(85.3333333333333,0)</f>
      </c>
      <c r="AB412" s="5">
        <v>3</v>
      </c>
      <c r="AC412" s="2" t="s">
        <v>228</v>
      </c>
      <c r="AD412" s="4"/>
      <c r="AE412" s="4"/>
      <c r="AF412" s="6">
        <v>74</v>
      </c>
      <c r="AG412" s="6"/>
      <c r="AH412" s="7">
        <v>1</v>
      </c>
      <c r="AI412" s="4"/>
      <c r="AJ412" s="4">
        <f>=ROUNDDOWN({0},0)</f>
      </c>
      <c r="AK412" s="5"/>
      <c r="AL412" s="2" t="s">
        <v>228</v>
      </c>
      <c r="AM412" s="4"/>
      <c r="AN412" s="4"/>
      <c r="AO412" s="7">
        <v>0.5484</v>
      </c>
      <c r="AP412" s="4"/>
      <c r="AQ412" s="8"/>
      <c r="AR412" s="4"/>
      <c r="AS412" s="8"/>
      <c r="AT412" s="7"/>
      <c r="AU412" s="7"/>
      <c r="AV412" s="4"/>
      <c r="AW412" s="8"/>
      <c r="AX412" s="4"/>
      <c r="AY412" s="8"/>
      <c r="AZ412" s="7"/>
      <c r="BA412" s="7"/>
      <c r="BB412" s="7"/>
      <c r="BC412" s="4" t="s">
        <v>228</v>
      </c>
      <c r="BD412" s="8" t="s">
        <v>228</v>
      </c>
      <c r="BE412" s="4" t="s">
        <v>228</v>
      </c>
      <c r="BF412" s="8" t="s">
        <v>228</v>
      </c>
      <c r="BG412" s="7" t="s">
        <v>228</v>
      </c>
      <c r="BH412" s="7" t="s">
        <v>228</v>
      </c>
      <c r="BI412" s="7"/>
      <c r="BJ412" s="4">
        <v>32</v>
      </c>
      <c r="BK412" s="8">
        <v>5475.3</v>
      </c>
      <c r="BL412" s="2" t="s">
        <v>2740</v>
      </c>
      <c r="BM412" s="7"/>
      <c r="BN412" s="7"/>
      <c r="BO412" s="4"/>
      <c r="BP412" s="8"/>
      <c r="BQ412" s="4"/>
      <c r="BR412" s="8"/>
      <c r="BS412" s="7"/>
      <c r="BT412" s="7"/>
      <c r="BU412" s="2" t="s">
        <v>2741</v>
      </c>
      <c r="BV412" s="2" t="s">
        <v>228</v>
      </c>
      <c r="BW412" s="2" t="s">
        <v>228</v>
      </c>
      <c r="BX412" s="2" t="s">
        <v>273</v>
      </c>
      <c r="BY412" s="2" t="s">
        <v>274</v>
      </c>
      <c r="BZ412" s="2" t="s">
        <v>240</v>
      </c>
      <c r="CA412" s="2" t="s">
        <v>275</v>
      </c>
      <c r="CB412" s="2" t="s">
        <v>2742</v>
      </c>
      <c r="CC412" s="2" t="s">
        <v>241</v>
      </c>
      <c r="CD412" s="2" t="s">
        <v>228</v>
      </c>
      <c r="CE412" s="4"/>
      <c r="CF412" s="4">
        <v>256</v>
      </c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</row>
    <row r="413">
      <c r="A413" s="2" t="s">
        <v>2743</v>
      </c>
      <c r="B413" s="2" t="s">
        <v>848</v>
      </c>
      <c r="C413" s="2" t="s">
        <v>1037</v>
      </c>
      <c r="D413" s="2" t="s">
        <v>1112</v>
      </c>
      <c r="E413" s="2" t="s">
        <v>1165</v>
      </c>
      <c r="F413" s="2" t="s">
        <v>2744</v>
      </c>
      <c r="G413" s="2" t="s">
        <v>2745</v>
      </c>
      <c r="H413" s="2" t="s">
        <v>2746</v>
      </c>
      <c r="I413" s="2" t="s">
        <v>2747</v>
      </c>
      <c r="J413" s="2" t="s">
        <v>1043</v>
      </c>
      <c r="K413" s="2" t="s">
        <v>265</v>
      </c>
      <c r="L413" s="3">
        <v>75.6</v>
      </c>
      <c r="M413" s="3">
        <v>79.38</v>
      </c>
      <c r="N413" s="3">
        <v>159.99</v>
      </c>
      <c r="O413" s="2" t="s">
        <v>240</v>
      </c>
      <c r="P413" s="2" t="s">
        <v>266</v>
      </c>
      <c r="Q413" s="2" t="s">
        <v>234</v>
      </c>
      <c r="R413" s="2" t="s">
        <v>228</v>
      </c>
      <c r="S413" s="2" t="s">
        <v>2748</v>
      </c>
      <c r="T413" s="2" t="s">
        <v>350</v>
      </c>
      <c r="U413" s="2" t="s">
        <v>1331</v>
      </c>
      <c r="V413" s="2" t="s">
        <v>236</v>
      </c>
      <c r="W413" s="2" t="s">
        <v>2512</v>
      </c>
      <c r="X413" s="2" t="s">
        <v>2749</v>
      </c>
      <c r="Y413" s="2" t="s">
        <v>2750</v>
      </c>
      <c r="Z413" s="4">
        <v>189</v>
      </c>
      <c r="AA413" s="4">
        <f>=ROUNDDOWN(37.8,0)</f>
      </c>
      <c r="AB413" s="5">
        <v>5</v>
      </c>
      <c r="AC413" s="2" t="s">
        <v>228</v>
      </c>
      <c r="AD413" s="4"/>
      <c r="AE413" s="4"/>
      <c r="AF413" s="6">
        <v>66</v>
      </c>
      <c r="AG413" s="6">
        <v>49</v>
      </c>
      <c r="AH413" s="7">
        <v>1</v>
      </c>
      <c r="AI413" s="4"/>
      <c r="AJ413" s="4">
        <f>=ROUNDDOWN({0},0)</f>
      </c>
      <c r="AK413" s="5"/>
      <c r="AL413" s="2" t="s">
        <v>228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 t="s">
        <v>228</v>
      </c>
      <c r="BD413" s="8" t="s">
        <v>228</v>
      </c>
      <c r="BE413" s="4" t="s">
        <v>228</v>
      </c>
      <c r="BF413" s="8" t="s">
        <v>228</v>
      </c>
      <c r="BG413" s="7" t="s">
        <v>228</v>
      </c>
      <c r="BH413" s="7" t="s">
        <v>228</v>
      </c>
      <c r="BI413" s="7"/>
      <c r="BJ413" s="4">
        <v>18</v>
      </c>
      <c r="BK413" s="8">
        <v>1599.36</v>
      </c>
      <c r="BL413" s="2" t="s">
        <v>2751</v>
      </c>
      <c r="BM413" s="7"/>
      <c r="BN413" s="7"/>
      <c r="BO413" s="4"/>
      <c r="BP413" s="8"/>
      <c r="BQ413" s="4"/>
      <c r="BR413" s="8"/>
      <c r="BS413" s="7"/>
      <c r="BT413" s="7"/>
      <c r="BU413" s="2" t="s">
        <v>2752</v>
      </c>
      <c r="BV413" s="2" t="s">
        <v>228</v>
      </c>
      <c r="BW413" s="2" t="s">
        <v>228</v>
      </c>
      <c r="BX413" s="2" t="s">
        <v>273</v>
      </c>
      <c r="BY413" s="2" t="s">
        <v>274</v>
      </c>
      <c r="BZ413" s="2" t="s">
        <v>240</v>
      </c>
      <c r="CA413" s="2" t="s">
        <v>2753</v>
      </c>
      <c r="CB413" s="2" t="s">
        <v>2754</v>
      </c>
      <c r="CC413" s="2" t="s">
        <v>241</v>
      </c>
      <c r="CD413" s="2" t="s">
        <v>228</v>
      </c>
      <c r="CE413" s="4">
        <v>101</v>
      </c>
      <c r="CF413" s="4"/>
      <c r="CG413" s="4"/>
      <c r="CH413" s="4">
        <v>88</v>
      </c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</row>
    <row r="414">
      <c r="A414" s="2" t="s">
        <v>2755</v>
      </c>
      <c r="B414" s="2" t="s">
        <v>848</v>
      </c>
      <c r="C414" s="2" t="s">
        <v>1037</v>
      </c>
      <c r="D414" s="2" t="s">
        <v>850</v>
      </c>
      <c r="E414" s="2" t="s">
        <v>851</v>
      </c>
      <c r="F414" s="2" t="s">
        <v>2744</v>
      </c>
      <c r="G414" s="2" t="s">
        <v>2745</v>
      </c>
      <c r="H414" s="2" t="s">
        <v>2746</v>
      </c>
      <c r="I414" s="2" t="s">
        <v>2756</v>
      </c>
      <c r="J414" s="2" t="s">
        <v>856</v>
      </c>
      <c r="K414" s="2" t="s">
        <v>1466</v>
      </c>
      <c r="L414" s="3">
        <v>46.53</v>
      </c>
      <c r="M414" s="3">
        <v>48.86</v>
      </c>
      <c r="N414" s="3">
        <v>89.99</v>
      </c>
      <c r="O414" s="2" t="s">
        <v>240</v>
      </c>
      <c r="P414" s="2" t="s">
        <v>266</v>
      </c>
      <c r="Q414" s="2" t="s">
        <v>234</v>
      </c>
      <c r="R414" s="2" t="s">
        <v>228</v>
      </c>
      <c r="S414" s="2" t="s">
        <v>2757</v>
      </c>
      <c r="T414" s="2" t="s">
        <v>350</v>
      </c>
      <c r="U414" s="2" t="s">
        <v>1170</v>
      </c>
      <c r="V414" s="2" t="s">
        <v>236</v>
      </c>
      <c r="W414" s="2" t="s">
        <v>2512</v>
      </c>
      <c r="X414" s="2" t="s">
        <v>2749</v>
      </c>
      <c r="Y414" s="2" t="s">
        <v>2758</v>
      </c>
      <c r="Z414" s="4">
        <v>331</v>
      </c>
      <c r="AA414" s="4">
        <f>=ROUNDDOWN(165.5,0)</f>
      </c>
      <c r="AB414" s="5">
        <v>2</v>
      </c>
      <c r="AC414" s="2" t="s">
        <v>228</v>
      </c>
      <c r="AD414" s="4"/>
      <c r="AE414" s="4"/>
      <c r="AF414" s="6">
        <v>66</v>
      </c>
      <c r="AG414" s="6"/>
      <c r="AH414" s="7">
        <v>1</v>
      </c>
      <c r="AI414" s="4"/>
      <c r="AJ414" s="4">
        <f>=ROUNDDOWN({0},0)</f>
      </c>
      <c r="AK414" s="5"/>
      <c r="AL414" s="2" t="s">
        <v>228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228</v>
      </c>
      <c r="AW414" s="8" t="s">
        <v>228</v>
      </c>
      <c r="AX414" s="4" t="s">
        <v>228</v>
      </c>
      <c r="AY414" s="8" t="s">
        <v>228</v>
      </c>
      <c r="AZ414" s="7" t="s">
        <v>228</v>
      </c>
      <c r="BA414" s="7" t="s">
        <v>228</v>
      </c>
      <c r="BB414" s="7"/>
      <c r="BC414" s="4" t="s">
        <v>228</v>
      </c>
      <c r="BD414" s="8" t="s">
        <v>228</v>
      </c>
      <c r="BE414" s="4" t="s">
        <v>228</v>
      </c>
      <c r="BF414" s="8" t="s">
        <v>228</v>
      </c>
      <c r="BG414" s="7" t="s">
        <v>228</v>
      </c>
      <c r="BH414" s="7" t="s">
        <v>228</v>
      </c>
      <c r="BI414" s="7"/>
      <c r="BJ414" s="4">
        <v>2</v>
      </c>
      <c r="BK414" s="8">
        <v>94.58</v>
      </c>
      <c r="BL414" s="2" t="s">
        <v>494</v>
      </c>
      <c r="BM414" s="7"/>
      <c r="BN414" s="7"/>
      <c r="BO414" s="4"/>
      <c r="BP414" s="8"/>
      <c r="BQ414" s="4"/>
      <c r="BR414" s="8"/>
      <c r="BS414" s="7"/>
      <c r="BT414" s="7"/>
      <c r="BU414" s="2" t="s">
        <v>2759</v>
      </c>
      <c r="BV414" s="2" t="s">
        <v>228</v>
      </c>
      <c r="BW414" s="2" t="s">
        <v>228</v>
      </c>
      <c r="BX414" s="2" t="s">
        <v>273</v>
      </c>
      <c r="BY414" s="2" t="s">
        <v>274</v>
      </c>
      <c r="BZ414" s="2" t="s">
        <v>240</v>
      </c>
      <c r="CA414" s="2" t="s">
        <v>2760</v>
      </c>
      <c r="CB414" s="2" t="s">
        <v>2761</v>
      </c>
      <c r="CC414" s="2" t="s">
        <v>241</v>
      </c>
      <c r="CD414" s="2" t="s">
        <v>228</v>
      </c>
      <c r="CE414" s="4">
        <v>331</v>
      </c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</row>
    <row r="415">
      <c r="A415" s="2" t="s">
        <v>2762</v>
      </c>
      <c r="B415" s="2" t="s">
        <v>848</v>
      </c>
      <c r="C415" s="2" t="s">
        <v>1037</v>
      </c>
      <c r="D415" s="2" t="s">
        <v>850</v>
      </c>
      <c r="E415" s="2" t="s">
        <v>851</v>
      </c>
      <c r="F415" s="2" t="s">
        <v>2744</v>
      </c>
      <c r="G415" s="2" t="s">
        <v>2745</v>
      </c>
      <c r="H415" s="2" t="s">
        <v>2746</v>
      </c>
      <c r="I415" s="2" t="s">
        <v>2756</v>
      </c>
      <c r="J415" s="2" t="s">
        <v>1043</v>
      </c>
      <c r="K415" s="2" t="s">
        <v>1466</v>
      </c>
      <c r="L415" s="3">
        <v>72</v>
      </c>
      <c r="M415" s="3">
        <v>75.6</v>
      </c>
      <c r="N415" s="3">
        <v>139.99</v>
      </c>
      <c r="O415" s="2" t="s">
        <v>240</v>
      </c>
      <c r="P415" s="2" t="s">
        <v>266</v>
      </c>
      <c r="Q415" s="2" t="s">
        <v>234</v>
      </c>
      <c r="R415" s="2" t="s">
        <v>228</v>
      </c>
      <c r="S415" s="2" t="s">
        <v>2757</v>
      </c>
      <c r="T415" s="2" t="s">
        <v>350</v>
      </c>
      <c r="U415" s="2" t="s">
        <v>1331</v>
      </c>
      <c r="V415" s="2" t="s">
        <v>236</v>
      </c>
      <c r="W415" s="2" t="s">
        <v>2512</v>
      </c>
      <c r="X415" s="2" t="s">
        <v>2749</v>
      </c>
      <c r="Y415" s="2" t="s">
        <v>2758</v>
      </c>
      <c r="Z415" s="4">
        <v>132</v>
      </c>
      <c r="AA415" s="4">
        <f>=ROUNDDOWN(66,0)</f>
      </c>
      <c r="AB415" s="5">
        <v>2</v>
      </c>
      <c r="AC415" s="2" t="s">
        <v>228</v>
      </c>
      <c r="AD415" s="4"/>
      <c r="AE415" s="4"/>
      <c r="AF415" s="6">
        <v>66</v>
      </c>
      <c r="AG415" s="6"/>
      <c r="AH415" s="7">
        <v>1</v>
      </c>
      <c r="AI415" s="4"/>
      <c r="AJ415" s="4">
        <f>=ROUNDDOWN({0},0)</f>
      </c>
      <c r="AK415" s="5"/>
      <c r="AL415" s="2" t="s">
        <v>228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 t="s">
        <v>228</v>
      </c>
      <c r="AW415" s="8" t="s">
        <v>228</v>
      </c>
      <c r="AX415" s="4" t="s">
        <v>228</v>
      </c>
      <c r="AY415" s="8" t="s">
        <v>228</v>
      </c>
      <c r="AZ415" s="7" t="s">
        <v>228</v>
      </c>
      <c r="BA415" s="7" t="s">
        <v>228</v>
      </c>
      <c r="BB415" s="7"/>
      <c r="BC415" s="4" t="s">
        <v>228</v>
      </c>
      <c r="BD415" s="8" t="s">
        <v>228</v>
      </c>
      <c r="BE415" s="4" t="s">
        <v>228</v>
      </c>
      <c r="BF415" s="8" t="s">
        <v>228</v>
      </c>
      <c r="BG415" s="7" t="s">
        <v>228</v>
      </c>
      <c r="BH415" s="7" t="s">
        <v>228</v>
      </c>
      <c r="BI415" s="7"/>
      <c r="BJ415" s="4">
        <v>5</v>
      </c>
      <c r="BK415" s="8">
        <v>411.16</v>
      </c>
      <c r="BL415" s="2" t="s">
        <v>2763</v>
      </c>
      <c r="BM415" s="7"/>
      <c r="BN415" s="7"/>
      <c r="BO415" s="4"/>
      <c r="BP415" s="8"/>
      <c r="BQ415" s="4"/>
      <c r="BR415" s="8"/>
      <c r="BS415" s="7"/>
      <c r="BT415" s="7"/>
      <c r="BU415" s="2" t="s">
        <v>2764</v>
      </c>
      <c r="BV415" s="2" t="s">
        <v>228</v>
      </c>
      <c r="BW415" s="2" t="s">
        <v>228</v>
      </c>
      <c r="BX415" s="2" t="s">
        <v>273</v>
      </c>
      <c r="BY415" s="2" t="s">
        <v>274</v>
      </c>
      <c r="BZ415" s="2" t="s">
        <v>240</v>
      </c>
      <c r="CA415" s="2" t="s">
        <v>2760</v>
      </c>
      <c r="CB415" s="2" t="s">
        <v>2765</v>
      </c>
      <c r="CC415" s="2" t="s">
        <v>241</v>
      </c>
      <c r="CD415" s="2" t="s">
        <v>228</v>
      </c>
      <c r="CE415" s="4">
        <v>132</v>
      </c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</row>
    <row r="416">
      <c r="A416" s="2" t="s">
        <v>2766</v>
      </c>
      <c r="B416" s="2" t="s">
        <v>970</v>
      </c>
      <c r="C416" s="2" t="s">
        <v>1037</v>
      </c>
      <c r="D416" s="2" t="s">
        <v>1862</v>
      </c>
      <c r="E416" s="2" t="s">
        <v>2767</v>
      </c>
      <c r="F416" s="2" t="s">
        <v>2744</v>
      </c>
      <c r="G416" s="2" t="s">
        <v>2745</v>
      </c>
      <c r="H416" s="2" t="s">
        <v>2746</v>
      </c>
      <c r="I416" s="2" t="s">
        <v>2768</v>
      </c>
      <c r="J416" s="2" t="s">
        <v>2769</v>
      </c>
      <c r="K416" s="2" t="s">
        <v>1466</v>
      </c>
      <c r="L416" s="3">
        <v>10.8</v>
      </c>
      <c r="M416" s="3">
        <v>11.34</v>
      </c>
      <c r="N416" s="3">
        <v>26.99</v>
      </c>
      <c r="O416" s="2" t="s">
        <v>491</v>
      </c>
      <c r="P416" s="2" t="s">
        <v>333</v>
      </c>
      <c r="Q416" s="2" t="s">
        <v>234</v>
      </c>
      <c r="R416" s="2" t="s">
        <v>228</v>
      </c>
      <c r="S416" s="2" t="s">
        <v>2757</v>
      </c>
      <c r="T416" s="2" t="s">
        <v>350</v>
      </c>
      <c r="U416" s="2" t="s">
        <v>416</v>
      </c>
      <c r="V416" s="2" t="s">
        <v>236</v>
      </c>
      <c r="W416" s="2" t="s">
        <v>269</v>
      </c>
      <c r="X416" s="2" t="s">
        <v>2512</v>
      </c>
      <c r="Y416" s="2" t="s">
        <v>2770</v>
      </c>
      <c r="Z416" s="4">
        <v>82</v>
      </c>
      <c r="AA416" s="4">
        <f>=ROUNDDOWN(164,0)</f>
      </c>
      <c r="AB416" s="5">
        <v>0.5</v>
      </c>
      <c r="AC416" s="2" t="s">
        <v>228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228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228</v>
      </c>
      <c r="AW416" s="8" t="s">
        <v>228</v>
      </c>
      <c r="AX416" s="4" t="s">
        <v>228</v>
      </c>
      <c r="AY416" s="8" t="s">
        <v>228</v>
      </c>
      <c r="AZ416" s="7" t="s">
        <v>228</v>
      </c>
      <c r="BA416" s="7" t="s">
        <v>228</v>
      </c>
      <c r="BB416" s="7"/>
      <c r="BC416" s="4" t="s">
        <v>228</v>
      </c>
      <c r="BD416" s="8" t="s">
        <v>228</v>
      </c>
      <c r="BE416" s="4" t="s">
        <v>228</v>
      </c>
      <c r="BF416" s="8" t="s">
        <v>228</v>
      </c>
      <c r="BG416" s="7" t="s">
        <v>228</v>
      </c>
      <c r="BH416" s="7" t="s">
        <v>228</v>
      </c>
      <c r="BI416" s="7"/>
      <c r="BJ416" s="4">
        <v>2</v>
      </c>
      <c r="BK416" s="8">
        <v>20.7</v>
      </c>
      <c r="BL416" s="2" t="s">
        <v>2606</v>
      </c>
      <c r="BM416" s="7"/>
      <c r="BN416" s="7"/>
      <c r="BO416" s="4"/>
      <c r="BP416" s="8"/>
      <c r="BQ416" s="4"/>
      <c r="BR416" s="8"/>
      <c r="BS416" s="7"/>
      <c r="BT416" s="7"/>
      <c r="BU416" s="2" t="s">
        <v>2771</v>
      </c>
      <c r="BV416" s="2" t="s">
        <v>228</v>
      </c>
      <c r="BW416" s="2" t="s">
        <v>228</v>
      </c>
      <c r="BX416" s="2" t="s">
        <v>337</v>
      </c>
      <c r="BY416" s="2" t="s">
        <v>274</v>
      </c>
      <c r="BZ416" s="2" t="s">
        <v>240</v>
      </c>
      <c r="CA416" s="2" t="s">
        <v>2772</v>
      </c>
      <c r="CB416" s="2" t="s">
        <v>2773</v>
      </c>
      <c r="CC416" s="2" t="s">
        <v>241</v>
      </c>
      <c r="CD416" s="2" t="s">
        <v>228</v>
      </c>
      <c r="CE416" s="4">
        <v>82</v>
      </c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</row>
    <row r="417">
      <c r="A417" s="2" t="s">
        <v>2774</v>
      </c>
      <c r="B417" s="2" t="s">
        <v>848</v>
      </c>
      <c r="C417" s="2" t="s">
        <v>1037</v>
      </c>
      <c r="D417" s="2" t="s">
        <v>1112</v>
      </c>
      <c r="E417" s="2" t="s">
        <v>1165</v>
      </c>
      <c r="F417" s="2" t="s">
        <v>2744</v>
      </c>
      <c r="G417" s="2" t="s">
        <v>2745</v>
      </c>
      <c r="H417" s="2" t="s">
        <v>2746</v>
      </c>
      <c r="I417" s="2" t="s">
        <v>2747</v>
      </c>
      <c r="J417" s="2" t="s">
        <v>1043</v>
      </c>
      <c r="K417" s="2" t="s">
        <v>251</v>
      </c>
      <c r="L417" s="3">
        <v>75.6</v>
      </c>
      <c r="M417" s="3">
        <v>79.38</v>
      </c>
      <c r="N417" s="3">
        <v>159.99</v>
      </c>
      <c r="O417" s="2" t="s">
        <v>240</v>
      </c>
      <c r="P417" s="2" t="s">
        <v>266</v>
      </c>
      <c r="Q417" s="2" t="s">
        <v>234</v>
      </c>
      <c r="R417" s="2" t="s">
        <v>228</v>
      </c>
      <c r="S417" s="2" t="s">
        <v>2775</v>
      </c>
      <c r="T417" s="2" t="s">
        <v>350</v>
      </c>
      <c r="U417" s="2" t="s">
        <v>1331</v>
      </c>
      <c r="V417" s="2" t="s">
        <v>236</v>
      </c>
      <c r="W417" s="2" t="s">
        <v>2512</v>
      </c>
      <c r="X417" s="2" t="s">
        <v>2749</v>
      </c>
      <c r="Y417" s="2" t="s">
        <v>2758</v>
      </c>
      <c r="Z417" s="4">
        <v>136</v>
      </c>
      <c r="AA417" s="4">
        <f>=ROUNDDOWN(27.2,0)</f>
      </c>
      <c r="AB417" s="5">
        <v>5</v>
      </c>
      <c r="AC417" s="2" t="s">
        <v>159</v>
      </c>
      <c r="AD417" s="4">
        <v>60</v>
      </c>
      <c r="AE417" s="4">
        <v>60</v>
      </c>
      <c r="AF417" s="6">
        <v>66</v>
      </c>
      <c r="AG417" s="6"/>
      <c r="AH417" s="7">
        <v>1</v>
      </c>
      <c r="AI417" s="4"/>
      <c r="AJ417" s="4">
        <f>=ROUNDDOWN({0},0)</f>
      </c>
      <c r="AK417" s="5"/>
      <c r="AL417" s="2" t="s">
        <v>228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 t="s">
        <v>228</v>
      </c>
      <c r="BD417" s="8" t="s">
        <v>228</v>
      </c>
      <c r="BE417" s="4" t="s">
        <v>228</v>
      </c>
      <c r="BF417" s="8" t="s">
        <v>228</v>
      </c>
      <c r="BG417" s="7" t="s">
        <v>228</v>
      </c>
      <c r="BH417" s="7" t="s">
        <v>228</v>
      </c>
      <c r="BI417" s="7"/>
      <c r="BJ417" s="4">
        <v>11</v>
      </c>
      <c r="BK417" s="8">
        <v>976.4</v>
      </c>
      <c r="BL417" s="2" t="s">
        <v>2776</v>
      </c>
      <c r="BM417" s="7"/>
      <c r="BN417" s="7"/>
      <c r="BO417" s="4"/>
      <c r="BP417" s="8"/>
      <c r="BQ417" s="4"/>
      <c r="BR417" s="8"/>
      <c r="BS417" s="7"/>
      <c r="BT417" s="7"/>
      <c r="BU417" s="2" t="s">
        <v>2777</v>
      </c>
      <c r="BV417" s="2" t="s">
        <v>228</v>
      </c>
      <c r="BW417" s="2" t="s">
        <v>228</v>
      </c>
      <c r="BX417" s="2" t="s">
        <v>273</v>
      </c>
      <c r="BY417" s="2" t="s">
        <v>274</v>
      </c>
      <c r="BZ417" s="2" t="s">
        <v>240</v>
      </c>
      <c r="CA417" s="2" t="s">
        <v>2758</v>
      </c>
      <c r="CB417" s="2" t="s">
        <v>2778</v>
      </c>
      <c r="CC417" s="2" t="s">
        <v>241</v>
      </c>
      <c r="CD417" s="2" t="s">
        <v>228</v>
      </c>
      <c r="CE417" s="4">
        <v>136</v>
      </c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>
        <v>60</v>
      </c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</row>
    <row r="418">
      <c r="A418" s="2" t="s">
        <v>2779</v>
      </c>
      <c r="B418" s="2" t="s">
        <v>848</v>
      </c>
      <c r="C418" s="2" t="s">
        <v>1037</v>
      </c>
      <c r="D418" s="2" t="s">
        <v>850</v>
      </c>
      <c r="E418" s="2" t="s">
        <v>851</v>
      </c>
      <c r="F418" s="2" t="s">
        <v>2744</v>
      </c>
      <c r="G418" s="2" t="s">
        <v>2745</v>
      </c>
      <c r="H418" s="2" t="s">
        <v>2746</v>
      </c>
      <c r="I418" s="2" t="s">
        <v>2756</v>
      </c>
      <c r="J418" s="2" t="s">
        <v>1043</v>
      </c>
      <c r="K418" s="2" t="s">
        <v>2780</v>
      </c>
      <c r="L418" s="3">
        <v>72</v>
      </c>
      <c r="M418" s="3">
        <v>75.6</v>
      </c>
      <c r="N418" s="3">
        <v>139.99</v>
      </c>
      <c r="O418" s="2" t="s">
        <v>240</v>
      </c>
      <c r="P418" s="2" t="s">
        <v>889</v>
      </c>
      <c r="Q418" s="2" t="s">
        <v>234</v>
      </c>
      <c r="R418" s="2" t="s">
        <v>228</v>
      </c>
      <c r="S418" s="2" t="s">
        <v>2781</v>
      </c>
      <c r="T418" s="2" t="s">
        <v>350</v>
      </c>
      <c r="U418" s="2" t="s">
        <v>1331</v>
      </c>
      <c r="V418" s="2" t="s">
        <v>236</v>
      </c>
      <c r="W418" s="2" t="s">
        <v>2512</v>
      </c>
      <c r="X418" s="2" t="s">
        <v>2749</v>
      </c>
      <c r="Y418" s="2" t="s">
        <v>2782</v>
      </c>
      <c r="Z418" s="4">
        <v>103</v>
      </c>
      <c r="AA418" s="4">
        <f>=ROUNDDOWN(51.5,0)</f>
      </c>
      <c r="AB418" s="5">
        <v>2</v>
      </c>
      <c r="AC418" s="2" t="s">
        <v>228</v>
      </c>
      <c r="AD418" s="4"/>
      <c r="AE418" s="4"/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228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228</v>
      </c>
      <c r="AW418" s="8" t="s">
        <v>228</v>
      </c>
      <c r="AX418" s="4" t="s">
        <v>228</v>
      </c>
      <c r="AY418" s="8" t="s">
        <v>228</v>
      </c>
      <c r="AZ418" s="7" t="s">
        <v>228</v>
      </c>
      <c r="BA418" s="7" t="s">
        <v>228</v>
      </c>
      <c r="BB418" s="7"/>
      <c r="BC418" s="4" t="s">
        <v>228</v>
      </c>
      <c r="BD418" s="8" t="s">
        <v>228</v>
      </c>
      <c r="BE418" s="4" t="s">
        <v>228</v>
      </c>
      <c r="BF418" s="8" t="s">
        <v>228</v>
      </c>
      <c r="BG418" s="7" t="s">
        <v>228</v>
      </c>
      <c r="BH418" s="7" t="s">
        <v>228</v>
      </c>
      <c r="BI418" s="7"/>
      <c r="BJ418" s="4">
        <v>3</v>
      </c>
      <c r="BK418" s="8">
        <v>242.99</v>
      </c>
      <c r="BL418" s="2" t="s">
        <v>2783</v>
      </c>
      <c r="BM418" s="7"/>
      <c r="BN418" s="7"/>
      <c r="BO418" s="4"/>
      <c r="BP418" s="8"/>
      <c r="BQ418" s="4"/>
      <c r="BR418" s="8"/>
      <c r="BS418" s="7"/>
      <c r="BT418" s="7"/>
      <c r="BU418" s="2" t="s">
        <v>2784</v>
      </c>
      <c r="BV418" s="2" t="s">
        <v>228</v>
      </c>
      <c r="BW418" s="2" t="s">
        <v>228</v>
      </c>
      <c r="BX418" s="2" t="s">
        <v>273</v>
      </c>
      <c r="BY418" s="2" t="s">
        <v>274</v>
      </c>
      <c r="BZ418" s="2" t="s">
        <v>240</v>
      </c>
      <c r="CA418" s="2" t="s">
        <v>2785</v>
      </c>
      <c r="CB418" s="2" t="s">
        <v>2786</v>
      </c>
      <c r="CC418" s="2" t="s">
        <v>241</v>
      </c>
      <c r="CD418" s="2" t="s">
        <v>228</v>
      </c>
      <c r="CE418" s="4">
        <v>103</v>
      </c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</row>
    <row r="419">
      <c r="A419" s="2" t="s">
        <v>2787</v>
      </c>
      <c r="B419" s="2" t="s">
        <v>1374</v>
      </c>
      <c r="C419" s="2" t="s">
        <v>1037</v>
      </c>
      <c r="D419" s="2" t="s">
        <v>1399</v>
      </c>
      <c r="E419" s="2" t="s">
        <v>1400</v>
      </c>
      <c r="F419" s="2" t="s">
        <v>2744</v>
      </c>
      <c r="G419" s="2" t="s">
        <v>2745</v>
      </c>
      <c r="H419" s="2" t="s">
        <v>2746</v>
      </c>
      <c r="I419" s="2" t="s">
        <v>2788</v>
      </c>
      <c r="J419" s="2" t="s">
        <v>2789</v>
      </c>
      <c r="K419" s="2" t="s">
        <v>2780</v>
      </c>
      <c r="L419" s="3">
        <v>19.8</v>
      </c>
      <c r="M419" s="3">
        <v>20.79</v>
      </c>
      <c r="N419" s="3">
        <v>44.99</v>
      </c>
      <c r="O419" s="2" t="s">
        <v>240</v>
      </c>
      <c r="P419" s="2" t="s">
        <v>266</v>
      </c>
      <c r="Q419" s="2" t="s">
        <v>234</v>
      </c>
      <c r="R419" s="2" t="s">
        <v>228</v>
      </c>
      <c r="S419" s="2" t="s">
        <v>2790</v>
      </c>
      <c r="T419" s="2" t="s">
        <v>350</v>
      </c>
      <c r="U419" s="2" t="s">
        <v>416</v>
      </c>
      <c r="V419" s="2" t="s">
        <v>236</v>
      </c>
      <c r="W419" s="2" t="s">
        <v>269</v>
      </c>
      <c r="X419" s="2" t="s">
        <v>2512</v>
      </c>
      <c r="Y419" s="2" t="s">
        <v>2791</v>
      </c>
      <c r="Z419" s="4">
        <v>329</v>
      </c>
      <c r="AA419" s="4">
        <f>=ROUNDDOWN(18.2777777777778,0)</f>
      </c>
      <c r="AB419" s="5">
        <v>18</v>
      </c>
      <c r="AC419" s="2" t="s">
        <v>216</v>
      </c>
      <c r="AD419" s="4">
        <v>300</v>
      </c>
      <c r="AE419" s="4">
        <v>300</v>
      </c>
      <c r="AF419" s="6">
        <v>66</v>
      </c>
      <c r="AG419" s="6"/>
      <c r="AH419" s="7">
        <v>1</v>
      </c>
      <c r="AI419" s="4"/>
      <c r="AJ419" s="4">
        <f>=ROUNDDOWN({0},0)</f>
      </c>
      <c r="AK419" s="5"/>
      <c r="AL419" s="2" t="s">
        <v>228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228</v>
      </c>
      <c r="AW419" s="8" t="s">
        <v>228</v>
      </c>
      <c r="AX419" s="4" t="s">
        <v>228</v>
      </c>
      <c r="AY419" s="8" t="s">
        <v>228</v>
      </c>
      <c r="AZ419" s="7" t="s">
        <v>228</v>
      </c>
      <c r="BA419" s="7" t="s">
        <v>228</v>
      </c>
      <c r="BB419" s="7"/>
      <c r="BC419" s="4" t="s">
        <v>228</v>
      </c>
      <c r="BD419" s="8" t="s">
        <v>228</v>
      </c>
      <c r="BE419" s="4" t="s">
        <v>228</v>
      </c>
      <c r="BF419" s="8" t="s">
        <v>228</v>
      </c>
      <c r="BG419" s="7" t="s">
        <v>228</v>
      </c>
      <c r="BH419" s="7" t="s">
        <v>228</v>
      </c>
      <c r="BI419" s="7"/>
      <c r="BJ419" s="4">
        <v>92</v>
      </c>
      <c r="BK419" s="8">
        <v>2037.79</v>
      </c>
      <c r="BL419" s="2" t="s">
        <v>2792</v>
      </c>
      <c r="BM419" s="7"/>
      <c r="BN419" s="7"/>
      <c r="BO419" s="4"/>
      <c r="BP419" s="8"/>
      <c r="BQ419" s="4"/>
      <c r="BR419" s="8"/>
      <c r="BS419" s="7"/>
      <c r="BT419" s="7"/>
      <c r="BU419" s="2" t="s">
        <v>2793</v>
      </c>
      <c r="BV419" s="2" t="s">
        <v>228</v>
      </c>
      <c r="BW419" s="2" t="s">
        <v>228</v>
      </c>
      <c r="BX419" s="2" t="s">
        <v>273</v>
      </c>
      <c r="BY419" s="2" t="s">
        <v>274</v>
      </c>
      <c r="BZ419" s="2" t="s">
        <v>240</v>
      </c>
      <c r="CA419" s="2" t="s">
        <v>2791</v>
      </c>
      <c r="CB419" s="2" t="s">
        <v>2794</v>
      </c>
      <c r="CC419" s="2" t="s">
        <v>241</v>
      </c>
      <c r="CD419" s="2" t="s">
        <v>228</v>
      </c>
      <c r="CE419" s="4">
        <v>329</v>
      </c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>
        <v>300</v>
      </c>
      <c r="HA419" s="4"/>
      <c r="HB419" s="4"/>
      <c r="HC419" s="4"/>
      <c r="HD419" s="4"/>
      <c r="HE419" s="4"/>
    </row>
    <row r="420">
      <c r="A420" s="2" t="s">
        <v>2795</v>
      </c>
      <c r="B420" s="2" t="s">
        <v>848</v>
      </c>
      <c r="C420" s="2" t="s">
        <v>1037</v>
      </c>
      <c r="D420" s="2" t="s">
        <v>1112</v>
      </c>
      <c r="E420" s="2" t="s">
        <v>1165</v>
      </c>
      <c r="F420" s="2" t="s">
        <v>2744</v>
      </c>
      <c r="G420" s="2" t="s">
        <v>2745</v>
      </c>
      <c r="H420" s="2" t="s">
        <v>2746</v>
      </c>
      <c r="I420" s="2" t="s">
        <v>2747</v>
      </c>
      <c r="J420" s="2" t="s">
        <v>856</v>
      </c>
      <c r="K420" s="2" t="s">
        <v>2796</v>
      </c>
      <c r="L420" s="3">
        <v>52.88</v>
      </c>
      <c r="M420" s="3">
        <v>55.52</v>
      </c>
      <c r="N420" s="3">
        <v>109.99</v>
      </c>
      <c r="O420" s="2" t="s">
        <v>240</v>
      </c>
      <c r="P420" s="2" t="s">
        <v>266</v>
      </c>
      <c r="Q420" s="2" t="s">
        <v>234</v>
      </c>
      <c r="R420" s="2" t="s">
        <v>228</v>
      </c>
      <c r="S420" s="2" t="s">
        <v>2797</v>
      </c>
      <c r="T420" s="2" t="s">
        <v>350</v>
      </c>
      <c r="U420" s="2" t="s">
        <v>1170</v>
      </c>
      <c r="V420" s="2" t="s">
        <v>236</v>
      </c>
      <c r="W420" s="2" t="s">
        <v>2512</v>
      </c>
      <c r="X420" s="2" t="s">
        <v>1268</v>
      </c>
      <c r="Y420" s="2" t="s">
        <v>2798</v>
      </c>
      <c r="Z420" s="4">
        <v>75</v>
      </c>
      <c r="AA420" s="4">
        <f>=ROUNDDOWN(25,0)</f>
      </c>
      <c r="AB420" s="5">
        <v>3</v>
      </c>
      <c r="AC420" s="2" t="s">
        <v>2799</v>
      </c>
      <c r="AD420" s="4">
        <v>120</v>
      </c>
      <c r="AE420" s="4">
        <v>160</v>
      </c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228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228</v>
      </c>
      <c r="AW420" s="8" t="s">
        <v>228</v>
      </c>
      <c r="AX420" s="4" t="s">
        <v>228</v>
      </c>
      <c r="AY420" s="8" t="s">
        <v>228</v>
      </c>
      <c r="AZ420" s="7" t="s">
        <v>228</v>
      </c>
      <c r="BA420" s="7" t="s">
        <v>228</v>
      </c>
      <c r="BB420" s="7" t="s">
        <v>228</v>
      </c>
      <c r="BC420" s="4" t="s">
        <v>228</v>
      </c>
      <c r="BD420" s="8" t="s">
        <v>228</v>
      </c>
      <c r="BE420" s="4" t="s">
        <v>228</v>
      </c>
      <c r="BF420" s="8" t="s">
        <v>228</v>
      </c>
      <c r="BG420" s="7" t="s">
        <v>228</v>
      </c>
      <c r="BH420" s="7" t="s">
        <v>228</v>
      </c>
      <c r="BI420" s="7"/>
      <c r="BJ420" s="4">
        <v>9</v>
      </c>
      <c r="BK420" s="8">
        <v>503.03</v>
      </c>
      <c r="BL420" s="2" t="s">
        <v>2800</v>
      </c>
      <c r="BM420" s="7"/>
      <c r="BN420" s="7"/>
      <c r="BO420" s="4"/>
      <c r="BP420" s="8"/>
      <c r="BQ420" s="4"/>
      <c r="BR420" s="8"/>
      <c r="BS420" s="7"/>
      <c r="BT420" s="7"/>
      <c r="BU420" s="2" t="s">
        <v>2801</v>
      </c>
      <c r="BV420" s="2" t="s">
        <v>228</v>
      </c>
      <c r="BW420" s="2" t="s">
        <v>228</v>
      </c>
      <c r="BX420" s="2" t="s">
        <v>273</v>
      </c>
      <c r="BY420" s="2" t="s">
        <v>274</v>
      </c>
      <c r="BZ420" s="2" t="s">
        <v>240</v>
      </c>
      <c r="CA420" s="2" t="s">
        <v>2802</v>
      </c>
      <c r="CB420" s="2" t="s">
        <v>228</v>
      </c>
      <c r="CC420" s="2" t="s">
        <v>241</v>
      </c>
      <c r="CD420" s="2" t="s">
        <v>228</v>
      </c>
      <c r="CE420" s="4">
        <v>75</v>
      </c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>
        <v>120</v>
      </c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>
        <v>40</v>
      </c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</row>
    <row r="421">
      <c r="A421" s="2" t="s">
        <v>2803</v>
      </c>
      <c r="B421" s="2" t="s">
        <v>848</v>
      </c>
      <c r="C421" s="2" t="s">
        <v>1037</v>
      </c>
      <c r="D421" s="2" t="s">
        <v>850</v>
      </c>
      <c r="E421" s="2" t="s">
        <v>851</v>
      </c>
      <c r="F421" s="2" t="s">
        <v>2744</v>
      </c>
      <c r="G421" s="2" t="s">
        <v>2745</v>
      </c>
      <c r="H421" s="2" t="s">
        <v>2746</v>
      </c>
      <c r="I421" s="2" t="s">
        <v>2756</v>
      </c>
      <c r="J421" s="2" t="s">
        <v>856</v>
      </c>
      <c r="K421" s="2" t="s">
        <v>2796</v>
      </c>
      <c r="L421" s="3">
        <v>46.53</v>
      </c>
      <c r="M421" s="3">
        <v>48.86</v>
      </c>
      <c r="N421" s="3">
        <v>89.99</v>
      </c>
      <c r="O421" s="2" t="s">
        <v>240</v>
      </c>
      <c r="P421" s="2" t="s">
        <v>266</v>
      </c>
      <c r="Q421" s="2" t="s">
        <v>234</v>
      </c>
      <c r="R421" s="2" t="s">
        <v>228</v>
      </c>
      <c r="S421" s="2" t="s">
        <v>2797</v>
      </c>
      <c r="T421" s="2" t="s">
        <v>350</v>
      </c>
      <c r="U421" s="2" t="s">
        <v>1170</v>
      </c>
      <c r="V421" s="2" t="s">
        <v>236</v>
      </c>
      <c r="W421" s="2" t="s">
        <v>2512</v>
      </c>
      <c r="X421" s="2" t="s">
        <v>1268</v>
      </c>
      <c r="Y421" s="2" t="s">
        <v>2798</v>
      </c>
      <c r="Z421" s="4">
        <v>38</v>
      </c>
      <c r="AA421" s="4">
        <f>=ROUNDDOWN(38,0)</f>
      </c>
      <c r="AB421" s="5">
        <v>1</v>
      </c>
      <c r="AC421" s="2" t="s">
        <v>2799</v>
      </c>
      <c r="AD421" s="4">
        <v>40</v>
      </c>
      <c r="AE421" s="4">
        <v>80</v>
      </c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228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228</v>
      </c>
      <c r="AW421" s="8" t="s">
        <v>228</v>
      </c>
      <c r="AX421" s="4" t="s">
        <v>228</v>
      </c>
      <c r="AY421" s="8" t="s">
        <v>228</v>
      </c>
      <c r="AZ421" s="7" t="s">
        <v>228</v>
      </c>
      <c r="BA421" s="7" t="s">
        <v>228</v>
      </c>
      <c r="BB421" s="7" t="s">
        <v>228</v>
      </c>
      <c r="BC421" s="4" t="s">
        <v>228</v>
      </c>
      <c r="BD421" s="8" t="s">
        <v>228</v>
      </c>
      <c r="BE421" s="4" t="s">
        <v>228</v>
      </c>
      <c r="BF421" s="8" t="s">
        <v>228</v>
      </c>
      <c r="BG421" s="7" t="s">
        <v>228</v>
      </c>
      <c r="BH421" s="7" t="s">
        <v>228</v>
      </c>
      <c r="BI421" s="7"/>
      <c r="BJ421" s="4">
        <v>6</v>
      </c>
      <c r="BK421" s="8">
        <v>277.73</v>
      </c>
      <c r="BL421" s="2" t="s">
        <v>2804</v>
      </c>
      <c r="BM421" s="7"/>
      <c r="BN421" s="7"/>
      <c r="BO421" s="4"/>
      <c r="BP421" s="8"/>
      <c r="BQ421" s="4"/>
      <c r="BR421" s="8"/>
      <c r="BS421" s="7"/>
      <c r="BT421" s="7"/>
      <c r="BU421" s="2" t="s">
        <v>2805</v>
      </c>
      <c r="BV421" s="2" t="s">
        <v>228</v>
      </c>
      <c r="BW421" s="2" t="s">
        <v>228</v>
      </c>
      <c r="BX421" s="2" t="s">
        <v>273</v>
      </c>
      <c r="BY421" s="2" t="s">
        <v>274</v>
      </c>
      <c r="BZ421" s="2" t="s">
        <v>240</v>
      </c>
      <c r="CA421" s="2" t="s">
        <v>2806</v>
      </c>
      <c r="CB421" s="2" t="s">
        <v>2807</v>
      </c>
      <c r="CC421" s="2" t="s">
        <v>241</v>
      </c>
      <c r="CD421" s="2" t="s">
        <v>228</v>
      </c>
      <c r="CE421" s="4">
        <v>38</v>
      </c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>
        <v>40</v>
      </c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>
        <v>40</v>
      </c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</row>
    <row r="422">
      <c r="A422" s="2" t="s">
        <v>2808</v>
      </c>
      <c r="B422" s="2" t="s">
        <v>848</v>
      </c>
      <c r="C422" s="2" t="s">
        <v>1037</v>
      </c>
      <c r="D422" s="2" t="s">
        <v>1112</v>
      </c>
      <c r="E422" s="2" t="s">
        <v>1165</v>
      </c>
      <c r="F422" s="2" t="s">
        <v>2744</v>
      </c>
      <c r="G422" s="2" t="s">
        <v>2745</v>
      </c>
      <c r="H422" s="2" t="s">
        <v>2746</v>
      </c>
      <c r="I422" s="2" t="s">
        <v>2747</v>
      </c>
      <c r="J422" s="2" t="s">
        <v>1189</v>
      </c>
      <c r="K422" s="2" t="s">
        <v>2796</v>
      </c>
      <c r="L422" s="3">
        <v>66.96</v>
      </c>
      <c r="M422" s="3">
        <v>70.31</v>
      </c>
      <c r="N422" s="3">
        <v>139.99</v>
      </c>
      <c r="O422" s="2" t="s">
        <v>240</v>
      </c>
      <c r="P422" s="2" t="s">
        <v>266</v>
      </c>
      <c r="Q422" s="2" t="s">
        <v>234</v>
      </c>
      <c r="R422" s="2" t="s">
        <v>228</v>
      </c>
      <c r="S422" s="2" t="s">
        <v>2797</v>
      </c>
      <c r="T422" s="2" t="s">
        <v>350</v>
      </c>
      <c r="U422" s="2" t="s">
        <v>1331</v>
      </c>
      <c r="V422" s="2" t="s">
        <v>236</v>
      </c>
      <c r="W422" s="2" t="s">
        <v>2512</v>
      </c>
      <c r="X422" s="2" t="s">
        <v>1268</v>
      </c>
      <c r="Y422" s="2" t="s">
        <v>2798</v>
      </c>
      <c r="Z422" s="4">
        <v>161</v>
      </c>
      <c r="AA422" s="4">
        <f>=ROUNDDOWN(26.8333333333333,0)</f>
      </c>
      <c r="AB422" s="5">
        <v>6</v>
      </c>
      <c r="AC422" s="2" t="s">
        <v>2799</v>
      </c>
      <c r="AD422" s="4">
        <v>180</v>
      </c>
      <c r="AE422" s="4">
        <v>280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228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228</v>
      </c>
      <c r="AW422" s="8" t="s">
        <v>228</v>
      </c>
      <c r="AX422" s="4" t="s">
        <v>228</v>
      </c>
      <c r="AY422" s="8" t="s">
        <v>228</v>
      </c>
      <c r="AZ422" s="7" t="s">
        <v>228</v>
      </c>
      <c r="BA422" s="7" t="s">
        <v>228</v>
      </c>
      <c r="BB422" s="7"/>
      <c r="BC422" s="4" t="s">
        <v>228</v>
      </c>
      <c r="BD422" s="8" t="s">
        <v>228</v>
      </c>
      <c r="BE422" s="4" t="s">
        <v>228</v>
      </c>
      <c r="BF422" s="8" t="s">
        <v>228</v>
      </c>
      <c r="BG422" s="7" t="s">
        <v>228</v>
      </c>
      <c r="BH422" s="7" t="s">
        <v>228</v>
      </c>
      <c r="BI422" s="7"/>
      <c r="BJ422" s="4">
        <v>13</v>
      </c>
      <c r="BK422" s="8">
        <v>1008.39</v>
      </c>
      <c r="BL422" s="2" t="s">
        <v>2809</v>
      </c>
      <c r="BM422" s="7"/>
      <c r="BN422" s="7"/>
      <c r="BO422" s="4"/>
      <c r="BP422" s="8"/>
      <c r="BQ422" s="4"/>
      <c r="BR422" s="8"/>
      <c r="BS422" s="7"/>
      <c r="BT422" s="7"/>
      <c r="BU422" s="2" t="s">
        <v>2810</v>
      </c>
      <c r="BV422" s="2" t="s">
        <v>228</v>
      </c>
      <c r="BW422" s="2" t="s">
        <v>228</v>
      </c>
      <c r="BX422" s="2" t="s">
        <v>273</v>
      </c>
      <c r="BY422" s="2" t="s">
        <v>274</v>
      </c>
      <c r="BZ422" s="2" t="s">
        <v>240</v>
      </c>
      <c r="CA422" s="2" t="s">
        <v>2811</v>
      </c>
      <c r="CB422" s="2" t="s">
        <v>2812</v>
      </c>
      <c r="CC422" s="2" t="s">
        <v>241</v>
      </c>
      <c r="CD422" s="2" t="s">
        <v>228</v>
      </c>
      <c r="CE422" s="4">
        <v>161</v>
      </c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>
        <v>180</v>
      </c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>
        <v>100</v>
      </c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</row>
    <row r="423">
      <c r="A423" s="2" t="s">
        <v>2813</v>
      </c>
      <c r="B423" s="2" t="s">
        <v>848</v>
      </c>
      <c r="C423" s="2" t="s">
        <v>1037</v>
      </c>
      <c r="D423" s="2" t="s">
        <v>1112</v>
      </c>
      <c r="E423" s="2" t="s">
        <v>1165</v>
      </c>
      <c r="F423" s="2" t="s">
        <v>2744</v>
      </c>
      <c r="G423" s="2" t="s">
        <v>2745</v>
      </c>
      <c r="H423" s="2" t="s">
        <v>2746</v>
      </c>
      <c r="I423" s="2" t="s">
        <v>2747</v>
      </c>
      <c r="J423" s="2" t="s">
        <v>1043</v>
      </c>
      <c r="K423" s="2" t="s">
        <v>2796</v>
      </c>
      <c r="L423" s="3">
        <v>75.6</v>
      </c>
      <c r="M423" s="3">
        <v>79.38</v>
      </c>
      <c r="N423" s="3">
        <v>159.99</v>
      </c>
      <c r="O423" s="2" t="s">
        <v>240</v>
      </c>
      <c r="P423" s="2" t="s">
        <v>266</v>
      </c>
      <c r="Q423" s="2" t="s">
        <v>234</v>
      </c>
      <c r="R423" s="2" t="s">
        <v>228</v>
      </c>
      <c r="S423" s="2" t="s">
        <v>2797</v>
      </c>
      <c r="T423" s="2" t="s">
        <v>350</v>
      </c>
      <c r="U423" s="2" t="s">
        <v>1331</v>
      </c>
      <c r="V423" s="2" t="s">
        <v>236</v>
      </c>
      <c r="W423" s="2" t="s">
        <v>2512</v>
      </c>
      <c r="X423" s="2" t="s">
        <v>1268</v>
      </c>
      <c r="Y423" s="2" t="s">
        <v>2798</v>
      </c>
      <c r="Z423" s="4">
        <v>106</v>
      </c>
      <c r="AA423" s="4">
        <f>=ROUNDDOWN(26.5,0)</f>
      </c>
      <c r="AB423" s="5">
        <v>4</v>
      </c>
      <c r="AC423" s="2" t="s">
        <v>2799</v>
      </c>
      <c r="AD423" s="4">
        <v>50</v>
      </c>
      <c r="AE423" s="4">
        <v>90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228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228</v>
      </c>
      <c r="AW423" s="8" t="s">
        <v>228</v>
      </c>
      <c r="AX423" s="4" t="s">
        <v>228</v>
      </c>
      <c r="AY423" s="8" t="s">
        <v>228</v>
      </c>
      <c r="AZ423" s="7" t="s">
        <v>228</v>
      </c>
      <c r="BA423" s="7" t="s">
        <v>228</v>
      </c>
      <c r="BB423" s="7" t="s">
        <v>228</v>
      </c>
      <c r="BC423" s="4" t="s">
        <v>228</v>
      </c>
      <c r="BD423" s="8" t="s">
        <v>228</v>
      </c>
      <c r="BE423" s="4" t="s">
        <v>228</v>
      </c>
      <c r="BF423" s="8" t="s">
        <v>228</v>
      </c>
      <c r="BG423" s="7" t="s">
        <v>228</v>
      </c>
      <c r="BH423" s="7" t="s">
        <v>228</v>
      </c>
      <c r="BI423" s="7"/>
      <c r="BJ423" s="4">
        <v>11</v>
      </c>
      <c r="BK423" s="8">
        <v>952.67</v>
      </c>
      <c r="BL423" s="2" t="s">
        <v>1482</v>
      </c>
      <c r="BM423" s="7"/>
      <c r="BN423" s="7"/>
      <c r="BO423" s="4"/>
      <c r="BP423" s="8"/>
      <c r="BQ423" s="4"/>
      <c r="BR423" s="8"/>
      <c r="BS423" s="7"/>
      <c r="BT423" s="7"/>
      <c r="BU423" s="2" t="s">
        <v>2814</v>
      </c>
      <c r="BV423" s="2" t="s">
        <v>228</v>
      </c>
      <c r="BW423" s="2" t="s">
        <v>228</v>
      </c>
      <c r="BX423" s="2" t="s">
        <v>273</v>
      </c>
      <c r="BY423" s="2" t="s">
        <v>274</v>
      </c>
      <c r="BZ423" s="2" t="s">
        <v>240</v>
      </c>
      <c r="CA423" s="2" t="s">
        <v>2802</v>
      </c>
      <c r="CB423" s="2" t="s">
        <v>2815</v>
      </c>
      <c r="CC423" s="2" t="s">
        <v>241</v>
      </c>
      <c r="CD423" s="2" t="s">
        <v>228</v>
      </c>
      <c r="CE423" s="4">
        <v>106</v>
      </c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>
        <v>50</v>
      </c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>
        <v>40</v>
      </c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</row>
    <row r="424">
      <c r="A424" s="2" t="s">
        <v>2816</v>
      </c>
      <c r="B424" s="2" t="s">
        <v>848</v>
      </c>
      <c r="C424" s="2" t="s">
        <v>1037</v>
      </c>
      <c r="D424" s="2" t="s">
        <v>850</v>
      </c>
      <c r="E424" s="2" t="s">
        <v>851</v>
      </c>
      <c r="F424" s="2" t="s">
        <v>2744</v>
      </c>
      <c r="G424" s="2" t="s">
        <v>2745</v>
      </c>
      <c r="H424" s="2" t="s">
        <v>2746</v>
      </c>
      <c r="I424" s="2" t="s">
        <v>2756</v>
      </c>
      <c r="J424" s="2" t="s">
        <v>1043</v>
      </c>
      <c r="K424" s="2" t="s">
        <v>2796</v>
      </c>
      <c r="L424" s="3">
        <v>72</v>
      </c>
      <c r="M424" s="3">
        <v>75.6</v>
      </c>
      <c r="N424" s="3">
        <v>139.99</v>
      </c>
      <c r="O424" s="2" t="s">
        <v>240</v>
      </c>
      <c r="P424" s="2" t="s">
        <v>266</v>
      </c>
      <c r="Q424" s="2" t="s">
        <v>234</v>
      </c>
      <c r="R424" s="2" t="s">
        <v>228</v>
      </c>
      <c r="S424" s="2" t="s">
        <v>2797</v>
      </c>
      <c r="T424" s="2" t="s">
        <v>350</v>
      </c>
      <c r="U424" s="2" t="s">
        <v>1331</v>
      </c>
      <c r="V424" s="2" t="s">
        <v>236</v>
      </c>
      <c r="W424" s="2" t="s">
        <v>2512</v>
      </c>
      <c r="X424" s="2" t="s">
        <v>1268</v>
      </c>
      <c r="Y424" s="2" t="s">
        <v>2798</v>
      </c>
      <c r="Z424" s="4">
        <v>38</v>
      </c>
      <c r="AA424" s="4">
        <f>=ROUNDDOWN(19,0)</f>
      </c>
      <c r="AB424" s="5">
        <v>2</v>
      </c>
      <c r="AC424" s="2" t="s">
        <v>2799</v>
      </c>
      <c r="AD424" s="4">
        <v>30</v>
      </c>
      <c r="AE424" s="4">
        <v>50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228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228</v>
      </c>
      <c r="AW424" s="8" t="s">
        <v>228</v>
      </c>
      <c r="AX424" s="4" t="s">
        <v>228</v>
      </c>
      <c r="AY424" s="8" t="s">
        <v>228</v>
      </c>
      <c r="AZ424" s="7" t="s">
        <v>228</v>
      </c>
      <c r="BA424" s="7" t="s">
        <v>228</v>
      </c>
      <c r="BB424" s="7" t="s">
        <v>228</v>
      </c>
      <c r="BC424" s="4" t="s">
        <v>228</v>
      </c>
      <c r="BD424" s="8" t="s">
        <v>228</v>
      </c>
      <c r="BE424" s="4" t="s">
        <v>228</v>
      </c>
      <c r="BF424" s="8" t="s">
        <v>228</v>
      </c>
      <c r="BG424" s="7" t="s">
        <v>228</v>
      </c>
      <c r="BH424" s="7" t="s">
        <v>228</v>
      </c>
      <c r="BI424" s="7"/>
      <c r="BJ424" s="4">
        <v>6</v>
      </c>
      <c r="BK424" s="8">
        <v>443.69</v>
      </c>
      <c r="BL424" s="2" t="s">
        <v>366</v>
      </c>
      <c r="BM424" s="7"/>
      <c r="BN424" s="7"/>
      <c r="BO424" s="4"/>
      <c r="BP424" s="8"/>
      <c r="BQ424" s="4"/>
      <c r="BR424" s="8"/>
      <c r="BS424" s="7"/>
      <c r="BT424" s="7"/>
      <c r="BU424" s="2" t="s">
        <v>2817</v>
      </c>
      <c r="BV424" s="2" t="s">
        <v>228</v>
      </c>
      <c r="BW424" s="2" t="s">
        <v>228</v>
      </c>
      <c r="BX424" s="2" t="s">
        <v>273</v>
      </c>
      <c r="BY424" s="2" t="s">
        <v>274</v>
      </c>
      <c r="BZ424" s="2" t="s">
        <v>240</v>
      </c>
      <c r="CA424" s="2" t="s">
        <v>2806</v>
      </c>
      <c r="CB424" s="2" t="s">
        <v>228</v>
      </c>
      <c r="CC424" s="2" t="s">
        <v>241</v>
      </c>
      <c r="CD424" s="2" t="s">
        <v>228</v>
      </c>
      <c r="CE424" s="4">
        <v>38</v>
      </c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>
        <v>30</v>
      </c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>
        <v>20</v>
      </c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</row>
    <row r="425">
      <c r="A425" s="2" t="s">
        <v>2818</v>
      </c>
      <c r="B425" s="2" t="s">
        <v>1150</v>
      </c>
      <c r="C425" s="2" t="s">
        <v>2819</v>
      </c>
      <c r="D425" s="2" t="s">
        <v>1112</v>
      </c>
      <c r="E425" s="2" t="s">
        <v>1165</v>
      </c>
      <c r="F425" s="2" t="s">
        <v>2820</v>
      </c>
      <c r="G425" s="2" t="s">
        <v>2820</v>
      </c>
      <c r="H425" s="2" t="s">
        <v>2820</v>
      </c>
      <c r="I425" s="2" t="s">
        <v>2821</v>
      </c>
      <c r="J425" s="2" t="s">
        <v>1043</v>
      </c>
      <c r="K425" s="2" t="s">
        <v>2822</v>
      </c>
      <c r="L425" s="3">
        <v>115.2</v>
      </c>
      <c r="M425" s="3">
        <v>120.96</v>
      </c>
      <c r="N425" s="3">
        <v>239.99</v>
      </c>
      <c r="O425" s="2" t="s">
        <v>461</v>
      </c>
      <c r="P425" s="2" t="s">
        <v>333</v>
      </c>
      <c r="Q425" s="2" t="s">
        <v>234</v>
      </c>
      <c r="R425" s="2" t="s">
        <v>228</v>
      </c>
      <c r="S425" s="2" t="s">
        <v>2823</v>
      </c>
      <c r="T425" s="2" t="s">
        <v>350</v>
      </c>
      <c r="U425" s="2" t="s">
        <v>1170</v>
      </c>
      <c r="V425" s="2" t="s">
        <v>374</v>
      </c>
      <c r="W425" s="2" t="s">
        <v>351</v>
      </c>
      <c r="X425" s="2" t="s">
        <v>1268</v>
      </c>
      <c r="Y425" s="2" t="s">
        <v>2824</v>
      </c>
      <c r="Z425" s="4">
        <v>125</v>
      </c>
      <c r="AA425" s="4">
        <f>=ROUNDDOWN(416.666666666667,0)</f>
      </c>
      <c r="AB425" s="5">
        <v>0.3</v>
      </c>
      <c r="AC425" s="2" t="s">
        <v>228</v>
      </c>
      <c r="AD425" s="4"/>
      <c r="AE425" s="4"/>
      <c r="AF425" s="6">
        <v>65</v>
      </c>
      <c r="AG425" s="6"/>
      <c r="AH425" s="7">
        <v>0.9355</v>
      </c>
      <c r="AI425" s="4"/>
      <c r="AJ425" s="4">
        <f>=ROUNDDOWN({0},0)</f>
      </c>
      <c r="AK425" s="5"/>
      <c r="AL425" s="2" t="s">
        <v>228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>
        <v>2</v>
      </c>
      <c r="BK425" s="8">
        <v>360.47</v>
      </c>
      <c r="BL425" s="2" t="s">
        <v>2825</v>
      </c>
      <c r="BM425" s="7"/>
      <c r="BN425" s="7"/>
      <c r="BO425" s="4"/>
      <c r="BP425" s="8"/>
      <c r="BQ425" s="4"/>
      <c r="BR425" s="8"/>
      <c r="BS425" s="7"/>
      <c r="BT425" s="7"/>
      <c r="BU425" s="2" t="s">
        <v>2826</v>
      </c>
      <c r="BV425" s="2" t="s">
        <v>228</v>
      </c>
      <c r="BW425" s="2" t="s">
        <v>228</v>
      </c>
      <c r="BX425" s="2" t="s">
        <v>337</v>
      </c>
      <c r="BY425" s="2" t="s">
        <v>274</v>
      </c>
      <c r="BZ425" s="2" t="s">
        <v>240</v>
      </c>
      <c r="CA425" s="2" t="s">
        <v>2827</v>
      </c>
      <c r="CB425" s="2" t="s">
        <v>2828</v>
      </c>
      <c r="CC425" s="2" t="s">
        <v>241</v>
      </c>
      <c r="CD425" s="2" t="s">
        <v>228</v>
      </c>
      <c r="CE425" s="4">
        <v>125</v>
      </c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</row>
    <row r="426">
      <c r="A426" s="2" t="s">
        <v>2829</v>
      </c>
      <c r="B426" s="2" t="s">
        <v>1150</v>
      </c>
      <c r="C426" s="2" t="s">
        <v>1261</v>
      </c>
      <c r="D426" s="2" t="s">
        <v>1316</v>
      </c>
      <c r="E426" s="2" t="s">
        <v>2830</v>
      </c>
      <c r="F426" s="2" t="s">
        <v>2831</v>
      </c>
      <c r="G426" s="2" t="s">
        <v>2831</v>
      </c>
      <c r="H426" s="2" t="s">
        <v>228</v>
      </c>
      <c r="I426" s="2" t="s">
        <v>2832</v>
      </c>
      <c r="J426" s="2" t="s">
        <v>1189</v>
      </c>
      <c r="K426" s="2" t="s">
        <v>231</v>
      </c>
      <c r="L426" s="3">
        <v>49.99</v>
      </c>
      <c r="M426" s="3">
        <v>52.49</v>
      </c>
      <c r="N426" s="3">
        <v>99.99</v>
      </c>
      <c r="O426" s="2" t="s">
        <v>461</v>
      </c>
      <c r="P426" s="2" t="s">
        <v>333</v>
      </c>
      <c r="Q426" s="2" t="s">
        <v>234</v>
      </c>
      <c r="R426" s="2" t="s">
        <v>228</v>
      </c>
      <c r="S426" s="2" t="s">
        <v>2833</v>
      </c>
      <c r="T426" s="2" t="s">
        <v>228</v>
      </c>
      <c r="U426" s="2" t="s">
        <v>228</v>
      </c>
      <c r="V426" s="2" t="s">
        <v>980</v>
      </c>
      <c r="W426" s="2" t="s">
        <v>1267</v>
      </c>
      <c r="X426" s="2" t="s">
        <v>2834</v>
      </c>
      <c r="Y426" s="2" t="s">
        <v>2835</v>
      </c>
      <c r="Z426" s="4">
        <v>30</v>
      </c>
      <c r="AA426" s="4">
        <f>=ROUNDDOWN(6.12244897959184,0)</f>
      </c>
      <c r="AB426" s="5">
        <v>4.9</v>
      </c>
      <c r="AC426" s="2" t="s">
        <v>228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228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/>
      <c r="BD426" s="8"/>
      <c r="BE426" s="4"/>
      <c r="BF426" s="8"/>
      <c r="BG426" s="7"/>
      <c r="BH426" s="7"/>
      <c r="BI426" s="7"/>
      <c r="BJ426" s="4">
        <v>25</v>
      </c>
      <c r="BK426" s="8">
        <v>1039.44</v>
      </c>
      <c r="BL426" s="2" t="s">
        <v>2836</v>
      </c>
      <c r="BM426" s="7"/>
      <c r="BN426" s="7"/>
      <c r="BO426" s="4"/>
      <c r="BP426" s="8"/>
      <c r="BQ426" s="4"/>
      <c r="BR426" s="8"/>
      <c r="BS426" s="7"/>
      <c r="BT426" s="7"/>
      <c r="BU426" s="2" t="s">
        <v>2837</v>
      </c>
      <c r="BV426" s="2" t="s">
        <v>228</v>
      </c>
      <c r="BW426" s="2" t="s">
        <v>228</v>
      </c>
      <c r="BX426" s="2" t="s">
        <v>337</v>
      </c>
      <c r="BY426" s="2" t="s">
        <v>274</v>
      </c>
      <c r="BZ426" s="2" t="s">
        <v>240</v>
      </c>
      <c r="CA426" s="2" t="s">
        <v>2838</v>
      </c>
      <c r="CB426" s="2" t="s">
        <v>2839</v>
      </c>
      <c r="CC426" s="2" t="s">
        <v>241</v>
      </c>
      <c r="CD426" s="2" t="s">
        <v>228</v>
      </c>
      <c r="CE426" s="4">
        <v>30</v>
      </c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</row>
    <row r="427">
      <c r="A427" s="2" t="s">
        <v>2840</v>
      </c>
      <c r="B427" s="2" t="s">
        <v>2841</v>
      </c>
      <c r="C427" s="2" t="s">
        <v>1197</v>
      </c>
      <c r="D427" s="2" t="s">
        <v>2842</v>
      </c>
      <c r="E427" s="2" t="s">
        <v>2843</v>
      </c>
      <c r="F427" s="2" t="s">
        <v>2844</v>
      </c>
      <c r="G427" s="2" t="s">
        <v>2844</v>
      </c>
      <c r="H427" s="2" t="s">
        <v>2844</v>
      </c>
      <c r="I427" s="2" t="s">
        <v>2845</v>
      </c>
      <c r="J427" s="2" t="s">
        <v>238</v>
      </c>
      <c r="K427" s="2" t="s">
        <v>2845</v>
      </c>
      <c r="L427" s="3">
        <v>7.42</v>
      </c>
      <c r="M427" s="3">
        <v>7.79</v>
      </c>
      <c r="N427" s="3">
        <v>15.99</v>
      </c>
      <c r="O427" s="2" t="s">
        <v>240</v>
      </c>
      <c r="P427" s="2" t="s">
        <v>266</v>
      </c>
      <c r="Q427" s="2" t="s">
        <v>234</v>
      </c>
      <c r="R427" s="2" t="s">
        <v>228</v>
      </c>
      <c r="S427" s="2" t="s">
        <v>228</v>
      </c>
      <c r="T427" s="2" t="s">
        <v>228</v>
      </c>
      <c r="U427" s="2" t="s">
        <v>416</v>
      </c>
      <c r="V427" s="2" t="s">
        <v>842</v>
      </c>
      <c r="W427" s="2" t="s">
        <v>269</v>
      </c>
      <c r="X427" s="2" t="s">
        <v>228</v>
      </c>
      <c r="Y427" s="2" t="s">
        <v>378</v>
      </c>
      <c r="Z427" s="4">
        <v>613</v>
      </c>
      <c r="AA427" s="4">
        <f>=ROUNDDOWN(24.52,0)</f>
      </c>
      <c r="AB427" s="5">
        <v>25</v>
      </c>
      <c r="AC427" s="2" t="s">
        <v>197</v>
      </c>
      <c r="AD427" s="4">
        <v>1200</v>
      </c>
      <c r="AE427" s="4">
        <v>1200</v>
      </c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228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 t="s">
        <v>228</v>
      </c>
      <c r="BD427" s="8" t="s">
        <v>228</v>
      </c>
      <c r="BE427" s="4" t="s">
        <v>228</v>
      </c>
      <c r="BF427" s="8" t="s">
        <v>228</v>
      </c>
      <c r="BG427" s="7" t="s">
        <v>228</v>
      </c>
      <c r="BH427" s="7" t="s">
        <v>228</v>
      </c>
      <c r="BI427" s="7"/>
      <c r="BJ427" s="4">
        <v>24</v>
      </c>
      <c r="BK427" s="8">
        <v>264.96</v>
      </c>
      <c r="BL427" s="2" t="s">
        <v>727</v>
      </c>
      <c r="BM427" s="7"/>
      <c r="BN427" s="7"/>
      <c r="BO427" s="4"/>
      <c r="BP427" s="8"/>
      <c r="BQ427" s="4"/>
      <c r="BR427" s="8"/>
      <c r="BS427" s="7"/>
      <c r="BT427" s="7"/>
      <c r="BU427" s="2" t="s">
        <v>2846</v>
      </c>
      <c r="BV427" s="2" t="s">
        <v>228</v>
      </c>
      <c r="BW427" s="2" t="s">
        <v>228</v>
      </c>
      <c r="BX427" s="2" t="s">
        <v>273</v>
      </c>
      <c r="BY427" s="2" t="s">
        <v>274</v>
      </c>
      <c r="BZ427" s="2" t="s">
        <v>240</v>
      </c>
      <c r="CA427" s="2" t="s">
        <v>228</v>
      </c>
      <c r="CB427" s="2" t="s">
        <v>228</v>
      </c>
      <c r="CC427" s="2" t="s">
        <v>241</v>
      </c>
      <c r="CD427" s="2" t="s">
        <v>228</v>
      </c>
      <c r="CE427" s="4">
        <v>613</v>
      </c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>
        <v>1200</v>
      </c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</row>
    <row r="428">
      <c r="A428" s="2" t="s">
        <v>2847</v>
      </c>
      <c r="B428" s="2" t="s">
        <v>2841</v>
      </c>
      <c r="C428" s="2" t="s">
        <v>1197</v>
      </c>
      <c r="D428" s="2" t="s">
        <v>2842</v>
      </c>
      <c r="E428" s="2" t="s">
        <v>2843</v>
      </c>
      <c r="F428" s="2" t="s">
        <v>2844</v>
      </c>
      <c r="G428" s="2" t="s">
        <v>2844</v>
      </c>
      <c r="H428" s="2" t="s">
        <v>2844</v>
      </c>
      <c r="I428" s="2" t="s">
        <v>2848</v>
      </c>
      <c r="J428" s="2" t="s">
        <v>840</v>
      </c>
      <c r="K428" s="2" t="s">
        <v>2849</v>
      </c>
      <c r="L428" s="3">
        <v>6.36</v>
      </c>
      <c r="M428" s="3">
        <v>6.68</v>
      </c>
      <c r="N428" s="3">
        <v>12.99</v>
      </c>
      <c r="O428" s="2" t="s">
        <v>240</v>
      </c>
      <c r="P428" s="2" t="s">
        <v>266</v>
      </c>
      <c r="Q428" s="2" t="s">
        <v>234</v>
      </c>
      <c r="R428" s="2" t="s">
        <v>228</v>
      </c>
      <c r="S428" s="2" t="s">
        <v>228</v>
      </c>
      <c r="T428" s="2" t="s">
        <v>228</v>
      </c>
      <c r="U428" s="2" t="s">
        <v>416</v>
      </c>
      <c r="V428" s="2" t="s">
        <v>842</v>
      </c>
      <c r="W428" s="2" t="s">
        <v>269</v>
      </c>
      <c r="X428" s="2" t="s">
        <v>228</v>
      </c>
      <c r="Y428" s="2" t="s">
        <v>2850</v>
      </c>
      <c r="Z428" s="4">
        <v>201</v>
      </c>
      <c r="AA428" s="4">
        <f>=ROUNDDOWN(143.571428571429,0)</f>
      </c>
      <c r="AB428" s="5">
        <v>1.4</v>
      </c>
      <c r="AC428" s="2" t="s">
        <v>228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228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 t="s">
        <v>228</v>
      </c>
      <c r="BD428" s="8" t="s">
        <v>228</v>
      </c>
      <c r="BE428" s="4" t="s">
        <v>228</v>
      </c>
      <c r="BF428" s="8" t="s">
        <v>228</v>
      </c>
      <c r="BG428" s="7" t="s">
        <v>228</v>
      </c>
      <c r="BH428" s="7" t="s">
        <v>228</v>
      </c>
      <c r="BI428" s="7"/>
      <c r="BJ428" s="4"/>
      <c r="BK428" s="8"/>
      <c r="BL428" s="2" t="s">
        <v>699</v>
      </c>
      <c r="BM428" s="7"/>
      <c r="BN428" s="7"/>
      <c r="BO428" s="4"/>
      <c r="BP428" s="8"/>
      <c r="BQ428" s="4"/>
      <c r="BR428" s="8"/>
      <c r="BS428" s="7"/>
      <c r="BT428" s="7"/>
      <c r="BU428" s="2" t="s">
        <v>2851</v>
      </c>
      <c r="BV428" s="2" t="s">
        <v>228</v>
      </c>
      <c r="BW428" s="2" t="s">
        <v>228</v>
      </c>
      <c r="BX428" s="2" t="s">
        <v>273</v>
      </c>
      <c r="BY428" s="2" t="s">
        <v>274</v>
      </c>
      <c r="BZ428" s="2" t="s">
        <v>240</v>
      </c>
      <c r="CA428" s="2" t="s">
        <v>539</v>
      </c>
      <c r="CB428" s="2" t="s">
        <v>812</v>
      </c>
      <c r="CC428" s="2" t="s">
        <v>241</v>
      </c>
      <c r="CD428" s="2" t="s">
        <v>228</v>
      </c>
      <c r="CE428" s="4"/>
      <c r="CF428" s="4">
        <v>111</v>
      </c>
      <c r="CG428" s="4"/>
      <c r="CH428" s="4">
        <v>90</v>
      </c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</row>
    <row r="429">
      <c r="A429" s="2" t="s">
        <v>2852</v>
      </c>
      <c r="B429" s="2" t="s">
        <v>2841</v>
      </c>
      <c r="C429" s="2" t="s">
        <v>1197</v>
      </c>
      <c r="D429" s="2" t="s">
        <v>2842</v>
      </c>
      <c r="E429" s="2" t="s">
        <v>2843</v>
      </c>
      <c r="F429" s="2" t="s">
        <v>2844</v>
      </c>
      <c r="G429" s="2" t="s">
        <v>2844</v>
      </c>
      <c r="H429" s="2" t="s">
        <v>2844</v>
      </c>
      <c r="I429" s="2" t="s">
        <v>2853</v>
      </c>
      <c r="J429" s="2" t="s">
        <v>840</v>
      </c>
      <c r="K429" s="2" t="s">
        <v>2854</v>
      </c>
      <c r="L429" s="3">
        <v>9.54</v>
      </c>
      <c r="M429" s="3">
        <v>10.02</v>
      </c>
      <c r="N429" s="3">
        <v>18.99</v>
      </c>
      <c r="O429" s="2" t="s">
        <v>240</v>
      </c>
      <c r="P429" s="2" t="s">
        <v>333</v>
      </c>
      <c r="Q429" s="2" t="s">
        <v>234</v>
      </c>
      <c r="R429" s="2" t="s">
        <v>228</v>
      </c>
      <c r="S429" s="2" t="s">
        <v>228</v>
      </c>
      <c r="T429" s="2" t="s">
        <v>228</v>
      </c>
      <c r="U429" s="2" t="s">
        <v>520</v>
      </c>
      <c r="V429" s="2" t="s">
        <v>842</v>
      </c>
      <c r="W429" s="2" t="s">
        <v>269</v>
      </c>
      <c r="X429" s="2" t="s">
        <v>228</v>
      </c>
      <c r="Y429" s="2" t="s">
        <v>2850</v>
      </c>
      <c r="Z429" s="4">
        <v>588</v>
      </c>
      <c r="AA429" s="4">
        <f>=ROUNDDOWN(2940,0)</f>
      </c>
      <c r="AB429" s="5">
        <v>0.2</v>
      </c>
      <c r="AC429" s="2" t="s">
        <v>228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228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 t="s">
        <v>228</v>
      </c>
      <c r="BD429" s="8" t="s">
        <v>228</v>
      </c>
      <c r="BE429" s="4" t="s">
        <v>228</v>
      </c>
      <c r="BF429" s="8" t="s">
        <v>228</v>
      </c>
      <c r="BG429" s="7" t="s">
        <v>228</v>
      </c>
      <c r="BH429" s="7" t="s">
        <v>228</v>
      </c>
      <c r="BI429" s="7"/>
      <c r="BJ429" s="4">
        <v>1</v>
      </c>
      <c r="BK429" s="8">
        <v>10.97</v>
      </c>
      <c r="BL429" s="2" t="s">
        <v>699</v>
      </c>
      <c r="BM429" s="7"/>
      <c r="BN429" s="7"/>
      <c r="BO429" s="4"/>
      <c r="BP429" s="8"/>
      <c r="BQ429" s="4"/>
      <c r="BR429" s="8"/>
      <c r="BS429" s="7"/>
      <c r="BT429" s="7"/>
      <c r="BU429" s="2" t="s">
        <v>2855</v>
      </c>
      <c r="BV429" s="2" t="s">
        <v>228</v>
      </c>
      <c r="BW429" s="2" t="s">
        <v>228</v>
      </c>
      <c r="BX429" s="2" t="s">
        <v>337</v>
      </c>
      <c r="BY429" s="2" t="s">
        <v>274</v>
      </c>
      <c r="BZ429" s="2" t="s">
        <v>240</v>
      </c>
      <c r="CA429" s="2" t="s">
        <v>539</v>
      </c>
      <c r="CB429" s="2" t="s">
        <v>228</v>
      </c>
      <c r="CC429" s="2" t="s">
        <v>241</v>
      </c>
      <c r="CD429" s="2" t="s">
        <v>228</v>
      </c>
      <c r="CE429" s="4"/>
      <c r="CF429" s="4">
        <v>294</v>
      </c>
      <c r="CG429" s="4"/>
      <c r="CH429" s="4">
        <v>294</v>
      </c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</row>
    <row r="430">
      <c r="A430" s="2" t="s">
        <v>2856</v>
      </c>
      <c r="B430" s="2" t="s">
        <v>2841</v>
      </c>
      <c r="C430" s="2" t="s">
        <v>1197</v>
      </c>
      <c r="D430" s="2" t="s">
        <v>2842</v>
      </c>
      <c r="E430" s="2" t="s">
        <v>2843</v>
      </c>
      <c r="F430" s="2" t="s">
        <v>2844</v>
      </c>
      <c r="G430" s="2" t="s">
        <v>2844</v>
      </c>
      <c r="H430" s="2" t="s">
        <v>2844</v>
      </c>
      <c r="I430" s="2" t="s">
        <v>2857</v>
      </c>
      <c r="J430" s="2" t="s">
        <v>840</v>
      </c>
      <c r="K430" s="2" t="s">
        <v>2858</v>
      </c>
      <c r="L430" s="3">
        <v>9.92</v>
      </c>
      <c r="M430" s="3">
        <v>10.42</v>
      </c>
      <c r="N430" s="3">
        <v>18.99</v>
      </c>
      <c r="O430" s="2" t="s">
        <v>240</v>
      </c>
      <c r="P430" s="2" t="s">
        <v>266</v>
      </c>
      <c r="Q430" s="2" t="s">
        <v>234</v>
      </c>
      <c r="R430" s="2" t="s">
        <v>228</v>
      </c>
      <c r="S430" s="2" t="s">
        <v>228</v>
      </c>
      <c r="T430" s="2" t="s">
        <v>228</v>
      </c>
      <c r="U430" s="2" t="s">
        <v>520</v>
      </c>
      <c r="V430" s="2" t="s">
        <v>842</v>
      </c>
      <c r="W430" s="2" t="s">
        <v>269</v>
      </c>
      <c r="X430" s="2" t="s">
        <v>228</v>
      </c>
      <c r="Y430" s="2" t="s">
        <v>2850</v>
      </c>
      <c r="Z430" s="4">
        <v>433</v>
      </c>
      <c r="AA430" s="4">
        <f>=ROUNDDOWN(61.8571428571429,0)</f>
      </c>
      <c r="AB430" s="5">
        <v>7</v>
      </c>
      <c r="AC430" s="2" t="s">
        <v>228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228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 t="s">
        <v>228</v>
      </c>
      <c r="BD430" s="8" t="s">
        <v>228</v>
      </c>
      <c r="BE430" s="4" t="s">
        <v>228</v>
      </c>
      <c r="BF430" s="8" t="s">
        <v>228</v>
      </c>
      <c r="BG430" s="7" t="s">
        <v>228</v>
      </c>
      <c r="BH430" s="7" t="s">
        <v>228</v>
      </c>
      <c r="BI430" s="7"/>
      <c r="BJ430" s="4">
        <v>48</v>
      </c>
      <c r="BK430" s="8">
        <v>547.68</v>
      </c>
      <c r="BL430" s="2" t="s">
        <v>727</v>
      </c>
      <c r="BM430" s="7"/>
      <c r="BN430" s="7"/>
      <c r="BO430" s="4"/>
      <c r="BP430" s="8"/>
      <c r="BQ430" s="4"/>
      <c r="BR430" s="8"/>
      <c r="BS430" s="7"/>
      <c r="BT430" s="7"/>
      <c r="BU430" s="2" t="s">
        <v>2859</v>
      </c>
      <c r="BV430" s="2" t="s">
        <v>228</v>
      </c>
      <c r="BW430" s="2" t="s">
        <v>228</v>
      </c>
      <c r="BX430" s="2" t="s">
        <v>273</v>
      </c>
      <c r="BY430" s="2" t="s">
        <v>274</v>
      </c>
      <c r="BZ430" s="2" t="s">
        <v>240</v>
      </c>
      <c r="CA430" s="2" t="s">
        <v>539</v>
      </c>
      <c r="CB430" s="2" t="s">
        <v>1160</v>
      </c>
      <c r="CC430" s="2" t="s">
        <v>241</v>
      </c>
      <c r="CD430" s="2" t="s">
        <v>228</v>
      </c>
      <c r="CE430" s="4"/>
      <c r="CF430" s="4">
        <v>223</v>
      </c>
      <c r="CG430" s="4"/>
      <c r="CH430" s="4">
        <v>210</v>
      </c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</row>
    <row r="431">
      <c r="A431" s="2" t="s">
        <v>2860</v>
      </c>
      <c r="B431" s="2" t="s">
        <v>2841</v>
      </c>
      <c r="C431" s="2" t="s">
        <v>1197</v>
      </c>
      <c r="D431" s="2" t="s">
        <v>2842</v>
      </c>
      <c r="E431" s="2" t="s">
        <v>2843</v>
      </c>
      <c r="F431" s="2" t="s">
        <v>2844</v>
      </c>
      <c r="G431" s="2" t="s">
        <v>2844</v>
      </c>
      <c r="H431" s="2" t="s">
        <v>2844</v>
      </c>
      <c r="I431" s="2" t="s">
        <v>2861</v>
      </c>
      <c r="J431" s="2" t="s">
        <v>238</v>
      </c>
      <c r="K431" s="2" t="s">
        <v>2862</v>
      </c>
      <c r="L431" s="3">
        <v>7.37</v>
      </c>
      <c r="M431" s="3">
        <v>7.74</v>
      </c>
      <c r="N431" s="3">
        <v>15.99</v>
      </c>
      <c r="O431" s="2" t="s">
        <v>240</v>
      </c>
      <c r="P431" s="2" t="s">
        <v>266</v>
      </c>
      <c r="Q431" s="2" t="s">
        <v>234</v>
      </c>
      <c r="R431" s="2" t="s">
        <v>228</v>
      </c>
      <c r="S431" s="2" t="s">
        <v>228</v>
      </c>
      <c r="T431" s="2" t="s">
        <v>228</v>
      </c>
      <c r="U431" s="2" t="s">
        <v>416</v>
      </c>
      <c r="V431" s="2" t="s">
        <v>842</v>
      </c>
      <c r="W431" s="2" t="s">
        <v>269</v>
      </c>
      <c r="X431" s="2" t="s">
        <v>228</v>
      </c>
      <c r="Y431" s="2" t="s">
        <v>378</v>
      </c>
      <c r="Z431" s="4">
        <v>643</v>
      </c>
      <c r="AA431" s="4">
        <f>=ROUNDDOWN(321.5,0)</f>
      </c>
      <c r="AB431" s="5">
        <v>2</v>
      </c>
      <c r="AC431" s="2" t="s">
        <v>228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228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 t="s">
        <v>228</v>
      </c>
      <c r="BD431" s="8" t="s">
        <v>228</v>
      </c>
      <c r="BE431" s="4" t="s">
        <v>228</v>
      </c>
      <c r="BF431" s="8" t="s">
        <v>228</v>
      </c>
      <c r="BG431" s="7" t="s">
        <v>228</v>
      </c>
      <c r="BH431" s="7" t="s">
        <v>228</v>
      </c>
      <c r="BI431" s="7"/>
      <c r="BJ431" s="4"/>
      <c r="BK431" s="8"/>
      <c r="BL431" s="2" t="s">
        <v>228</v>
      </c>
      <c r="BM431" s="7"/>
      <c r="BN431" s="7"/>
      <c r="BO431" s="4"/>
      <c r="BP431" s="8"/>
      <c r="BQ431" s="4"/>
      <c r="BR431" s="8"/>
      <c r="BS431" s="7"/>
      <c r="BT431" s="7"/>
      <c r="BU431" s="2" t="s">
        <v>2863</v>
      </c>
      <c r="BV431" s="2" t="s">
        <v>228</v>
      </c>
      <c r="BW431" s="2" t="s">
        <v>228</v>
      </c>
      <c r="BX431" s="2" t="s">
        <v>273</v>
      </c>
      <c r="BY431" s="2" t="s">
        <v>274</v>
      </c>
      <c r="BZ431" s="2" t="s">
        <v>240</v>
      </c>
      <c r="CA431" s="2" t="s">
        <v>228</v>
      </c>
      <c r="CB431" s="2" t="s">
        <v>228</v>
      </c>
      <c r="CC431" s="2" t="s">
        <v>241</v>
      </c>
      <c r="CD431" s="2" t="s">
        <v>228</v>
      </c>
      <c r="CE431" s="4">
        <v>643</v>
      </c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</row>
    <row r="432">
      <c r="A432" s="2" t="s">
        <v>2864</v>
      </c>
      <c r="B432" s="2" t="s">
        <v>2841</v>
      </c>
      <c r="C432" s="2" t="s">
        <v>1197</v>
      </c>
      <c r="D432" s="2" t="s">
        <v>2842</v>
      </c>
      <c r="E432" s="2" t="s">
        <v>2843</v>
      </c>
      <c r="F432" s="2" t="s">
        <v>2844</v>
      </c>
      <c r="G432" s="2" t="s">
        <v>2844</v>
      </c>
      <c r="H432" s="2" t="s">
        <v>2844</v>
      </c>
      <c r="I432" s="2" t="s">
        <v>2861</v>
      </c>
      <c r="J432" s="2" t="s">
        <v>238</v>
      </c>
      <c r="K432" s="2" t="s">
        <v>2865</v>
      </c>
      <c r="L432" s="3">
        <v>7.37</v>
      </c>
      <c r="M432" s="3">
        <v>7.74</v>
      </c>
      <c r="N432" s="3">
        <v>15.99</v>
      </c>
      <c r="O432" s="2" t="s">
        <v>240</v>
      </c>
      <c r="P432" s="2" t="s">
        <v>266</v>
      </c>
      <c r="Q432" s="2" t="s">
        <v>234</v>
      </c>
      <c r="R432" s="2" t="s">
        <v>228</v>
      </c>
      <c r="S432" s="2" t="s">
        <v>228</v>
      </c>
      <c r="T432" s="2" t="s">
        <v>228</v>
      </c>
      <c r="U432" s="2" t="s">
        <v>416</v>
      </c>
      <c r="V432" s="2" t="s">
        <v>842</v>
      </c>
      <c r="W432" s="2" t="s">
        <v>269</v>
      </c>
      <c r="X432" s="2" t="s">
        <v>228</v>
      </c>
      <c r="Y432" s="2" t="s">
        <v>378</v>
      </c>
      <c r="Z432" s="4">
        <v>487</v>
      </c>
      <c r="AA432" s="4">
        <f>=ROUNDDOWN(18.7307692307692,0)</f>
      </c>
      <c r="AB432" s="5">
        <v>26</v>
      </c>
      <c r="AC432" s="2" t="s">
        <v>197</v>
      </c>
      <c r="AD432" s="4">
        <v>1200</v>
      </c>
      <c r="AE432" s="4">
        <v>1200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228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 t="s">
        <v>228</v>
      </c>
      <c r="BD432" s="8" t="s">
        <v>228</v>
      </c>
      <c r="BE432" s="4" t="s">
        <v>228</v>
      </c>
      <c r="BF432" s="8" t="s">
        <v>228</v>
      </c>
      <c r="BG432" s="7" t="s">
        <v>228</v>
      </c>
      <c r="BH432" s="7" t="s">
        <v>228</v>
      </c>
      <c r="BI432" s="7"/>
      <c r="BJ432" s="4">
        <v>1</v>
      </c>
      <c r="BK432" s="8">
        <v>11.04</v>
      </c>
      <c r="BL432" s="2" t="s">
        <v>699</v>
      </c>
      <c r="BM432" s="7"/>
      <c r="BN432" s="7"/>
      <c r="BO432" s="4"/>
      <c r="BP432" s="8"/>
      <c r="BQ432" s="4"/>
      <c r="BR432" s="8"/>
      <c r="BS432" s="7"/>
      <c r="BT432" s="7"/>
      <c r="BU432" s="2" t="s">
        <v>2866</v>
      </c>
      <c r="BV432" s="2" t="s">
        <v>228</v>
      </c>
      <c r="BW432" s="2" t="s">
        <v>228</v>
      </c>
      <c r="BX432" s="2" t="s">
        <v>273</v>
      </c>
      <c r="BY432" s="2" t="s">
        <v>274</v>
      </c>
      <c r="BZ432" s="2" t="s">
        <v>240</v>
      </c>
      <c r="CA432" s="2" t="s">
        <v>228</v>
      </c>
      <c r="CB432" s="2" t="s">
        <v>228</v>
      </c>
      <c r="CC432" s="2" t="s">
        <v>241</v>
      </c>
      <c r="CD432" s="2" t="s">
        <v>228</v>
      </c>
      <c r="CE432" s="4">
        <v>487</v>
      </c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>
        <v>1200</v>
      </c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</row>
    <row r="433">
      <c r="A433" s="2" t="s">
        <v>2867</v>
      </c>
      <c r="B433" s="2" t="s">
        <v>2841</v>
      </c>
      <c r="C433" s="2" t="s">
        <v>1197</v>
      </c>
      <c r="D433" s="2" t="s">
        <v>2842</v>
      </c>
      <c r="E433" s="2" t="s">
        <v>2843</v>
      </c>
      <c r="F433" s="2" t="s">
        <v>2844</v>
      </c>
      <c r="G433" s="2" t="s">
        <v>2844</v>
      </c>
      <c r="H433" s="2" t="s">
        <v>2844</v>
      </c>
      <c r="I433" s="2" t="s">
        <v>2868</v>
      </c>
      <c r="J433" s="2" t="s">
        <v>238</v>
      </c>
      <c r="K433" s="2" t="s">
        <v>2869</v>
      </c>
      <c r="L433" s="3">
        <v>7.08</v>
      </c>
      <c r="M433" s="3">
        <v>7.43</v>
      </c>
      <c r="N433" s="3">
        <v>15.99</v>
      </c>
      <c r="O433" s="2" t="s">
        <v>240</v>
      </c>
      <c r="P433" s="2" t="s">
        <v>266</v>
      </c>
      <c r="Q433" s="2" t="s">
        <v>234</v>
      </c>
      <c r="R433" s="2" t="s">
        <v>228</v>
      </c>
      <c r="S433" s="2" t="s">
        <v>228</v>
      </c>
      <c r="T433" s="2" t="s">
        <v>228</v>
      </c>
      <c r="U433" s="2" t="s">
        <v>416</v>
      </c>
      <c r="V433" s="2" t="s">
        <v>842</v>
      </c>
      <c r="W433" s="2" t="s">
        <v>269</v>
      </c>
      <c r="X433" s="2" t="s">
        <v>228</v>
      </c>
      <c r="Y433" s="2" t="s">
        <v>2870</v>
      </c>
      <c r="Z433" s="4">
        <v>756</v>
      </c>
      <c r="AA433" s="4">
        <f>=ROUNDDOWN(42,0)</f>
      </c>
      <c r="AB433" s="5">
        <v>18</v>
      </c>
      <c r="AC433" s="2" t="s">
        <v>228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228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 t="s">
        <v>228</v>
      </c>
      <c r="BD433" s="8" t="s">
        <v>228</v>
      </c>
      <c r="BE433" s="4" t="s">
        <v>228</v>
      </c>
      <c r="BF433" s="8" t="s">
        <v>228</v>
      </c>
      <c r="BG433" s="7" t="s">
        <v>228</v>
      </c>
      <c r="BH433" s="7" t="s">
        <v>228</v>
      </c>
      <c r="BI433" s="7"/>
      <c r="BJ433" s="4">
        <v>12</v>
      </c>
      <c r="BK433" s="8">
        <v>132.48</v>
      </c>
      <c r="BL433" s="2" t="s">
        <v>727</v>
      </c>
      <c r="BM433" s="7"/>
      <c r="BN433" s="7"/>
      <c r="BO433" s="4"/>
      <c r="BP433" s="8"/>
      <c r="BQ433" s="4"/>
      <c r="BR433" s="8"/>
      <c r="BS433" s="7"/>
      <c r="BT433" s="7"/>
      <c r="BU433" s="2" t="s">
        <v>2871</v>
      </c>
      <c r="BV433" s="2" t="s">
        <v>228</v>
      </c>
      <c r="BW433" s="2" t="s">
        <v>228</v>
      </c>
      <c r="BX433" s="2" t="s">
        <v>273</v>
      </c>
      <c r="BY433" s="2" t="s">
        <v>274</v>
      </c>
      <c r="BZ433" s="2" t="s">
        <v>240</v>
      </c>
      <c r="CA433" s="2" t="s">
        <v>228</v>
      </c>
      <c r="CB433" s="2" t="s">
        <v>228</v>
      </c>
      <c r="CC433" s="2" t="s">
        <v>241</v>
      </c>
      <c r="CD433" s="2" t="s">
        <v>228</v>
      </c>
      <c r="CE433" s="4">
        <v>756</v>
      </c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</row>
    <row r="434">
      <c r="A434" s="2" t="s">
        <v>2872</v>
      </c>
      <c r="B434" s="2" t="s">
        <v>2841</v>
      </c>
      <c r="C434" s="2" t="s">
        <v>1197</v>
      </c>
      <c r="D434" s="2" t="s">
        <v>2842</v>
      </c>
      <c r="E434" s="2" t="s">
        <v>2843</v>
      </c>
      <c r="F434" s="2" t="s">
        <v>2844</v>
      </c>
      <c r="G434" s="2" t="s">
        <v>2844</v>
      </c>
      <c r="H434" s="2" t="s">
        <v>2844</v>
      </c>
      <c r="I434" s="2" t="s">
        <v>2873</v>
      </c>
      <c r="J434" s="2" t="s">
        <v>840</v>
      </c>
      <c r="K434" s="2" t="s">
        <v>1077</v>
      </c>
      <c r="L434" s="3">
        <v>8.06</v>
      </c>
      <c r="M434" s="3">
        <v>8.46</v>
      </c>
      <c r="N434" s="3">
        <v>14.99</v>
      </c>
      <c r="O434" s="2" t="s">
        <v>240</v>
      </c>
      <c r="P434" s="2" t="s">
        <v>266</v>
      </c>
      <c r="Q434" s="2" t="s">
        <v>234</v>
      </c>
      <c r="R434" s="2" t="s">
        <v>228</v>
      </c>
      <c r="S434" s="2" t="s">
        <v>228</v>
      </c>
      <c r="T434" s="2" t="s">
        <v>228</v>
      </c>
      <c r="U434" s="2" t="s">
        <v>416</v>
      </c>
      <c r="V434" s="2" t="s">
        <v>842</v>
      </c>
      <c r="W434" s="2" t="s">
        <v>269</v>
      </c>
      <c r="X434" s="2" t="s">
        <v>228</v>
      </c>
      <c r="Y434" s="2" t="s">
        <v>2850</v>
      </c>
      <c r="Z434" s="4">
        <v>203</v>
      </c>
      <c r="AA434" s="4">
        <f>=ROUNDDOWN(169.166666666667,0)</f>
      </c>
      <c r="AB434" s="5">
        <v>1.2</v>
      </c>
      <c r="AC434" s="2" t="s">
        <v>228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228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 t="s">
        <v>228</v>
      </c>
      <c r="BD434" s="8" t="s">
        <v>228</v>
      </c>
      <c r="BE434" s="4" t="s">
        <v>228</v>
      </c>
      <c r="BF434" s="8" t="s">
        <v>228</v>
      </c>
      <c r="BG434" s="7" t="s">
        <v>228</v>
      </c>
      <c r="BH434" s="7" t="s">
        <v>228</v>
      </c>
      <c r="BI434" s="7"/>
      <c r="BJ434" s="4"/>
      <c r="BK434" s="8"/>
      <c r="BL434" s="2" t="s">
        <v>228</v>
      </c>
      <c r="BM434" s="7"/>
      <c r="BN434" s="7"/>
      <c r="BO434" s="4"/>
      <c r="BP434" s="8"/>
      <c r="BQ434" s="4"/>
      <c r="BR434" s="8"/>
      <c r="BS434" s="7"/>
      <c r="BT434" s="7"/>
      <c r="BU434" s="2" t="s">
        <v>2874</v>
      </c>
      <c r="BV434" s="2" t="s">
        <v>228</v>
      </c>
      <c r="BW434" s="2" t="s">
        <v>228</v>
      </c>
      <c r="BX434" s="2" t="s">
        <v>273</v>
      </c>
      <c r="BY434" s="2" t="s">
        <v>274</v>
      </c>
      <c r="BZ434" s="2" t="s">
        <v>240</v>
      </c>
      <c r="CA434" s="2" t="s">
        <v>539</v>
      </c>
      <c r="CB434" s="2" t="s">
        <v>228</v>
      </c>
      <c r="CC434" s="2" t="s">
        <v>241</v>
      </c>
      <c r="CD434" s="2" t="s">
        <v>228</v>
      </c>
      <c r="CE434" s="4"/>
      <c r="CF434" s="4">
        <v>102</v>
      </c>
      <c r="CG434" s="4"/>
      <c r="CH434" s="4">
        <v>101</v>
      </c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</row>
    <row r="435">
      <c r="A435" s="2" t="s">
        <v>2875</v>
      </c>
      <c r="B435" s="2" t="s">
        <v>1150</v>
      </c>
      <c r="C435" s="2" t="s">
        <v>300</v>
      </c>
      <c r="D435" s="2" t="s">
        <v>1316</v>
      </c>
      <c r="E435" s="2" t="s">
        <v>2876</v>
      </c>
      <c r="F435" s="2" t="s">
        <v>2877</v>
      </c>
      <c r="G435" s="2" t="s">
        <v>2878</v>
      </c>
      <c r="H435" s="2" t="s">
        <v>2879</v>
      </c>
      <c r="I435" s="2" t="s">
        <v>2880</v>
      </c>
      <c r="J435" s="2" t="s">
        <v>1189</v>
      </c>
      <c r="K435" s="2" t="s">
        <v>1077</v>
      </c>
      <c r="L435" s="3">
        <v>54.99</v>
      </c>
      <c r="M435" s="3">
        <v>57.74</v>
      </c>
      <c r="N435" s="3">
        <v>109.99</v>
      </c>
      <c r="O435" s="2" t="s">
        <v>240</v>
      </c>
      <c r="P435" s="2" t="s">
        <v>266</v>
      </c>
      <c r="Q435" s="2" t="s">
        <v>234</v>
      </c>
      <c r="R435" s="2" t="s">
        <v>228</v>
      </c>
      <c r="S435" s="2" t="s">
        <v>2881</v>
      </c>
      <c r="T435" s="2" t="s">
        <v>228</v>
      </c>
      <c r="U435" s="2" t="s">
        <v>1054</v>
      </c>
      <c r="V435" s="2" t="s">
        <v>387</v>
      </c>
      <c r="W435" s="2" t="s">
        <v>463</v>
      </c>
      <c r="X435" s="2" t="s">
        <v>2882</v>
      </c>
      <c r="Y435" s="2" t="s">
        <v>270</v>
      </c>
      <c r="Z435" s="4">
        <v>798</v>
      </c>
      <c r="AA435" s="4">
        <f>=ROUNDDOWN(57,0)</f>
      </c>
      <c r="AB435" s="5">
        <v>14</v>
      </c>
      <c r="AC435" s="2" t="s">
        <v>228</v>
      </c>
      <c r="AD435" s="4"/>
      <c r="AE435" s="4"/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228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/>
      <c r="BD435" s="8"/>
      <c r="BE435" s="4"/>
      <c r="BF435" s="8"/>
      <c r="BG435" s="7"/>
      <c r="BH435" s="7"/>
      <c r="BI435" s="7"/>
      <c r="BJ435" s="4">
        <v>125</v>
      </c>
      <c r="BK435" s="8">
        <v>7156.86</v>
      </c>
      <c r="BL435" s="2" t="s">
        <v>1253</v>
      </c>
      <c r="BM435" s="7"/>
      <c r="BN435" s="7"/>
      <c r="BO435" s="4"/>
      <c r="BP435" s="8"/>
      <c r="BQ435" s="4"/>
      <c r="BR435" s="8"/>
      <c r="BS435" s="7"/>
      <c r="BT435" s="7"/>
      <c r="BU435" s="2" t="s">
        <v>2883</v>
      </c>
      <c r="BV435" s="2" t="s">
        <v>228</v>
      </c>
      <c r="BW435" s="2" t="s">
        <v>228</v>
      </c>
      <c r="BX435" s="2" t="s">
        <v>273</v>
      </c>
      <c r="BY435" s="2" t="s">
        <v>274</v>
      </c>
      <c r="BZ435" s="2" t="s">
        <v>240</v>
      </c>
      <c r="CA435" s="2" t="s">
        <v>275</v>
      </c>
      <c r="CB435" s="2" t="s">
        <v>609</v>
      </c>
      <c r="CC435" s="2" t="s">
        <v>241</v>
      </c>
      <c r="CD435" s="2" t="s">
        <v>228</v>
      </c>
      <c r="CE435" s="4">
        <v>798</v>
      </c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</row>
    <row r="436">
      <c r="A436" s="2" t="s">
        <v>2884</v>
      </c>
      <c r="B436" s="2" t="s">
        <v>1150</v>
      </c>
      <c r="C436" s="2" t="s">
        <v>835</v>
      </c>
      <c r="D436" s="2" t="s">
        <v>1112</v>
      </c>
      <c r="E436" s="2" t="s">
        <v>1113</v>
      </c>
      <c r="F436" s="2" t="s">
        <v>2885</v>
      </c>
      <c r="G436" s="2" t="s">
        <v>2885</v>
      </c>
      <c r="H436" s="2" t="s">
        <v>2885</v>
      </c>
      <c r="I436" s="2" t="s">
        <v>2886</v>
      </c>
      <c r="J436" s="2" t="s">
        <v>1189</v>
      </c>
      <c r="K436" s="2" t="s">
        <v>480</v>
      </c>
      <c r="L436" s="3">
        <v>59.42</v>
      </c>
      <c r="M436" s="3">
        <v>62.39</v>
      </c>
      <c r="N436" s="3">
        <v>129.99</v>
      </c>
      <c r="O436" s="2" t="s">
        <v>240</v>
      </c>
      <c r="P436" s="2" t="s">
        <v>233</v>
      </c>
      <c r="Q436" s="2" t="s">
        <v>234</v>
      </c>
      <c r="R436" s="2" t="s">
        <v>228</v>
      </c>
      <c r="S436" s="2" t="s">
        <v>2887</v>
      </c>
      <c r="T436" s="2" t="s">
        <v>350</v>
      </c>
      <c r="U436" s="2" t="s">
        <v>500</v>
      </c>
      <c r="V436" s="2" t="s">
        <v>980</v>
      </c>
      <c r="W436" s="2" t="s">
        <v>1578</v>
      </c>
      <c r="X436" s="2" t="s">
        <v>269</v>
      </c>
      <c r="Y436" s="2" t="s">
        <v>2888</v>
      </c>
      <c r="Z436" s="4">
        <v>187</v>
      </c>
      <c r="AA436" s="4">
        <f>=ROUNDDOWN(124.666666666667,0)</f>
      </c>
      <c r="AB436" s="5">
        <v>1.5</v>
      </c>
      <c r="AC436" s="2" t="s">
        <v>2799</v>
      </c>
      <c r="AD436" s="4">
        <v>192</v>
      </c>
      <c r="AE436" s="4">
        <v>192</v>
      </c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228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228</v>
      </c>
      <c r="AW436" s="8" t="s">
        <v>228</v>
      </c>
      <c r="AX436" s="4" t="s">
        <v>228</v>
      </c>
      <c r="AY436" s="8" t="s">
        <v>228</v>
      </c>
      <c r="AZ436" s="7" t="s">
        <v>228</v>
      </c>
      <c r="BA436" s="7" t="s">
        <v>228</v>
      </c>
      <c r="BB436" s="7" t="s">
        <v>228</v>
      </c>
      <c r="BC436" s="4" t="s">
        <v>228</v>
      </c>
      <c r="BD436" s="8" t="s">
        <v>228</v>
      </c>
      <c r="BE436" s="4" t="s">
        <v>228</v>
      </c>
      <c r="BF436" s="8" t="s">
        <v>228</v>
      </c>
      <c r="BG436" s="7" t="s">
        <v>228</v>
      </c>
      <c r="BH436" s="7" t="s">
        <v>228</v>
      </c>
      <c r="BI436" s="7"/>
      <c r="BJ436" s="4">
        <v>7</v>
      </c>
      <c r="BK436" s="8">
        <v>472.61</v>
      </c>
      <c r="BL436" s="2" t="s">
        <v>2804</v>
      </c>
      <c r="BM436" s="7"/>
      <c r="BN436" s="7"/>
      <c r="BO436" s="4"/>
      <c r="BP436" s="8"/>
      <c r="BQ436" s="4"/>
      <c r="BR436" s="8"/>
      <c r="BS436" s="7"/>
      <c r="BT436" s="7"/>
      <c r="BU436" s="2" t="s">
        <v>2889</v>
      </c>
      <c r="BV436" s="2" t="s">
        <v>228</v>
      </c>
      <c r="BW436" s="2" t="s">
        <v>228</v>
      </c>
      <c r="BX436" s="2" t="s">
        <v>273</v>
      </c>
      <c r="BY436" s="2" t="s">
        <v>274</v>
      </c>
      <c r="BZ436" s="2" t="s">
        <v>240</v>
      </c>
      <c r="CA436" s="2" t="s">
        <v>812</v>
      </c>
      <c r="CB436" s="2" t="s">
        <v>228</v>
      </c>
      <c r="CC436" s="2" t="s">
        <v>241</v>
      </c>
      <c r="CD436" s="2" t="s">
        <v>228</v>
      </c>
      <c r="CE436" s="4">
        <v>187</v>
      </c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>
        <v>192</v>
      </c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</row>
    <row r="437">
      <c r="A437" s="2" t="s">
        <v>2890</v>
      </c>
      <c r="B437" s="2" t="s">
        <v>1150</v>
      </c>
      <c r="C437" s="2" t="s">
        <v>835</v>
      </c>
      <c r="D437" s="2" t="s">
        <v>850</v>
      </c>
      <c r="E437" s="2" t="s">
        <v>1038</v>
      </c>
      <c r="F437" s="2" t="s">
        <v>2885</v>
      </c>
      <c r="G437" s="2" t="s">
        <v>2885</v>
      </c>
      <c r="H437" s="2" t="s">
        <v>2885</v>
      </c>
      <c r="I437" s="2" t="s">
        <v>2891</v>
      </c>
      <c r="J437" s="2" t="s">
        <v>1189</v>
      </c>
      <c r="K437" s="2" t="s">
        <v>480</v>
      </c>
      <c r="L437" s="3">
        <v>45.71</v>
      </c>
      <c r="M437" s="3">
        <v>48</v>
      </c>
      <c r="N437" s="3">
        <v>99.99</v>
      </c>
      <c r="O437" s="2" t="s">
        <v>240</v>
      </c>
      <c r="P437" s="2" t="s">
        <v>233</v>
      </c>
      <c r="Q437" s="2" t="s">
        <v>234</v>
      </c>
      <c r="R437" s="2" t="s">
        <v>228</v>
      </c>
      <c r="S437" s="2" t="s">
        <v>2887</v>
      </c>
      <c r="T437" s="2" t="s">
        <v>350</v>
      </c>
      <c r="U437" s="2" t="s">
        <v>500</v>
      </c>
      <c r="V437" s="2" t="s">
        <v>980</v>
      </c>
      <c r="W437" s="2" t="s">
        <v>1578</v>
      </c>
      <c r="X437" s="2" t="s">
        <v>269</v>
      </c>
      <c r="Y437" s="2" t="s">
        <v>2888</v>
      </c>
      <c r="Z437" s="4">
        <v>138</v>
      </c>
      <c r="AA437" s="4">
        <f>=ROUNDDOWN(345,0)</f>
      </c>
      <c r="AB437" s="5">
        <v>0.4</v>
      </c>
      <c r="AC437" s="2" t="s">
        <v>2799</v>
      </c>
      <c r="AD437" s="4">
        <v>145</v>
      </c>
      <c r="AE437" s="4">
        <v>145</v>
      </c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228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228</v>
      </c>
      <c r="AW437" s="8" t="s">
        <v>228</v>
      </c>
      <c r="AX437" s="4" t="s">
        <v>228</v>
      </c>
      <c r="AY437" s="8" t="s">
        <v>228</v>
      </c>
      <c r="AZ437" s="7" t="s">
        <v>228</v>
      </c>
      <c r="BA437" s="7" t="s">
        <v>228</v>
      </c>
      <c r="BB437" s="7" t="s">
        <v>228</v>
      </c>
      <c r="BC437" s="4" t="s">
        <v>228</v>
      </c>
      <c r="BD437" s="8" t="s">
        <v>228</v>
      </c>
      <c r="BE437" s="4" t="s">
        <v>228</v>
      </c>
      <c r="BF437" s="8" t="s">
        <v>228</v>
      </c>
      <c r="BG437" s="7" t="s">
        <v>228</v>
      </c>
      <c r="BH437" s="7" t="s">
        <v>228</v>
      </c>
      <c r="BI437" s="7"/>
      <c r="BJ437" s="4">
        <v>5</v>
      </c>
      <c r="BK437" s="8">
        <v>257.55</v>
      </c>
      <c r="BL437" s="2" t="s">
        <v>2050</v>
      </c>
      <c r="BM437" s="7"/>
      <c r="BN437" s="7"/>
      <c r="BO437" s="4"/>
      <c r="BP437" s="8"/>
      <c r="BQ437" s="4"/>
      <c r="BR437" s="8"/>
      <c r="BS437" s="7"/>
      <c r="BT437" s="7"/>
      <c r="BU437" s="2" t="s">
        <v>2892</v>
      </c>
      <c r="BV437" s="2" t="s">
        <v>228</v>
      </c>
      <c r="BW437" s="2" t="s">
        <v>228</v>
      </c>
      <c r="BX437" s="2" t="s">
        <v>273</v>
      </c>
      <c r="BY437" s="2" t="s">
        <v>274</v>
      </c>
      <c r="BZ437" s="2" t="s">
        <v>240</v>
      </c>
      <c r="CA437" s="2" t="s">
        <v>812</v>
      </c>
      <c r="CB437" s="2" t="s">
        <v>228</v>
      </c>
      <c r="CC437" s="2" t="s">
        <v>241</v>
      </c>
      <c r="CD437" s="2" t="s">
        <v>228</v>
      </c>
      <c r="CE437" s="4">
        <v>138</v>
      </c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>
        <v>145</v>
      </c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</row>
    <row r="438">
      <c r="A438" s="2" t="s">
        <v>2893</v>
      </c>
      <c r="B438" s="2" t="s">
        <v>1150</v>
      </c>
      <c r="C438" s="2" t="s">
        <v>835</v>
      </c>
      <c r="D438" s="2" t="s">
        <v>850</v>
      </c>
      <c r="E438" s="2" t="s">
        <v>1038</v>
      </c>
      <c r="F438" s="2" t="s">
        <v>2885</v>
      </c>
      <c r="G438" s="2" t="s">
        <v>2885</v>
      </c>
      <c r="H438" s="2" t="s">
        <v>2885</v>
      </c>
      <c r="I438" s="2" t="s">
        <v>2891</v>
      </c>
      <c r="J438" s="2" t="s">
        <v>1043</v>
      </c>
      <c r="K438" s="2" t="s">
        <v>480</v>
      </c>
      <c r="L438" s="3">
        <v>54.85</v>
      </c>
      <c r="M438" s="3">
        <v>57.59</v>
      </c>
      <c r="N438" s="3">
        <v>119.99</v>
      </c>
      <c r="O438" s="2" t="s">
        <v>240</v>
      </c>
      <c r="P438" s="2" t="s">
        <v>233</v>
      </c>
      <c r="Q438" s="2" t="s">
        <v>234</v>
      </c>
      <c r="R438" s="2" t="s">
        <v>228</v>
      </c>
      <c r="S438" s="2" t="s">
        <v>2887</v>
      </c>
      <c r="T438" s="2" t="s">
        <v>350</v>
      </c>
      <c r="U438" s="2" t="s">
        <v>500</v>
      </c>
      <c r="V438" s="2" t="s">
        <v>980</v>
      </c>
      <c r="W438" s="2" t="s">
        <v>1578</v>
      </c>
      <c r="X438" s="2" t="s">
        <v>269</v>
      </c>
      <c r="Y438" s="2" t="s">
        <v>2888</v>
      </c>
      <c r="Z438" s="4">
        <v>117</v>
      </c>
      <c r="AA438" s="4">
        <f>=ROUNDDOWN(117,0)</f>
      </c>
      <c r="AB438" s="5">
        <v>1</v>
      </c>
      <c r="AC438" s="2" t="s">
        <v>2799</v>
      </c>
      <c r="AD438" s="4">
        <v>120</v>
      </c>
      <c r="AE438" s="4">
        <v>120</v>
      </c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228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228</v>
      </c>
      <c r="AW438" s="8" t="s">
        <v>228</v>
      </c>
      <c r="AX438" s="4" t="s">
        <v>228</v>
      </c>
      <c r="AY438" s="8" t="s">
        <v>228</v>
      </c>
      <c r="AZ438" s="7" t="s">
        <v>228</v>
      </c>
      <c r="BA438" s="7" t="s">
        <v>228</v>
      </c>
      <c r="BB438" s="7"/>
      <c r="BC438" s="4" t="s">
        <v>228</v>
      </c>
      <c r="BD438" s="8" t="s">
        <v>228</v>
      </c>
      <c r="BE438" s="4" t="s">
        <v>228</v>
      </c>
      <c r="BF438" s="8" t="s">
        <v>228</v>
      </c>
      <c r="BG438" s="7" t="s">
        <v>228</v>
      </c>
      <c r="BH438" s="7" t="s">
        <v>228</v>
      </c>
      <c r="BI438" s="7"/>
      <c r="BJ438" s="4">
        <v>2</v>
      </c>
      <c r="BK438" s="8">
        <v>125.28</v>
      </c>
      <c r="BL438" s="2" t="s">
        <v>2894</v>
      </c>
      <c r="BM438" s="7"/>
      <c r="BN438" s="7"/>
      <c r="BO438" s="4"/>
      <c r="BP438" s="8"/>
      <c r="BQ438" s="4"/>
      <c r="BR438" s="8"/>
      <c r="BS438" s="7"/>
      <c r="BT438" s="7"/>
      <c r="BU438" s="2" t="s">
        <v>2895</v>
      </c>
      <c r="BV438" s="2" t="s">
        <v>228</v>
      </c>
      <c r="BW438" s="2" t="s">
        <v>228</v>
      </c>
      <c r="BX438" s="2" t="s">
        <v>273</v>
      </c>
      <c r="BY438" s="2" t="s">
        <v>274</v>
      </c>
      <c r="BZ438" s="2" t="s">
        <v>240</v>
      </c>
      <c r="CA438" s="2" t="s">
        <v>812</v>
      </c>
      <c r="CB438" s="2" t="s">
        <v>228</v>
      </c>
      <c r="CC438" s="2" t="s">
        <v>241</v>
      </c>
      <c r="CD438" s="2" t="s">
        <v>228</v>
      </c>
      <c r="CE438" s="4">
        <v>117</v>
      </c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>
        <v>120</v>
      </c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</row>
    <row r="439">
      <c r="A439" s="2" t="s">
        <v>2896</v>
      </c>
      <c r="B439" s="2" t="s">
        <v>958</v>
      </c>
      <c r="C439" s="2" t="s">
        <v>300</v>
      </c>
      <c r="D439" s="2" t="s">
        <v>959</v>
      </c>
      <c r="E439" s="2" t="s">
        <v>960</v>
      </c>
      <c r="F439" s="2" t="s">
        <v>2897</v>
      </c>
      <c r="G439" s="2" t="s">
        <v>2898</v>
      </c>
      <c r="H439" s="2" t="s">
        <v>2899</v>
      </c>
      <c r="I439" s="2" t="s">
        <v>2900</v>
      </c>
      <c r="J439" s="2" t="s">
        <v>840</v>
      </c>
      <c r="K439" s="2" t="s">
        <v>2480</v>
      </c>
      <c r="L439" s="3">
        <v>180.5</v>
      </c>
      <c r="M439" s="3">
        <v>189.52</v>
      </c>
      <c r="N439" s="3">
        <v>379</v>
      </c>
      <c r="O439" s="2" t="s">
        <v>240</v>
      </c>
      <c r="P439" s="2" t="s">
        <v>333</v>
      </c>
      <c r="Q439" s="2" t="s">
        <v>234</v>
      </c>
      <c r="R439" s="2" t="s">
        <v>228</v>
      </c>
      <c r="S439" s="2" t="s">
        <v>228</v>
      </c>
      <c r="T439" s="2" t="s">
        <v>228</v>
      </c>
      <c r="U439" s="2" t="s">
        <v>228</v>
      </c>
      <c r="V439" s="2" t="s">
        <v>842</v>
      </c>
      <c r="W439" s="2" t="s">
        <v>417</v>
      </c>
      <c r="X439" s="2" t="s">
        <v>228</v>
      </c>
      <c r="Y439" s="2" t="s">
        <v>1895</v>
      </c>
      <c r="Z439" s="4">
        <v>69</v>
      </c>
      <c r="AA439" s="4">
        <f>=ROUNDDOWN(17.25,0)</f>
      </c>
      <c r="AB439" s="5">
        <v>4</v>
      </c>
      <c r="AC439" s="2" t="s">
        <v>228</v>
      </c>
      <c r="AD439" s="4"/>
      <c r="AE439" s="4"/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228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/>
      <c r="BD439" s="8"/>
      <c r="BE439" s="4"/>
      <c r="BF439" s="8"/>
      <c r="BG439" s="7"/>
      <c r="BH439" s="7"/>
      <c r="BI439" s="7"/>
      <c r="BJ439" s="4">
        <v>17</v>
      </c>
      <c r="BK439" s="8">
        <v>3725.14</v>
      </c>
      <c r="BL439" s="2" t="s">
        <v>1033</v>
      </c>
      <c r="BM439" s="7"/>
      <c r="BN439" s="7"/>
      <c r="BO439" s="4"/>
      <c r="BP439" s="8"/>
      <c r="BQ439" s="4"/>
      <c r="BR439" s="8"/>
      <c r="BS439" s="7"/>
      <c r="BT439" s="7"/>
      <c r="BU439" s="2" t="s">
        <v>2901</v>
      </c>
      <c r="BV439" s="2" t="s">
        <v>228</v>
      </c>
      <c r="BW439" s="2" t="s">
        <v>228</v>
      </c>
      <c r="BX439" s="2" t="s">
        <v>337</v>
      </c>
      <c r="BY439" s="2" t="s">
        <v>274</v>
      </c>
      <c r="BZ439" s="2" t="s">
        <v>240</v>
      </c>
      <c r="CA439" s="2" t="s">
        <v>1895</v>
      </c>
      <c r="CB439" s="2" t="s">
        <v>2902</v>
      </c>
      <c r="CC439" s="2" t="s">
        <v>241</v>
      </c>
      <c r="CD439" s="2" t="s">
        <v>228</v>
      </c>
      <c r="CE439" s="4"/>
      <c r="CF439" s="4">
        <v>69</v>
      </c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</row>
    <row r="440">
      <c r="A440" s="2" t="s">
        <v>2903</v>
      </c>
      <c r="B440" s="2" t="s">
        <v>958</v>
      </c>
      <c r="C440" s="2" t="s">
        <v>300</v>
      </c>
      <c r="D440" s="2" t="s">
        <v>2117</v>
      </c>
      <c r="E440" s="2" t="s">
        <v>2118</v>
      </c>
      <c r="F440" s="2" t="s">
        <v>2904</v>
      </c>
      <c r="G440" s="2" t="s">
        <v>2905</v>
      </c>
      <c r="H440" s="2" t="s">
        <v>2906</v>
      </c>
      <c r="I440" s="2" t="s">
        <v>2907</v>
      </c>
      <c r="J440" s="2" t="s">
        <v>840</v>
      </c>
      <c r="K440" s="2" t="s">
        <v>1357</v>
      </c>
      <c r="L440" s="3">
        <v>243.68</v>
      </c>
      <c r="M440" s="3">
        <v>255.86</v>
      </c>
      <c r="N440" s="3">
        <v>509</v>
      </c>
      <c r="O440" s="2" t="s">
        <v>240</v>
      </c>
      <c r="P440" s="2" t="s">
        <v>333</v>
      </c>
      <c r="Q440" s="2" t="s">
        <v>234</v>
      </c>
      <c r="R440" s="2" t="s">
        <v>228</v>
      </c>
      <c r="S440" s="2" t="s">
        <v>228</v>
      </c>
      <c r="T440" s="2" t="s">
        <v>228</v>
      </c>
      <c r="U440" s="2" t="s">
        <v>416</v>
      </c>
      <c r="V440" s="2" t="s">
        <v>842</v>
      </c>
      <c r="W440" s="2" t="s">
        <v>269</v>
      </c>
      <c r="X440" s="2" t="s">
        <v>228</v>
      </c>
      <c r="Y440" s="2" t="s">
        <v>2908</v>
      </c>
      <c r="Z440" s="4">
        <v>7</v>
      </c>
      <c r="AA440" s="4">
        <f>=ROUNDDOWN(3.5,0)</f>
      </c>
      <c r="AB440" s="5">
        <v>2</v>
      </c>
      <c r="AC440" s="2" t="s">
        <v>228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228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/>
      <c r="BD440" s="8"/>
      <c r="BE440" s="4"/>
      <c r="BF440" s="8"/>
      <c r="BG440" s="7"/>
      <c r="BH440" s="7"/>
      <c r="BI440" s="7"/>
      <c r="BJ440" s="4">
        <v>3</v>
      </c>
      <c r="BK440" s="8">
        <v>846.23</v>
      </c>
      <c r="BL440" s="2" t="s">
        <v>2909</v>
      </c>
      <c r="BM440" s="7"/>
      <c r="BN440" s="7"/>
      <c r="BO440" s="4"/>
      <c r="BP440" s="8"/>
      <c r="BQ440" s="4"/>
      <c r="BR440" s="8"/>
      <c r="BS440" s="7"/>
      <c r="BT440" s="7"/>
      <c r="BU440" s="2" t="s">
        <v>2910</v>
      </c>
      <c r="BV440" s="2" t="s">
        <v>228</v>
      </c>
      <c r="BW440" s="2" t="s">
        <v>228</v>
      </c>
      <c r="BX440" s="2" t="s">
        <v>337</v>
      </c>
      <c r="BY440" s="2" t="s">
        <v>274</v>
      </c>
      <c r="BZ440" s="2" t="s">
        <v>240</v>
      </c>
      <c r="CA440" s="2" t="s">
        <v>2911</v>
      </c>
      <c r="CB440" s="2" t="s">
        <v>2912</v>
      </c>
      <c r="CC440" s="2" t="s">
        <v>241</v>
      </c>
      <c r="CD440" s="2" t="s">
        <v>228</v>
      </c>
      <c r="CE440" s="4"/>
      <c r="CF440" s="4">
        <v>7</v>
      </c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</row>
    <row r="441">
      <c r="A441" s="2" t="s">
        <v>2913</v>
      </c>
      <c r="B441" s="2" t="s">
        <v>834</v>
      </c>
      <c r="C441" s="2" t="s">
        <v>835</v>
      </c>
      <c r="D441" s="2" t="s">
        <v>836</v>
      </c>
      <c r="E441" s="2" t="s">
        <v>837</v>
      </c>
      <c r="F441" s="2" t="s">
        <v>1086</v>
      </c>
      <c r="G441" s="2" t="s">
        <v>1086</v>
      </c>
      <c r="H441" s="2" t="s">
        <v>1086</v>
      </c>
      <c r="I441" s="2" t="s">
        <v>2914</v>
      </c>
      <c r="J441" s="2" t="s">
        <v>840</v>
      </c>
      <c r="K441" s="2" t="s">
        <v>1837</v>
      </c>
      <c r="L441" s="3">
        <v>145</v>
      </c>
      <c r="M441" s="3">
        <v>152.25</v>
      </c>
      <c r="N441" s="3">
        <v>299</v>
      </c>
      <c r="O441" s="2" t="s">
        <v>240</v>
      </c>
      <c r="P441" s="2" t="s">
        <v>233</v>
      </c>
      <c r="Q441" s="2" t="s">
        <v>234</v>
      </c>
      <c r="R441" s="2" t="s">
        <v>228</v>
      </c>
      <c r="S441" s="2" t="s">
        <v>228</v>
      </c>
      <c r="T441" s="2" t="s">
        <v>228</v>
      </c>
      <c r="U441" s="2" t="s">
        <v>416</v>
      </c>
      <c r="V441" s="2" t="s">
        <v>842</v>
      </c>
      <c r="W441" s="2" t="s">
        <v>417</v>
      </c>
      <c r="X441" s="2" t="s">
        <v>843</v>
      </c>
      <c r="Y441" s="2" t="s">
        <v>1838</v>
      </c>
      <c r="Z441" s="4">
        <v>89</v>
      </c>
      <c r="AA441" s="4">
        <f>=ROUNDDOWN(89,0)</f>
      </c>
      <c r="AB441" s="5">
        <v>1</v>
      </c>
      <c r="AC441" s="2" t="s">
        <v>228</v>
      </c>
      <c r="AD441" s="4"/>
      <c r="AE441" s="4"/>
      <c r="AF441" s="6">
        <v>63</v>
      </c>
      <c r="AG441" s="6"/>
      <c r="AH441" s="7">
        <v>1</v>
      </c>
      <c r="AI441" s="4"/>
      <c r="AJ441" s="4">
        <f>=ROUNDDOWN({0},0)</f>
      </c>
      <c r="AK441" s="5"/>
      <c r="AL441" s="2" t="s">
        <v>228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/>
      <c r="BD441" s="8"/>
      <c r="BE441" s="4"/>
      <c r="BF441" s="8"/>
      <c r="BG441" s="7"/>
      <c r="BH441" s="7"/>
      <c r="BI441" s="7"/>
      <c r="BJ441" s="4">
        <v>1</v>
      </c>
      <c r="BK441" s="8">
        <v>152.25</v>
      </c>
      <c r="BL441" s="2" t="s">
        <v>2915</v>
      </c>
      <c r="BM441" s="7"/>
      <c r="BN441" s="7"/>
      <c r="BO441" s="4"/>
      <c r="BP441" s="8"/>
      <c r="BQ441" s="4"/>
      <c r="BR441" s="8"/>
      <c r="BS441" s="7"/>
      <c r="BT441" s="7"/>
      <c r="BU441" s="2" t="s">
        <v>2916</v>
      </c>
      <c r="BV441" s="2" t="s">
        <v>228</v>
      </c>
      <c r="BW441" s="2" t="s">
        <v>228</v>
      </c>
      <c r="BX441" s="2" t="s">
        <v>273</v>
      </c>
      <c r="BY441" s="2" t="s">
        <v>274</v>
      </c>
      <c r="BZ441" s="2" t="s">
        <v>240</v>
      </c>
      <c r="CA441" s="2" t="s">
        <v>1840</v>
      </c>
      <c r="CB441" s="2" t="s">
        <v>228</v>
      </c>
      <c r="CC441" s="2" t="s">
        <v>241</v>
      </c>
      <c r="CD441" s="2" t="s">
        <v>228</v>
      </c>
      <c r="CE441" s="4"/>
      <c r="CF441" s="4">
        <v>89</v>
      </c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</row>
    <row r="442">
      <c r="A442" s="2" t="s">
        <v>2917</v>
      </c>
      <c r="B442" s="2" t="s">
        <v>1374</v>
      </c>
      <c r="C442" s="2" t="s">
        <v>1463</v>
      </c>
      <c r="D442" s="2" t="s">
        <v>1399</v>
      </c>
      <c r="E442" s="2" t="s">
        <v>1400</v>
      </c>
      <c r="F442" s="2" t="s">
        <v>2918</v>
      </c>
      <c r="G442" s="2" t="s">
        <v>2918</v>
      </c>
      <c r="H442" s="2" t="s">
        <v>2918</v>
      </c>
      <c r="I442" s="2" t="s">
        <v>2919</v>
      </c>
      <c r="J442" s="2" t="s">
        <v>2920</v>
      </c>
      <c r="K442" s="2" t="s">
        <v>231</v>
      </c>
      <c r="L442" s="3">
        <v>27.23</v>
      </c>
      <c r="M442" s="3">
        <v>28.59</v>
      </c>
      <c r="N442" s="3">
        <v>79.99</v>
      </c>
      <c r="O442" s="2" t="s">
        <v>240</v>
      </c>
      <c r="P442" s="2" t="s">
        <v>333</v>
      </c>
      <c r="Q442" s="2" t="s">
        <v>234</v>
      </c>
      <c r="R442" s="2" t="s">
        <v>228</v>
      </c>
      <c r="S442" s="2" t="s">
        <v>228</v>
      </c>
      <c r="T442" s="2" t="s">
        <v>228</v>
      </c>
      <c r="U442" s="2" t="s">
        <v>228</v>
      </c>
      <c r="V442" s="2" t="s">
        <v>236</v>
      </c>
      <c r="W442" s="2" t="s">
        <v>269</v>
      </c>
      <c r="X442" s="2" t="s">
        <v>228</v>
      </c>
      <c r="Y442" s="2" t="s">
        <v>2393</v>
      </c>
      <c r="Z442" s="4">
        <v>472</v>
      </c>
      <c r="AA442" s="4">
        <f>=ROUNDDOWN(472,0)</f>
      </c>
      <c r="AB442" s="5">
        <v>1</v>
      </c>
      <c r="AC442" s="2" t="s">
        <v>228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228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/>
      <c r="BD442" s="8"/>
      <c r="BE442" s="4"/>
      <c r="BF442" s="8"/>
      <c r="BG442" s="7"/>
      <c r="BH442" s="7"/>
      <c r="BI442" s="7"/>
      <c r="BJ442" s="4">
        <v>5</v>
      </c>
      <c r="BK442" s="8">
        <v>154.97</v>
      </c>
      <c r="BL442" s="2" t="s">
        <v>2160</v>
      </c>
      <c r="BM442" s="7"/>
      <c r="BN442" s="7"/>
      <c r="BO442" s="4"/>
      <c r="BP442" s="8"/>
      <c r="BQ442" s="4"/>
      <c r="BR442" s="8"/>
      <c r="BS442" s="7"/>
      <c r="BT442" s="7"/>
      <c r="BU442" s="2" t="s">
        <v>2921</v>
      </c>
      <c r="BV442" s="2" t="s">
        <v>228</v>
      </c>
      <c r="BW442" s="2" t="s">
        <v>228</v>
      </c>
      <c r="BX442" s="2" t="s">
        <v>337</v>
      </c>
      <c r="BY442" s="2" t="s">
        <v>274</v>
      </c>
      <c r="BZ442" s="2" t="s">
        <v>240</v>
      </c>
      <c r="CA442" s="2" t="s">
        <v>2922</v>
      </c>
      <c r="CB442" s="2" t="s">
        <v>2923</v>
      </c>
      <c r="CC442" s="2" t="s">
        <v>241</v>
      </c>
      <c r="CD442" s="2" t="s">
        <v>228</v>
      </c>
      <c r="CE442" s="4">
        <v>472</v>
      </c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</row>
    <row r="443">
      <c r="A443" s="2" t="s">
        <v>2924</v>
      </c>
      <c r="B443" s="2" t="s">
        <v>848</v>
      </c>
      <c r="C443" s="2" t="s">
        <v>2925</v>
      </c>
      <c r="D443" s="2" t="s">
        <v>1112</v>
      </c>
      <c r="E443" s="2" t="s">
        <v>1165</v>
      </c>
      <c r="F443" s="2" t="s">
        <v>2926</v>
      </c>
      <c r="G443" s="2" t="s">
        <v>2927</v>
      </c>
      <c r="H443" s="2" t="s">
        <v>2928</v>
      </c>
      <c r="I443" s="2" t="s">
        <v>2929</v>
      </c>
      <c r="J443" s="2" t="s">
        <v>1189</v>
      </c>
      <c r="K443" s="2" t="s">
        <v>978</v>
      </c>
      <c r="L443" s="3">
        <v>68.84</v>
      </c>
      <c r="M443" s="3">
        <v>72.28</v>
      </c>
      <c r="N443" s="3">
        <v>144.99</v>
      </c>
      <c r="O443" s="2" t="s">
        <v>240</v>
      </c>
      <c r="P443" s="2" t="s">
        <v>333</v>
      </c>
      <c r="Q443" s="2" t="s">
        <v>234</v>
      </c>
      <c r="R443" s="2" t="s">
        <v>228</v>
      </c>
      <c r="S443" s="2" t="s">
        <v>2930</v>
      </c>
      <c r="T443" s="2" t="s">
        <v>350</v>
      </c>
      <c r="U443" s="2" t="s">
        <v>1170</v>
      </c>
      <c r="V443" s="2" t="s">
        <v>236</v>
      </c>
      <c r="W443" s="2" t="s">
        <v>2512</v>
      </c>
      <c r="X443" s="2" t="s">
        <v>2882</v>
      </c>
      <c r="Y443" s="2" t="s">
        <v>2931</v>
      </c>
      <c r="Z443" s="4">
        <v>301</v>
      </c>
      <c r="AA443" s="4">
        <f>=ROUNDDOWN(27.3636363636364,0)</f>
      </c>
      <c r="AB443" s="5">
        <v>11</v>
      </c>
      <c r="AC443" s="2" t="s">
        <v>228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228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/>
      <c r="BD443" s="8"/>
      <c r="BE443" s="4"/>
      <c r="BF443" s="8"/>
      <c r="BG443" s="7"/>
      <c r="BH443" s="7"/>
      <c r="BI443" s="7"/>
      <c r="BJ443" s="4">
        <v>33</v>
      </c>
      <c r="BK443" s="8">
        <v>2383.6</v>
      </c>
      <c r="BL443" s="2" t="s">
        <v>2932</v>
      </c>
      <c r="BM443" s="7"/>
      <c r="BN443" s="7"/>
      <c r="BO443" s="4"/>
      <c r="BP443" s="8"/>
      <c r="BQ443" s="4"/>
      <c r="BR443" s="8"/>
      <c r="BS443" s="7"/>
      <c r="BT443" s="7"/>
      <c r="BU443" s="2" t="s">
        <v>2933</v>
      </c>
      <c r="BV443" s="2" t="s">
        <v>228</v>
      </c>
      <c r="BW443" s="2" t="s">
        <v>228</v>
      </c>
      <c r="BX443" s="2" t="s">
        <v>337</v>
      </c>
      <c r="BY443" s="2" t="s">
        <v>274</v>
      </c>
      <c r="BZ443" s="2" t="s">
        <v>240</v>
      </c>
      <c r="CA443" s="2" t="s">
        <v>2934</v>
      </c>
      <c r="CB443" s="2" t="s">
        <v>620</v>
      </c>
      <c r="CC443" s="2" t="s">
        <v>241</v>
      </c>
      <c r="CD443" s="2" t="s">
        <v>228</v>
      </c>
      <c r="CE443" s="4">
        <v>301</v>
      </c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</row>
    <row r="444">
      <c r="A444" s="2" t="s">
        <v>2935</v>
      </c>
      <c r="B444" s="2" t="s">
        <v>958</v>
      </c>
      <c r="C444" s="2" t="s">
        <v>300</v>
      </c>
      <c r="D444" s="2" t="s">
        <v>1006</v>
      </c>
      <c r="E444" s="2" t="s">
        <v>1007</v>
      </c>
      <c r="F444" s="2" t="s">
        <v>2936</v>
      </c>
      <c r="G444" s="2" t="s">
        <v>2937</v>
      </c>
      <c r="H444" s="2" t="s">
        <v>2938</v>
      </c>
      <c r="I444" s="2" t="s">
        <v>1020</v>
      </c>
      <c r="J444" s="2" t="s">
        <v>840</v>
      </c>
      <c r="K444" s="2" t="s">
        <v>1653</v>
      </c>
      <c r="L444" s="3">
        <v>465.5</v>
      </c>
      <c r="M444" s="3">
        <v>488.78</v>
      </c>
      <c r="N444" s="3">
        <v>979</v>
      </c>
      <c r="O444" s="2" t="s">
        <v>240</v>
      </c>
      <c r="P444" s="2" t="s">
        <v>1022</v>
      </c>
      <c r="Q444" s="2" t="s">
        <v>234</v>
      </c>
      <c r="R444" s="2" t="s">
        <v>16</v>
      </c>
      <c r="S444" s="2" t="s">
        <v>2939</v>
      </c>
      <c r="T444" s="2" t="s">
        <v>228</v>
      </c>
      <c r="U444" s="2" t="s">
        <v>520</v>
      </c>
      <c r="V444" s="2" t="s">
        <v>236</v>
      </c>
      <c r="W444" s="2" t="s">
        <v>463</v>
      </c>
      <c r="X444" s="2" t="s">
        <v>228</v>
      </c>
      <c r="Y444" s="2" t="s">
        <v>2940</v>
      </c>
      <c r="Z444" s="4">
        <v>55</v>
      </c>
      <c r="AA444" s="4">
        <f>=ROUNDDOWN({0},0)</f>
      </c>
      <c r="AB444" s="5"/>
      <c r="AC444" s="2" t="s">
        <v>228</v>
      </c>
      <c r="AD444" s="4"/>
      <c r="AE444" s="4"/>
      <c r="AF444" s="6"/>
      <c r="AG444" s="6"/>
      <c r="AH444" s="7">
        <v>1</v>
      </c>
      <c r="AI444" s="4"/>
      <c r="AJ444" s="4">
        <f>=ROUNDDOWN({0},0)</f>
      </c>
      <c r="AK444" s="5"/>
      <c r="AL444" s="2" t="s">
        <v>228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/>
      <c r="BD444" s="8"/>
      <c r="BE444" s="4"/>
      <c r="BF444" s="8"/>
      <c r="BG444" s="7"/>
      <c r="BH444" s="7"/>
      <c r="BI444" s="7"/>
      <c r="BJ444" s="4"/>
      <c r="BK444" s="8"/>
      <c r="BL444" s="2" t="s">
        <v>228</v>
      </c>
      <c r="BM444" s="7"/>
      <c r="BN444" s="7"/>
      <c r="BO444" s="4"/>
      <c r="BP444" s="8"/>
      <c r="BQ444" s="4"/>
      <c r="BR444" s="8"/>
      <c r="BS444" s="7"/>
      <c r="BT444" s="7"/>
      <c r="BU444" s="2" t="s">
        <v>2941</v>
      </c>
      <c r="BV444" s="2" t="s">
        <v>228</v>
      </c>
      <c r="BW444" s="2" t="s">
        <v>228</v>
      </c>
      <c r="BX444" s="2" t="s">
        <v>273</v>
      </c>
      <c r="BY444" s="2" t="s">
        <v>274</v>
      </c>
      <c r="BZ444" s="2" t="s">
        <v>240</v>
      </c>
      <c r="CA444" s="2" t="s">
        <v>1026</v>
      </c>
      <c r="CB444" s="2" t="s">
        <v>228</v>
      </c>
      <c r="CC444" s="2" t="s">
        <v>241</v>
      </c>
      <c r="CD444" s="2" t="s">
        <v>228</v>
      </c>
      <c r="CE444" s="4"/>
      <c r="CF444" s="4">
        <v>55</v>
      </c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</row>
    <row r="445">
      <c r="A445" s="2" t="s">
        <v>2942</v>
      </c>
      <c r="B445" s="2" t="s">
        <v>258</v>
      </c>
      <c r="C445" s="2" t="s">
        <v>300</v>
      </c>
      <c r="D445" s="2" t="s">
        <v>225</v>
      </c>
      <c r="E445" s="2" t="s">
        <v>2943</v>
      </c>
      <c r="F445" s="2" t="s">
        <v>2944</v>
      </c>
      <c r="G445" s="2" t="s">
        <v>2945</v>
      </c>
      <c r="H445" s="2" t="s">
        <v>2945</v>
      </c>
      <c r="I445" s="2" t="s">
        <v>2946</v>
      </c>
      <c r="J445" s="2" t="s">
        <v>264</v>
      </c>
      <c r="K445" s="2" t="s">
        <v>1466</v>
      </c>
      <c r="L445" s="3">
        <v>21.16</v>
      </c>
      <c r="M445" s="3">
        <v>22.22</v>
      </c>
      <c r="N445" s="3">
        <v>44.99</v>
      </c>
      <c r="O445" s="2" t="s">
        <v>240</v>
      </c>
      <c r="P445" s="2" t="s">
        <v>333</v>
      </c>
      <c r="Q445" s="2" t="s">
        <v>234</v>
      </c>
      <c r="R445" s="2" t="s">
        <v>228</v>
      </c>
      <c r="S445" s="2" t="s">
        <v>2947</v>
      </c>
      <c r="T445" s="2" t="s">
        <v>415</v>
      </c>
      <c r="U445" s="2" t="s">
        <v>416</v>
      </c>
      <c r="V445" s="2" t="s">
        <v>236</v>
      </c>
      <c r="W445" s="2" t="s">
        <v>269</v>
      </c>
      <c r="X445" s="2" t="s">
        <v>228</v>
      </c>
      <c r="Y445" s="2" t="s">
        <v>2948</v>
      </c>
      <c r="Z445" s="4">
        <v>133</v>
      </c>
      <c r="AA445" s="4">
        <f>=ROUNDDOWN(26.6,0)</f>
      </c>
      <c r="AB445" s="5">
        <v>5</v>
      </c>
      <c r="AC445" s="2" t="s">
        <v>228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228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 t="s">
        <v>228</v>
      </c>
      <c r="BD445" s="8" t="s">
        <v>228</v>
      </c>
      <c r="BE445" s="4" t="s">
        <v>228</v>
      </c>
      <c r="BF445" s="8" t="s">
        <v>228</v>
      </c>
      <c r="BG445" s="7" t="s">
        <v>228</v>
      </c>
      <c r="BH445" s="7" t="s">
        <v>228</v>
      </c>
      <c r="BI445" s="7"/>
      <c r="BJ445" s="4">
        <v>29</v>
      </c>
      <c r="BK445" s="8">
        <v>581.14</v>
      </c>
      <c r="BL445" s="2" t="s">
        <v>2949</v>
      </c>
      <c r="BM445" s="7"/>
      <c r="BN445" s="7"/>
      <c r="BO445" s="4"/>
      <c r="BP445" s="8"/>
      <c r="BQ445" s="4"/>
      <c r="BR445" s="8"/>
      <c r="BS445" s="7"/>
      <c r="BT445" s="7"/>
      <c r="BU445" s="2" t="s">
        <v>2950</v>
      </c>
      <c r="BV445" s="2" t="s">
        <v>228</v>
      </c>
      <c r="BW445" s="2" t="s">
        <v>228</v>
      </c>
      <c r="BX445" s="2" t="s">
        <v>337</v>
      </c>
      <c r="BY445" s="2" t="s">
        <v>274</v>
      </c>
      <c r="BZ445" s="2" t="s">
        <v>240</v>
      </c>
      <c r="CA445" s="2" t="s">
        <v>1740</v>
      </c>
      <c r="CB445" s="2" t="s">
        <v>1690</v>
      </c>
      <c r="CC445" s="2" t="s">
        <v>241</v>
      </c>
      <c r="CD445" s="2" t="s">
        <v>228</v>
      </c>
      <c r="CE445" s="4">
        <v>133</v>
      </c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</row>
    <row r="446">
      <c r="A446" s="2" t="s">
        <v>2951</v>
      </c>
      <c r="B446" s="2" t="s">
        <v>258</v>
      </c>
      <c r="C446" s="2" t="s">
        <v>300</v>
      </c>
      <c r="D446" s="2" t="s">
        <v>225</v>
      </c>
      <c r="E446" s="2" t="s">
        <v>2943</v>
      </c>
      <c r="F446" s="2" t="s">
        <v>2944</v>
      </c>
      <c r="G446" s="2" t="s">
        <v>2945</v>
      </c>
      <c r="H446" s="2" t="s">
        <v>2945</v>
      </c>
      <c r="I446" s="2" t="s">
        <v>2946</v>
      </c>
      <c r="J446" s="2" t="s">
        <v>294</v>
      </c>
      <c r="K446" s="2" t="s">
        <v>725</v>
      </c>
      <c r="L446" s="3">
        <v>28.98</v>
      </c>
      <c r="M446" s="3">
        <v>30.43</v>
      </c>
      <c r="N446" s="3">
        <v>64.99</v>
      </c>
      <c r="O446" s="2" t="s">
        <v>461</v>
      </c>
      <c r="P446" s="2" t="s">
        <v>333</v>
      </c>
      <c r="Q446" s="2" t="s">
        <v>234</v>
      </c>
      <c r="R446" s="2" t="s">
        <v>228</v>
      </c>
      <c r="S446" s="2" t="s">
        <v>2952</v>
      </c>
      <c r="T446" s="2" t="s">
        <v>415</v>
      </c>
      <c r="U446" s="2" t="s">
        <v>416</v>
      </c>
      <c r="V446" s="2" t="s">
        <v>236</v>
      </c>
      <c r="W446" s="2" t="s">
        <v>269</v>
      </c>
      <c r="X446" s="2" t="s">
        <v>228</v>
      </c>
      <c r="Y446" s="2" t="s">
        <v>2948</v>
      </c>
      <c r="Z446" s="4">
        <v>219</v>
      </c>
      <c r="AA446" s="4">
        <f>=ROUNDDOWN(31.2857142857143,0)</f>
      </c>
      <c r="AB446" s="5">
        <v>7</v>
      </c>
      <c r="AC446" s="2" t="s">
        <v>228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228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 t="s">
        <v>228</v>
      </c>
      <c r="BD446" s="8" t="s">
        <v>228</v>
      </c>
      <c r="BE446" s="4" t="s">
        <v>228</v>
      </c>
      <c r="BF446" s="8" t="s">
        <v>228</v>
      </c>
      <c r="BG446" s="7" t="s">
        <v>228</v>
      </c>
      <c r="BH446" s="7" t="s">
        <v>228</v>
      </c>
      <c r="BI446" s="7"/>
      <c r="BJ446" s="4">
        <v>36</v>
      </c>
      <c r="BK446" s="8">
        <v>978.48</v>
      </c>
      <c r="BL446" s="2" t="s">
        <v>2953</v>
      </c>
      <c r="BM446" s="7"/>
      <c r="BN446" s="7"/>
      <c r="BO446" s="4"/>
      <c r="BP446" s="8"/>
      <c r="BQ446" s="4"/>
      <c r="BR446" s="8"/>
      <c r="BS446" s="7"/>
      <c r="BT446" s="7"/>
      <c r="BU446" s="2" t="s">
        <v>2954</v>
      </c>
      <c r="BV446" s="2" t="s">
        <v>228</v>
      </c>
      <c r="BW446" s="2" t="s">
        <v>228</v>
      </c>
      <c r="BX446" s="2" t="s">
        <v>337</v>
      </c>
      <c r="BY446" s="2" t="s">
        <v>274</v>
      </c>
      <c r="BZ446" s="2" t="s">
        <v>240</v>
      </c>
      <c r="CA446" s="2" t="s">
        <v>1740</v>
      </c>
      <c r="CB446" s="2" t="s">
        <v>2955</v>
      </c>
      <c r="CC446" s="2" t="s">
        <v>241</v>
      </c>
      <c r="CD446" s="2" t="s">
        <v>228</v>
      </c>
      <c r="CE446" s="4">
        <v>219</v>
      </c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</row>
    <row r="447">
      <c r="A447" s="2" t="s">
        <v>2956</v>
      </c>
      <c r="B447" s="2" t="s">
        <v>258</v>
      </c>
      <c r="C447" s="2" t="s">
        <v>300</v>
      </c>
      <c r="D447" s="2" t="s">
        <v>225</v>
      </c>
      <c r="E447" s="2" t="s">
        <v>2943</v>
      </c>
      <c r="F447" s="2" t="s">
        <v>2944</v>
      </c>
      <c r="G447" s="2" t="s">
        <v>2945</v>
      </c>
      <c r="H447" s="2" t="s">
        <v>2945</v>
      </c>
      <c r="I447" s="2" t="s">
        <v>2946</v>
      </c>
      <c r="J447" s="2" t="s">
        <v>264</v>
      </c>
      <c r="K447" s="2" t="s">
        <v>829</v>
      </c>
      <c r="L447" s="3">
        <v>21.16</v>
      </c>
      <c r="M447" s="3">
        <v>22.22</v>
      </c>
      <c r="N447" s="3">
        <v>44.99</v>
      </c>
      <c r="O447" s="2" t="s">
        <v>240</v>
      </c>
      <c r="P447" s="2" t="s">
        <v>333</v>
      </c>
      <c r="Q447" s="2" t="s">
        <v>234</v>
      </c>
      <c r="R447" s="2" t="s">
        <v>228</v>
      </c>
      <c r="S447" s="2" t="s">
        <v>2957</v>
      </c>
      <c r="T447" s="2" t="s">
        <v>415</v>
      </c>
      <c r="U447" s="2" t="s">
        <v>228</v>
      </c>
      <c r="V447" s="2" t="s">
        <v>236</v>
      </c>
      <c r="W447" s="2" t="s">
        <v>269</v>
      </c>
      <c r="X447" s="2" t="s">
        <v>228</v>
      </c>
      <c r="Y447" s="2" t="s">
        <v>270</v>
      </c>
      <c r="Z447" s="4">
        <v>206</v>
      </c>
      <c r="AA447" s="4">
        <f>=ROUNDDOWN(29.4285714285714,0)</f>
      </c>
      <c r="AB447" s="5">
        <v>7</v>
      </c>
      <c r="AC447" s="2" t="s">
        <v>228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228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 t="s">
        <v>228</v>
      </c>
      <c r="BD447" s="8" t="s">
        <v>228</v>
      </c>
      <c r="BE447" s="4" t="s">
        <v>228</v>
      </c>
      <c r="BF447" s="8" t="s">
        <v>228</v>
      </c>
      <c r="BG447" s="7" t="s">
        <v>228</v>
      </c>
      <c r="BH447" s="7" t="s">
        <v>228</v>
      </c>
      <c r="BI447" s="7"/>
      <c r="BJ447" s="4">
        <v>30</v>
      </c>
      <c r="BK447" s="8">
        <v>588.66</v>
      </c>
      <c r="BL447" s="2" t="s">
        <v>2958</v>
      </c>
      <c r="BM447" s="7"/>
      <c r="BN447" s="7"/>
      <c r="BO447" s="4"/>
      <c r="BP447" s="8"/>
      <c r="BQ447" s="4"/>
      <c r="BR447" s="8"/>
      <c r="BS447" s="7"/>
      <c r="BT447" s="7"/>
      <c r="BU447" s="2" t="s">
        <v>2959</v>
      </c>
      <c r="BV447" s="2" t="s">
        <v>228</v>
      </c>
      <c r="BW447" s="2" t="s">
        <v>228</v>
      </c>
      <c r="BX447" s="2" t="s">
        <v>337</v>
      </c>
      <c r="BY447" s="2" t="s">
        <v>274</v>
      </c>
      <c r="BZ447" s="2" t="s">
        <v>240</v>
      </c>
      <c r="CA447" s="2" t="s">
        <v>275</v>
      </c>
      <c r="CB447" s="2" t="s">
        <v>2960</v>
      </c>
      <c r="CC447" s="2" t="s">
        <v>241</v>
      </c>
      <c r="CD447" s="2" t="s">
        <v>228</v>
      </c>
      <c r="CE447" s="4">
        <v>206</v>
      </c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</row>
    <row r="448">
      <c r="A448" s="2" t="s">
        <v>2961</v>
      </c>
      <c r="B448" s="2" t="s">
        <v>834</v>
      </c>
      <c r="C448" s="2" t="s">
        <v>885</v>
      </c>
      <c r="D448" s="2" t="s">
        <v>836</v>
      </c>
      <c r="E448" s="2" t="s">
        <v>837</v>
      </c>
      <c r="F448" s="2" t="s">
        <v>2962</v>
      </c>
      <c r="G448" s="2" t="s">
        <v>2962</v>
      </c>
      <c r="H448" s="2" t="s">
        <v>2962</v>
      </c>
      <c r="I448" s="2" t="s">
        <v>2963</v>
      </c>
      <c r="J448" s="2" t="s">
        <v>840</v>
      </c>
      <c r="K448" s="2" t="s">
        <v>2964</v>
      </c>
      <c r="L448" s="3">
        <v>89.1</v>
      </c>
      <c r="M448" s="3">
        <v>93.56</v>
      </c>
      <c r="N448" s="3">
        <v>209</v>
      </c>
      <c r="O448" s="2" t="s">
        <v>461</v>
      </c>
      <c r="P448" s="2" t="s">
        <v>333</v>
      </c>
      <c r="Q448" s="2" t="s">
        <v>234</v>
      </c>
      <c r="R448" s="2" t="s">
        <v>228</v>
      </c>
      <c r="S448" s="2" t="s">
        <v>228</v>
      </c>
      <c r="T448" s="2" t="s">
        <v>228</v>
      </c>
      <c r="U448" s="2" t="s">
        <v>416</v>
      </c>
      <c r="V448" s="2" t="s">
        <v>842</v>
      </c>
      <c r="W448" s="2" t="s">
        <v>463</v>
      </c>
      <c r="X448" s="2" t="s">
        <v>892</v>
      </c>
      <c r="Y448" s="2" t="s">
        <v>1291</v>
      </c>
      <c r="Z448" s="4">
        <v>44</v>
      </c>
      <c r="AA448" s="4">
        <f>=ROUNDDOWN(22,0)</f>
      </c>
      <c r="AB448" s="5">
        <v>2</v>
      </c>
      <c r="AC448" s="2" t="s">
        <v>228</v>
      </c>
      <c r="AD448" s="4"/>
      <c r="AE448" s="4"/>
      <c r="AF448" s="6">
        <v>63</v>
      </c>
      <c r="AG448" s="6"/>
      <c r="AH448" s="7">
        <v>1</v>
      </c>
      <c r="AI448" s="4"/>
      <c r="AJ448" s="4">
        <f>=ROUNDDOWN({0},0)</f>
      </c>
      <c r="AK448" s="5"/>
      <c r="AL448" s="2" t="s">
        <v>228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/>
      <c r="AW448" s="8"/>
      <c r="AX448" s="4"/>
      <c r="AY448" s="8"/>
      <c r="AZ448" s="7"/>
      <c r="BA448" s="7"/>
      <c r="BB448" s="7"/>
      <c r="BC448" s="4"/>
      <c r="BD448" s="8"/>
      <c r="BE448" s="4"/>
      <c r="BF448" s="8"/>
      <c r="BG448" s="7"/>
      <c r="BH448" s="7"/>
      <c r="BI448" s="7"/>
      <c r="BJ448" s="4">
        <v>13</v>
      </c>
      <c r="BK448" s="8">
        <v>960.78</v>
      </c>
      <c r="BL448" s="2" t="s">
        <v>2965</v>
      </c>
      <c r="BM448" s="7"/>
      <c r="BN448" s="7"/>
      <c r="BO448" s="4"/>
      <c r="BP448" s="8"/>
      <c r="BQ448" s="4"/>
      <c r="BR448" s="8"/>
      <c r="BS448" s="7"/>
      <c r="BT448" s="7"/>
      <c r="BU448" s="2" t="s">
        <v>2966</v>
      </c>
      <c r="BV448" s="2" t="s">
        <v>228</v>
      </c>
      <c r="BW448" s="2" t="s">
        <v>228</v>
      </c>
      <c r="BX448" s="2" t="s">
        <v>337</v>
      </c>
      <c r="BY448" s="2" t="s">
        <v>274</v>
      </c>
      <c r="BZ448" s="2" t="s">
        <v>240</v>
      </c>
      <c r="CA448" s="2" t="s">
        <v>1293</v>
      </c>
      <c r="CB448" s="2" t="s">
        <v>514</v>
      </c>
      <c r="CC448" s="2" t="s">
        <v>241</v>
      </c>
      <c r="CD448" s="2" t="s">
        <v>228</v>
      </c>
      <c r="CE448" s="4"/>
      <c r="CF448" s="4">
        <v>44</v>
      </c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</row>
    <row r="449">
      <c r="A449" s="2" t="s">
        <v>2967</v>
      </c>
      <c r="B449" s="2" t="s">
        <v>1276</v>
      </c>
      <c r="C449" s="2" t="s">
        <v>300</v>
      </c>
      <c r="D449" s="2" t="s">
        <v>1276</v>
      </c>
      <c r="E449" s="2" t="s">
        <v>1276</v>
      </c>
      <c r="F449" s="2" t="s">
        <v>2968</v>
      </c>
      <c r="G449" s="2" t="s">
        <v>2969</v>
      </c>
      <c r="H449" s="2" t="s">
        <v>2970</v>
      </c>
      <c r="I449" s="2" t="s">
        <v>2971</v>
      </c>
      <c r="J449" s="2" t="s">
        <v>2972</v>
      </c>
      <c r="K449" s="2" t="s">
        <v>1105</v>
      </c>
      <c r="L449" s="3">
        <v>45.2</v>
      </c>
      <c r="M449" s="3">
        <v>47.46</v>
      </c>
      <c r="N449" s="3">
        <v>104.99</v>
      </c>
      <c r="O449" s="2" t="s">
        <v>461</v>
      </c>
      <c r="P449" s="2" t="s">
        <v>333</v>
      </c>
      <c r="Q449" s="2" t="s">
        <v>234</v>
      </c>
      <c r="R449" s="2" t="s">
        <v>228</v>
      </c>
      <c r="S449" s="2" t="s">
        <v>228</v>
      </c>
      <c r="T449" s="2" t="s">
        <v>228</v>
      </c>
      <c r="U449" s="2" t="s">
        <v>416</v>
      </c>
      <c r="V449" s="2" t="s">
        <v>236</v>
      </c>
      <c r="W449" s="2" t="s">
        <v>417</v>
      </c>
      <c r="X449" s="2" t="s">
        <v>228</v>
      </c>
      <c r="Y449" s="2" t="s">
        <v>2973</v>
      </c>
      <c r="Z449" s="4">
        <v>117</v>
      </c>
      <c r="AA449" s="4">
        <f>=ROUNDDOWN(30,0)</f>
      </c>
      <c r="AB449" s="5">
        <v>3.9</v>
      </c>
      <c r="AC449" s="2" t="s">
        <v>228</v>
      </c>
      <c r="AD449" s="4"/>
      <c r="AE449" s="4"/>
      <c r="AF449" s="6">
        <v>63</v>
      </c>
      <c r="AG449" s="6"/>
      <c r="AH449" s="7">
        <v>1</v>
      </c>
      <c r="AI449" s="4"/>
      <c r="AJ449" s="4">
        <f>=ROUNDDOWN({0},0)</f>
      </c>
      <c r="AK449" s="5"/>
      <c r="AL449" s="2" t="s">
        <v>228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228</v>
      </c>
      <c r="AW449" s="8" t="s">
        <v>228</v>
      </c>
      <c r="AX449" s="4" t="s">
        <v>228</v>
      </c>
      <c r="AY449" s="8" t="s">
        <v>228</v>
      </c>
      <c r="AZ449" s="7" t="s">
        <v>228</v>
      </c>
      <c r="BA449" s="7" t="s">
        <v>228</v>
      </c>
      <c r="BB449" s="7"/>
      <c r="BC449" s="4" t="s">
        <v>228</v>
      </c>
      <c r="BD449" s="8" t="s">
        <v>228</v>
      </c>
      <c r="BE449" s="4" t="s">
        <v>228</v>
      </c>
      <c r="BF449" s="8" t="s">
        <v>228</v>
      </c>
      <c r="BG449" s="7" t="s">
        <v>228</v>
      </c>
      <c r="BH449" s="7" t="s">
        <v>228</v>
      </c>
      <c r="BI449" s="7"/>
      <c r="BJ449" s="4">
        <v>9</v>
      </c>
      <c r="BK449" s="8">
        <v>283.05</v>
      </c>
      <c r="BL449" s="2" t="s">
        <v>2974</v>
      </c>
      <c r="BM449" s="7"/>
      <c r="BN449" s="7"/>
      <c r="BO449" s="4"/>
      <c r="BP449" s="8"/>
      <c r="BQ449" s="4"/>
      <c r="BR449" s="8"/>
      <c r="BS449" s="7"/>
      <c r="BT449" s="7"/>
      <c r="BU449" s="2" t="s">
        <v>2975</v>
      </c>
      <c r="BV449" s="2" t="s">
        <v>228</v>
      </c>
      <c r="BW449" s="2" t="s">
        <v>228</v>
      </c>
      <c r="BX449" s="2" t="s">
        <v>337</v>
      </c>
      <c r="BY449" s="2" t="s">
        <v>274</v>
      </c>
      <c r="BZ449" s="2" t="s">
        <v>240</v>
      </c>
      <c r="CA449" s="2" t="s">
        <v>2976</v>
      </c>
      <c r="CB449" s="2" t="s">
        <v>2673</v>
      </c>
      <c r="CC449" s="2" t="s">
        <v>241</v>
      </c>
      <c r="CD449" s="2" t="s">
        <v>228</v>
      </c>
      <c r="CE449" s="4"/>
      <c r="CF449" s="4">
        <v>117</v>
      </c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</row>
    <row r="450">
      <c r="A450" s="2" t="s">
        <v>2977</v>
      </c>
      <c r="B450" s="2" t="s">
        <v>1276</v>
      </c>
      <c r="C450" s="2" t="s">
        <v>300</v>
      </c>
      <c r="D450" s="2" t="s">
        <v>1276</v>
      </c>
      <c r="E450" s="2" t="s">
        <v>1276</v>
      </c>
      <c r="F450" s="2" t="s">
        <v>2968</v>
      </c>
      <c r="G450" s="2" t="s">
        <v>2969</v>
      </c>
      <c r="H450" s="2" t="s">
        <v>2970</v>
      </c>
      <c r="I450" s="2" t="s">
        <v>2971</v>
      </c>
      <c r="J450" s="2" t="s">
        <v>1711</v>
      </c>
      <c r="K450" s="2" t="s">
        <v>1105</v>
      </c>
      <c r="L450" s="3">
        <v>69.98</v>
      </c>
      <c r="M450" s="3">
        <v>73.48</v>
      </c>
      <c r="N450" s="3">
        <v>159.99</v>
      </c>
      <c r="O450" s="2" t="s">
        <v>461</v>
      </c>
      <c r="P450" s="2" t="s">
        <v>333</v>
      </c>
      <c r="Q450" s="2" t="s">
        <v>234</v>
      </c>
      <c r="R450" s="2" t="s">
        <v>228</v>
      </c>
      <c r="S450" s="2" t="s">
        <v>228</v>
      </c>
      <c r="T450" s="2" t="s">
        <v>228</v>
      </c>
      <c r="U450" s="2" t="s">
        <v>416</v>
      </c>
      <c r="V450" s="2" t="s">
        <v>236</v>
      </c>
      <c r="W450" s="2" t="s">
        <v>417</v>
      </c>
      <c r="X450" s="2" t="s">
        <v>228</v>
      </c>
      <c r="Y450" s="2" t="s">
        <v>2973</v>
      </c>
      <c r="Z450" s="4">
        <v>276</v>
      </c>
      <c r="AA450" s="4">
        <f>=ROUNDDOWN(276,0)</f>
      </c>
      <c r="AB450" s="5">
        <v>1</v>
      </c>
      <c r="AC450" s="2" t="s">
        <v>228</v>
      </c>
      <c r="AD450" s="4"/>
      <c r="AE450" s="4"/>
      <c r="AF450" s="6">
        <v>63</v>
      </c>
      <c r="AG450" s="6"/>
      <c r="AH450" s="7">
        <v>1</v>
      </c>
      <c r="AI450" s="4"/>
      <c r="AJ450" s="4">
        <f>=ROUNDDOWN({0},0)</f>
      </c>
      <c r="AK450" s="5"/>
      <c r="AL450" s="2" t="s">
        <v>228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228</v>
      </c>
      <c r="AW450" s="8" t="s">
        <v>228</v>
      </c>
      <c r="AX450" s="4" t="s">
        <v>228</v>
      </c>
      <c r="AY450" s="8" t="s">
        <v>228</v>
      </c>
      <c r="AZ450" s="7" t="s">
        <v>228</v>
      </c>
      <c r="BA450" s="7" t="s">
        <v>228</v>
      </c>
      <c r="BB450" s="7"/>
      <c r="BC450" s="4" t="s">
        <v>228</v>
      </c>
      <c r="BD450" s="8" t="s">
        <v>228</v>
      </c>
      <c r="BE450" s="4" t="s">
        <v>228</v>
      </c>
      <c r="BF450" s="8" t="s">
        <v>228</v>
      </c>
      <c r="BG450" s="7" t="s">
        <v>228</v>
      </c>
      <c r="BH450" s="7" t="s">
        <v>228</v>
      </c>
      <c r="BI450" s="7"/>
      <c r="BJ450" s="4">
        <v>4</v>
      </c>
      <c r="BK450" s="8">
        <v>185.16</v>
      </c>
      <c r="BL450" s="2" t="s">
        <v>2978</v>
      </c>
      <c r="BM450" s="7"/>
      <c r="BN450" s="7"/>
      <c r="BO450" s="4"/>
      <c r="BP450" s="8"/>
      <c r="BQ450" s="4"/>
      <c r="BR450" s="8"/>
      <c r="BS450" s="7"/>
      <c r="BT450" s="7"/>
      <c r="BU450" s="2" t="s">
        <v>2979</v>
      </c>
      <c r="BV450" s="2" t="s">
        <v>228</v>
      </c>
      <c r="BW450" s="2" t="s">
        <v>228</v>
      </c>
      <c r="BX450" s="2" t="s">
        <v>337</v>
      </c>
      <c r="BY450" s="2" t="s">
        <v>274</v>
      </c>
      <c r="BZ450" s="2" t="s">
        <v>240</v>
      </c>
      <c r="CA450" s="2" t="s">
        <v>2976</v>
      </c>
      <c r="CB450" s="2" t="s">
        <v>2980</v>
      </c>
      <c r="CC450" s="2" t="s">
        <v>241</v>
      </c>
      <c r="CD450" s="2" t="s">
        <v>228</v>
      </c>
      <c r="CE450" s="4"/>
      <c r="CF450" s="4">
        <v>276</v>
      </c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</row>
    <row r="451">
      <c r="A451" s="2" t="s">
        <v>2981</v>
      </c>
      <c r="B451" s="2" t="s">
        <v>1276</v>
      </c>
      <c r="C451" s="2" t="s">
        <v>300</v>
      </c>
      <c r="D451" s="2" t="s">
        <v>1276</v>
      </c>
      <c r="E451" s="2" t="s">
        <v>1276</v>
      </c>
      <c r="F451" s="2" t="s">
        <v>2968</v>
      </c>
      <c r="G451" s="2" t="s">
        <v>2969</v>
      </c>
      <c r="H451" s="2" t="s">
        <v>2970</v>
      </c>
      <c r="I451" s="2" t="s">
        <v>2971</v>
      </c>
      <c r="J451" s="2" t="s">
        <v>1280</v>
      </c>
      <c r="K451" s="2" t="s">
        <v>1105</v>
      </c>
      <c r="L451" s="3">
        <v>109.14</v>
      </c>
      <c r="M451" s="3">
        <v>114.6</v>
      </c>
      <c r="N451" s="3">
        <v>244.99</v>
      </c>
      <c r="O451" s="2" t="s">
        <v>461</v>
      </c>
      <c r="P451" s="2" t="s">
        <v>333</v>
      </c>
      <c r="Q451" s="2" t="s">
        <v>234</v>
      </c>
      <c r="R451" s="2" t="s">
        <v>228</v>
      </c>
      <c r="S451" s="2" t="s">
        <v>228</v>
      </c>
      <c r="T451" s="2" t="s">
        <v>228</v>
      </c>
      <c r="U451" s="2" t="s">
        <v>416</v>
      </c>
      <c r="V451" s="2" t="s">
        <v>236</v>
      </c>
      <c r="W451" s="2" t="s">
        <v>417</v>
      </c>
      <c r="X451" s="2" t="s">
        <v>228</v>
      </c>
      <c r="Y451" s="2" t="s">
        <v>2973</v>
      </c>
      <c r="Z451" s="4">
        <v>282</v>
      </c>
      <c r="AA451" s="4">
        <f>=ROUNDDOWN({0},0)</f>
      </c>
      <c r="AB451" s="5"/>
      <c r="AC451" s="2" t="s">
        <v>228</v>
      </c>
      <c r="AD451" s="4"/>
      <c r="AE451" s="4"/>
      <c r="AF451" s="6">
        <v>63</v>
      </c>
      <c r="AG451" s="6"/>
      <c r="AH451" s="7">
        <v>1</v>
      </c>
      <c r="AI451" s="4"/>
      <c r="AJ451" s="4">
        <f>=ROUNDDOWN({0},0)</f>
      </c>
      <c r="AK451" s="5"/>
      <c r="AL451" s="2" t="s">
        <v>228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228</v>
      </c>
      <c r="AW451" s="8" t="s">
        <v>228</v>
      </c>
      <c r="AX451" s="4" t="s">
        <v>228</v>
      </c>
      <c r="AY451" s="8" t="s">
        <v>228</v>
      </c>
      <c r="AZ451" s="7" t="s">
        <v>228</v>
      </c>
      <c r="BA451" s="7" t="s">
        <v>228</v>
      </c>
      <c r="BB451" s="7"/>
      <c r="BC451" s="4" t="s">
        <v>228</v>
      </c>
      <c r="BD451" s="8" t="s">
        <v>228</v>
      </c>
      <c r="BE451" s="4" t="s">
        <v>228</v>
      </c>
      <c r="BF451" s="8" t="s">
        <v>228</v>
      </c>
      <c r="BG451" s="7" t="s">
        <v>228</v>
      </c>
      <c r="BH451" s="7" t="s">
        <v>228</v>
      </c>
      <c r="BI451" s="7"/>
      <c r="BJ451" s="4"/>
      <c r="BK451" s="8"/>
      <c r="BL451" s="2" t="s">
        <v>228</v>
      </c>
      <c r="BM451" s="7"/>
      <c r="BN451" s="7"/>
      <c r="BO451" s="4"/>
      <c r="BP451" s="8"/>
      <c r="BQ451" s="4"/>
      <c r="BR451" s="8"/>
      <c r="BS451" s="7"/>
      <c r="BT451" s="7"/>
      <c r="BU451" s="2" t="s">
        <v>2982</v>
      </c>
      <c r="BV451" s="2" t="s">
        <v>228</v>
      </c>
      <c r="BW451" s="2" t="s">
        <v>228</v>
      </c>
      <c r="BX451" s="2" t="s">
        <v>337</v>
      </c>
      <c r="BY451" s="2" t="s">
        <v>274</v>
      </c>
      <c r="BZ451" s="2" t="s">
        <v>240</v>
      </c>
      <c r="CA451" s="2" t="s">
        <v>2976</v>
      </c>
      <c r="CB451" s="2" t="s">
        <v>2983</v>
      </c>
      <c r="CC451" s="2" t="s">
        <v>241</v>
      </c>
      <c r="CD451" s="2" t="s">
        <v>228</v>
      </c>
      <c r="CE451" s="4"/>
      <c r="CF451" s="4">
        <v>282</v>
      </c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</row>
    <row r="452">
      <c r="A452" s="2" t="s">
        <v>2984</v>
      </c>
      <c r="B452" s="2" t="s">
        <v>1276</v>
      </c>
      <c r="C452" s="2" t="s">
        <v>300</v>
      </c>
      <c r="D452" s="2" t="s">
        <v>1276</v>
      </c>
      <c r="E452" s="2" t="s">
        <v>1276</v>
      </c>
      <c r="F452" s="2" t="s">
        <v>2968</v>
      </c>
      <c r="G452" s="2" t="s">
        <v>2969</v>
      </c>
      <c r="H452" s="2" t="s">
        <v>2970</v>
      </c>
      <c r="I452" s="2" t="s">
        <v>2971</v>
      </c>
      <c r="J452" s="2" t="s">
        <v>2985</v>
      </c>
      <c r="K452" s="2" t="s">
        <v>1105</v>
      </c>
      <c r="L452" s="3">
        <v>23.53</v>
      </c>
      <c r="M452" s="3">
        <v>24.71</v>
      </c>
      <c r="N452" s="3">
        <v>54.99</v>
      </c>
      <c r="O452" s="2" t="s">
        <v>461</v>
      </c>
      <c r="P452" s="2" t="s">
        <v>333</v>
      </c>
      <c r="Q452" s="2" t="s">
        <v>234</v>
      </c>
      <c r="R452" s="2" t="s">
        <v>228</v>
      </c>
      <c r="S452" s="2" t="s">
        <v>228</v>
      </c>
      <c r="T452" s="2" t="s">
        <v>228</v>
      </c>
      <c r="U452" s="2" t="s">
        <v>416</v>
      </c>
      <c r="V452" s="2" t="s">
        <v>236</v>
      </c>
      <c r="W452" s="2" t="s">
        <v>417</v>
      </c>
      <c r="X452" s="2" t="s">
        <v>228</v>
      </c>
      <c r="Y452" s="2" t="s">
        <v>2973</v>
      </c>
      <c r="Z452" s="4">
        <v>154</v>
      </c>
      <c r="AA452" s="4">
        <f>=ROUNDDOWN({0},0)</f>
      </c>
      <c r="AB452" s="5"/>
      <c r="AC452" s="2" t="s">
        <v>228</v>
      </c>
      <c r="AD452" s="4"/>
      <c r="AE452" s="4"/>
      <c r="AF452" s="6">
        <v>63</v>
      </c>
      <c r="AG452" s="6"/>
      <c r="AH452" s="7">
        <v>1</v>
      </c>
      <c r="AI452" s="4"/>
      <c r="AJ452" s="4">
        <f>=ROUNDDOWN({0},0)</f>
      </c>
      <c r="AK452" s="5"/>
      <c r="AL452" s="2" t="s">
        <v>228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228</v>
      </c>
      <c r="AW452" s="8" t="s">
        <v>228</v>
      </c>
      <c r="AX452" s="4" t="s">
        <v>228</v>
      </c>
      <c r="AY452" s="8" t="s">
        <v>228</v>
      </c>
      <c r="AZ452" s="7" t="s">
        <v>228</v>
      </c>
      <c r="BA452" s="7" t="s">
        <v>228</v>
      </c>
      <c r="BB452" s="7"/>
      <c r="BC452" s="4" t="s">
        <v>228</v>
      </c>
      <c r="BD452" s="8" t="s">
        <v>228</v>
      </c>
      <c r="BE452" s="4" t="s">
        <v>228</v>
      </c>
      <c r="BF452" s="8" t="s">
        <v>228</v>
      </c>
      <c r="BG452" s="7" t="s">
        <v>228</v>
      </c>
      <c r="BH452" s="7" t="s">
        <v>228</v>
      </c>
      <c r="BI452" s="7"/>
      <c r="BJ452" s="4"/>
      <c r="BK452" s="8"/>
      <c r="BL452" s="2" t="s">
        <v>2986</v>
      </c>
      <c r="BM452" s="7"/>
      <c r="BN452" s="7"/>
      <c r="BO452" s="4"/>
      <c r="BP452" s="8"/>
      <c r="BQ452" s="4"/>
      <c r="BR452" s="8"/>
      <c r="BS452" s="7"/>
      <c r="BT452" s="7"/>
      <c r="BU452" s="2" t="s">
        <v>2987</v>
      </c>
      <c r="BV452" s="2" t="s">
        <v>228</v>
      </c>
      <c r="BW452" s="2" t="s">
        <v>228</v>
      </c>
      <c r="BX452" s="2" t="s">
        <v>337</v>
      </c>
      <c r="BY452" s="2" t="s">
        <v>274</v>
      </c>
      <c r="BZ452" s="2" t="s">
        <v>240</v>
      </c>
      <c r="CA452" s="2" t="s">
        <v>2976</v>
      </c>
      <c r="CB452" s="2" t="s">
        <v>228</v>
      </c>
      <c r="CC452" s="2" t="s">
        <v>241</v>
      </c>
      <c r="CD452" s="2" t="s">
        <v>228</v>
      </c>
      <c r="CE452" s="4"/>
      <c r="CF452" s="4">
        <v>154</v>
      </c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</row>
    <row r="453">
      <c r="A453" s="2" t="s">
        <v>2988</v>
      </c>
      <c r="B453" s="2" t="s">
        <v>1276</v>
      </c>
      <c r="C453" s="2" t="s">
        <v>300</v>
      </c>
      <c r="D453" s="2" t="s">
        <v>1276</v>
      </c>
      <c r="E453" s="2" t="s">
        <v>1276</v>
      </c>
      <c r="F453" s="2" t="s">
        <v>2968</v>
      </c>
      <c r="G453" s="2" t="s">
        <v>2969</v>
      </c>
      <c r="H453" s="2" t="s">
        <v>2970</v>
      </c>
      <c r="I453" s="2" t="s">
        <v>2971</v>
      </c>
      <c r="J453" s="2" t="s">
        <v>2972</v>
      </c>
      <c r="K453" s="2" t="s">
        <v>249</v>
      </c>
      <c r="L453" s="3">
        <v>45.2</v>
      </c>
      <c r="M453" s="3">
        <v>47.46</v>
      </c>
      <c r="N453" s="3">
        <v>104.99</v>
      </c>
      <c r="O453" s="2" t="s">
        <v>461</v>
      </c>
      <c r="P453" s="2" t="s">
        <v>333</v>
      </c>
      <c r="Q453" s="2" t="s">
        <v>234</v>
      </c>
      <c r="R453" s="2" t="s">
        <v>228</v>
      </c>
      <c r="S453" s="2" t="s">
        <v>228</v>
      </c>
      <c r="T453" s="2" t="s">
        <v>228</v>
      </c>
      <c r="U453" s="2" t="s">
        <v>416</v>
      </c>
      <c r="V453" s="2" t="s">
        <v>236</v>
      </c>
      <c r="W453" s="2" t="s">
        <v>417</v>
      </c>
      <c r="X453" s="2" t="s">
        <v>228</v>
      </c>
      <c r="Y453" s="2" t="s">
        <v>2973</v>
      </c>
      <c r="Z453" s="4">
        <v>126</v>
      </c>
      <c r="AA453" s="4">
        <f>=ROUNDDOWN(630,0)</f>
      </c>
      <c r="AB453" s="5">
        <v>0.2</v>
      </c>
      <c r="AC453" s="2" t="s">
        <v>228</v>
      </c>
      <c r="AD453" s="4"/>
      <c r="AE453" s="4"/>
      <c r="AF453" s="6">
        <v>63</v>
      </c>
      <c r="AG453" s="6"/>
      <c r="AH453" s="7">
        <v>1</v>
      </c>
      <c r="AI453" s="4"/>
      <c r="AJ453" s="4">
        <f>=ROUNDDOWN({0},0)</f>
      </c>
      <c r="AK453" s="5"/>
      <c r="AL453" s="2" t="s">
        <v>228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228</v>
      </c>
      <c r="AW453" s="8" t="s">
        <v>228</v>
      </c>
      <c r="AX453" s="4" t="s">
        <v>228</v>
      </c>
      <c r="AY453" s="8" t="s">
        <v>228</v>
      </c>
      <c r="AZ453" s="7" t="s">
        <v>228</v>
      </c>
      <c r="BA453" s="7" t="s">
        <v>228</v>
      </c>
      <c r="BB453" s="7"/>
      <c r="BC453" s="4" t="s">
        <v>228</v>
      </c>
      <c r="BD453" s="8" t="s">
        <v>228</v>
      </c>
      <c r="BE453" s="4" t="s">
        <v>228</v>
      </c>
      <c r="BF453" s="8" t="s">
        <v>228</v>
      </c>
      <c r="BG453" s="7" t="s">
        <v>228</v>
      </c>
      <c r="BH453" s="7" t="s">
        <v>228</v>
      </c>
      <c r="BI453" s="7"/>
      <c r="BJ453" s="4">
        <v>2</v>
      </c>
      <c r="BK453" s="8">
        <v>99.66</v>
      </c>
      <c r="BL453" s="2" t="s">
        <v>2986</v>
      </c>
      <c r="BM453" s="7"/>
      <c r="BN453" s="7"/>
      <c r="BO453" s="4"/>
      <c r="BP453" s="8"/>
      <c r="BQ453" s="4"/>
      <c r="BR453" s="8"/>
      <c r="BS453" s="7"/>
      <c r="BT453" s="7"/>
      <c r="BU453" s="2" t="s">
        <v>2989</v>
      </c>
      <c r="BV453" s="2" t="s">
        <v>228</v>
      </c>
      <c r="BW453" s="2" t="s">
        <v>228</v>
      </c>
      <c r="BX453" s="2" t="s">
        <v>337</v>
      </c>
      <c r="BY453" s="2" t="s">
        <v>274</v>
      </c>
      <c r="BZ453" s="2" t="s">
        <v>240</v>
      </c>
      <c r="CA453" s="2" t="s">
        <v>2976</v>
      </c>
      <c r="CB453" s="2" t="s">
        <v>2990</v>
      </c>
      <c r="CC453" s="2" t="s">
        <v>241</v>
      </c>
      <c r="CD453" s="2" t="s">
        <v>228</v>
      </c>
      <c r="CE453" s="4"/>
      <c r="CF453" s="4">
        <v>126</v>
      </c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</row>
    <row r="454">
      <c r="A454" s="2" t="s">
        <v>2991</v>
      </c>
      <c r="B454" s="2" t="s">
        <v>1276</v>
      </c>
      <c r="C454" s="2" t="s">
        <v>300</v>
      </c>
      <c r="D454" s="2" t="s">
        <v>1276</v>
      </c>
      <c r="E454" s="2" t="s">
        <v>1276</v>
      </c>
      <c r="F454" s="2" t="s">
        <v>2968</v>
      </c>
      <c r="G454" s="2" t="s">
        <v>2969</v>
      </c>
      <c r="H454" s="2" t="s">
        <v>2970</v>
      </c>
      <c r="I454" s="2" t="s">
        <v>2971</v>
      </c>
      <c r="J454" s="2" t="s">
        <v>1711</v>
      </c>
      <c r="K454" s="2" t="s">
        <v>249</v>
      </c>
      <c r="L454" s="3">
        <v>69.98</v>
      </c>
      <c r="M454" s="3">
        <v>73.48</v>
      </c>
      <c r="N454" s="3">
        <v>159.99</v>
      </c>
      <c r="O454" s="2" t="s">
        <v>461</v>
      </c>
      <c r="P454" s="2" t="s">
        <v>333</v>
      </c>
      <c r="Q454" s="2" t="s">
        <v>234</v>
      </c>
      <c r="R454" s="2" t="s">
        <v>228</v>
      </c>
      <c r="S454" s="2" t="s">
        <v>228</v>
      </c>
      <c r="T454" s="2" t="s">
        <v>228</v>
      </c>
      <c r="U454" s="2" t="s">
        <v>416</v>
      </c>
      <c r="V454" s="2" t="s">
        <v>236</v>
      </c>
      <c r="W454" s="2" t="s">
        <v>417</v>
      </c>
      <c r="X454" s="2" t="s">
        <v>228</v>
      </c>
      <c r="Y454" s="2" t="s">
        <v>2973</v>
      </c>
      <c r="Z454" s="4">
        <v>272</v>
      </c>
      <c r="AA454" s="4">
        <f>=ROUNDDOWN(544,0)</f>
      </c>
      <c r="AB454" s="5">
        <v>0.5</v>
      </c>
      <c r="AC454" s="2" t="s">
        <v>228</v>
      </c>
      <c r="AD454" s="4"/>
      <c r="AE454" s="4"/>
      <c r="AF454" s="6">
        <v>63</v>
      </c>
      <c r="AG454" s="6"/>
      <c r="AH454" s="7">
        <v>1</v>
      </c>
      <c r="AI454" s="4"/>
      <c r="AJ454" s="4">
        <f>=ROUNDDOWN({0},0)</f>
      </c>
      <c r="AK454" s="5"/>
      <c r="AL454" s="2" t="s">
        <v>228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228</v>
      </c>
      <c r="AW454" s="8" t="s">
        <v>228</v>
      </c>
      <c r="AX454" s="4" t="s">
        <v>228</v>
      </c>
      <c r="AY454" s="8" t="s">
        <v>228</v>
      </c>
      <c r="AZ454" s="7" t="s">
        <v>228</v>
      </c>
      <c r="BA454" s="7" t="s">
        <v>228</v>
      </c>
      <c r="BB454" s="7"/>
      <c r="BC454" s="4" t="s">
        <v>228</v>
      </c>
      <c r="BD454" s="8" t="s">
        <v>228</v>
      </c>
      <c r="BE454" s="4" t="s">
        <v>228</v>
      </c>
      <c r="BF454" s="8" t="s">
        <v>228</v>
      </c>
      <c r="BG454" s="7" t="s">
        <v>228</v>
      </c>
      <c r="BH454" s="7" t="s">
        <v>228</v>
      </c>
      <c r="BI454" s="7"/>
      <c r="BJ454" s="4">
        <v>2</v>
      </c>
      <c r="BK454" s="8">
        <v>92.58</v>
      </c>
      <c r="BL454" s="2" t="s">
        <v>2992</v>
      </c>
      <c r="BM454" s="7"/>
      <c r="BN454" s="7"/>
      <c r="BO454" s="4"/>
      <c r="BP454" s="8"/>
      <c r="BQ454" s="4"/>
      <c r="BR454" s="8"/>
      <c r="BS454" s="7"/>
      <c r="BT454" s="7"/>
      <c r="BU454" s="2" t="s">
        <v>2993</v>
      </c>
      <c r="BV454" s="2" t="s">
        <v>228</v>
      </c>
      <c r="BW454" s="2" t="s">
        <v>228</v>
      </c>
      <c r="BX454" s="2" t="s">
        <v>337</v>
      </c>
      <c r="BY454" s="2" t="s">
        <v>274</v>
      </c>
      <c r="BZ454" s="2" t="s">
        <v>240</v>
      </c>
      <c r="CA454" s="2" t="s">
        <v>2976</v>
      </c>
      <c r="CB454" s="2" t="s">
        <v>2802</v>
      </c>
      <c r="CC454" s="2" t="s">
        <v>241</v>
      </c>
      <c r="CD454" s="2" t="s">
        <v>228</v>
      </c>
      <c r="CE454" s="4"/>
      <c r="CF454" s="4">
        <v>272</v>
      </c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</row>
    <row r="455">
      <c r="A455" s="2" t="s">
        <v>2994</v>
      </c>
      <c r="B455" s="2" t="s">
        <v>1276</v>
      </c>
      <c r="C455" s="2" t="s">
        <v>300</v>
      </c>
      <c r="D455" s="2" t="s">
        <v>1276</v>
      </c>
      <c r="E455" s="2" t="s">
        <v>1276</v>
      </c>
      <c r="F455" s="2" t="s">
        <v>2968</v>
      </c>
      <c r="G455" s="2" t="s">
        <v>2969</v>
      </c>
      <c r="H455" s="2" t="s">
        <v>2970</v>
      </c>
      <c r="I455" s="2" t="s">
        <v>2971</v>
      </c>
      <c r="J455" s="2" t="s">
        <v>1280</v>
      </c>
      <c r="K455" s="2" t="s">
        <v>249</v>
      </c>
      <c r="L455" s="3">
        <v>109.14</v>
      </c>
      <c r="M455" s="3">
        <v>114.6</v>
      </c>
      <c r="N455" s="3">
        <v>244.99</v>
      </c>
      <c r="O455" s="2" t="s">
        <v>461</v>
      </c>
      <c r="P455" s="2" t="s">
        <v>333</v>
      </c>
      <c r="Q455" s="2" t="s">
        <v>234</v>
      </c>
      <c r="R455" s="2" t="s">
        <v>228</v>
      </c>
      <c r="S455" s="2" t="s">
        <v>228</v>
      </c>
      <c r="T455" s="2" t="s">
        <v>228</v>
      </c>
      <c r="U455" s="2" t="s">
        <v>416</v>
      </c>
      <c r="V455" s="2" t="s">
        <v>236</v>
      </c>
      <c r="W455" s="2" t="s">
        <v>417</v>
      </c>
      <c r="X455" s="2" t="s">
        <v>228</v>
      </c>
      <c r="Y455" s="2" t="s">
        <v>2973</v>
      </c>
      <c r="Z455" s="4">
        <v>271</v>
      </c>
      <c r="AA455" s="4">
        <f>=ROUNDDOWN(387.142857142857,0)</f>
      </c>
      <c r="AB455" s="5">
        <v>0.7</v>
      </c>
      <c r="AC455" s="2" t="s">
        <v>228</v>
      </c>
      <c r="AD455" s="4"/>
      <c r="AE455" s="4"/>
      <c r="AF455" s="6">
        <v>63</v>
      </c>
      <c r="AG455" s="6"/>
      <c r="AH455" s="7">
        <v>1</v>
      </c>
      <c r="AI455" s="4"/>
      <c r="AJ455" s="4">
        <f>=ROUNDDOWN({0},0)</f>
      </c>
      <c r="AK455" s="5"/>
      <c r="AL455" s="2" t="s">
        <v>228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228</v>
      </c>
      <c r="AW455" s="8" t="s">
        <v>228</v>
      </c>
      <c r="AX455" s="4" t="s">
        <v>228</v>
      </c>
      <c r="AY455" s="8" t="s">
        <v>228</v>
      </c>
      <c r="AZ455" s="7" t="s">
        <v>228</v>
      </c>
      <c r="BA455" s="7" t="s">
        <v>228</v>
      </c>
      <c r="BB455" s="7"/>
      <c r="BC455" s="4" t="s">
        <v>228</v>
      </c>
      <c r="BD455" s="8" t="s">
        <v>228</v>
      </c>
      <c r="BE455" s="4" t="s">
        <v>228</v>
      </c>
      <c r="BF455" s="8" t="s">
        <v>228</v>
      </c>
      <c r="BG455" s="7" t="s">
        <v>228</v>
      </c>
      <c r="BH455" s="7" t="s">
        <v>228</v>
      </c>
      <c r="BI455" s="7"/>
      <c r="BJ455" s="4">
        <v>2</v>
      </c>
      <c r="BK455" s="8">
        <v>144.4</v>
      </c>
      <c r="BL455" s="2" t="s">
        <v>2995</v>
      </c>
      <c r="BM455" s="7"/>
      <c r="BN455" s="7"/>
      <c r="BO455" s="4"/>
      <c r="BP455" s="8"/>
      <c r="BQ455" s="4"/>
      <c r="BR455" s="8"/>
      <c r="BS455" s="7"/>
      <c r="BT455" s="7"/>
      <c r="BU455" s="2" t="s">
        <v>2996</v>
      </c>
      <c r="BV455" s="2" t="s">
        <v>228</v>
      </c>
      <c r="BW455" s="2" t="s">
        <v>228</v>
      </c>
      <c r="BX455" s="2" t="s">
        <v>337</v>
      </c>
      <c r="BY455" s="2" t="s">
        <v>274</v>
      </c>
      <c r="BZ455" s="2" t="s">
        <v>240</v>
      </c>
      <c r="CA455" s="2" t="s">
        <v>2976</v>
      </c>
      <c r="CB455" s="2" t="s">
        <v>2997</v>
      </c>
      <c r="CC455" s="2" t="s">
        <v>241</v>
      </c>
      <c r="CD455" s="2" t="s">
        <v>228</v>
      </c>
      <c r="CE455" s="4"/>
      <c r="CF455" s="4">
        <v>271</v>
      </c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</row>
    <row r="456">
      <c r="A456" s="2" t="s">
        <v>2998</v>
      </c>
      <c r="B456" s="2" t="s">
        <v>1276</v>
      </c>
      <c r="C456" s="2" t="s">
        <v>300</v>
      </c>
      <c r="D456" s="2" t="s">
        <v>1276</v>
      </c>
      <c r="E456" s="2" t="s">
        <v>1276</v>
      </c>
      <c r="F456" s="2" t="s">
        <v>2968</v>
      </c>
      <c r="G456" s="2" t="s">
        <v>2969</v>
      </c>
      <c r="H456" s="2" t="s">
        <v>2970</v>
      </c>
      <c r="I456" s="2" t="s">
        <v>2971</v>
      </c>
      <c r="J456" s="2" t="s">
        <v>2985</v>
      </c>
      <c r="K456" s="2" t="s">
        <v>249</v>
      </c>
      <c r="L456" s="3">
        <v>23.53</v>
      </c>
      <c r="M456" s="3">
        <v>24.71</v>
      </c>
      <c r="N456" s="3">
        <v>54.99</v>
      </c>
      <c r="O456" s="2" t="s">
        <v>461</v>
      </c>
      <c r="P456" s="2" t="s">
        <v>333</v>
      </c>
      <c r="Q456" s="2" t="s">
        <v>234</v>
      </c>
      <c r="R456" s="2" t="s">
        <v>228</v>
      </c>
      <c r="S456" s="2" t="s">
        <v>228</v>
      </c>
      <c r="T456" s="2" t="s">
        <v>228</v>
      </c>
      <c r="U456" s="2" t="s">
        <v>416</v>
      </c>
      <c r="V456" s="2" t="s">
        <v>236</v>
      </c>
      <c r="W456" s="2" t="s">
        <v>417</v>
      </c>
      <c r="X456" s="2" t="s">
        <v>228</v>
      </c>
      <c r="Y456" s="2" t="s">
        <v>2973</v>
      </c>
      <c r="Z456" s="4">
        <v>157</v>
      </c>
      <c r="AA456" s="4">
        <f>=ROUNDDOWN({0},0)</f>
      </c>
      <c r="AB456" s="5"/>
      <c r="AC456" s="2" t="s">
        <v>228</v>
      </c>
      <c r="AD456" s="4"/>
      <c r="AE456" s="4"/>
      <c r="AF456" s="6">
        <v>63</v>
      </c>
      <c r="AG456" s="6"/>
      <c r="AH456" s="7">
        <v>1</v>
      </c>
      <c r="AI456" s="4"/>
      <c r="AJ456" s="4">
        <f>=ROUNDDOWN({0},0)</f>
      </c>
      <c r="AK456" s="5"/>
      <c r="AL456" s="2" t="s">
        <v>228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228</v>
      </c>
      <c r="AW456" s="8" t="s">
        <v>228</v>
      </c>
      <c r="AX456" s="4" t="s">
        <v>228</v>
      </c>
      <c r="AY456" s="8" t="s">
        <v>228</v>
      </c>
      <c r="AZ456" s="7" t="s">
        <v>228</v>
      </c>
      <c r="BA456" s="7" t="s">
        <v>228</v>
      </c>
      <c r="BB456" s="7"/>
      <c r="BC456" s="4" t="s">
        <v>228</v>
      </c>
      <c r="BD456" s="8" t="s">
        <v>228</v>
      </c>
      <c r="BE456" s="4" t="s">
        <v>228</v>
      </c>
      <c r="BF456" s="8" t="s">
        <v>228</v>
      </c>
      <c r="BG456" s="7" t="s">
        <v>228</v>
      </c>
      <c r="BH456" s="7" t="s">
        <v>228</v>
      </c>
      <c r="BI456" s="7"/>
      <c r="BJ456" s="4"/>
      <c r="BK456" s="8"/>
      <c r="BL456" s="2" t="s">
        <v>2507</v>
      </c>
      <c r="BM456" s="7"/>
      <c r="BN456" s="7"/>
      <c r="BO456" s="4"/>
      <c r="BP456" s="8"/>
      <c r="BQ456" s="4"/>
      <c r="BR456" s="8"/>
      <c r="BS456" s="7"/>
      <c r="BT456" s="7"/>
      <c r="BU456" s="2" t="s">
        <v>2999</v>
      </c>
      <c r="BV456" s="2" t="s">
        <v>228</v>
      </c>
      <c r="BW456" s="2" t="s">
        <v>228</v>
      </c>
      <c r="BX456" s="2" t="s">
        <v>337</v>
      </c>
      <c r="BY456" s="2" t="s">
        <v>274</v>
      </c>
      <c r="BZ456" s="2" t="s">
        <v>240</v>
      </c>
      <c r="CA456" s="2" t="s">
        <v>2976</v>
      </c>
      <c r="CB456" s="2" t="s">
        <v>228</v>
      </c>
      <c r="CC456" s="2" t="s">
        <v>241</v>
      </c>
      <c r="CD456" s="2" t="s">
        <v>228</v>
      </c>
      <c r="CE456" s="4"/>
      <c r="CF456" s="4">
        <v>157</v>
      </c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</row>
    <row r="457">
      <c r="A457" s="2" t="s">
        <v>3000</v>
      </c>
      <c r="B457" s="2" t="s">
        <v>848</v>
      </c>
      <c r="C457" s="2" t="s">
        <v>849</v>
      </c>
      <c r="D457" s="2" t="s">
        <v>850</v>
      </c>
      <c r="E457" s="2" t="s">
        <v>1038</v>
      </c>
      <c r="F457" s="2" t="s">
        <v>3001</v>
      </c>
      <c r="G457" s="2" t="s">
        <v>3002</v>
      </c>
      <c r="H457" s="2" t="s">
        <v>3003</v>
      </c>
      <c r="I457" s="2" t="s">
        <v>3004</v>
      </c>
      <c r="J457" s="2" t="s">
        <v>1189</v>
      </c>
      <c r="K457" s="2" t="s">
        <v>3005</v>
      </c>
      <c r="L457" s="3">
        <v>28.57</v>
      </c>
      <c r="M457" s="3">
        <v>30</v>
      </c>
      <c r="N457" s="3">
        <v>59.99</v>
      </c>
      <c r="O457" s="2" t="s">
        <v>461</v>
      </c>
      <c r="P457" s="2" t="s">
        <v>333</v>
      </c>
      <c r="Q457" s="2" t="s">
        <v>234</v>
      </c>
      <c r="R457" s="2" t="s">
        <v>228</v>
      </c>
      <c r="S457" s="2" t="s">
        <v>3006</v>
      </c>
      <c r="T457" s="2" t="s">
        <v>415</v>
      </c>
      <c r="U457" s="2" t="s">
        <v>500</v>
      </c>
      <c r="V457" s="2" t="s">
        <v>3007</v>
      </c>
      <c r="W457" s="2" t="s">
        <v>417</v>
      </c>
      <c r="X457" s="2" t="s">
        <v>3008</v>
      </c>
      <c r="Y457" s="2" t="s">
        <v>3009</v>
      </c>
      <c r="Z457" s="4">
        <v>17</v>
      </c>
      <c r="AA457" s="4">
        <f>=ROUNDDOWN(17,0)</f>
      </c>
      <c r="AB457" s="5">
        <v>1</v>
      </c>
      <c r="AC457" s="2" t="s">
        <v>228</v>
      </c>
      <c r="AD457" s="4"/>
      <c r="AE457" s="4"/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228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/>
      <c r="BD457" s="8"/>
      <c r="BE457" s="4"/>
      <c r="BF457" s="8"/>
      <c r="BG457" s="7"/>
      <c r="BH457" s="7"/>
      <c r="BI457" s="7"/>
      <c r="BJ457" s="4">
        <v>2</v>
      </c>
      <c r="BK457" s="8">
        <v>50.94</v>
      </c>
      <c r="BL457" s="2" t="s">
        <v>3010</v>
      </c>
      <c r="BM457" s="7"/>
      <c r="BN457" s="7"/>
      <c r="BO457" s="4"/>
      <c r="BP457" s="8"/>
      <c r="BQ457" s="4"/>
      <c r="BR457" s="8"/>
      <c r="BS457" s="7"/>
      <c r="BT457" s="7"/>
      <c r="BU457" s="2" t="s">
        <v>3011</v>
      </c>
      <c r="BV457" s="2" t="s">
        <v>228</v>
      </c>
      <c r="BW457" s="2" t="s">
        <v>228</v>
      </c>
      <c r="BX457" s="2" t="s">
        <v>337</v>
      </c>
      <c r="BY457" s="2" t="s">
        <v>274</v>
      </c>
      <c r="BZ457" s="2" t="s">
        <v>240</v>
      </c>
      <c r="CA457" s="2" t="s">
        <v>3012</v>
      </c>
      <c r="CB457" s="2" t="s">
        <v>3013</v>
      </c>
      <c r="CC457" s="2" t="s">
        <v>241</v>
      </c>
      <c r="CD457" s="2" t="s">
        <v>228</v>
      </c>
      <c r="CE457" s="4">
        <v>17</v>
      </c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</row>
    <row r="458">
      <c r="A458" s="2" t="s">
        <v>3014</v>
      </c>
      <c r="B458" s="2" t="s">
        <v>1150</v>
      </c>
      <c r="C458" s="2" t="s">
        <v>2217</v>
      </c>
      <c r="D458" s="2" t="s">
        <v>1862</v>
      </c>
      <c r="E458" s="2" t="s">
        <v>1863</v>
      </c>
      <c r="F458" s="2" t="s">
        <v>3015</v>
      </c>
      <c r="G458" s="2" t="s">
        <v>3015</v>
      </c>
      <c r="H458" s="2" t="s">
        <v>3015</v>
      </c>
      <c r="I458" s="2" t="s">
        <v>1865</v>
      </c>
      <c r="J458" s="2" t="s">
        <v>3016</v>
      </c>
      <c r="K458" s="2" t="s">
        <v>316</v>
      </c>
      <c r="L458" s="3">
        <v>24.76</v>
      </c>
      <c r="M458" s="3">
        <v>26</v>
      </c>
      <c r="N458" s="3">
        <v>79.99</v>
      </c>
      <c r="O458" s="2" t="s">
        <v>240</v>
      </c>
      <c r="P458" s="2" t="s">
        <v>333</v>
      </c>
      <c r="Q458" s="2" t="s">
        <v>234</v>
      </c>
      <c r="R458" s="2" t="s">
        <v>228</v>
      </c>
      <c r="S458" s="2" t="s">
        <v>228</v>
      </c>
      <c r="T458" s="2" t="s">
        <v>350</v>
      </c>
      <c r="U458" s="2" t="s">
        <v>228</v>
      </c>
      <c r="V458" s="2" t="s">
        <v>236</v>
      </c>
      <c r="W458" s="2" t="s">
        <v>463</v>
      </c>
      <c r="X458" s="2" t="s">
        <v>228</v>
      </c>
      <c r="Y458" s="2" t="s">
        <v>3012</v>
      </c>
      <c r="Z458" s="4">
        <v>142</v>
      </c>
      <c r="AA458" s="4">
        <f>=ROUNDDOWN(142,0)</f>
      </c>
      <c r="AB458" s="5">
        <v>1</v>
      </c>
      <c r="AC458" s="2" t="s">
        <v>228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228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/>
      <c r="BD458" s="8"/>
      <c r="BE458" s="4"/>
      <c r="BF458" s="8"/>
      <c r="BG458" s="7"/>
      <c r="BH458" s="7"/>
      <c r="BI458" s="7"/>
      <c r="BJ458" s="4">
        <v>10</v>
      </c>
      <c r="BK458" s="8">
        <v>129.22</v>
      </c>
      <c r="BL458" s="2" t="s">
        <v>934</v>
      </c>
      <c r="BM458" s="7"/>
      <c r="BN458" s="7"/>
      <c r="BO458" s="4"/>
      <c r="BP458" s="8"/>
      <c r="BQ458" s="4"/>
      <c r="BR458" s="8"/>
      <c r="BS458" s="7"/>
      <c r="BT458" s="7"/>
      <c r="BU458" s="2" t="s">
        <v>3017</v>
      </c>
      <c r="BV458" s="2" t="s">
        <v>228</v>
      </c>
      <c r="BW458" s="2" t="s">
        <v>228</v>
      </c>
      <c r="BX458" s="2" t="s">
        <v>337</v>
      </c>
      <c r="BY458" s="2" t="s">
        <v>274</v>
      </c>
      <c r="BZ458" s="2" t="s">
        <v>240</v>
      </c>
      <c r="CA458" s="2" t="s">
        <v>1469</v>
      </c>
      <c r="CB458" s="2" t="s">
        <v>1749</v>
      </c>
      <c r="CC458" s="2" t="s">
        <v>241</v>
      </c>
      <c r="CD458" s="2" t="s">
        <v>228</v>
      </c>
      <c r="CE458" s="4">
        <v>142</v>
      </c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</row>
    <row r="459">
      <c r="A459" s="2" t="s">
        <v>3018</v>
      </c>
      <c r="B459" s="2" t="s">
        <v>1150</v>
      </c>
      <c r="C459" s="2" t="s">
        <v>1142</v>
      </c>
      <c r="D459" s="2" t="s">
        <v>971</v>
      </c>
      <c r="E459" s="2" t="s">
        <v>972</v>
      </c>
      <c r="F459" s="2" t="s">
        <v>3019</v>
      </c>
      <c r="G459" s="2" t="s">
        <v>3019</v>
      </c>
      <c r="H459" s="2" t="s">
        <v>3019</v>
      </c>
      <c r="I459" s="2" t="s">
        <v>1490</v>
      </c>
      <c r="J459" s="2" t="s">
        <v>3020</v>
      </c>
      <c r="K459" s="2" t="s">
        <v>1421</v>
      </c>
      <c r="L459" s="3">
        <v>47.25</v>
      </c>
      <c r="M459" s="3">
        <v>49.61</v>
      </c>
      <c r="N459" s="3">
        <v>134.99</v>
      </c>
      <c r="O459" s="2" t="s">
        <v>461</v>
      </c>
      <c r="P459" s="2" t="s">
        <v>333</v>
      </c>
      <c r="Q459" s="2" t="s">
        <v>234</v>
      </c>
      <c r="R459" s="2" t="s">
        <v>228</v>
      </c>
      <c r="S459" s="2" t="s">
        <v>3021</v>
      </c>
      <c r="T459" s="2" t="s">
        <v>228</v>
      </c>
      <c r="U459" s="2" t="s">
        <v>228</v>
      </c>
      <c r="V459" s="2" t="s">
        <v>1302</v>
      </c>
      <c r="W459" s="2" t="s">
        <v>743</v>
      </c>
      <c r="X459" s="2" t="s">
        <v>228</v>
      </c>
      <c r="Y459" s="2" t="s">
        <v>270</v>
      </c>
      <c r="Z459" s="4">
        <v>35</v>
      </c>
      <c r="AA459" s="4">
        <f>=ROUNDDOWN(11.6666666666667,0)</f>
      </c>
      <c r="AB459" s="5">
        <v>3</v>
      </c>
      <c r="AC459" s="2" t="s">
        <v>228</v>
      </c>
      <c r="AD459" s="4"/>
      <c r="AE459" s="4"/>
      <c r="AF459" s="6">
        <v>67</v>
      </c>
      <c r="AG459" s="6"/>
      <c r="AH459" s="7">
        <v>1</v>
      </c>
      <c r="AI459" s="4"/>
      <c r="AJ459" s="4">
        <f>=ROUNDDOWN({0},0)</f>
      </c>
      <c r="AK459" s="5"/>
      <c r="AL459" s="2" t="s">
        <v>228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/>
      <c r="BD459" s="8"/>
      <c r="BE459" s="4"/>
      <c r="BF459" s="8"/>
      <c r="BG459" s="7"/>
      <c r="BH459" s="7"/>
      <c r="BI459" s="7"/>
      <c r="BJ459" s="4"/>
      <c r="BK459" s="8"/>
      <c r="BL459" s="2" t="s">
        <v>228</v>
      </c>
      <c r="BM459" s="7"/>
      <c r="BN459" s="7"/>
      <c r="BO459" s="4"/>
      <c r="BP459" s="8"/>
      <c r="BQ459" s="4"/>
      <c r="BR459" s="8"/>
      <c r="BS459" s="7"/>
      <c r="BT459" s="7"/>
      <c r="BU459" s="2" t="s">
        <v>3022</v>
      </c>
      <c r="BV459" s="2" t="s">
        <v>228</v>
      </c>
      <c r="BW459" s="2" t="s">
        <v>228</v>
      </c>
      <c r="BX459" s="2" t="s">
        <v>337</v>
      </c>
      <c r="BY459" s="2" t="s">
        <v>274</v>
      </c>
      <c r="BZ459" s="2" t="s">
        <v>240</v>
      </c>
      <c r="CA459" s="2" t="s">
        <v>275</v>
      </c>
      <c r="CB459" s="2" t="s">
        <v>3023</v>
      </c>
      <c r="CC459" s="2" t="s">
        <v>241</v>
      </c>
      <c r="CD459" s="2" t="s">
        <v>228</v>
      </c>
      <c r="CE459" s="4">
        <v>35</v>
      </c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</row>
    <row r="460">
      <c r="A460" s="2" t="s">
        <v>3024</v>
      </c>
      <c r="B460" s="2" t="s">
        <v>958</v>
      </c>
      <c r="C460" s="2" t="s">
        <v>300</v>
      </c>
      <c r="D460" s="2" t="s">
        <v>1006</v>
      </c>
      <c r="E460" s="2" t="s">
        <v>1007</v>
      </c>
      <c r="F460" s="2" t="s">
        <v>3025</v>
      </c>
      <c r="G460" s="2" t="s">
        <v>3026</v>
      </c>
      <c r="H460" s="2" t="s">
        <v>3027</v>
      </c>
      <c r="I460" s="2" t="s">
        <v>3028</v>
      </c>
      <c r="J460" s="2" t="s">
        <v>840</v>
      </c>
      <c r="K460" s="2" t="s">
        <v>3029</v>
      </c>
      <c r="L460" s="3">
        <v>202.3</v>
      </c>
      <c r="M460" s="3">
        <v>212.42</v>
      </c>
      <c r="N460" s="3">
        <v>429</v>
      </c>
      <c r="O460" s="2" t="s">
        <v>240</v>
      </c>
      <c r="P460" s="2" t="s">
        <v>266</v>
      </c>
      <c r="Q460" s="2" t="s">
        <v>234</v>
      </c>
      <c r="R460" s="2" t="s">
        <v>228</v>
      </c>
      <c r="S460" s="2" t="s">
        <v>3030</v>
      </c>
      <c r="T460" s="2" t="s">
        <v>228</v>
      </c>
      <c r="U460" s="2" t="s">
        <v>228</v>
      </c>
      <c r="V460" s="2" t="s">
        <v>236</v>
      </c>
      <c r="W460" s="2" t="s">
        <v>463</v>
      </c>
      <c r="X460" s="2" t="s">
        <v>228</v>
      </c>
      <c r="Y460" s="2" t="s">
        <v>3031</v>
      </c>
      <c r="Z460" s="4">
        <v>111</v>
      </c>
      <c r="AA460" s="4">
        <f>=ROUNDDOWN(100.909090909091,0)</f>
      </c>
      <c r="AB460" s="5">
        <v>1.1</v>
      </c>
      <c r="AC460" s="2" t="s">
        <v>228</v>
      </c>
      <c r="AD460" s="4"/>
      <c r="AE460" s="4"/>
      <c r="AF460" s="6">
        <v>74</v>
      </c>
      <c r="AG460" s="6">
        <v>60</v>
      </c>
      <c r="AH460" s="7">
        <v>1</v>
      </c>
      <c r="AI460" s="4"/>
      <c r="AJ460" s="4">
        <f>=ROUNDDOWN({0},0)</f>
      </c>
      <c r="AK460" s="5">
        <v>5.4</v>
      </c>
      <c r="AL460" s="2" t="s">
        <v>228</v>
      </c>
      <c r="AM460" s="4"/>
      <c r="AN460" s="4"/>
      <c r="AO460" s="7">
        <v>0.5484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/>
      <c r="BD460" s="8"/>
      <c r="BE460" s="4"/>
      <c r="BF460" s="8"/>
      <c r="BG460" s="7"/>
      <c r="BH460" s="7"/>
      <c r="BI460" s="7"/>
      <c r="BJ460" s="4">
        <v>17</v>
      </c>
      <c r="BK460" s="8">
        <v>3058.58</v>
      </c>
      <c r="BL460" s="2" t="s">
        <v>3032</v>
      </c>
      <c r="BM460" s="7"/>
      <c r="BN460" s="7"/>
      <c r="BO460" s="4"/>
      <c r="BP460" s="8"/>
      <c r="BQ460" s="4"/>
      <c r="BR460" s="8"/>
      <c r="BS460" s="7"/>
      <c r="BT460" s="7"/>
      <c r="BU460" s="2" t="s">
        <v>3033</v>
      </c>
      <c r="BV460" s="2" t="s">
        <v>228</v>
      </c>
      <c r="BW460" s="2" t="s">
        <v>228</v>
      </c>
      <c r="BX460" s="2" t="s">
        <v>273</v>
      </c>
      <c r="BY460" s="2" t="s">
        <v>274</v>
      </c>
      <c r="BZ460" s="2" t="s">
        <v>240</v>
      </c>
      <c r="CA460" s="2" t="s">
        <v>3034</v>
      </c>
      <c r="CB460" s="2" t="s">
        <v>3035</v>
      </c>
      <c r="CC460" s="2" t="s">
        <v>241</v>
      </c>
      <c r="CD460" s="2" t="s">
        <v>228</v>
      </c>
      <c r="CE460" s="4"/>
      <c r="CF460" s="4">
        <v>111</v>
      </c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</row>
    <row r="461">
      <c r="A461" s="2" t="s">
        <v>3036</v>
      </c>
      <c r="B461" s="2" t="s">
        <v>1150</v>
      </c>
      <c r="C461" s="2" t="s">
        <v>300</v>
      </c>
      <c r="D461" s="2" t="s">
        <v>1112</v>
      </c>
      <c r="E461" s="2" t="s">
        <v>1165</v>
      </c>
      <c r="F461" s="2" t="s">
        <v>3037</v>
      </c>
      <c r="G461" s="2" t="s">
        <v>3038</v>
      </c>
      <c r="H461" s="2" t="s">
        <v>3039</v>
      </c>
      <c r="I461" s="2" t="s">
        <v>3040</v>
      </c>
      <c r="J461" s="2" t="s">
        <v>1043</v>
      </c>
      <c r="K461" s="2" t="s">
        <v>978</v>
      </c>
      <c r="L461" s="3">
        <v>42.85</v>
      </c>
      <c r="M461" s="3">
        <v>44.99</v>
      </c>
      <c r="N461" s="3">
        <v>89.99</v>
      </c>
      <c r="O461" s="2" t="s">
        <v>240</v>
      </c>
      <c r="P461" s="2" t="s">
        <v>266</v>
      </c>
      <c r="Q461" s="2" t="s">
        <v>234</v>
      </c>
      <c r="R461" s="2" t="s">
        <v>228</v>
      </c>
      <c r="S461" s="2" t="s">
        <v>3041</v>
      </c>
      <c r="T461" s="2" t="s">
        <v>415</v>
      </c>
      <c r="U461" s="2" t="s">
        <v>1170</v>
      </c>
      <c r="V461" s="2" t="s">
        <v>1156</v>
      </c>
      <c r="W461" s="2" t="s">
        <v>2512</v>
      </c>
      <c r="X461" s="2" t="s">
        <v>1761</v>
      </c>
      <c r="Y461" s="2" t="s">
        <v>3042</v>
      </c>
      <c r="Z461" s="4">
        <v>414</v>
      </c>
      <c r="AA461" s="4">
        <f>=ROUNDDOWN(34.5,0)</f>
      </c>
      <c r="AB461" s="5">
        <v>12</v>
      </c>
      <c r="AC461" s="2" t="s">
        <v>165</v>
      </c>
      <c r="AD461" s="4">
        <v>220</v>
      </c>
      <c r="AE461" s="4">
        <v>410</v>
      </c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228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/>
      <c r="BD461" s="8"/>
      <c r="BE461" s="4"/>
      <c r="BF461" s="8"/>
      <c r="BG461" s="7"/>
      <c r="BH461" s="7"/>
      <c r="BI461" s="7"/>
      <c r="BJ461" s="4">
        <v>20</v>
      </c>
      <c r="BK461" s="8">
        <v>1000.3</v>
      </c>
      <c r="BL461" s="2" t="s">
        <v>3043</v>
      </c>
      <c r="BM461" s="7"/>
      <c r="BN461" s="7"/>
      <c r="BO461" s="4"/>
      <c r="BP461" s="8"/>
      <c r="BQ461" s="4"/>
      <c r="BR461" s="8"/>
      <c r="BS461" s="7"/>
      <c r="BT461" s="7"/>
      <c r="BU461" s="2" t="s">
        <v>3044</v>
      </c>
      <c r="BV461" s="2" t="s">
        <v>228</v>
      </c>
      <c r="BW461" s="2" t="s">
        <v>228</v>
      </c>
      <c r="BX461" s="2" t="s">
        <v>273</v>
      </c>
      <c r="BY461" s="2" t="s">
        <v>274</v>
      </c>
      <c r="BZ461" s="2" t="s">
        <v>240</v>
      </c>
      <c r="CA461" s="2" t="s">
        <v>486</v>
      </c>
      <c r="CB461" s="2" t="s">
        <v>3045</v>
      </c>
      <c r="CC461" s="2" t="s">
        <v>241</v>
      </c>
      <c r="CD461" s="2" t="s">
        <v>228</v>
      </c>
      <c r="CE461" s="4">
        <v>377</v>
      </c>
      <c r="CF461" s="4"/>
      <c r="CG461" s="4"/>
      <c r="CH461" s="4"/>
      <c r="CI461" s="4"/>
      <c r="CJ461" s="4"/>
      <c r="CK461" s="4">
        <v>37</v>
      </c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>
        <v>220</v>
      </c>
      <c r="FB461" s="4"/>
      <c r="FC461" s="4"/>
      <c r="FD461" s="4"/>
      <c r="FE461" s="4"/>
      <c r="FF461" s="4"/>
      <c r="FG461" s="4"/>
      <c r="FH461" s="4"/>
      <c r="FI461" s="4"/>
      <c r="FJ461" s="4"/>
      <c r="FK461" s="4">
        <v>190</v>
      </c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</row>
    <row r="462">
      <c r="A462" s="2" t="s">
        <v>3046</v>
      </c>
      <c r="B462" s="2" t="s">
        <v>1150</v>
      </c>
      <c r="C462" s="2" t="s">
        <v>835</v>
      </c>
      <c r="D462" s="2" t="s">
        <v>1862</v>
      </c>
      <c r="E462" s="2" t="s">
        <v>2767</v>
      </c>
      <c r="F462" s="2" t="s">
        <v>3047</v>
      </c>
      <c r="G462" s="2" t="s">
        <v>228</v>
      </c>
      <c r="H462" s="2" t="s">
        <v>228</v>
      </c>
      <c r="I462" s="2" t="s">
        <v>3048</v>
      </c>
      <c r="J462" s="2" t="s">
        <v>2317</v>
      </c>
      <c r="K462" s="2" t="s">
        <v>829</v>
      </c>
      <c r="L462" s="3">
        <v>14.4</v>
      </c>
      <c r="M462" s="3">
        <v>15.12</v>
      </c>
      <c r="N462" s="3">
        <v>34.99</v>
      </c>
      <c r="O462" s="2" t="s">
        <v>461</v>
      </c>
      <c r="P462" s="2" t="s">
        <v>333</v>
      </c>
      <c r="Q462" s="2" t="s">
        <v>234</v>
      </c>
      <c r="R462" s="2" t="s">
        <v>228</v>
      </c>
      <c r="S462" s="2" t="s">
        <v>3049</v>
      </c>
      <c r="T462" s="2" t="s">
        <v>228</v>
      </c>
      <c r="U462" s="2" t="s">
        <v>228</v>
      </c>
      <c r="V462" s="2" t="s">
        <v>980</v>
      </c>
      <c r="W462" s="2" t="s">
        <v>269</v>
      </c>
      <c r="X462" s="2" t="s">
        <v>843</v>
      </c>
      <c r="Y462" s="2" t="s">
        <v>270</v>
      </c>
      <c r="Z462" s="4">
        <v>154</v>
      </c>
      <c r="AA462" s="4">
        <f>=ROUNDDOWN(21.0958904109589,0)</f>
      </c>
      <c r="AB462" s="5">
        <v>7.3</v>
      </c>
      <c r="AC462" s="2" t="s">
        <v>228</v>
      </c>
      <c r="AD462" s="4"/>
      <c r="AE462" s="4"/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228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/>
      <c r="BD462" s="8"/>
      <c r="BE462" s="4"/>
      <c r="BF462" s="8"/>
      <c r="BG462" s="7"/>
      <c r="BH462" s="7"/>
      <c r="BI462" s="7"/>
      <c r="BJ462" s="4">
        <v>22</v>
      </c>
      <c r="BK462" s="8">
        <v>315.99</v>
      </c>
      <c r="BL462" s="2" t="s">
        <v>3050</v>
      </c>
      <c r="BM462" s="7"/>
      <c r="BN462" s="7"/>
      <c r="BO462" s="4"/>
      <c r="BP462" s="8"/>
      <c r="BQ462" s="4"/>
      <c r="BR462" s="8"/>
      <c r="BS462" s="7"/>
      <c r="BT462" s="7"/>
      <c r="BU462" s="2" t="s">
        <v>3051</v>
      </c>
      <c r="BV462" s="2" t="s">
        <v>228</v>
      </c>
      <c r="BW462" s="2" t="s">
        <v>228</v>
      </c>
      <c r="BX462" s="2" t="s">
        <v>337</v>
      </c>
      <c r="BY462" s="2" t="s">
        <v>274</v>
      </c>
      <c r="BZ462" s="2" t="s">
        <v>240</v>
      </c>
      <c r="CA462" s="2" t="s">
        <v>275</v>
      </c>
      <c r="CB462" s="2" t="s">
        <v>3052</v>
      </c>
      <c r="CC462" s="2" t="s">
        <v>241</v>
      </c>
      <c r="CD462" s="2" t="s">
        <v>228</v>
      </c>
      <c r="CE462" s="4">
        <v>154</v>
      </c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</row>
    <row r="463">
      <c r="A463" s="2" t="s">
        <v>3053</v>
      </c>
      <c r="B463" s="2" t="s">
        <v>958</v>
      </c>
      <c r="C463" s="2" t="s">
        <v>1743</v>
      </c>
      <c r="D463" s="2" t="s">
        <v>987</v>
      </c>
      <c r="E463" s="2" t="s">
        <v>988</v>
      </c>
      <c r="F463" s="2" t="s">
        <v>3054</v>
      </c>
      <c r="G463" s="2" t="s">
        <v>3054</v>
      </c>
      <c r="H463" s="2" t="s">
        <v>3054</v>
      </c>
      <c r="I463" s="2" t="s">
        <v>3055</v>
      </c>
      <c r="J463" s="2" t="s">
        <v>840</v>
      </c>
      <c r="K463" s="2" t="s">
        <v>3056</v>
      </c>
      <c r="L463" s="3">
        <v>95.64</v>
      </c>
      <c r="M463" s="3">
        <v>100.42</v>
      </c>
      <c r="N463" s="3">
        <v>189.99</v>
      </c>
      <c r="O463" s="2" t="s">
        <v>461</v>
      </c>
      <c r="P463" s="2" t="s">
        <v>333</v>
      </c>
      <c r="Q463" s="2" t="s">
        <v>234</v>
      </c>
      <c r="R463" s="2" t="s">
        <v>228</v>
      </c>
      <c r="S463" s="2" t="s">
        <v>228</v>
      </c>
      <c r="T463" s="2" t="s">
        <v>228</v>
      </c>
      <c r="U463" s="2" t="s">
        <v>228</v>
      </c>
      <c r="V463" s="2" t="s">
        <v>842</v>
      </c>
      <c r="W463" s="2" t="s">
        <v>3057</v>
      </c>
      <c r="X463" s="2" t="s">
        <v>463</v>
      </c>
      <c r="Y463" s="2" t="s">
        <v>3058</v>
      </c>
      <c r="Z463" s="4">
        <v>280</v>
      </c>
      <c r="AA463" s="4">
        <f>=ROUNDDOWN(112,0)</f>
      </c>
      <c r="AB463" s="5">
        <v>2.5</v>
      </c>
      <c r="AC463" s="2" t="s">
        <v>228</v>
      </c>
      <c r="AD463" s="4"/>
      <c r="AE463" s="4"/>
      <c r="AF463" s="6">
        <v>74</v>
      </c>
      <c r="AG463" s="6"/>
      <c r="AH463" s="7">
        <v>1</v>
      </c>
      <c r="AI463" s="4"/>
      <c r="AJ463" s="4">
        <f>=ROUNDDOWN({0},0)</f>
      </c>
      <c r="AK463" s="5"/>
      <c r="AL463" s="2" t="s">
        <v>228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/>
      <c r="BD463" s="8"/>
      <c r="BE463" s="4"/>
      <c r="BF463" s="8"/>
      <c r="BG463" s="7"/>
      <c r="BH463" s="7"/>
      <c r="BI463" s="7"/>
      <c r="BJ463" s="4">
        <v>6</v>
      </c>
      <c r="BK463" s="8">
        <v>383.62</v>
      </c>
      <c r="BL463" s="2" t="s">
        <v>3059</v>
      </c>
      <c r="BM463" s="7"/>
      <c r="BN463" s="7"/>
      <c r="BO463" s="4"/>
      <c r="BP463" s="8"/>
      <c r="BQ463" s="4"/>
      <c r="BR463" s="8"/>
      <c r="BS463" s="7"/>
      <c r="BT463" s="7"/>
      <c r="BU463" s="2" t="s">
        <v>3060</v>
      </c>
      <c r="BV463" s="2" t="s">
        <v>228</v>
      </c>
      <c r="BW463" s="2" t="s">
        <v>228</v>
      </c>
      <c r="BX463" s="2" t="s">
        <v>337</v>
      </c>
      <c r="BY463" s="2" t="s">
        <v>274</v>
      </c>
      <c r="BZ463" s="2" t="s">
        <v>240</v>
      </c>
      <c r="CA463" s="2" t="s">
        <v>3061</v>
      </c>
      <c r="CB463" s="2" t="s">
        <v>1146</v>
      </c>
      <c r="CC463" s="2" t="s">
        <v>241</v>
      </c>
      <c r="CD463" s="2" t="s">
        <v>228</v>
      </c>
      <c r="CE463" s="4"/>
      <c r="CF463" s="4">
        <v>280</v>
      </c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</row>
    <row r="464">
      <c r="A464" s="2" t="s">
        <v>3062</v>
      </c>
      <c r="B464" s="2" t="s">
        <v>1150</v>
      </c>
      <c r="C464" s="2" t="s">
        <v>773</v>
      </c>
      <c r="D464" s="2" t="s">
        <v>1112</v>
      </c>
      <c r="E464" s="2" t="s">
        <v>1165</v>
      </c>
      <c r="F464" s="2" t="s">
        <v>3063</v>
      </c>
      <c r="G464" s="2" t="s">
        <v>3063</v>
      </c>
      <c r="H464" s="2" t="s">
        <v>3063</v>
      </c>
      <c r="I464" s="2" t="s">
        <v>3064</v>
      </c>
      <c r="J464" s="2" t="s">
        <v>1189</v>
      </c>
      <c r="K464" s="2" t="s">
        <v>3065</v>
      </c>
      <c r="L464" s="3">
        <v>126</v>
      </c>
      <c r="M464" s="3">
        <v>132.3</v>
      </c>
      <c r="N464" s="3">
        <v>299.99</v>
      </c>
      <c r="O464" s="2" t="s">
        <v>240</v>
      </c>
      <c r="P464" s="2" t="s">
        <v>333</v>
      </c>
      <c r="Q464" s="2" t="s">
        <v>234</v>
      </c>
      <c r="R464" s="2" t="s">
        <v>228</v>
      </c>
      <c r="S464" s="2" t="s">
        <v>3066</v>
      </c>
      <c r="T464" s="2" t="s">
        <v>3067</v>
      </c>
      <c r="U464" s="2" t="s">
        <v>791</v>
      </c>
      <c r="V464" s="2" t="s">
        <v>374</v>
      </c>
      <c r="W464" s="2" t="s">
        <v>269</v>
      </c>
      <c r="X464" s="2" t="s">
        <v>463</v>
      </c>
      <c r="Y464" s="2" t="s">
        <v>3068</v>
      </c>
      <c r="Z464" s="4">
        <v>88</v>
      </c>
      <c r="AA464" s="4">
        <f>=ROUNDDOWN(22,0)</f>
      </c>
      <c r="AB464" s="5">
        <v>4</v>
      </c>
      <c r="AC464" s="2" t="s">
        <v>228</v>
      </c>
      <c r="AD464" s="4"/>
      <c r="AE464" s="4"/>
      <c r="AF464" s="6">
        <v>67</v>
      </c>
      <c r="AG464" s="6"/>
      <c r="AH464" s="7">
        <v>1</v>
      </c>
      <c r="AI464" s="4"/>
      <c r="AJ464" s="4">
        <f>=ROUNDDOWN({0},0)</f>
      </c>
      <c r="AK464" s="5"/>
      <c r="AL464" s="2" t="s">
        <v>228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/>
      <c r="BD464" s="8"/>
      <c r="BE464" s="4"/>
      <c r="BF464" s="8"/>
      <c r="BG464" s="7"/>
      <c r="BH464" s="7"/>
      <c r="BI464" s="7"/>
      <c r="BJ464" s="4">
        <v>13</v>
      </c>
      <c r="BK464" s="8">
        <v>1931.28</v>
      </c>
      <c r="BL464" s="2" t="s">
        <v>3069</v>
      </c>
      <c r="BM464" s="7"/>
      <c r="BN464" s="7"/>
      <c r="BO464" s="4"/>
      <c r="BP464" s="8"/>
      <c r="BQ464" s="4"/>
      <c r="BR464" s="8"/>
      <c r="BS464" s="7"/>
      <c r="BT464" s="7"/>
      <c r="BU464" s="2" t="s">
        <v>3070</v>
      </c>
      <c r="BV464" s="2" t="s">
        <v>228</v>
      </c>
      <c r="BW464" s="2" t="s">
        <v>228</v>
      </c>
      <c r="BX464" s="2" t="s">
        <v>337</v>
      </c>
      <c r="BY464" s="2" t="s">
        <v>274</v>
      </c>
      <c r="BZ464" s="2" t="s">
        <v>240</v>
      </c>
      <c r="CA464" s="2" t="s">
        <v>3071</v>
      </c>
      <c r="CB464" s="2" t="s">
        <v>723</v>
      </c>
      <c r="CC464" s="2" t="s">
        <v>241</v>
      </c>
      <c r="CD464" s="2" t="s">
        <v>228</v>
      </c>
      <c r="CE464" s="4">
        <v>88</v>
      </c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</row>
    <row r="465">
      <c r="A465" s="2" t="s">
        <v>3072</v>
      </c>
      <c r="B465" s="2" t="s">
        <v>1150</v>
      </c>
      <c r="C465" s="2" t="s">
        <v>300</v>
      </c>
      <c r="D465" s="2" t="s">
        <v>1112</v>
      </c>
      <c r="E465" s="2" t="s">
        <v>1165</v>
      </c>
      <c r="F465" s="2" t="s">
        <v>3073</v>
      </c>
      <c r="G465" s="2" t="s">
        <v>1927</v>
      </c>
      <c r="H465" s="2" t="s">
        <v>3074</v>
      </c>
      <c r="I465" s="2" t="s">
        <v>3075</v>
      </c>
      <c r="J465" s="2" t="s">
        <v>1189</v>
      </c>
      <c r="K465" s="2" t="s">
        <v>305</v>
      </c>
      <c r="L465" s="3">
        <v>45.71</v>
      </c>
      <c r="M465" s="3">
        <v>48</v>
      </c>
      <c r="N465" s="3">
        <v>99.99</v>
      </c>
      <c r="O465" s="2" t="s">
        <v>240</v>
      </c>
      <c r="P465" s="2" t="s">
        <v>233</v>
      </c>
      <c r="Q465" s="2" t="s">
        <v>234</v>
      </c>
      <c r="R465" s="2" t="s">
        <v>228</v>
      </c>
      <c r="S465" s="2" t="s">
        <v>3076</v>
      </c>
      <c r="T465" s="2" t="s">
        <v>415</v>
      </c>
      <c r="U465" s="2" t="s">
        <v>1331</v>
      </c>
      <c r="V465" s="2" t="s">
        <v>374</v>
      </c>
      <c r="W465" s="2" t="s">
        <v>351</v>
      </c>
      <c r="X465" s="2" t="s">
        <v>2834</v>
      </c>
      <c r="Y465" s="2" t="s">
        <v>228</v>
      </c>
      <c r="Z465" s="4"/>
      <c r="AA465" s="4">
        <f>=ROUNDDOWN({0},0)</f>
      </c>
      <c r="AB465" s="5"/>
      <c r="AC465" s="2" t="s">
        <v>1516</v>
      </c>
      <c r="AD465" s="4">
        <v>300</v>
      </c>
      <c r="AE465" s="4">
        <v>600</v>
      </c>
      <c r="AF465" s="6">
        <v>64</v>
      </c>
      <c r="AG465" s="6"/>
      <c r="AH465" s="7"/>
      <c r="AI465" s="4"/>
      <c r="AJ465" s="4">
        <f>=ROUNDDOWN({0},0)</f>
      </c>
      <c r="AK465" s="5"/>
      <c r="AL465" s="2" t="s">
        <v>228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228</v>
      </c>
      <c r="AW465" s="8" t="s">
        <v>228</v>
      </c>
      <c r="AX465" s="4" t="s">
        <v>228</v>
      </c>
      <c r="AY465" s="8" t="s">
        <v>228</v>
      </c>
      <c r="AZ465" s="7" t="s">
        <v>228</v>
      </c>
      <c r="BA465" s="7" t="s">
        <v>228</v>
      </c>
      <c r="BB465" s="7"/>
      <c r="BC465" s="4" t="s">
        <v>228</v>
      </c>
      <c r="BD465" s="8" t="s">
        <v>228</v>
      </c>
      <c r="BE465" s="4" t="s">
        <v>228</v>
      </c>
      <c r="BF465" s="8" t="s">
        <v>228</v>
      </c>
      <c r="BG465" s="7" t="s">
        <v>228</v>
      </c>
      <c r="BH465" s="7" t="s">
        <v>228</v>
      </c>
      <c r="BI465" s="7"/>
      <c r="BJ465" s="4"/>
      <c r="BK465" s="8"/>
      <c r="BL465" s="2" t="s">
        <v>228</v>
      </c>
      <c r="BM465" s="7"/>
      <c r="BN465" s="7"/>
      <c r="BO465" s="4"/>
      <c r="BP465" s="8"/>
      <c r="BQ465" s="4"/>
      <c r="BR465" s="8"/>
      <c r="BS465" s="7"/>
      <c r="BT465" s="7"/>
      <c r="BU465" s="2" t="s">
        <v>238</v>
      </c>
      <c r="BV465" s="2" t="s">
        <v>228</v>
      </c>
      <c r="BW465" s="2" t="s">
        <v>228</v>
      </c>
      <c r="BX465" s="2" t="s">
        <v>238</v>
      </c>
      <c r="BY465" s="2" t="s">
        <v>239</v>
      </c>
      <c r="BZ465" s="2" t="s">
        <v>240</v>
      </c>
      <c r="CA465" s="2" t="s">
        <v>228</v>
      </c>
      <c r="CB465" s="2" t="s">
        <v>228</v>
      </c>
      <c r="CC465" s="2" t="s">
        <v>241</v>
      </c>
      <c r="CD465" s="2" t="s">
        <v>228</v>
      </c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>
        <v>300</v>
      </c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>
        <v>300</v>
      </c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</row>
    <row r="466">
      <c r="A466" s="2" t="s">
        <v>3077</v>
      </c>
      <c r="B466" s="2" t="s">
        <v>1150</v>
      </c>
      <c r="C466" s="2" t="s">
        <v>300</v>
      </c>
      <c r="D466" s="2" t="s">
        <v>1112</v>
      </c>
      <c r="E466" s="2" t="s">
        <v>1165</v>
      </c>
      <c r="F466" s="2" t="s">
        <v>3073</v>
      </c>
      <c r="G466" s="2" t="s">
        <v>1927</v>
      </c>
      <c r="H466" s="2" t="s">
        <v>3074</v>
      </c>
      <c r="I466" s="2" t="s">
        <v>3075</v>
      </c>
      <c r="J466" s="2" t="s">
        <v>1043</v>
      </c>
      <c r="K466" s="2" t="s">
        <v>305</v>
      </c>
      <c r="L466" s="3">
        <v>54.85</v>
      </c>
      <c r="M466" s="3">
        <v>57.59</v>
      </c>
      <c r="N466" s="3">
        <v>119.99</v>
      </c>
      <c r="O466" s="2" t="s">
        <v>240</v>
      </c>
      <c r="P466" s="2" t="s">
        <v>233</v>
      </c>
      <c r="Q466" s="2" t="s">
        <v>234</v>
      </c>
      <c r="R466" s="2" t="s">
        <v>228</v>
      </c>
      <c r="S466" s="2" t="s">
        <v>3076</v>
      </c>
      <c r="T466" s="2" t="s">
        <v>415</v>
      </c>
      <c r="U466" s="2" t="s">
        <v>1331</v>
      </c>
      <c r="V466" s="2" t="s">
        <v>374</v>
      </c>
      <c r="W466" s="2" t="s">
        <v>351</v>
      </c>
      <c r="X466" s="2" t="s">
        <v>2834</v>
      </c>
      <c r="Y466" s="2" t="s">
        <v>228</v>
      </c>
      <c r="Z466" s="4"/>
      <c r="AA466" s="4">
        <f>=ROUNDDOWN({0},0)</f>
      </c>
      <c r="AB466" s="5"/>
      <c r="AC466" s="2" t="s">
        <v>1516</v>
      </c>
      <c r="AD466" s="4">
        <v>300</v>
      </c>
      <c r="AE466" s="4">
        <v>600</v>
      </c>
      <c r="AF466" s="6">
        <v>64</v>
      </c>
      <c r="AG466" s="6"/>
      <c r="AH466" s="7"/>
      <c r="AI466" s="4"/>
      <c r="AJ466" s="4">
        <f>=ROUNDDOWN({0},0)</f>
      </c>
      <c r="AK466" s="5"/>
      <c r="AL466" s="2" t="s">
        <v>228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228</v>
      </c>
      <c r="AW466" s="8" t="s">
        <v>228</v>
      </c>
      <c r="AX466" s="4" t="s">
        <v>228</v>
      </c>
      <c r="AY466" s="8" t="s">
        <v>228</v>
      </c>
      <c r="AZ466" s="7" t="s">
        <v>228</v>
      </c>
      <c r="BA466" s="7" t="s">
        <v>228</v>
      </c>
      <c r="BB466" s="7"/>
      <c r="BC466" s="4" t="s">
        <v>228</v>
      </c>
      <c r="BD466" s="8" t="s">
        <v>228</v>
      </c>
      <c r="BE466" s="4" t="s">
        <v>228</v>
      </c>
      <c r="BF466" s="8" t="s">
        <v>228</v>
      </c>
      <c r="BG466" s="7" t="s">
        <v>228</v>
      </c>
      <c r="BH466" s="7" t="s">
        <v>228</v>
      </c>
      <c r="BI466" s="7"/>
      <c r="BJ466" s="4"/>
      <c r="BK466" s="8"/>
      <c r="BL466" s="2" t="s">
        <v>228</v>
      </c>
      <c r="BM466" s="7"/>
      <c r="BN466" s="7"/>
      <c r="BO466" s="4"/>
      <c r="BP466" s="8"/>
      <c r="BQ466" s="4"/>
      <c r="BR466" s="8"/>
      <c r="BS466" s="7"/>
      <c r="BT466" s="7"/>
      <c r="BU466" s="2" t="s">
        <v>238</v>
      </c>
      <c r="BV466" s="2" t="s">
        <v>228</v>
      </c>
      <c r="BW466" s="2" t="s">
        <v>228</v>
      </c>
      <c r="BX466" s="2" t="s">
        <v>238</v>
      </c>
      <c r="BY466" s="2" t="s">
        <v>239</v>
      </c>
      <c r="BZ466" s="2" t="s">
        <v>240</v>
      </c>
      <c r="CA466" s="2" t="s">
        <v>228</v>
      </c>
      <c r="CB466" s="2" t="s">
        <v>228</v>
      </c>
      <c r="CC466" s="2" t="s">
        <v>241</v>
      </c>
      <c r="CD466" s="2" t="s">
        <v>228</v>
      </c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>
        <v>300</v>
      </c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>
        <v>300</v>
      </c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</row>
    <row r="467">
      <c r="A467" s="2" t="s">
        <v>3078</v>
      </c>
      <c r="B467" s="2" t="s">
        <v>1150</v>
      </c>
      <c r="C467" s="2" t="s">
        <v>300</v>
      </c>
      <c r="D467" s="2" t="s">
        <v>1112</v>
      </c>
      <c r="E467" s="2" t="s">
        <v>1165</v>
      </c>
      <c r="F467" s="2" t="s">
        <v>3073</v>
      </c>
      <c r="G467" s="2" t="s">
        <v>1927</v>
      </c>
      <c r="H467" s="2" t="s">
        <v>3074</v>
      </c>
      <c r="I467" s="2" t="s">
        <v>3075</v>
      </c>
      <c r="J467" s="2" t="s">
        <v>1189</v>
      </c>
      <c r="K467" s="2" t="s">
        <v>829</v>
      </c>
      <c r="L467" s="3">
        <v>45.71</v>
      </c>
      <c r="M467" s="3">
        <v>48</v>
      </c>
      <c r="N467" s="3">
        <v>99.99</v>
      </c>
      <c r="O467" s="2" t="s">
        <v>240</v>
      </c>
      <c r="P467" s="2" t="s">
        <v>233</v>
      </c>
      <c r="Q467" s="2" t="s">
        <v>234</v>
      </c>
      <c r="R467" s="2" t="s">
        <v>228</v>
      </c>
      <c r="S467" s="2" t="s">
        <v>3076</v>
      </c>
      <c r="T467" s="2" t="s">
        <v>415</v>
      </c>
      <c r="U467" s="2" t="s">
        <v>1331</v>
      </c>
      <c r="V467" s="2" t="s">
        <v>374</v>
      </c>
      <c r="W467" s="2" t="s">
        <v>351</v>
      </c>
      <c r="X467" s="2" t="s">
        <v>2834</v>
      </c>
      <c r="Y467" s="2" t="s">
        <v>228</v>
      </c>
      <c r="Z467" s="4"/>
      <c r="AA467" s="4">
        <f>=ROUNDDOWN({0},0)</f>
      </c>
      <c r="AB467" s="5"/>
      <c r="AC467" s="2" t="s">
        <v>1516</v>
      </c>
      <c r="AD467" s="4">
        <v>300</v>
      </c>
      <c r="AE467" s="4">
        <v>600</v>
      </c>
      <c r="AF467" s="6">
        <v>64</v>
      </c>
      <c r="AG467" s="6"/>
      <c r="AH467" s="7"/>
      <c r="AI467" s="4"/>
      <c r="AJ467" s="4">
        <f>=ROUNDDOWN({0},0)</f>
      </c>
      <c r="AK467" s="5"/>
      <c r="AL467" s="2" t="s">
        <v>228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228</v>
      </c>
      <c r="AW467" s="8" t="s">
        <v>228</v>
      </c>
      <c r="AX467" s="4" t="s">
        <v>228</v>
      </c>
      <c r="AY467" s="8" t="s">
        <v>228</v>
      </c>
      <c r="AZ467" s="7" t="s">
        <v>228</v>
      </c>
      <c r="BA467" s="7" t="s">
        <v>228</v>
      </c>
      <c r="BB467" s="7"/>
      <c r="BC467" s="4" t="s">
        <v>228</v>
      </c>
      <c r="BD467" s="8" t="s">
        <v>228</v>
      </c>
      <c r="BE467" s="4" t="s">
        <v>228</v>
      </c>
      <c r="BF467" s="8" t="s">
        <v>228</v>
      </c>
      <c r="BG467" s="7" t="s">
        <v>228</v>
      </c>
      <c r="BH467" s="7" t="s">
        <v>228</v>
      </c>
      <c r="BI467" s="7"/>
      <c r="BJ467" s="4"/>
      <c r="BK467" s="8"/>
      <c r="BL467" s="2" t="s">
        <v>228</v>
      </c>
      <c r="BM467" s="7"/>
      <c r="BN467" s="7"/>
      <c r="BO467" s="4"/>
      <c r="BP467" s="8"/>
      <c r="BQ467" s="4"/>
      <c r="BR467" s="8"/>
      <c r="BS467" s="7"/>
      <c r="BT467" s="7"/>
      <c r="BU467" s="2" t="s">
        <v>238</v>
      </c>
      <c r="BV467" s="2" t="s">
        <v>228</v>
      </c>
      <c r="BW467" s="2" t="s">
        <v>228</v>
      </c>
      <c r="BX467" s="2" t="s">
        <v>238</v>
      </c>
      <c r="BY467" s="2" t="s">
        <v>239</v>
      </c>
      <c r="BZ467" s="2" t="s">
        <v>240</v>
      </c>
      <c r="CA467" s="2" t="s">
        <v>228</v>
      </c>
      <c r="CB467" s="2" t="s">
        <v>228</v>
      </c>
      <c r="CC467" s="2" t="s">
        <v>241</v>
      </c>
      <c r="CD467" s="2" t="s">
        <v>228</v>
      </c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>
        <v>300</v>
      </c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>
        <v>300</v>
      </c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</row>
    <row r="468">
      <c r="A468" s="2" t="s">
        <v>3079</v>
      </c>
      <c r="B468" s="2" t="s">
        <v>1150</v>
      </c>
      <c r="C468" s="2" t="s">
        <v>300</v>
      </c>
      <c r="D468" s="2" t="s">
        <v>1112</v>
      </c>
      <c r="E468" s="2" t="s">
        <v>1165</v>
      </c>
      <c r="F468" s="2" t="s">
        <v>3073</v>
      </c>
      <c r="G468" s="2" t="s">
        <v>1927</v>
      </c>
      <c r="H468" s="2" t="s">
        <v>3074</v>
      </c>
      <c r="I468" s="2" t="s">
        <v>3075</v>
      </c>
      <c r="J468" s="2" t="s">
        <v>1043</v>
      </c>
      <c r="K468" s="2" t="s">
        <v>829</v>
      </c>
      <c r="L468" s="3">
        <v>54.85</v>
      </c>
      <c r="M468" s="3">
        <v>57.59</v>
      </c>
      <c r="N468" s="3">
        <v>119.99</v>
      </c>
      <c r="O468" s="2" t="s">
        <v>240</v>
      </c>
      <c r="P468" s="2" t="s">
        <v>233</v>
      </c>
      <c r="Q468" s="2" t="s">
        <v>234</v>
      </c>
      <c r="R468" s="2" t="s">
        <v>228</v>
      </c>
      <c r="S468" s="2" t="s">
        <v>3076</v>
      </c>
      <c r="T468" s="2" t="s">
        <v>415</v>
      </c>
      <c r="U468" s="2" t="s">
        <v>1331</v>
      </c>
      <c r="V468" s="2" t="s">
        <v>374</v>
      </c>
      <c r="W468" s="2" t="s">
        <v>351</v>
      </c>
      <c r="X468" s="2" t="s">
        <v>2834</v>
      </c>
      <c r="Y468" s="2" t="s">
        <v>228</v>
      </c>
      <c r="Z468" s="4"/>
      <c r="AA468" s="4">
        <f>=ROUNDDOWN({0},0)</f>
      </c>
      <c r="AB468" s="5"/>
      <c r="AC468" s="2" t="s">
        <v>1516</v>
      </c>
      <c r="AD468" s="4">
        <v>300</v>
      </c>
      <c r="AE468" s="4">
        <v>600</v>
      </c>
      <c r="AF468" s="6">
        <v>64</v>
      </c>
      <c r="AG468" s="6"/>
      <c r="AH468" s="7"/>
      <c r="AI468" s="4"/>
      <c r="AJ468" s="4">
        <f>=ROUNDDOWN({0},0)</f>
      </c>
      <c r="AK468" s="5"/>
      <c r="AL468" s="2" t="s">
        <v>228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228</v>
      </c>
      <c r="AW468" s="8" t="s">
        <v>228</v>
      </c>
      <c r="AX468" s="4" t="s">
        <v>228</v>
      </c>
      <c r="AY468" s="8" t="s">
        <v>228</v>
      </c>
      <c r="AZ468" s="7" t="s">
        <v>228</v>
      </c>
      <c r="BA468" s="7" t="s">
        <v>228</v>
      </c>
      <c r="BB468" s="7"/>
      <c r="BC468" s="4" t="s">
        <v>228</v>
      </c>
      <c r="BD468" s="8" t="s">
        <v>228</v>
      </c>
      <c r="BE468" s="4" t="s">
        <v>228</v>
      </c>
      <c r="BF468" s="8" t="s">
        <v>228</v>
      </c>
      <c r="BG468" s="7" t="s">
        <v>228</v>
      </c>
      <c r="BH468" s="7" t="s">
        <v>228</v>
      </c>
      <c r="BI468" s="7"/>
      <c r="BJ468" s="4"/>
      <c r="BK468" s="8"/>
      <c r="BL468" s="2" t="s">
        <v>228</v>
      </c>
      <c r="BM468" s="7"/>
      <c r="BN468" s="7"/>
      <c r="BO468" s="4"/>
      <c r="BP468" s="8"/>
      <c r="BQ468" s="4"/>
      <c r="BR468" s="8"/>
      <c r="BS468" s="7"/>
      <c r="BT468" s="7"/>
      <c r="BU468" s="2" t="s">
        <v>238</v>
      </c>
      <c r="BV468" s="2" t="s">
        <v>228</v>
      </c>
      <c r="BW468" s="2" t="s">
        <v>228</v>
      </c>
      <c r="BX468" s="2" t="s">
        <v>238</v>
      </c>
      <c r="BY468" s="2" t="s">
        <v>239</v>
      </c>
      <c r="BZ468" s="2" t="s">
        <v>240</v>
      </c>
      <c r="CA468" s="2" t="s">
        <v>228</v>
      </c>
      <c r="CB468" s="2" t="s">
        <v>228</v>
      </c>
      <c r="CC468" s="2" t="s">
        <v>241</v>
      </c>
      <c r="CD468" s="2" t="s">
        <v>228</v>
      </c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>
        <v>300</v>
      </c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>
        <v>300</v>
      </c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</row>
    <row r="469">
      <c r="A469" s="2" t="s">
        <v>3080</v>
      </c>
      <c r="B469" s="2" t="s">
        <v>1150</v>
      </c>
      <c r="C469" s="2" t="s">
        <v>773</v>
      </c>
      <c r="D469" s="2" t="s">
        <v>1112</v>
      </c>
      <c r="E469" s="2" t="s">
        <v>1165</v>
      </c>
      <c r="F469" s="2" t="s">
        <v>3081</v>
      </c>
      <c r="G469" s="2" t="s">
        <v>3081</v>
      </c>
      <c r="H469" s="2" t="s">
        <v>3081</v>
      </c>
      <c r="I469" s="2" t="s">
        <v>3082</v>
      </c>
      <c r="J469" s="2" t="s">
        <v>289</v>
      </c>
      <c r="K469" s="2" t="s">
        <v>480</v>
      </c>
      <c r="L469" s="3">
        <v>193.5</v>
      </c>
      <c r="M469" s="3">
        <v>203.18</v>
      </c>
      <c r="N469" s="3">
        <v>429.99</v>
      </c>
      <c r="O469" s="2" t="s">
        <v>461</v>
      </c>
      <c r="P469" s="2" t="s">
        <v>333</v>
      </c>
      <c r="Q469" s="2" t="s">
        <v>234</v>
      </c>
      <c r="R469" s="2" t="s">
        <v>228</v>
      </c>
      <c r="S469" s="2" t="s">
        <v>3083</v>
      </c>
      <c r="T469" s="2" t="s">
        <v>228</v>
      </c>
      <c r="U469" s="2" t="s">
        <v>791</v>
      </c>
      <c r="V469" s="2" t="s">
        <v>1156</v>
      </c>
      <c r="W469" s="2" t="s">
        <v>1268</v>
      </c>
      <c r="X469" s="2" t="s">
        <v>3084</v>
      </c>
      <c r="Y469" s="2" t="s">
        <v>3085</v>
      </c>
      <c r="Z469" s="4">
        <v>36</v>
      </c>
      <c r="AA469" s="4">
        <f>=ROUNDDOWN(60,0)</f>
      </c>
      <c r="AB469" s="5">
        <v>0.6</v>
      </c>
      <c r="AC469" s="2" t="s">
        <v>228</v>
      </c>
      <c r="AD469" s="4"/>
      <c r="AE469" s="4"/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228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228</v>
      </c>
      <c r="AW469" s="8" t="s">
        <v>228</v>
      </c>
      <c r="AX469" s="4" t="s">
        <v>228</v>
      </c>
      <c r="AY469" s="8" t="s">
        <v>228</v>
      </c>
      <c r="AZ469" s="7" t="s">
        <v>228</v>
      </c>
      <c r="BA469" s="7" t="s">
        <v>228</v>
      </c>
      <c r="BB469" s="7"/>
      <c r="BC469" s="4" t="s">
        <v>228</v>
      </c>
      <c r="BD469" s="8" t="s">
        <v>228</v>
      </c>
      <c r="BE469" s="4" t="s">
        <v>228</v>
      </c>
      <c r="BF469" s="8" t="s">
        <v>228</v>
      </c>
      <c r="BG469" s="7" t="s">
        <v>228</v>
      </c>
      <c r="BH469" s="7" t="s">
        <v>228</v>
      </c>
      <c r="BI469" s="7"/>
      <c r="BJ469" s="4">
        <v>2</v>
      </c>
      <c r="BK469" s="8">
        <v>213.34</v>
      </c>
      <c r="BL469" s="2" t="s">
        <v>1322</v>
      </c>
      <c r="BM469" s="7"/>
      <c r="BN469" s="7"/>
      <c r="BO469" s="4"/>
      <c r="BP469" s="8"/>
      <c r="BQ469" s="4"/>
      <c r="BR469" s="8"/>
      <c r="BS469" s="7"/>
      <c r="BT469" s="7"/>
      <c r="BU469" s="2" t="s">
        <v>3086</v>
      </c>
      <c r="BV469" s="2" t="s">
        <v>228</v>
      </c>
      <c r="BW469" s="2" t="s">
        <v>228</v>
      </c>
      <c r="BX469" s="2" t="s">
        <v>337</v>
      </c>
      <c r="BY469" s="2" t="s">
        <v>274</v>
      </c>
      <c r="BZ469" s="2" t="s">
        <v>240</v>
      </c>
      <c r="CA469" s="2" t="s">
        <v>3087</v>
      </c>
      <c r="CB469" s="2" t="s">
        <v>3088</v>
      </c>
      <c r="CC469" s="2" t="s">
        <v>241</v>
      </c>
      <c r="CD469" s="2" t="s">
        <v>228</v>
      </c>
      <c r="CE469" s="4">
        <v>36</v>
      </c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</row>
    <row r="470">
      <c r="A470" s="2" t="s">
        <v>3089</v>
      </c>
      <c r="B470" s="2" t="s">
        <v>1150</v>
      </c>
      <c r="C470" s="2" t="s">
        <v>773</v>
      </c>
      <c r="D470" s="2" t="s">
        <v>1112</v>
      </c>
      <c r="E470" s="2" t="s">
        <v>1165</v>
      </c>
      <c r="F470" s="2" t="s">
        <v>3081</v>
      </c>
      <c r="G470" s="2" t="s">
        <v>3081</v>
      </c>
      <c r="H470" s="2" t="s">
        <v>3081</v>
      </c>
      <c r="I470" s="2" t="s">
        <v>3090</v>
      </c>
      <c r="J470" s="2" t="s">
        <v>294</v>
      </c>
      <c r="K470" s="2" t="s">
        <v>480</v>
      </c>
      <c r="L470" s="3">
        <v>216</v>
      </c>
      <c r="M470" s="3">
        <v>226.8</v>
      </c>
      <c r="N470" s="3">
        <v>479.99</v>
      </c>
      <c r="O470" s="2" t="s">
        <v>461</v>
      </c>
      <c r="P470" s="2" t="s">
        <v>333</v>
      </c>
      <c r="Q470" s="2" t="s">
        <v>234</v>
      </c>
      <c r="R470" s="2" t="s">
        <v>228</v>
      </c>
      <c r="S470" s="2" t="s">
        <v>3083</v>
      </c>
      <c r="T470" s="2" t="s">
        <v>228</v>
      </c>
      <c r="U470" s="2" t="s">
        <v>1162</v>
      </c>
      <c r="V470" s="2" t="s">
        <v>1156</v>
      </c>
      <c r="W470" s="2" t="s">
        <v>1268</v>
      </c>
      <c r="X470" s="2" t="s">
        <v>3084</v>
      </c>
      <c r="Y470" s="2" t="s">
        <v>3085</v>
      </c>
      <c r="Z470" s="4">
        <v>170</v>
      </c>
      <c r="AA470" s="4">
        <f>=ROUNDDOWN(80.9523809523809,0)</f>
      </c>
      <c r="AB470" s="5">
        <v>2.1</v>
      </c>
      <c r="AC470" s="2" t="s">
        <v>228</v>
      </c>
      <c r="AD470" s="4"/>
      <c r="AE470" s="4"/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228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228</v>
      </c>
      <c r="AW470" s="8" t="s">
        <v>228</v>
      </c>
      <c r="AX470" s="4" t="s">
        <v>228</v>
      </c>
      <c r="AY470" s="8" t="s">
        <v>228</v>
      </c>
      <c r="AZ470" s="7" t="s">
        <v>228</v>
      </c>
      <c r="BA470" s="7" t="s">
        <v>228</v>
      </c>
      <c r="BB470" s="7"/>
      <c r="BC470" s="4" t="s">
        <v>228</v>
      </c>
      <c r="BD470" s="8" t="s">
        <v>228</v>
      </c>
      <c r="BE470" s="4" t="s">
        <v>228</v>
      </c>
      <c r="BF470" s="8" t="s">
        <v>228</v>
      </c>
      <c r="BG470" s="7" t="s">
        <v>228</v>
      </c>
      <c r="BH470" s="7" t="s">
        <v>228</v>
      </c>
      <c r="BI470" s="7"/>
      <c r="BJ470" s="4">
        <v>8</v>
      </c>
      <c r="BK470" s="8">
        <v>1072.76</v>
      </c>
      <c r="BL470" s="2" t="s">
        <v>2193</v>
      </c>
      <c r="BM470" s="7"/>
      <c r="BN470" s="7"/>
      <c r="BO470" s="4"/>
      <c r="BP470" s="8"/>
      <c r="BQ470" s="4"/>
      <c r="BR470" s="8"/>
      <c r="BS470" s="7"/>
      <c r="BT470" s="7"/>
      <c r="BU470" s="2" t="s">
        <v>3091</v>
      </c>
      <c r="BV470" s="2" t="s">
        <v>228</v>
      </c>
      <c r="BW470" s="2" t="s">
        <v>228</v>
      </c>
      <c r="BX470" s="2" t="s">
        <v>337</v>
      </c>
      <c r="BY470" s="2" t="s">
        <v>274</v>
      </c>
      <c r="BZ470" s="2" t="s">
        <v>240</v>
      </c>
      <c r="CA470" s="2" t="s">
        <v>3087</v>
      </c>
      <c r="CB470" s="2" t="s">
        <v>3092</v>
      </c>
      <c r="CC470" s="2" t="s">
        <v>241</v>
      </c>
      <c r="CD470" s="2" t="s">
        <v>228</v>
      </c>
      <c r="CE470" s="4">
        <v>170</v>
      </c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</row>
    <row r="471">
      <c r="A471" s="2" t="s">
        <v>3093</v>
      </c>
      <c r="B471" s="2" t="s">
        <v>958</v>
      </c>
      <c r="C471" s="2" t="s">
        <v>300</v>
      </c>
      <c r="D471" s="2" t="s">
        <v>1795</v>
      </c>
      <c r="E471" s="2" t="s">
        <v>3094</v>
      </c>
      <c r="F471" s="2" t="s">
        <v>3095</v>
      </c>
      <c r="G471" s="2" t="s">
        <v>3096</v>
      </c>
      <c r="H471" s="2" t="s">
        <v>3097</v>
      </c>
      <c r="I471" s="2" t="s">
        <v>3098</v>
      </c>
      <c r="J471" s="2" t="s">
        <v>840</v>
      </c>
      <c r="K471" s="2" t="s">
        <v>2350</v>
      </c>
      <c r="L471" s="3">
        <v>335.16</v>
      </c>
      <c r="M471" s="3">
        <v>351.92</v>
      </c>
      <c r="N471" s="3">
        <v>699</v>
      </c>
      <c r="O471" s="2" t="s">
        <v>240</v>
      </c>
      <c r="P471" s="2" t="s">
        <v>1022</v>
      </c>
      <c r="Q471" s="2" t="s">
        <v>234</v>
      </c>
      <c r="R471" s="2" t="s">
        <v>228</v>
      </c>
      <c r="S471" s="2" t="s">
        <v>228</v>
      </c>
      <c r="T471" s="2" t="s">
        <v>228</v>
      </c>
      <c r="U471" s="2" t="s">
        <v>520</v>
      </c>
      <c r="V471" s="2" t="s">
        <v>236</v>
      </c>
      <c r="W471" s="2" t="s">
        <v>463</v>
      </c>
      <c r="X471" s="2" t="s">
        <v>228</v>
      </c>
      <c r="Y471" s="2" t="s">
        <v>3099</v>
      </c>
      <c r="Z471" s="4">
        <v>132</v>
      </c>
      <c r="AA471" s="4">
        <f>=ROUNDDOWN({0},0)</f>
      </c>
      <c r="AB471" s="5"/>
      <c r="AC471" s="2" t="s">
        <v>228</v>
      </c>
      <c r="AD471" s="4"/>
      <c r="AE471" s="4"/>
      <c r="AF471" s="6"/>
      <c r="AG471" s="6"/>
      <c r="AH471" s="7">
        <v>1</v>
      </c>
      <c r="AI471" s="4"/>
      <c r="AJ471" s="4">
        <f>=ROUNDDOWN({0},0)</f>
      </c>
      <c r="AK471" s="5"/>
      <c r="AL471" s="2" t="s">
        <v>228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 t="s">
        <v>228</v>
      </c>
      <c r="BD471" s="8" t="s">
        <v>228</v>
      </c>
      <c r="BE471" s="4" t="s">
        <v>228</v>
      </c>
      <c r="BF471" s="8" t="s">
        <v>228</v>
      </c>
      <c r="BG471" s="7" t="s">
        <v>228</v>
      </c>
      <c r="BH471" s="7" t="s">
        <v>228</v>
      </c>
      <c r="BI471" s="7"/>
      <c r="BJ471" s="4"/>
      <c r="BK471" s="8"/>
      <c r="BL471" s="2" t="s">
        <v>228</v>
      </c>
      <c r="BM471" s="7"/>
      <c r="BN471" s="7"/>
      <c r="BO471" s="4"/>
      <c r="BP471" s="8"/>
      <c r="BQ471" s="4"/>
      <c r="BR471" s="8"/>
      <c r="BS471" s="7"/>
      <c r="BT471" s="7"/>
      <c r="BU471" s="2" t="s">
        <v>3100</v>
      </c>
      <c r="BV471" s="2" t="s">
        <v>228</v>
      </c>
      <c r="BW471" s="2" t="s">
        <v>228</v>
      </c>
      <c r="BX471" s="2" t="s">
        <v>273</v>
      </c>
      <c r="BY471" s="2" t="s">
        <v>274</v>
      </c>
      <c r="BZ471" s="2" t="s">
        <v>240</v>
      </c>
      <c r="CA471" s="2" t="s">
        <v>3101</v>
      </c>
      <c r="CB471" s="2" t="s">
        <v>228</v>
      </c>
      <c r="CC471" s="2" t="s">
        <v>241</v>
      </c>
      <c r="CD471" s="2" t="s">
        <v>228</v>
      </c>
      <c r="CE471" s="4"/>
      <c r="CF471" s="4">
        <v>132</v>
      </c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</row>
    <row r="472">
      <c r="A472" s="2" t="s">
        <v>3102</v>
      </c>
      <c r="B472" s="2" t="s">
        <v>958</v>
      </c>
      <c r="C472" s="2" t="s">
        <v>300</v>
      </c>
      <c r="D472" s="2" t="s">
        <v>1795</v>
      </c>
      <c r="E472" s="2" t="s">
        <v>1796</v>
      </c>
      <c r="F472" s="2" t="s">
        <v>3095</v>
      </c>
      <c r="G472" s="2" t="s">
        <v>3096</v>
      </c>
      <c r="H472" s="2" t="s">
        <v>3097</v>
      </c>
      <c r="I472" s="2" t="s">
        <v>3103</v>
      </c>
      <c r="J472" s="2" t="s">
        <v>840</v>
      </c>
      <c r="K472" s="2" t="s">
        <v>3104</v>
      </c>
      <c r="L472" s="3">
        <v>171</v>
      </c>
      <c r="M472" s="3">
        <v>179.55</v>
      </c>
      <c r="N472" s="3">
        <v>359</v>
      </c>
      <c r="O472" s="2" t="s">
        <v>240</v>
      </c>
      <c r="P472" s="2" t="s">
        <v>266</v>
      </c>
      <c r="Q472" s="2" t="s">
        <v>234</v>
      </c>
      <c r="R472" s="2" t="s">
        <v>228</v>
      </c>
      <c r="S472" s="2" t="s">
        <v>228</v>
      </c>
      <c r="T472" s="2" t="s">
        <v>228</v>
      </c>
      <c r="U472" s="2" t="s">
        <v>416</v>
      </c>
      <c r="V472" s="2" t="s">
        <v>236</v>
      </c>
      <c r="W472" s="2" t="s">
        <v>463</v>
      </c>
      <c r="X472" s="2" t="s">
        <v>269</v>
      </c>
      <c r="Y472" s="2" t="s">
        <v>3105</v>
      </c>
      <c r="Z472" s="4">
        <v>74</v>
      </c>
      <c r="AA472" s="4">
        <f>=ROUNDDOWN(12.3333333333333,0)</f>
      </c>
      <c r="AB472" s="5">
        <v>6</v>
      </c>
      <c r="AC472" s="2" t="s">
        <v>3106</v>
      </c>
      <c r="AD472" s="4">
        <v>100</v>
      </c>
      <c r="AE472" s="4">
        <v>100</v>
      </c>
      <c r="AF472" s="6">
        <v>67</v>
      </c>
      <c r="AG472" s="6">
        <v>50</v>
      </c>
      <c r="AH472" s="7">
        <v>1</v>
      </c>
      <c r="AI472" s="4"/>
      <c r="AJ472" s="4">
        <f>=ROUNDDOWN({0},0)</f>
      </c>
      <c r="AK472" s="5"/>
      <c r="AL472" s="2" t="s">
        <v>228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 t="s">
        <v>228</v>
      </c>
      <c r="BD472" s="8" t="s">
        <v>228</v>
      </c>
      <c r="BE472" s="4" t="s">
        <v>228</v>
      </c>
      <c r="BF472" s="8" t="s">
        <v>228</v>
      </c>
      <c r="BG472" s="7" t="s">
        <v>228</v>
      </c>
      <c r="BH472" s="7" t="s">
        <v>228</v>
      </c>
      <c r="BI472" s="7"/>
      <c r="BJ472" s="4">
        <v>4</v>
      </c>
      <c r="BK472" s="8">
        <v>775.64</v>
      </c>
      <c r="BL472" s="2" t="s">
        <v>3107</v>
      </c>
      <c r="BM472" s="7"/>
      <c r="BN472" s="7"/>
      <c r="BO472" s="4"/>
      <c r="BP472" s="8"/>
      <c r="BQ472" s="4"/>
      <c r="BR472" s="8"/>
      <c r="BS472" s="7"/>
      <c r="BT472" s="7"/>
      <c r="BU472" s="2" t="s">
        <v>3108</v>
      </c>
      <c r="BV472" s="2" t="s">
        <v>228</v>
      </c>
      <c r="BW472" s="2" t="s">
        <v>228</v>
      </c>
      <c r="BX472" s="2" t="s">
        <v>273</v>
      </c>
      <c r="BY472" s="2" t="s">
        <v>274</v>
      </c>
      <c r="BZ472" s="2" t="s">
        <v>240</v>
      </c>
      <c r="CA472" s="2" t="s">
        <v>476</v>
      </c>
      <c r="CB472" s="2" t="s">
        <v>1829</v>
      </c>
      <c r="CC472" s="2" t="s">
        <v>241</v>
      </c>
      <c r="CD472" s="2" t="s">
        <v>228</v>
      </c>
      <c r="CE472" s="4"/>
      <c r="CF472" s="4">
        <v>74</v>
      </c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>
        <v>100</v>
      </c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</row>
    <row r="473">
      <c r="A473" s="2" t="s">
        <v>3109</v>
      </c>
      <c r="B473" s="2" t="s">
        <v>223</v>
      </c>
      <c r="C473" s="2" t="s">
        <v>300</v>
      </c>
      <c r="D473" s="2" t="s">
        <v>225</v>
      </c>
      <c r="E473" s="2" t="s">
        <v>226</v>
      </c>
      <c r="F473" s="2" t="s">
        <v>3110</v>
      </c>
      <c r="G473" s="2" t="s">
        <v>3110</v>
      </c>
      <c r="H473" s="2" t="s">
        <v>3110</v>
      </c>
      <c r="I473" s="2" t="s">
        <v>226</v>
      </c>
      <c r="J473" s="2" t="s">
        <v>264</v>
      </c>
      <c r="K473" s="2" t="s">
        <v>265</v>
      </c>
      <c r="L473" s="3">
        <v>12.85</v>
      </c>
      <c r="M473" s="3">
        <v>13.49</v>
      </c>
      <c r="N473" s="3">
        <v>29.99</v>
      </c>
      <c r="O473" s="2" t="s">
        <v>240</v>
      </c>
      <c r="P473" s="2" t="s">
        <v>266</v>
      </c>
      <c r="Q473" s="2" t="s">
        <v>234</v>
      </c>
      <c r="R473" s="2" t="s">
        <v>228</v>
      </c>
      <c r="S473" s="2" t="s">
        <v>3111</v>
      </c>
      <c r="T473" s="2" t="s">
        <v>3112</v>
      </c>
      <c r="U473" s="2" t="s">
        <v>416</v>
      </c>
      <c r="V473" s="2" t="s">
        <v>980</v>
      </c>
      <c r="W473" s="2" t="s">
        <v>743</v>
      </c>
      <c r="X473" s="2" t="s">
        <v>463</v>
      </c>
      <c r="Y473" s="2" t="s">
        <v>2983</v>
      </c>
      <c r="Z473" s="4">
        <v>222</v>
      </c>
      <c r="AA473" s="4">
        <f>=ROUNDDOWN(22.2,0)</f>
      </c>
      <c r="AB473" s="5">
        <v>10</v>
      </c>
      <c r="AC473" s="2" t="s">
        <v>1352</v>
      </c>
      <c r="AD473" s="4">
        <v>40</v>
      </c>
      <c r="AE473" s="4">
        <v>190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228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228</v>
      </c>
      <c r="AW473" s="8" t="s">
        <v>228</v>
      </c>
      <c r="AX473" s="4" t="s">
        <v>228</v>
      </c>
      <c r="AY473" s="8" t="s">
        <v>228</v>
      </c>
      <c r="AZ473" s="7" t="s">
        <v>228</v>
      </c>
      <c r="BA473" s="7" t="s">
        <v>228</v>
      </c>
      <c r="BB473" s="7"/>
      <c r="BC473" s="4" t="s">
        <v>228</v>
      </c>
      <c r="BD473" s="8" t="s">
        <v>228</v>
      </c>
      <c r="BE473" s="4" t="s">
        <v>228</v>
      </c>
      <c r="BF473" s="8" t="s">
        <v>228</v>
      </c>
      <c r="BG473" s="7" t="s">
        <v>228</v>
      </c>
      <c r="BH473" s="7" t="s">
        <v>228</v>
      </c>
      <c r="BI473" s="7"/>
      <c r="BJ473" s="4">
        <v>38</v>
      </c>
      <c r="BK473" s="8">
        <v>551.89</v>
      </c>
      <c r="BL473" s="2" t="s">
        <v>2804</v>
      </c>
      <c r="BM473" s="7"/>
      <c r="BN473" s="7"/>
      <c r="BO473" s="4"/>
      <c r="BP473" s="8"/>
      <c r="BQ473" s="4"/>
      <c r="BR473" s="8"/>
      <c r="BS473" s="7"/>
      <c r="BT473" s="7"/>
      <c r="BU473" s="2" t="s">
        <v>3113</v>
      </c>
      <c r="BV473" s="2" t="s">
        <v>228</v>
      </c>
      <c r="BW473" s="2" t="s">
        <v>228</v>
      </c>
      <c r="BX473" s="2" t="s">
        <v>273</v>
      </c>
      <c r="BY473" s="2" t="s">
        <v>274</v>
      </c>
      <c r="BZ473" s="2" t="s">
        <v>240</v>
      </c>
      <c r="CA473" s="2" t="s">
        <v>2983</v>
      </c>
      <c r="CB473" s="2" t="s">
        <v>3114</v>
      </c>
      <c r="CC473" s="2" t="s">
        <v>241</v>
      </c>
      <c r="CD473" s="2" t="s">
        <v>228</v>
      </c>
      <c r="CE473" s="4">
        <v>122</v>
      </c>
      <c r="CF473" s="4"/>
      <c r="CG473" s="4"/>
      <c r="CH473" s="4"/>
      <c r="CI473" s="4"/>
      <c r="CJ473" s="4"/>
      <c r="CK473" s="4">
        <v>100</v>
      </c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>
        <v>40</v>
      </c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>
        <v>150</v>
      </c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</row>
    <row r="474">
      <c r="A474" s="2" t="s">
        <v>3115</v>
      </c>
      <c r="B474" s="2" t="s">
        <v>223</v>
      </c>
      <c r="C474" s="2" t="s">
        <v>300</v>
      </c>
      <c r="D474" s="2" t="s">
        <v>225</v>
      </c>
      <c r="E474" s="2" t="s">
        <v>226</v>
      </c>
      <c r="F474" s="2" t="s">
        <v>3110</v>
      </c>
      <c r="G474" s="2" t="s">
        <v>3110</v>
      </c>
      <c r="H474" s="2" t="s">
        <v>3110</v>
      </c>
      <c r="I474" s="2" t="s">
        <v>226</v>
      </c>
      <c r="J474" s="2" t="s">
        <v>294</v>
      </c>
      <c r="K474" s="2" t="s">
        <v>265</v>
      </c>
      <c r="L474" s="3">
        <v>18.28</v>
      </c>
      <c r="M474" s="3">
        <v>19.19</v>
      </c>
      <c r="N474" s="3">
        <v>39.99</v>
      </c>
      <c r="O474" s="2" t="s">
        <v>240</v>
      </c>
      <c r="P474" s="2" t="s">
        <v>266</v>
      </c>
      <c r="Q474" s="2" t="s">
        <v>234</v>
      </c>
      <c r="R474" s="2" t="s">
        <v>228</v>
      </c>
      <c r="S474" s="2" t="s">
        <v>3111</v>
      </c>
      <c r="T474" s="2" t="s">
        <v>3112</v>
      </c>
      <c r="U474" s="2" t="s">
        <v>416</v>
      </c>
      <c r="V474" s="2" t="s">
        <v>980</v>
      </c>
      <c r="W474" s="2" t="s">
        <v>743</v>
      </c>
      <c r="X474" s="2" t="s">
        <v>463</v>
      </c>
      <c r="Y474" s="2" t="s">
        <v>2983</v>
      </c>
      <c r="Z474" s="4">
        <v>215</v>
      </c>
      <c r="AA474" s="4">
        <f>=ROUNDDOWN(23.8888888888889,0)</f>
      </c>
      <c r="AB474" s="5">
        <v>9</v>
      </c>
      <c r="AC474" s="2" t="s">
        <v>1352</v>
      </c>
      <c r="AD474" s="4">
        <v>190</v>
      </c>
      <c r="AE474" s="4">
        <v>230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228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228</v>
      </c>
      <c r="AW474" s="8" t="s">
        <v>228</v>
      </c>
      <c r="AX474" s="4" t="s">
        <v>228</v>
      </c>
      <c r="AY474" s="8" t="s">
        <v>228</v>
      </c>
      <c r="AZ474" s="7" t="s">
        <v>228</v>
      </c>
      <c r="BA474" s="7" t="s">
        <v>228</v>
      </c>
      <c r="BB474" s="7"/>
      <c r="BC474" s="4" t="s">
        <v>228</v>
      </c>
      <c r="BD474" s="8" t="s">
        <v>228</v>
      </c>
      <c r="BE474" s="4" t="s">
        <v>228</v>
      </c>
      <c r="BF474" s="8" t="s">
        <v>228</v>
      </c>
      <c r="BG474" s="7" t="s">
        <v>228</v>
      </c>
      <c r="BH474" s="7" t="s">
        <v>228</v>
      </c>
      <c r="BI474" s="7"/>
      <c r="BJ474" s="4">
        <v>26</v>
      </c>
      <c r="BK474" s="8">
        <v>538.4</v>
      </c>
      <c r="BL474" s="2" t="s">
        <v>2804</v>
      </c>
      <c r="BM474" s="7"/>
      <c r="BN474" s="7"/>
      <c r="BO474" s="4"/>
      <c r="BP474" s="8"/>
      <c r="BQ474" s="4"/>
      <c r="BR474" s="8"/>
      <c r="BS474" s="7"/>
      <c r="BT474" s="7"/>
      <c r="BU474" s="2" t="s">
        <v>3116</v>
      </c>
      <c r="BV474" s="2" t="s">
        <v>228</v>
      </c>
      <c r="BW474" s="2" t="s">
        <v>228</v>
      </c>
      <c r="BX474" s="2" t="s">
        <v>273</v>
      </c>
      <c r="BY474" s="2" t="s">
        <v>274</v>
      </c>
      <c r="BZ474" s="2" t="s">
        <v>240</v>
      </c>
      <c r="CA474" s="2" t="s">
        <v>2983</v>
      </c>
      <c r="CB474" s="2" t="s">
        <v>3117</v>
      </c>
      <c r="CC474" s="2" t="s">
        <v>241</v>
      </c>
      <c r="CD474" s="2" t="s">
        <v>228</v>
      </c>
      <c r="CE474" s="4">
        <v>115</v>
      </c>
      <c r="CF474" s="4"/>
      <c r="CG474" s="4"/>
      <c r="CH474" s="4"/>
      <c r="CI474" s="4"/>
      <c r="CJ474" s="4"/>
      <c r="CK474" s="4">
        <v>100</v>
      </c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>
        <v>190</v>
      </c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>
        <v>40</v>
      </c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</row>
    <row r="475">
      <c r="A475" s="2" t="s">
        <v>3118</v>
      </c>
      <c r="B475" s="2" t="s">
        <v>223</v>
      </c>
      <c r="C475" s="2" t="s">
        <v>300</v>
      </c>
      <c r="D475" s="2" t="s">
        <v>225</v>
      </c>
      <c r="E475" s="2" t="s">
        <v>226</v>
      </c>
      <c r="F475" s="2" t="s">
        <v>3110</v>
      </c>
      <c r="G475" s="2" t="s">
        <v>3110</v>
      </c>
      <c r="H475" s="2" t="s">
        <v>3110</v>
      </c>
      <c r="I475" s="2" t="s">
        <v>226</v>
      </c>
      <c r="J475" s="2" t="s">
        <v>264</v>
      </c>
      <c r="K475" s="2" t="s">
        <v>1421</v>
      </c>
      <c r="L475" s="3">
        <v>12.85</v>
      </c>
      <c r="M475" s="3">
        <v>13.49</v>
      </c>
      <c r="N475" s="3">
        <v>29.99</v>
      </c>
      <c r="O475" s="2" t="s">
        <v>240</v>
      </c>
      <c r="P475" s="2" t="s">
        <v>266</v>
      </c>
      <c r="Q475" s="2" t="s">
        <v>234</v>
      </c>
      <c r="R475" s="2" t="s">
        <v>228</v>
      </c>
      <c r="S475" s="2" t="s">
        <v>3119</v>
      </c>
      <c r="T475" s="2" t="s">
        <v>3112</v>
      </c>
      <c r="U475" s="2" t="s">
        <v>416</v>
      </c>
      <c r="V475" s="2" t="s">
        <v>980</v>
      </c>
      <c r="W475" s="2" t="s">
        <v>743</v>
      </c>
      <c r="X475" s="2" t="s">
        <v>463</v>
      </c>
      <c r="Y475" s="2" t="s">
        <v>3120</v>
      </c>
      <c r="Z475" s="4">
        <v>201</v>
      </c>
      <c r="AA475" s="4">
        <f>=ROUNDDOWN(33.5,0)</f>
      </c>
      <c r="AB475" s="5">
        <v>6</v>
      </c>
      <c r="AC475" s="2" t="s">
        <v>171</v>
      </c>
      <c r="AD475" s="4">
        <v>120</v>
      </c>
      <c r="AE475" s="4">
        <v>210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228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228</v>
      </c>
      <c r="AW475" s="8" t="s">
        <v>228</v>
      </c>
      <c r="AX475" s="4" t="s">
        <v>228</v>
      </c>
      <c r="AY475" s="8" t="s">
        <v>228</v>
      </c>
      <c r="AZ475" s="7" t="s">
        <v>228</v>
      </c>
      <c r="BA475" s="7" t="s">
        <v>228</v>
      </c>
      <c r="BB475" s="7"/>
      <c r="BC475" s="4" t="s">
        <v>228</v>
      </c>
      <c r="BD475" s="8" t="s">
        <v>228</v>
      </c>
      <c r="BE475" s="4" t="s">
        <v>228</v>
      </c>
      <c r="BF475" s="8" t="s">
        <v>228</v>
      </c>
      <c r="BG475" s="7" t="s">
        <v>228</v>
      </c>
      <c r="BH475" s="7" t="s">
        <v>228</v>
      </c>
      <c r="BI475" s="7"/>
      <c r="BJ475" s="4">
        <v>12</v>
      </c>
      <c r="BK475" s="8">
        <v>173.85</v>
      </c>
      <c r="BL475" s="2" t="s">
        <v>3121</v>
      </c>
      <c r="BM475" s="7"/>
      <c r="BN475" s="7"/>
      <c r="BO475" s="4"/>
      <c r="BP475" s="8"/>
      <c r="BQ475" s="4"/>
      <c r="BR475" s="8"/>
      <c r="BS475" s="7"/>
      <c r="BT475" s="7"/>
      <c r="BU475" s="2" t="s">
        <v>3122</v>
      </c>
      <c r="BV475" s="2" t="s">
        <v>228</v>
      </c>
      <c r="BW475" s="2" t="s">
        <v>228</v>
      </c>
      <c r="BX475" s="2" t="s">
        <v>273</v>
      </c>
      <c r="BY475" s="2" t="s">
        <v>274</v>
      </c>
      <c r="BZ475" s="2" t="s">
        <v>240</v>
      </c>
      <c r="CA475" s="2" t="s">
        <v>2983</v>
      </c>
      <c r="CB475" s="2" t="s">
        <v>2113</v>
      </c>
      <c r="CC475" s="2" t="s">
        <v>241</v>
      </c>
      <c r="CD475" s="2" t="s">
        <v>228</v>
      </c>
      <c r="CE475" s="4">
        <v>201</v>
      </c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>
        <v>120</v>
      </c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>
        <v>90</v>
      </c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</row>
    <row r="476">
      <c r="A476" s="2" t="s">
        <v>3123</v>
      </c>
      <c r="B476" s="2" t="s">
        <v>223</v>
      </c>
      <c r="C476" s="2" t="s">
        <v>300</v>
      </c>
      <c r="D476" s="2" t="s">
        <v>225</v>
      </c>
      <c r="E476" s="2" t="s">
        <v>226</v>
      </c>
      <c r="F476" s="2" t="s">
        <v>3110</v>
      </c>
      <c r="G476" s="2" t="s">
        <v>3110</v>
      </c>
      <c r="H476" s="2" t="s">
        <v>3110</v>
      </c>
      <c r="I476" s="2" t="s">
        <v>226</v>
      </c>
      <c r="J476" s="2" t="s">
        <v>1189</v>
      </c>
      <c r="K476" s="2" t="s">
        <v>1421</v>
      </c>
      <c r="L476" s="3">
        <v>16</v>
      </c>
      <c r="M476" s="3">
        <v>16.8</v>
      </c>
      <c r="N476" s="3">
        <v>34.99</v>
      </c>
      <c r="O476" s="2" t="s">
        <v>240</v>
      </c>
      <c r="P476" s="2" t="s">
        <v>266</v>
      </c>
      <c r="Q476" s="2" t="s">
        <v>234</v>
      </c>
      <c r="R476" s="2" t="s">
        <v>228</v>
      </c>
      <c r="S476" s="2" t="s">
        <v>3119</v>
      </c>
      <c r="T476" s="2" t="s">
        <v>3112</v>
      </c>
      <c r="U476" s="2" t="s">
        <v>416</v>
      </c>
      <c r="V476" s="2" t="s">
        <v>980</v>
      </c>
      <c r="W476" s="2" t="s">
        <v>743</v>
      </c>
      <c r="X476" s="2" t="s">
        <v>463</v>
      </c>
      <c r="Y476" s="2" t="s">
        <v>2983</v>
      </c>
      <c r="Z476" s="4">
        <v>203</v>
      </c>
      <c r="AA476" s="4">
        <f>=ROUNDDOWN(22.5555555555556,0)</f>
      </c>
      <c r="AB476" s="5">
        <v>9</v>
      </c>
      <c r="AC476" s="2" t="s">
        <v>171</v>
      </c>
      <c r="AD476" s="4">
        <v>180</v>
      </c>
      <c r="AE476" s="4">
        <v>390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228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228</v>
      </c>
      <c r="AW476" s="8" t="s">
        <v>228</v>
      </c>
      <c r="AX476" s="4" t="s">
        <v>228</v>
      </c>
      <c r="AY476" s="8" t="s">
        <v>228</v>
      </c>
      <c r="AZ476" s="7" t="s">
        <v>228</v>
      </c>
      <c r="BA476" s="7" t="s">
        <v>228</v>
      </c>
      <c r="BB476" s="7"/>
      <c r="BC476" s="4" t="s">
        <v>228</v>
      </c>
      <c r="BD476" s="8" t="s">
        <v>228</v>
      </c>
      <c r="BE476" s="4" t="s">
        <v>228</v>
      </c>
      <c r="BF476" s="8" t="s">
        <v>228</v>
      </c>
      <c r="BG476" s="7" t="s">
        <v>228</v>
      </c>
      <c r="BH476" s="7" t="s">
        <v>228</v>
      </c>
      <c r="BI476" s="7"/>
      <c r="BJ476" s="4">
        <v>21</v>
      </c>
      <c r="BK476" s="8">
        <v>382</v>
      </c>
      <c r="BL476" s="2" t="s">
        <v>2804</v>
      </c>
      <c r="BM476" s="7"/>
      <c r="BN476" s="7"/>
      <c r="BO476" s="4"/>
      <c r="BP476" s="8"/>
      <c r="BQ476" s="4"/>
      <c r="BR476" s="8"/>
      <c r="BS476" s="7"/>
      <c r="BT476" s="7"/>
      <c r="BU476" s="2" t="s">
        <v>3124</v>
      </c>
      <c r="BV476" s="2" t="s">
        <v>228</v>
      </c>
      <c r="BW476" s="2" t="s">
        <v>228</v>
      </c>
      <c r="BX476" s="2" t="s">
        <v>273</v>
      </c>
      <c r="BY476" s="2" t="s">
        <v>274</v>
      </c>
      <c r="BZ476" s="2" t="s">
        <v>240</v>
      </c>
      <c r="CA476" s="2" t="s">
        <v>2983</v>
      </c>
      <c r="CB476" s="2" t="s">
        <v>3125</v>
      </c>
      <c r="CC476" s="2" t="s">
        <v>241</v>
      </c>
      <c r="CD476" s="2" t="s">
        <v>228</v>
      </c>
      <c r="CE476" s="4">
        <v>203</v>
      </c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>
        <v>180</v>
      </c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>
        <v>210</v>
      </c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</row>
    <row r="477">
      <c r="A477" s="2" t="s">
        <v>3126</v>
      </c>
      <c r="B477" s="2" t="s">
        <v>223</v>
      </c>
      <c r="C477" s="2" t="s">
        <v>300</v>
      </c>
      <c r="D477" s="2" t="s">
        <v>225</v>
      </c>
      <c r="E477" s="2" t="s">
        <v>226</v>
      </c>
      <c r="F477" s="2" t="s">
        <v>3110</v>
      </c>
      <c r="G477" s="2" t="s">
        <v>3110</v>
      </c>
      <c r="H477" s="2" t="s">
        <v>3110</v>
      </c>
      <c r="I477" s="2" t="s">
        <v>226</v>
      </c>
      <c r="J477" s="2" t="s">
        <v>294</v>
      </c>
      <c r="K477" s="2" t="s">
        <v>1421</v>
      </c>
      <c r="L477" s="3">
        <v>18.28</v>
      </c>
      <c r="M477" s="3">
        <v>19.19</v>
      </c>
      <c r="N477" s="3">
        <v>39.99</v>
      </c>
      <c r="O477" s="2" t="s">
        <v>240</v>
      </c>
      <c r="P477" s="2" t="s">
        <v>266</v>
      </c>
      <c r="Q477" s="2" t="s">
        <v>234</v>
      </c>
      <c r="R477" s="2" t="s">
        <v>228</v>
      </c>
      <c r="S477" s="2" t="s">
        <v>3119</v>
      </c>
      <c r="T477" s="2" t="s">
        <v>3112</v>
      </c>
      <c r="U477" s="2" t="s">
        <v>416</v>
      </c>
      <c r="V477" s="2" t="s">
        <v>980</v>
      </c>
      <c r="W477" s="2" t="s">
        <v>743</v>
      </c>
      <c r="X477" s="2" t="s">
        <v>463</v>
      </c>
      <c r="Y477" s="2" t="s">
        <v>3120</v>
      </c>
      <c r="Z477" s="4">
        <v>256</v>
      </c>
      <c r="AA477" s="4">
        <f>=ROUNDDOWN(36.5714285714286,0)</f>
      </c>
      <c r="AB477" s="5">
        <v>7</v>
      </c>
      <c r="AC477" s="2" t="s">
        <v>171</v>
      </c>
      <c r="AD477" s="4">
        <v>30</v>
      </c>
      <c r="AE477" s="4">
        <v>174</v>
      </c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228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228</v>
      </c>
      <c r="AW477" s="8" t="s">
        <v>228</v>
      </c>
      <c r="AX477" s="4" t="s">
        <v>228</v>
      </c>
      <c r="AY477" s="8" t="s">
        <v>228</v>
      </c>
      <c r="AZ477" s="7" t="s">
        <v>228</v>
      </c>
      <c r="BA477" s="7" t="s">
        <v>228</v>
      </c>
      <c r="BB477" s="7"/>
      <c r="BC477" s="4" t="s">
        <v>228</v>
      </c>
      <c r="BD477" s="8" t="s">
        <v>228</v>
      </c>
      <c r="BE477" s="4" t="s">
        <v>228</v>
      </c>
      <c r="BF477" s="8" t="s">
        <v>228</v>
      </c>
      <c r="BG477" s="7" t="s">
        <v>228</v>
      </c>
      <c r="BH477" s="7" t="s">
        <v>228</v>
      </c>
      <c r="BI477" s="7"/>
      <c r="BJ477" s="4">
        <v>8</v>
      </c>
      <c r="BK477" s="8">
        <v>165.26</v>
      </c>
      <c r="BL477" s="2" t="s">
        <v>1245</v>
      </c>
      <c r="BM477" s="7"/>
      <c r="BN477" s="7"/>
      <c r="BO477" s="4"/>
      <c r="BP477" s="8"/>
      <c r="BQ477" s="4"/>
      <c r="BR477" s="8"/>
      <c r="BS477" s="7"/>
      <c r="BT477" s="7"/>
      <c r="BU477" s="2" t="s">
        <v>3127</v>
      </c>
      <c r="BV477" s="2" t="s">
        <v>228</v>
      </c>
      <c r="BW477" s="2" t="s">
        <v>228</v>
      </c>
      <c r="BX477" s="2" t="s">
        <v>273</v>
      </c>
      <c r="BY477" s="2" t="s">
        <v>274</v>
      </c>
      <c r="BZ477" s="2" t="s">
        <v>240</v>
      </c>
      <c r="CA477" s="2" t="s">
        <v>2983</v>
      </c>
      <c r="CB477" s="2" t="s">
        <v>228</v>
      </c>
      <c r="CC477" s="2" t="s">
        <v>241</v>
      </c>
      <c r="CD477" s="2" t="s">
        <v>228</v>
      </c>
      <c r="CE477" s="4">
        <v>256</v>
      </c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>
        <v>30</v>
      </c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>
        <v>144</v>
      </c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</row>
    <row r="478">
      <c r="A478" s="2" t="s">
        <v>3128</v>
      </c>
      <c r="B478" s="2" t="s">
        <v>223</v>
      </c>
      <c r="C478" s="2" t="s">
        <v>300</v>
      </c>
      <c r="D478" s="2" t="s">
        <v>225</v>
      </c>
      <c r="E478" s="2" t="s">
        <v>226</v>
      </c>
      <c r="F478" s="2" t="s">
        <v>3110</v>
      </c>
      <c r="G478" s="2" t="s">
        <v>3110</v>
      </c>
      <c r="H478" s="2" t="s">
        <v>3110</v>
      </c>
      <c r="I478" s="2" t="s">
        <v>226</v>
      </c>
      <c r="J478" s="2" t="s">
        <v>264</v>
      </c>
      <c r="K478" s="2" t="s">
        <v>460</v>
      </c>
      <c r="L478" s="3">
        <v>12.85</v>
      </c>
      <c r="M478" s="3">
        <v>13.49</v>
      </c>
      <c r="N478" s="3">
        <v>29.99</v>
      </c>
      <c r="O478" s="2" t="s">
        <v>240</v>
      </c>
      <c r="P478" s="2" t="s">
        <v>266</v>
      </c>
      <c r="Q478" s="2" t="s">
        <v>234</v>
      </c>
      <c r="R478" s="2" t="s">
        <v>228</v>
      </c>
      <c r="S478" s="2" t="s">
        <v>3129</v>
      </c>
      <c r="T478" s="2" t="s">
        <v>3112</v>
      </c>
      <c r="U478" s="2" t="s">
        <v>416</v>
      </c>
      <c r="V478" s="2" t="s">
        <v>980</v>
      </c>
      <c r="W478" s="2" t="s">
        <v>743</v>
      </c>
      <c r="X478" s="2" t="s">
        <v>463</v>
      </c>
      <c r="Y478" s="2" t="s">
        <v>2983</v>
      </c>
      <c r="Z478" s="4">
        <v>318</v>
      </c>
      <c r="AA478" s="4">
        <f>=ROUNDDOWN(45.4285714285714,0)</f>
      </c>
      <c r="AB478" s="5">
        <v>7</v>
      </c>
      <c r="AC478" s="2" t="s">
        <v>1352</v>
      </c>
      <c r="AD478" s="4">
        <v>30</v>
      </c>
      <c r="AE478" s="4">
        <v>30</v>
      </c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228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228</v>
      </c>
      <c r="AW478" s="8" t="s">
        <v>228</v>
      </c>
      <c r="AX478" s="4" t="s">
        <v>228</v>
      </c>
      <c r="AY478" s="8" t="s">
        <v>228</v>
      </c>
      <c r="AZ478" s="7" t="s">
        <v>228</v>
      </c>
      <c r="BA478" s="7" t="s">
        <v>228</v>
      </c>
      <c r="BB478" s="7"/>
      <c r="BC478" s="4" t="s">
        <v>228</v>
      </c>
      <c r="BD478" s="8" t="s">
        <v>228</v>
      </c>
      <c r="BE478" s="4" t="s">
        <v>228</v>
      </c>
      <c r="BF478" s="8" t="s">
        <v>228</v>
      </c>
      <c r="BG478" s="7" t="s">
        <v>228</v>
      </c>
      <c r="BH478" s="7" t="s">
        <v>228</v>
      </c>
      <c r="BI478" s="7"/>
      <c r="BJ478" s="4">
        <v>15</v>
      </c>
      <c r="BK478" s="8">
        <v>216.55</v>
      </c>
      <c r="BL478" s="2" t="s">
        <v>366</v>
      </c>
      <c r="BM478" s="7"/>
      <c r="BN478" s="7"/>
      <c r="BO478" s="4"/>
      <c r="BP478" s="8"/>
      <c r="BQ478" s="4"/>
      <c r="BR478" s="8"/>
      <c r="BS478" s="7"/>
      <c r="BT478" s="7"/>
      <c r="BU478" s="2" t="s">
        <v>3130</v>
      </c>
      <c r="BV478" s="2" t="s">
        <v>228</v>
      </c>
      <c r="BW478" s="2" t="s">
        <v>228</v>
      </c>
      <c r="BX478" s="2" t="s">
        <v>273</v>
      </c>
      <c r="BY478" s="2" t="s">
        <v>274</v>
      </c>
      <c r="BZ478" s="2" t="s">
        <v>240</v>
      </c>
      <c r="CA478" s="2" t="s">
        <v>2983</v>
      </c>
      <c r="CB478" s="2" t="s">
        <v>523</v>
      </c>
      <c r="CC478" s="2" t="s">
        <v>241</v>
      </c>
      <c r="CD478" s="2" t="s">
        <v>228</v>
      </c>
      <c r="CE478" s="4">
        <v>138</v>
      </c>
      <c r="CF478" s="4"/>
      <c r="CG478" s="4"/>
      <c r="CH478" s="4"/>
      <c r="CI478" s="4"/>
      <c r="CJ478" s="4"/>
      <c r="CK478" s="4">
        <v>180</v>
      </c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>
        <v>30</v>
      </c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</row>
    <row r="479">
      <c r="A479" s="2" t="s">
        <v>3131</v>
      </c>
      <c r="B479" s="2" t="s">
        <v>223</v>
      </c>
      <c r="C479" s="2" t="s">
        <v>300</v>
      </c>
      <c r="D479" s="2" t="s">
        <v>225</v>
      </c>
      <c r="E479" s="2" t="s">
        <v>226</v>
      </c>
      <c r="F479" s="2" t="s">
        <v>3110</v>
      </c>
      <c r="G479" s="2" t="s">
        <v>3110</v>
      </c>
      <c r="H479" s="2" t="s">
        <v>3110</v>
      </c>
      <c r="I479" s="2" t="s">
        <v>226</v>
      </c>
      <c r="J479" s="2" t="s">
        <v>1189</v>
      </c>
      <c r="K479" s="2" t="s">
        <v>460</v>
      </c>
      <c r="L479" s="3">
        <v>16</v>
      </c>
      <c r="M479" s="3">
        <v>16.8</v>
      </c>
      <c r="N479" s="3">
        <v>34.99</v>
      </c>
      <c r="O479" s="2" t="s">
        <v>240</v>
      </c>
      <c r="P479" s="2" t="s">
        <v>266</v>
      </c>
      <c r="Q479" s="2" t="s">
        <v>234</v>
      </c>
      <c r="R479" s="2" t="s">
        <v>228</v>
      </c>
      <c r="S479" s="2" t="s">
        <v>3129</v>
      </c>
      <c r="T479" s="2" t="s">
        <v>3112</v>
      </c>
      <c r="U479" s="2" t="s">
        <v>416</v>
      </c>
      <c r="V479" s="2" t="s">
        <v>980</v>
      </c>
      <c r="W479" s="2" t="s">
        <v>743</v>
      </c>
      <c r="X479" s="2" t="s">
        <v>463</v>
      </c>
      <c r="Y479" s="2" t="s">
        <v>3120</v>
      </c>
      <c r="Z479" s="4">
        <v>457</v>
      </c>
      <c r="AA479" s="4">
        <f>=ROUNDDOWN(35.1538461538462,0)</f>
      </c>
      <c r="AB479" s="5">
        <v>13</v>
      </c>
      <c r="AC479" s="2" t="s">
        <v>1352</v>
      </c>
      <c r="AD479" s="4">
        <v>30</v>
      </c>
      <c r="AE479" s="4">
        <v>30</v>
      </c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228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228</v>
      </c>
      <c r="AW479" s="8" t="s">
        <v>228</v>
      </c>
      <c r="AX479" s="4" t="s">
        <v>228</v>
      </c>
      <c r="AY479" s="8" t="s">
        <v>228</v>
      </c>
      <c r="AZ479" s="7" t="s">
        <v>228</v>
      </c>
      <c r="BA479" s="7" t="s">
        <v>228</v>
      </c>
      <c r="BB479" s="7"/>
      <c r="BC479" s="4" t="s">
        <v>228</v>
      </c>
      <c r="BD479" s="8" t="s">
        <v>228</v>
      </c>
      <c r="BE479" s="4" t="s">
        <v>228</v>
      </c>
      <c r="BF479" s="8" t="s">
        <v>228</v>
      </c>
      <c r="BG479" s="7" t="s">
        <v>228</v>
      </c>
      <c r="BH479" s="7" t="s">
        <v>228</v>
      </c>
      <c r="BI479" s="7"/>
      <c r="BJ479" s="4">
        <v>40</v>
      </c>
      <c r="BK479" s="8">
        <v>729.8</v>
      </c>
      <c r="BL479" s="2" t="s">
        <v>1245</v>
      </c>
      <c r="BM479" s="7"/>
      <c r="BN479" s="7"/>
      <c r="BO479" s="4"/>
      <c r="BP479" s="8"/>
      <c r="BQ479" s="4"/>
      <c r="BR479" s="8"/>
      <c r="BS479" s="7"/>
      <c r="BT479" s="7"/>
      <c r="BU479" s="2" t="s">
        <v>3132</v>
      </c>
      <c r="BV479" s="2" t="s">
        <v>228</v>
      </c>
      <c r="BW479" s="2" t="s">
        <v>228</v>
      </c>
      <c r="BX479" s="2" t="s">
        <v>273</v>
      </c>
      <c r="BY479" s="2" t="s">
        <v>274</v>
      </c>
      <c r="BZ479" s="2" t="s">
        <v>240</v>
      </c>
      <c r="CA479" s="2" t="s">
        <v>2983</v>
      </c>
      <c r="CB479" s="2" t="s">
        <v>3133</v>
      </c>
      <c r="CC479" s="2" t="s">
        <v>241</v>
      </c>
      <c r="CD479" s="2" t="s">
        <v>228</v>
      </c>
      <c r="CE479" s="4">
        <v>157</v>
      </c>
      <c r="CF479" s="4"/>
      <c r="CG479" s="4"/>
      <c r="CH479" s="4"/>
      <c r="CI479" s="4"/>
      <c r="CJ479" s="4"/>
      <c r="CK479" s="4">
        <v>300</v>
      </c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>
        <v>30</v>
      </c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</row>
    <row r="480">
      <c r="A480" s="2" t="s">
        <v>3134</v>
      </c>
      <c r="B480" s="2" t="s">
        <v>223</v>
      </c>
      <c r="C480" s="2" t="s">
        <v>300</v>
      </c>
      <c r="D480" s="2" t="s">
        <v>225</v>
      </c>
      <c r="E480" s="2" t="s">
        <v>226</v>
      </c>
      <c r="F480" s="2" t="s">
        <v>3110</v>
      </c>
      <c r="G480" s="2" t="s">
        <v>3110</v>
      </c>
      <c r="H480" s="2" t="s">
        <v>3110</v>
      </c>
      <c r="I480" s="2" t="s">
        <v>226</v>
      </c>
      <c r="J480" s="2" t="s">
        <v>294</v>
      </c>
      <c r="K480" s="2" t="s">
        <v>460</v>
      </c>
      <c r="L480" s="3">
        <v>18.28</v>
      </c>
      <c r="M480" s="3">
        <v>19.19</v>
      </c>
      <c r="N480" s="3">
        <v>39.99</v>
      </c>
      <c r="O480" s="2" t="s">
        <v>240</v>
      </c>
      <c r="P480" s="2" t="s">
        <v>266</v>
      </c>
      <c r="Q480" s="2" t="s">
        <v>234</v>
      </c>
      <c r="R480" s="2" t="s">
        <v>228</v>
      </c>
      <c r="S480" s="2" t="s">
        <v>3129</v>
      </c>
      <c r="T480" s="2" t="s">
        <v>3112</v>
      </c>
      <c r="U480" s="2" t="s">
        <v>416</v>
      </c>
      <c r="V480" s="2" t="s">
        <v>980</v>
      </c>
      <c r="W480" s="2" t="s">
        <v>743</v>
      </c>
      <c r="X480" s="2" t="s">
        <v>463</v>
      </c>
      <c r="Y480" s="2" t="s">
        <v>3120</v>
      </c>
      <c r="Z480" s="4">
        <v>218</v>
      </c>
      <c r="AA480" s="4">
        <f>=ROUNDDOWN(27.25,0)</f>
      </c>
      <c r="AB480" s="5">
        <v>8</v>
      </c>
      <c r="AC480" s="2" t="s">
        <v>1352</v>
      </c>
      <c r="AD480" s="4">
        <v>140</v>
      </c>
      <c r="AE480" s="4">
        <v>140</v>
      </c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228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228</v>
      </c>
      <c r="AW480" s="8" t="s">
        <v>228</v>
      </c>
      <c r="AX480" s="4" t="s">
        <v>228</v>
      </c>
      <c r="AY480" s="8" t="s">
        <v>228</v>
      </c>
      <c r="AZ480" s="7" t="s">
        <v>228</v>
      </c>
      <c r="BA480" s="7" t="s">
        <v>228</v>
      </c>
      <c r="BB480" s="7"/>
      <c r="BC480" s="4" t="s">
        <v>228</v>
      </c>
      <c r="BD480" s="8" t="s">
        <v>228</v>
      </c>
      <c r="BE480" s="4" t="s">
        <v>228</v>
      </c>
      <c r="BF480" s="8" t="s">
        <v>228</v>
      </c>
      <c r="BG480" s="7" t="s">
        <v>228</v>
      </c>
      <c r="BH480" s="7" t="s">
        <v>228</v>
      </c>
      <c r="BI480" s="7"/>
      <c r="BJ480" s="4">
        <v>25</v>
      </c>
      <c r="BK480" s="8">
        <v>517.67</v>
      </c>
      <c r="BL480" s="2" t="s">
        <v>366</v>
      </c>
      <c r="BM480" s="7"/>
      <c r="BN480" s="7"/>
      <c r="BO480" s="4"/>
      <c r="BP480" s="8"/>
      <c r="BQ480" s="4"/>
      <c r="BR480" s="8"/>
      <c r="BS480" s="7"/>
      <c r="BT480" s="7"/>
      <c r="BU480" s="2" t="s">
        <v>3135</v>
      </c>
      <c r="BV480" s="2" t="s">
        <v>228</v>
      </c>
      <c r="BW480" s="2" t="s">
        <v>228</v>
      </c>
      <c r="BX480" s="2" t="s">
        <v>273</v>
      </c>
      <c r="BY480" s="2" t="s">
        <v>274</v>
      </c>
      <c r="BZ480" s="2" t="s">
        <v>240</v>
      </c>
      <c r="CA480" s="2" t="s">
        <v>2983</v>
      </c>
      <c r="CB480" s="2" t="s">
        <v>1026</v>
      </c>
      <c r="CC480" s="2" t="s">
        <v>241</v>
      </c>
      <c r="CD480" s="2" t="s">
        <v>228</v>
      </c>
      <c r="CE480" s="4">
        <v>118</v>
      </c>
      <c r="CF480" s="4"/>
      <c r="CG480" s="4"/>
      <c r="CH480" s="4"/>
      <c r="CI480" s="4"/>
      <c r="CJ480" s="4"/>
      <c r="CK480" s="4">
        <v>100</v>
      </c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>
        <v>140</v>
      </c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</row>
    <row r="481">
      <c r="A481" s="2" t="s">
        <v>3136</v>
      </c>
      <c r="B481" s="2" t="s">
        <v>223</v>
      </c>
      <c r="C481" s="2" t="s">
        <v>300</v>
      </c>
      <c r="D481" s="2" t="s">
        <v>225</v>
      </c>
      <c r="E481" s="2" t="s">
        <v>226</v>
      </c>
      <c r="F481" s="2" t="s">
        <v>3110</v>
      </c>
      <c r="G481" s="2" t="s">
        <v>3110</v>
      </c>
      <c r="H481" s="2" t="s">
        <v>3110</v>
      </c>
      <c r="I481" s="2" t="s">
        <v>226</v>
      </c>
      <c r="J481" s="2" t="s">
        <v>264</v>
      </c>
      <c r="K481" s="2" t="s">
        <v>249</v>
      </c>
      <c r="L481" s="3">
        <v>12.85</v>
      </c>
      <c r="M481" s="3">
        <v>13.49</v>
      </c>
      <c r="N481" s="3">
        <v>29.99</v>
      </c>
      <c r="O481" s="2" t="s">
        <v>240</v>
      </c>
      <c r="P481" s="2" t="s">
        <v>266</v>
      </c>
      <c r="Q481" s="2" t="s">
        <v>234</v>
      </c>
      <c r="R481" s="2" t="s">
        <v>228</v>
      </c>
      <c r="S481" s="2" t="s">
        <v>3137</v>
      </c>
      <c r="T481" s="2" t="s">
        <v>3112</v>
      </c>
      <c r="U481" s="2" t="s">
        <v>416</v>
      </c>
      <c r="V481" s="2" t="s">
        <v>980</v>
      </c>
      <c r="W481" s="2" t="s">
        <v>743</v>
      </c>
      <c r="X481" s="2" t="s">
        <v>463</v>
      </c>
      <c r="Y481" s="2" t="s">
        <v>2983</v>
      </c>
      <c r="Z481" s="4">
        <v>158</v>
      </c>
      <c r="AA481" s="4">
        <f>=ROUNDDOWN(17.5555555555556,0)</f>
      </c>
      <c r="AB481" s="5">
        <v>9</v>
      </c>
      <c r="AC481" s="2" t="s">
        <v>1352</v>
      </c>
      <c r="AD481" s="4">
        <v>50</v>
      </c>
      <c r="AE481" s="4">
        <v>150</v>
      </c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228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228</v>
      </c>
      <c r="AW481" s="8" t="s">
        <v>228</v>
      </c>
      <c r="AX481" s="4" t="s">
        <v>228</v>
      </c>
      <c r="AY481" s="8" t="s">
        <v>228</v>
      </c>
      <c r="AZ481" s="7" t="s">
        <v>228</v>
      </c>
      <c r="BA481" s="7" t="s">
        <v>228</v>
      </c>
      <c r="BB481" s="7"/>
      <c r="BC481" s="4" t="s">
        <v>228</v>
      </c>
      <c r="BD481" s="8" t="s">
        <v>228</v>
      </c>
      <c r="BE481" s="4" t="s">
        <v>228</v>
      </c>
      <c r="BF481" s="8" t="s">
        <v>228</v>
      </c>
      <c r="BG481" s="7" t="s">
        <v>228</v>
      </c>
      <c r="BH481" s="7" t="s">
        <v>228</v>
      </c>
      <c r="BI481" s="7"/>
      <c r="BJ481" s="4">
        <v>42</v>
      </c>
      <c r="BK481" s="8">
        <v>613.45</v>
      </c>
      <c r="BL481" s="2" t="s">
        <v>3138</v>
      </c>
      <c r="BM481" s="7"/>
      <c r="BN481" s="7"/>
      <c r="BO481" s="4"/>
      <c r="BP481" s="8"/>
      <c r="BQ481" s="4"/>
      <c r="BR481" s="8"/>
      <c r="BS481" s="7"/>
      <c r="BT481" s="7"/>
      <c r="BU481" s="2" t="s">
        <v>3139</v>
      </c>
      <c r="BV481" s="2" t="s">
        <v>228</v>
      </c>
      <c r="BW481" s="2" t="s">
        <v>228</v>
      </c>
      <c r="BX481" s="2" t="s">
        <v>273</v>
      </c>
      <c r="BY481" s="2" t="s">
        <v>274</v>
      </c>
      <c r="BZ481" s="2" t="s">
        <v>240</v>
      </c>
      <c r="CA481" s="2" t="s">
        <v>2983</v>
      </c>
      <c r="CB481" s="2" t="s">
        <v>228</v>
      </c>
      <c r="CC481" s="2" t="s">
        <v>241</v>
      </c>
      <c r="CD481" s="2" t="s">
        <v>228</v>
      </c>
      <c r="CE481" s="4">
        <v>108</v>
      </c>
      <c r="CF481" s="4"/>
      <c r="CG481" s="4"/>
      <c r="CH481" s="4"/>
      <c r="CI481" s="4"/>
      <c r="CJ481" s="4"/>
      <c r="CK481" s="4">
        <v>50</v>
      </c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>
        <v>50</v>
      </c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>
        <v>100</v>
      </c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</row>
    <row r="482">
      <c r="A482" s="2" t="s">
        <v>3140</v>
      </c>
      <c r="B482" s="2" t="s">
        <v>223</v>
      </c>
      <c r="C482" s="2" t="s">
        <v>300</v>
      </c>
      <c r="D482" s="2" t="s">
        <v>225</v>
      </c>
      <c r="E482" s="2" t="s">
        <v>226</v>
      </c>
      <c r="F482" s="2" t="s">
        <v>3110</v>
      </c>
      <c r="G482" s="2" t="s">
        <v>3110</v>
      </c>
      <c r="H482" s="2" t="s">
        <v>3110</v>
      </c>
      <c r="I482" s="2" t="s">
        <v>226</v>
      </c>
      <c r="J482" s="2" t="s">
        <v>1189</v>
      </c>
      <c r="K482" s="2" t="s">
        <v>249</v>
      </c>
      <c r="L482" s="3">
        <v>16</v>
      </c>
      <c r="M482" s="3">
        <v>16.8</v>
      </c>
      <c r="N482" s="3">
        <v>34.99</v>
      </c>
      <c r="O482" s="2" t="s">
        <v>240</v>
      </c>
      <c r="P482" s="2" t="s">
        <v>266</v>
      </c>
      <c r="Q482" s="2" t="s">
        <v>234</v>
      </c>
      <c r="R482" s="2" t="s">
        <v>228</v>
      </c>
      <c r="S482" s="2" t="s">
        <v>3137</v>
      </c>
      <c r="T482" s="2" t="s">
        <v>3112</v>
      </c>
      <c r="U482" s="2" t="s">
        <v>416</v>
      </c>
      <c r="V482" s="2" t="s">
        <v>980</v>
      </c>
      <c r="W482" s="2" t="s">
        <v>743</v>
      </c>
      <c r="X482" s="2" t="s">
        <v>463</v>
      </c>
      <c r="Y482" s="2" t="s">
        <v>2983</v>
      </c>
      <c r="Z482" s="4">
        <v>385</v>
      </c>
      <c r="AA482" s="4">
        <f>=ROUNDDOWN(29.6153846153846,0)</f>
      </c>
      <c r="AB482" s="5">
        <v>13</v>
      </c>
      <c r="AC482" s="2" t="s">
        <v>1352</v>
      </c>
      <c r="AD482" s="4">
        <v>30</v>
      </c>
      <c r="AE482" s="4">
        <v>230</v>
      </c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228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228</v>
      </c>
      <c r="AW482" s="8" t="s">
        <v>228</v>
      </c>
      <c r="AX482" s="4" t="s">
        <v>228</v>
      </c>
      <c r="AY482" s="8" t="s">
        <v>228</v>
      </c>
      <c r="AZ482" s="7" t="s">
        <v>228</v>
      </c>
      <c r="BA482" s="7" t="s">
        <v>228</v>
      </c>
      <c r="BB482" s="7"/>
      <c r="BC482" s="4" t="s">
        <v>228</v>
      </c>
      <c r="BD482" s="8" t="s">
        <v>228</v>
      </c>
      <c r="BE482" s="4" t="s">
        <v>228</v>
      </c>
      <c r="BF482" s="8" t="s">
        <v>228</v>
      </c>
      <c r="BG482" s="7" t="s">
        <v>228</v>
      </c>
      <c r="BH482" s="7" t="s">
        <v>228</v>
      </c>
      <c r="BI482" s="7"/>
      <c r="BJ482" s="4">
        <v>46</v>
      </c>
      <c r="BK482" s="8">
        <v>835.88</v>
      </c>
      <c r="BL482" s="2" t="s">
        <v>3141</v>
      </c>
      <c r="BM482" s="7"/>
      <c r="BN482" s="7"/>
      <c r="BO482" s="4"/>
      <c r="BP482" s="8"/>
      <c r="BQ482" s="4"/>
      <c r="BR482" s="8"/>
      <c r="BS482" s="7"/>
      <c r="BT482" s="7"/>
      <c r="BU482" s="2" t="s">
        <v>3142</v>
      </c>
      <c r="BV482" s="2" t="s">
        <v>228</v>
      </c>
      <c r="BW482" s="2" t="s">
        <v>228</v>
      </c>
      <c r="BX482" s="2" t="s">
        <v>273</v>
      </c>
      <c r="BY482" s="2" t="s">
        <v>274</v>
      </c>
      <c r="BZ482" s="2" t="s">
        <v>240</v>
      </c>
      <c r="CA482" s="2" t="s">
        <v>2983</v>
      </c>
      <c r="CB482" s="2" t="s">
        <v>3143</v>
      </c>
      <c r="CC482" s="2" t="s">
        <v>241</v>
      </c>
      <c r="CD482" s="2" t="s">
        <v>228</v>
      </c>
      <c r="CE482" s="4">
        <v>85</v>
      </c>
      <c r="CF482" s="4"/>
      <c r="CG482" s="4"/>
      <c r="CH482" s="4"/>
      <c r="CI482" s="4"/>
      <c r="CJ482" s="4"/>
      <c r="CK482" s="4">
        <v>300</v>
      </c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>
        <v>30</v>
      </c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>
        <v>200</v>
      </c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</row>
    <row r="483">
      <c r="A483" s="2" t="s">
        <v>3144</v>
      </c>
      <c r="B483" s="2" t="s">
        <v>223</v>
      </c>
      <c r="C483" s="2" t="s">
        <v>300</v>
      </c>
      <c r="D483" s="2" t="s">
        <v>225</v>
      </c>
      <c r="E483" s="2" t="s">
        <v>226</v>
      </c>
      <c r="F483" s="2" t="s">
        <v>3110</v>
      </c>
      <c r="G483" s="2" t="s">
        <v>3110</v>
      </c>
      <c r="H483" s="2" t="s">
        <v>3110</v>
      </c>
      <c r="I483" s="2" t="s">
        <v>226</v>
      </c>
      <c r="J483" s="2" t="s">
        <v>294</v>
      </c>
      <c r="K483" s="2" t="s">
        <v>249</v>
      </c>
      <c r="L483" s="3">
        <v>18.28</v>
      </c>
      <c r="M483" s="3">
        <v>19.19</v>
      </c>
      <c r="N483" s="3">
        <v>39.99</v>
      </c>
      <c r="O483" s="2" t="s">
        <v>240</v>
      </c>
      <c r="P483" s="2" t="s">
        <v>266</v>
      </c>
      <c r="Q483" s="2" t="s">
        <v>234</v>
      </c>
      <c r="R483" s="2" t="s">
        <v>228</v>
      </c>
      <c r="S483" s="2" t="s">
        <v>3137</v>
      </c>
      <c r="T483" s="2" t="s">
        <v>3112</v>
      </c>
      <c r="U483" s="2" t="s">
        <v>416</v>
      </c>
      <c r="V483" s="2" t="s">
        <v>980</v>
      </c>
      <c r="W483" s="2" t="s">
        <v>743</v>
      </c>
      <c r="X483" s="2" t="s">
        <v>463</v>
      </c>
      <c r="Y483" s="2" t="s">
        <v>3120</v>
      </c>
      <c r="Z483" s="4">
        <v>175</v>
      </c>
      <c r="AA483" s="4">
        <f>=ROUNDDOWN(13.4615384615385,0)</f>
      </c>
      <c r="AB483" s="5">
        <v>13</v>
      </c>
      <c r="AC483" s="2" t="s">
        <v>1352</v>
      </c>
      <c r="AD483" s="4">
        <v>250</v>
      </c>
      <c r="AE483" s="4">
        <v>350</v>
      </c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228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228</v>
      </c>
      <c r="AW483" s="8" t="s">
        <v>228</v>
      </c>
      <c r="AX483" s="4" t="s">
        <v>228</v>
      </c>
      <c r="AY483" s="8" t="s">
        <v>228</v>
      </c>
      <c r="AZ483" s="7" t="s">
        <v>228</v>
      </c>
      <c r="BA483" s="7" t="s">
        <v>228</v>
      </c>
      <c r="BB483" s="7"/>
      <c r="BC483" s="4" t="s">
        <v>228</v>
      </c>
      <c r="BD483" s="8" t="s">
        <v>228</v>
      </c>
      <c r="BE483" s="4" t="s">
        <v>228</v>
      </c>
      <c r="BF483" s="8" t="s">
        <v>228</v>
      </c>
      <c r="BG483" s="7" t="s">
        <v>228</v>
      </c>
      <c r="BH483" s="7" t="s">
        <v>228</v>
      </c>
      <c r="BI483" s="7"/>
      <c r="BJ483" s="4">
        <v>41</v>
      </c>
      <c r="BK483" s="8">
        <v>843.55</v>
      </c>
      <c r="BL483" s="2" t="s">
        <v>3145</v>
      </c>
      <c r="BM483" s="7"/>
      <c r="BN483" s="7"/>
      <c r="BO483" s="4"/>
      <c r="BP483" s="8"/>
      <c r="BQ483" s="4"/>
      <c r="BR483" s="8"/>
      <c r="BS483" s="7"/>
      <c r="BT483" s="7"/>
      <c r="BU483" s="2" t="s">
        <v>3146</v>
      </c>
      <c r="BV483" s="2" t="s">
        <v>228</v>
      </c>
      <c r="BW483" s="2" t="s">
        <v>228</v>
      </c>
      <c r="BX483" s="2" t="s">
        <v>273</v>
      </c>
      <c r="BY483" s="2" t="s">
        <v>274</v>
      </c>
      <c r="BZ483" s="2" t="s">
        <v>240</v>
      </c>
      <c r="CA483" s="2" t="s">
        <v>2983</v>
      </c>
      <c r="CB483" s="2" t="s">
        <v>523</v>
      </c>
      <c r="CC483" s="2" t="s">
        <v>241</v>
      </c>
      <c r="CD483" s="2" t="s">
        <v>228</v>
      </c>
      <c r="CE483" s="4">
        <v>75</v>
      </c>
      <c r="CF483" s="4"/>
      <c r="CG483" s="4"/>
      <c r="CH483" s="4"/>
      <c r="CI483" s="4"/>
      <c r="CJ483" s="4"/>
      <c r="CK483" s="4">
        <v>100</v>
      </c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>
        <v>250</v>
      </c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>
        <v>100</v>
      </c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</row>
    <row r="484">
      <c r="A484" s="2" t="s">
        <v>3147</v>
      </c>
      <c r="B484" s="2" t="s">
        <v>223</v>
      </c>
      <c r="C484" s="2" t="s">
        <v>300</v>
      </c>
      <c r="D484" s="2" t="s">
        <v>225</v>
      </c>
      <c r="E484" s="2" t="s">
        <v>226</v>
      </c>
      <c r="F484" s="2" t="s">
        <v>3110</v>
      </c>
      <c r="G484" s="2" t="s">
        <v>3110</v>
      </c>
      <c r="H484" s="2" t="s">
        <v>3110</v>
      </c>
      <c r="I484" s="2" t="s">
        <v>226</v>
      </c>
      <c r="J484" s="2" t="s">
        <v>264</v>
      </c>
      <c r="K484" s="2" t="s">
        <v>1390</v>
      </c>
      <c r="L484" s="3">
        <v>12.85</v>
      </c>
      <c r="M484" s="3">
        <v>13.49</v>
      </c>
      <c r="N484" s="3">
        <v>29.99</v>
      </c>
      <c r="O484" s="2" t="s">
        <v>240</v>
      </c>
      <c r="P484" s="2" t="s">
        <v>266</v>
      </c>
      <c r="Q484" s="2" t="s">
        <v>234</v>
      </c>
      <c r="R484" s="2" t="s">
        <v>228</v>
      </c>
      <c r="S484" s="2" t="s">
        <v>3148</v>
      </c>
      <c r="T484" s="2" t="s">
        <v>3112</v>
      </c>
      <c r="U484" s="2" t="s">
        <v>416</v>
      </c>
      <c r="V484" s="2" t="s">
        <v>980</v>
      </c>
      <c r="W484" s="2" t="s">
        <v>743</v>
      </c>
      <c r="X484" s="2" t="s">
        <v>463</v>
      </c>
      <c r="Y484" s="2" t="s">
        <v>2983</v>
      </c>
      <c r="Z484" s="4">
        <v>219</v>
      </c>
      <c r="AA484" s="4">
        <f>=ROUNDDOWN(54.75,0)</f>
      </c>
      <c r="AB484" s="5">
        <v>4</v>
      </c>
      <c r="AC484" s="2" t="s">
        <v>171</v>
      </c>
      <c r="AD484" s="4">
        <v>70</v>
      </c>
      <c r="AE484" s="4">
        <v>240</v>
      </c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228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228</v>
      </c>
      <c r="AW484" s="8" t="s">
        <v>228</v>
      </c>
      <c r="AX484" s="4" t="s">
        <v>228</v>
      </c>
      <c r="AY484" s="8" t="s">
        <v>228</v>
      </c>
      <c r="AZ484" s="7" t="s">
        <v>228</v>
      </c>
      <c r="BA484" s="7" t="s">
        <v>228</v>
      </c>
      <c r="BB484" s="7"/>
      <c r="BC484" s="4" t="s">
        <v>228</v>
      </c>
      <c r="BD484" s="8" t="s">
        <v>228</v>
      </c>
      <c r="BE484" s="4" t="s">
        <v>228</v>
      </c>
      <c r="BF484" s="8" t="s">
        <v>228</v>
      </c>
      <c r="BG484" s="7" t="s">
        <v>228</v>
      </c>
      <c r="BH484" s="7" t="s">
        <v>228</v>
      </c>
      <c r="BI484" s="7"/>
      <c r="BJ484" s="4">
        <v>6</v>
      </c>
      <c r="BK484" s="8">
        <v>87.42</v>
      </c>
      <c r="BL484" s="2" t="s">
        <v>622</v>
      </c>
      <c r="BM484" s="7"/>
      <c r="BN484" s="7"/>
      <c r="BO484" s="4"/>
      <c r="BP484" s="8"/>
      <c r="BQ484" s="4"/>
      <c r="BR484" s="8"/>
      <c r="BS484" s="7"/>
      <c r="BT484" s="7"/>
      <c r="BU484" s="2" t="s">
        <v>3149</v>
      </c>
      <c r="BV484" s="2" t="s">
        <v>228</v>
      </c>
      <c r="BW484" s="2" t="s">
        <v>228</v>
      </c>
      <c r="BX484" s="2" t="s">
        <v>273</v>
      </c>
      <c r="BY484" s="2" t="s">
        <v>274</v>
      </c>
      <c r="BZ484" s="2" t="s">
        <v>240</v>
      </c>
      <c r="CA484" s="2" t="s">
        <v>2983</v>
      </c>
      <c r="CB484" s="2" t="s">
        <v>228</v>
      </c>
      <c r="CC484" s="2" t="s">
        <v>241</v>
      </c>
      <c r="CD484" s="2" t="s">
        <v>228</v>
      </c>
      <c r="CE484" s="4">
        <v>219</v>
      </c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>
        <v>70</v>
      </c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>
        <v>170</v>
      </c>
      <c r="HC484" s="4"/>
      <c r="HD484" s="4"/>
      <c r="HE484" s="4"/>
    </row>
    <row r="485">
      <c r="A485" s="2" t="s">
        <v>3150</v>
      </c>
      <c r="B485" s="2" t="s">
        <v>223</v>
      </c>
      <c r="C485" s="2" t="s">
        <v>300</v>
      </c>
      <c r="D485" s="2" t="s">
        <v>225</v>
      </c>
      <c r="E485" s="2" t="s">
        <v>226</v>
      </c>
      <c r="F485" s="2" t="s">
        <v>3110</v>
      </c>
      <c r="G485" s="2" t="s">
        <v>3110</v>
      </c>
      <c r="H485" s="2" t="s">
        <v>3110</v>
      </c>
      <c r="I485" s="2" t="s">
        <v>226</v>
      </c>
      <c r="J485" s="2" t="s">
        <v>294</v>
      </c>
      <c r="K485" s="2" t="s">
        <v>1390</v>
      </c>
      <c r="L485" s="3">
        <v>18.28</v>
      </c>
      <c r="M485" s="3">
        <v>19.19</v>
      </c>
      <c r="N485" s="3">
        <v>39.99</v>
      </c>
      <c r="O485" s="2" t="s">
        <v>240</v>
      </c>
      <c r="P485" s="2" t="s">
        <v>266</v>
      </c>
      <c r="Q485" s="2" t="s">
        <v>234</v>
      </c>
      <c r="R485" s="2" t="s">
        <v>228</v>
      </c>
      <c r="S485" s="2" t="s">
        <v>3148</v>
      </c>
      <c r="T485" s="2" t="s">
        <v>3112</v>
      </c>
      <c r="U485" s="2" t="s">
        <v>416</v>
      </c>
      <c r="V485" s="2" t="s">
        <v>980</v>
      </c>
      <c r="W485" s="2" t="s">
        <v>743</v>
      </c>
      <c r="X485" s="2" t="s">
        <v>463</v>
      </c>
      <c r="Y485" s="2" t="s">
        <v>2983</v>
      </c>
      <c r="Z485" s="4">
        <v>144</v>
      </c>
      <c r="AA485" s="4">
        <f>=ROUNDDOWN(24,0)</f>
      </c>
      <c r="AB485" s="5">
        <v>6</v>
      </c>
      <c r="AC485" s="2" t="s">
        <v>171</v>
      </c>
      <c r="AD485" s="4">
        <v>140</v>
      </c>
      <c r="AE485" s="4">
        <v>340</v>
      </c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228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228</v>
      </c>
      <c r="AW485" s="8" t="s">
        <v>228</v>
      </c>
      <c r="AX485" s="4" t="s">
        <v>228</v>
      </c>
      <c r="AY485" s="8" t="s">
        <v>228</v>
      </c>
      <c r="AZ485" s="7" t="s">
        <v>228</v>
      </c>
      <c r="BA485" s="7" t="s">
        <v>228</v>
      </c>
      <c r="BB485" s="7"/>
      <c r="BC485" s="4" t="s">
        <v>228</v>
      </c>
      <c r="BD485" s="8" t="s">
        <v>228</v>
      </c>
      <c r="BE485" s="4" t="s">
        <v>228</v>
      </c>
      <c r="BF485" s="8" t="s">
        <v>228</v>
      </c>
      <c r="BG485" s="7" t="s">
        <v>228</v>
      </c>
      <c r="BH485" s="7" t="s">
        <v>228</v>
      </c>
      <c r="BI485" s="7"/>
      <c r="BJ485" s="4">
        <v>10</v>
      </c>
      <c r="BK485" s="8">
        <v>206.72</v>
      </c>
      <c r="BL485" s="2" t="s">
        <v>366</v>
      </c>
      <c r="BM485" s="7"/>
      <c r="BN485" s="7"/>
      <c r="BO485" s="4"/>
      <c r="BP485" s="8"/>
      <c r="BQ485" s="4"/>
      <c r="BR485" s="8"/>
      <c r="BS485" s="7"/>
      <c r="BT485" s="7"/>
      <c r="BU485" s="2" t="s">
        <v>3151</v>
      </c>
      <c r="BV485" s="2" t="s">
        <v>228</v>
      </c>
      <c r="BW485" s="2" t="s">
        <v>228</v>
      </c>
      <c r="BX485" s="2" t="s">
        <v>273</v>
      </c>
      <c r="BY485" s="2" t="s">
        <v>274</v>
      </c>
      <c r="BZ485" s="2" t="s">
        <v>240</v>
      </c>
      <c r="CA485" s="2" t="s">
        <v>2983</v>
      </c>
      <c r="CB485" s="2" t="s">
        <v>228</v>
      </c>
      <c r="CC485" s="2" t="s">
        <v>241</v>
      </c>
      <c r="CD485" s="2" t="s">
        <v>228</v>
      </c>
      <c r="CE485" s="4">
        <v>144</v>
      </c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>
        <v>140</v>
      </c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>
        <v>200</v>
      </c>
      <c r="HC485" s="4"/>
      <c r="HD485" s="4"/>
      <c r="HE485" s="4"/>
    </row>
    <row r="486">
      <c r="A486" s="2" t="s">
        <v>3152</v>
      </c>
      <c r="B486" s="2" t="s">
        <v>848</v>
      </c>
      <c r="C486" s="2" t="s">
        <v>849</v>
      </c>
      <c r="D486" s="2" t="s">
        <v>850</v>
      </c>
      <c r="E486" s="2" t="s">
        <v>851</v>
      </c>
      <c r="F486" s="2" t="s">
        <v>3153</v>
      </c>
      <c r="G486" s="2" t="s">
        <v>1153</v>
      </c>
      <c r="H486" s="2" t="s">
        <v>3154</v>
      </c>
      <c r="I486" s="2" t="s">
        <v>3155</v>
      </c>
      <c r="J486" s="2" t="s">
        <v>1043</v>
      </c>
      <c r="K486" s="2" t="s">
        <v>978</v>
      </c>
      <c r="L486" s="3">
        <v>31.5</v>
      </c>
      <c r="M486" s="3">
        <v>33.08</v>
      </c>
      <c r="N486" s="3">
        <v>74.99</v>
      </c>
      <c r="O486" s="2" t="s">
        <v>240</v>
      </c>
      <c r="P486" s="2" t="s">
        <v>266</v>
      </c>
      <c r="Q486" s="2" t="s">
        <v>234</v>
      </c>
      <c r="R486" s="2" t="s">
        <v>228</v>
      </c>
      <c r="S486" s="2" t="s">
        <v>3156</v>
      </c>
      <c r="T486" s="2" t="s">
        <v>415</v>
      </c>
      <c r="U486" s="2" t="s">
        <v>308</v>
      </c>
      <c r="V486" s="2" t="s">
        <v>859</v>
      </c>
      <c r="W486" s="2" t="s">
        <v>417</v>
      </c>
      <c r="X486" s="2" t="s">
        <v>269</v>
      </c>
      <c r="Y486" s="2" t="s">
        <v>2192</v>
      </c>
      <c r="Z486" s="4">
        <v>274</v>
      </c>
      <c r="AA486" s="4">
        <f>=ROUNDDOWN(54.8,0)</f>
      </c>
      <c r="AB486" s="5">
        <v>5</v>
      </c>
      <c r="AC486" s="2" t="s">
        <v>166</v>
      </c>
      <c r="AD486" s="4">
        <v>30</v>
      </c>
      <c r="AE486" s="4">
        <v>30</v>
      </c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228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 t="s">
        <v>228</v>
      </c>
      <c r="BD486" s="8" t="s">
        <v>228</v>
      </c>
      <c r="BE486" s="4" t="s">
        <v>228</v>
      </c>
      <c r="BF486" s="8" t="s">
        <v>228</v>
      </c>
      <c r="BG486" s="7" t="s">
        <v>228</v>
      </c>
      <c r="BH486" s="7" t="s">
        <v>228</v>
      </c>
      <c r="BI486" s="7"/>
      <c r="BJ486" s="4">
        <v>3</v>
      </c>
      <c r="BK486" s="8">
        <v>106.17</v>
      </c>
      <c r="BL486" s="2" t="s">
        <v>3157</v>
      </c>
      <c r="BM486" s="7"/>
      <c r="BN486" s="7"/>
      <c r="BO486" s="4"/>
      <c r="BP486" s="8"/>
      <c r="BQ486" s="4"/>
      <c r="BR486" s="8"/>
      <c r="BS486" s="7"/>
      <c r="BT486" s="7"/>
      <c r="BU486" s="2" t="s">
        <v>3158</v>
      </c>
      <c r="BV486" s="2" t="s">
        <v>228</v>
      </c>
      <c r="BW486" s="2" t="s">
        <v>228</v>
      </c>
      <c r="BX486" s="2" t="s">
        <v>273</v>
      </c>
      <c r="BY486" s="2" t="s">
        <v>274</v>
      </c>
      <c r="BZ486" s="2" t="s">
        <v>240</v>
      </c>
      <c r="CA486" s="2" t="s">
        <v>2192</v>
      </c>
      <c r="CB486" s="2" t="s">
        <v>529</v>
      </c>
      <c r="CC486" s="2" t="s">
        <v>241</v>
      </c>
      <c r="CD486" s="2" t="s">
        <v>228</v>
      </c>
      <c r="CE486" s="4">
        <v>274</v>
      </c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>
        <v>30</v>
      </c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</row>
    <row r="487">
      <c r="A487" s="2" t="s">
        <v>3159</v>
      </c>
      <c r="B487" s="2" t="s">
        <v>848</v>
      </c>
      <c r="C487" s="2" t="s">
        <v>849</v>
      </c>
      <c r="D487" s="2" t="s">
        <v>850</v>
      </c>
      <c r="E487" s="2" t="s">
        <v>851</v>
      </c>
      <c r="F487" s="2" t="s">
        <v>3153</v>
      </c>
      <c r="G487" s="2" t="s">
        <v>1153</v>
      </c>
      <c r="H487" s="2" t="s">
        <v>3154</v>
      </c>
      <c r="I487" s="2" t="s">
        <v>3155</v>
      </c>
      <c r="J487" s="2" t="s">
        <v>856</v>
      </c>
      <c r="K487" s="2" t="s">
        <v>1466</v>
      </c>
      <c r="L487" s="3">
        <v>23.96</v>
      </c>
      <c r="M487" s="3">
        <v>25.16</v>
      </c>
      <c r="N487" s="3">
        <v>54.99</v>
      </c>
      <c r="O487" s="2" t="s">
        <v>240</v>
      </c>
      <c r="P487" s="2" t="s">
        <v>233</v>
      </c>
      <c r="Q487" s="2" t="s">
        <v>234</v>
      </c>
      <c r="R487" s="2" t="s">
        <v>228</v>
      </c>
      <c r="S487" s="2" t="s">
        <v>3160</v>
      </c>
      <c r="T487" s="2" t="s">
        <v>415</v>
      </c>
      <c r="U487" s="2" t="s">
        <v>500</v>
      </c>
      <c r="V487" s="2" t="s">
        <v>859</v>
      </c>
      <c r="W487" s="2" t="s">
        <v>417</v>
      </c>
      <c r="X487" s="2" t="s">
        <v>269</v>
      </c>
      <c r="Y487" s="2" t="s">
        <v>3161</v>
      </c>
      <c r="Z487" s="4">
        <v>31</v>
      </c>
      <c r="AA487" s="4">
        <f>=ROUNDDOWN(5.16666666666667,0)</f>
      </c>
      <c r="AB487" s="5">
        <v>6</v>
      </c>
      <c r="AC487" s="2" t="s">
        <v>228</v>
      </c>
      <c r="AD487" s="4"/>
      <c r="AE487" s="4"/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228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228</v>
      </c>
      <c r="AW487" s="8" t="s">
        <v>228</v>
      </c>
      <c r="AX487" s="4" t="s">
        <v>228</v>
      </c>
      <c r="AY487" s="8" t="s">
        <v>228</v>
      </c>
      <c r="AZ487" s="7" t="s">
        <v>228</v>
      </c>
      <c r="BA487" s="7" t="s">
        <v>228</v>
      </c>
      <c r="BB487" s="7"/>
      <c r="BC487" s="4" t="s">
        <v>228</v>
      </c>
      <c r="BD487" s="8" t="s">
        <v>228</v>
      </c>
      <c r="BE487" s="4" t="s">
        <v>228</v>
      </c>
      <c r="BF487" s="8" t="s">
        <v>228</v>
      </c>
      <c r="BG487" s="7" t="s">
        <v>228</v>
      </c>
      <c r="BH487" s="7" t="s">
        <v>228</v>
      </c>
      <c r="BI487" s="7"/>
      <c r="BJ487" s="4">
        <v>11</v>
      </c>
      <c r="BK487" s="8">
        <v>300.35</v>
      </c>
      <c r="BL487" s="2" t="s">
        <v>360</v>
      </c>
      <c r="BM487" s="7"/>
      <c r="BN487" s="7"/>
      <c r="BO487" s="4"/>
      <c r="BP487" s="8"/>
      <c r="BQ487" s="4"/>
      <c r="BR487" s="8"/>
      <c r="BS487" s="7"/>
      <c r="BT487" s="7"/>
      <c r="BU487" s="2" t="s">
        <v>3162</v>
      </c>
      <c r="BV487" s="2" t="s">
        <v>228</v>
      </c>
      <c r="BW487" s="2" t="s">
        <v>228</v>
      </c>
      <c r="BX487" s="2" t="s">
        <v>273</v>
      </c>
      <c r="BY487" s="2" t="s">
        <v>274</v>
      </c>
      <c r="BZ487" s="2" t="s">
        <v>240</v>
      </c>
      <c r="CA487" s="2" t="s">
        <v>3163</v>
      </c>
      <c r="CB487" s="2" t="s">
        <v>228</v>
      </c>
      <c r="CC487" s="2" t="s">
        <v>241</v>
      </c>
      <c r="CD487" s="2" t="s">
        <v>228</v>
      </c>
      <c r="CE487" s="4">
        <v>31</v>
      </c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</row>
    <row r="488">
      <c r="A488" s="2" t="s">
        <v>3164</v>
      </c>
      <c r="B488" s="2" t="s">
        <v>848</v>
      </c>
      <c r="C488" s="2" t="s">
        <v>849</v>
      </c>
      <c r="D488" s="2" t="s">
        <v>850</v>
      </c>
      <c r="E488" s="2" t="s">
        <v>851</v>
      </c>
      <c r="F488" s="2" t="s">
        <v>3153</v>
      </c>
      <c r="G488" s="2" t="s">
        <v>1153</v>
      </c>
      <c r="H488" s="2" t="s">
        <v>3154</v>
      </c>
      <c r="I488" s="2" t="s">
        <v>3155</v>
      </c>
      <c r="J488" s="2" t="s">
        <v>1189</v>
      </c>
      <c r="K488" s="2" t="s">
        <v>1466</v>
      </c>
      <c r="L488" s="3">
        <v>28.76</v>
      </c>
      <c r="M488" s="3">
        <v>30.2</v>
      </c>
      <c r="N488" s="3">
        <v>64.99</v>
      </c>
      <c r="O488" s="2" t="s">
        <v>240</v>
      </c>
      <c r="P488" s="2" t="s">
        <v>233</v>
      </c>
      <c r="Q488" s="2" t="s">
        <v>234</v>
      </c>
      <c r="R488" s="2" t="s">
        <v>228</v>
      </c>
      <c r="S488" s="2" t="s">
        <v>3160</v>
      </c>
      <c r="T488" s="2" t="s">
        <v>415</v>
      </c>
      <c r="U488" s="2" t="s">
        <v>308</v>
      </c>
      <c r="V488" s="2" t="s">
        <v>859</v>
      </c>
      <c r="W488" s="2" t="s">
        <v>417</v>
      </c>
      <c r="X488" s="2" t="s">
        <v>269</v>
      </c>
      <c r="Y488" s="2" t="s">
        <v>3161</v>
      </c>
      <c r="Z488" s="4">
        <v>57</v>
      </c>
      <c r="AA488" s="4">
        <f>=ROUNDDOWN(7.125,0)</f>
      </c>
      <c r="AB488" s="5">
        <v>8</v>
      </c>
      <c r="AC488" s="2" t="s">
        <v>228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228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228</v>
      </c>
      <c r="AW488" s="8" t="s">
        <v>228</v>
      </c>
      <c r="AX488" s="4" t="s">
        <v>228</v>
      </c>
      <c r="AY488" s="8" t="s">
        <v>228</v>
      </c>
      <c r="AZ488" s="7" t="s">
        <v>228</v>
      </c>
      <c r="BA488" s="7" t="s">
        <v>228</v>
      </c>
      <c r="BB488" s="7"/>
      <c r="BC488" s="4" t="s">
        <v>228</v>
      </c>
      <c r="BD488" s="8" t="s">
        <v>228</v>
      </c>
      <c r="BE488" s="4" t="s">
        <v>228</v>
      </c>
      <c r="BF488" s="8" t="s">
        <v>228</v>
      </c>
      <c r="BG488" s="7" t="s">
        <v>228</v>
      </c>
      <c r="BH488" s="7" t="s">
        <v>228</v>
      </c>
      <c r="BI488" s="7"/>
      <c r="BJ488" s="4">
        <v>12</v>
      </c>
      <c r="BK488" s="8">
        <v>392.15</v>
      </c>
      <c r="BL488" s="2" t="s">
        <v>3165</v>
      </c>
      <c r="BM488" s="7"/>
      <c r="BN488" s="7"/>
      <c r="BO488" s="4"/>
      <c r="BP488" s="8"/>
      <c r="BQ488" s="4"/>
      <c r="BR488" s="8"/>
      <c r="BS488" s="7"/>
      <c r="BT488" s="7"/>
      <c r="BU488" s="2" t="s">
        <v>3166</v>
      </c>
      <c r="BV488" s="2" t="s">
        <v>228</v>
      </c>
      <c r="BW488" s="2" t="s">
        <v>228</v>
      </c>
      <c r="BX488" s="2" t="s">
        <v>273</v>
      </c>
      <c r="BY488" s="2" t="s">
        <v>274</v>
      </c>
      <c r="BZ488" s="2" t="s">
        <v>240</v>
      </c>
      <c r="CA488" s="2" t="s">
        <v>3163</v>
      </c>
      <c r="CB488" s="2" t="s">
        <v>228</v>
      </c>
      <c r="CC488" s="2" t="s">
        <v>241</v>
      </c>
      <c r="CD488" s="2" t="s">
        <v>228</v>
      </c>
      <c r="CE488" s="4">
        <v>57</v>
      </c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</row>
    <row r="489">
      <c r="A489" s="2" t="s">
        <v>3167</v>
      </c>
      <c r="B489" s="2" t="s">
        <v>848</v>
      </c>
      <c r="C489" s="2" t="s">
        <v>849</v>
      </c>
      <c r="D489" s="2" t="s">
        <v>1112</v>
      </c>
      <c r="E489" s="2" t="s">
        <v>1165</v>
      </c>
      <c r="F489" s="2" t="s">
        <v>3153</v>
      </c>
      <c r="G489" s="2" t="s">
        <v>1153</v>
      </c>
      <c r="H489" s="2" t="s">
        <v>3154</v>
      </c>
      <c r="I489" s="2" t="s">
        <v>3168</v>
      </c>
      <c r="J489" s="2" t="s">
        <v>1043</v>
      </c>
      <c r="K489" s="2" t="s">
        <v>1466</v>
      </c>
      <c r="L489" s="3">
        <v>39.5</v>
      </c>
      <c r="M489" s="3">
        <v>41.48</v>
      </c>
      <c r="N489" s="3">
        <v>89.99</v>
      </c>
      <c r="O489" s="2" t="s">
        <v>240</v>
      </c>
      <c r="P489" s="2" t="s">
        <v>266</v>
      </c>
      <c r="Q489" s="2" t="s">
        <v>234</v>
      </c>
      <c r="R489" s="2" t="s">
        <v>228</v>
      </c>
      <c r="S489" s="2" t="s">
        <v>3160</v>
      </c>
      <c r="T489" s="2" t="s">
        <v>415</v>
      </c>
      <c r="U489" s="2" t="s">
        <v>308</v>
      </c>
      <c r="V489" s="2" t="s">
        <v>859</v>
      </c>
      <c r="W489" s="2" t="s">
        <v>417</v>
      </c>
      <c r="X489" s="2" t="s">
        <v>269</v>
      </c>
      <c r="Y489" s="2" t="s">
        <v>3161</v>
      </c>
      <c r="Z489" s="4">
        <v>169</v>
      </c>
      <c r="AA489" s="4">
        <f>=ROUNDDOWN(21.125,0)</f>
      </c>
      <c r="AB489" s="5">
        <v>8</v>
      </c>
      <c r="AC489" s="2" t="s">
        <v>228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228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228</v>
      </c>
      <c r="AW489" s="8" t="s">
        <v>228</v>
      </c>
      <c r="AX489" s="4" t="s">
        <v>228</v>
      </c>
      <c r="AY489" s="8" t="s">
        <v>228</v>
      </c>
      <c r="AZ489" s="7" t="s">
        <v>228</v>
      </c>
      <c r="BA489" s="7" t="s">
        <v>228</v>
      </c>
      <c r="BB489" s="7" t="s">
        <v>228</v>
      </c>
      <c r="BC489" s="4" t="s">
        <v>228</v>
      </c>
      <c r="BD489" s="8" t="s">
        <v>228</v>
      </c>
      <c r="BE489" s="4" t="s">
        <v>228</v>
      </c>
      <c r="BF489" s="8" t="s">
        <v>228</v>
      </c>
      <c r="BG489" s="7" t="s">
        <v>228</v>
      </c>
      <c r="BH489" s="7" t="s">
        <v>228</v>
      </c>
      <c r="BI489" s="7"/>
      <c r="BJ489" s="4">
        <v>8</v>
      </c>
      <c r="BK489" s="8">
        <v>340.12</v>
      </c>
      <c r="BL489" s="2" t="s">
        <v>3169</v>
      </c>
      <c r="BM489" s="7"/>
      <c r="BN489" s="7"/>
      <c r="BO489" s="4"/>
      <c r="BP489" s="8"/>
      <c r="BQ489" s="4"/>
      <c r="BR489" s="8"/>
      <c r="BS489" s="7"/>
      <c r="BT489" s="7"/>
      <c r="BU489" s="2" t="s">
        <v>3170</v>
      </c>
      <c r="BV489" s="2" t="s">
        <v>228</v>
      </c>
      <c r="BW489" s="2" t="s">
        <v>228</v>
      </c>
      <c r="BX489" s="2" t="s">
        <v>735</v>
      </c>
      <c r="BY489" s="2" t="s">
        <v>274</v>
      </c>
      <c r="BZ489" s="2" t="s">
        <v>240</v>
      </c>
      <c r="CA489" s="2" t="s">
        <v>3163</v>
      </c>
      <c r="CB489" s="2" t="s">
        <v>228</v>
      </c>
      <c r="CC489" s="2" t="s">
        <v>241</v>
      </c>
      <c r="CD489" s="2" t="s">
        <v>228</v>
      </c>
      <c r="CE489" s="4">
        <v>169</v>
      </c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</row>
    <row r="490">
      <c r="A490" s="2" t="s">
        <v>3171</v>
      </c>
      <c r="B490" s="2" t="s">
        <v>848</v>
      </c>
      <c r="C490" s="2" t="s">
        <v>849</v>
      </c>
      <c r="D490" s="2" t="s">
        <v>850</v>
      </c>
      <c r="E490" s="2" t="s">
        <v>851</v>
      </c>
      <c r="F490" s="2" t="s">
        <v>3153</v>
      </c>
      <c r="G490" s="2" t="s">
        <v>1153</v>
      </c>
      <c r="H490" s="2" t="s">
        <v>3154</v>
      </c>
      <c r="I490" s="2" t="s">
        <v>3155</v>
      </c>
      <c r="J490" s="2" t="s">
        <v>1043</v>
      </c>
      <c r="K490" s="2" t="s">
        <v>1466</v>
      </c>
      <c r="L490" s="3">
        <v>31.5</v>
      </c>
      <c r="M490" s="3">
        <v>33.08</v>
      </c>
      <c r="N490" s="3">
        <v>74.99</v>
      </c>
      <c r="O490" s="2" t="s">
        <v>240</v>
      </c>
      <c r="P490" s="2" t="s">
        <v>233</v>
      </c>
      <c r="Q490" s="2" t="s">
        <v>234</v>
      </c>
      <c r="R490" s="2" t="s">
        <v>228</v>
      </c>
      <c r="S490" s="2" t="s">
        <v>3160</v>
      </c>
      <c r="T490" s="2" t="s">
        <v>415</v>
      </c>
      <c r="U490" s="2" t="s">
        <v>308</v>
      </c>
      <c r="V490" s="2" t="s">
        <v>859</v>
      </c>
      <c r="W490" s="2" t="s">
        <v>417</v>
      </c>
      <c r="X490" s="2" t="s">
        <v>269</v>
      </c>
      <c r="Y490" s="2" t="s">
        <v>3161</v>
      </c>
      <c r="Z490" s="4">
        <v>47</v>
      </c>
      <c r="AA490" s="4">
        <f>=ROUNDDOWN(15.6666666666667,0)</f>
      </c>
      <c r="AB490" s="5">
        <v>3</v>
      </c>
      <c r="AC490" s="2" t="s">
        <v>228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228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228</v>
      </c>
      <c r="AW490" s="8" t="s">
        <v>228</v>
      </c>
      <c r="AX490" s="4" t="s">
        <v>228</v>
      </c>
      <c r="AY490" s="8" t="s">
        <v>228</v>
      </c>
      <c r="AZ490" s="7" t="s">
        <v>228</v>
      </c>
      <c r="BA490" s="7" t="s">
        <v>228</v>
      </c>
      <c r="BB490" s="7" t="s">
        <v>228</v>
      </c>
      <c r="BC490" s="4" t="s">
        <v>228</v>
      </c>
      <c r="BD490" s="8" t="s">
        <v>228</v>
      </c>
      <c r="BE490" s="4" t="s">
        <v>228</v>
      </c>
      <c r="BF490" s="8" t="s">
        <v>228</v>
      </c>
      <c r="BG490" s="7" t="s">
        <v>228</v>
      </c>
      <c r="BH490" s="7" t="s">
        <v>228</v>
      </c>
      <c r="BI490" s="7"/>
      <c r="BJ490" s="4">
        <v>1</v>
      </c>
      <c r="BK490" s="8">
        <v>34.73</v>
      </c>
      <c r="BL490" s="2" t="s">
        <v>2986</v>
      </c>
      <c r="BM490" s="7"/>
      <c r="BN490" s="7"/>
      <c r="BO490" s="4"/>
      <c r="BP490" s="8"/>
      <c r="BQ490" s="4"/>
      <c r="BR490" s="8"/>
      <c r="BS490" s="7"/>
      <c r="BT490" s="7"/>
      <c r="BU490" s="2" t="s">
        <v>3172</v>
      </c>
      <c r="BV490" s="2" t="s">
        <v>228</v>
      </c>
      <c r="BW490" s="2" t="s">
        <v>228</v>
      </c>
      <c r="BX490" s="2" t="s">
        <v>273</v>
      </c>
      <c r="BY490" s="2" t="s">
        <v>274</v>
      </c>
      <c r="BZ490" s="2" t="s">
        <v>240</v>
      </c>
      <c r="CA490" s="2" t="s">
        <v>3163</v>
      </c>
      <c r="CB490" s="2" t="s">
        <v>228</v>
      </c>
      <c r="CC490" s="2" t="s">
        <v>241</v>
      </c>
      <c r="CD490" s="2" t="s">
        <v>228</v>
      </c>
      <c r="CE490" s="4">
        <v>47</v>
      </c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</row>
    <row r="491">
      <c r="A491" s="2" t="s">
        <v>3173</v>
      </c>
      <c r="B491" s="2" t="s">
        <v>848</v>
      </c>
      <c r="C491" s="2" t="s">
        <v>849</v>
      </c>
      <c r="D491" s="2" t="s">
        <v>850</v>
      </c>
      <c r="E491" s="2" t="s">
        <v>851</v>
      </c>
      <c r="F491" s="2" t="s">
        <v>3153</v>
      </c>
      <c r="G491" s="2" t="s">
        <v>1153</v>
      </c>
      <c r="H491" s="2" t="s">
        <v>3154</v>
      </c>
      <c r="I491" s="2" t="s">
        <v>3155</v>
      </c>
      <c r="J491" s="2" t="s">
        <v>1043</v>
      </c>
      <c r="K491" s="2" t="s">
        <v>3174</v>
      </c>
      <c r="L491" s="3">
        <v>31.5</v>
      </c>
      <c r="M491" s="3">
        <v>33.08</v>
      </c>
      <c r="N491" s="3">
        <v>74.99</v>
      </c>
      <c r="O491" s="2" t="s">
        <v>240</v>
      </c>
      <c r="P491" s="2" t="s">
        <v>266</v>
      </c>
      <c r="Q491" s="2" t="s">
        <v>234</v>
      </c>
      <c r="R491" s="2" t="s">
        <v>228</v>
      </c>
      <c r="S491" s="2" t="s">
        <v>3175</v>
      </c>
      <c r="T491" s="2" t="s">
        <v>415</v>
      </c>
      <c r="U491" s="2" t="s">
        <v>308</v>
      </c>
      <c r="V491" s="2" t="s">
        <v>859</v>
      </c>
      <c r="W491" s="2" t="s">
        <v>417</v>
      </c>
      <c r="X491" s="2" t="s">
        <v>269</v>
      </c>
      <c r="Y491" s="2" t="s">
        <v>1749</v>
      </c>
      <c r="Z491" s="4">
        <v>200</v>
      </c>
      <c r="AA491" s="4">
        <f>=ROUNDDOWN(66.6666666666667,0)</f>
      </c>
      <c r="AB491" s="5">
        <v>3</v>
      </c>
      <c r="AC491" s="2" t="s">
        <v>166</v>
      </c>
      <c r="AD491" s="4">
        <v>30</v>
      </c>
      <c r="AE491" s="4">
        <v>30</v>
      </c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228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 t="s">
        <v>228</v>
      </c>
      <c r="BD491" s="8" t="s">
        <v>228</v>
      </c>
      <c r="BE491" s="4" t="s">
        <v>228</v>
      </c>
      <c r="BF491" s="8" t="s">
        <v>228</v>
      </c>
      <c r="BG491" s="7" t="s">
        <v>228</v>
      </c>
      <c r="BH491" s="7" t="s">
        <v>228</v>
      </c>
      <c r="BI491" s="7"/>
      <c r="BJ491" s="4">
        <v>4</v>
      </c>
      <c r="BK491" s="8">
        <v>141.74</v>
      </c>
      <c r="BL491" s="2" t="s">
        <v>690</v>
      </c>
      <c r="BM491" s="7"/>
      <c r="BN491" s="7"/>
      <c r="BO491" s="4"/>
      <c r="BP491" s="8"/>
      <c r="BQ491" s="4"/>
      <c r="BR491" s="8"/>
      <c r="BS491" s="7"/>
      <c r="BT491" s="7"/>
      <c r="BU491" s="2" t="s">
        <v>3176</v>
      </c>
      <c r="BV491" s="2" t="s">
        <v>228</v>
      </c>
      <c r="BW491" s="2" t="s">
        <v>228</v>
      </c>
      <c r="BX491" s="2" t="s">
        <v>273</v>
      </c>
      <c r="BY491" s="2" t="s">
        <v>274</v>
      </c>
      <c r="BZ491" s="2" t="s">
        <v>240</v>
      </c>
      <c r="CA491" s="2" t="s">
        <v>723</v>
      </c>
      <c r="CB491" s="2" t="s">
        <v>529</v>
      </c>
      <c r="CC491" s="2" t="s">
        <v>241</v>
      </c>
      <c r="CD491" s="2" t="s">
        <v>228</v>
      </c>
      <c r="CE491" s="4">
        <v>153</v>
      </c>
      <c r="CF491" s="4"/>
      <c r="CG491" s="4"/>
      <c r="CH491" s="4">
        <v>47</v>
      </c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>
        <v>30</v>
      </c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</row>
    <row r="492">
      <c r="A492" s="2" t="s">
        <v>3177</v>
      </c>
      <c r="B492" s="2" t="s">
        <v>1150</v>
      </c>
      <c r="C492" s="2" t="s">
        <v>300</v>
      </c>
      <c r="D492" s="2" t="s">
        <v>1316</v>
      </c>
      <c r="E492" s="2" t="s">
        <v>2876</v>
      </c>
      <c r="F492" s="2" t="s">
        <v>3178</v>
      </c>
      <c r="G492" s="2" t="s">
        <v>3179</v>
      </c>
      <c r="H492" s="2" t="s">
        <v>1143</v>
      </c>
      <c r="I492" s="2" t="s">
        <v>3180</v>
      </c>
      <c r="J492" s="2" t="s">
        <v>1189</v>
      </c>
      <c r="K492" s="2" t="s">
        <v>316</v>
      </c>
      <c r="L492" s="3">
        <v>52.8</v>
      </c>
      <c r="M492" s="3">
        <v>55.43</v>
      </c>
      <c r="N492" s="3">
        <v>109.99</v>
      </c>
      <c r="O492" s="2" t="s">
        <v>240</v>
      </c>
      <c r="P492" s="2" t="s">
        <v>889</v>
      </c>
      <c r="Q492" s="2" t="s">
        <v>234</v>
      </c>
      <c r="R492" s="2" t="s">
        <v>228</v>
      </c>
      <c r="S492" s="2" t="s">
        <v>3181</v>
      </c>
      <c r="T492" s="2" t="s">
        <v>228</v>
      </c>
      <c r="U492" s="2" t="s">
        <v>308</v>
      </c>
      <c r="V492" s="2" t="s">
        <v>236</v>
      </c>
      <c r="W492" s="2" t="s">
        <v>2512</v>
      </c>
      <c r="X492" s="2" t="s">
        <v>3182</v>
      </c>
      <c r="Y492" s="2" t="s">
        <v>270</v>
      </c>
      <c r="Z492" s="4">
        <v>174</v>
      </c>
      <c r="AA492" s="4">
        <f>=ROUNDDOWN(8.7,0)</f>
      </c>
      <c r="AB492" s="5">
        <v>20</v>
      </c>
      <c r="AC492" s="2" t="s">
        <v>161</v>
      </c>
      <c r="AD492" s="4">
        <v>60</v>
      </c>
      <c r="AE492" s="4">
        <v>470</v>
      </c>
      <c r="AF492" s="6">
        <v>65</v>
      </c>
      <c r="AG492" s="6">
        <v>48</v>
      </c>
      <c r="AH492" s="7">
        <v>1</v>
      </c>
      <c r="AI492" s="4"/>
      <c r="AJ492" s="4">
        <f>=ROUNDDOWN({0},0)</f>
      </c>
      <c r="AK492" s="5"/>
      <c r="AL492" s="2" t="s">
        <v>228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/>
      <c r="BD492" s="8"/>
      <c r="BE492" s="4"/>
      <c r="BF492" s="8"/>
      <c r="BG492" s="7"/>
      <c r="BH492" s="7"/>
      <c r="BI492" s="7"/>
      <c r="BJ492" s="4">
        <v>31</v>
      </c>
      <c r="BK492" s="8">
        <v>1693.52</v>
      </c>
      <c r="BL492" s="2" t="s">
        <v>3183</v>
      </c>
      <c r="BM492" s="7"/>
      <c r="BN492" s="7"/>
      <c r="BO492" s="4"/>
      <c r="BP492" s="8"/>
      <c r="BQ492" s="4"/>
      <c r="BR492" s="8"/>
      <c r="BS492" s="7"/>
      <c r="BT492" s="7"/>
      <c r="BU492" s="2" t="s">
        <v>3184</v>
      </c>
      <c r="BV492" s="2" t="s">
        <v>228</v>
      </c>
      <c r="BW492" s="2" t="s">
        <v>228</v>
      </c>
      <c r="BX492" s="2" t="s">
        <v>273</v>
      </c>
      <c r="BY492" s="2" t="s">
        <v>274</v>
      </c>
      <c r="BZ492" s="2" t="s">
        <v>240</v>
      </c>
      <c r="CA492" s="2" t="s">
        <v>275</v>
      </c>
      <c r="CB492" s="2" t="s">
        <v>584</v>
      </c>
      <c r="CC492" s="2" t="s">
        <v>241</v>
      </c>
      <c r="CD492" s="2" t="s">
        <v>228</v>
      </c>
      <c r="CE492" s="4">
        <v>13</v>
      </c>
      <c r="CF492" s="4"/>
      <c r="CG492" s="4"/>
      <c r="CH492" s="4">
        <v>51</v>
      </c>
      <c r="CI492" s="4"/>
      <c r="CJ492" s="4"/>
      <c r="CK492" s="4">
        <v>110</v>
      </c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>
        <v>60</v>
      </c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>
        <v>160</v>
      </c>
      <c r="FJ492" s="4"/>
      <c r="FK492" s="4">
        <v>40</v>
      </c>
      <c r="FL492" s="4"/>
      <c r="FM492" s="4"/>
      <c r="FN492" s="4"/>
      <c r="FO492" s="4"/>
      <c r="FP492" s="4"/>
      <c r="FQ492" s="4"/>
      <c r="FR492" s="4">
        <v>150</v>
      </c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>
        <v>30</v>
      </c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>
        <v>30</v>
      </c>
      <c r="HA492" s="4"/>
      <c r="HB492" s="4"/>
      <c r="HC492" s="4"/>
      <c r="HD492" s="4"/>
      <c r="HE492" s="4"/>
    </row>
    <row r="493">
      <c r="A493" s="2" t="s">
        <v>3185</v>
      </c>
      <c r="B493" s="2" t="s">
        <v>970</v>
      </c>
      <c r="C493" s="2" t="s">
        <v>300</v>
      </c>
      <c r="D493" s="2" t="s">
        <v>971</v>
      </c>
      <c r="E493" s="2" t="s">
        <v>1084</v>
      </c>
      <c r="F493" s="2" t="s">
        <v>3186</v>
      </c>
      <c r="G493" s="2" t="s">
        <v>3187</v>
      </c>
      <c r="H493" s="2" t="s">
        <v>3188</v>
      </c>
      <c r="I493" s="2" t="s">
        <v>3189</v>
      </c>
      <c r="J493" s="2" t="s">
        <v>3190</v>
      </c>
      <c r="K493" s="2" t="s">
        <v>2350</v>
      </c>
      <c r="L493" s="3">
        <v>13.23</v>
      </c>
      <c r="M493" s="3">
        <v>13.89</v>
      </c>
      <c r="N493" s="3">
        <v>26.99</v>
      </c>
      <c r="O493" s="2" t="s">
        <v>240</v>
      </c>
      <c r="P493" s="2" t="s">
        <v>1012</v>
      </c>
      <c r="Q493" s="2" t="s">
        <v>234</v>
      </c>
      <c r="R493" s="2" t="s">
        <v>228</v>
      </c>
      <c r="S493" s="2" t="s">
        <v>3191</v>
      </c>
      <c r="T493" s="2" t="s">
        <v>228</v>
      </c>
      <c r="U493" s="2" t="s">
        <v>520</v>
      </c>
      <c r="V493" s="2" t="s">
        <v>236</v>
      </c>
      <c r="W493" s="2" t="s">
        <v>463</v>
      </c>
      <c r="X493" s="2" t="s">
        <v>1940</v>
      </c>
      <c r="Y493" s="2" t="s">
        <v>3192</v>
      </c>
      <c r="Z493" s="4">
        <v>263</v>
      </c>
      <c r="AA493" s="4">
        <f>=ROUNDDOWN(32.875,0)</f>
      </c>
      <c r="AB493" s="5">
        <v>8</v>
      </c>
      <c r="AC493" s="2" t="s">
        <v>209</v>
      </c>
      <c r="AD493" s="4">
        <v>40</v>
      </c>
      <c r="AE493" s="4">
        <v>40</v>
      </c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228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/>
      <c r="BD493" s="8"/>
      <c r="BE493" s="4"/>
      <c r="BF493" s="8"/>
      <c r="BG493" s="7"/>
      <c r="BH493" s="7"/>
      <c r="BI493" s="7"/>
      <c r="BJ493" s="4">
        <v>7</v>
      </c>
      <c r="BK493" s="8">
        <v>98.53</v>
      </c>
      <c r="BL493" s="2" t="s">
        <v>3193</v>
      </c>
      <c r="BM493" s="7"/>
      <c r="BN493" s="7"/>
      <c r="BO493" s="4"/>
      <c r="BP493" s="8"/>
      <c r="BQ493" s="4"/>
      <c r="BR493" s="8"/>
      <c r="BS493" s="7"/>
      <c r="BT493" s="7"/>
      <c r="BU493" s="2" t="s">
        <v>3194</v>
      </c>
      <c r="BV493" s="2" t="s">
        <v>228</v>
      </c>
      <c r="BW493" s="2" t="s">
        <v>228</v>
      </c>
      <c r="BX493" s="2" t="s">
        <v>273</v>
      </c>
      <c r="BY493" s="2" t="s">
        <v>274</v>
      </c>
      <c r="BZ493" s="2" t="s">
        <v>240</v>
      </c>
      <c r="CA493" s="2" t="s">
        <v>3195</v>
      </c>
      <c r="CB493" s="2" t="s">
        <v>3196</v>
      </c>
      <c r="CC493" s="2" t="s">
        <v>241</v>
      </c>
      <c r="CD493" s="2" t="s">
        <v>228</v>
      </c>
      <c r="CE493" s="4">
        <v>263</v>
      </c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>
        <v>40</v>
      </c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</row>
    <row r="494">
      <c r="A494" s="2" t="s">
        <v>3197</v>
      </c>
      <c r="B494" s="2" t="s">
        <v>1276</v>
      </c>
      <c r="C494" s="2" t="s">
        <v>300</v>
      </c>
      <c r="D494" s="2" t="s">
        <v>1276</v>
      </c>
      <c r="E494" s="2" t="s">
        <v>1276</v>
      </c>
      <c r="F494" s="2" t="s">
        <v>3198</v>
      </c>
      <c r="G494" s="2" t="s">
        <v>3199</v>
      </c>
      <c r="H494" s="2" t="s">
        <v>3200</v>
      </c>
      <c r="I494" s="2" t="s">
        <v>3201</v>
      </c>
      <c r="J494" s="2" t="s">
        <v>3202</v>
      </c>
      <c r="K494" s="2" t="s">
        <v>1930</v>
      </c>
      <c r="L494" s="3">
        <v>28</v>
      </c>
      <c r="M494" s="3">
        <v>29.4</v>
      </c>
      <c r="N494" s="3">
        <v>59.99</v>
      </c>
      <c r="O494" s="2" t="s">
        <v>491</v>
      </c>
      <c r="P494" s="2" t="s">
        <v>333</v>
      </c>
      <c r="Q494" s="2" t="s">
        <v>234</v>
      </c>
      <c r="R494" s="2" t="s">
        <v>228</v>
      </c>
      <c r="S494" s="2" t="s">
        <v>3203</v>
      </c>
      <c r="T494" s="2" t="s">
        <v>228</v>
      </c>
      <c r="U494" s="2" t="s">
        <v>416</v>
      </c>
      <c r="V494" s="2" t="s">
        <v>1737</v>
      </c>
      <c r="W494" s="2" t="s">
        <v>2472</v>
      </c>
      <c r="X494" s="2" t="s">
        <v>269</v>
      </c>
      <c r="Y494" s="2" t="s">
        <v>1932</v>
      </c>
      <c r="Z494" s="4">
        <v>15</v>
      </c>
      <c r="AA494" s="4">
        <f>=ROUNDDOWN(75,0)</f>
      </c>
      <c r="AB494" s="5">
        <v>0.2</v>
      </c>
      <c r="AC494" s="2" t="s">
        <v>228</v>
      </c>
      <c r="AD494" s="4"/>
      <c r="AE494" s="4"/>
      <c r="AF494" s="6">
        <v>63</v>
      </c>
      <c r="AG494" s="6"/>
      <c r="AH494" s="7">
        <v>1</v>
      </c>
      <c r="AI494" s="4"/>
      <c r="AJ494" s="4">
        <f>=ROUNDDOWN({0},0)</f>
      </c>
      <c r="AK494" s="5"/>
      <c r="AL494" s="2" t="s">
        <v>228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228</v>
      </c>
      <c r="AW494" s="8" t="s">
        <v>228</v>
      </c>
      <c r="AX494" s="4" t="s">
        <v>228</v>
      </c>
      <c r="AY494" s="8" t="s">
        <v>228</v>
      </c>
      <c r="AZ494" s="7" t="s">
        <v>228</v>
      </c>
      <c r="BA494" s="7" t="s">
        <v>228</v>
      </c>
      <c r="BB494" s="7"/>
      <c r="BC494" s="4" t="s">
        <v>228</v>
      </c>
      <c r="BD494" s="8" t="s">
        <v>228</v>
      </c>
      <c r="BE494" s="4" t="s">
        <v>228</v>
      </c>
      <c r="BF494" s="8" t="s">
        <v>228</v>
      </c>
      <c r="BG494" s="7" t="s">
        <v>228</v>
      </c>
      <c r="BH494" s="7" t="s">
        <v>228</v>
      </c>
      <c r="BI494" s="7"/>
      <c r="BJ494" s="4">
        <v>1</v>
      </c>
      <c r="BK494" s="8">
        <v>33.22</v>
      </c>
      <c r="BL494" s="2" t="s">
        <v>3204</v>
      </c>
      <c r="BM494" s="7"/>
      <c r="BN494" s="7"/>
      <c r="BO494" s="4"/>
      <c r="BP494" s="8"/>
      <c r="BQ494" s="4"/>
      <c r="BR494" s="8"/>
      <c r="BS494" s="7"/>
      <c r="BT494" s="7"/>
      <c r="BU494" s="2" t="s">
        <v>3205</v>
      </c>
      <c r="BV494" s="2" t="s">
        <v>228</v>
      </c>
      <c r="BW494" s="2" t="s">
        <v>228</v>
      </c>
      <c r="BX494" s="2" t="s">
        <v>337</v>
      </c>
      <c r="BY494" s="2" t="s">
        <v>274</v>
      </c>
      <c r="BZ494" s="2" t="s">
        <v>240</v>
      </c>
      <c r="CA494" s="2" t="s">
        <v>1935</v>
      </c>
      <c r="CB494" s="2" t="s">
        <v>3206</v>
      </c>
      <c r="CC494" s="2" t="s">
        <v>241</v>
      </c>
      <c r="CD494" s="2" t="s">
        <v>228</v>
      </c>
      <c r="CE494" s="4"/>
      <c r="CF494" s="4">
        <v>15</v>
      </c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</row>
    <row r="495">
      <c r="A495" s="2" t="s">
        <v>3207</v>
      </c>
      <c r="B495" s="2" t="s">
        <v>1276</v>
      </c>
      <c r="C495" s="2" t="s">
        <v>300</v>
      </c>
      <c r="D495" s="2" t="s">
        <v>1276</v>
      </c>
      <c r="E495" s="2" t="s">
        <v>1276</v>
      </c>
      <c r="F495" s="2" t="s">
        <v>3198</v>
      </c>
      <c r="G495" s="2" t="s">
        <v>3199</v>
      </c>
      <c r="H495" s="2" t="s">
        <v>3200</v>
      </c>
      <c r="I495" s="2" t="s">
        <v>3201</v>
      </c>
      <c r="J495" s="2" t="s">
        <v>1711</v>
      </c>
      <c r="K495" s="2" t="s">
        <v>1930</v>
      </c>
      <c r="L495" s="3">
        <v>59</v>
      </c>
      <c r="M495" s="3">
        <v>61.95</v>
      </c>
      <c r="N495" s="3">
        <v>139.99</v>
      </c>
      <c r="O495" s="2" t="s">
        <v>461</v>
      </c>
      <c r="P495" s="2" t="s">
        <v>333</v>
      </c>
      <c r="Q495" s="2" t="s">
        <v>234</v>
      </c>
      <c r="R495" s="2" t="s">
        <v>228</v>
      </c>
      <c r="S495" s="2" t="s">
        <v>3203</v>
      </c>
      <c r="T495" s="2" t="s">
        <v>228</v>
      </c>
      <c r="U495" s="2" t="s">
        <v>416</v>
      </c>
      <c r="V495" s="2" t="s">
        <v>1737</v>
      </c>
      <c r="W495" s="2" t="s">
        <v>2472</v>
      </c>
      <c r="X495" s="2" t="s">
        <v>228</v>
      </c>
      <c r="Y495" s="2" t="s">
        <v>1932</v>
      </c>
      <c r="Z495" s="4">
        <v>49</v>
      </c>
      <c r="AA495" s="4">
        <f>=ROUNDDOWN(49,0)</f>
      </c>
      <c r="AB495" s="5">
        <v>1</v>
      </c>
      <c r="AC495" s="2" t="s">
        <v>228</v>
      </c>
      <c r="AD495" s="4"/>
      <c r="AE495" s="4"/>
      <c r="AF495" s="6">
        <v>63</v>
      </c>
      <c r="AG495" s="6"/>
      <c r="AH495" s="7">
        <v>1</v>
      </c>
      <c r="AI495" s="4"/>
      <c r="AJ495" s="4">
        <f>=ROUNDDOWN({0},0)</f>
      </c>
      <c r="AK495" s="5"/>
      <c r="AL495" s="2" t="s">
        <v>228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228</v>
      </c>
      <c r="AW495" s="8" t="s">
        <v>228</v>
      </c>
      <c r="AX495" s="4" t="s">
        <v>228</v>
      </c>
      <c r="AY495" s="8" t="s">
        <v>228</v>
      </c>
      <c r="AZ495" s="7" t="s">
        <v>228</v>
      </c>
      <c r="BA495" s="7" t="s">
        <v>228</v>
      </c>
      <c r="BB495" s="7"/>
      <c r="BC495" s="4" t="s">
        <v>228</v>
      </c>
      <c r="BD495" s="8" t="s">
        <v>228</v>
      </c>
      <c r="BE495" s="4" t="s">
        <v>228</v>
      </c>
      <c r="BF495" s="8" t="s">
        <v>228</v>
      </c>
      <c r="BG495" s="7" t="s">
        <v>228</v>
      </c>
      <c r="BH495" s="7" t="s">
        <v>228</v>
      </c>
      <c r="BI495" s="7"/>
      <c r="BJ495" s="4"/>
      <c r="BK495" s="8"/>
      <c r="BL495" s="2" t="s">
        <v>228</v>
      </c>
      <c r="BM495" s="7"/>
      <c r="BN495" s="7"/>
      <c r="BO495" s="4"/>
      <c r="BP495" s="8"/>
      <c r="BQ495" s="4"/>
      <c r="BR495" s="8"/>
      <c r="BS495" s="7"/>
      <c r="BT495" s="7"/>
      <c r="BU495" s="2" t="s">
        <v>3208</v>
      </c>
      <c r="BV495" s="2" t="s">
        <v>228</v>
      </c>
      <c r="BW495" s="2" t="s">
        <v>228</v>
      </c>
      <c r="BX495" s="2" t="s">
        <v>337</v>
      </c>
      <c r="BY495" s="2" t="s">
        <v>274</v>
      </c>
      <c r="BZ495" s="2" t="s">
        <v>240</v>
      </c>
      <c r="CA495" s="2" t="s">
        <v>1935</v>
      </c>
      <c r="CB495" s="2" t="s">
        <v>228</v>
      </c>
      <c r="CC495" s="2" t="s">
        <v>241</v>
      </c>
      <c r="CD495" s="2" t="s">
        <v>228</v>
      </c>
      <c r="CE495" s="4"/>
      <c r="CF495" s="4">
        <v>49</v>
      </c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</row>
    <row r="496">
      <c r="A496" s="2" t="s">
        <v>3209</v>
      </c>
      <c r="B496" s="2" t="s">
        <v>1276</v>
      </c>
      <c r="C496" s="2" t="s">
        <v>300</v>
      </c>
      <c r="D496" s="2" t="s">
        <v>1276</v>
      </c>
      <c r="E496" s="2" t="s">
        <v>1276</v>
      </c>
      <c r="F496" s="2" t="s">
        <v>3198</v>
      </c>
      <c r="G496" s="2" t="s">
        <v>3199</v>
      </c>
      <c r="H496" s="2" t="s">
        <v>3200</v>
      </c>
      <c r="I496" s="2" t="s">
        <v>3201</v>
      </c>
      <c r="J496" s="2" t="s">
        <v>1280</v>
      </c>
      <c r="K496" s="2" t="s">
        <v>1930</v>
      </c>
      <c r="L496" s="3">
        <v>94</v>
      </c>
      <c r="M496" s="3">
        <v>98.7</v>
      </c>
      <c r="N496" s="3">
        <v>209.99</v>
      </c>
      <c r="O496" s="2" t="s">
        <v>461</v>
      </c>
      <c r="P496" s="2" t="s">
        <v>333</v>
      </c>
      <c r="Q496" s="2" t="s">
        <v>234</v>
      </c>
      <c r="R496" s="2" t="s">
        <v>228</v>
      </c>
      <c r="S496" s="2" t="s">
        <v>3203</v>
      </c>
      <c r="T496" s="2" t="s">
        <v>228</v>
      </c>
      <c r="U496" s="2" t="s">
        <v>416</v>
      </c>
      <c r="V496" s="2" t="s">
        <v>1737</v>
      </c>
      <c r="W496" s="2" t="s">
        <v>2472</v>
      </c>
      <c r="X496" s="2" t="s">
        <v>228</v>
      </c>
      <c r="Y496" s="2" t="s">
        <v>1932</v>
      </c>
      <c r="Z496" s="4">
        <v>52</v>
      </c>
      <c r="AA496" s="4">
        <f>=ROUNDDOWN(520,0)</f>
      </c>
      <c r="AB496" s="5">
        <v>0.1</v>
      </c>
      <c r="AC496" s="2" t="s">
        <v>228</v>
      </c>
      <c r="AD496" s="4"/>
      <c r="AE496" s="4"/>
      <c r="AF496" s="6">
        <v>63</v>
      </c>
      <c r="AG496" s="6"/>
      <c r="AH496" s="7">
        <v>1</v>
      </c>
      <c r="AI496" s="4"/>
      <c r="AJ496" s="4">
        <f>=ROUNDDOWN({0},0)</f>
      </c>
      <c r="AK496" s="5"/>
      <c r="AL496" s="2" t="s">
        <v>228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228</v>
      </c>
      <c r="AW496" s="8" t="s">
        <v>228</v>
      </c>
      <c r="AX496" s="4" t="s">
        <v>228</v>
      </c>
      <c r="AY496" s="8" t="s">
        <v>228</v>
      </c>
      <c r="AZ496" s="7" t="s">
        <v>228</v>
      </c>
      <c r="BA496" s="7" t="s">
        <v>228</v>
      </c>
      <c r="BB496" s="7"/>
      <c r="BC496" s="4" t="s">
        <v>228</v>
      </c>
      <c r="BD496" s="8" t="s">
        <v>228</v>
      </c>
      <c r="BE496" s="4" t="s">
        <v>228</v>
      </c>
      <c r="BF496" s="8" t="s">
        <v>228</v>
      </c>
      <c r="BG496" s="7" t="s">
        <v>228</v>
      </c>
      <c r="BH496" s="7" t="s">
        <v>228</v>
      </c>
      <c r="BI496" s="7"/>
      <c r="BJ496" s="4"/>
      <c r="BK496" s="8"/>
      <c r="BL496" s="2" t="s">
        <v>228</v>
      </c>
      <c r="BM496" s="7"/>
      <c r="BN496" s="7"/>
      <c r="BO496" s="4"/>
      <c r="BP496" s="8"/>
      <c r="BQ496" s="4"/>
      <c r="BR496" s="8"/>
      <c r="BS496" s="7"/>
      <c r="BT496" s="7"/>
      <c r="BU496" s="2" t="s">
        <v>3210</v>
      </c>
      <c r="BV496" s="2" t="s">
        <v>228</v>
      </c>
      <c r="BW496" s="2" t="s">
        <v>228</v>
      </c>
      <c r="BX496" s="2" t="s">
        <v>337</v>
      </c>
      <c r="BY496" s="2" t="s">
        <v>274</v>
      </c>
      <c r="BZ496" s="2" t="s">
        <v>240</v>
      </c>
      <c r="CA496" s="2" t="s">
        <v>1935</v>
      </c>
      <c r="CB496" s="2" t="s">
        <v>228</v>
      </c>
      <c r="CC496" s="2" t="s">
        <v>241</v>
      </c>
      <c r="CD496" s="2" t="s">
        <v>228</v>
      </c>
      <c r="CE496" s="4"/>
      <c r="CF496" s="4">
        <v>52</v>
      </c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</row>
    <row r="497">
      <c r="A497" s="2" t="s">
        <v>3211</v>
      </c>
      <c r="B497" s="2" t="s">
        <v>1276</v>
      </c>
      <c r="C497" s="2" t="s">
        <v>300</v>
      </c>
      <c r="D497" s="2" t="s">
        <v>1276</v>
      </c>
      <c r="E497" s="2" t="s">
        <v>1276</v>
      </c>
      <c r="F497" s="2" t="s">
        <v>3198</v>
      </c>
      <c r="G497" s="2" t="s">
        <v>3199</v>
      </c>
      <c r="H497" s="2" t="s">
        <v>3200</v>
      </c>
      <c r="I497" s="2" t="s">
        <v>3201</v>
      </c>
      <c r="J497" s="2" t="s">
        <v>1937</v>
      </c>
      <c r="K497" s="2" t="s">
        <v>1930</v>
      </c>
      <c r="L497" s="3">
        <v>125</v>
      </c>
      <c r="M497" s="3">
        <v>131.25</v>
      </c>
      <c r="N497" s="3">
        <v>279.98</v>
      </c>
      <c r="O497" s="2" t="s">
        <v>461</v>
      </c>
      <c r="P497" s="2" t="s">
        <v>333</v>
      </c>
      <c r="Q497" s="2" t="s">
        <v>234</v>
      </c>
      <c r="R497" s="2" t="s">
        <v>228</v>
      </c>
      <c r="S497" s="2" t="s">
        <v>3203</v>
      </c>
      <c r="T497" s="2" t="s">
        <v>228</v>
      </c>
      <c r="U497" s="2" t="s">
        <v>416</v>
      </c>
      <c r="V497" s="2" t="s">
        <v>1737</v>
      </c>
      <c r="W497" s="2" t="s">
        <v>2472</v>
      </c>
      <c r="X497" s="2" t="s">
        <v>228</v>
      </c>
      <c r="Y497" s="2" t="s">
        <v>1932</v>
      </c>
      <c r="Z497" s="4">
        <v>101</v>
      </c>
      <c r="AA497" s="4">
        <f>=ROUNDDOWN(144.285714285714,0)</f>
      </c>
      <c r="AB497" s="5">
        <v>0.7</v>
      </c>
      <c r="AC497" s="2" t="s">
        <v>228</v>
      </c>
      <c r="AD497" s="4"/>
      <c r="AE497" s="4"/>
      <c r="AF497" s="6">
        <v>63</v>
      </c>
      <c r="AG497" s="6"/>
      <c r="AH497" s="7">
        <v>1</v>
      </c>
      <c r="AI497" s="4"/>
      <c r="AJ497" s="4">
        <f>=ROUNDDOWN({0},0)</f>
      </c>
      <c r="AK497" s="5"/>
      <c r="AL497" s="2" t="s">
        <v>228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228</v>
      </c>
      <c r="AW497" s="8" t="s">
        <v>228</v>
      </c>
      <c r="AX497" s="4" t="s">
        <v>228</v>
      </c>
      <c r="AY497" s="8" t="s">
        <v>228</v>
      </c>
      <c r="AZ497" s="7" t="s">
        <v>228</v>
      </c>
      <c r="BA497" s="7" t="s">
        <v>228</v>
      </c>
      <c r="BB497" s="7"/>
      <c r="BC497" s="4" t="s">
        <v>228</v>
      </c>
      <c r="BD497" s="8" t="s">
        <v>228</v>
      </c>
      <c r="BE497" s="4" t="s">
        <v>228</v>
      </c>
      <c r="BF497" s="8" t="s">
        <v>228</v>
      </c>
      <c r="BG497" s="7" t="s">
        <v>228</v>
      </c>
      <c r="BH497" s="7" t="s">
        <v>228</v>
      </c>
      <c r="BI497" s="7"/>
      <c r="BJ497" s="4">
        <v>1</v>
      </c>
      <c r="BK497" s="8">
        <v>279.99</v>
      </c>
      <c r="BL497" s="2" t="s">
        <v>3212</v>
      </c>
      <c r="BM497" s="7"/>
      <c r="BN497" s="7"/>
      <c r="BO497" s="4"/>
      <c r="BP497" s="8"/>
      <c r="BQ497" s="4"/>
      <c r="BR497" s="8"/>
      <c r="BS497" s="7"/>
      <c r="BT497" s="7"/>
      <c r="BU497" s="2" t="s">
        <v>3213</v>
      </c>
      <c r="BV497" s="2" t="s">
        <v>228</v>
      </c>
      <c r="BW497" s="2" t="s">
        <v>228</v>
      </c>
      <c r="BX497" s="2" t="s">
        <v>337</v>
      </c>
      <c r="BY497" s="2" t="s">
        <v>274</v>
      </c>
      <c r="BZ497" s="2" t="s">
        <v>240</v>
      </c>
      <c r="CA497" s="2" t="s">
        <v>1935</v>
      </c>
      <c r="CB497" s="2" t="s">
        <v>3206</v>
      </c>
      <c r="CC497" s="2" t="s">
        <v>241</v>
      </c>
      <c r="CD497" s="2" t="s">
        <v>228</v>
      </c>
      <c r="CE497" s="4"/>
      <c r="CF497" s="4">
        <v>101</v>
      </c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</row>
    <row r="498">
      <c r="A498" s="2" t="s">
        <v>3214</v>
      </c>
      <c r="B498" s="2" t="s">
        <v>1150</v>
      </c>
      <c r="C498" s="2" t="s">
        <v>773</v>
      </c>
      <c r="D498" s="2" t="s">
        <v>1112</v>
      </c>
      <c r="E498" s="2" t="s">
        <v>1165</v>
      </c>
      <c r="F498" s="2" t="s">
        <v>3215</v>
      </c>
      <c r="G498" s="2" t="s">
        <v>3215</v>
      </c>
      <c r="H498" s="2" t="s">
        <v>3215</v>
      </c>
      <c r="I498" s="2" t="s">
        <v>3216</v>
      </c>
      <c r="J498" s="2" t="s">
        <v>289</v>
      </c>
      <c r="K498" s="2" t="s">
        <v>3217</v>
      </c>
      <c r="L498" s="3">
        <v>150</v>
      </c>
      <c r="M498" s="3">
        <v>157.5</v>
      </c>
      <c r="N498" s="3">
        <v>299.99</v>
      </c>
      <c r="O498" s="2" t="s">
        <v>240</v>
      </c>
      <c r="P498" s="2" t="s">
        <v>233</v>
      </c>
      <c r="Q498" s="2" t="s">
        <v>234</v>
      </c>
      <c r="R498" s="2" t="s">
        <v>228</v>
      </c>
      <c r="S498" s="2" t="s">
        <v>228</v>
      </c>
      <c r="T498" s="2" t="s">
        <v>228</v>
      </c>
      <c r="U498" s="2" t="s">
        <v>791</v>
      </c>
      <c r="V498" s="2" t="s">
        <v>842</v>
      </c>
      <c r="W498" s="2" t="s">
        <v>228</v>
      </c>
      <c r="X498" s="2" t="s">
        <v>228</v>
      </c>
      <c r="Y498" s="2" t="s">
        <v>228</v>
      </c>
      <c r="Z498" s="4"/>
      <c r="AA498" s="4">
        <f>=ROUNDDOWN({0},0)</f>
      </c>
      <c r="AB498" s="5"/>
      <c r="AC498" s="2" t="s">
        <v>3218</v>
      </c>
      <c r="AD498" s="4">
        <v>200</v>
      </c>
      <c r="AE498" s="4">
        <v>200</v>
      </c>
      <c r="AF498" s="6">
        <v>67</v>
      </c>
      <c r="AG498" s="6"/>
      <c r="AH498" s="7"/>
      <c r="AI498" s="4"/>
      <c r="AJ498" s="4">
        <f>=ROUNDDOWN({0},0)</f>
      </c>
      <c r="AK498" s="5"/>
      <c r="AL498" s="2" t="s">
        <v>228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228</v>
      </c>
      <c r="AW498" s="8" t="s">
        <v>228</v>
      </c>
      <c r="AX498" s="4" t="s">
        <v>228</v>
      </c>
      <c r="AY498" s="8" t="s">
        <v>228</v>
      </c>
      <c r="AZ498" s="7" t="s">
        <v>228</v>
      </c>
      <c r="BA498" s="7" t="s">
        <v>228</v>
      </c>
      <c r="BB498" s="7"/>
      <c r="BC498" s="4" t="s">
        <v>228</v>
      </c>
      <c r="BD498" s="8" t="s">
        <v>228</v>
      </c>
      <c r="BE498" s="4" t="s">
        <v>228</v>
      </c>
      <c r="BF498" s="8" t="s">
        <v>228</v>
      </c>
      <c r="BG498" s="7" t="s">
        <v>228</v>
      </c>
      <c r="BH498" s="7" t="s">
        <v>228</v>
      </c>
      <c r="BI498" s="7"/>
      <c r="BJ498" s="4"/>
      <c r="BK498" s="8"/>
      <c r="BL498" s="2" t="s">
        <v>228</v>
      </c>
      <c r="BM498" s="7"/>
      <c r="BN498" s="7"/>
      <c r="BO498" s="4"/>
      <c r="BP498" s="8"/>
      <c r="BQ498" s="4"/>
      <c r="BR498" s="8"/>
      <c r="BS498" s="7"/>
      <c r="BT498" s="7"/>
      <c r="BU498" s="2" t="s">
        <v>238</v>
      </c>
      <c r="BV498" s="2" t="s">
        <v>228</v>
      </c>
      <c r="BW498" s="2" t="s">
        <v>228</v>
      </c>
      <c r="BX498" s="2" t="s">
        <v>238</v>
      </c>
      <c r="BY498" s="2" t="s">
        <v>239</v>
      </c>
      <c r="BZ498" s="2" t="s">
        <v>240</v>
      </c>
      <c r="CA498" s="2" t="s">
        <v>228</v>
      </c>
      <c r="CB498" s="2" t="s">
        <v>228</v>
      </c>
      <c r="CC498" s="2" t="s">
        <v>241</v>
      </c>
      <c r="CD498" s="2" t="s">
        <v>228</v>
      </c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>
        <v>200</v>
      </c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</row>
    <row r="499">
      <c r="A499" s="2" t="s">
        <v>3219</v>
      </c>
      <c r="B499" s="2" t="s">
        <v>1150</v>
      </c>
      <c r="C499" s="2" t="s">
        <v>773</v>
      </c>
      <c r="D499" s="2" t="s">
        <v>1112</v>
      </c>
      <c r="E499" s="2" t="s">
        <v>1165</v>
      </c>
      <c r="F499" s="2" t="s">
        <v>3215</v>
      </c>
      <c r="G499" s="2" t="s">
        <v>3215</v>
      </c>
      <c r="H499" s="2" t="s">
        <v>3215</v>
      </c>
      <c r="I499" s="2" t="s">
        <v>3216</v>
      </c>
      <c r="J499" s="2" t="s">
        <v>294</v>
      </c>
      <c r="K499" s="2" t="s">
        <v>3217</v>
      </c>
      <c r="L499" s="3">
        <v>175</v>
      </c>
      <c r="M499" s="3">
        <v>183.75</v>
      </c>
      <c r="N499" s="3">
        <v>349.99</v>
      </c>
      <c r="O499" s="2" t="s">
        <v>240</v>
      </c>
      <c r="P499" s="2" t="s">
        <v>233</v>
      </c>
      <c r="Q499" s="2" t="s">
        <v>234</v>
      </c>
      <c r="R499" s="2" t="s">
        <v>228</v>
      </c>
      <c r="S499" s="2" t="s">
        <v>228</v>
      </c>
      <c r="T499" s="2" t="s">
        <v>228</v>
      </c>
      <c r="U499" s="2" t="s">
        <v>1162</v>
      </c>
      <c r="V499" s="2" t="s">
        <v>842</v>
      </c>
      <c r="W499" s="2" t="s">
        <v>228</v>
      </c>
      <c r="X499" s="2" t="s">
        <v>228</v>
      </c>
      <c r="Y499" s="2" t="s">
        <v>228</v>
      </c>
      <c r="Z499" s="4"/>
      <c r="AA499" s="4">
        <f>=ROUNDDOWN({0},0)</f>
      </c>
      <c r="AB499" s="5"/>
      <c r="AC499" s="2" t="s">
        <v>3218</v>
      </c>
      <c r="AD499" s="4">
        <v>300</v>
      </c>
      <c r="AE499" s="4">
        <v>300</v>
      </c>
      <c r="AF499" s="6">
        <v>67</v>
      </c>
      <c r="AG499" s="6"/>
      <c r="AH499" s="7"/>
      <c r="AI499" s="4"/>
      <c r="AJ499" s="4">
        <f>=ROUNDDOWN({0},0)</f>
      </c>
      <c r="AK499" s="5"/>
      <c r="AL499" s="2" t="s">
        <v>228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228</v>
      </c>
      <c r="AW499" s="8" t="s">
        <v>228</v>
      </c>
      <c r="AX499" s="4" t="s">
        <v>228</v>
      </c>
      <c r="AY499" s="8" t="s">
        <v>228</v>
      </c>
      <c r="AZ499" s="7" t="s">
        <v>228</v>
      </c>
      <c r="BA499" s="7" t="s">
        <v>228</v>
      </c>
      <c r="BB499" s="7"/>
      <c r="BC499" s="4" t="s">
        <v>228</v>
      </c>
      <c r="BD499" s="8" t="s">
        <v>228</v>
      </c>
      <c r="BE499" s="4" t="s">
        <v>228</v>
      </c>
      <c r="BF499" s="8" t="s">
        <v>228</v>
      </c>
      <c r="BG499" s="7" t="s">
        <v>228</v>
      </c>
      <c r="BH499" s="7" t="s">
        <v>228</v>
      </c>
      <c r="BI499" s="7"/>
      <c r="BJ499" s="4"/>
      <c r="BK499" s="8"/>
      <c r="BL499" s="2" t="s">
        <v>228</v>
      </c>
      <c r="BM499" s="7"/>
      <c r="BN499" s="7"/>
      <c r="BO499" s="4"/>
      <c r="BP499" s="8"/>
      <c r="BQ499" s="4"/>
      <c r="BR499" s="8"/>
      <c r="BS499" s="7"/>
      <c r="BT499" s="7"/>
      <c r="BU499" s="2" t="s">
        <v>238</v>
      </c>
      <c r="BV499" s="2" t="s">
        <v>228</v>
      </c>
      <c r="BW499" s="2" t="s">
        <v>228</v>
      </c>
      <c r="BX499" s="2" t="s">
        <v>238</v>
      </c>
      <c r="BY499" s="2" t="s">
        <v>239</v>
      </c>
      <c r="BZ499" s="2" t="s">
        <v>240</v>
      </c>
      <c r="CA499" s="2" t="s">
        <v>228</v>
      </c>
      <c r="CB499" s="2" t="s">
        <v>228</v>
      </c>
      <c r="CC499" s="2" t="s">
        <v>241</v>
      </c>
      <c r="CD499" s="2" t="s">
        <v>228</v>
      </c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>
        <v>300</v>
      </c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</row>
    <row r="500">
      <c r="A500" s="2" t="s">
        <v>3220</v>
      </c>
      <c r="B500" s="2" t="s">
        <v>834</v>
      </c>
      <c r="C500" s="2" t="s">
        <v>885</v>
      </c>
      <c r="D500" s="2" t="s">
        <v>1744</v>
      </c>
      <c r="E500" s="2" t="s">
        <v>1745</v>
      </c>
      <c r="F500" s="2" t="s">
        <v>3221</v>
      </c>
      <c r="G500" s="2" t="s">
        <v>3221</v>
      </c>
      <c r="H500" s="2" t="s">
        <v>3221</v>
      </c>
      <c r="I500" s="2" t="s">
        <v>3222</v>
      </c>
      <c r="J500" s="2" t="s">
        <v>840</v>
      </c>
      <c r="K500" s="2" t="s">
        <v>305</v>
      </c>
      <c r="L500" s="3">
        <v>121.5</v>
      </c>
      <c r="M500" s="3">
        <v>127.58</v>
      </c>
      <c r="N500" s="3">
        <v>279.99</v>
      </c>
      <c r="O500" s="2" t="s">
        <v>461</v>
      </c>
      <c r="P500" s="2" t="s">
        <v>333</v>
      </c>
      <c r="Q500" s="2" t="s">
        <v>234</v>
      </c>
      <c r="R500" s="2" t="s">
        <v>228</v>
      </c>
      <c r="S500" s="2" t="s">
        <v>228</v>
      </c>
      <c r="T500" s="2" t="s">
        <v>228</v>
      </c>
      <c r="U500" s="2" t="s">
        <v>416</v>
      </c>
      <c r="V500" s="2" t="s">
        <v>842</v>
      </c>
      <c r="W500" s="2" t="s">
        <v>417</v>
      </c>
      <c r="X500" s="2" t="s">
        <v>1514</v>
      </c>
      <c r="Y500" s="2" t="s">
        <v>1291</v>
      </c>
      <c r="Z500" s="4">
        <v>82</v>
      </c>
      <c r="AA500" s="4">
        <f>=ROUNDDOWN(82,0)</f>
      </c>
      <c r="AB500" s="5">
        <v>1</v>
      </c>
      <c r="AC500" s="2" t="s">
        <v>228</v>
      </c>
      <c r="AD500" s="4"/>
      <c r="AE500" s="4"/>
      <c r="AF500" s="6">
        <v>63</v>
      </c>
      <c r="AG500" s="6"/>
      <c r="AH500" s="7">
        <v>1</v>
      </c>
      <c r="AI500" s="4"/>
      <c r="AJ500" s="4">
        <f>=ROUNDDOWN({0},0)</f>
      </c>
      <c r="AK500" s="5"/>
      <c r="AL500" s="2" t="s">
        <v>228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/>
      <c r="BD500" s="8"/>
      <c r="BE500" s="4"/>
      <c r="BF500" s="8"/>
      <c r="BG500" s="7"/>
      <c r="BH500" s="7"/>
      <c r="BI500" s="7"/>
      <c r="BJ500" s="4"/>
      <c r="BK500" s="8"/>
      <c r="BL500" s="2" t="s">
        <v>2986</v>
      </c>
      <c r="BM500" s="7"/>
      <c r="BN500" s="7"/>
      <c r="BO500" s="4"/>
      <c r="BP500" s="8"/>
      <c r="BQ500" s="4"/>
      <c r="BR500" s="8"/>
      <c r="BS500" s="7"/>
      <c r="BT500" s="7"/>
      <c r="BU500" s="2" t="s">
        <v>3223</v>
      </c>
      <c r="BV500" s="2" t="s">
        <v>228</v>
      </c>
      <c r="BW500" s="2" t="s">
        <v>228</v>
      </c>
      <c r="BX500" s="2" t="s">
        <v>337</v>
      </c>
      <c r="BY500" s="2" t="s">
        <v>274</v>
      </c>
      <c r="BZ500" s="2" t="s">
        <v>240</v>
      </c>
      <c r="CA500" s="2" t="s">
        <v>3224</v>
      </c>
      <c r="CB500" s="2" t="s">
        <v>3225</v>
      </c>
      <c r="CC500" s="2" t="s">
        <v>241</v>
      </c>
      <c r="CD500" s="2" t="s">
        <v>228</v>
      </c>
      <c r="CE500" s="4"/>
      <c r="CF500" s="4">
        <v>82</v>
      </c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</row>
    <row r="501">
      <c r="A501" s="2" t="s">
        <v>3226</v>
      </c>
      <c r="B501" s="2" t="s">
        <v>223</v>
      </c>
      <c r="C501" s="2" t="s">
        <v>300</v>
      </c>
      <c r="D501" s="2" t="s">
        <v>1601</v>
      </c>
      <c r="E501" s="2" t="s">
        <v>2421</v>
      </c>
      <c r="F501" s="2" t="s">
        <v>3227</v>
      </c>
      <c r="G501" s="2" t="s">
        <v>3227</v>
      </c>
      <c r="H501" s="2" t="s">
        <v>3227</v>
      </c>
      <c r="I501" s="2" t="s">
        <v>2421</v>
      </c>
      <c r="J501" s="2" t="s">
        <v>1412</v>
      </c>
      <c r="K501" s="2" t="s">
        <v>3228</v>
      </c>
      <c r="L501" s="3">
        <v>42.34</v>
      </c>
      <c r="M501" s="3">
        <v>44.46</v>
      </c>
      <c r="N501" s="3">
        <v>84.99</v>
      </c>
      <c r="O501" s="2" t="s">
        <v>240</v>
      </c>
      <c r="P501" s="2" t="s">
        <v>266</v>
      </c>
      <c r="Q501" s="2" t="s">
        <v>234</v>
      </c>
      <c r="R501" s="2" t="s">
        <v>228</v>
      </c>
      <c r="S501" s="2" t="s">
        <v>3229</v>
      </c>
      <c r="T501" s="2" t="s">
        <v>228</v>
      </c>
      <c r="U501" s="2" t="s">
        <v>416</v>
      </c>
      <c r="V501" s="2" t="s">
        <v>236</v>
      </c>
      <c r="W501" s="2" t="s">
        <v>269</v>
      </c>
      <c r="X501" s="2" t="s">
        <v>309</v>
      </c>
      <c r="Y501" s="2" t="s">
        <v>2336</v>
      </c>
      <c r="Z501" s="4">
        <v>529</v>
      </c>
      <c r="AA501" s="4">
        <f>=ROUNDDOWN(27.8421052631579,0)</f>
      </c>
      <c r="AB501" s="5">
        <v>19</v>
      </c>
      <c r="AC501" s="2" t="s">
        <v>171</v>
      </c>
      <c r="AD501" s="4">
        <v>500</v>
      </c>
      <c r="AE501" s="4">
        <v>1270</v>
      </c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228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/>
      <c r="BD501" s="8"/>
      <c r="BE501" s="4"/>
      <c r="BF501" s="8"/>
      <c r="BG501" s="7"/>
      <c r="BH501" s="7"/>
      <c r="BI501" s="7"/>
      <c r="BJ501" s="4">
        <v>78</v>
      </c>
      <c r="BK501" s="8">
        <v>3401.75</v>
      </c>
      <c r="BL501" s="2" t="s">
        <v>3230</v>
      </c>
      <c r="BM501" s="7"/>
      <c r="BN501" s="7"/>
      <c r="BO501" s="4"/>
      <c r="BP501" s="8"/>
      <c r="BQ501" s="4"/>
      <c r="BR501" s="8"/>
      <c r="BS501" s="7"/>
      <c r="BT501" s="7"/>
      <c r="BU501" s="2" t="s">
        <v>3231</v>
      </c>
      <c r="BV501" s="2" t="s">
        <v>228</v>
      </c>
      <c r="BW501" s="2" t="s">
        <v>228</v>
      </c>
      <c r="BX501" s="2" t="s">
        <v>273</v>
      </c>
      <c r="BY501" s="2" t="s">
        <v>274</v>
      </c>
      <c r="BZ501" s="2" t="s">
        <v>240</v>
      </c>
      <c r="CA501" s="2" t="s">
        <v>3232</v>
      </c>
      <c r="CB501" s="2" t="s">
        <v>3233</v>
      </c>
      <c r="CC501" s="2" t="s">
        <v>241</v>
      </c>
      <c r="CD501" s="2" t="s">
        <v>228</v>
      </c>
      <c r="CE501" s="4">
        <v>529</v>
      </c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>
        <v>500</v>
      </c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>
        <v>470</v>
      </c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>
        <v>300</v>
      </c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</row>
    <row r="502">
      <c r="A502" s="2" t="s">
        <v>3234</v>
      </c>
      <c r="B502" s="2" t="s">
        <v>958</v>
      </c>
      <c r="C502" s="2" t="s">
        <v>1743</v>
      </c>
      <c r="D502" s="2" t="s">
        <v>1564</v>
      </c>
      <c r="E502" s="2" t="s">
        <v>1565</v>
      </c>
      <c r="F502" s="2" t="s">
        <v>3235</v>
      </c>
      <c r="G502" s="2" t="s">
        <v>3235</v>
      </c>
      <c r="H502" s="2" t="s">
        <v>3235</v>
      </c>
      <c r="I502" s="2" t="s">
        <v>3236</v>
      </c>
      <c r="J502" s="2" t="s">
        <v>840</v>
      </c>
      <c r="K502" s="2" t="s">
        <v>231</v>
      </c>
      <c r="L502" s="3">
        <v>64.69</v>
      </c>
      <c r="M502" s="3">
        <v>67.92</v>
      </c>
      <c r="N502" s="3">
        <v>129.99</v>
      </c>
      <c r="O502" s="2" t="s">
        <v>461</v>
      </c>
      <c r="P502" s="2" t="s">
        <v>333</v>
      </c>
      <c r="Q502" s="2" t="s">
        <v>234</v>
      </c>
      <c r="R502" s="2" t="s">
        <v>228</v>
      </c>
      <c r="S502" s="2" t="s">
        <v>228</v>
      </c>
      <c r="T502" s="2" t="s">
        <v>228</v>
      </c>
      <c r="U502" s="2" t="s">
        <v>228</v>
      </c>
      <c r="V502" s="2" t="s">
        <v>842</v>
      </c>
      <c r="W502" s="2" t="s">
        <v>463</v>
      </c>
      <c r="X502" s="2" t="s">
        <v>228</v>
      </c>
      <c r="Y502" s="2" t="s">
        <v>3237</v>
      </c>
      <c r="Z502" s="4"/>
      <c r="AA502" s="4">
        <f>=ROUNDDOWN({0},0)</f>
      </c>
      <c r="AB502" s="5">
        <v>1</v>
      </c>
      <c r="AC502" s="2" t="s">
        <v>228</v>
      </c>
      <c r="AD502" s="4"/>
      <c r="AE502" s="4"/>
      <c r="AF502" s="6">
        <v>75</v>
      </c>
      <c r="AG502" s="6"/>
      <c r="AH502" s="7">
        <v>1</v>
      </c>
      <c r="AI502" s="4"/>
      <c r="AJ502" s="4">
        <f>=ROUNDDOWN({0},0)</f>
      </c>
      <c r="AK502" s="5"/>
      <c r="AL502" s="2" t="s">
        <v>228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/>
      <c r="BD502" s="8"/>
      <c r="BE502" s="4"/>
      <c r="BF502" s="8"/>
      <c r="BG502" s="7"/>
      <c r="BH502" s="7"/>
      <c r="BI502" s="7"/>
      <c r="BJ502" s="4">
        <v>15</v>
      </c>
      <c r="BK502" s="8">
        <v>502.72</v>
      </c>
      <c r="BL502" s="2" t="s">
        <v>3238</v>
      </c>
      <c r="BM502" s="7"/>
      <c r="BN502" s="7"/>
      <c r="BO502" s="4"/>
      <c r="BP502" s="8"/>
      <c r="BQ502" s="4"/>
      <c r="BR502" s="8"/>
      <c r="BS502" s="7"/>
      <c r="BT502" s="7"/>
      <c r="BU502" s="2" t="s">
        <v>3239</v>
      </c>
      <c r="BV502" s="2" t="s">
        <v>228</v>
      </c>
      <c r="BW502" s="2" t="s">
        <v>228</v>
      </c>
      <c r="BX502" s="2" t="s">
        <v>337</v>
      </c>
      <c r="BY502" s="2" t="s">
        <v>274</v>
      </c>
      <c r="BZ502" s="2" t="s">
        <v>240</v>
      </c>
      <c r="CA502" s="2" t="s">
        <v>3240</v>
      </c>
      <c r="CB502" s="2" t="s">
        <v>3241</v>
      </c>
      <c r="CC502" s="2" t="s">
        <v>241</v>
      </c>
      <c r="CD502" s="2" t="s">
        <v>228</v>
      </c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</row>
    <row r="503">
      <c r="A503" s="2" t="s">
        <v>3242</v>
      </c>
      <c r="B503" s="2" t="s">
        <v>299</v>
      </c>
      <c r="C503" s="2" t="s">
        <v>849</v>
      </c>
      <c r="D503" s="2" t="s">
        <v>301</v>
      </c>
      <c r="E503" s="2" t="s">
        <v>302</v>
      </c>
      <c r="F503" s="2" t="s">
        <v>3243</v>
      </c>
      <c r="G503" s="2" t="s">
        <v>3243</v>
      </c>
      <c r="H503" s="2" t="s">
        <v>3243</v>
      </c>
      <c r="I503" s="2" t="s">
        <v>3244</v>
      </c>
      <c r="J503" s="2" t="s">
        <v>264</v>
      </c>
      <c r="K503" s="2" t="s">
        <v>978</v>
      </c>
      <c r="L503" s="3">
        <v>12.96</v>
      </c>
      <c r="M503" s="3">
        <v>13.61</v>
      </c>
      <c r="N503" s="3">
        <v>26.99</v>
      </c>
      <c r="O503" s="2" t="s">
        <v>491</v>
      </c>
      <c r="P503" s="2" t="s">
        <v>333</v>
      </c>
      <c r="Q503" s="2" t="s">
        <v>234</v>
      </c>
      <c r="R503" s="2" t="s">
        <v>228</v>
      </c>
      <c r="S503" s="2" t="s">
        <v>3245</v>
      </c>
      <c r="T503" s="2" t="s">
        <v>415</v>
      </c>
      <c r="U503" s="2" t="s">
        <v>228</v>
      </c>
      <c r="V503" s="2" t="s">
        <v>980</v>
      </c>
      <c r="W503" s="2" t="s">
        <v>269</v>
      </c>
      <c r="X503" s="2" t="s">
        <v>228</v>
      </c>
      <c r="Y503" s="2" t="s">
        <v>270</v>
      </c>
      <c r="Z503" s="4">
        <v>228</v>
      </c>
      <c r="AA503" s="4">
        <f>=ROUNDDOWN(126.666666666667,0)</f>
      </c>
      <c r="AB503" s="5">
        <v>1.8</v>
      </c>
      <c r="AC503" s="2" t="s">
        <v>228</v>
      </c>
      <c r="AD503" s="4"/>
      <c r="AE503" s="4"/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228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 t="s">
        <v>228</v>
      </c>
      <c r="BD503" s="8" t="s">
        <v>228</v>
      </c>
      <c r="BE503" s="4" t="s">
        <v>228</v>
      </c>
      <c r="BF503" s="8" t="s">
        <v>228</v>
      </c>
      <c r="BG503" s="7" t="s">
        <v>228</v>
      </c>
      <c r="BH503" s="7" t="s">
        <v>228</v>
      </c>
      <c r="BI503" s="7"/>
      <c r="BJ503" s="4">
        <v>13</v>
      </c>
      <c r="BK503" s="8">
        <v>128.06</v>
      </c>
      <c r="BL503" s="2" t="s">
        <v>3246</v>
      </c>
      <c r="BM503" s="7"/>
      <c r="BN503" s="7"/>
      <c r="BO503" s="4"/>
      <c r="BP503" s="8"/>
      <c r="BQ503" s="4"/>
      <c r="BR503" s="8"/>
      <c r="BS503" s="7"/>
      <c r="BT503" s="7"/>
      <c r="BU503" s="2" t="s">
        <v>3247</v>
      </c>
      <c r="BV503" s="2" t="s">
        <v>228</v>
      </c>
      <c r="BW503" s="2" t="s">
        <v>228</v>
      </c>
      <c r="BX503" s="2" t="s">
        <v>337</v>
      </c>
      <c r="BY503" s="2" t="s">
        <v>274</v>
      </c>
      <c r="BZ503" s="2" t="s">
        <v>240</v>
      </c>
      <c r="CA503" s="2" t="s">
        <v>275</v>
      </c>
      <c r="CB503" s="2" t="s">
        <v>3248</v>
      </c>
      <c r="CC503" s="2" t="s">
        <v>241</v>
      </c>
      <c r="CD503" s="2" t="s">
        <v>228</v>
      </c>
      <c r="CE503" s="4">
        <v>228</v>
      </c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</row>
    <row r="504">
      <c r="A504" s="2" t="s">
        <v>3249</v>
      </c>
      <c r="B504" s="2" t="s">
        <v>299</v>
      </c>
      <c r="C504" s="2" t="s">
        <v>849</v>
      </c>
      <c r="D504" s="2" t="s">
        <v>301</v>
      </c>
      <c r="E504" s="2" t="s">
        <v>302</v>
      </c>
      <c r="F504" s="2" t="s">
        <v>3243</v>
      </c>
      <c r="G504" s="2" t="s">
        <v>3243</v>
      </c>
      <c r="H504" s="2" t="s">
        <v>3243</v>
      </c>
      <c r="I504" s="2" t="s">
        <v>3244</v>
      </c>
      <c r="J504" s="2" t="s">
        <v>264</v>
      </c>
      <c r="K504" s="2" t="s">
        <v>249</v>
      </c>
      <c r="L504" s="3">
        <v>12.96</v>
      </c>
      <c r="M504" s="3">
        <v>13.61</v>
      </c>
      <c r="N504" s="3">
        <v>26.99</v>
      </c>
      <c r="O504" s="2" t="s">
        <v>491</v>
      </c>
      <c r="P504" s="2" t="s">
        <v>333</v>
      </c>
      <c r="Q504" s="2" t="s">
        <v>234</v>
      </c>
      <c r="R504" s="2" t="s">
        <v>228</v>
      </c>
      <c r="S504" s="2" t="s">
        <v>3250</v>
      </c>
      <c r="T504" s="2" t="s">
        <v>415</v>
      </c>
      <c r="U504" s="2" t="s">
        <v>228</v>
      </c>
      <c r="V504" s="2" t="s">
        <v>980</v>
      </c>
      <c r="W504" s="2" t="s">
        <v>269</v>
      </c>
      <c r="X504" s="2" t="s">
        <v>228</v>
      </c>
      <c r="Y504" s="2" t="s">
        <v>270</v>
      </c>
      <c r="Z504" s="4">
        <v>256</v>
      </c>
      <c r="AA504" s="4">
        <f>=ROUNDDOWN(365.714285714286,0)</f>
      </c>
      <c r="AB504" s="5">
        <v>0.7</v>
      </c>
      <c r="AC504" s="2" t="s">
        <v>228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228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 t="s">
        <v>228</v>
      </c>
      <c r="BD504" s="8" t="s">
        <v>228</v>
      </c>
      <c r="BE504" s="4" t="s">
        <v>228</v>
      </c>
      <c r="BF504" s="8" t="s">
        <v>228</v>
      </c>
      <c r="BG504" s="7" t="s">
        <v>228</v>
      </c>
      <c r="BH504" s="7" t="s">
        <v>228</v>
      </c>
      <c r="BI504" s="7"/>
      <c r="BJ504" s="4">
        <v>4</v>
      </c>
      <c r="BK504" s="8">
        <v>46.77</v>
      </c>
      <c r="BL504" s="2" t="s">
        <v>3251</v>
      </c>
      <c r="BM504" s="7"/>
      <c r="BN504" s="7"/>
      <c r="BO504" s="4"/>
      <c r="BP504" s="8"/>
      <c r="BQ504" s="4"/>
      <c r="BR504" s="8"/>
      <c r="BS504" s="7"/>
      <c r="BT504" s="7"/>
      <c r="BU504" s="2" t="s">
        <v>3252</v>
      </c>
      <c r="BV504" s="2" t="s">
        <v>228</v>
      </c>
      <c r="BW504" s="2" t="s">
        <v>228</v>
      </c>
      <c r="BX504" s="2" t="s">
        <v>337</v>
      </c>
      <c r="BY504" s="2" t="s">
        <v>274</v>
      </c>
      <c r="BZ504" s="2" t="s">
        <v>240</v>
      </c>
      <c r="CA504" s="2" t="s">
        <v>275</v>
      </c>
      <c r="CB504" s="2" t="s">
        <v>3253</v>
      </c>
      <c r="CC504" s="2" t="s">
        <v>241</v>
      </c>
      <c r="CD504" s="2" t="s">
        <v>228</v>
      </c>
      <c r="CE504" s="4">
        <v>256</v>
      </c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</row>
    <row r="505">
      <c r="A505" s="2" t="s">
        <v>3254</v>
      </c>
      <c r="B505" s="2" t="s">
        <v>299</v>
      </c>
      <c r="C505" s="2" t="s">
        <v>849</v>
      </c>
      <c r="D505" s="2" t="s">
        <v>301</v>
      </c>
      <c r="E505" s="2" t="s">
        <v>302</v>
      </c>
      <c r="F505" s="2" t="s">
        <v>3243</v>
      </c>
      <c r="G505" s="2" t="s">
        <v>3243</v>
      </c>
      <c r="H505" s="2" t="s">
        <v>3243</v>
      </c>
      <c r="I505" s="2" t="s">
        <v>3244</v>
      </c>
      <c r="J505" s="2" t="s">
        <v>264</v>
      </c>
      <c r="K505" s="2" t="s">
        <v>1077</v>
      </c>
      <c r="L505" s="3">
        <v>12.96</v>
      </c>
      <c r="M505" s="3">
        <v>13.61</v>
      </c>
      <c r="N505" s="3">
        <v>26.99</v>
      </c>
      <c r="O505" s="2" t="s">
        <v>491</v>
      </c>
      <c r="P505" s="2" t="s">
        <v>333</v>
      </c>
      <c r="Q505" s="2" t="s">
        <v>234</v>
      </c>
      <c r="R505" s="2" t="s">
        <v>228</v>
      </c>
      <c r="S505" s="2" t="s">
        <v>3255</v>
      </c>
      <c r="T505" s="2" t="s">
        <v>415</v>
      </c>
      <c r="U505" s="2" t="s">
        <v>228</v>
      </c>
      <c r="V505" s="2" t="s">
        <v>980</v>
      </c>
      <c r="W505" s="2" t="s">
        <v>269</v>
      </c>
      <c r="X505" s="2" t="s">
        <v>228</v>
      </c>
      <c r="Y505" s="2" t="s">
        <v>270</v>
      </c>
      <c r="Z505" s="4">
        <v>400</v>
      </c>
      <c r="AA505" s="4">
        <f>=ROUNDDOWN(266.666666666667,0)</f>
      </c>
      <c r="AB505" s="5">
        <v>1.5</v>
      </c>
      <c r="AC505" s="2" t="s">
        <v>228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228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 t="s">
        <v>228</v>
      </c>
      <c r="BD505" s="8" t="s">
        <v>228</v>
      </c>
      <c r="BE505" s="4" t="s">
        <v>228</v>
      </c>
      <c r="BF505" s="8" t="s">
        <v>228</v>
      </c>
      <c r="BG505" s="7" t="s">
        <v>228</v>
      </c>
      <c r="BH505" s="7" t="s">
        <v>228</v>
      </c>
      <c r="BI505" s="7"/>
      <c r="BJ505" s="4">
        <v>10</v>
      </c>
      <c r="BK505" s="8">
        <v>110.68</v>
      </c>
      <c r="BL505" s="2" t="s">
        <v>3256</v>
      </c>
      <c r="BM505" s="7"/>
      <c r="BN505" s="7"/>
      <c r="BO505" s="4"/>
      <c r="BP505" s="8"/>
      <c r="BQ505" s="4"/>
      <c r="BR505" s="8"/>
      <c r="BS505" s="7"/>
      <c r="BT505" s="7"/>
      <c r="BU505" s="2" t="s">
        <v>3257</v>
      </c>
      <c r="BV505" s="2" t="s">
        <v>228</v>
      </c>
      <c r="BW505" s="2" t="s">
        <v>228</v>
      </c>
      <c r="BX505" s="2" t="s">
        <v>337</v>
      </c>
      <c r="BY505" s="2" t="s">
        <v>274</v>
      </c>
      <c r="BZ505" s="2" t="s">
        <v>240</v>
      </c>
      <c r="CA505" s="2" t="s">
        <v>275</v>
      </c>
      <c r="CB505" s="2" t="s">
        <v>3253</v>
      </c>
      <c r="CC505" s="2" t="s">
        <v>241</v>
      </c>
      <c r="CD505" s="2" t="s">
        <v>228</v>
      </c>
      <c r="CE505" s="4">
        <v>400</v>
      </c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</row>
    <row r="506">
      <c r="A506" s="2" t="s">
        <v>3258</v>
      </c>
      <c r="B506" s="2" t="s">
        <v>834</v>
      </c>
      <c r="C506" s="2" t="s">
        <v>1743</v>
      </c>
      <c r="D506" s="2" t="s">
        <v>1101</v>
      </c>
      <c r="E506" s="2" t="s">
        <v>1102</v>
      </c>
      <c r="F506" s="2" t="s">
        <v>3259</v>
      </c>
      <c r="G506" s="2" t="s">
        <v>3259</v>
      </c>
      <c r="H506" s="2" t="s">
        <v>3259</v>
      </c>
      <c r="I506" s="2" t="s">
        <v>3260</v>
      </c>
      <c r="J506" s="2" t="s">
        <v>840</v>
      </c>
      <c r="K506" s="2" t="s">
        <v>912</v>
      </c>
      <c r="L506" s="3">
        <v>24.8</v>
      </c>
      <c r="M506" s="3">
        <v>26.04</v>
      </c>
      <c r="N506" s="3">
        <v>49.99</v>
      </c>
      <c r="O506" s="2" t="s">
        <v>240</v>
      </c>
      <c r="P506" s="2" t="s">
        <v>233</v>
      </c>
      <c r="Q506" s="2" t="s">
        <v>234</v>
      </c>
      <c r="R506" s="2" t="s">
        <v>228</v>
      </c>
      <c r="S506" s="2" t="s">
        <v>228</v>
      </c>
      <c r="T506" s="2" t="s">
        <v>228</v>
      </c>
      <c r="U506" s="2" t="s">
        <v>416</v>
      </c>
      <c r="V506" s="2" t="s">
        <v>842</v>
      </c>
      <c r="W506" s="2" t="s">
        <v>463</v>
      </c>
      <c r="X506" s="2" t="s">
        <v>269</v>
      </c>
      <c r="Y506" s="2" t="s">
        <v>2162</v>
      </c>
      <c r="Z506" s="4">
        <v>78</v>
      </c>
      <c r="AA506" s="4">
        <f>=ROUNDDOWN(26,0)</f>
      </c>
      <c r="AB506" s="5">
        <v>3</v>
      </c>
      <c r="AC506" s="2" t="s">
        <v>228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228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/>
      <c r="BD506" s="8"/>
      <c r="BE506" s="4"/>
      <c r="BF506" s="8"/>
      <c r="BG506" s="7"/>
      <c r="BH506" s="7"/>
      <c r="BI506" s="7"/>
      <c r="BJ506" s="4">
        <v>13</v>
      </c>
      <c r="BK506" s="8">
        <v>358.68</v>
      </c>
      <c r="BL506" s="2" t="s">
        <v>3261</v>
      </c>
      <c r="BM506" s="7"/>
      <c r="BN506" s="7"/>
      <c r="BO506" s="4"/>
      <c r="BP506" s="8"/>
      <c r="BQ506" s="4"/>
      <c r="BR506" s="8"/>
      <c r="BS506" s="7"/>
      <c r="BT506" s="7"/>
      <c r="BU506" s="2" t="s">
        <v>3262</v>
      </c>
      <c r="BV506" s="2" t="s">
        <v>228</v>
      </c>
      <c r="BW506" s="2" t="s">
        <v>228</v>
      </c>
      <c r="BX506" s="2" t="s">
        <v>238</v>
      </c>
      <c r="BY506" s="2" t="s">
        <v>274</v>
      </c>
      <c r="BZ506" s="2" t="s">
        <v>240</v>
      </c>
      <c r="CA506" s="2" t="s">
        <v>228</v>
      </c>
      <c r="CB506" s="2" t="s">
        <v>228</v>
      </c>
      <c r="CC506" s="2" t="s">
        <v>241</v>
      </c>
      <c r="CD506" s="2" t="s">
        <v>228</v>
      </c>
      <c r="CE506" s="4"/>
      <c r="CF506" s="4">
        <v>78</v>
      </c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</row>
    <row r="507">
      <c r="A507" s="2" t="s">
        <v>3263</v>
      </c>
      <c r="B507" s="2" t="s">
        <v>958</v>
      </c>
      <c r="C507" s="2" t="s">
        <v>300</v>
      </c>
      <c r="D507" s="2" t="s">
        <v>1006</v>
      </c>
      <c r="E507" s="2" t="s">
        <v>1007</v>
      </c>
      <c r="F507" s="2" t="s">
        <v>3264</v>
      </c>
      <c r="G507" s="2" t="s">
        <v>3265</v>
      </c>
      <c r="H507" s="2" t="s">
        <v>3266</v>
      </c>
      <c r="I507" s="2" t="s">
        <v>3267</v>
      </c>
      <c r="J507" s="2" t="s">
        <v>840</v>
      </c>
      <c r="K507" s="2" t="s">
        <v>249</v>
      </c>
      <c r="L507" s="3">
        <v>262.5</v>
      </c>
      <c r="M507" s="3">
        <v>275.63</v>
      </c>
      <c r="N507" s="3">
        <v>549</v>
      </c>
      <c r="O507" s="2" t="s">
        <v>461</v>
      </c>
      <c r="P507" s="2" t="s">
        <v>333</v>
      </c>
      <c r="Q507" s="2" t="s">
        <v>234</v>
      </c>
      <c r="R507" s="2" t="s">
        <v>228</v>
      </c>
      <c r="S507" s="2" t="s">
        <v>228</v>
      </c>
      <c r="T507" s="2" t="s">
        <v>228</v>
      </c>
      <c r="U507" s="2" t="s">
        <v>228</v>
      </c>
      <c r="V507" s="2" t="s">
        <v>842</v>
      </c>
      <c r="W507" s="2" t="s">
        <v>463</v>
      </c>
      <c r="X507" s="2" t="s">
        <v>417</v>
      </c>
      <c r="Y507" s="2" t="s">
        <v>3268</v>
      </c>
      <c r="Z507" s="4">
        <v>47</v>
      </c>
      <c r="AA507" s="4">
        <f>=ROUNDDOWN(470,0)</f>
      </c>
      <c r="AB507" s="5">
        <v>0.1</v>
      </c>
      <c r="AC507" s="2" t="s">
        <v>228</v>
      </c>
      <c r="AD507" s="4"/>
      <c r="AE507" s="4"/>
      <c r="AF507" s="6">
        <v>74</v>
      </c>
      <c r="AG507" s="6"/>
      <c r="AH507" s="7">
        <v>1</v>
      </c>
      <c r="AI507" s="4"/>
      <c r="AJ507" s="4">
        <f>=ROUNDDOWN({0},0)</f>
      </c>
      <c r="AK507" s="5"/>
      <c r="AL507" s="2" t="s">
        <v>228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/>
      <c r="BD507" s="8"/>
      <c r="BE507" s="4"/>
      <c r="BF507" s="8"/>
      <c r="BG507" s="7"/>
      <c r="BH507" s="7"/>
      <c r="BI507" s="7"/>
      <c r="BJ507" s="4">
        <v>1</v>
      </c>
      <c r="BK507" s="8">
        <v>141.95</v>
      </c>
      <c r="BL507" s="2" t="s">
        <v>1933</v>
      </c>
      <c r="BM507" s="7"/>
      <c r="BN507" s="7"/>
      <c r="BO507" s="4"/>
      <c r="BP507" s="8"/>
      <c r="BQ507" s="4"/>
      <c r="BR507" s="8"/>
      <c r="BS507" s="7"/>
      <c r="BT507" s="7"/>
      <c r="BU507" s="2" t="s">
        <v>3269</v>
      </c>
      <c r="BV507" s="2" t="s">
        <v>228</v>
      </c>
      <c r="BW507" s="2" t="s">
        <v>228</v>
      </c>
      <c r="BX507" s="2" t="s">
        <v>337</v>
      </c>
      <c r="BY507" s="2" t="s">
        <v>274</v>
      </c>
      <c r="BZ507" s="2" t="s">
        <v>240</v>
      </c>
      <c r="CA507" s="2" t="s">
        <v>1035</v>
      </c>
      <c r="CB507" s="2" t="s">
        <v>2538</v>
      </c>
      <c r="CC507" s="2" t="s">
        <v>241</v>
      </c>
      <c r="CD507" s="2" t="s">
        <v>228</v>
      </c>
      <c r="CE507" s="4"/>
      <c r="CF507" s="4">
        <v>47</v>
      </c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</row>
    <row r="508">
      <c r="A508" s="2" t="s">
        <v>3270</v>
      </c>
      <c r="B508" s="2" t="s">
        <v>958</v>
      </c>
      <c r="C508" s="2" t="s">
        <v>300</v>
      </c>
      <c r="D508" s="2" t="s">
        <v>3271</v>
      </c>
      <c r="E508" s="2" t="s">
        <v>3272</v>
      </c>
      <c r="F508" s="2" t="s">
        <v>3273</v>
      </c>
      <c r="G508" s="2" t="s">
        <v>2407</v>
      </c>
      <c r="H508" s="2" t="s">
        <v>3274</v>
      </c>
      <c r="I508" s="2" t="s">
        <v>3275</v>
      </c>
      <c r="J508" s="2" t="s">
        <v>840</v>
      </c>
      <c r="K508" s="2" t="s">
        <v>249</v>
      </c>
      <c r="L508" s="3">
        <v>114</v>
      </c>
      <c r="M508" s="3">
        <v>119.7</v>
      </c>
      <c r="N508" s="3">
        <v>239</v>
      </c>
      <c r="O508" s="2" t="s">
        <v>461</v>
      </c>
      <c r="P508" s="2" t="s">
        <v>333</v>
      </c>
      <c r="Q508" s="2" t="s">
        <v>234</v>
      </c>
      <c r="R508" s="2" t="s">
        <v>228</v>
      </c>
      <c r="S508" s="2" t="s">
        <v>3276</v>
      </c>
      <c r="T508" s="2" t="s">
        <v>228</v>
      </c>
      <c r="U508" s="2" t="s">
        <v>228</v>
      </c>
      <c r="V508" s="2" t="s">
        <v>236</v>
      </c>
      <c r="W508" s="2" t="s">
        <v>3057</v>
      </c>
      <c r="X508" s="2" t="s">
        <v>228</v>
      </c>
      <c r="Y508" s="2" t="s">
        <v>270</v>
      </c>
      <c r="Z508" s="4"/>
      <c r="AA508" s="4">
        <f>=ROUNDDOWN({0},0)</f>
      </c>
      <c r="AB508" s="5">
        <v>1.7</v>
      </c>
      <c r="AC508" s="2" t="s">
        <v>228</v>
      </c>
      <c r="AD508" s="4"/>
      <c r="AE508" s="4"/>
      <c r="AF508" s="6">
        <v>65</v>
      </c>
      <c r="AG508" s="6">
        <v>48</v>
      </c>
      <c r="AH508" s="7">
        <v>0.6774</v>
      </c>
      <c r="AI508" s="4"/>
      <c r="AJ508" s="4">
        <f>=ROUNDDOWN({0},0)</f>
      </c>
      <c r="AK508" s="5"/>
      <c r="AL508" s="2" t="s">
        <v>228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228</v>
      </c>
      <c r="AW508" s="8" t="s">
        <v>228</v>
      </c>
      <c r="AX508" s="4" t="s">
        <v>228</v>
      </c>
      <c r="AY508" s="8" t="s">
        <v>228</v>
      </c>
      <c r="AZ508" s="7" t="s">
        <v>228</v>
      </c>
      <c r="BA508" s="7" t="s">
        <v>228</v>
      </c>
      <c r="BB508" s="7" t="s">
        <v>228</v>
      </c>
      <c r="BC508" s="4" t="s">
        <v>228</v>
      </c>
      <c r="BD508" s="8" t="s">
        <v>228</v>
      </c>
      <c r="BE508" s="4" t="s">
        <v>228</v>
      </c>
      <c r="BF508" s="8" t="s">
        <v>228</v>
      </c>
      <c r="BG508" s="7" t="s">
        <v>228</v>
      </c>
      <c r="BH508" s="7" t="s">
        <v>228</v>
      </c>
      <c r="BI508" s="7"/>
      <c r="BJ508" s="4">
        <v>1</v>
      </c>
      <c r="BK508" s="8">
        <v>49.96</v>
      </c>
      <c r="BL508" s="2" t="s">
        <v>3277</v>
      </c>
      <c r="BM508" s="7"/>
      <c r="BN508" s="7"/>
      <c r="BO508" s="4"/>
      <c r="BP508" s="8"/>
      <c r="BQ508" s="4"/>
      <c r="BR508" s="8"/>
      <c r="BS508" s="7"/>
      <c r="BT508" s="7"/>
      <c r="BU508" s="2" t="s">
        <v>3278</v>
      </c>
      <c r="BV508" s="2" t="s">
        <v>228</v>
      </c>
      <c r="BW508" s="2" t="s">
        <v>228</v>
      </c>
      <c r="BX508" s="2" t="s">
        <v>337</v>
      </c>
      <c r="BY508" s="2" t="s">
        <v>274</v>
      </c>
      <c r="BZ508" s="2" t="s">
        <v>240</v>
      </c>
      <c r="CA508" s="2" t="s">
        <v>275</v>
      </c>
      <c r="CB508" s="2" t="s">
        <v>1365</v>
      </c>
      <c r="CC508" s="2" t="s">
        <v>241</v>
      </c>
      <c r="CD508" s="2" t="s">
        <v>228</v>
      </c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</row>
    <row r="509">
      <c r="A509" s="2" t="s">
        <v>3279</v>
      </c>
      <c r="B509" s="2" t="s">
        <v>958</v>
      </c>
      <c r="C509" s="2" t="s">
        <v>300</v>
      </c>
      <c r="D509" s="2" t="s">
        <v>987</v>
      </c>
      <c r="E509" s="2" t="s">
        <v>988</v>
      </c>
      <c r="F509" s="2" t="s">
        <v>3273</v>
      </c>
      <c r="G509" s="2" t="s">
        <v>2407</v>
      </c>
      <c r="H509" s="2" t="s">
        <v>3274</v>
      </c>
      <c r="I509" s="2" t="s">
        <v>988</v>
      </c>
      <c r="J509" s="2" t="s">
        <v>840</v>
      </c>
      <c r="K509" s="2" t="s">
        <v>249</v>
      </c>
      <c r="L509" s="3">
        <v>320.51</v>
      </c>
      <c r="M509" s="3">
        <v>336.54</v>
      </c>
      <c r="N509" s="3">
        <v>669</v>
      </c>
      <c r="O509" s="2" t="s">
        <v>491</v>
      </c>
      <c r="P509" s="2" t="s">
        <v>333</v>
      </c>
      <c r="Q509" s="2" t="s">
        <v>234</v>
      </c>
      <c r="R509" s="2" t="s">
        <v>228</v>
      </c>
      <c r="S509" s="2" t="s">
        <v>3280</v>
      </c>
      <c r="T509" s="2" t="s">
        <v>228</v>
      </c>
      <c r="U509" s="2" t="s">
        <v>416</v>
      </c>
      <c r="V509" s="2" t="s">
        <v>236</v>
      </c>
      <c r="W509" s="2" t="s">
        <v>3057</v>
      </c>
      <c r="X509" s="2" t="s">
        <v>228</v>
      </c>
      <c r="Y509" s="2" t="s">
        <v>270</v>
      </c>
      <c r="Z509" s="4">
        <v>320</v>
      </c>
      <c r="AA509" s="4">
        <f>=ROUNDDOWN(213.333333333333,0)</f>
      </c>
      <c r="AB509" s="5">
        <v>1.5</v>
      </c>
      <c r="AC509" s="2" t="s">
        <v>228</v>
      </c>
      <c r="AD509" s="4"/>
      <c r="AE509" s="4"/>
      <c r="AF509" s="6">
        <v>65</v>
      </c>
      <c r="AG509" s="6">
        <v>48</v>
      </c>
      <c r="AH509" s="7">
        <v>1</v>
      </c>
      <c r="AI509" s="4"/>
      <c r="AJ509" s="4">
        <f>=ROUNDDOWN({0},0)</f>
      </c>
      <c r="AK509" s="5"/>
      <c r="AL509" s="2" t="s">
        <v>228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228</v>
      </c>
      <c r="AW509" s="8" t="s">
        <v>228</v>
      </c>
      <c r="AX509" s="4" t="s">
        <v>228</v>
      </c>
      <c r="AY509" s="8" t="s">
        <v>228</v>
      </c>
      <c r="AZ509" s="7" t="s">
        <v>228</v>
      </c>
      <c r="BA509" s="7" t="s">
        <v>228</v>
      </c>
      <c r="BB509" s="7" t="s">
        <v>228</v>
      </c>
      <c r="BC509" s="4" t="s">
        <v>228</v>
      </c>
      <c r="BD509" s="8" t="s">
        <v>228</v>
      </c>
      <c r="BE509" s="4" t="s">
        <v>228</v>
      </c>
      <c r="BF509" s="8" t="s">
        <v>228</v>
      </c>
      <c r="BG509" s="7" t="s">
        <v>228</v>
      </c>
      <c r="BH509" s="7" t="s">
        <v>228</v>
      </c>
      <c r="BI509" s="7"/>
      <c r="BJ509" s="4">
        <v>9</v>
      </c>
      <c r="BK509" s="8">
        <v>2735.51</v>
      </c>
      <c r="BL509" s="2" t="s">
        <v>3281</v>
      </c>
      <c r="BM509" s="7"/>
      <c r="BN509" s="7"/>
      <c r="BO509" s="4"/>
      <c r="BP509" s="8"/>
      <c r="BQ509" s="4"/>
      <c r="BR509" s="8"/>
      <c r="BS509" s="7"/>
      <c r="BT509" s="7"/>
      <c r="BU509" s="2" t="s">
        <v>3282</v>
      </c>
      <c r="BV509" s="2" t="s">
        <v>228</v>
      </c>
      <c r="BW509" s="2" t="s">
        <v>228</v>
      </c>
      <c r="BX509" s="2" t="s">
        <v>337</v>
      </c>
      <c r="BY509" s="2" t="s">
        <v>274</v>
      </c>
      <c r="BZ509" s="2" t="s">
        <v>240</v>
      </c>
      <c r="CA509" s="2" t="s">
        <v>2655</v>
      </c>
      <c r="CB509" s="2" t="s">
        <v>3283</v>
      </c>
      <c r="CC509" s="2" t="s">
        <v>241</v>
      </c>
      <c r="CD509" s="2" t="s">
        <v>228</v>
      </c>
      <c r="CE509" s="4"/>
      <c r="CF509" s="4">
        <v>280</v>
      </c>
      <c r="CG509" s="4"/>
      <c r="CH509" s="4">
        <v>40</v>
      </c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</row>
    <row r="510">
      <c r="A510" s="2" t="s">
        <v>3284</v>
      </c>
      <c r="B510" s="2" t="s">
        <v>958</v>
      </c>
      <c r="C510" s="2" t="s">
        <v>835</v>
      </c>
      <c r="D510" s="2" t="s">
        <v>1257</v>
      </c>
      <c r="E510" s="2" t="s">
        <v>2091</v>
      </c>
      <c r="F510" s="2" t="s">
        <v>3285</v>
      </c>
      <c r="G510" s="2" t="s">
        <v>3285</v>
      </c>
      <c r="H510" s="2" t="s">
        <v>3285</v>
      </c>
      <c r="I510" s="2" t="s">
        <v>3286</v>
      </c>
      <c r="J510" s="2" t="s">
        <v>289</v>
      </c>
      <c r="K510" s="2" t="s">
        <v>3287</v>
      </c>
      <c r="L510" s="3">
        <v>552</v>
      </c>
      <c r="M510" s="3">
        <v>579.6</v>
      </c>
      <c r="N510" s="3">
        <v>1149</v>
      </c>
      <c r="O510" s="2" t="s">
        <v>240</v>
      </c>
      <c r="P510" s="2" t="s">
        <v>233</v>
      </c>
      <c r="Q510" s="2" t="s">
        <v>234</v>
      </c>
      <c r="R510" s="2" t="s">
        <v>228</v>
      </c>
      <c r="S510" s="2" t="s">
        <v>228</v>
      </c>
      <c r="T510" s="2" t="s">
        <v>228</v>
      </c>
      <c r="U510" s="2" t="s">
        <v>416</v>
      </c>
      <c r="V510" s="2" t="s">
        <v>236</v>
      </c>
      <c r="W510" s="2" t="s">
        <v>417</v>
      </c>
      <c r="X510" s="2" t="s">
        <v>269</v>
      </c>
      <c r="Y510" s="2" t="s">
        <v>913</v>
      </c>
      <c r="Z510" s="4">
        <v>142</v>
      </c>
      <c r="AA510" s="4">
        <f>=ROUNDDOWN({0},0)</f>
      </c>
      <c r="AB510" s="5"/>
      <c r="AC510" s="2" t="s">
        <v>228</v>
      </c>
      <c r="AD510" s="4"/>
      <c r="AE510" s="4"/>
      <c r="AF510" s="6">
        <v>74</v>
      </c>
      <c r="AG510" s="6"/>
      <c r="AH510" s="7">
        <v>1</v>
      </c>
      <c r="AI510" s="4"/>
      <c r="AJ510" s="4">
        <f>=ROUNDDOWN({0},0)</f>
      </c>
      <c r="AK510" s="5"/>
      <c r="AL510" s="2" t="s">
        <v>228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/>
      <c r="BD510" s="8"/>
      <c r="BE510" s="4"/>
      <c r="BF510" s="8"/>
      <c r="BG510" s="7"/>
      <c r="BH510" s="7"/>
      <c r="BI510" s="7"/>
      <c r="BJ510" s="4"/>
      <c r="BK510" s="8"/>
      <c r="BL510" s="2" t="s">
        <v>228</v>
      </c>
      <c r="BM510" s="7"/>
      <c r="BN510" s="7"/>
      <c r="BO510" s="4"/>
      <c r="BP510" s="8"/>
      <c r="BQ510" s="4"/>
      <c r="BR510" s="8"/>
      <c r="BS510" s="7"/>
      <c r="BT510" s="7"/>
      <c r="BU510" s="2" t="s">
        <v>3288</v>
      </c>
      <c r="BV510" s="2" t="s">
        <v>228</v>
      </c>
      <c r="BW510" s="2" t="s">
        <v>228</v>
      </c>
      <c r="BX510" s="2" t="s">
        <v>238</v>
      </c>
      <c r="BY510" s="2" t="s">
        <v>274</v>
      </c>
      <c r="BZ510" s="2" t="s">
        <v>240</v>
      </c>
      <c r="CA510" s="2" t="s">
        <v>916</v>
      </c>
      <c r="CB510" s="2" t="s">
        <v>228</v>
      </c>
      <c r="CC510" s="2" t="s">
        <v>241</v>
      </c>
      <c r="CD510" s="2" t="s">
        <v>228</v>
      </c>
      <c r="CE510" s="4"/>
      <c r="CF510" s="4">
        <v>142</v>
      </c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</row>
    <row r="511">
      <c r="A511" s="2" t="s">
        <v>3289</v>
      </c>
      <c r="B511" s="2" t="s">
        <v>1150</v>
      </c>
      <c r="C511" s="2" t="s">
        <v>1861</v>
      </c>
      <c r="D511" s="2" t="s">
        <v>3290</v>
      </c>
      <c r="E511" s="2" t="s">
        <v>3291</v>
      </c>
      <c r="F511" s="2" t="s">
        <v>3292</v>
      </c>
      <c r="G511" s="2" t="s">
        <v>3292</v>
      </c>
      <c r="H511" s="2" t="s">
        <v>3292</v>
      </c>
      <c r="I511" s="2" t="s">
        <v>3293</v>
      </c>
      <c r="J511" s="2" t="s">
        <v>2601</v>
      </c>
      <c r="K511" s="2" t="s">
        <v>1421</v>
      </c>
      <c r="L511" s="3">
        <v>24.76</v>
      </c>
      <c r="M511" s="3">
        <v>26</v>
      </c>
      <c r="N511" s="3">
        <v>79.99</v>
      </c>
      <c r="O511" s="2" t="s">
        <v>240</v>
      </c>
      <c r="P511" s="2" t="s">
        <v>922</v>
      </c>
      <c r="Q511" s="2" t="s">
        <v>234</v>
      </c>
      <c r="R511" s="2" t="s">
        <v>228</v>
      </c>
      <c r="S511" s="2" t="s">
        <v>228</v>
      </c>
      <c r="T511" s="2" t="s">
        <v>228</v>
      </c>
      <c r="U511" s="2" t="s">
        <v>416</v>
      </c>
      <c r="V511" s="2" t="s">
        <v>980</v>
      </c>
      <c r="W511" s="2" t="s">
        <v>743</v>
      </c>
      <c r="X511" s="2" t="s">
        <v>228</v>
      </c>
      <c r="Y511" s="2" t="s">
        <v>1871</v>
      </c>
      <c r="Z511" s="4">
        <v>171</v>
      </c>
      <c r="AA511" s="4">
        <f>=ROUNDDOWN(171,0)</f>
      </c>
      <c r="AB511" s="5">
        <v>1</v>
      </c>
      <c r="AC511" s="2" t="s">
        <v>228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228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 t="s">
        <v>228</v>
      </c>
      <c r="BD511" s="8" t="s">
        <v>228</v>
      </c>
      <c r="BE511" s="4" t="s">
        <v>228</v>
      </c>
      <c r="BF511" s="8" t="s">
        <v>228</v>
      </c>
      <c r="BG511" s="7" t="s">
        <v>228</v>
      </c>
      <c r="BH511" s="7" t="s">
        <v>228</v>
      </c>
      <c r="BI511" s="7"/>
      <c r="BJ511" s="4">
        <v>11</v>
      </c>
      <c r="BK511" s="8">
        <v>426.27</v>
      </c>
      <c r="BL511" s="2" t="s">
        <v>3294</v>
      </c>
      <c r="BM511" s="7"/>
      <c r="BN511" s="7"/>
      <c r="BO511" s="4"/>
      <c r="BP511" s="8"/>
      <c r="BQ511" s="4"/>
      <c r="BR511" s="8"/>
      <c r="BS511" s="7"/>
      <c r="BT511" s="7"/>
      <c r="BU511" s="2" t="s">
        <v>3295</v>
      </c>
      <c r="BV511" s="2" t="s">
        <v>228</v>
      </c>
      <c r="BW511" s="2" t="s">
        <v>228</v>
      </c>
      <c r="BX511" s="2" t="s">
        <v>337</v>
      </c>
      <c r="BY511" s="2" t="s">
        <v>274</v>
      </c>
      <c r="BZ511" s="2" t="s">
        <v>240</v>
      </c>
      <c r="CA511" s="2" t="s">
        <v>1469</v>
      </c>
      <c r="CB511" s="2" t="s">
        <v>3296</v>
      </c>
      <c r="CC511" s="2" t="s">
        <v>241</v>
      </c>
      <c r="CD511" s="2" t="s">
        <v>228</v>
      </c>
      <c r="CE511" s="4">
        <v>171</v>
      </c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</row>
    <row r="512">
      <c r="A512" s="2" t="s">
        <v>3297</v>
      </c>
      <c r="B512" s="2" t="s">
        <v>1150</v>
      </c>
      <c r="C512" s="2" t="s">
        <v>1861</v>
      </c>
      <c r="D512" s="2" t="s">
        <v>3290</v>
      </c>
      <c r="E512" s="2" t="s">
        <v>3291</v>
      </c>
      <c r="F512" s="2" t="s">
        <v>3292</v>
      </c>
      <c r="G512" s="2" t="s">
        <v>3292</v>
      </c>
      <c r="H512" s="2" t="s">
        <v>3292</v>
      </c>
      <c r="I512" s="2" t="s">
        <v>3293</v>
      </c>
      <c r="J512" s="2" t="s">
        <v>2601</v>
      </c>
      <c r="K512" s="2" t="s">
        <v>1960</v>
      </c>
      <c r="L512" s="3">
        <v>24.76</v>
      </c>
      <c r="M512" s="3">
        <v>26</v>
      </c>
      <c r="N512" s="3">
        <v>79.99</v>
      </c>
      <c r="O512" s="2" t="s">
        <v>240</v>
      </c>
      <c r="P512" s="2" t="s">
        <v>922</v>
      </c>
      <c r="Q512" s="2" t="s">
        <v>234</v>
      </c>
      <c r="R512" s="2" t="s">
        <v>228</v>
      </c>
      <c r="S512" s="2" t="s">
        <v>228</v>
      </c>
      <c r="T512" s="2" t="s">
        <v>228</v>
      </c>
      <c r="U512" s="2" t="s">
        <v>416</v>
      </c>
      <c r="V512" s="2" t="s">
        <v>980</v>
      </c>
      <c r="W512" s="2" t="s">
        <v>743</v>
      </c>
      <c r="X512" s="2" t="s">
        <v>228</v>
      </c>
      <c r="Y512" s="2" t="s">
        <v>1871</v>
      </c>
      <c r="Z512" s="4">
        <v>83</v>
      </c>
      <c r="AA512" s="4">
        <f>=ROUNDDOWN(166,0)</f>
      </c>
      <c r="AB512" s="5">
        <v>0.5</v>
      </c>
      <c r="AC512" s="2" t="s">
        <v>228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228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 t="s">
        <v>228</v>
      </c>
      <c r="BD512" s="8" t="s">
        <v>228</v>
      </c>
      <c r="BE512" s="4" t="s">
        <v>228</v>
      </c>
      <c r="BF512" s="8" t="s">
        <v>228</v>
      </c>
      <c r="BG512" s="7" t="s">
        <v>228</v>
      </c>
      <c r="BH512" s="7" t="s">
        <v>228</v>
      </c>
      <c r="BI512" s="7"/>
      <c r="BJ512" s="4">
        <v>2</v>
      </c>
      <c r="BK512" s="8">
        <v>135.98</v>
      </c>
      <c r="BL512" s="2" t="s">
        <v>3298</v>
      </c>
      <c r="BM512" s="7"/>
      <c r="BN512" s="7"/>
      <c r="BO512" s="4"/>
      <c r="BP512" s="8"/>
      <c r="BQ512" s="4"/>
      <c r="BR512" s="8"/>
      <c r="BS512" s="7"/>
      <c r="BT512" s="7"/>
      <c r="BU512" s="2" t="s">
        <v>3299</v>
      </c>
      <c r="BV512" s="2" t="s">
        <v>228</v>
      </c>
      <c r="BW512" s="2" t="s">
        <v>228</v>
      </c>
      <c r="BX512" s="2" t="s">
        <v>337</v>
      </c>
      <c r="BY512" s="2" t="s">
        <v>274</v>
      </c>
      <c r="BZ512" s="2" t="s">
        <v>240</v>
      </c>
      <c r="CA512" s="2" t="s">
        <v>1469</v>
      </c>
      <c r="CB512" s="2" t="s">
        <v>3300</v>
      </c>
      <c r="CC512" s="2" t="s">
        <v>241</v>
      </c>
      <c r="CD512" s="2" t="s">
        <v>228</v>
      </c>
      <c r="CE512" s="4">
        <v>83</v>
      </c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</row>
    <row r="513">
      <c r="A513" s="2" t="s">
        <v>3301</v>
      </c>
      <c r="B513" s="2" t="s">
        <v>1150</v>
      </c>
      <c r="C513" s="2" t="s">
        <v>1861</v>
      </c>
      <c r="D513" s="2" t="s">
        <v>3290</v>
      </c>
      <c r="E513" s="2" t="s">
        <v>3291</v>
      </c>
      <c r="F513" s="2" t="s">
        <v>3292</v>
      </c>
      <c r="G513" s="2" t="s">
        <v>3292</v>
      </c>
      <c r="H513" s="2" t="s">
        <v>3292</v>
      </c>
      <c r="I513" s="2" t="s">
        <v>3293</v>
      </c>
      <c r="J513" s="2" t="s">
        <v>2601</v>
      </c>
      <c r="K513" s="2" t="s">
        <v>912</v>
      </c>
      <c r="L513" s="3">
        <v>24.76</v>
      </c>
      <c r="M513" s="3">
        <v>26</v>
      </c>
      <c r="N513" s="3">
        <v>79.99</v>
      </c>
      <c r="O513" s="2" t="s">
        <v>240</v>
      </c>
      <c r="P513" s="2" t="s">
        <v>1012</v>
      </c>
      <c r="Q513" s="2" t="s">
        <v>234</v>
      </c>
      <c r="R513" s="2" t="s">
        <v>228</v>
      </c>
      <c r="S513" s="2" t="s">
        <v>228</v>
      </c>
      <c r="T513" s="2" t="s">
        <v>228</v>
      </c>
      <c r="U513" s="2" t="s">
        <v>416</v>
      </c>
      <c r="V513" s="2" t="s">
        <v>980</v>
      </c>
      <c r="W513" s="2" t="s">
        <v>743</v>
      </c>
      <c r="X513" s="2" t="s">
        <v>228</v>
      </c>
      <c r="Y513" s="2" t="s">
        <v>1871</v>
      </c>
      <c r="Z513" s="4">
        <v>132</v>
      </c>
      <c r="AA513" s="4">
        <f>=ROUNDDOWN(33,0)</f>
      </c>
      <c r="AB513" s="5">
        <v>4</v>
      </c>
      <c r="AC513" s="2" t="s">
        <v>228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228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 t="s">
        <v>228</v>
      </c>
      <c r="BD513" s="8" t="s">
        <v>228</v>
      </c>
      <c r="BE513" s="4" t="s">
        <v>228</v>
      </c>
      <c r="BF513" s="8" t="s">
        <v>228</v>
      </c>
      <c r="BG513" s="7" t="s">
        <v>228</v>
      </c>
      <c r="BH513" s="7" t="s">
        <v>228</v>
      </c>
      <c r="BI513" s="7"/>
      <c r="BJ513" s="4">
        <v>5</v>
      </c>
      <c r="BK513" s="8">
        <v>223.34</v>
      </c>
      <c r="BL513" s="2" t="s">
        <v>955</v>
      </c>
      <c r="BM513" s="7"/>
      <c r="BN513" s="7"/>
      <c r="BO513" s="4"/>
      <c r="BP513" s="8"/>
      <c r="BQ513" s="4"/>
      <c r="BR513" s="8"/>
      <c r="BS513" s="7"/>
      <c r="BT513" s="7"/>
      <c r="BU513" s="2" t="s">
        <v>3302</v>
      </c>
      <c r="BV513" s="2" t="s">
        <v>228</v>
      </c>
      <c r="BW513" s="2" t="s">
        <v>228</v>
      </c>
      <c r="BX513" s="2" t="s">
        <v>273</v>
      </c>
      <c r="BY513" s="2" t="s">
        <v>274</v>
      </c>
      <c r="BZ513" s="2" t="s">
        <v>240</v>
      </c>
      <c r="CA513" s="2" t="s">
        <v>1469</v>
      </c>
      <c r="CB513" s="2" t="s">
        <v>846</v>
      </c>
      <c r="CC513" s="2" t="s">
        <v>241</v>
      </c>
      <c r="CD513" s="2" t="s">
        <v>228</v>
      </c>
      <c r="CE513" s="4">
        <v>132</v>
      </c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</row>
    <row r="514">
      <c r="A514" s="2" t="s">
        <v>3303</v>
      </c>
      <c r="B514" s="2" t="s">
        <v>1150</v>
      </c>
      <c r="C514" s="2" t="s">
        <v>2819</v>
      </c>
      <c r="D514" s="2" t="s">
        <v>1112</v>
      </c>
      <c r="E514" s="2" t="s">
        <v>1165</v>
      </c>
      <c r="F514" s="2" t="s">
        <v>3304</v>
      </c>
      <c r="G514" s="2" t="s">
        <v>3304</v>
      </c>
      <c r="H514" s="2" t="s">
        <v>3304</v>
      </c>
      <c r="I514" s="2" t="s">
        <v>3305</v>
      </c>
      <c r="J514" s="2" t="s">
        <v>264</v>
      </c>
      <c r="K514" s="2" t="s">
        <v>978</v>
      </c>
      <c r="L514" s="3">
        <v>80</v>
      </c>
      <c r="M514" s="3">
        <v>83.99</v>
      </c>
      <c r="N514" s="3">
        <v>174.99</v>
      </c>
      <c r="O514" s="2" t="s">
        <v>240</v>
      </c>
      <c r="P514" s="2" t="s">
        <v>715</v>
      </c>
      <c r="Q514" s="2" t="s">
        <v>234</v>
      </c>
      <c r="R514" s="2" t="s">
        <v>228</v>
      </c>
      <c r="S514" s="2" t="s">
        <v>3306</v>
      </c>
      <c r="T514" s="2" t="s">
        <v>228</v>
      </c>
      <c r="U514" s="2" t="s">
        <v>228</v>
      </c>
      <c r="V514" s="2" t="s">
        <v>351</v>
      </c>
      <c r="W514" s="2" t="s">
        <v>351</v>
      </c>
      <c r="X514" s="2" t="s">
        <v>1268</v>
      </c>
      <c r="Y514" s="2" t="s">
        <v>270</v>
      </c>
      <c r="Z514" s="4">
        <v>76</v>
      </c>
      <c r="AA514" s="4">
        <f>=ROUNDDOWN(25.3333333333333,0)</f>
      </c>
      <c r="AB514" s="5">
        <v>3</v>
      </c>
      <c r="AC514" s="2" t="s">
        <v>228</v>
      </c>
      <c r="AD514" s="4"/>
      <c r="AE514" s="4"/>
      <c r="AF514" s="6">
        <v>68</v>
      </c>
      <c r="AG514" s="6"/>
      <c r="AH514" s="7">
        <v>1</v>
      </c>
      <c r="AI514" s="4"/>
      <c r="AJ514" s="4">
        <f>=ROUNDDOWN({0},0)</f>
      </c>
      <c r="AK514" s="5"/>
      <c r="AL514" s="2" t="s">
        <v>228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228</v>
      </c>
      <c r="AW514" s="8" t="s">
        <v>228</v>
      </c>
      <c r="AX514" s="4" t="s">
        <v>228</v>
      </c>
      <c r="AY514" s="8" t="s">
        <v>228</v>
      </c>
      <c r="AZ514" s="7" t="s">
        <v>228</v>
      </c>
      <c r="BA514" s="7" t="s">
        <v>228</v>
      </c>
      <c r="BB514" s="7"/>
      <c r="BC514" s="4" t="s">
        <v>228</v>
      </c>
      <c r="BD514" s="8" t="s">
        <v>228</v>
      </c>
      <c r="BE514" s="4" t="s">
        <v>228</v>
      </c>
      <c r="BF514" s="8" t="s">
        <v>228</v>
      </c>
      <c r="BG514" s="7" t="s">
        <v>228</v>
      </c>
      <c r="BH514" s="7" t="s">
        <v>228</v>
      </c>
      <c r="BI514" s="7"/>
      <c r="BJ514" s="4">
        <v>5</v>
      </c>
      <c r="BK514" s="8">
        <v>370.87</v>
      </c>
      <c r="BL514" s="2" t="s">
        <v>3307</v>
      </c>
      <c r="BM514" s="7"/>
      <c r="BN514" s="7"/>
      <c r="BO514" s="4"/>
      <c r="BP514" s="8"/>
      <c r="BQ514" s="4"/>
      <c r="BR514" s="8"/>
      <c r="BS514" s="7"/>
      <c r="BT514" s="7"/>
      <c r="BU514" s="2" t="s">
        <v>3308</v>
      </c>
      <c r="BV514" s="2" t="s">
        <v>228</v>
      </c>
      <c r="BW514" s="2" t="s">
        <v>228</v>
      </c>
      <c r="BX514" s="2" t="s">
        <v>273</v>
      </c>
      <c r="BY514" s="2" t="s">
        <v>274</v>
      </c>
      <c r="BZ514" s="2" t="s">
        <v>240</v>
      </c>
      <c r="CA514" s="2" t="s">
        <v>275</v>
      </c>
      <c r="CB514" s="2" t="s">
        <v>1365</v>
      </c>
      <c r="CC514" s="2" t="s">
        <v>241</v>
      </c>
      <c r="CD514" s="2" t="s">
        <v>228</v>
      </c>
      <c r="CE514" s="4">
        <v>76</v>
      </c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</row>
    <row r="515">
      <c r="A515" s="2" t="s">
        <v>3309</v>
      </c>
      <c r="B515" s="2" t="s">
        <v>1150</v>
      </c>
      <c r="C515" s="2" t="s">
        <v>2819</v>
      </c>
      <c r="D515" s="2" t="s">
        <v>1112</v>
      </c>
      <c r="E515" s="2" t="s">
        <v>1165</v>
      </c>
      <c r="F515" s="2" t="s">
        <v>3304</v>
      </c>
      <c r="G515" s="2" t="s">
        <v>3304</v>
      </c>
      <c r="H515" s="2" t="s">
        <v>3304</v>
      </c>
      <c r="I515" s="2" t="s">
        <v>3305</v>
      </c>
      <c r="J515" s="2" t="s">
        <v>312</v>
      </c>
      <c r="K515" s="2" t="s">
        <v>978</v>
      </c>
      <c r="L515" s="3">
        <v>110</v>
      </c>
      <c r="M515" s="3">
        <v>115.49</v>
      </c>
      <c r="N515" s="3">
        <v>234.99</v>
      </c>
      <c r="O515" s="2" t="s">
        <v>240</v>
      </c>
      <c r="P515" s="2" t="s">
        <v>715</v>
      </c>
      <c r="Q515" s="2" t="s">
        <v>234</v>
      </c>
      <c r="R515" s="2" t="s">
        <v>228</v>
      </c>
      <c r="S515" s="2" t="s">
        <v>3306</v>
      </c>
      <c r="T515" s="2" t="s">
        <v>228</v>
      </c>
      <c r="U515" s="2" t="s">
        <v>228</v>
      </c>
      <c r="V515" s="2" t="s">
        <v>351</v>
      </c>
      <c r="W515" s="2" t="s">
        <v>351</v>
      </c>
      <c r="X515" s="2" t="s">
        <v>1268</v>
      </c>
      <c r="Y515" s="2" t="s">
        <v>270</v>
      </c>
      <c r="Z515" s="4">
        <v>84</v>
      </c>
      <c r="AA515" s="4">
        <f>=ROUNDDOWN(28,0)</f>
      </c>
      <c r="AB515" s="5">
        <v>3</v>
      </c>
      <c r="AC515" s="2" t="s">
        <v>1415</v>
      </c>
      <c r="AD515" s="4">
        <v>50</v>
      </c>
      <c r="AE515" s="4">
        <v>70</v>
      </c>
      <c r="AF515" s="6">
        <v>68</v>
      </c>
      <c r="AG515" s="6"/>
      <c r="AH515" s="7">
        <v>1</v>
      </c>
      <c r="AI515" s="4"/>
      <c r="AJ515" s="4">
        <f>=ROUNDDOWN({0},0)</f>
      </c>
      <c r="AK515" s="5"/>
      <c r="AL515" s="2" t="s">
        <v>228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228</v>
      </c>
      <c r="AW515" s="8" t="s">
        <v>228</v>
      </c>
      <c r="AX515" s="4" t="s">
        <v>228</v>
      </c>
      <c r="AY515" s="8" t="s">
        <v>228</v>
      </c>
      <c r="AZ515" s="7" t="s">
        <v>228</v>
      </c>
      <c r="BA515" s="7" t="s">
        <v>228</v>
      </c>
      <c r="BB515" s="7"/>
      <c r="BC515" s="4" t="s">
        <v>228</v>
      </c>
      <c r="BD515" s="8" t="s">
        <v>228</v>
      </c>
      <c r="BE515" s="4" t="s">
        <v>228</v>
      </c>
      <c r="BF515" s="8" t="s">
        <v>228</v>
      </c>
      <c r="BG515" s="7" t="s">
        <v>228</v>
      </c>
      <c r="BH515" s="7" t="s">
        <v>228</v>
      </c>
      <c r="BI515" s="7"/>
      <c r="BJ515" s="4">
        <v>1</v>
      </c>
      <c r="BK515" s="8">
        <v>107.2</v>
      </c>
      <c r="BL515" s="2" t="s">
        <v>3310</v>
      </c>
      <c r="BM515" s="7"/>
      <c r="BN515" s="7"/>
      <c r="BO515" s="4"/>
      <c r="BP515" s="8"/>
      <c r="BQ515" s="4"/>
      <c r="BR515" s="8"/>
      <c r="BS515" s="7"/>
      <c r="BT515" s="7"/>
      <c r="BU515" s="2" t="s">
        <v>3311</v>
      </c>
      <c r="BV515" s="2" t="s">
        <v>228</v>
      </c>
      <c r="BW515" s="2" t="s">
        <v>228</v>
      </c>
      <c r="BX515" s="2" t="s">
        <v>273</v>
      </c>
      <c r="BY515" s="2" t="s">
        <v>274</v>
      </c>
      <c r="BZ515" s="2" t="s">
        <v>240</v>
      </c>
      <c r="CA515" s="2" t="s">
        <v>3312</v>
      </c>
      <c r="CB515" s="2" t="s">
        <v>3313</v>
      </c>
      <c r="CC515" s="2" t="s">
        <v>241</v>
      </c>
      <c r="CD515" s="2" t="s">
        <v>228</v>
      </c>
      <c r="CE515" s="4">
        <v>84</v>
      </c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>
        <v>50</v>
      </c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>
        <v>20</v>
      </c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</row>
    <row r="516">
      <c r="A516" s="2" t="s">
        <v>3314</v>
      </c>
      <c r="B516" s="2" t="s">
        <v>1150</v>
      </c>
      <c r="C516" s="2" t="s">
        <v>3315</v>
      </c>
      <c r="D516" s="2" t="s">
        <v>850</v>
      </c>
      <c r="E516" s="2" t="s">
        <v>1038</v>
      </c>
      <c r="F516" s="2" t="s">
        <v>3316</v>
      </c>
      <c r="G516" s="2" t="s">
        <v>3316</v>
      </c>
      <c r="H516" s="2" t="s">
        <v>3316</v>
      </c>
      <c r="I516" s="2" t="s">
        <v>3317</v>
      </c>
      <c r="J516" s="2" t="s">
        <v>1189</v>
      </c>
      <c r="K516" s="2" t="s">
        <v>249</v>
      </c>
      <c r="L516" s="3">
        <v>67.5</v>
      </c>
      <c r="M516" s="3">
        <v>70.88</v>
      </c>
      <c r="N516" s="3">
        <v>149.99</v>
      </c>
      <c r="O516" s="2" t="s">
        <v>240</v>
      </c>
      <c r="P516" s="2" t="s">
        <v>333</v>
      </c>
      <c r="Q516" s="2" t="s">
        <v>234</v>
      </c>
      <c r="R516" s="2" t="s">
        <v>228</v>
      </c>
      <c r="S516" s="2" t="s">
        <v>3318</v>
      </c>
      <c r="T516" s="2" t="s">
        <v>415</v>
      </c>
      <c r="U516" s="2" t="s">
        <v>500</v>
      </c>
      <c r="V516" s="2" t="s">
        <v>236</v>
      </c>
      <c r="W516" s="2" t="s">
        <v>269</v>
      </c>
      <c r="X516" s="2" t="s">
        <v>417</v>
      </c>
      <c r="Y516" s="2" t="s">
        <v>3319</v>
      </c>
      <c r="Z516" s="4">
        <v>6</v>
      </c>
      <c r="AA516" s="4">
        <f>=ROUNDDOWN(10,0)</f>
      </c>
      <c r="AB516" s="5">
        <v>0.6</v>
      </c>
      <c r="AC516" s="2" t="s">
        <v>228</v>
      </c>
      <c r="AD516" s="4"/>
      <c r="AE516" s="4"/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228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228</v>
      </c>
      <c r="AW516" s="8" t="s">
        <v>228</v>
      </c>
      <c r="AX516" s="4" t="s">
        <v>228</v>
      </c>
      <c r="AY516" s="8" t="s">
        <v>228</v>
      </c>
      <c r="AZ516" s="7" t="s">
        <v>228</v>
      </c>
      <c r="BA516" s="7" t="s">
        <v>228</v>
      </c>
      <c r="BB516" s="7"/>
      <c r="BC516" s="4" t="s">
        <v>228</v>
      </c>
      <c r="BD516" s="8" t="s">
        <v>228</v>
      </c>
      <c r="BE516" s="4" t="s">
        <v>228</v>
      </c>
      <c r="BF516" s="8" t="s">
        <v>228</v>
      </c>
      <c r="BG516" s="7" t="s">
        <v>228</v>
      </c>
      <c r="BH516" s="7" t="s">
        <v>228</v>
      </c>
      <c r="BI516" s="7"/>
      <c r="BJ516" s="4">
        <v>2</v>
      </c>
      <c r="BK516" s="8">
        <v>155.92</v>
      </c>
      <c r="BL516" s="2" t="s">
        <v>807</v>
      </c>
      <c r="BM516" s="7"/>
      <c r="BN516" s="7"/>
      <c r="BO516" s="4"/>
      <c r="BP516" s="8"/>
      <c r="BQ516" s="4"/>
      <c r="BR516" s="8"/>
      <c r="BS516" s="7"/>
      <c r="BT516" s="7"/>
      <c r="BU516" s="2" t="s">
        <v>3320</v>
      </c>
      <c r="BV516" s="2" t="s">
        <v>228</v>
      </c>
      <c r="BW516" s="2" t="s">
        <v>228</v>
      </c>
      <c r="BX516" s="2" t="s">
        <v>337</v>
      </c>
      <c r="BY516" s="2" t="s">
        <v>274</v>
      </c>
      <c r="BZ516" s="2" t="s">
        <v>240</v>
      </c>
      <c r="CA516" s="2" t="s">
        <v>3321</v>
      </c>
      <c r="CB516" s="2" t="s">
        <v>3322</v>
      </c>
      <c r="CC516" s="2" t="s">
        <v>241</v>
      </c>
      <c r="CD516" s="2" t="s">
        <v>228</v>
      </c>
      <c r="CE516" s="4">
        <v>6</v>
      </c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</row>
    <row r="517">
      <c r="A517" s="2" t="s">
        <v>3323</v>
      </c>
      <c r="B517" s="2" t="s">
        <v>1150</v>
      </c>
      <c r="C517" s="2" t="s">
        <v>3315</v>
      </c>
      <c r="D517" s="2" t="s">
        <v>3290</v>
      </c>
      <c r="E517" s="2" t="s">
        <v>3291</v>
      </c>
      <c r="F517" s="2" t="s">
        <v>3316</v>
      </c>
      <c r="G517" s="2" t="s">
        <v>3316</v>
      </c>
      <c r="H517" s="2" t="s">
        <v>3316</v>
      </c>
      <c r="I517" s="2" t="s">
        <v>3324</v>
      </c>
      <c r="J517" s="2" t="s">
        <v>3325</v>
      </c>
      <c r="K517" s="2" t="s">
        <v>249</v>
      </c>
      <c r="L517" s="3">
        <v>18</v>
      </c>
      <c r="M517" s="3">
        <v>18.9</v>
      </c>
      <c r="N517" s="3">
        <v>39.99</v>
      </c>
      <c r="O517" s="2" t="s">
        <v>461</v>
      </c>
      <c r="P517" s="2" t="s">
        <v>333</v>
      </c>
      <c r="Q517" s="2" t="s">
        <v>234</v>
      </c>
      <c r="R517" s="2" t="s">
        <v>228</v>
      </c>
      <c r="S517" s="2" t="s">
        <v>3318</v>
      </c>
      <c r="T517" s="2" t="s">
        <v>415</v>
      </c>
      <c r="U517" s="2" t="s">
        <v>416</v>
      </c>
      <c r="V517" s="2" t="s">
        <v>236</v>
      </c>
      <c r="W517" s="2" t="s">
        <v>269</v>
      </c>
      <c r="X517" s="2" t="s">
        <v>417</v>
      </c>
      <c r="Y517" s="2" t="s">
        <v>3319</v>
      </c>
      <c r="Z517" s="4">
        <v>281</v>
      </c>
      <c r="AA517" s="4">
        <f>=ROUNDDOWN(281,0)</f>
      </c>
      <c r="AB517" s="5">
        <v>1</v>
      </c>
      <c r="AC517" s="2" t="s">
        <v>228</v>
      </c>
      <c r="AD517" s="4"/>
      <c r="AE517" s="4"/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228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228</v>
      </c>
      <c r="AW517" s="8" t="s">
        <v>228</v>
      </c>
      <c r="AX517" s="4" t="s">
        <v>228</v>
      </c>
      <c r="AY517" s="8" t="s">
        <v>228</v>
      </c>
      <c r="AZ517" s="7" t="s">
        <v>228</v>
      </c>
      <c r="BA517" s="7" t="s">
        <v>228</v>
      </c>
      <c r="BB517" s="7"/>
      <c r="BC517" s="4" t="s">
        <v>228</v>
      </c>
      <c r="BD517" s="8" t="s">
        <v>228</v>
      </c>
      <c r="BE517" s="4" t="s">
        <v>228</v>
      </c>
      <c r="BF517" s="8" t="s">
        <v>228</v>
      </c>
      <c r="BG517" s="7" t="s">
        <v>228</v>
      </c>
      <c r="BH517" s="7" t="s">
        <v>228</v>
      </c>
      <c r="BI517" s="7"/>
      <c r="BJ517" s="4">
        <v>4</v>
      </c>
      <c r="BK517" s="8">
        <v>140.76</v>
      </c>
      <c r="BL517" s="2" t="s">
        <v>3326</v>
      </c>
      <c r="BM517" s="7"/>
      <c r="BN517" s="7"/>
      <c r="BO517" s="4"/>
      <c r="BP517" s="8"/>
      <c r="BQ517" s="4"/>
      <c r="BR517" s="8"/>
      <c r="BS517" s="7"/>
      <c r="BT517" s="7"/>
      <c r="BU517" s="2" t="s">
        <v>3327</v>
      </c>
      <c r="BV517" s="2" t="s">
        <v>228</v>
      </c>
      <c r="BW517" s="2" t="s">
        <v>228</v>
      </c>
      <c r="BX517" s="2" t="s">
        <v>337</v>
      </c>
      <c r="BY517" s="2" t="s">
        <v>274</v>
      </c>
      <c r="BZ517" s="2" t="s">
        <v>240</v>
      </c>
      <c r="CA517" s="2" t="s">
        <v>3321</v>
      </c>
      <c r="CB517" s="2" t="s">
        <v>3328</v>
      </c>
      <c r="CC517" s="2" t="s">
        <v>241</v>
      </c>
      <c r="CD517" s="2" t="s">
        <v>228</v>
      </c>
      <c r="CE517" s="4">
        <v>281</v>
      </c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</row>
    <row r="518">
      <c r="A518" s="2" t="s">
        <v>3329</v>
      </c>
      <c r="B518" s="2" t="s">
        <v>1150</v>
      </c>
      <c r="C518" s="2" t="s">
        <v>3315</v>
      </c>
      <c r="D518" s="2" t="s">
        <v>1112</v>
      </c>
      <c r="E518" s="2" t="s">
        <v>1113</v>
      </c>
      <c r="F518" s="2" t="s">
        <v>3316</v>
      </c>
      <c r="G518" s="2" t="s">
        <v>3316</v>
      </c>
      <c r="H518" s="2" t="s">
        <v>3316</v>
      </c>
      <c r="I518" s="2" t="s">
        <v>3330</v>
      </c>
      <c r="J518" s="2" t="s">
        <v>1043</v>
      </c>
      <c r="K518" s="2" t="s">
        <v>316</v>
      </c>
      <c r="L518" s="3">
        <v>85.5</v>
      </c>
      <c r="M518" s="3">
        <v>89.78</v>
      </c>
      <c r="N518" s="3">
        <v>189.99</v>
      </c>
      <c r="O518" s="2" t="s">
        <v>240</v>
      </c>
      <c r="P518" s="2" t="s">
        <v>266</v>
      </c>
      <c r="Q518" s="2" t="s">
        <v>234</v>
      </c>
      <c r="R518" s="2" t="s">
        <v>228</v>
      </c>
      <c r="S518" s="2" t="s">
        <v>3331</v>
      </c>
      <c r="T518" s="2" t="s">
        <v>415</v>
      </c>
      <c r="U518" s="2" t="s">
        <v>500</v>
      </c>
      <c r="V518" s="2" t="s">
        <v>236</v>
      </c>
      <c r="W518" s="2" t="s">
        <v>269</v>
      </c>
      <c r="X518" s="2" t="s">
        <v>417</v>
      </c>
      <c r="Y518" s="2" t="s">
        <v>3319</v>
      </c>
      <c r="Z518" s="4">
        <v>158</v>
      </c>
      <c r="AA518" s="4">
        <f>=ROUNDDOWN(26.3333333333333,0)</f>
      </c>
      <c r="AB518" s="5">
        <v>6</v>
      </c>
      <c r="AC518" s="2" t="s">
        <v>1527</v>
      </c>
      <c r="AD518" s="4">
        <v>225</v>
      </c>
      <c r="AE518" s="4">
        <v>225</v>
      </c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228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228</v>
      </c>
      <c r="AW518" s="8" t="s">
        <v>228</v>
      </c>
      <c r="AX518" s="4" t="s">
        <v>228</v>
      </c>
      <c r="AY518" s="8" t="s">
        <v>228</v>
      </c>
      <c r="AZ518" s="7" t="s">
        <v>228</v>
      </c>
      <c r="BA518" s="7" t="s">
        <v>228</v>
      </c>
      <c r="BB518" s="7" t="s">
        <v>228</v>
      </c>
      <c r="BC518" s="4" t="s">
        <v>228</v>
      </c>
      <c r="BD518" s="8" t="s">
        <v>228</v>
      </c>
      <c r="BE518" s="4" t="s">
        <v>228</v>
      </c>
      <c r="BF518" s="8" t="s">
        <v>228</v>
      </c>
      <c r="BG518" s="7" t="s">
        <v>228</v>
      </c>
      <c r="BH518" s="7" t="s">
        <v>228</v>
      </c>
      <c r="BI518" s="7"/>
      <c r="BJ518" s="4">
        <v>10</v>
      </c>
      <c r="BK518" s="8">
        <v>911.24</v>
      </c>
      <c r="BL518" s="2" t="s">
        <v>3332</v>
      </c>
      <c r="BM518" s="7"/>
      <c r="BN518" s="7"/>
      <c r="BO518" s="4"/>
      <c r="BP518" s="8"/>
      <c r="BQ518" s="4"/>
      <c r="BR518" s="8"/>
      <c r="BS518" s="7"/>
      <c r="BT518" s="7"/>
      <c r="BU518" s="2" t="s">
        <v>3333</v>
      </c>
      <c r="BV518" s="2" t="s">
        <v>228</v>
      </c>
      <c r="BW518" s="2" t="s">
        <v>228</v>
      </c>
      <c r="BX518" s="2" t="s">
        <v>273</v>
      </c>
      <c r="BY518" s="2" t="s">
        <v>274</v>
      </c>
      <c r="BZ518" s="2" t="s">
        <v>240</v>
      </c>
      <c r="CA518" s="2" t="s">
        <v>3321</v>
      </c>
      <c r="CB518" s="2" t="s">
        <v>3334</v>
      </c>
      <c r="CC518" s="2" t="s">
        <v>241</v>
      </c>
      <c r="CD518" s="2" t="s">
        <v>228</v>
      </c>
      <c r="CE518" s="4">
        <v>158</v>
      </c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>
        <v>225</v>
      </c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</row>
    <row r="519">
      <c r="A519" s="2" t="s">
        <v>3335</v>
      </c>
      <c r="B519" s="2" t="s">
        <v>1150</v>
      </c>
      <c r="C519" s="2" t="s">
        <v>3315</v>
      </c>
      <c r="D519" s="2" t="s">
        <v>850</v>
      </c>
      <c r="E519" s="2" t="s">
        <v>1038</v>
      </c>
      <c r="F519" s="2" t="s">
        <v>3316</v>
      </c>
      <c r="G519" s="2" t="s">
        <v>3316</v>
      </c>
      <c r="H519" s="2" t="s">
        <v>3316</v>
      </c>
      <c r="I519" s="2" t="s">
        <v>3317</v>
      </c>
      <c r="J519" s="2" t="s">
        <v>1043</v>
      </c>
      <c r="K519" s="2" t="s">
        <v>316</v>
      </c>
      <c r="L519" s="3">
        <v>76.5</v>
      </c>
      <c r="M519" s="3">
        <v>80.33</v>
      </c>
      <c r="N519" s="3">
        <v>169.99</v>
      </c>
      <c r="O519" s="2" t="s">
        <v>240</v>
      </c>
      <c r="P519" s="2" t="s">
        <v>266</v>
      </c>
      <c r="Q519" s="2" t="s">
        <v>234</v>
      </c>
      <c r="R519" s="2" t="s">
        <v>228</v>
      </c>
      <c r="S519" s="2" t="s">
        <v>3331</v>
      </c>
      <c r="T519" s="2" t="s">
        <v>415</v>
      </c>
      <c r="U519" s="2" t="s">
        <v>500</v>
      </c>
      <c r="V519" s="2" t="s">
        <v>236</v>
      </c>
      <c r="W519" s="2" t="s">
        <v>269</v>
      </c>
      <c r="X519" s="2" t="s">
        <v>417</v>
      </c>
      <c r="Y519" s="2" t="s">
        <v>3319</v>
      </c>
      <c r="Z519" s="4">
        <v>141</v>
      </c>
      <c r="AA519" s="4">
        <f>=ROUNDDOWN(70.5,0)</f>
      </c>
      <c r="AB519" s="5">
        <v>2</v>
      </c>
      <c r="AC519" s="2" t="s">
        <v>228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228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228</v>
      </c>
      <c r="AW519" s="8" t="s">
        <v>228</v>
      </c>
      <c r="AX519" s="4" t="s">
        <v>228</v>
      </c>
      <c r="AY519" s="8" t="s">
        <v>228</v>
      </c>
      <c r="AZ519" s="7" t="s">
        <v>228</v>
      </c>
      <c r="BA519" s="7" t="s">
        <v>228</v>
      </c>
      <c r="BB519" s="7" t="s">
        <v>228</v>
      </c>
      <c r="BC519" s="4" t="s">
        <v>228</v>
      </c>
      <c r="BD519" s="8" t="s">
        <v>228</v>
      </c>
      <c r="BE519" s="4" t="s">
        <v>228</v>
      </c>
      <c r="BF519" s="8" t="s">
        <v>228</v>
      </c>
      <c r="BG519" s="7" t="s">
        <v>228</v>
      </c>
      <c r="BH519" s="7" t="s">
        <v>228</v>
      </c>
      <c r="BI519" s="7"/>
      <c r="BJ519" s="4">
        <v>2</v>
      </c>
      <c r="BK519" s="8">
        <v>164.67</v>
      </c>
      <c r="BL519" s="2" t="s">
        <v>3336</v>
      </c>
      <c r="BM519" s="7"/>
      <c r="BN519" s="7"/>
      <c r="BO519" s="4"/>
      <c r="BP519" s="8"/>
      <c r="BQ519" s="4"/>
      <c r="BR519" s="8"/>
      <c r="BS519" s="7"/>
      <c r="BT519" s="7"/>
      <c r="BU519" s="2" t="s">
        <v>3337</v>
      </c>
      <c r="BV519" s="2" t="s">
        <v>228</v>
      </c>
      <c r="BW519" s="2" t="s">
        <v>228</v>
      </c>
      <c r="BX519" s="2" t="s">
        <v>273</v>
      </c>
      <c r="BY519" s="2" t="s">
        <v>274</v>
      </c>
      <c r="BZ519" s="2" t="s">
        <v>240</v>
      </c>
      <c r="CA519" s="2" t="s">
        <v>3321</v>
      </c>
      <c r="CB519" s="2" t="s">
        <v>3338</v>
      </c>
      <c r="CC519" s="2" t="s">
        <v>241</v>
      </c>
      <c r="CD519" s="2" t="s">
        <v>228</v>
      </c>
      <c r="CE519" s="4">
        <v>141</v>
      </c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</row>
    <row r="520">
      <c r="A520" s="2" t="s">
        <v>3339</v>
      </c>
      <c r="B520" s="2" t="s">
        <v>1150</v>
      </c>
      <c r="C520" s="2" t="s">
        <v>3315</v>
      </c>
      <c r="D520" s="2" t="s">
        <v>3290</v>
      </c>
      <c r="E520" s="2" t="s">
        <v>3291</v>
      </c>
      <c r="F520" s="2" t="s">
        <v>3316</v>
      </c>
      <c r="G520" s="2" t="s">
        <v>3316</v>
      </c>
      <c r="H520" s="2" t="s">
        <v>3316</v>
      </c>
      <c r="I520" s="2" t="s">
        <v>3324</v>
      </c>
      <c r="J520" s="2" t="s">
        <v>3325</v>
      </c>
      <c r="K520" s="2" t="s">
        <v>316</v>
      </c>
      <c r="L520" s="3">
        <v>18</v>
      </c>
      <c r="M520" s="3">
        <v>18.9</v>
      </c>
      <c r="N520" s="3">
        <v>39.99</v>
      </c>
      <c r="O520" s="2" t="s">
        <v>240</v>
      </c>
      <c r="P520" s="2" t="s">
        <v>266</v>
      </c>
      <c r="Q520" s="2" t="s">
        <v>234</v>
      </c>
      <c r="R520" s="2" t="s">
        <v>228</v>
      </c>
      <c r="S520" s="2" t="s">
        <v>3331</v>
      </c>
      <c r="T520" s="2" t="s">
        <v>415</v>
      </c>
      <c r="U520" s="2" t="s">
        <v>416</v>
      </c>
      <c r="V520" s="2" t="s">
        <v>236</v>
      </c>
      <c r="W520" s="2" t="s">
        <v>269</v>
      </c>
      <c r="X520" s="2" t="s">
        <v>417</v>
      </c>
      <c r="Y520" s="2" t="s">
        <v>3319</v>
      </c>
      <c r="Z520" s="4">
        <v>87</v>
      </c>
      <c r="AA520" s="4">
        <f>=ROUNDDOWN(29,0)</f>
      </c>
      <c r="AB520" s="5">
        <v>3</v>
      </c>
      <c r="AC520" s="2" t="s">
        <v>1527</v>
      </c>
      <c r="AD520" s="4">
        <v>152</v>
      </c>
      <c r="AE520" s="4">
        <v>152</v>
      </c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228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228</v>
      </c>
      <c r="AW520" s="8" t="s">
        <v>228</v>
      </c>
      <c r="AX520" s="4" t="s">
        <v>228</v>
      </c>
      <c r="AY520" s="8" t="s">
        <v>228</v>
      </c>
      <c r="AZ520" s="7" t="s">
        <v>228</v>
      </c>
      <c r="BA520" s="7" t="s">
        <v>228</v>
      </c>
      <c r="BB520" s="7"/>
      <c r="BC520" s="4" t="s">
        <v>228</v>
      </c>
      <c r="BD520" s="8" t="s">
        <v>228</v>
      </c>
      <c r="BE520" s="4" t="s">
        <v>228</v>
      </c>
      <c r="BF520" s="8" t="s">
        <v>228</v>
      </c>
      <c r="BG520" s="7" t="s">
        <v>228</v>
      </c>
      <c r="BH520" s="7" t="s">
        <v>228</v>
      </c>
      <c r="BI520" s="7"/>
      <c r="BJ520" s="4">
        <v>7</v>
      </c>
      <c r="BK520" s="8">
        <v>174.48</v>
      </c>
      <c r="BL520" s="2" t="s">
        <v>3340</v>
      </c>
      <c r="BM520" s="7"/>
      <c r="BN520" s="7"/>
      <c r="BO520" s="4"/>
      <c r="BP520" s="8"/>
      <c r="BQ520" s="4"/>
      <c r="BR520" s="8"/>
      <c r="BS520" s="7"/>
      <c r="BT520" s="7"/>
      <c r="BU520" s="2" t="s">
        <v>3341</v>
      </c>
      <c r="BV520" s="2" t="s">
        <v>228</v>
      </c>
      <c r="BW520" s="2" t="s">
        <v>228</v>
      </c>
      <c r="BX520" s="2" t="s">
        <v>273</v>
      </c>
      <c r="BY520" s="2" t="s">
        <v>274</v>
      </c>
      <c r="BZ520" s="2" t="s">
        <v>240</v>
      </c>
      <c r="CA520" s="2" t="s">
        <v>3321</v>
      </c>
      <c r="CB520" s="2" t="s">
        <v>409</v>
      </c>
      <c r="CC520" s="2" t="s">
        <v>241</v>
      </c>
      <c r="CD520" s="2" t="s">
        <v>228</v>
      </c>
      <c r="CE520" s="4">
        <v>87</v>
      </c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>
        <v>152</v>
      </c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</row>
    <row r="521">
      <c r="A521" s="2" t="s">
        <v>3342</v>
      </c>
      <c r="B521" s="2" t="s">
        <v>958</v>
      </c>
      <c r="C521" s="2" t="s">
        <v>300</v>
      </c>
      <c r="D521" s="2" t="s">
        <v>959</v>
      </c>
      <c r="E521" s="2" t="s">
        <v>960</v>
      </c>
      <c r="F521" s="2" t="s">
        <v>1724</v>
      </c>
      <c r="G521" s="2" t="s">
        <v>3343</v>
      </c>
      <c r="H521" s="2" t="s">
        <v>1041</v>
      </c>
      <c r="I521" s="2" t="s">
        <v>3344</v>
      </c>
      <c r="J521" s="2" t="s">
        <v>840</v>
      </c>
      <c r="K521" s="2" t="s">
        <v>888</v>
      </c>
      <c r="L521" s="3">
        <v>192.28</v>
      </c>
      <c r="M521" s="3">
        <v>201.89</v>
      </c>
      <c r="N521" s="3">
        <v>399</v>
      </c>
      <c r="O521" s="2" t="s">
        <v>240</v>
      </c>
      <c r="P521" s="2" t="s">
        <v>333</v>
      </c>
      <c r="Q521" s="2" t="s">
        <v>234</v>
      </c>
      <c r="R521" s="2" t="s">
        <v>228</v>
      </c>
      <c r="S521" s="2" t="s">
        <v>3345</v>
      </c>
      <c r="T521" s="2" t="s">
        <v>228</v>
      </c>
      <c r="U521" s="2" t="s">
        <v>228</v>
      </c>
      <c r="V521" s="2" t="s">
        <v>1156</v>
      </c>
      <c r="W521" s="2" t="s">
        <v>417</v>
      </c>
      <c r="X521" s="2" t="s">
        <v>228</v>
      </c>
      <c r="Y521" s="2" t="s">
        <v>270</v>
      </c>
      <c r="Z521" s="4">
        <v>108</v>
      </c>
      <c r="AA521" s="4">
        <f>=ROUNDDOWN(32.7272727272727,0)</f>
      </c>
      <c r="AB521" s="5">
        <v>3.3</v>
      </c>
      <c r="AC521" s="2" t="s">
        <v>228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228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/>
      <c r="BD521" s="8"/>
      <c r="BE521" s="4"/>
      <c r="BF521" s="8"/>
      <c r="BG521" s="7"/>
      <c r="BH521" s="7"/>
      <c r="BI521" s="7"/>
      <c r="BJ521" s="4">
        <v>15</v>
      </c>
      <c r="BK521" s="8">
        <v>2922.73</v>
      </c>
      <c r="BL521" s="2" t="s">
        <v>3346</v>
      </c>
      <c r="BM521" s="7"/>
      <c r="BN521" s="7"/>
      <c r="BO521" s="4"/>
      <c r="BP521" s="8"/>
      <c r="BQ521" s="4"/>
      <c r="BR521" s="8"/>
      <c r="BS521" s="7"/>
      <c r="BT521" s="7"/>
      <c r="BU521" s="2" t="s">
        <v>3347</v>
      </c>
      <c r="BV521" s="2" t="s">
        <v>228</v>
      </c>
      <c r="BW521" s="2" t="s">
        <v>228</v>
      </c>
      <c r="BX521" s="2" t="s">
        <v>337</v>
      </c>
      <c r="BY521" s="2" t="s">
        <v>274</v>
      </c>
      <c r="BZ521" s="2" t="s">
        <v>240</v>
      </c>
      <c r="CA521" s="2" t="s">
        <v>275</v>
      </c>
      <c r="CB521" s="2" t="s">
        <v>3348</v>
      </c>
      <c r="CC521" s="2" t="s">
        <v>241</v>
      </c>
      <c r="CD521" s="2" t="s">
        <v>228</v>
      </c>
      <c r="CE521" s="4"/>
      <c r="CF521" s="4">
        <v>108</v>
      </c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</row>
    <row r="522">
      <c r="A522" s="2" t="s">
        <v>3349</v>
      </c>
      <c r="B522" s="2" t="s">
        <v>258</v>
      </c>
      <c r="C522" s="2" t="s">
        <v>300</v>
      </c>
      <c r="D522" s="2" t="s">
        <v>225</v>
      </c>
      <c r="E522" s="2" t="s">
        <v>2943</v>
      </c>
      <c r="F522" s="2" t="s">
        <v>3350</v>
      </c>
      <c r="G522" s="2" t="s">
        <v>3351</v>
      </c>
      <c r="H522" s="2" t="s">
        <v>3351</v>
      </c>
      <c r="I522" s="2" t="s">
        <v>3352</v>
      </c>
      <c r="J522" s="2" t="s">
        <v>856</v>
      </c>
      <c r="K522" s="2" t="s">
        <v>305</v>
      </c>
      <c r="L522" s="3">
        <v>20.47</v>
      </c>
      <c r="M522" s="3">
        <v>21.49</v>
      </c>
      <c r="N522" s="3">
        <v>44.99</v>
      </c>
      <c r="O522" s="2" t="s">
        <v>240</v>
      </c>
      <c r="P522" s="2" t="s">
        <v>266</v>
      </c>
      <c r="Q522" s="2" t="s">
        <v>234</v>
      </c>
      <c r="R522" s="2" t="s">
        <v>228</v>
      </c>
      <c r="S522" s="2" t="s">
        <v>3353</v>
      </c>
      <c r="T522" s="2" t="s">
        <v>415</v>
      </c>
      <c r="U522" s="2" t="s">
        <v>416</v>
      </c>
      <c r="V522" s="2" t="s">
        <v>236</v>
      </c>
      <c r="W522" s="2" t="s">
        <v>269</v>
      </c>
      <c r="X522" s="2" t="s">
        <v>1268</v>
      </c>
      <c r="Y522" s="2" t="s">
        <v>3354</v>
      </c>
      <c r="Z522" s="4">
        <v>62</v>
      </c>
      <c r="AA522" s="4">
        <f>=ROUNDDOWN(6.88888888888889,0)</f>
      </c>
      <c r="AB522" s="5">
        <v>9</v>
      </c>
      <c r="AC522" s="2" t="s">
        <v>3355</v>
      </c>
      <c r="AD522" s="4">
        <v>100</v>
      </c>
      <c r="AE522" s="4">
        <v>390</v>
      </c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228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 t="s">
        <v>228</v>
      </c>
      <c r="BD522" s="8" t="s">
        <v>228</v>
      </c>
      <c r="BE522" s="4" t="s">
        <v>228</v>
      </c>
      <c r="BF522" s="8" t="s">
        <v>228</v>
      </c>
      <c r="BG522" s="7" t="s">
        <v>228</v>
      </c>
      <c r="BH522" s="7" t="s">
        <v>228</v>
      </c>
      <c r="BI522" s="7"/>
      <c r="BJ522" s="4">
        <v>46</v>
      </c>
      <c r="BK522" s="8">
        <v>1035.8</v>
      </c>
      <c r="BL522" s="2" t="s">
        <v>3356</v>
      </c>
      <c r="BM522" s="7"/>
      <c r="BN522" s="7"/>
      <c r="BO522" s="4"/>
      <c r="BP522" s="8"/>
      <c r="BQ522" s="4"/>
      <c r="BR522" s="8"/>
      <c r="BS522" s="7"/>
      <c r="BT522" s="7"/>
      <c r="BU522" s="2" t="s">
        <v>3357</v>
      </c>
      <c r="BV522" s="2" t="s">
        <v>228</v>
      </c>
      <c r="BW522" s="2" t="s">
        <v>228</v>
      </c>
      <c r="BX522" s="2" t="s">
        <v>273</v>
      </c>
      <c r="BY522" s="2" t="s">
        <v>274</v>
      </c>
      <c r="BZ522" s="2" t="s">
        <v>240</v>
      </c>
      <c r="CA522" s="2" t="s">
        <v>3358</v>
      </c>
      <c r="CB522" s="2" t="s">
        <v>3359</v>
      </c>
      <c r="CC522" s="2" t="s">
        <v>241</v>
      </c>
      <c r="CD522" s="2" t="s">
        <v>228</v>
      </c>
      <c r="CE522" s="4">
        <v>62</v>
      </c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>
        <v>100</v>
      </c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>
        <v>30</v>
      </c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>
        <v>100</v>
      </c>
      <c r="GO522" s="4"/>
      <c r="GP522" s="4"/>
      <c r="GQ522" s="4"/>
      <c r="GR522" s="4"/>
      <c r="GS522" s="4">
        <v>70</v>
      </c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>
        <v>90</v>
      </c>
      <c r="HE522" s="4"/>
    </row>
    <row r="523">
      <c r="A523" s="2" t="s">
        <v>3360</v>
      </c>
      <c r="B523" s="2" t="s">
        <v>958</v>
      </c>
      <c r="C523" s="2" t="s">
        <v>300</v>
      </c>
      <c r="D523" s="2" t="s">
        <v>1006</v>
      </c>
      <c r="E523" s="2" t="s">
        <v>1766</v>
      </c>
      <c r="F523" s="2" t="s">
        <v>3350</v>
      </c>
      <c r="G523" s="2" t="s">
        <v>3361</v>
      </c>
      <c r="H523" s="2" t="s">
        <v>3362</v>
      </c>
      <c r="I523" s="2" t="s">
        <v>3363</v>
      </c>
      <c r="J523" s="2" t="s">
        <v>840</v>
      </c>
      <c r="K523" s="2" t="s">
        <v>480</v>
      </c>
      <c r="L523" s="3">
        <v>243.68</v>
      </c>
      <c r="M523" s="3">
        <v>255.86</v>
      </c>
      <c r="N523" s="3">
        <v>509</v>
      </c>
      <c r="O523" s="2" t="s">
        <v>240</v>
      </c>
      <c r="P523" s="2" t="s">
        <v>333</v>
      </c>
      <c r="Q523" s="2" t="s">
        <v>234</v>
      </c>
      <c r="R523" s="2" t="s">
        <v>228</v>
      </c>
      <c r="S523" s="2" t="s">
        <v>228</v>
      </c>
      <c r="T523" s="2" t="s">
        <v>228</v>
      </c>
      <c r="U523" s="2" t="s">
        <v>416</v>
      </c>
      <c r="V523" s="2" t="s">
        <v>842</v>
      </c>
      <c r="W523" s="2" t="s">
        <v>417</v>
      </c>
      <c r="X523" s="2" t="s">
        <v>269</v>
      </c>
      <c r="Y523" s="2" t="s">
        <v>3364</v>
      </c>
      <c r="Z523" s="4">
        <v>65</v>
      </c>
      <c r="AA523" s="4">
        <f>=ROUNDDOWN(32.5,0)</f>
      </c>
      <c r="AB523" s="5">
        <v>2</v>
      </c>
      <c r="AC523" s="2" t="s">
        <v>228</v>
      </c>
      <c r="AD523" s="4"/>
      <c r="AE523" s="4"/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228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 t="s">
        <v>228</v>
      </c>
      <c r="BD523" s="8" t="s">
        <v>228</v>
      </c>
      <c r="BE523" s="4" t="s">
        <v>228</v>
      </c>
      <c r="BF523" s="8" t="s">
        <v>228</v>
      </c>
      <c r="BG523" s="7" t="s">
        <v>228</v>
      </c>
      <c r="BH523" s="7" t="s">
        <v>228</v>
      </c>
      <c r="BI523" s="7"/>
      <c r="BJ523" s="4">
        <v>7</v>
      </c>
      <c r="BK523" s="8">
        <v>1816.62</v>
      </c>
      <c r="BL523" s="2" t="s">
        <v>3365</v>
      </c>
      <c r="BM523" s="7"/>
      <c r="BN523" s="7"/>
      <c r="BO523" s="4"/>
      <c r="BP523" s="8"/>
      <c r="BQ523" s="4"/>
      <c r="BR523" s="8"/>
      <c r="BS523" s="7"/>
      <c r="BT523" s="7"/>
      <c r="BU523" s="2" t="s">
        <v>3366</v>
      </c>
      <c r="BV523" s="2" t="s">
        <v>228</v>
      </c>
      <c r="BW523" s="2" t="s">
        <v>228</v>
      </c>
      <c r="BX523" s="2" t="s">
        <v>337</v>
      </c>
      <c r="BY523" s="2" t="s">
        <v>274</v>
      </c>
      <c r="BZ523" s="2" t="s">
        <v>240</v>
      </c>
      <c r="CA523" s="2" t="s">
        <v>3367</v>
      </c>
      <c r="CB523" s="2" t="s">
        <v>3368</v>
      </c>
      <c r="CC523" s="2" t="s">
        <v>241</v>
      </c>
      <c r="CD523" s="2" t="s">
        <v>228</v>
      </c>
      <c r="CE523" s="4"/>
      <c r="CF523" s="4">
        <v>65</v>
      </c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</row>
    <row r="524">
      <c r="A524" s="2" t="s">
        <v>3369</v>
      </c>
      <c r="B524" s="2" t="s">
        <v>958</v>
      </c>
      <c r="C524" s="2" t="s">
        <v>300</v>
      </c>
      <c r="D524" s="2" t="s">
        <v>1790</v>
      </c>
      <c r="E524" s="2" t="s">
        <v>3370</v>
      </c>
      <c r="F524" s="2" t="s">
        <v>3371</v>
      </c>
      <c r="G524" s="2" t="s">
        <v>3372</v>
      </c>
      <c r="H524" s="2" t="s">
        <v>3373</v>
      </c>
      <c r="I524" s="2" t="s">
        <v>3374</v>
      </c>
      <c r="J524" s="2" t="s">
        <v>840</v>
      </c>
      <c r="K524" s="2" t="s">
        <v>249</v>
      </c>
      <c r="L524" s="3">
        <v>99.75</v>
      </c>
      <c r="M524" s="3">
        <v>104.74</v>
      </c>
      <c r="N524" s="3">
        <v>209</v>
      </c>
      <c r="O524" s="2" t="s">
        <v>461</v>
      </c>
      <c r="P524" s="2" t="s">
        <v>333</v>
      </c>
      <c r="Q524" s="2" t="s">
        <v>234</v>
      </c>
      <c r="R524" s="2" t="s">
        <v>228</v>
      </c>
      <c r="S524" s="2" t="s">
        <v>3375</v>
      </c>
      <c r="T524" s="2" t="s">
        <v>228</v>
      </c>
      <c r="U524" s="2" t="s">
        <v>228</v>
      </c>
      <c r="V524" s="2" t="s">
        <v>236</v>
      </c>
      <c r="W524" s="2" t="s">
        <v>463</v>
      </c>
      <c r="X524" s="2" t="s">
        <v>228</v>
      </c>
      <c r="Y524" s="2" t="s">
        <v>270</v>
      </c>
      <c r="Z524" s="4">
        <v>14</v>
      </c>
      <c r="AA524" s="4">
        <f>=ROUNDDOWN(12.7272727272727,0)</f>
      </c>
      <c r="AB524" s="5">
        <v>1.1</v>
      </c>
      <c r="AC524" s="2" t="s">
        <v>228</v>
      </c>
      <c r="AD524" s="4"/>
      <c r="AE524" s="4"/>
      <c r="AF524" s="6">
        <v>75</v>
      </c>
      <c r="AG524" s="6">
        <v>66</v>
      </c>
      <c r="AH524" s="7">
        <v>1</v>
      </c>
      <c r="AI524" s="4"/>
      <c r="AJ524" s="4">
        <f>=ROUNDDOWN({0},0)</f>
      </c>
      <c r="AK524" s="5"/>
      <c r="AL524" s="2" t="s">
        <v>228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/>
      <c r="BD524" s="8"/>
      <c r="BE524" s="4"/>
      <c r="BF524" s="8"/>
      <c r="BG524" s="7"/>
      <c r="BH524" s="7"/>
      <c r="BI524" s="7"/>
      <c r="BJ524" s="4">
        <v>13</v>
      </c>
      <c r="BK524" s="8">
        <v>1041.52</v>
      </c>
      <c r="BL524" s="2" t="s">
        <v>3376</v>
      </c>
      <c r="BM524" s="7"/>
      <c r="BN524" s="7"/>
      <c r="BO524" s="4"/>
      <c r="BP524" s="8"/>
      <c r="BQ524" s="4"/>
      <c r="BR524" s="8"/>
      <c r="BS524" s="7"/>
      <c r="BT524" s="7"/>
      <c r="BU524" s="2" t="s">
        <v>3377</v>
      </c>
      <c r="BV524" s="2" t="s">
        <v>228</v>
      </c>
      <c r="BW524" s="2" t="s">
        <v>228</v>
      </c>
      <c r="BX524" s="2" t="s">
        <v>337</v>
      </c>
      <c r="BY524" s="2" t="s">
        <v>274</v>
      </c>
      <c r="BZ524" s="2" t="s">
        <v>240</v>
      </c>
      <c r="CA524" s="2" t="s">
        <v>2709</v>
      </c>
      <c r="CB524" s="2" t="s">
        <v>339</v>
      </c>
      <c r="CC524" s="2" t="s">
        <v>241</v>
      </c>
      <c r="CD524" s="2" t="s">
        <v>228</v>
      </c>
      <c r="CE524" s="4"/>
      <c r="CF524" s="4">
        <v>14</v>
      </c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</row>
    <row r="525">
      <c r="A525" s="2" t="s">
        <v>3378</v>
      </c>
      <c r="B525" s="2" t="s">
        <v>958</v>
      </c>
      <c r="C525" s="2" t="s">
        <v>773</v>
      </c>
      <c r="D525" s="2" t="s">
        <v>959</v>
      </c>
      <c r="E525" s="2" t="s">
        <v>960</v>
      </c>
      <c r="F525" s="2" t="s">
        <v>3379</v>
      </c>
      <c r="G525" s="2" t="s">
        <v>3379</v>
      </c>
      <c r="H525" s="2" t="s">
        <v>3379</v>
      </c>
      <c r="I525" s="2" t="s">
        <v>3380</v>
      </c>
      <c r="J525" s="2" t="s">
        <v>840</v>
      </c>
      <c r="K525" s="2" t="s">
        <v>3381</v>
      </c>
      <c r="L525" s="3">
        <v>212.85</v>
      </c>
      <c r="M525" s="3">
        <v>223.49</v>
      </c>
      <c r="N525" s="3">
        <v>449</v>
      </c>
      <c r="O525" s="2" t="s">
        <v>240</v>
      </c>
      <c r="P525" s="2" t="s">
        <v>266</v>
      </c>
      <c r="Q525" s="2" t="s">
        <v>234</v>
      </c>
      <c r="R525" s="2" t="s">
        <v>228</v>
      </c>
      <c r="S525" s="2" t="s">
        <v>228</v>
      </c>
      <c r="T525" s="2" t="s">
        <v>228</v>
      </c>
      <c r="U525" s="2" t="s">
        <v>416</v>
      </c>
      <c r="V525" s="2" t="s">
        <v>236</v>
      </c>
      <c r="W525" s="2" t="s">
        <v>743</v>
      </c>
      <c r="X525" s="2" t="s">
        <v>228</v>
      </c>
      <c r="Y525" s="2" t="s">
        <v>3382</v>
      </c>
      <c r="Z525" s="4">
        <v>136</v>
      </c>
      <c r="AA525" s="4">
        <f>=ROUNDDOWN(34,0)</f>
      </c>
      <c r="AB525" s="5">
        <v>4</v>
      </c>
      <c r="AC525" s="2" t="s">
        <v>187</v>
      </c>
      <c r="AD525" s="4">
        <v>96</v>
      </c>
      <c r="AE525" s="4">
        <v>192</v>
      </c>
      <c r="AF525" s="6">
        <v>66</v>
      </c>
      <c r="AG525" s="6">
        <v>49</v>
      </c>
      <c r="AH525" s="7">
        <v>1</v>
      </c>
      <c r="AI525" s="4"/>
      <c r="AJ525" s="4">
        <f>=ROUNDDOWN({0},0)</f>
      </c>
      <c r="AK525" s="5"/>
      <c r="AL525" s="2" t="s">
        <v>228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 t="s">
        <v>228</v>
      </c>
      <c r="BD525" s="8" t="s">
        <v>228</v>
      </c>
      <c r="BE525" s="4" t="s">
        <v>228</v>
      </c>
      <c r="BF525" s="8" t="s">
        <v>228</v>
      </c>
      <c r="BG525" s="7" t="s">
        <v>228</v>
      </c>
      <c r="BH525" s="7" t="s">
        <v>228</v>
      </c>
      <c r="BI525" s="7"/>
      <c r="BJ525" s="4">
        <v>12</v>
      </c>
      <c r="BK525" s="8">
        <v>2737.98</v>
      </c>
      <c r="BL525" s="2" t="s">
        <v>3383</v>
      </c>
      <c r="BM525" s="7"/>
      <c r="BN525" s="7"/>
      <c r="BO525" s="4"/>
      <c r="BP525" s="8"/>
      <c r="BQ525" s="4"/>
      <c r="BR525" s="8"/>
      <c r="BS525" s="7"/>
      <c r="BT525" s="7"/>
      <c r="BU525" s="2" t="s">
        <v>3384</v>
      </c>
      <c r="BV525" s="2" t="s">
        <v>228</v>
      </c>
      <c r="BW525" s="2" t="s">
        <v>228</v>
      </c>
      <c r="BX525" s="2" t="s">
        <v>273</v>
      </c>
      <c r="BY525" s="2" t="s">
        <v>274</v>
      </c>
      <c r="BZ525" s="2" t="s">
        <v>240</v>
      </c>
      <c r="CA525" s="2" t="s">
        <v>2037</v>
      </c>
      <c r="CB525" s="2" t="s">
        <v>2346</v>
      </c>
      <c r="CC525" s="2" t="s">
        <v>241</v>
      </c>
      <c r="CD525" s="2" t="s">
        <v>228</v>
      </c>
      <c r="CE525" s="4"/>
      <c r="CF525" s="4">
        <v>136</v>
      </c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>
        <v>96</v>
      </c>
      <c r="FX525" s="4"/>
      <c r="FY525" s="4"/>
      <c r="FZ525" s="4"/>
      <c r="GA525" s="4"/>
      <c r="GB525" s="4"/>
      <c r="GC525" s="4"/>
      <c r="GD525" s="4"/>
      <c r="GE525" s="4"/>
      <c r="GF525" s="4"/>
      <c r="GG525" s="4">
        <v>96</v>
      </c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</row>
    <row r="526">
      <c r="A526" s="2" t="s">
        <v>3385</v>
      </c>
      <c r="B526" s="2" t="s">
        <v>958</v>
      </c>
      <c r="C526" s="2" t="s">
        <v>773</v>
      </c>
      <c r="D526" s="2" t="s">
        <v>959</v>
      </c>
      <c r="E526" s="2" t="s">
        <v>960</v>
      </c>
      <c r="F526" s="2" t="s">
        <v>3379</v>
      </c>
      <c r="G526" s="2" t="s">
        <v>3379</v>
      </c>
      <c r="H526" s="2" t="s">
        <v>3379</v>
      </c>
      <c r="I526" s="2" t="s">
        <v>3386</v>
      </c>
      <c r="J526" s="2" t="s">
        <v>840</v>
      </c>
      <c r="K526" s="2" t="s">
        <v>3387</v>
      </c>
      <c r="L526" s="3">
        <v>212.85</v>
      </c>
      <c r="M526" s="3">
        <v>223.49</v>
      </c>
      <c r="N526" s="3">
        <v>449</v>
      </c>
      <c r="O526" s="2" t="s">
        <v>240</v>
      </c>
      <c r="P526" s="2" t="s">
        <v>1012</v>
      </c>
      <c r="Q526" s="2" t="s">
        <v>234</v>
      </c>
      <c r="R526" s="2" t="s">
        <v>228</v>
      </c>
      <c r="S526" s="2" t="s">
        <v>3388</v>
      </c>
      <c r="T526" s="2" t="s">
        <v>228</v>
      </c>
      <c r="U526" s="2" t="s">
        <v>416</v>
      </c>
      <c r="V526" s="2" t="s">
        <v>236</v>
      </c>
      <c r="W526" s="2" t="s">
        <v>743</v>
      </c>
      <c r="X526" s="2" t="s">
        <v>228</v>
      </c>
      <c r="Y526" s="2" t="s">
        <v>3389</v>
      </c>
      <c r="Z526" s="4">
        <v>95</v>
      </c>
      <c r="AA526" s="4">
        <f>=ROUNDDOWN(47.5,0)</f>
      </c>
      <c r="AB526" s="5">
        <v>2</v>
      </c>
      <c r="AC526" s="2" t="s">
        <v>228</v>
      </c>
      <c r="AD526" s="4"/>
      <c r="AE526" s="4"/>
      <c r="AF526" s="6">
        <v>66</v>
      </c>
      <c r="AG526" s="6">
        <v>49</v>
      </c>
      <c r="AH526" s="7">
        <v>1</v>
      </c>
      <c r="AI526" s="4"/>
      <c r="AJ526" s="4">
        <f>=ROUNDDOWN({0},0)</f>
      </c>
      <c r="AK526" s="5"/>
      <c r="AL526" s="2" t="s">
        <v>228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 t="s">
        <v>228</v>
      </c>
      <c r="BD526" s="8" t="s">
        <v>228</v>
      </c>
      <c r="BE526" s="4" t="s">
        <v>228</v>
      </c>
      <c r="BF526" s="8" t="s">
        <v>228</v>
      </c>
      <c r="BG526" s="7" t="s">
        <v>228</v>
      </c>
      <c r="BH526" s="7" t="s">
        <v>228</v>
      </c>
      <c r="BI526" s="7"/>
      <c r="BJ526" s="4">
        <v>8</v>
      </c>
      <c r="BK526" s="8">
        <v>1720.75</v>
      </c>
      <c r="BL526" s="2" t="s">
        <v>3390</v>
      </c>
      <c r="BM526" s="7"/>
      <c r="BN526" s="7"/>
      <c r="BO526" s="4"/>
      <c r="BP526" s="8"/>
      <c r="BQ526" s="4"/>
      <c r="BR526" s="8"/>
      <c r="BS526" s="7"/>
      <c r="BT526" s="7"/>
      <c r="BU526" s="2" t="s">
        <v>3391</v>
      </c>
      <c r="BV526" s="2" t="s">
        <v>228</v>
      </c>
      <c r="BW526" s="2" t="s">
        <v>228</v>
      </c>
      <c r="BX526" s="2" t="s">
        <v>273</v>
      </c>
      <c r="BY526" s="2" t="s">
        <v>274</v>
      </c>
      <c r="BZ526" s="2" t="s">
        <v>240</v>
      </c>
      <c r="CA526" s="2" t="s">
        <v>339</v>
      </c>
      <c r="CB526" s="2" t="s">
        <v>3392</v>
      </c>
      <c r="CC526" s="2" t="s">
        <v>241</v>
      </c>
      <c r="CD526" s="2" t="s">
        <v>228</v>
      </c>
      <c r="CE526" s="4"/>
      <c r="CF526" s="4">
        <v>95</v>
      </c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</row>
    <row r="527">
      <c r="A527" s="2" t="s">
        <v>3393</v>
      </c>
      <c r="B527" s="2" t="s">
        <v>970</v>
      </c>
      <c r="C527" s="2" t="s">
        <v>1743</v>
      </c>
      <c r="D527" s="2" t="s">
        <v>971</v>
      </c>
      <c r="E527" s="2" t="s">
        <v>1121</v>
      </c>
      <c r="F527" s="2" t="s">
        <v>3394</v>
      </c>
      <c r="G527" s="2" t="s">
        <v>3395</v>
      </c>
      <c r="H527" s="2" t="s">
        <v>3396</v>
      </c>
      <c r="I527" s="2" t="s">
        <v>3397</v>
      </c>
      <c r="J527" s="2" t="s">
        <v>3398</v>
      </c>
      <c r="K527" s="2" t="s">
        <v>1466</v>
      </c>
      <c r="L527" s="3">
        <v>17.02</v>
      </c>
      <c r="M527" s="3">
        <v>17.87</v>
      </c>
      <c r="N527" s="3">
        <v>36.99</v>
      </c>
      <c r="O527" s="2" t="s">
        <v>240</v>
      </c>
      <c r="P527" s="2" t="s">
        <v>333</v>
      </c>
      <c r="Q527" s="2" t="s">
        <v>234</v>
      </c>
      <c r="R527" s="2" t="s">
        <v>228</v>
      </c>
      <c r="S527" s="2" t="s">
        <v>3399</v>
      </c>
      <c r="T527" s="2" t="s">
        <v>3400</v>
      </c>
      <c r="U527" s="2" t="s">
        <v>520</v>
      </c>
      <c r="V527" s="2" t="s">
        <v>236</v>
      </c>
      <c r="W527" s="2" t="s">
        <v>417</v>
      </c>
      <c r="X527" s="2" t="s">
        <v>3401</v>
      </c>
      <c r="Y527" s="2" t="s">
        <v>3402</v>
      </c>
      <c r="Z527" s="4">
        <v>68</v>
      </c>
      <c r="AA527" s="4">
        <f>=ROUNDDOWN(45.3333333333333,0)</f>
      </c>
      <c r="AB527" s="5">
        <v>1.5</v>
      </c>
      <c r="AC527" s="2" t="s">
        <v>228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228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 t="s">
        <v>228</v>
      </c>
      <c r="BD527" s="8" t="s">
        <v>228</v>
      </c>
      <c r="BE527" s="4" t="s">
        <v>228</v>
      </c>
      <c r="BF527" s="8" t="s">
        <v>228</v>
      </c>
      <c r="BG527" s="7" t="s">
        <v>228</v>
      </c>
      <c r="BH527" s="7" t="s">
        <v>228</v>
      </c>
      <c r="BI527" s="7"/>
      <c r="BJ527" s="4">
        <v>7</v>
      </c>
      <c r="BK527" s="8">
        <v>122.19</v>
      </c>
      <c r="BL527" s="2" t="s">
        <v>2720</v>
      </c>
      <c r="BM527" s="7"/>
      <c r="BN527" s="7"/>
      <c r="BO527" s="4"/>
      <c r="BP527" s="8"/>
      <c r="BQ527" s="4"/>
      <c r="BR527" s="8"/>
      <c r="BS527" s="7"/>
      <c r="BT527" s="7"/>
      <c r="BU527" s="2" t="s">
        <v>3403</v>
      </c>
      <c r="BV527" s="2" t="s">
        <v>228</v>
      </c>
      <c r="BW527" s="2" t="s">
        <v>228</v>
      </c>
      <c r="BX527" s="2" t="s">
        <v>337</v>
      </c>
      <c r="BY527" s="2" t="s">
        <v>274</v>
      </c>
      <c r="BZ527" s="2" t="s">
        <v>240</v>
      </c>
      <c r="CA527" s="2" t="s">
        <v>3402</v>
      </c>
      <c r="CB527" s="2" t="s">
        <v>3404</v>
      </c>
      <c r="CC527" s="2" t="s">
        <v>241</v>
      </c>
      <c r="CD527" s="2" t="s">
        <v>228</v>
      </c>
      <c r="CE527" s="4">
        <v>68</v>
      </c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</row>
    <row r="528">
      <c r="A528" s="2" t="s">
        <v>3405</v>
      </c>
      <c r="B528" s="2" t="s">
        <v>970</v>
      </c>
      <c r="C528" s="2" t="s">
        <v>1743</v>
      </c>
      <c r="D528" s="2" t="s">
        <v>971</v>
      </c>
      <c r="E528" s="2" t="s">
        <v>1121</v>
      </c>
      <c r="F528" s="2" t="s">
        <v>3394</v>
      </c>
      <c r="G528" s="2" t="s">
        <v>3395</v>
      </c>
      <c r="H528" s="2" t="s">
        <v>3396</v>
      </c>
      <c r="I528" s="2" t="s">
        <v>3397</v>
      </c>
      <c r="J528" s="2" t="s">
        <v>3406</v>
      </c>
      <c r="K528" s="2" t="s">
        <v>460</v>
      </c>
      <c r="L528" s="3">
        <v>19.32</v>
      </c>
      <c r="M528" s="3">
        <v>20.29</v>
      </c>
      <c r="N528" s="3">
        <v>41.99</v>
      </c>
      <c r="O528" s="2" t="s">
        <v>240</v>
      </c>
      <c r="P528" s="2" t="s">
        <v>233</v>
      </c>
      <c r="Q528" s="2" t="s">
        <v>234</v>
      </c>
      <c r="R528" s="2" t="s">
        <v>228</v>
      </c>
      <c r="S528" s="2" t="s">
        <v>3407</v>
      </c>
      <c r="T528" s="2" t="s">
        <v>3400</v>
      </c>
      <c r="U528" s="2" t="s">
        <v>520</v>
      </c>
      <c r="V528" s="2" t="s">
        <v>236</v>
      </c>
      <c r="W528" s="2" t="s">
        <v>417</v>
      </c>
      <c r="X528" s="2" t="s">
        <v>3401</v>
      </c>
      <c r="Y528" s="2" t="s">
        <v>2912</v>
      </c>
      <c r="Z528" s="4">
        <v>66</v>
      </c>
      <c r="AA528" s="4">
        <f>=ROUNDDOWN(16.5,0)</f>
      </c>
      <c r="AB528" s="5">
        <v>4</v>
      </c>
      <c r="AC528" s="2" t="s">
        <v>228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228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228</v>
      </c>
      <c r="AW528" s="8" t="s">
        <v>228</v>
      </c>
      <c r="AX528" s="4" t="s">
        <v>228</v>
      </c>
      <c r="AY528" s="8" t="s">
        <v>228</v>
      </c>
      <c r="AZ528" s="7" t="s">
        <v>228</v>
      </c>
      <c r="BA528" s="7" t="s">
        <v>228</v>
      </c>
      <c r="BB528" s="7"/>
      <c r="BC528" s="4" t="s">
        <v>228</v>
      </c>
      <c r="BD528" s="8" t="s">
        <v>228</v>
      </c>
      <c r="BE528" s="4" t="s">
        <v>228</v>
      </c>
      <c r="BF528" s="8" t="s">
        <v>228</v>
      </c>
      <c r="BG528" s="7" t="s">
        <v>228</v>
      </c>
      <c r="BH528" s="7" t="s">
        <v>228</v>
      </c>
      <c r="BI528" s="7"/>
      <c r="BJ528" s="4">
        <v>22</v>
      </c>
      <c r="BK528" s="8">
        <v>429.88</v>
      </c>
      <c r="BL528" s="2" t="s">
        <v>3408</v>
      </c>
      <c r="BM528" s="7"/>
      <c r="BN528" s="7"/>
      <c r="BO528" s="4"/>
      <c r="BP528" s="8"/>
      <c r="BQ528" s="4"/>
      <c r="BR528" s="8"/>
      <c r="BS528" s="7"/>
      <c r="BT528" s="7"/>
      <c r="BU528" s="2" t="s">
        <v>3409</v>
      </c>
      <c r="BV528" s="2" t="s">
        <v>228</v>
      </c>
      <c r="BW528" s="2" t="s">
        <v>228</v>
      </c>
      <c r="BX528" s="2" t="s">
        <v>273</v>
      </c>
      <c r="BY528" s="2" t="s">
        <v>274</v>
      </c>
      <c r="BZ528" s="2" t="s">
        <v>240</v>
      </c>
      <c r="CA528" s="2" t="s">
        <v>1849</v>
      </c>
      <c r="CB528" s="2" t="s">
        <v>421</v>
      </c>
      <c r="CC528" s="2" t="s">
        <v>241</v>
      </c>
      <c r="CD528" s="2" t="s">
        <v>228</v>
      </c>
      <c r="CE528" s="4">
        <v>66</v>
      </c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</row>
    <row r="529">
      <c r="A529" s="2" t="s">
        <v>3410</v>
      </c>
      <c r="B529" s="2" t="s">
        <v>970</v>
      </c>
      <c r="C529" s="2" t="s">
        <v>1743</v>
      </c>
      <c r="D529" s="2" t="s">
        <v>971</v>
      </c>
      <c r="E529" s="2" t="s">
        <v>1121</v>
      </c>
      <c r="F529" s="2" t="s">
        <v>3394</v>
      </c>
      <c r="G529" s="2" t="s">
        <v>3395</v>
      </c>
      <c r="H529" s="2" t="s">
        <v>3396</v>
      </c>
      <c r="I529" s="2" t="s">
        <v>3397</v>
      </c>
      <c r="J529" s="2" t="s">
        <v>3411</v>
      </c>
      <c r="K529" s="2" t="s">
        <v>460</v>
      </c>
      <c r="L529" s="3">
        <v>22.09</v>
      </c>
      <c r="M529" s="3">
        <v>23.19</v>
      </c>
      <c r="N529" s="3">
        <v>46.99</v>
      </c>
      <c r="O529" s="2" t="s">
        <v>240</v>
      </c>
      <c r="P529" s="2" t="s">
        <v>233</v>
      </c>
      <c r="Q529" s="2" t="s">
        <v>234</v>
      </c>
      <c r="R529" s="2" t="s">
        <v>228</v>
      </c>
      <c r="S529" s="2" t="s">
        <v>3412</v>
      </c>
      <c r="T529" s="2" t="s">
        <v>3400</v>
      </c>
      <c r="U529" s="2" t="s">
        <v>520</v>
      </c>
      <c r="V529" s="2" t="s">
        <v>236</v>
      </c>
      <c r="W529" s="2" t="s">
        <v>417</v>
      </c>
      <c r="X529" s="2" t="s">
        <v>3401</v>
      </c>
      <c r="Y529" s="2" t="s">
        <v>2912</v>
      </c>
      <c r="Z529" s="4">
        <v>118</v>
      </c>
      <c r="AA529" s="4">
        <f>=ROUNDDOWN(39.3333333333333,0)</f>
      </c>
      <c r="AB529" s="5">
        <v>3</v>
      </c>
      <c r="AC529" s="2" t="s">
        <v>228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228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228</v>
      </c>
      <c r="AW529" s="8" t="s">
        <v>228</v>
      </c>
      <c r="AX529" s="4" t="s">
        <v>228</v>
      </c>
      <c r="AY529" s="8" t="s">
        <v>228</v>
      </c>
      <c r="AZ529" s="7" t="s">
        <v>228</v>
      </c>
      <c r="BA529" s="7" t="s">
        <v>228</v>
      </c>
      <c r="BB529" s="7"/>
      <c r="BC529" s="4" t="s">
        <v>228</v>
      </c>
      <c r="BD529" s="8" t="s">
        <v>228</v>
      </c>
      <c r="BE529" s="4" t="s">
        <v>228</v>
      </c>
      <c r="BF529" s="8" t="s">
        <v>228</v>
      </c>
      <c r="BG529" s="7" t="s">
        <v>228</v>
      </c>
      <c r="BH529" s="7" t="s">
        <v>228</v>
      </c>
      <c r="BI529" s="7"/>
      <c r="BJ529" s="4">
        <v>5</v>
      </c>
      <c r="BK529" s="8">
        <v>127.02</v>
      </c>
      <c r="BL529" s="2" t="s">
        <v>2995</v>
      </c>
      <c r="BM529" s="7"/>
      <c r="BN529" s="7"/>
      <c r="BO529" s="4"/>
      <c r="BP529" s="8"/>
      <c r="BQ529" s="4"/>
      <c r="BR529" s="8"/>
      <c r="BS529" s="7"/>
      <c r="BT529" s="7"/>
      <c r="BU529" s="2" t="s">
        <v>3413</v>
      </c>
      <c r="BV529" s="2" t="s">
        <v>228</v>
      </c>
      <c r="BW529" s="2" t="s">
        <v>228</v>
      </c>
      <c r="BX529" s="2" t="s">
        <v>273</v>
      </c>
      <c r="BY529" s="2" t="s">
        <v>274</v>
      </c>
      <c r="BZ529" s="2" t="s">
        <v>240</v>
      </c>
      <c r="CA529" s="2" t="s">
        <v>1849</v>
      </c>
      <c r="CB529" s="2" t="s">
        <v>3414</v>
      </c>
      <c r="CC529" s="2" t="s">
        <v>241</v>
      </c>
      <c r="CD529" s="2" t="s">
        <v>228</v>
      </c>
      <c r="CE529" s="4">
        <v>118</v>
      </c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</row>
    <row r="530">
      <c r="A530" s="2" t="s">
        <v>3415</v>
      </c>
      <c r="B530" s="2" t="s">
        <v>970</v>
      </c>
      <c r="C530" s="2" t="s">
        <v>1743</v>
      </c>
      <c r="D530" s="2" t="s">
        <v>971</v>
      </c>
      <c r="E530" s="2" t="s">
        <v>1121</v>
      </c>
      <c r="F530" s="2" t="s">
        <v>3394</v>
      </c>
      <c r="G530" s="2" t="s">
        <v>3395</v>
      </c>
      <c r="H530" s="2" t="s">
        <v>3396</v>
      </c>
      <c r="I530" s="2" t="s">
        <v>3397</v>
      </c>
      <c r="J530" s="2" t="s">
        <v>3406</v>
      </c>
      <c r="K530" s="2" t="s">
        <v>3416</v>
      </c>
      <c r="L530" s="3">
        <v>19.32</v>
      </c>
      <c r="M530" s="3">
        <v>20.29</v>
      </c>
      <c r="N530" s="3">
        <v>41.99</v>
      </c>
      <c r="O530" s="2" t="s">
        <v>240</v>
      </c>
      <c r="P530" s="2" t="s">
        <v>233</v>
      </c>
      <c r="Q530" s="2" t="s">
        <v>234</v>
      </c>
      <c r="R530" s="2" t="s">
        <v>228</v>
      </c>
      <c r="S530" s="2" t="s">
        <v>3417</v>
      </c>
      <c r="T530" s="2" t="s">
        <v>3400</v>
      </c>
      <c r="U530" s="2" t="s">
        <v>520</v>
      </c>
      <c r="V530" s="2" t="s">
        <v>236</v>
      </c>
      <c r="W530" s="2" t="s">
        <v>417</v>
      </c>
      <c r="X530" s="2" t="s">
        <v>3401</v>
      </c>
      <c r="Y530" s="2" t="s">
        <v>3418</v>
      </c>
      <c r="Z530" s="4">
        <v>223</v>
      </c>
      <c r="AA530" s="4">
        <f>=ROUNDDOWN(37.1666666666667,0)</f>
      </c>
      <c r="AB530" s="5">
        <v>6</v>
      </c>
      <c r="AC530" s="2" t="s">
        <v>228</v>
      </c>
      <c r="AD530" s="4"/>
      <c r="AE530" s="4"/>
      <c r="AF530" s="6">
        <v>64</v>
      </c>
      <c r="AG530" s="6"/>
      <c r="AH530" s="7">
        <v>1</v>
      </c>
      <c r="AI530" s="4"/>
      <c r="AJ530" s="4">
        <f>=ROUNDDOWN({0},0)</f>
      </c>
      <c r="AK530" s="5"/>
      <c r="AL530" s="2" t="s">
        <v>228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228</v>
      </c>
      <c r="AW530" s="8" t="s">
        <v>228</v>
      </c>
      <c r="AX530" s="4" t="s">
        <v>228</v>
      </c>
      <c r="AY530" s="8" t="s">
        <v>228</v>
      </c>
      <c r="AZ530" s="7" t="s">
        <v>228</v>
      </c>
      <c r="BA530" s="7" t="s">
        <v>228</v>
      </c>
      <c r="BB530" s="7"/>
      <c r="BC530" s="4" t="s">
        <v>228</v>
      </c>
      <c r="BD530" s="8" t="s">
        <v>228</v>
      </c>
      <c r="BE530" s="4" t="s">
        <v>228</v>
      </c>
      <c r="BF530" s="8" t="s">
        <v>228</v>
      </c>
      <c r="BG530" s="7" t="s">
        <v>228</v>
      </c>
      <c r="BH530" s="7" t="s">
        <v>228</v>
      </c>
      <c r="BI530" s="7"/>
      <c r="BJ530" s="4"/>
      <c r="BK530" s="8"/>
      <c r="BL530" s="2" t="s">
        <v>228</v>
      </c>
      <c r="BM530" s="7"/>
      <c r="BN530" s="7"/>
      <c r="BO530" s="4"/>
      <c r="BP530" s="8"/>
      <c r="BQ530" s="4"/>
      <c r="BR530" s="8"/>
      <c r="BS530" s="7"/>
      <c r="BT530" s="7"/>
      <c r="BU530" s="2" t="s">
        <v>3419</v>
      </c>
      <c r="BV530" s="2" t="s">
        <v>228</v>
      </c>
      <c r="BW530" s="2" t="s">
        <v>228</v>
      </c>
      <c r="BX530" s="2" t="s">
        <v>273</v>
      </c>
      <c r="BY530" s="2" t="s">
        <v>274</v>
      </c>
      <c r="BZ530" s="2" t="s">
        <v>240</v>
      </c>
      <c r="CA530" s="2" t="s">
        <v>3125</v>
      </c>
      <c r="CB530" s="2" t="s">
        <v>228</v>
      </c>
      <c r="CC530" s="2" t="s">
        <v>241</v>
      </c>
      <c r="CD530" s="2" t="s">
        <v>228</v>
      </c>
      <c r="CE530" s="4">
        <v>223</v>
      </c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</row>
    <row r="531">
      <c r="A531" s="2" t="s">
        <v>3420</v>
      </c>
      <c r="B531" s="2" t="s">
        <v>970</v>
      </c>
      <c r="C531" s="2" t="s">
        <v>1743</v>
      </c>
      <c r="D531" s="2" t="s">
        <v>971</v>
      </c>
      <c r="E531" s="2" t="s">
        <v>1121</v>
      </c>
      <c r="F531" s="2" t="s">
        <v>3394</v>
      </c>
      <c r="G531" s="2" t="s">
        <v>3395</v>
      </c>
      <c r="H531" s="2" t="s">
        <v>3396</v>
      </c>
      <c r="I531" s="2" t="s">
        <v>3397</v>
      </c>
      <c r="J531" s="2" t="s">
        <v>3411</v>
      </c>
      <c r="K531" s="2" t="s">
        <v>3416</v>
      </c>
      <c r="L531" s="3">
        <v>22.09</v>
      </c>
      <c r="M531" s="3">
        <v>23.19</v>
      </c>
      <c r="N531" s="3">
        <v>46.99</v>
      </c>
      <c r="O531" s="2" t="s">
        <v>240</v>
      </c>
      <c r="P531" s="2" t="s">
        <v>233</v>
      </c>
      <c r="Q531" s="2" t="s">
        <v>234</v>
      </c>
      <c r="R531" s="2" t="s">
        <v>228</v>
      </c>
      <c r="S531" s="2" t="s">
        <v>3417</v>
      </c>
      <c r="T531" s="2" t="s">
        <v>3400</v>
      </c>
      <c r="U531" s="2" t="s">
        <v>520</v>
      </c>
      <c r="V531" s="2" t="s">
        <v>236</v>
      </c>
      <c r="W531" s="2" t="s">
        <v>417</v>
      </c>
      <c r="X531" s="2" t="s">
        <v>3401</v>
      </c>
      <c r="Y531" s="2" t="s">
        <v>3418</v>
      </c>
      <c r="Z531" s="4">
        <v>242</v>
      </c>
      <c r="AA531" s="4">
        <f>=ROUNDDOWN(60.5,0)</f>
      </c>
      <c r="AB531" s="5">
        <v>4</v>
      </c>
      <c r="AC531" s="2" t="s">
        <v>228</v>
      </c>
      <c r="AD531" s="4"/>
      <c r="AE531" s="4"/>
      <c r="AF531" s="6">
        <v>64</v>
      </c>
      <c r="AG531" s="6"/>
      <c r="AH531" s="7">
        <v>1</v>
      </c>
      <c r="AI531" s="4"/>
      <c r="AJ531" s="4">
        <f>=ROUNDDOWN({0},0)</f>
      </c>
      <c r="AK531" s="5"/>
      <c r="AL531" s="2" t="s">
        <v>228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228</v>
      </c>
      <c r="AW531" s="8" t="s">
        <v>228</v>
      </c>
      <c r="AX531" s="4" t="s">
        <v>228</v>
      </c>
      <c r="AY531" s="8" t="s">
        <v>228</v>
      </c>
      <c r="AZ531" s="7" t="s">
        <v>228</v>
      </c>
      <c r="BA531" s="7" t="s">
        <v>228</v>
      </c>
      <c r="BB531" s="7"/>
      <c r="BC531" s="4" t="s">
        <v>228</v>
      </c>
      <c r="BD531" s="8" t="s">
        <v>228</v>
      </c>
      <c r="BE531" s="4" t="s">
        <v>228</v>
      </c>
      <c r="BF531" s="8" t="s">
        <v>228</v>
      </c>
      <c r="BG531" s="7" t="s">
        <v>228</v>
      </c>
      <c r="BH531" s="7" t="s">
        <v>228</v>
      </c>
      <c r="BI531" s="7"/>
      <c r="BJ531" s="4"/>
      <c r="BK531" s="8"/>
      <c r="BL531" s="2" t="s">
        <v>228</v>
      </c>
      <c r="BM531" s="7"/>
      <c r="BN531" s="7"/>
      <c r="BO531" s="4"/>
      <c r="BP531" s="8"/>
      <c r="BQ531" s="4"/>
      <c r="BR531" s="8"/>
      <c r="BS531" s="7"/>
      <c r="BT531" s="7"/>
      <c r="BU531" s="2" t="s">
        <v>3421</v>
      </c>
      <c r="BV531" s="2" t="s">
        <v>228</v>
      </c>
      <c r="BW531" s="2" t="s">
        <v>228</v>
      </c>
      <c r="BX531" s="2" t="s">
        <v>273</v>
      </c>
      <c r="BY531" s="2" t="s">
        <v>274</v>
      </c>
      <c r="BZ531" s="2" t="s">
        <v>240</v>
      </c>
      <c r="CA531" s="2" t="s">
        <v>3125</v>
      </c>
      <c r="CB531" s="2" t="s">
        <v>228</v>
      </c>
      <c r="CC531" s="2" t="s">
        <v>241</v>
      </c>
      <c r="CD531" s="2" t="s">
        <v>228</v>
      </c>
      <c r="CE531" s="4">
        <v>242</v>
      </c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</row>
    <row r="532">
      <c r="A532" s="2" t="s">
        <v>3422</v>
      </c>
      <c r="B532" s="2" t="s">
        <v>970</v>
      </c>
      <c r="C532" s="2" t="s">
        <v>1743</v>
      </c>
      <c r="D532" s="2" t="s">
        <v>971</v>
      </c>
      <c r="E532" s="2" t="s">
        <v>1121</v>
      </c>
      <c r="F532" s="2" t="s">
        <v>3394</v>
      </c>
      <c r="G532" s="2" t="s">
        <v>3395</v>
      </c>
      <c r="H532" s="2" t="s">
        <v>3396</v>
      </c>
      <c r="I532" s="2" t="s">
        <v>3397</v>
      </c>
      <c r="J532" s="2" t="s">
        <v>3406</v>
      </c>
      <c r="K532" s="2" t="s">
        <v>2350</v>
      </c>
      <c r="L532" s="3">
        <v>19.32</v>
      </c>
      <c r="M532" s="3">
        <v>20.29</v>
      </c>
      <c r="N532" s="3">
        <v>41.99</v>
      </c>
      <c r="O532" s="2" t="s">
        <v>461</v>
      </c>
      <c r="P532" s="2" t="s">
        <v>333</v>
      </c>
      <c r="Q532" s="2" t="s">
        <v>234</v>
      </c>
      <c r="R532" s="2" t="s">
        <v>228</v>
      </c>
      <c r="S532" s="2" t="s">
        <v>3423</v>
      </c>
      <c r="T532" s="2" t="s">
        <v>3400</v>
      </c>
      <c r="U532" s="2" t="s">
        <v>520</v>
      </c>
      <c r="V532" s="2" t="s">
        <v>236</v>
      </c>
      <c r="W532" s="2" t="s">
        <v>417</v>
      </c>
      <c r="X532" s="2" t="s">
        <v>3401</v>
      </c>
      <c r="Y532" s="2" t="s">
        <v>3424</v>
      </c>
      <c r="Z532" s="4">
        <v>167</v>
      </c>
      <c r="AA532" s="4">
        <f>=ROUNDDOWN(33.4,0)</f>
      </c>
      <c r="AB532" s="5">
        <v>5</v>
      </c>
      <c r="AC532" s="2" t="s">
        <v>228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228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 t="s">
        <v>228</v>
      </c>
      <c r="BD532" s="8" t="s">
        <v>228</v>
      </c>
      <c r="BE532" s="4" t="s">
        <v>228</v>
      </c>
      <c r="BF532" s="8" t="s">
        <v>228</v>
      </c>
      <c r="BG532" s="7" t="s">
        <v>228</v>
      </c>
      <c r="BH532" s="7" t="s">
        <v>228</v>
      </c>
      <c r="BI532" s="7"/>
      <c r="BJ532" s="4">
        <v>6</v>
      </c>
      <c r="BK532" s="8">
        <v>119.88</v>
      </c>
      <c r="BL532" s="2" t="s">
        <v>3425</v>
      </c>
      <c r="BM532" s="7"/>
      <c r="BN532" s="7"/>
      <c r="BO532" s="4"/>
      <c r="BP532" s="8"/>
      <c r="BQ532" s="4"/>
      <c r="BR532" s="8"/>
      <c r="BS532" s="7"/>
      <c r="BT532" s="7"/>
      <c r="BU532" s="2" t="s">
        <v>3426</v>
      </c>
      <c r="BV532" s="2" t="s">
        <v>228</v>
      </c>
      <c r="BW532" s="2" t="s">
        <v>228</v>
      </c>
      <c r="BX532" s="2" t="s">
        <v>337</v>
      </c>
      <c r="BY532" s="2" t="s">
        <v>274</v>
      </c>
      <c r="BZ532" s="2" t="s">
        <v>240</v>
      </c>
      <c r="CA532" s="2" t="s">
        <v>3427</v>
      </c>
      <c r="CB532" s="2" t="s">
        <v>3428</v>
      </c>
      <c r="CC532" s="2" t="s">
        <v>241</v>
      </c>
      <c r="CD532" s="2" t="s">
        <v>228</v>
      </c>
      <c r="CE532" s="4">
        <v>167</v>
      </c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</row>
    <row r="533">
      <c r="A533" s="2" t="s">
        <v>3429</v>
      </c>
      <c r="B533" s="2" t="s">
        <v>970</v>
      </c>
      <c r="C533" s="2" t="s">
        <v>1743</v>
      </c>
      <c r="D533" s="2" t="s">
        <v>971</v>
      </c>
      <c r="E533" s="2" t="s">
        <v>1121</v>
      </c>
      <c r="F533" s="2" t="s">
        <v>3394</v>
      </c>
      <c r="G533" s="2" t="s">
        <v>3395</v>
      </c>
      <c r="H533" s="2" t="s">
        <v>3396</v>
      </c>
      <c r="I533" s="2" t="s">
        <v>3397</v>
      </c>
      <c r="J533" s="2" t="s">
        <v>3398</v>
      </c>
      <c r="K533" s="2" t="s">
        <v>251</v>
      </c>
      <c r="L533" s="3">
        <v>17.02</v>
      </c>
      <c r="M533" s="3">
        <v>17.87</v>
      </c>
      <c r="N533" s="3">
        <v>36.99</v>
      </c>
      <c r="O533" s="2" t="s">
        <v>240</v>
      </c>
      <c r="P533" s="2" t="s">
        <v>266</v>
      </c>
      <c r="Q533" s="2" t="s">
        <v>234</v>
      </c>
      <c r="R533" s="2" t="s">
        <v>228</v>
      </c>
      <c r="S533" s="2" t="s">
        <v>3430</v>
      </c>
      <c r="T533" s="2" t="s">
        <v>3400</v>
      </c>
      <c r="U533" s="2" t="s">
        <v>520</v>
      </c>
      <c r="V533" s="2" t="s">
        <v>236</v>
      </c>
      <c r="W533" s="2" t="s">
        <v>417</v>
      </c>
      <c r="X533" s="2" t="s">
        <v>3401</v>
      </c>
      <c r="Y533" s="2" t="s">
        <v>3424</v>
      </c>
      <c r="Z533" s="4">
        <v>117</v>
      </c>
      <c r="AA533" s="4">
        <f>=ROUNDDOWN(117,0)</f>
      </c>
      <c r="AB533" s="5">
        <v>1</v>
      </c>
      <c r="AC533" s="2" t="s">
        <v>166</v>
      </c>
      <c r="AD533" s="4">
        <v>20</v>
      </c>
      <c r="AE533" s="4">
        <v>20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228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 t="s">
        <v>228</v>
      </c>
      <c r="BD533" s="8" t="s">
        <v>228</v>
      </c>
      <c r="BE533" s="4" t="s">
        <v>228</v>
      </c>
      <c r="BF533" s="8" t="s">
        <v>228</v>
      </c>
      <c r="BG533" s="7" t="s">
        <v>228</v>
      </c>
      <c r="BH533" s="7" t="s">
        <v>228</v>
      </c>
      <c r="BI533" s="7"/>
      <c r="BJ533" s="4">
        <v>13</v>
      </c>
      <c r="BK533" s="8">
        <v>237.05</v>
      </c>
      <c r="BL533" s="2" t="s">
        <v>3431</v>
      </c>
      <c r="BM533" s="7"/>
      <c r="BN533" s="7"/>
      <c r="BO533" s="4"/>
      <c r="BP533" s="8"/>
      <c r="BQ533" s="4"/>
      <c r="BR533" s="8"/>
      <c r="BS533" s="7"/>
      <c r="BT533" s="7"/>
      <c r="BU533" s="2" t="s">
        <v>3432</v>
      </c>
      <c r="BV533" s="2" t="s">
        <v>228</v>
      </c>
      <c r="BW533" s="2" t="s">
        <v>228</v>
      </c>
      <c r="BX533" s="2" t="s">
        <v>273</v>
      </c>
      <c r="BY533" s="2" t="s">
        <v>274</v>
      </c>
      <c r="BZ533" s="2" t="s">
        <v>240</v>
      </c>
      <c r="CA533" s="2" t="s">
        <v>3427</v>
      </c>
      <c r="CB533" s="2" t="s">
        <v>3433</v>
      </c>
      <c r="CC533" s="2" t="s">
        <v>241</v>
      </c>
      <c r="CD533" s="2" t="s">
        <v>228</v>
      </c>
      <c r="CE533" s="4">
        <v>117</v>
      </c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>
        <v>20</v>
      </c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</row>
    <row r="534">
      <c r="A534" s="2" t="s">
        <v>3434</v>
      </c>
      <c r="B534" s="2" t="s">
        <v>970</v>
      </c>
      <c r="C534" s="2" t="s">
        <v>1743</v>
      </c>
      <c r="D534" s="2" t="s">
        <v>971</v>
      </c>
      <c r="E534" s="2" t="s">
        <v>1121</v>
      </c>
      <c r="F534" s="2" t="s">
        <v>3394</v>
      </c>
      <c r="G534" s="2" t="s">
        <v>3395</v>
      </c>
      <c r="H534" s="2" t="s">
        <v>3396</v>
      </c>
      <c r="I534" s="2" t="s">
        <v>3397</v>
      </c>
      <c r="J534" s="2" t="s">
        <v>3406</v>
      </c>
      <c r="K534" s="2" t="s">
        <v>3435</v>
      </c>
      <c r="L534" s="3">
        <v>19.32</v>
      </c>
      <c r="M534" s="3">
        <v>20.29</v>
      </c>
      <c r="N534" s="3">
        <v>41.99</v>
      </c>
      <c r="O534" s="2" t="s">
        <v>240</v>
      </c>
      <c r="P534" s="2" t="s">
        <v>233</v>
      </c>
      <c r="Q534" s="2" t="s">
        <v>234</v>
      </c>
      <c r="R534" s="2" t="s">
        <v>228</v>
      </c>
      <c r="S534" s="2" t="s">
        <v>3436</v>
      </c>
      <c r="T534" s="2" t="s">
        <v>3400</v>
      </c>
      <c r="U534" s="2" t="s">
        <v>520</v>
      </c>
      <c r="V534" s="2" t="s">
        <v>236</v>
      </c>
      <c r="W534" s="2" t="s">
        <v>417</v>
      </c>
      <c r="X534" s="2" t="s">
        <v>3401</v>
      </c>
      <c r="Y534" s="2" t="s">
        <v>3418</v>
      </c>
      <c r="Z534" s="4">
        <v>383</v>
      </c>
      <c r="AA534" s="4">
        <f>=ROUNDDOWN(38.3,0)</f>
      </c>
      <c r="AB534" s="5">
        <v>10</v>
      </c>
      <c r="AC534" s="2" t="s">
        <v>228</v>
      </c>
      <c r="AD534" s="4"/>
      <c r="AE534" s="4"/>
      <c r="AF534" s="6">
        <v>64</v>
      </c>
      <c r="AG534" s="6"/>
      <c r="AH534" s="7">
        <v>1</v>
      </c>
      <c r="AI534" s="4"/>
      <c r="AJ534" s="4">
        <f>=ROUNDDOWN({0},0)</f>
      </c>
      <c r="AK534" s="5"/>
      <c r="AL534" s="2" t="s">
        <v>228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228</v>
      </c>
      <c r="AW534" s="8" t="s">
        <v>228</v>
      </c>
      <c r="AX534" s="4" t="s">
        <v>228</v>
      </c>
      <c r="AY534" s="8" t="s">
        <v>228</v>
      </c>
      <c r="AZ534" s="7" t="s">
        <v>228</v>
      </c>
      <c r="BA534" s="7" t="s">
        <v>228</v>
      </c>
      <c r="BB534" s="7"/>
      <c r="BC534" s="4" t="s">
        <v>228</v>
      </c>
      <c r="BD534" s="8" t="s">
        <v>228</v>
      </c>
      <c r="BE534" s="4" t="s">
        <v>228</v>
      </c>
      <c r="BF534" s="8" t="s">
        <v>228</v>
      </c>
      <c r="BG534" s="7" t="s">
        <v>228</v>
      </c>
      <c r="BH534" s="7" t="s">
        <v>228</v>
      </c>
      <c r="BI534" s="7"/>
      <c r="BJ534" s="4">
        <v>6</v>
      </c>
      <c r="BK534" s="8">
        <v>119.64</v>
      </c>
      <c r="BL534" s="2" t="s">
        <v>622</v>
      </c>
      <c r="BM534" s="7"/>
      <c r="BN534" s="7"/>
      <c r="BO534" s="4"/>
      <c r="BP534" s="8"/>
      <c r="BQ534" s="4"/>
      <c r="BR534" s="8"/>
      <c r="BS534" s="7"/>
      <c r="BT534" s="7"/>
      <c r="BU534" s="2" t="s">
        <v>3437</v>
      </c>
      <c r="BV534" s="2" t="s">
        <v>228</v>
      </c>
      <c r="BW534" s="2" t="s">
        <v>228</v>
      </c>
      <c r="BX534" s="2" t="s">
        <v>273</v>
      </c>
      <c r="BY534" s="2" t="s">
        <v>274</v>
      </c>
      <c r="BZ534" s="2" t="s">
        <v>240</v>
      </c>
      <c r="CA534" s="2" t="s">
        <v>3125</v>
      </c>
      <c r="CB534" s="2" t="s">
        <v>3438</v>
      </c>
      <c r="CC534" s="2" t="s">
        <v>241</v>
      </c>
      <c r="CD534" s="2" t="s">
        <v>228</v>
      </c>
      <c r="CE534" s="4">
        <v>383</v>
      </c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</row>
    <row r="535">
      <c r="A535" s="2" t="s">
        <v>3439</v>
      </c>
      <c r="B535" s="2" t="s">
        <v>970</v>
      </c>
      <c r="C535" s="2" t="s">
        <v>1743</v>
      </c>
      <c r="D535" s="2" t="s">
        <v>971</v>
      </c>
      <c r="E535" s="2" t="s">
        <v>1121</v>
      </c>
      <c r="F535" s="2" t="s">
        <v>3394</v>
      </c>
      <c r="G535" s="2" t="s">
        <v>3395</v>
      </c>
      <c r="H535" s="2" t="s">
        <v>3396</v>
      </c>
      <c r="I535" s="2" t="s">
        <v>3397</v>
      </c>
      <c r="J535" s="2" t="s">
        <v>3411</v>
      </c>
      <c r="K535" s="2" t="s">
        <v>3435</v>
      </c>
      <c r="L535" s="3">
        <v>22.09</v>
      </c>
      <c r="M535" s="3">
        <v>23.19</v>
      </c>
      <c r="N535" s="3">
        <v>46.99</v>
      </c>
      <c r="O535" s="2" t="s">
        <v>240</v>
      </c>
      <c r="P535" s="2" t="s">
        <v>233</v>
      </c>
      <c r="Q535" s="2" t="s">
        <v>234</v>
      </c>
      <c r="R535" s="2" t="s">
        <v>228</v>
      </c>
      <c r="S535" s="2" t="s">
        <v>3436</v>
      </c>
      <c r="T535" s="2" t="s">
        <v>3400</v>
      </c>
      <c r="U535" s="2" t="s">
        <v>520</v>
      </c>
      <c r="V535" s="2" t="s">
        <v>236</v>
      </c>
      <c r="W535" s="2" t="s">
        <v>417</v>
      </c>
      <c r="X535" s="2" t="s">
        <v>3401</v>
      </c>
      <c r="Y535" s="2" t="s">
        <v>3418</v>
      </c>
      <c r="Z535" s="4">
        <v>338</v>
      </c>
      <c r="AA535" s="4">
        <f>=ROUNDDOWN(42.25,0)</f>
      </c>
      <c r="AB535" s="5">
        <v>8</v>
      </c>
      <c r="AC535" s="2" t="s">
        <v>228</v>
      </c>
      <c r="AD535" s="4"/>
      <c r="AE535" s="4"/>
      <c r="AF535" s="6">
        <v>64</v>
      </c>
      <c r="AG535" s="6"/>
      <c r="AH535" s="7">
        <v>1</v>
      </c>
      <c r="AI535" s="4"/>
      <c r="AJ535" s="4">
        <f>=ROUNDDOWN({0},0)</f>
      </c>
      <c r="AK535" s="5"/>
      <c r="AL535" s="2" t="s">
        <v>228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228</v>
      </c>
      <c r="AW535" s="8" t="s">
        <v>228</v>
      </c>
      <c r="AX535" s="4" t="s">
        <v>228</v>
      </c>
      <c r="AY535" s="8" t="s">
        <v>228</v>
      </c>
      <c r="AZ535" s="7" t="s">
        <v>228</v>
      </c>
      <c r="BA535" s="7" t="s">
        <v>228</v>
      </c>
      <c r="BB535" s="7"/>
      <c r="BC535" s="4" t="s">
        <v>228</v>
      </c>
      <c r="BD535" s="8" t="s">
        <v>228</v>
      </c>
      <c r="BE535" s="4" t="s">
        <v>228</v>
      </c>
      <c r="BF535" s="8" t="s">
        <v>228</v>
      </c>
      <c r="BG535" s="7" t="s">
        <v>228</v>
      </c>
      <c r="BH535" s="7" t="s">
        <v>228</v>
      </c>
      <c r="BI535" s="7"/>
      <c r="BJ535" s="4">
        <v>2</v>
      </c>
      <c r="BK535" s="8">
        <v>34.86</v>
      </c>
      <c r="BL535" s="2" t="s">
        <v>3440</v>
      </c>
      <c r="BM535" s="7"/>
      <c r="BN535" s="7"/>
      <c r="BO535" s="4"/>
      <c r="BP535" s="8"/>
      <c r="BQ535" s="4"/>
      <c r="BR535" s="8"/>
      <c r="BS535" s="7"/>
      <c r="BT535" s="7"/>
      <c r="BU535" s="2" t="s">
        <v>3441</v>
      </c>
      <c r="BV535" s="2" t="s">
        <v>228</v>
      </c>
      <c r="BW535" s="2" t="s">
        <v>228</v>
      </c>
      <c r="BX535" s="2" t="s">
        <v>273</v>
      </c>
      <c r="BY535" s="2" t="s">
        <v>274</v>
      </c>
      <c r="BZ535" s="2" t="s">
        <v>240</v>
      </c>
      <c r="CA535" s="2" t="s">
        <v>3125</v>
      </c>
      <c r="CB535" s="2" t="s">
        <v>228</v>
      </c>
      <c r="CC535" s="2" t="s">
        <v>241</v>
      </c>
      <c r="CD535" s="2" t="s">
        <v>228</v>
      </c>
      <c r="CE535" s="4">
        <v>338</v>
      </c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</row>
    <row r="536">
      <c r="A536" s="2" t="s">
        <v>3442</v>
      </c>
      <c r="B536" s="2" t="s">
        <v>958</v>
      </c>
      <c r="C536" s="2" t="s">
        <v>300</v>
      </c>
      <c r="D536" s="2" t="s">
        <v>959</v>
      </c>
      <c r="E536" s="2" t="s">
        <v>960</v>
      </c>
      <c r="F536" s="2" t="s">
        <v>3443</v>
      </c>
      <c r="G536" s="2" t="s">
        <v>3444</v>
      </c>
      <c r="H536" s="2" t="s">
        <v>3445</v>
      </c>
      <c r="I536" s="2" t="s">
        <v>3446</v>
      </c>
      <c r="J536" s="2" t="s">
        <v>840</v>
      </c>
      <c r="K536" s="2" t="s">
        <v>249</v>
      </c>
      <c r="L536" s="3">
        <v>180.5</v>
      </c>
      <c r="M536" s="3">
        <v>189.52</v>
      </c>
      <c r="N536" s="3">
        <v>379</v>
      </c>
      <c r="O536" s="2" t="s">
        <v>240</v>
      </c>
      <c r="P536" s="2" t="s">
        <v>266</v>
      </c>
      <c r="Q536" s="2" t="s">
        <v>234</v>
      </c>
      <c r="R536" s="2" t="s">
        <v>228</v>
      </c>
      <c r="S536" s="2" t="s">
        <v>3447</v>
      </c>
      <c r="T536" s="2" t="s">
        <v>228</v>
      </c>
      <c r="U536" s="2" t="s">
        <v>228</v>
      </c>
      <c r="V536" s="2" t="s">
        <v>236</v>
      </c>
      <c r="W536" s="2" t="s">
        <v>463</v>
      </c>
      <c r="X536" s="2" t="s">
        <v>228</v>
      </c>
      <c r="Y536" s="2" t="s">
        <v>270</v>
      </c>
      <c r="Z536" s="4">
        <v>72</v>
      </c>
      <c r="AA536" s="4">
        <f>=ROUNDDOWN(10.2857142857143,0)</f>
      </c>
      <c r="AB536" s="5">
        <v>7</v>
      </c>
      <c r="AC536" s="2" t="s">
        <v>162</v>
      </c>
      <c r="AD536" s="4">
        <v>20</v>
      </c>
      <c r="AE536" s="4">
        <v>130</v>
      </c>
      <c r="AF536" s="6">
        <v>66</v>
      </c>
      <c r="AG536" s="6">
        <v>49</v>
      </c>
      <c r="AH536" s="7">
        <v>1</v>
      </c>
      <c r="AI536" s="4"/>
      <c r="AJ536" s="4">
        <f>=ROUNDDOWN({0},0)</f>
      </c>
      <c r="AK536" s="5"/>
      <c r="AL536" s="2" t="s">
        <v>228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 t="s">
        <v>228</v>
      </c>
      <c r="BD536" s="8" t="s">
        <v>228</v>
      </c>
      <c r="BE536" s="4" t="s">
        <v>228</v>
      </c>
      <c r="BF536" s="8" t="s">
        <v>228</v>
      </c>
      <c r="BG536" s="7" t="s">
        <v>228</v>
      </c>
      <c r="BH536" s="7" t="s">
        <v>228</v>
      </c>
      <c r="BI536" s="7"/>
      <c r="BJ536" s="4">
        <v>21</v>
      </c>
      <c r="BK536" s="8">
        <v>3528.02</v>
      </c>
      <c r="BL536" s="2" t="s">
        <v>3448</v>
      </c>
      <c r="BM536" s="7"/>
      <c r="BN536" s="7"/>
      <c r="BO536" s="4"/>
      <c r="BP536" s="8"/>
      <c r="BQ536" s="4"/>
      <c r="BR536" s="8"/>
      <c r="BS536" s="7"/>
      <c r="BT536" s="7"/>
      <c r="BU536" s="2" t="s">
        <v>3449</v>
      </c>
      <c r="BV536" s="2" t="s">
        <v>228</v>
      </c>
      <c r="BW536" s="2" t="s">
        <v>228</v>
      </c>
      <c r="BX536" s="2" t="s">
        <v>273</v>
      </c>
      <c r="BY536" s="2" t="s">
        <v>274</v>
      </c>
      <c r="BZ536" s="2" t="s">
        <v>240</v>
      </c>
      <c r="CA536" s="2" t="s">
        <v>275</v>
      </c>
      <c r="CB536" s="2" t="s">
        <v>3450</v>
      </c>
      <c r="CC536" s="2" t="s">
        <v>241</v>
      </c>
      <c r="CD536" s="2" t="s">
        <v>228</v>
      </c>
      <c r="CE536" s="4"/>
      <c r="CF536" s="4">
        <v>63</v>
      </c>
      <c r="CG536" s="4"/>
      <c r="CH536" s="4">
        <v>9</v>
      </c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>
        <v>20</v>
      </c>
      <c r="EY536" s="4"/>
      <c r="EZ536" s="4"/>
      <c r="FA536" s="4"/>
      <c r="FB536" s="4">
        <v>110</v>
      </c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</row>
    <row r="537">
      <c r="A537" s="2" t="s">
        <v>3451</v>
      </c>
      <c r="B537" s="2" t="s">
        <v>958</v>
      </c>
      <c r="C537" s="2" t="s">
        <v>300</v>
      </c>
      <c r="D537" s="2" t="s">
        <v>959</v>
      </c>
      <c r="E537" s="2" t="s">
        <v>960</v>
      </c>
      <c r="F537" s="2" t="s">
        <v>3443</v>
      </c>
      <c r="G537" s="2" t="s">
        <v>3444</v>
      </c>
      <c r="H537" s="2" t="s">
        <v>3445</v>
      </c>
      <c r="I537" s="2" t="s">
        <v>3446</v>
      </c>
      <c r="J537" s="2" t="s">
        <v>840</v>
      </c>
      <c r="K537" s="2" t="s">
        <v>1568</v>
      </c>
      <c r="L537" s="3">
        <v>180.5</v>
      </c>
      <c r="M537" s="3">
        <v>189.52</v>
      </c>
      <c r="N537" s="3">
        <v>379</v>
      </c>
      <c r="O537" s="2" t="s">
        <v>240</v>
      </c>
      <c r="P537" s="2" t="s">
        <v>1012</v>
      </c>
      <c r="Q537" s="2" t="s">
        <v>234</v>
      </c>
      <c r="R537" s="2" t="s">
        <v>228</v>
      </c>
      <c r="S537" s="2" t="s">
        <v>3452</v>
      </c>
      <c r="T537" s="2" t="s">
        <v>228</v>
      </c>
      <c r="U537" s="2" t="s">
        <v>228</v>
      </c>
      <c r="V537" s="2" t="s">
        <v>842</v>
      </c>
      <c r="W537" s="2" t="s">
        <v>743</v>
      </c>
      <c r="X537" s="2" t="s">
        <v>228</v>
      </c>
      <c r="Y537" s="2" t="s">
        <v>270</v>
      </c>
      <c r="Z537" s="4">
        <v>209</v>
      </c>
      <c r="AA537" s="4">
        <f>=ROUNDDOWN(29.8571428571429,0)</f>
      </c>
      <c r="AB537" s="5">
        <v>7</v>
      </c>
      <c r="AC537" s="2" t="s">
        <v>1352</v>
      </c>
      <c r="AD537" s="4">
        <v>10</v>
      </c>
      <c r="AE537" s="4">
        <v>10</v>
      </c>
      <c r="AF537" s="6">
        <v>66</v>
      </c>
      <c r="AG537" s="6">
        <v>49</v>
      </c>
      <c r="AH537" s="7">
        <v>1</v>
      </c>
      <c r="AI537" s="4"/>
      <c r="AJ537" s="4">
        <f>=ROUNDDOWN({0},0)</f>
      </c>
      <c r="AK537" s="5"/>
      <c r="AL537" s="2" t="s">
        <v>228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 t="s">
        <v>228</v>
      </c>
      <c r="BD537" s="8" t="s">
        <v>228</v>
      </c>
      <c r="BE537" s="4" t="s">
        <v>228</v>
      </c>
      <c r="BF537" s="8" t="s">
        <v>228</v>
      </c>
      <c r="BG537" s="7" t="s">
        <v>228</v>
      </c>
      <c r="BH537" s="7" t="s">
        <v>228</v>
      </c>
      <c r="BI537" s="7"/>
      <c r="BJ537" s="4">
        <v>17</v>
      </c>
      <c r="BK537" s="8">
        <v>2941.01</v>
      </c>
      <c r="BL537" s="2" t="s">
        <v>3453</v>
      </c>
      <c r="BM537" s="7"/>
      <c r="BN537" s="7"/>
      <c r="BO537" s="4"/>
      <c r="BP537" s="8"/>
      <c r="BQ537" s="4"/>
      <c r="BR537" s="8"/>
      <c r="BS537" s="7"/>
      <c r="BT537" s="7"/>
      <c r="BU537" s="2" t="s">
        <v>3454</v>
      </c>
      <c r="BV537" s="2" t="s">
        <v>228</v>
      </c>
      <c r="BW537" s="2" t="s">
        <v>228</v>
      </c>
      <c r="BX537" s="2" t="s">
        <v>273</v>
      </c>
      <c r="BY537" s="2" t="s">
        <v>274</v>
      </c>
      <c r="BZ537" s="2" t="s">
        <v>240</v>
      </c>
      <c r="CA537" s="2" t="s">
        <v>3455</v>
      </c>
      <c r="CB537" s="2" t="s">
        <v>3456</v>
      </c>
      <c r="CC537" s="2" t="s">
        <v>241</v>
      </c>
      <c r="CD537" s="2" t="s">
        <v>228</v>
      </c>
      <c r="CE537" s="4"/>
      <c r="CF537" s="4">
        <v>170</v>
      </c>
      <c r="CG537" s="4"/>
      <c r="CH537" s="4">
        <v>39</v>
      </c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>
        <v>10</v>
      </c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</row>
    <row r="538">
      <c r="A538" s="2" t="s">
        <v>3457</v>
      </c>
      <c r="B538" s="2" t="s">
        <v>299</v>
      </c>
      <c r="C538" s="2" t="s">
        <v>1037</v>
      </c>
      <c r="D538" s="2" t="s">
        <v>301</v>
      </c>
      <c r="E538" s="2" t="s">
        <v>302</v>
      </c>
      <c r="F538" s="2" t="s">
        <v>3458</v>
      </c>
      <c r="G538" s="2" t="s">
        <v>3458</v>
      </c>
      <c r="H538" s="2" t="s">
        <v>3458</v>
      </c>
      <c r="I538" s="2" t="s">
        <v>3459</v>
      </c>
      <c r="J538" s="2" t="s">
        <v>264</v>
      </c>
      <c r="K538" s="2" t="s">
        <v>305</v>
      </c>
      <c r="L538" s="3">
        <v>21</v>
      </c>
      <c r="M538" s="3">
        <v>22.05</v>
      </c>
      <c r="N538" s="3">
        <v>44.99</v>
      </c>
      <c r="O538" s="2" t="s">
        <v>240</v>
      </c>
      <c r="P538" s="2" t="s">
        <v>266</v>
      </c>
      <c r="Q538" s="2" t="s">
        <v>234</v>
      </c>
      <c r="R538" s="2" t="s">
        <v>228</v>
      </c>
      <c r="S538" s="2" t="s">
        <v>3460</v>
      </c>
      <c r="T538" s="2" t="s">
        <v>3461</v>
      </c>
      <c r="U538" s="2" t="s">
        <v>500</v>
      </c>
      <c r="V538" s="2" t="s">
        <v>236</v>
      </c>
      <c r="W538" s="2" t="s">
        <v>269</v>
      </c>
      <c r="X538" s="2" t="s">
        <v>228</v>
      </c>
      <c r="Y538" s="2" t="s">
        <v>3462</v>
      </c>
      <c r="Z538" s="4">
        <v>71</v>
      </c>
      <c r="AA538" s="4">
        <f>=ROUNDDOWN(23.6666666666667,0)</f>
      </c>
      <c r="AB538" s="5">
        <v>3</v>
      </c>
      <c r="AC538" s="2" t="s">
        <v>228</v>
      </c>
      <c r="AD538" s="4"/>
      <c r="AE538" s="4"/>
      <c r="AF538" s="6">
        <v>67</v>
      </c>
      <c r="AG538" s="6"/>
      <c r="AH538" s="7">
        <v>1</v>
      </c>
      <c r="AI538" s="4"/>
      <c r="AJ538" s="4">
        <f>=ROUNDDOWN({0},0)</f>
      </c>
      <c r="AK538" s="5"/>
      <c r="AL538" s="2" t="s">
        <v>228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228</v>
      </c>
      <c r="AW538" s="8" t="s">
        <v>228</v>
      </c>
      <c r="AX538" s="4" t="s">
        <v>228</v>
      </c>
      <c r="AY538" s="8" t="s">
        <v>228</v>
      </c>
      <c r="AZ538" s="7" t="s">
        <v>228</v>
      </c>
      <c r="BA538" s="7" t="s">
        <v>228</v>
      </c>
      <c r="BB538" s="7"/>
      <c r="BC538" s="4" t="s">
        <v>228</v>
      </c>
      <c r="BD538" s="8" t="s">
        <v>228</v>
      </c>
      <c r="BE538" s="4" t="s">
        <v>228</v>
      </c>
      <c r="BF538" s="8" t="s">
        <v>228</v>
      </c>
      <c r="BG538" s="7" t="s">
        <v>228</v>
      </c>
      <c r="BH538" s="7" t="s">
        <v>228</v>
      </c>
      <c r="BI538" s="7"/>
      <c r="BJ538" s="4">
        <v>12</v>
      </c>
      <c r="BK538" s="8">
        <v>284.78</v>
      </c>
      <c r="BL538" s="2" t="s">
        <v>3141</v>
      </c>
      <c r="BM538" s="7"/>
      <c r="BN538" s="7"/>
      <c r="BO538" s="4"/>
      <c r="BP538" s="8"/>
      <c r="BQ538" s="4"/>
      <c r="BR538" s="8"/>
      <c r="BS538" s="7"/>
      <c r="BT538" s="7"/>
      <c r="BU538" s="2" t="s">
        <v>3463</v>
      </c>
      <c r="BV538" s="2" t="s">
        <v>228</v>
      </c>
      <c r="BW538" s="2" t="s">
        <v>228</v>
      </c>
      <c r="BX538" s="2" t="s">
        <v>273</v>
      </c>
      <c r="BY538" s="2" t="s">
        <v>274</v>
      </c>
      <c r="BZ538" s="2" t="s">
        <v>240</v>
      </c>
      <c r="CA538" s="2" t="s">
        <v>3464</v>
      </c>
      <c r="CB538" s="2" t="s">
        <v>3465</v>
      </c>
      <c r="CC538" s="2" t="s">
        <v>241</v>
      </c>
      <c r="CD538" s="2" t="s">
        <v>228</v>
      </c>
      <c r="CE538" s="4">
        <v>71</v>
      </c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</row>
    <row r="539">
      <c r="A539" s="2" t="s">
        <v>3466</v>
      </c>
      <c r="B539" s="2" t="s">
        <v>258</v>
      </c>
      <c r="C539" s="2" t="s">
        <v>1037</v>
      </c>
      <c r="D539" s="2" t="s">
        <v>1112</v>
      </c>
      <c r="E539" s="2" t="s">
        <v>3467</v>
      </c>
      <c r="F539" s="2" t="s">
        <v>3458</v>
      </c>
      <c r="G539" s="2" t="s">
        <v>3458</v>
      </c>
      <c r="H539" s="2" t="s">
        <v>3458</v>
      </c>
      <c r="I539" s="2" t="s">
        <v>3468</v>
      </c>
      <c r="J539" s="2" t="s">
        <v>1189</v>
      </c>
      <c r="K539" s="2" t="s">
        <v>305</v>
      </c>
      <c r="L539" s="3">
        <v>25.14</v>
      </c>
      <c r="M539" s="3">
        <v>26.4</v>
      </c>
      <c r="N539" s="3">
        <v>54.99</v>
      </c>
      <c r="O539" s="2" t="s">
        <v>240</v>
      </c>
      <c r="P539" s="2" t="s">
        <v>266</v>
      </c>
      <c r="Q539" s="2" t="s">
        <v>234</v>
      </c>
      <c r="R539" s="2" t="s">
        <v>228</v>
      </c>
      <c r="S539" s="2" t="s">
        <v>3469</v>
      </c>
      <c r="T539" s="2" t="s">
        <v>3461</v>
      </c>
      <c r="U539" s="2" t="s">
        <v>416</v>
      </c>
      <c r="V539" s="2" t="s">
        <v>236</v>
      </c>
      <c r="W539" s="2" t="s">
        <v>269</v>
      </c>
      <c r="X539" s="2" t="s">
        <v>228</v>
      </c>
      <c r="Y539" s="2" t="s">
        <v>3470</v>
      </c>
      <c r="Z539" s="4"/>
      <c r="AA539" s="4">
        <f>=ROUNDDOWN({0},0)</f>
      </c>
      <c r="AB539" s="5">
        <v>12</v>
      </c>
      <c r="AC539" s="2" t="s">
        <v>1516</v>
      </c>
      <c r="AD539" s="4">
        <v>180</v>
      </c>
      <c r="AE539" s="4">
        <v>519</v>
      </c>
      <c r="AF539" s="6">
        <v>65</v>
      </c>
      <c r="AG539" s="6"/>
      <c r="AH539" s="7">
        <v>0.129</v>
      </c>
      <c r="AI539" s="4"/>
      <c r="AJ539" s="4">
        <f>=ROUNDDOWN({0},0)</f>
      </c>
      <c r="AK539" s="5"/>
      <c r="AL539" s="2" t="s">
        <v>228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228</v>
      </c>
      <c r="AW539" s="8" t="s">
        <v>228</v>
      </c>
      <c r="AX539" s="4" t="s">
        <v>228</v>
      </c>
      <c r="AY539" s="8" t="s">
        <v>228</v>
      </c>
      <c r="AZ539" s="7" t="s">
        <v>228</v>
      </c>
      <c r="BA539" s="7" t="s">
        <v>228</v>
      </c>
      <c r="BB539" s="7"/>
      <c r="BC539" s="4" t="s">
        <v>228</v>
      </c>
      <c r="BD539" s="8" t="s">
        <v>228</v>
      </c>
      <c r="BE539" s="4" t="s">
        <v>228</v>
      </c>
      <c r="BF539" s="8" t="s">
        <v>228</v>
      </c>
      <c r="BG539" s="7" t="s">
        <v>228</v>
      </c>
      <c r="BH539" s="7" t="s">
        <v>228</v>
      </c>
      <c r="BI539" s="7"/>
      <c r="BJ539" s="4">
        <v>23</v>
      </c>
      <c r="BK539" s="8">
        <v>656.96</v>
      </c>
      <c r="BL539" s="2" t="s">
        <v>1245</v>
      </c>
      <c r="BM539" s="7"/>
      <c r="BN539" s="7"/>
      <c r="BO539" s="4"/>
      <c r="BP539" s="8"/>
      <c r="BQ539" s="4"/>
      <c r="BR539" s="8"/>
      <c r="BS539" s="7"/>
      <c r="BT539" s="7"/>
      <c r="BU539" s="2" t="s">
        <v>3471</v>
      </c>
      <c r="BV539" s="2" t="s">
        <v>228</v>
      </c>
      <c r="BW539" s="2" t="s">
        <v>228</v>
      </c>
      <c r="BX539" s="2" t="s">
        <v>273</v>
      </c>
      <c r="BY539" s="2" t="s">
        <v>274</v>
      </c>
      <c r="BZ539" s="2" t="s">
        <v>240</v>
      </c>
      <c r="CA539" s="2" t="s">
        <v>3470</v>
      </c>
      <c r="CB539" s="2" t="s">
        <v>396</v>
      </c>
      <c r="CC539" s="2" t="s">
        <v>241</v>
      </c>
      <c r="CD539" s="2" t="s">
        <v>228</v>
      </c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>
        <v>180</v>
      </c>
      <c r="EH539" s="4"/>
      <c r="EI539" s="4"/>
      <c r="EJ539" s="4">
        <v>89</v>
      </c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>
        <v>100</v>
      </c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>
        <v>80</v>
      </c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>
        <v>70</v>
      </c>
      <c r="HA539" s="4"/>
      <c r="HB539" s="4"/>
      <c r="HC539" s="4"/>
      <c r="HD539" s="4"/>
      <c r="HE539" s="4"/>
    </row>
    <row r="540">
      <c r="A540" s="2" t="s">
        <v>3472</v>
      </c>
      <c r="B540" s="2" t="s">
        <v>258</v>
      </c>
      <c r="C540" s="2" t="s">
        <v>1037</v>
      </c>
      <c r="D540" s="2" t="s">
        <v>1112</v>
      </c>
      <c r="E540" s="2" t="s">
        <v>3467</v>
      </c>
      <c r="F540" s="2" t="s">
        <v>3458</v>
      </c>
      <c r="G540" s="2" t="s">
        <v>3458</v>
      </c>
      <c r="H540" s="2" t="s">
        <v>3458</v>
      </c>
      <c r="I540" s="2" t="s">
        <v>3468</v>
      </c>
      <c r="J540" s="2" t="s">
        <v>856</v>
      </c>
      <c r="K540" s="2" t="s">
        <v>249</v>
      </c>
      <c r="L540" s="3">
        <v>21.42</v>
      </c>
      <c r="M540" s="3">
        <v>22.49</v>
      </c>
      <c r="N540" s="3">
        <v>49.99</v>
      </c>
      <c r="O540" s="2" t="s">
        <v>240</v>
      </c>
      <c r="P540" s="2" t="s">
        <v>266</v>
      </c>
      <c r="Q540" s="2" t="s">
        <v>234</v>
      </c>
      <c r="R540" s="2" t="s">
        <v>228</v>
      </c>
      <c r="S540" s="2" t="s">
        <v>3473</v>
      </c>
      <c r="T540" s="2" t="s">
        <v>3461</v>
      </c>
      <c r="U540" s="2" t="s">
        <v>416</v>
      </c>
      <c r="V540" s="2" t="s">
        <v>236</v>
      </c>
      <c r="W540" s="2" t="s">
        <v>269</v>
      </c>
      <c r="X540" s="2" t="s">
        <v>228</v>
      </c>
      <c r="Y540" s="2" t="s">
        <v>3470</v>
      </c>
      <c r="Z540" s="4"/>
      <c r="AA540" s="4">
        <f>=ROUNDDOWN({0},0)</f>
      </c>
      <c r="AB540" s="5">
        <v>11</v>
      </c>
      <c r="AC540" s="2" t="s">
        <v>1516</v>
      </c>
      <c r="AD540" s="4">
        <v>60</v>
      </c>
      <c r="AE540" s="4">
        <v>470</v>
      </c>
      <c r="AF540" s="6">
        <v>65</v>
      </c>
      <c r="AG540" s="6"/>
      <c r="AH540" s="7">
        <v>0.129</v>
      </c>
      <c r="AI540" s="4"/>
      <c r="AJ540" s="4">
        <f>=ROUNDDOWN({0},0)</f>
      </c>
      <c r="AK540" s="5"/>
      <c r="AL540" s="2" t="s">
        <v>228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 t="s">
        <v>228</v>
      </c>
      <c r="BD540" s="8" t="s">
        <v>228</v>
      </c>
      <c r="BE540" s="4" t="s">
        <v>228</v>
      </c>
      <c r="BF540" s="8" t="s">
        <v>228</v>
      </c>
      <c r="BG540" s="7" t="s">
        <v>228</v>
      </c>
      <c r="BH540" s="7" t="s">
        <v>228</v>
      </c>
      <c r="BI540" s="7"/>
      <c r="BJ540" s="4">
        <v>24</v>
      </c>
      <c r="BK540" s="8">
        <v>587.05</v>
      </c>
      <c r="BL540" s="2" t="s">
        <v>3474</v>
      </c>
      <c r="BM540" s="7"/>
      <c r="BN540" s="7"/>
      <c r="BO540" s="4"/>
      <c r="BP540" s="8"/>
      <c r="BQ540" s="4"/>
      <c r="BR540" s="8"/>
      <c r="BS540" s="7"/>
      <c r="BT540" s="7"/>
      <c r="BU540" s="2" t="s">
        <v>3475</v>
      </c>
      <c r="BV540" s="2" t="s">
        <v>228</v>
      </c>
      <c r="BW540" s="2" t="s">
        <v>228</v>
      </c>
      <c r="BX540" s="2" t="s">
        <v>273</v>
      </c>
      <c r="BY540" s="2" t="s">
        <v>274</v>
      </c>
      <c r="BZ540" s="2" t="s">
        <v>240</v>
      </c>
      <c r="CA540" s="2" t="s">
        <v>3470</v>
      </c>
      <c r="CB540" s="2" t="s">
        <v>2186</v>
      </c>
      <c r="CC540" s="2" t="s">
        <v>241</v>
      </c>
      <c r="CD540" s="2" t="s">
        <v>228</v>
      </c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>
        <v>60</v>
      </c>
      <c r="EH540" s="4"/>
      <c r="EI540" s="4"/>
      <c r="EJ540" s="4">
        <v>60</v>
      </c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>
        <v>150</v>
      </c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>
        <v>130</v>
      </c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>
        <v>70</v>
      </c>
      <c r="HA540" s="4"/>
      <c r="HB540" s="4"/>
      <c r="HC540" s="4"/>
      <c r="HD540" s="4"/>
      <c r="HE540" s="4"/>
    </row>
    <row r="541">
      <c r="A541" s="2" t="s">
        <v>3476</v>
      </c>
      <c r="B541" s="2" t="s">
        <v>299</v>
      </c>
      <c r="C541" s="2" t="s">
        <v>1037</v>
      </c>
      <c r="D541" s="2" t="s">
        <v>301</v>
      </c>
      <c r="E541" s="2" t="s">
        <v>302</v>
      </c>
      <c r="F541" s="2" t="s">
        <v>3458</v>
      </c>
      <c r="G541" s="2" t="s">
        <v>3458</v>
      </c>
      <c r="H541" s="2" t="s">
        <v>3458</v>
      </c>
      <c r="I541" s="2" t="s">
        <v>3459</v>
      </c>
      <c r="J541" s="2" t="s">
        <v>264</v>
      </c>
      <c r="K541" s="2" t="s">
        <v>251</v>
      </c>
      <c r="L541" s="3">
        <v>21</v>
      </c>
      <c r="M541" s="3">
        <v>22.05</v>
      </c>
      <c r="N541" s="3">
        <v>44.99</v>
      </c>
      <c r="O541" s="2" t="s">
        <v>240</v>
      </c>
      <c r="P541" s="2" t="s">
        <v>266</v>
      </c>
      <c r="Q541" s="2" t="s">
        <v>234</v>
      </c>
      <c r="R541" s="2" t="s">
        <v>228</v>
      </c>
      <c r="S541" s="2" t="s">
        <v>3477</v>
      </c>
      <c r="T541" s="2" t="s">
        <v>3461</v>
      </c>
      <c r="U541" s="2" t="s">
        <v>500</v>
      </c>
      <c r="V541" s="2" t="s">
        <v>236</v>
      </c>
      <c r="W541" s="2" t="s">
        <v>269</v>
      </c>
      <c r="X541" s="2" t="s">
        <v>228</v>
      </c>
      <c r="Y541" s="2" t="s">
        <v>3462</v>
      </c>
      <c r="Z541" s="4">
        <v>128</v>
      </c>
      <c r="AA541" s="4">
        <f>=ROUNDDOWN(64,0)</f>
      </c>
      <c r="AB541" s="5">
        <v>2</v>
      </c>
      <c r="AC541" s="2" t="s">
        <v>228</v>
      </c>
      <c r="AD541" s="4"/>
      <c r="AE541" s="4"/>
      <c r="AF541" s="6">
        <v>67</v>
      </c>
      <c r="AG541" s="6"/>
      <c r="AH541" s="7">
        <v>1</v>
      </c>
      <c r="AI541" s="4"/>
      <c r="AJ541" s="4">
        <f>=ROUNDDOWN({0},0)</f>
      </c>
      <c r="AK541" s="5"/>
      <c r="AL541" s="2" t="s">
        <v>228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228</v>
      </c>
      <c r="AW541" s="8" t="s">
        <v>228</v>
      </c>
      <c r="AX541" s="4" t="s">
        <v>228</v>
      </c>
      <c r="AY541" s="8" t="s">
        <v>228</v>
      </c>
      <c r="AZ541" s="7" t="s">
        <v>228</v>
      </c>
      <c r="BA541" s="7" t="s">
        <v>228</v>
      </c>
      <c r="BB541" s="7"/>
      <c r="BC541" s="4" t="s">
        <v>228</v>
      </c>
      <c r="BD541" s="8" t="s">
        <v>228</v>
      </c>
      <c r="BE541" s="4" t="s">
        <v>228</v>
      </c>
      <c r="BF541" s="8" t="s">
        <v>228</v>
      </c>
      <c r="BG541" s="7" t="s">
        <v>228</v>
      </c>
      <c r="BH541" s="7" t="s">
        <v>228</v>
      </c>
      <c r="BI541" s="7"/>
      <c r="BJ541" s="4">
        <v>5</v>
      </c>
      <c r="BK541" s="8">
        <v>117.75</v>
      </c>
      <c r="BL541" s="2" t="s">
        <v>3478</v>
      </c>
      <c r="BM541" s="7"/>
      <c r="BN541" s="7"/>
      <c r="BO541" s="4"/>
      <c r="BP541" s="8"/>
      <c r="BQ541" s="4"/>
      <c r="BR541" s="8"/>
      <c r="BS541" s="7"/>
      <c r="BT541" s="7"/>
      <c r="BU541" s="2" t="s">
        <v>3479</v>
      </c>
      <c r="BV541" s="2" t="s">
        <v>228</v>
      </c>
      <c r="BW541" s="2" t="s">
        <v>228</v>
      </c>
      <c r="BX541" s="2" t="s">
        <v>273</v>
      </c>
      <c r="BY541" s="2" t="s">
        <v>274</v>
      </c>
      <c r="BZ541" s="2" t="s">
        <v>240</v>
      </c>
      <c r="CA541" s="2" t="s">
        <v>3464</v>
      </c>
      <c r="CB541" s="2" t="s">
        <v>1749</v>
      </c>
      <c r="CC541" s="2" t="s">
        <v>241</v>
      </c>
      <c r="CD541" s="2" t="s">
        <v>228</v>
      </c>
      <c r="CE541" s="4">
        <v>128</v>
      </c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</row>
    <row r="542">
      <c r="A542" s="2" t="s">
        <v>3480</v>
      </c>
      <c r="B542" s="2" t="s">
        <v>299</v>
      </c>
      <c r="C542" s="2" t="s">
        <v>1037</v>
      </c>
      <c r="D542" s="2" t="s">
        <v>301</v>
      </c>
      <c r="E542" s="2" t="s">
        <v>302</v>
      </c>
      <c r="F542" s="2" t="s">
        <v>3458</v>
      </c>
      <c r="G542" s="2" t="s">
        <v>3458</v>
      </c>
      <c r="H542" s="2" t="s">
        <v>3458</v>
      </c>
      <c r="I542" s="2" t="s">
        <v>3459</v>
      </c>
      <c r="J542" s="2" t="s">
        <v>284</v>
      </c>
      <c r="K542" s="2" t="s">
        <v>251</v>
      </c>
      <c r="L542" s="3">
        <v>25.5</v>
      </c>
      <c r="M542" s="3">
        <v>26.78</v>
      </c>
      <c r="N542" s="3">
        <v>54.99</v>
      </c>
      <c r="O542" s="2" t="s">
        <v>240</v>
      </c>
      <c r="P542" s="2" t="s">
        <v>266</v>
      </c>
      <c r="Q542" s="2" t="s">
        <v>234</v>
      </c>
      <c r="R542" s="2" t="s">
        <v>228</v>
      </c>
      <c r="S542" s="2" t="s">
        <v>3477</v>
      </c>
      <c r="T542" s="2" t="s">
        <v>3461</v>
      </c>
      <c r="U542" s="2" t="s">
        <v>308</v>
      </c>
      <c r="V542" s="2" t="s">
        <v>236</v>
      </c>
      <c r="W542" s="2" t="s">
        <v>269</v>
      </c>
      <c r="X542" s="2" t="s">
        <v>228</v>
      </c>
      <c r="Y542" s="2" t="s">
        <v>3462</v>
      </c>
      <c r="Z542" s="4">
        <v>129</v>
      </c>
      <c r="AA542" s="4">
        <f>=ROUNDDOWN(43,0)</f>
      </c>
      <c r="AB542" s="5">
        <v>3</v>
      </c>
      <c r="AC542" s="2" t="s">
        <v>228</v>
      </c>
      <c r="AD542" s="4"/>
      <c r="AE542" s="4"/>
      <c r="AF542" s="6">
        <v>67</v>
      </c>
      <c r="AG542" s="6"/>
      <c r="AH542" s="7">
        <v>1</v>
      </c>
      <c r="AI542" s="4"/>
      <c r="AJ542" s="4">
        <f>=ROUNDDOWN({0},0)</f>
      </c>
      <c r="AK542" s="5"/>
      <c r="AL542" s="2" t="s">
        <v>228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228</v>
      </c>
      <c r="AW542" s="8" t="s">
        <v>228</v>
      </c>
      <c r="AX542" s="4" t="s">
        <v>228</v>
      </c>
      <c r="AY542" s="8" t="s">
        <v>228</v>
      </c>
      <c r="AZ542" s="7" t="s">
        <v>228</v>
      </c>
      <c r="BA542" s="7" t="s">
        <v>228</v>
      </c>
      <c r="BB542" s="7"/>
      <c r="BC542" s="4" t="s">
        <v>228</v>
      </c>
      <c r="BD542" s="8" t="s">
        <v>228</v>
      </c>
      <c r="BE542" s="4" t="s">
        <v>228</v>
      </c>
      <c r="BF542" s="8" t="s">
        <v>228</v>
      </c>
      <c r="BG542" s="7" t="s">
        <v>228</v>
      </c>
      <c r="BH542" s="7" t="s">
        <v>228</v>
      </c>
      <c r="BI542" s="7"/>
      <c r="BJ542" s="4">
        <v>11</v>
      </c>
      <c r="BK542" s="8">
        <v>317.69</v>
      </c>
      <c r="BL542" s="2" t="s">
        <v>3141</v>
      </c>
      <c r="BM542" s="7"/>
      <c r="BN542" s="7"/>
      <c r="BO542" s="4"/>
      <c r="BP542" s="8"/>
      <c r="BQ542" s="4"/>
      <c r="BR542" s="8"/>
      <c r="BS542" s="7"/>
      <c r="BT542" s="7"/>
      <c r="BU542" s="2" t="s">
        <v>3481</v>
      </c>
      <c r="BV542" s="2" t="s">
        <v>228</v>
      </c>
      <c r="BW542" s="2" t="s">
        <v>228</v>
      </c>
      <c r="BX542" s="2" t="s">
        <v>273</v>
      </c>
      <c r="BY542" s="2" t="s">
        <v>274</v>
      </c>
      <c r="BZ542" s="2" t="s">
        <v>240</v>
      </c>
      <c r="CA542" s="2" t="s">
        <v>3464</v>
      </c>
      <c r="CB542" s="2" t="s">
        <v>3296</v>
      </c>
      <c r="CC542" s="2" t="s">
        <v>241</v>
      </c>
      <c r="CD542" s="2" t="s">
        <v>228</v>
      </c>
      <c r="CE542" s="4">
        <v>129</v>
      </c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</row>
    <row r="543">
      <c r="A543" s="2" t="s">
        <v>3482</v>
      </c>
      <c r="B543" s="2" t="s">
        <v>299</v>
      </c>
      <c r="C543" s="2" t="s">
        <v>1037</v>
      </c>
      <c r="D543" s="2" t="s">
        <v>301</v>
      </c>
      <c r="E543" s="2" t="s">
        <v>302</v>
      </c>
      <c r="F543" s="2" t="s">
        <v>3458</v>
      </c>
      <c r="G543" s="2" t="s">
        <v>3458</v>
      </c>
      <c r="H543" s="2" t="s">
        <v>3458</v>
      </c>
      <c r="I543" s="2" t="s">
        <v>3459</v>
      </c>
      <c r="J543" s="2" t="s">
        <v>294</v>
      </c>
      <c r="K543" s="2" t="s">
        <v>251</v>
      </c>
      <c r="L543" s="3">
        <v>32.5</v>
      </c>
      <c r="M543" s="3">
        <v>34.13</v>
      </c>
      <c r="N543" s="3">
        <v>69.99</v>
      </c>
      <c r="O543" s="2" t="s">
        <v>240</v>
      </c>
      <c r="P543" s="2" t="s">
        <v>266</v>
      </c>
      <c r="Q543" s="2" t="s">
        <v>234</v>
      </c>
      <c r="R543" s="2" t="s">
        <v>228</v>
      </c>
      <c r="S543" s="2" t="s">
        <v>3477</v>
      </c>
      <c r="T543" s="2" t="s">
        <v>3461</v>
      </c>
      <c r="U543" s="2" t="s">
        <v>308</v>
      </c>
      <c r="V543" s="2" t="s">
        <v>236</v>
      </c>
      <c r="W543" s="2" t="s">
        <v>269</v>
      </c>
      <c r="X543" s="2" t="s">
        <v>228</v>
      </c>
      <c r="Y543" s="2" t="s">
        <v>3462</v>
      </c>
      <c r="Z543" s="4">
        <v>82</v>
      </c>
      <c r="AA543" s="4">
        <f>=ROUNDDOWN(26.4516129032258,0)</f>
      </c>
      <c r="AB543" s="5">
        <v>3.1</v>
      </c>
      <c r="AC543" s="2" t="s">
        <v>228</v>
      </c>
      <c r="AD543" s="4"/>
      <c r="AE543" s="4"/>
      <c r="AF543" s="6">
        <v>67</v>
      </c>
      <c r="AG543" s="6"/>
      <c r="AH543" s="7">
        <v>1</v>
      </c>
      <c r="AI543" s="4"/>
      <c r="AJ543" s="4">
        <f>=ROUNDDOWN({0},0)</f>
      </c>
      <c r="AK543" s="5"/>
      <c r="AL543" s="2" t="s">
        <v>228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228</v>
      </c>
      <c r="AW543" s="8" t="s">
        <v>228</v>
      </c>
      <c r="AX543" s="4" t="s">
        <v>228</v>
      </c>
      <c r="AY543" s="8" t="s">
        <v>228</v>
      </c>
      <c r="AZ543" s="7" t="s">
        <v>228</v>
      </c>
      <c r="BA543" s="7" t="s">
        <v>228</v>
      </c>
      <c r="BB543" s="7"/>
      <c r="BC543" s="4" t="s">
        <v>228</v>
      </c>
      <c r="BD543" s="8" t="s">
        <v>228</v>
      </c>
      <c r="BE543" s="4" t="s">
        <v>228</v>
      </c>
      <c r="BF543" s="8" t="s">
        <v>228</v>
      </c>
      <c r="BG543" s="7" t="s">
        <v>228</v>
      </c>
      <c r="BH543" s="7" t="s">
        <v>228</v>
      </c>
      <c r="BI543" s="7"/>
      <c r="BJ543" s="4">
        <v>14</v>
      </c>
      <c r="BK543" s="8">
        <v>503.68</v>
      </c>
      <c r="BL543" s="2" t="s">
        <v>3483</v>
      </c>
      <c r="BM543" s="7"/>
      <c r="BN543" s="7"/>
      <c r="BO543" s="4"/>
      <c r="BP543" s="8"/>
      <c r="BQ543" s="4"/>
      <c r="BR543" s="8"/>
      <c r="BS543" s="7"/>
      <c r="BT543" s="7"/>
      <c r="BU543" s="2" t="s">
        <v>3484</v>
      </c>
      <c r="BV543" s="2" t="s">
        <v>228</v>
      </c>
      <c r="BW543" s="2" t="s">
        <v>228</v>
      </c>
      <c r="BX543" s="2" t="s">
        <v>273</v>
      </c>
      <c r="BY543" s="2" t="s">
        <v>274</v>
      </c>
      <c r="BZ543" s="2" t="s">
        <v>240</v>
      </c>
      <c r="CA543" s="2" t="s">
        <v>3464</v>
      </c>
      <c r="CB543" s="2" t="s">
        <v>719</v>
      </c>
      <c r="CC543" s="2" t="s">
        <v>241</v>
      </c>
      <c r="CD543" s="2" t="s">
        <v>228</v>
      </c>
      <c r="CE543" s="4">
        <v>82</v>
      </c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</row>
    <row r="544">
      <c r="A544" s="2" t="s">
        <v>3485</v>
      </c>
      <c r="B544" s="2" t="s">
        <v>970</v>
      </c>
      <c r="C544" s="2" t="s">
        <v>300</v>
      </c>
      <c r="D544" s="2" t="s">
        <v>971</v>
      </c>
      <c r="E544" s="2" t="s">
        <v>3486</v>
      </c>
      <c r="F544" s="2" t="s">
        <v>3487</v>
      </c>
      <c r="G544" s="2" t="s">
        <v>3488</v>
      </c>
      <c r="H544" s="2" t="s">
        <v>3489</v>
      </c>
      <c r="I544" s="2" t="s">
        <v>3490</v>
      </c>
      <c r="J544" s="2" t="s">
        <v>3491</v>
      </c>
      <c r="K544" s="2" t="s">
        <v>265</v>
      </c>
      <c r="L544" s="3">
        <v>27</v>
      </c>
      <c r="M544" s="3">
        <v>28.35</v>
      </c>
      <c r="N544" s="3">
        <v>59.99</v>
      </c>
      <c r="O544" s="2" t="s">
        <v>491</v>
      </c>
      <c r="P544" s="2" t="s">
        <v>333</v>
      </c>
      <c r="Q544" s="2" t="s">
        <v>234</v>
      </c>
      <c r="R544" s="2" t="s">
        <v>228</v>
      </c>
      <c r="S544" s="2" t="s">
        <v>3492</v>
      </c>
      <c r="T544" s="2" t="s">
        <v>415</v>
      </c>
      <c r="U544" s="2" t="s">
        <v>416</v>
      </c>
      <c r="V544" s="2" t="s">
        <v>236</v>
      </c>
      <c r="W544" s="2" t="s">
        <v>417</v>
      </c>
      <c r="X544" s="2" t="s">
        <v>228</v>
      </c>
      <c r="Y544" s="2" t="s">
        <v>2080</v>
      </c>
      <c r="Z544" s="4">
        <v>33</v>
      </c>
      <c r="AA544" s="4">
        <f>=ROUNDDOWN(33,0)</f>
      </c>
      <c r="AB544" s="5">
        <v>1</v>
      </c>
      <c r="AC544" s="2" t="s">
        <v>228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228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228</v>
      </c>
      <c r="AW544" s="8" t="s">
        <v>228</v>
      </c>
      <c r="AX544" s="4" t="s">
        <v>228</v>
      </c>
      <c r="AY544" s="8" t="s">
        <v>228</v>
      </c>
      <c r="AZ544" s="7" t="s">
        <v>228</v>
      </c>
      <c r="BA544" s="7" t="s">
        <v>228</v>
      </c>
      <c r="BB544" s="7"/>
      <c r="BC544" s="4" t="s">
        <v>228</v>
      </c>
      <c r="BD544" s="8" t="s">
        <v>228</v>
      </c>
      <c r="BE544" s="4" t="s">
        <v>228</v>
      </c>
      <c r="BF544" s="8" t="s">
        <v>228</v>
      </c>
      <c r="BG544" s="7" t="s">
        <v>228</v>
      </c>
      <c r="BH544" s="7" t="s">
        <v>228</v>
      </c>
      <c r="BI544" s="7"/>
      <c r="BJ544" s="4">
        <v>5</v>
      </c>
      <c r="BK544" s="8">
        <v>137.55</v>
      </c>
      <c r="BL544" s="2" t="s">
        <v>3493</v>
      </c>
      <c r="BM544" s="7"/>
      <c r="BN544" s="7"/>
      <c r="BO544" s="4"/>
      <c r="BP544" s="8"/>
      <c r="BQ544" s="4"/>
      <c r="BR544" s="8"/>
      <c r="BS544" s="7"/>
      <c r="BT544" s="7"/>
      <c r="BU544" s="2" t="s">
        <v>3494</v>
      </c>
      <c r="BV544" s="2" t="s">
        <v>228</v>
      </c>
      <c r="BW544" s="2" t="s">
        <v>228</v>
      </c>
      <c r="BX544" s="2" t="s">
        <v>337</v>
      </c>
      <c r="BY544" s="2" t="s">
        <v>274</v>
      </c>
      <c r="BZ544" s="2" t="s">
        <v>240</v>
      </c>
      <c r="CA544" s="2" t="s">
        <v>464</v>
      </c>
      <c r="CB544" s="2" t="s">
        <v>3013</v>
      </c>
      <c r="CC544" s="2" t="s">
        <v>241</v>
      </c>
      <c r="CD544" s="2" t="s">
        <v>228</v>
      </c>
      <c r="CE544" s="4">
        <v>33</v>
      </c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</row>
    <row r="545">
      <c r="A545" s="2" t="s">
        <v>3495</v>
      </c>
      <c r="B545" s="2" t="s">
        <v>970</v>
      </c>
      <c r="C545" s="2" t="s">
        <v>300</v>
      </c>
      <c r="D545" s="2" t="s">
        <v>971</v>
      </c>
      <c r="E545" s="2" t="s">
        <v>3486</v>
      </c>
      <c r="F545" s="2" t="s">
        <v>3487</v>
      </c>
      <c r="G545" s="2" t="s">
        <v>3488</v>
      </c>
      <c r="H545" s="2" t="s">
        <v>3489</v>
      </c>
      <c r="I545" s="2" t="s">
        <v>3490</v>
      </c>
      <c r="J545" s="2" t="s">
        <v>3496</v>
      </c>
      <c r="K545" s="2" t="s">
        <v>265</v>
      </c>
      <c r="L545" s="3">
        <v>38.4</v>
      </c>
      <c r="M545" s="3">
        <v>40.32</v>
      </c>
      <c r="N545" s="3">
        <v>79.99</v>
      </c>
      <c r="O545" s="2" t="s">
        <v>240</v>
      </c>
      <c r="P545" s="2" t="s">
        <v>333</v>
      </c>
      <c r="Q545" s="2" t="s">
        <v>234</v>
      </c>
      <c r="R545" s="2" t="s">
        <v>228</v>
      </c>
      <c r="S545" s="2" t="s">
        <v>3492</v>
      </c>
      <c r="T545" s="2" t="s">
        <v>415</v>
      </c>
      <c r="U545" s="2" t="s">
        <v>416</v>
      </c>
      <c r="V545" s="2" t="s">
        <v>236</v>
      </c>
      <c r="W545" s="2" t="s">
        <v>417</v>
      </c>
      <c r="X545" s="2" t="s">
        <v>228</v>
      </c>
      <c r="Y545" s="2" t="s">
        <v>2080</v>
      </c>
      <c r="Z545" s="4">
        <v>18</v>
      </c>
      <c r="AA545" s="4">
        <f>=ROUNDDOWN(5.29411764705882,0)</f>
      </c>
      <c r="AB545" s="5">
        <v>3.4</v>
      </c>
      <c r="AC545" s="2" t="s">
        <v>228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228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228</v>
      </c>
      <c r="AW545" s="8" t="s">
        <v>228</v>
      </c>
      <c r="AX545" s="4" t="s">
        <v>228</v>
      </c>
      <c r="AY545" s="8" t="s">
        <v>228</v>
      </c>
      <c r="AZ545" s="7" t="s">
        <v>228</v>
      </c>
      <c r="BA545" s="7" t="s">
        <v>228</v>
      </c>
      <c r="BB545" s="7"/>
      <c r="BC545" s="4" t="s">
        <v>228</v>
      </c>
      <c r="BD545" s="8" t="s">
        <v>228</v>
      </c>
      <c r="BE545" s="4" t="s">
        <v>228</v>
      </c>
      <c r="BF545" s="8" t="s">
        <v>228</v>
      </c>
      <c r="BG545" s="7" t="s">
        <v>228</v>
      </c>
      <c r="BH545" s="7" t="s">
        <v>228</v>
      </c>
      <c r="BI545" s="7"/>
      <c r="BJ545" s="4">
        <v>15</v>
      </c>
      <c r="BK545" s="8">
        <v>411.06</v>
      </c>
      <c r="BL545" s="2" t="s">
        <v>3497</v>
      </c>
      <c r="BM545" s="7"/>
      <c r="BN545" s="7"/>
      <c r="BO545" s="4"/>
      <c r="BP545" s="8"/>
      <c r="BQ545" s="4"/>
      <c r="BR545" s="8"/>
      <c r="BS545" s="7"/>
      <c r="BT545" s="7"/>
      <c r="BU545" s="2" t="s">
        <v>3498</v>
      </c>
      <c r="BV545" s="2" t="s">
        <v>228</v>
      </c>
      <c r="BW545" s="2" t="s">
        <v>228</v>
      </c>
      <c r="BX545" s="2" t="s">
        <v>337</v>
      </c>
      <c r="BY545" s="2" t="s">
        <v>274</v>
      </c>
      <c r="BZ545" s="2" t="s">
        <v>240</v>
      </c>
      <c r="CA545" s="2" t="s">
        <v>464</v>
      </c>
      <c r="CB545" s="2" t="s">
        <v>3499</v>
      </c>
      <c r="CC545" s="2" t="s">
        <v>241</v>
      </c>
      <c r="CD545" s="2" t="s">
        <v>228</v>
      </c>
      <c r="CE545" s="4">
        <v>18</v>
      </c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</row>
    <row r="546">
      <c r="A546" s="2" t="s">
        <v>3500</v>
      </c>
      <c r="B546" s="2" t="s">
        <v>970</v>
      </c>
      <c r="C546" s="2" t="s">
        <v>300</v>
      </c>
      <c r="D546" s="2" t="s">
        <v>971</v>
      </c>
      <c r="E546" s="2" t="s">
        <v>3486</v>
      </c>
      <c r="F546" s="2" t="s">
        <v>3487</v>
      </c>
      <c r="G546" s="2" t="s">
        <v>3488</v>
      </c>
      <c r="H546" s="2" t="s">
        <v>3489</v>
      </c>
      <c r="I546" s="2" t="s">
        <v>3490</v>
      </c>
      <c r="J546" s="2" t="s">
        <v>3491</v>
      </c>
      <c r="K546" s="2" t="s">
        <v>460</v>
      </c>
      <c r="L546" s="3">
        <v>27</v>
      </c>
      <c r="M546" s="3">
        <v>28.35</v>
      </c>
      <c r="N546" s="3">
        <v>59.99</v>
      </c>
      <c r="O546" s="2" t="s">
        <v>461</v>
      </c>
      <c r="P546" s="2" t="s">
        <v>333</v>
      </c>
      <c r="Q546" s="2" t="s">
        <v>234</v>
      </c>
      <c r="R546" s="2" t="s">
        <v>228</v>
      </c>
      <c r="S546" s="2" t="s">
        <v>3501</v>
      </c>
      <c r="T546" s="2" t="s">
        <v>415</v>
      </c>
      <c r="U546" s="2" t="s">
        <v>416</v>
      </c>
      <c r="V546" s="2" t="s">
        <v>236</v>
      </c>
      <c r="W546" s="2" t="s">
        <v>417</v>
      </c>
      <c r="X546" s="2" t="s">
        <v>228</v>
      </c>
      <c r="Y546" s="2" t="s">
        <v>3502</v>
      </c>
      <c r="Z546" s="4">
        <v>161</v>
      </c>
      <c r="AA546" s="4">
        <f>=ROUNDDOWN(73.1818181818182,0)</f>
      </c>
      <c r="AB546" s="5">
        <v>2.2</v>
      </c>
      <c r="AC546" s="2" t="s">
        <v>228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228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228</v>
      </c>
      <c r="AW546" s="8" t="s">
        <v>228</v>
      </c>
      <c r="AX546" s="4" t="s">
        <v>228</v>
      </c>
      <c r="AY546" s="8" t="s">
        <v>228</v>
      </c>
      <c r="AZ546" s="7" t="s">
        <v>228</v>
      </c>
      <c r="BA546" s="7" t="s">
        <v>228</v>
      </c>
      <c r="BB546" s="7"/>
      <c r="BC546" s="4" t="s">
        <v>228</v>
      </c>
      <c r="BD546" s="8" t="s">
        <v>228</v>
      </c>
      <c r="BE546" s="4" t="s">
        <v>228</v>
      </c>
      <c r="BF546" s="8" t="s">
        <v>228</v>
      </c>
      <c r="BG546" s="7" t="s">
        <v>228</v>
      </c>
      <c r="BH546" s="7" t="s">
        <v>228</v>
      </c>
      <c r="BI546" s="7"/>
      <c r="BJ546" s="4">
        <v>9</v>
      </c>
      <c r="BK546" s="8">
        <v>329.21</v>
      </c>
      <c r="BL546" s="2" t="s">
        <v>3503</v>
      </c>
      <c r="BM546" s="7"/>
      <c r="BN546" s="7"/>
      <c r="BO546" s="4"/>
      <c r="BP546" s="8"/>
      <c r="BQ546" s="4"/>
      <c r="BR546" s="8"/>
      <c r="BS546" s="7"/>
      <c r="BT546" s="7"/>
      <c r="BU546" s="2" t="s">
        <v>3504</v>
      </c>
      <c r="BV546" s="2" t="s">
        <v>228</v>
      </c>
      <c r="BW546" s="2" t="s">
        <v>228</v>
      </c>
      <c r="BX546" s="2" t="s">
        <v>337</v>
      </c>
      <c r="BY546" s="2" t="s">
        <v>274</v>
      </c>
      <c r="BZ546" s="2" t="s">
        <v>240</v>
      </c>
      <c r="CA546" s="2" t="s">
        <v>2246</v>
      </c>
      <c r="CB546" s="2" t="s">
        <v>467</v>
      </c>
      <c r="CC546" s="2" t="s">
        <v>241</v>
      </c>
      <c r="CD546" s="2" t="s">
        <v>228</v>
      </c>
      <c r="CE546" s="4">
        <v>161</v>
      </c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</row>
    <row r="547">
      <c r="A547" s="2" t="s">
        <v>3505</v>
      </c>
      <c r="B547" s="2" t="s">
        <v>970</v>
      </c>
      <c r="C547" s="2" t="s">
        <v>300</v>
      </c>
      <c r="D547" s="2" t="s">
        <v>971</v>
      </c>
      <c r="E547" s="2" t="s">
        <v>3486</v>
      </c>
      <c r="F547" s="2" t="s">
        <v>3487</v>
      </c>
      <c r="G547" s="2" t="s">
        <v>3488</v>
      </c>
      <c r="H547" s="2" t="s">
        <v>3489</v>
      </c>
      <c r="I547" s="2" t="s">
        <v>3490</v>
      </c>
      <c r="J547" s="2" t="s">
        <v>3506</v>
      </c>
      <c r="K547" s="2" t="s">
        <v>460</v>
      </c>
      <c r="L547" s="3">
        <v>29.25</v>
      </c>
      <c r="M547" s="3">
        <v>30.71</v>
      </c>
      <c r="N547" s="3">
        <v>64.99</v>
      </c>
      <c r="O547" s="2" t="s">
        <v>461</v>
      </c>
      <c r="P547" s="2" t="s">
        <v>333</v>
      </c>
      <c r="Q547" s="2" t="s">
        <v>234</v>
      </c>
      <c r="R547" s="2" t="s">
        <v>228</v>
      </c>
      <c r="S547" s="2" t="s">
        <v>3501</v>
      </c>
      <c r="T547" s="2" t="s">
        <v>415</v>
      </c>
      <c r="U547" s="2" t="s">
        <v>416</v>
      </c>
      <c r="V547" s="2" t="s">
        <v>236</v>
      </c>
      <c r="W547" s="2" t="s">
        <v>417</v>
      </c>
      <c r="X547" s="2" t="s">
        <v>228</v>
      </c>
      <c r="Y547" s="2" t="s">
        <v>3502</v>
      </c>
      <c r="Z547" s="4">
        <v>170</v>
      </c>
      <c r="AA547" s="4">
        <f>=ROUNDDOWN(85,0)</f>
      </c>
      <c r="AB547" s="5">
        <v>2</v>
      </c>
      <c r="AC547" s="2" t="s">
        <v>228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228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228</v>
      </c>
      <c r="AW547" s="8" t="s">
        <v>228</v>
      </c>
      <c r="AX547" s="4" t="s">
        <v>228</v>
      </c>
      <c r="AY547" s="8" t="s">
        <v>228</v>
      </c>
      <c r="AZ547" s="7" t="s">
        <v>228</v>
      </c>
      <c r="BA547" s="7" t="s">
        <v>228</v>
      </c>
      <c r="BB547" s="7"/>
      <c r="BC547" s="4" t="s">
        <v>228</v>
      </c>
      <c r="BD547" s="8" t="s">
        <v>228</v>
      </c>
      <c r="BE547" s="4" t="s">
        <v>228</v>
      </c>
      <c r="BF547" s="8" t="s">
        <v>228</v>
      </c>
      <c r="BG547" s="7" t="s">
        <v>228</v>
      </c>
      <c r="BH547" s="7" t="s">
        <v>228</v>
      </c>
      <c r="BI547" s="7"/>
      <c r="BJ547" s="4">
        <v>7</v>
      </c>
      <c r="BK547" s="8">
        <v>230.95</v>
      </c>
      <c r="BL547" s="2" t="s">
        <v>3507</v>
      </c>
      <c r="BM547" s="7"/>
      <c r="BN547" s="7"/>
      <c r="BO547" s="4"/>
      <c r="BP547" s="8"/>
      <c r="BQ547" s="4"/>
      <c r="BR547" s="8"/>
      <c r="BS547" s="7"/>
      <c r="BT547" s="7"/>
      <c r="BU547" s="2" t="s">
        <v>3508</v>
      </c>
      <c r="BV547" s="2" t="s">
        <v>228</v>
      </c>
      <c r="BW547" s="2" t="s">
        <v>228</v>
      </c>
      <c r="BX547" s="2" t="s">
        <v>337</v>
      </c>
      <c r="BY547" s="2" t="s">
        <v>274</v>
      </c>
      <c r="BZ547" s="2" t="s">
        <v>240</v>
      </c>
      <c r="CA547" s="2" t="s">
        <v>2246</v>
      </c>
      <c r="CB547" s="2" t="s">
        <v>3509</v>
      </c>
      <c r="CC547" s="2" t="s">
        <v>241</v>
      </c>
      <c r="CD547" s="2" t="s">
        <v>228</v>
      </c>
      <c r="CE547" s="4">
        <v>170</v>
      </c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</row>
    <row r="548">
      <c r="A548" s="2" t="s">
        <v>3510</v>
      </c>
      <c r="B548" s="2" t="s">
        <v>970</v>
      </c>
      <c r="C548" s="2" t="s">
        <v>300</v>
      </c>
      <c r="D548" s="2" t="s">
        <v>971</v>
      </c>
      <c r="E548" s="2" t="s">
        <v>3486</v>
      </c>
      <c r="F548" s="2" t="s">
        <v>3487</v>
      </c>
      <c r="G548" s="2" t="s">
        <v>3488</v>
      </c>
      <c r="H548" s="2" t="s">
        <v>3489</v>
      </c>
      <c r="I548" s="2" t="s">
        <v>3490</v>
      </c>
      <c r="J548" s="2" t="s">
        <v>3511</v>
      </c>
      <c r="K548" s="2" t="s">
        <v>460</v>
      </c>
      <c r="L548" s="3">
        <v>32.2</v>
      </c>
      <c r="M548" s="3">
        <v>33.81</v>
      </c>
      <c r="N548" s="3">
        <v>69.99</v>
      </c>
      <c r="O548" s="2" t="s">
        <v>461</v>
      </c>
      <c r="P548" s="2" t="s">
        <v>333</v>
      </c>
      <c r="Q548" s="2" t="s">
        <v>234</v>
      </c>
      <c r="R548" s="2" t="s">
        <v>228</v>
      </c>
      <c r="S548" s="2" t="s">
        <v>3501</v>
      </c>
      <c r="T548" s="2" t="s">
        <v>415</v>
      </c>
      <c r="U548" s="2" t="s">
        <v>416</v>
      </c>
      <c r="V548" s="2" t="s">
        <v>236</v>
      </c>
      <c r="W548" s="2" t="s">
        <v>417</v>
      </c>
      <c r="X548" s="2" t="s">
        <v>228</v>
      </c>
      <c r="Y548" s="2" t="s">
        <v>3502</v>
      </c>
      <c r="Z548" s="4">
        <v>179</v>
      </c>
      <c r="AA548" s="4">
        <f>=ROUNDDOWN(81.3636363636364,0)</f>
      </c>
      <c r="AB548" s="5">
        <v>2.2</v>
      </c>
      <c r="AC548" s="2" t="s">
        <v>228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228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228</v>
      </c>
      <c r="AW548" s="8" t="s">
        <v>228</v>
      </c>
      <c r="AX548" s="4" t="s">
        <v>228</v>
      </c>
      <c r="AY548" s="8" t="s">
        <v>228</v>
      </c>
      <c r="AZ548" s="7" t="s">
        <v>228</v>
      </c>
      <c r="BA548" s="7" t="s">
        <v>228</v>
      </c>
      <c r="BB548" s="7"/>
      <c r="BC548" s="4" t="s">
        <v>228</v>
      </c>
      <c r="BD548" s="8" t="s">
        <v>228</v>
      </c>
      <c r="BE548" s="4" t="s">
        <v>228</v>
      </c>
      <c r="BF548" s="8" t="s">
        <v>228</v>
      </c>
      <c r="BG548" s="7" t="s">
        <v>228</v>
      </c>
      <c r="BH548" s="7" t="s">
        <v>228</v>
      </c>
      <c r="BI548" s="7"/>
      <c r="BJ548" s="4">
        <v>9</v>
      </c>
      <c r="BK548" s="8">
        <v>308.79</v>
      </c>
      <c r="BL548" s="2" t="s">
        <v>3512</v>
      </c>
      <c r="BM548" s="7"/>
      <c r="BN548" s="7"/>
      <c r="BO548" s="4"/>
      <c r="BP548" s="8"/>
      <c r="BQ548" s="4"/>
      <c r="BR548" s="8"/>
      <c r="BS548" s="7"/>
      <c r="BT548" s="7"/>
      <c r="BU548" s="2" t="s">
        <v>3513</v>
      </c>
      <c r="BV548" s="2" t="s">
        <v>228</v>
      </c>
      <c r="BW548" s="2" t="s">
        <v>228</v>
      </c>
      <c r="BX548" s="2" t="s">
        <v>337</v>
      </c>
      <c r="BY548" s="2" t="s">
        <v>274</v>
      </c>
      <c r="BZ548" s="2" t="s">
        <v>240</v>
      </c>
      <c r="CA548" s="2" t="s">
        <v>2246</v>
      </c>
      <c r="CB548" s="2" t="s">
        <v>3514</v>
      </c>
      <c r="CC548" s="2" t="s">
        <v>241</v>
      </c>
      <c r="CD548" s="2" t="s">
        <v>228</v>
      </c>
      <c r="CE548" s="4">
        <v>179</v>
      </c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</row>
    <row r="549">
      <c r="A549" s="2" t="s">
        <v>3515</v>
      </c>
      <c r="B549" s="2" t="s">
        <v>970</v>
      </c>
      <c r="C549" s="2" t="s">
        <v>300</v>
      </c>
      <c r="D549" s="2" t="s">
        <v>971</v>
      </c>
      <c r="E549" s="2" t="s">
        <v>3486</v>
      </c>
      <c r="F549" s="2" t="s">
        <v>3487</v>
      </c>
      <c r="G549" s="2" t="s">
        <v>3488</v>
      </c>
      <c r="H549" s="2" t="s">
        <v>3489</v>
      </c>
      <c r="I549" s="2" t="s">
        <v>3490</v>
      </c>
      <c r="J549" s="2" t="s">
        <v>3516</v>
      </c>
      <c r="K549" s="2" t="s">
        <v>460</v>
      </c>
      <c r="L549" s="3">
        <v>34.5</v>
      </c>
      <c r="M549" s="3">
        <v>36.23</v>
      </c>
      <c r="N549" s="3">
        <v>74.99</v>
      </c>
      <c r="O549" s="2" t="s">
        <v>240</v>
      </c>
      <c r="P549" s="2" t="s">
        <v>333</v>
      </c>
      <c r="Q549" s="2" t="s">
        <v>234</v>
      </c>
      <c r="R549" s="2" t="s">
        <v>228</v>
      </c>
      <c r="S549" s="2" t="s">
        <v>3501</v>
      </c>
      <c r="T549" s="2" t="s">
        <v>415</v>
      </c>
      <c r="U549" s="2" t="s">
        <v>416</v>
      </c>
      <c r="V549" s="2" t="s">
        <v>236</v>
      </c>
      <c r="W549" s="2" t="s">
        <v>417</v>
      </c>
      <c r="X549" s="2" t="s">
        <v>228</v>
      </c>
      <c r="Y549" s="2" t="s">
        <v>3502</v>
      </c>
      <c r="Z549" s="4">
        <v>28</v>
      </c>
      <c r="AA549" s="4">
        <f>=ROUNDDOWN(7.56756756756757,0)</f>
      </c>
      <c r="AB549" s="5">
        <v>3.7</v>
      </c>
      <c r="AC549" s="2" t="s">
        <v>228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228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228</v>
      </c>
      <c r="AW549" s="8" t="s">
        <v>228</v>
      </c>
      <c r="AX549" s="4" t="s">
        <v>228</v>
      </c>
      <c r="AY549" s="8" t="s">
        <v>228</v>
      </c>
      <c r="AZ549" s="7" t="s">
        <v>228</v>
      </c>
      <c r="BA549" s="7" t="s">
        <v>228</v>
      </c>
      <c r="BB549" s="7"/>
      <c r="BC549" s="4" t="s">
        <v>228</v>
      </c>
      <c r="BD549" s="8" t="s">
        <v>228</v>
      </c>
      <c r="BE549" s="4" t="s">
        <v>228</v>
      </c>
      <c r="BF549" s="8" t="s">
        <v>228</v>
      </c>
      <c r="BG549" s="7" t="s">
        <v>228</v>
      </c>
      <c r="BH549" s="7" t="s">
        <v>228</v>
      </c>
      <c r="BI549" s="7"/>
      <c r="BJ549" s="4">
        <v>14</v>
      </c>
      <c r="BK549" s="8">
        <v>492.55</v>
      </c>
      <c r="BL549" s="2" t="s">
        <v>3517</v>
      </c>
      <c r="BM549" s="7"/>
      <c r="BN549" s="7"/>
      <c r="BO549" s="4"/>
      <c r="BP549" s="8"/>
      <c r="BQ549" s="4"/>
      <c r="BR549" s="8"/>
      <c r="BS549" s="7"/>
      <c r="BT549" s="7"/>
      <c r="BU549" s="2" t="s">
        <v>3518</v>
      </c>
      <c r="BV549" s="2" t="s">
        <v>228</v>
      </c>
      <c r="BW549" s="2" t="s">
        <v>228</v>
      </c>
      <c r="BX549" s="2" t="s">
        <v>337</v>
      </c>
      <c r="BY549" s="2" t="s">
        <v>274</v>
      </c>
      <c r="BZ549" s="2" t="s">
        <v>240</v>
      </c>
      <c r="CA549" s="2" t="s">
        <v>2246</v>
      </c>
      <c r="CB549" s="2" t="s">
        <v>3519</v>
      </c>
      <c r="CC549" s="2" t="s">
        <v>241</v>
      </c>
      <c r="CD549" s="2" t="s">
        <v>228</v>
      </c>
      <c r="CE549" s="4">
        <v>28</v>
      </c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</row>
    <row r="550">
      <c r="A550" s="2" t="s">
        <v>3520</v>
      </c>
      <c r="B550" s="2" t="s">
        <v>970</v>
      </c>
      <c r="C550" s="2" t="s">
        <v>300</v>
      </c>
      <c r="D550" s="2" t="s">
        <v>971</v>
      </c>
      <c r="E550" s="2" t="s">
        <v>3486</v>
      </c>
      <c r="F550" s="2" t="s">
        <v>3487</v>
      </c>
      <c r="G550" s="2" t="s">
        <v>3488</v>
      </c>
      <c r="H550" s="2" t="s">
        <v>3489</v>
      </c>
      <c r="I550" s="2" t="s">
        <v>3490</v>
      </c>
      <c r="J550" s="2" t="s">
        <v>3496</v>
      </c>
      <c r="K550" s="2" t="s">
        <v>460</v>
      </c>
      <c r="L550" s="3">
        <v>38.4</v>
      </c>
      <c r="M550" s="3">
        <v>40.32</v>
      </c>
      <c r="N550" s="3">
        <v>79.99</v>
      </c>
      <c r="O550" s="2" t="s">
        <v>461</v>
      </c>
      <c r="P550" s="2" t="s">
        <v>333</v>
      </c>
      <c r="Q550" s="2" t="s">
        <v>234</v>
      </c>
      <c r="R550" s="2" t="s">
        <v>228</v>
      </c>
      <c r="S550" s="2" t="s">
        <v>3501</v>
      </c>
      <c r="T550" s="2" t="s">
        <v>415</v>
      </c>
      <c r="U550" s="2" t="s">
        <v>416</v>
      </c>
      <c r="V550" s="2" t="s">
        <v>236</v>
      </c>
      <c r="W550" s="2" t="s">
        <v>417</v>
      </c>
      <c r="X550" s="2" t="s">
        <v>228</v>
      </c>
      <c r="Y550" s="2" t="s">
        <v>3502</v>
      </c>
      <c r="Z550" s="4">
        <v>302</v>
      </c>
      <c r="AA550" s="4">
        <f>=ROUNDDOWN(120.8,0)</f>
      </c>
      <c r="AB550" s="5">
        <v>2.5</v>
      </c>
      <c r="AC550" s="2" t="s">
        <v>228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228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228</v>
      </c>
      <c r="AW550" s="8" t="s">
        <v>228</v>
      </c>
      <c r="AX550" s="4" t="s">
        <v>228</v>
      </c>
      <c r="AY550" s="8" t="s">
        <v>228</v>
      </c>
      <c r="AZ550" s="7" t="s">
        <v>228</v>
      </c>
      <c r="BA550" s="7" t="s">
        <v>228</v>
      </c>
      <c r="BB550" s="7"/>
      <c r="BC550" s="4" t="s">
        <v>228</v>
      </c>
      <c r="BD550" s="8" t="s">
        <v>228</v>
      </c>
      <c r="BE550" s="4" t="s">
        <v>228</v>
      </c>
      <c r="BF550" s="8" t="s">
        <v>228</v>
      </c>
      <c r="BG550" s="7" t="s">
        <v>228</v>
      </c>
      <c r="BH550" s="7" t="s">
        <v>228</v>
      </c>
      <c r="BI550" s="7"/>
      <c r="BJ550" s="4">
        <v>10</v>
      </c>
      <c r="BK550" s="8">
        <v>408.39</v>
      </c>
      <c r="BL550" s="2" t="s">
        <v>3503</v>
      </c>
      <c r="BM550" s="7"/>
      <c r="BN550" s="7"/>
      <c r="BO550" s="4"/>
      <c r="BP550" s="8"/>
      <c r="BQ550" s="4"/>
      <c r="BR550" s="8"/>
      <c r="BS550" s="7"/>
      <c r="BT550" s="7"/>
      <c r="BU550" s="2" t="s">
        <v>3521</v>
      </c>
      <c r="BV550" s="2" t="s">
        <v>228</v>
      </c>
      <c r="BW550" s="2" t="s">
        <v>228</v>
      </c>
      <c r="BX550" s="2" t="s">
        <v>337</v>
      </c>
      <c r="BY550" s="2" t="s">
        <v>274</v>
      </c>
      <c r="BZ550" s="2" t="s">
        <v>240</v>
      </c>
      <c r="CA550" s="2" t="s">
        <v>2246</v>
      </c>
      <c r="CB550" s="2" t="s">
        <v>3522</v>
      </c>
      <c r="CC550" s="2" t="s">
        <v>241</v>
      </c>
      <c r="CD550" s="2" t="s">
        <v>228</v>
      </c>
      <c r="CE550" s="4">
        <v>302</v>
      </c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</row>
    <row r="551">
      <c r="A551" s="2" t="s">
        <v>3523</v>
      </c>
      <c r="B551" s="2" t="s">
        <v>970</v>
      </c>
      <c r="C551" s="2" t="s">
        <v>300</v>
      </c>
      <c r="D551" s="2" t="s">
        <v>971</v>
      </c>
      <c r="E551" s="2" t="s">
        <v>3486</v>
      </c>
      <c r="F551" s="2" t="s">
        <v>3487</v>
      </c>
      <c r="G551" s="2" t="s">
        <v>3488</v>
      </c>
      <c r="H551" s="2" t="s">
        <v>3489</v>
      </c>
      <c r="I551" s="2" t="s">
        <v>3490</v>
      </c>
      <c r="J551" s="2" t="s">
        <v>3506</v>
      </c>
      <c r="K551" s="2" t="s">
        <v>480</v>
      </c>
      <c r="L551" s="3">
        <v>29.25</v>
      </c>
      <c r="M551" s="3">
        <v>30.71</v>
      </c>
      <c r="N551" s="3">
        <v>64.99</v>
      </c>
      <c r="O551" s="2" t="s">
        <v>240</v>
      </c>
      <c r="P551" s="2" t="s">
        <v>266</v>
      </c>
      <c r="Q551" s="2" t="s">
        <v>234</v>
      </c>
      <c r="R551" s="2" t="s">
        <v>228</v>
      </c>
      <c r="S551" s="2" t="s">
        <v>3524</v>
      </c>
      <c r="T551" s="2" t="s">
        <v>415</v>
      </c>
      <c r="U551" s="2" t="s">
        <v>416</v>
      </c>
      <c r="V551" s="2" t="s">
        <v>236</v>
      </c>
      <c r="W551" s="2" t="s">
        <v>417</v>
      </c>
      <c r="X551" s="2" t="s">
        <v>228</v>
      </c>
      <c r="Y551" s="2" t="s">
        <v>3525</v>
      </c>
      <c r="Z551" s="4">
        <v>105</v>
      </c>
      <c r="AA551" s="4">
        <f>=ROUNDDOWN(13.125,0)</f>
      </c>
      <c r="AB551" s="5">
        <v>8</v>
      </c>
      <c r="AC551" s="2" t="s">
        <v>187</v>
      </c>
      <c r="AD551" s="4">
        <v>120</v>
      </c>
      <c r="AE551" s="4">
        <v>282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228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228</v>
      </c>
      <c r="AW551" s="8" t="s">
        <v>228</v>
      </c>
      <c r="AX551" s="4" t="s">
        <v>228</v>
      </c>
      <c r="AY551" s="8" t="s">
        <v>228</v>
      </c>
      <c r="AZ551" s="7" t="s">
        <v>228</v>
      </c>
      <c r="BA551" s="7" t="s">
        <v>228</v>
      </c>
      <c r="BB551" s="7"/>
      <c r="BC551" s="4" t="s">
        <v>228</v>
      </c>
      <c r="BD551" s="8" t="s">
        <v>228</v>
      </c>
      <c r="BE551" s="4" t="s">
        <v>228</v>
      </c>
      <c r="BF551" s="8" t="s">
        <v>228</v>
      </c>
      <c r="BG551" s="7" t="s">
        <v>228</v>
      </c>
      <c r="BH551" s="7" t="s">
        <v>228</v>
      </c>
      <c r="BI551" s="7"/>
      <c r="BJ551" s="4">
        <v>32</v>
      </c>
      <c r="BK551" s="8">
        <v>1055.03</v>
      </c>
      <c r="BL551" s="2" t="s">
        <v>3526</v>
      </c>
      <c r="BM551" s="7"/>
      <c r="BN551" s="7"/>
      <c r="BO551" s="4"/>
      <c r="BP551" s="8"/>
      <c r="BQ551" s="4"/>
      <c r="BR551" s="8"/>
      <c r="BS551" s="7"/>
      <c r="BT551" s="7"/>
      <c r="BU551" s="2" t="s">
        <v>3527</v>
      </c>
      <c r="BV551" s="2" t="s">
        <v>228</v>
      </c>
      <c r="BW551" s="2" t="s">
        <v>228</v>
      </c>
      <c r="BX551" s="2" t="s">
        <v>273</v>
      </c>
      <c r="BY551" s="2" t="s">
        <v>274</v>
      </c>
      <c r="BZ551" s="2" t="s">
        <v>240</v>
      </c>
      <c r="CA551" s="2" t="s">
        <v>3528</v>
      </c>
      <c r="CB551" s="2" t="s">
        <v>3529</v>
      </c>
      <c r="CC551" s="2" t="s">
        <v>241</v>
      </c>
      <c r="CD551" s="2" t="s">
        <v>228</v>
      </c>
      <c r="CE551" s="4">
        <v>105</v>
      </c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>
        <v>120</v>
      </c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>
        <v>162</v>
      </c>
    </row>
    <row r="552">
      <c r="A552" s="2" t="s">
        <v>3530</v>
      </c>
      <c r="B552" s="2" t="s">
        <v>970</v>
      </c>
      <c r="C552" s="2" t="s">
        <v>300</v>
      </c>
      <c r="D552" s="2" t="s">
        <v>971</v>
      </c>
      <c r="E552" s="2" t="s">
        <v>3486</v>
      </c>
      <c r="F552" s="2" t="s">
        <v>3487</v>
      </c>
      <c r="G552" s="2" t="s">
        <v>3488</v>
      </c>
      <c r="H552" s="2" t="s">
        <v>3489</v>
      </c>
      <c r="I552" s="2" t="s">
        <v>3490</v>
      </c>
      <c r="J552" s="2" t="s">
        <v>3496</v>
      </c>
      <c r="K552" s="2" t="s">
        <v>480</v>
      </c>
      <c r="L552" s="3">
        <v>38.4</v>
      </c>
      <c r="M552" s="3">
        <v>40.32</v>
      </c>
      <c r="N552" s="3">
        <v>79.99</v>
      </c>
      <c r="O552" s="2" t="s">
        <v>240</v>
      </c>
      <c r="P552" s="2" t="s">
        <v>266</v>
      </c>
      <c r="Q552" s="2" t="s">
        <v>234</v>
      </c>
      <c r="R552" s="2" t="s">
        <v>228</v>
      </c>
      <c r="S552" s="2" t="s">
        <v>3524</v>
      </c>
      <c r="T552" s="2" t="s">
        <v>415</v>
      </c>
      <c r="U552" s="2" t="s">
        <v>416</v>
      </c>
      <c r="V552" s="2" t="s">
        <v>236</v>
      </c>
      <c r="W552" s="2" t="s">
        <v>417</v>
      </c>
      <c r="X552" s="2" t="s">
        <v>228</v>
      </c>
      <c r="Y552" s="2" t="s">
        <v>3525</v>
      </c>
      <c r="Z552" s="4">
        <v>348</v>
      </c>
      <c r="AA552" s="4">
        <f>=ROUNDDOWN(43.5,0)</f>
      </c>
      <c r="AB552" s="5">
        <v>8</v>
      </c>
      <c r="AC552" s="2" t="s">
        <v>3531</v>
      </c>
      <c r="AD552" s="4">
        <v>84</v>
      </c>
      <c r="AE552" s="4">
        <v>84</v>
      </c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228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228</v>
      </c>
      <c r="AW552" s="8" t="s">
        <v>228</v>
      </c>
      <c r="AX552" s="4" t="s">
        <v>228</v>
      </c>
      <c r="AY552" s="8" t="s">
        <v>228</v>
      </c>
      <c r="AZ552" s="7" t="s">
        <v>228</v>
      </c>
      <c r="BA552" s="7" t="s">
        <v>228</v>
      </c>
      <c r="BB552" s="7"/>
      <c r="BC552" s="4" t="s">
        <v>228</v>
      </c>
      <c r="BD552" s="8" t="s">
        <v>228</v>
      </c>
      <c r="BE552" s="4" t="s">
        <v>228</v>
      </c>
      <c r="BF552" s="8" t="s">
        <v>228</v>
      </c>
      <c r="BG552" s="7" t="s">
        <v>228</v>
      </c>
      <c r="BH552" s="7" t="s">
        <v>228</v>
      </c>
      <c r="BI552" s="7"/>
      <c r="BJ552" s="4">
        <v>20</v>
      </c>
      <c r="BK552" s="8">
        <v>837.76</v>
      </c>
      <c r="BL552" s="2" t="s">
        <v>3532</v>
      </c>
      <c r="BM552" s="7"/>
      <c r="BN552" s="7"/>
      <c r="BO552" s="4"/>
      <c r="BP552" s="8"/>
      <c r="BQ552" s="4"/>
      <c r="BR552" s="8"/>
      <c r="BS552" s="7"/>
      <c r="BT552" s="7"/>
      <c r="BU552" s="2" t="s">
        <v>3533</v>
      </c>
      <c r="BV552" s="2" t="s">
        <v>228</v>
      </c>
      <c r="BW552" s="2" t="s">
        <v>228</v>
      </c>
      <c r="BX552" s="2" t="s">
        <v>273</v>
      </c>
      <c r="BY552" s="2" t="s">
        <v>274</v>
      </c>
      <c r="BZ552" s="2" t="s">
        <v>240</v>
      </c>
      <c r="CA552" s="2" t="s">
        <v>3528</v>
      </c>
      <c r="CB552" s="2" t="s">
        <v>3534</v>
      </c>
      <c r="CC552" s="2" t="s">
        <v>241</v>
      </c>
      <c r="CD552" s="2" t="s">
        <v>228</v>
      </c>
      <c r="CE552" s="4">
        <v>168</v>
      </c>
      <c r="CF552" s="4"/>
      <c r="CG552" s="4"/>
      <c r="CH552" s="4"/>
      <c r="CI552" s="4"/>
      <c r="CJ552" s="4"/>
      <c r="CK552" s="4">
        <v>180</v>
      </c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>
        <v>84</v>
      </c>
    </row>
    <row r="553">
      <c r="A553" s="2" t="s">
        <v>3535</v>
      </c>
      <c r="B553" s="2" t="s">
        <v>970</v>
      </c>
      <c r="C553" s="2" t="s">
        <v>300</v>
      </c>
      <c r="D553" s="2" t="s">
        <v>971</v>
      </c>
      <c r="E553" s="2" t="s">
        <v>3486</v>
      </c>
      <c r="F553" s="2" t="s">
        <v>3487</v>
      </c>
      <c r="G553" s="2" t="s">
        <v>3488</v>
      </c>
      <c r="H553" s="2" t="s">
        <v>3489</v>
      </c>
      <c r="I553" s="2" t="s">
        <v>3490</v>
      </c>
      <c r="J553" s="2" t="s">
        <v>3506</v>
      </c>
      <c r="K553" s="2" t="s">
        <v>829</v>
      </c>
      <c r="L553" s="3">
        <v>29.25</v>
      </c>
      <c r="M553" s="3">
        <v>30.71</v>
      </c>
      <c r="N553" s="3">
        <v>64.99</v>
      </c>
      <c r="O553" s="2" t="s">
        <v>240</v>
      </c>
      <c r="P553" s="2" t="s">
        <v>266</v>
      </c>
      <c r="Q553" s="2" t="s">
        <v>234</v>
      </c>
      <c r="R553" s="2" t="s">
        <v>228</v>
      </c>
      <c r="S553" s="2" t="s">
        <v>3536</v>
      </c>
      <c r="T553" s="2" t="s">
        <v>415</v>
      </c>
      <c r="U553" s="2" t="s">
        <v>416</v>
      </c>
      <c r="V553" s="2" t="s">
        <v>236</v>
      </c>
      <c r="W553" s="2" t="s">
        <v>417</v>
      </c>
      <c r="X553" s="2" t="s">
        <v>228</v>
      </c>
      <c r="Y553" s="2" t="s">
        <v>3525</v>
      </c>
      <c r="Z553" s="4">
        <v>100</v>
      </c>
      <c r="AA553" s="4">
        <f>=ROUNDDOWN(20,0)</f>
      </c>
      <c r="AB553" s="5">
        <v>5</v>
      </c>
      <c r="AC553" s="2" t="s">
        <v>187</v>
      </c>
      <c r="AD553" s="4">
        <v>90</v>
      </c>
      <c r="AE553" s="4">
        <v>162</v>
      </c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228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228</v>
      </c>
      <c r="AW553" s="8" t="s">
        <v>228</v>
      </c>
      <c r="AX553" s="4" t="s">
        <v>228</v>
      </c>
      <c r="AY553" s="8" t="s">
        <v>228</v>
      </c>
      <c r="AZ553" s="7" t="s">
        <v>228</v>
      </c>
      <c r="BA553" s="7" t="s">
        <v>228</v>
      </c>
      <c r="BB553" s="7"/>
      <c r="BC553" s="4" t="s">
        <v>228</v>
      </c>
      <c r="BD553" s="8" t="s">
        <v>228</v>
      </c>
      <c r="BE553" s="4" t="s">
        <v>228</v>
      </c>
      <c r="BF553" s="8" t="s">
        <v>228</v>
      </c>
      <c r="BG553" s="7" t="s">
        <v>228</v>
      </c>
      <c r="BH553" s="7" t="s">
        <v>228</v>
      </c>
      <c r="BI553" s="7"/>
      <c r="BJ553" s="4">
        <v>14</v>
      </c>
      <c r="BK553" s="8">
        <v>453.44</v>
      </c>
      <c r="BL553" s="2" t="s">
        <v>3537</v>
      </c>
      <c r="BM553" s="7"/>
      <c r="BN553" s="7"/>
      <c r="BO553" s="4"/>
      <c r="BP553" s="8"/>
      <c r="BQ553" s="4"/>
      <c r="BR553" s="8"/>
      <c r="BS553" s="7"/>
      <c r="BT553" s="7"/>
      <c r="BU553" s="2" t="s">
        <v>3538</v>
      </c>
      <c r="BV553" s="2" t="s">
        <v>228</v>
      </c>
      <c r="BW553" s="2" t="s">
        <v>228</v>
      </c>
      <c r="BX553" s="2" t="s">
        <v>273</v>
      </c>
      <c r="BY553" s="2" t="s">
        <v>274</v>
      </c>
      <c r="BZ553" s="2" t="s">
        <v>240</v>
      </c>
      <c r="CA553" s="2" t="s">
        <v>3528</v>
      </c>
      <c r="CB553" s="2" t="s">
        <v>3539</v>
      </c>
      <c r="CC553" s="2" t="s">
        <v>241</v>
      </c>
      <c r="CD553" s="2" t="s">
        <v>228</v>
      </c>
      <c r="CE553" s="4">
        <v>100</v>
      </c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>
        <v>90</v>
      </c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>
        <v>72</v>
      </c>
    </row>
    <row r="554">
      <c r="A554" s="2" t="s">
        <v>3540</v>
      </c>
      <c r="B554" s="2" t="s">
        <v>970</v>
      </c>
      <c r="C554" s="2" t="s">
        <v>300</v>
      </c>
      <c r="D554" s="2" t="s">
        <v>971</v>
      </c>
      <c r="E554" s="2" t="s">
        <v>3486</v>
      </c>
      <c r="F554" s="2" t="s">
        <v>3487</v>
      </c>
      <c r="G554" s="2" t="s">
        <v>3488</v>
      </c>
      <c r="H554" s="2" t="s">
        <v>3489</v>
      </c>
      <c r="I554" s="2" t="s">
        <v>3490</v>
      </c>
      <c r="J554" s="2" t="s">
        <v>3496</v>
      </c>
      <c r="K554" s="2" t="s">
        <v>829</v>
      </c>
      <c r="L554" s="3">
        <v>38.4</v>
      </c>
      <c r="M554" s="3">
        <v>40.32</v>
      </c>
      <c r="N554" s="3">
        <v>79.99</v>
      </c>
      <c r="O554" s="2" t="s">
        <v>240</v>
      </c>
      <c r="P554" s="2" t="s">
        <v>266</v>
      </c>
      <c r="Q554" s="2" t="s">
        <v>234</v>
      </c>
      <c r="R554" s="2" t="s">
        <v>228</v>
      </c>
      <c r="S554" s="2" t="s">
        <v>3536</v>
      </c>
      <c r="T554" s="2" t="s">
        <v>415</v>
      </c>
      <c r="U554" s="2" t="s">
        <v>416</v>
      </c>
      <c r="V554" s="2" t="s">
        <v>236</v>
      </c>
      <c r="W554" s="2" t="s">
        <v>417</v>
      </c>
      <c r="X554" s="2" t="s">
        <v>228</v>
      </c>
      <c r="Y554" s="2" t="s">
        <v>3525</v>
      </c>
      <c r="Z554" s="4">
        <v>51</v>
      </c>
      <c r="AA554" s="4">
        <f>=ROUNDDOWN(8.5,0)</f>
      </c>
      <c r="AB554" s="5">
        <v>6</v>
      </c>
      <c r="AC554" s="2" t="s">
        <v>187</v>
      </c>
      <c r="AD554" s="4">
        <v>84</v>
      </c>
      <c r="AE554" s="4">
        <v>144</v>
      </c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228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228</v>
      </c>
      <c r="AW554" s="8" t="s">
        <v>228</v>
      </c>
      <c r="AX554" s="4" t="s">
        <v>228</v>
      </c>
      <c r="AY554" s="8" t="s">
        <v>228</v>
      </c>
      <c r="AZ554" s="7" t="s">
        <v>228</v>
      </c>
      <c r="BA554" s="7" t="s">
        <v>228</v>
      </c>
      <c r="BB554" s="7"/>
      <c r="BC554" s="4" t="s">
        <v>228</v>
      </c>
      <c r="BD554" s="8" t="s">
        <v>228</v>
      </c>
      <c r="BE554" s="4" t="s">
        <v>228</v>
      </c>
      <c r="BF554" s="8" t="s">
        <v>228</v>
      </c>
      <c r="BG554" s="7" t="s">
        <v>228</v>
      </c>
      <c r="BH554" s="7" t="s">
        <v>228</v>
      </c>
      <c r="BI554" s="7"/>
      <c r="BJ554" s="4">
        <v>27</v>
      </c>
      <c r="BK554" s="8">
        <v>1184.62</v>
      </c>
      <c r="BL554" s="2" t="s">
        <v>3541</v>
      </c>
      <c r="BM554" s="7"/>
      <c r="BN554" s="7"/>
      <c r="BO554" s="4"/>
      <c r="BP554" s="8"/>
      <c r="BQ554" s="4"/>
      <c r="BR554" s="8"/>
      <c r="BS554" s="7"/>
      <c r="BT554" s="7"/>
      <c r="BU554" s="2" t="s">
        <v>3542</v>
      </c>
      <c r="BV554" s="2" t="s">
        <v>228</v>
      </c>
      <c r="BW554" s="2" t="s">
        <v>228</v>
      </c>
      <c r="BX554" s="2" t="s">
        <v>273</v>
      </c>
      <c r="BY554" s="2" t="s">
        <v>274</v>
      </c>
      <c r="BZ554" s="2" t="s">
        <v>240</v>
      </c>
      <c r="CA554" s="2" t="s">
        <v>3528</v>
      </c>
      <c r="CB554" s="2" t="s">
        <v>3543</v>
      </c>
      <c r="CC554" s="2" t="s">
        <v>241</v>
      </c>
      <c r="CD554" s="2" t="s">
        <v>228</v>
      </c>
      <c r="CE554" s="4">
        <v>51</v>
      </c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>
        <v>84</v>
      </c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>
        <v>60</v>
      </c>
    </row>
    <row r="555">
      <c r="A555" s="2" t="s">
        <v>3544</v>
      </c>
      <c r="B555" s="2" t="s">
        <v>1150</v>
      </c>
      <c r="C555" s="2" t="s">
        <v>731</v>
      </c>
      <c r="D555" s="2" t="s">
        <v>1112</v>
      </c>
      <c r="E555" s="2" t="s">
        <v>1151</v>
      </c>
      <c r="F555" s="2" t="s">
        <v>963</v>
      </c>
      <c r="G555" s="2" t="s">
        <v>963</v>
      </c>
      <c r="H555" s="2" t="s">
        <v>963</v>
      </c>
      <c r="I555" s="2" t="s">
        <v>3545</v>
      </c>
      <c r="J555" s="2" t="s">
        <v>289</v>
      </c>
      <c r="K555" s="2" t="s">
        <v>978</v>
      </c>
      <c r="L555" s="3">
        <v>47.61</v>
      </c>
      <c r="M555" s="3">
        <v>49.99</v>
      </c>
      <c r="N555" s="3">
        <v>99.99</v>
      </c>
      <c r="O555" s="2" t="s">
        <v>240</v>
      </c>
      <c r="P555" s="2" t="s">
        <v>922</v>
      </c>
      <c r="Q555" s="2" t="s">
        <v>234</v>
      </c>
      <c r="R555" s="2" t="s">
        <v>228</v>
      </c>
      <c r="S555" s="2" t="s">
        <v>3546</v>
      </c>
      <c r="T555" s="2" t="s">
        <v>415</v>
      </c>
      <c r="U555" s="2" t="s">
        <v>3547</v>
      </c>
      <c r="V555" s="2" t="s">
        <v>980</v>
      </c>
      <c r="W555" s="2" t="s">
        <v>417</v>
      </c>
      <c r="X555" s="2" t="s">
        <v>228</v>
      </c>
      <c r="Y555" s="2" t="s">
        <v>3548</v>
      </c>
      <c r="Z555" s="4"/>
      <c r="AA555" s="4">
        <f>=ROUNDDOWN({0},0)</f>
      </c>
      <c r="AB555" s="5"/>
      <c r="AC555" s="2" t="s">
        <v>228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228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 t="s">
        <v>228</v>
      </c>
      <c r="BD555" s="8" t="s">
        <v>228</v>
      </c>
      <c r="BE555" s="4" t="s">
        <v>228</v>
      </c>
      <c r="BF555" s="8" t="s">
        <v>228</v>
      </c>
      <c r="BG555" s="7" t="s">
        <v>228</v>
      </c>
      <c r="BH555" s="7" t="s">
        <v>228</v>
      </c>
      <c r="BI555" s="7"/>
      <c r="BJ555" s="4"/>
      <c r="BK555" s="8"/>
      <c r="BL555" s="2" t="s">
        <v>228</v>
      </c>
      <c r="BM555" s="7"/>
      <c r="BN555" s="7"/>
      <c r="BO555" s="4"/>
      <c r="BP555" s="8"/>
      <c r="BQ555" s="4"/>
      <c r="BR555" s="8"/>
      <c r="BS555" s="7"/>
      <c r="BT555" s="7"/>
      <c r="BU555" s="2" t="s">
        <v>3549</v>
      </c>
      <c r="BV555" s="2" t="s">
        <v>228</v>
      </c>
      <c r="BW555" s="2" t="s">
        <v>228</v>
      </c>
      <c r="BX555" s="2" t="s">
        <v>337</v>
      </c>
      <c r="BY555" s="2" t="s">
        <v>274</v>
      </c>
      <c r="BZ555" s="2" t="s">
        <v>240</v>
      </c>
      <c r="CA555" s="2" t="s">
        <v>3550</v>
      </c>
      <c r="CB555" s="2" t="s">
        <v>3551</v>
      </c>
      <c r="CC555" s="2" t="s">
        <v>241</v>
      </c>
      <c r="CD555" s="2" t="s">
        <v>228</v>
      </c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</row>
    <row r="556">
      <c r="A556" s="2" t="s">
        <v>3552</v>
      </c>
      <c r="B556" s="2" t="s">
        <v>834</v>
      </c>
      <c r="C556" s="2" t="s">
        <v>1743</v>
      </c>
      <c r="D556" s="2" t="s">
        <v>3553</v>
      </c>
      <c r="E556" s="2" t="s">
        <v>3554</v>
      </c>
      <c r="F556" s="2" t="s">
        <v>963</v>
      </c>
      <c r="G556" s="2" t="s">
        <v>963</v>
      </c>
      <c r="H556" s="2" t="s">
        <v>963</v>
      </c>
      <c r="I556" s="2" t="s">
        <v>3555</v>
      </c>
      <c r="J556" s="2" t="s">
        <v>840</v>
      </c>
      <c r="K556" s="2" t="s">
        <v>912</v>
      </c>
      <c r="L556" s="3">
        <v>74.1</v>
      </c>
      <c r="M556" s="3">
        <v>77.8</v>
      </c>
      <c r="N556" s="3">
        <v>164.99</v>
      </c>
      <c r="O556" s="2" t="s">
        <v>240</v>
      </c>
      <c r="P556" s="2" t="s">
        <v>266</v>
      </c>
      <c r="Q556" s="2" t="s">
        <v>234</v>
      </c>
      <c r="R556" s="2" t="s">
        <v>228</v>
      </c>
      <c r="S556" s="2" t="s">
        <v>228</v>
      </c>
      <c r="T556" s="2" t="s">
        <v>228</v>
      </c>
      <c r="U556" s="2" t="s">
        <v>520</v>
      </c>
      <c r="V556" s="2" t="s">
        <v>842</v>
      </c>
      <c r="W556" s="2" t="s">
        <v>743</v>
      </c>
      <c r="X556" s="2" t="s">
        <v>463</v>
      </c>
      <c r="Y556" s="2" t="s">
        <v>1291</v>
      </c>
      <c r="Z556" s="4">
        <v>42</v>
      </c>
      <c r="AA556" s="4">
        <f>=ROUNDDOWN(21,0)</f>
      </c>
      <c r="AB556" s="5">
        <v>2</v>
      </c>
      <c r="AC556" s="2" t="s">
        <v>3556</v>
      </c>
      <c r="AD556" s="4">
        <v>100</v>
      </c>
      <c r="AE556" s="4">
        <v>100</v>
      </c>
      <c r="AF556" s="6">
        <v>63</v>
      </c>
      <c r="AG556" s="6"/>
      <c r="AH556" s="7">
        <v>1</v>
      </c>
      <c r="AI556" s="4"/>
      <c r="AJ556" s="4">
        <f>=ROUNDDOWN({0},0)</f>
      </c>
      <c r="AK556" s="5"/>
      <c r="AL556" s="2" t="s">
        <v>228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 t="s">
        <v>228</v>
      </c>
      <c r="BD556" s="8" t="s">
        <v>228</v>
      </c>
      <c r="BE556" s="4" t="s">
        <v>228</v>
      </c>
      <c r="BF556" s="8" t="s">
        <v>228</v>
      </c>
      <c r="BG556" s="7" t="s">
        <v>228</v>
      </c>
      <c r="BH556" s="7" t="s">
        <v>228</v>
      </c>
      <c r="BI556" s="7"/>
      <c r="BJ556" s="4">
        <v>4</v>
      </c>
      <c r="BK556" s="8">
        <v>305.79</v>
      </c>
      <c r="BL556" s="2" t="s">
        <v>2712</v>
      </c>
      <c r="BM556" s="7"/>
      <c r="BN556" s="7"/>
      <c r="BO556" s="4"/>
      <c r="BP556" s="8"/>
      <c r="BQ556" s="4"/>
      <c r="BR556" s="8"/>
      <c r="BS556" s="7"/>
      <c r="BT556" s="7"/>
      <c r="BU556" s="2" t="s">
        <v>3557</v>
      </c>
      <c r="BV556" s="2" t="s">
        <v>228</v>
      </c>
      <c r="BW556" s="2" t="s">
        <v>228</v>
      </c>
      <c r="BX556" s="2" t="s">
        <v>273</v>
      </c>
      <c r="BY556" s="2" t="s">
        <v>274</v>
      </c>
      <c r="BZ556" s="2" t="s">
        <v>240</v>
      </c>
      <c r="CA556" s="2" t="s">
        <v>1293</v>
      </c>
      <c r="CB556" s="2" t="s">
        <v>3225</v>
      </c>
      <c r="CC556" s="2" t="s">
        <v>241</v>
      </c>
      <c r="CD556" s="2" t="s">
        <v>228</v>
      </c>
      <c r="CE556" s="4"/>
      <c r="CF556" s="4">
        <v>42</v>
      </c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>
        <v>100</v>
      </c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</row>
    <row r="557">
      <c r="A557" s="2" t="s">
        <v>3558</v>
      </c>
      <c r="B557" s="2" t="s">
        <v>223</v>
      </c>
      <c r="C557" s="2" t="s">
        <v>731</v>
      </c>
      <c r="D557" s="2" t="s">
        <v>3559</v>
      </c>
      <c r="E557" s="2" t="s">
        <v>3560</v>
      </c>
      <c r="F557" s="2" t="s">
        <v>3561</v>
      </c>
      <c r="G557" s="2" t="s">
        <v>3561</v>
      </c>
      <c r="H557" s="2" t="s">
        <v>3561</v>
      </c>
      <c r="I557" s="2" t="s">
        <v>3562</v>
      </c>
      <c r="J557" s="2" t="s">
        <v>264</v>
      </c>
      <c r="K557" s="2" t="s">
        <v>316</v>
      </c>
      <c r="L557" s="3">
        <v>42.85</v>
      </c>
      <c r="M557" s="3">
        <v>44.99</v>
      </c>
      <c r="N557" s="3">
        <v>89.99</v>
      </c>
      <c r="O557" s="2" t="s">
        <v>240</v>
      </c>
      <c r="P557" s="2" t="s">
        <v>266</v>
      </c>
      <c r="Q557" s="2" t="s">
        <v>234</v>
      </c>
      <c r="R557" s="2" t="s">
        <v>228</v>
      </c>
      <c r="S557" s="2" t="s">
        <v>3563</v>
      </c>
      <c r="T557" s="2" t="s">
        <v>228</v>
      </c>
      <c r="U557" s="2" t="s">
        <v>416</v>
      </c>
      <c r="V557" s="2" t="s">
        <v>236</v>
      </c>
      <c r="W557" s="2" t="s">
        <v>269</v>
      </c>
      <c r="X557" s="2" t="s">
        <v>228</v>
      </c>
      <c r="Y557" s="2" t="s">
        <v>2334</v>
      </c>
      <c r="Z557" s="4">
        <v>190</v>
      </c>
      <c r="AA557" s="4">
        <f>=ROUNDDOWN(15.8333333333333,0)</f>
      </c>
      <c r="AB557" s="5">
        <v>12</v>
      </c>
      <c r="AC557" s="2" t="s">
        <v>1014</v>
      </c>
      <c r="AD557" s="4">
        <v>180</v>
      </c>
      <c r="AE557" s="4">
        <v>420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228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228</v>
      </c>
      <c r="AW557" s="8" t="s">
        <v>228</v>
      </c>
      <c r="AX557" s="4" t="s">
        <v>228</v>
      </c>
      <c r="AY557" s="8" t="s">
        <v>228</v>
      </c>
      <c r="AZ557" s="7" t="s">
        <v>228</v>
      </c>
      <c r="BA557" s="7" t="s">
        <v>228</v>
      </c>
      <c r="BB557" s="7"/>
      <c r="BC557" s="4" t="s">
        <v>228</v>
      </c>
      <c r="BD557" s="8" t="s">
        <v>228</v>
      </c>
      <c r="BE557" s="4" t="s">
        <v>228</v>
      </c>
      <c r="BF557" s="8" t="s">
        <v>228</v>
      </c>
      <c r="BG557" s="7" t="s">
        <v>228</v>
      </c>
      <c r="BH557" s="7" t="s">
        <v>228</v>
      </c>
      <c r="BI557" s="7"/>
      <c r="BJ557" s="4">
        <v>2</v>
      </c>
      <c r="BK557" s="8">
        <v>96.52</v>
      </c>
      <c r="BL557" s="2" t="s">
        <v>3256</v>
      </c>
      <c r="BM557" s="7"/>
      <c r="BN557" s="7"/>
      <c r="BO557" s="4"/>
      <c r="BP557" s="8"/>
      <c r="BQ557" s="4"/>
      <c r="BR557" s="8"/>
      <c r="BS557" s="7"/>
      <c r="BT557" s="7"/>
      <c r="BU557" s="2" t="s">
        <v>3564</v>
      </c>
      <c r="BV557" s="2" t="s">
        <v>228</v>
      </c>
      <c r="BW557" s="2" t="s">
        <v>228</v>
      </c>
      <c r="BX557" s="2" t="s">
        <v>273</v>
      </c>
      <c r="BY557" s="2" t="s">
        <v>274</v>
      </c>
      <c r="BZ557" s="2" t="s">
        <v>240</v>
      </c>
      <c r="CA557" s="2" t="s">
        <v>2723</v>
      </c>
      <c r="CB557" s="2" t="s">
        <v>1447</v>
      </c>
      <c r="CC557" s="2" t="s">
        <v>241</v>
      </c>
      <c r="CD557" s="2" t="s">
        <v>228</v>
      </c>
      <c r="CE557" s="4">
        <v>190</v>
      </c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>
        <v>180</v>
      </c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>
        <v>240</v>
      </c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</row>
    <row r="558">
      <c r="A558" s="2" t="s">
        <v>3565</v>
      </c>
      <c r="B558" s="2" t="s">
        <v>223</v>
      </c>
      <c r="C558" s="2" t="s">
        <v>731</v>
      </c>
      <c r="D558" s="2" t="s">
        <v>3559</v>
      </c>
      <c r="E558" s="2" t="s">
        <v>3560</v>
      </c>
      <c r="F558" s="2" t="s">
        <v>3561</v>
      </c>
      <c r="G558" s="2" t="s">
        <v>3561</v>
      </c>
      <c r="H558" s="2" t="s">
        <v>3561</v>
      </c>
      <c r="I558" s="2" t="s">
        <v>3562</v>
      </c>
      <c r="J558" s="2" t="s">
        <v>284</v>
      </c>
      <c r="K558" s="2" t="s">
        <v>316</v>
      </c>
      <c r="L558" s="3">
        <v>47.61</v>
      </c>
      <c r="M558" s="3">
        <v>49.99</v>
      </c>
      <c r="N558" s="3">
        <v>99.99</v>
      </c>
      <c r="O558" s="2" t="s">
        <v>240</v>
      </c>
      <c r="P558" s="2" t="s">
        <v>266</v>
      </c>
      <c r="Q558" s="2" t="s">
        <v>234</v>
      </c>
      <c r="R558" s="2" t="s">
        <v>228</v>
      </c>
      <c r="S558" s="2" t="s">
        <v>3563</v>
      </c>
      <c r="T558" s="2" t="s">
        <v>228</v>
      </c>
      <c r="U558" s="2" t="s">
        <v>416</v>
      </c>
      <c r="V558" s="2" t="s">
        <v>236</v>
      </c>
      <c r="W558" s="2" t="s">
        <v>269</v>
      </c>
      <c r="X558" s="2" t="s">
        <v>228</v>
      </c>
      <c r="Y558" s="2" t="s">
        <v>2334</v>
      </c>
      <c r="Z558" s="4">
        <v>380</v>
      </c>
      <c r="AA558" s="4">
        <f>=ROUNDDOWN(23.75,0)</f>
      </c>
      <c r="AB558" s="5">
        <v>16</v>
      </c>
      <c r="AC558" s="2" t="s">
        <v>1014</v>
      </c>
      <c r="AD558" s="4">
        <v>240</v>
      </c>
      <c r="AE558" s="4">
        <v>610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228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228</v>
      </c>
      <c r="AW558" s="8" t="s">
        <v>228</v>
      </c>
      <c r="AX558" s="4" t="s">
        <v>228</v>
      </c>
      <c r="AY558" s="8" t="s">
        <v>228</v>
      </c>
      <c r="AZ558" s="7" t="s">
        <v>228</v>
      </c>
      <c r="BA558" s="7" t="s">
        <v>228</v>
      </c>
      <c r="BB558" s="7"/>
      <c r="BC558" s="4" t="s">
        <v>228</v>
      </c>
      <c r="BD558" s="8" t="s">
        <v>228</v>
      </c>
      <c r="BE558" s="4" t="s">
        <v>228</v>
      </c>
      <c r="BF558" s="8" t="s">
        <v>228</v>
      </c>
      <c r="BG558" s="7" t="s">
        <v>228</v>
      </c>
      <c r="BH558" s="7" t="s">
        <v>228</v>
      </c>
      <c r="BI558" s="7"/>
      <c r="BJ558" s="4">
        <v>3</v>
      </c>
      <c r="BK558" s="8">
        <v>158.97</v>
      </c>
      <c r="BL558" s="2" t="s">
        <v>3010</v>
      </c>
      <c r="BM558" s="7"/>
      <c r="BN558" s="7"/>
      <c r="BO558" s="4"/>
      <c r="BP558" s="8"/>
      <c r="BQ558" s="4"/>
      <c r="BR558" s="8"/>
      <c r="BS558" s="7"/>
      <c r="BT558" s="7"/>
      <c r="BU558" s="2" t="s">
        <v>3566</v>
      </c>
      <c r="BV558" s="2" t="s">
        <v>228</v>
      </c>
      <c r="BW558" s="2" t="s">
        <v>228</v>
      </c>
      <c r="BX558" s="2" t="s">
        <v>273</v>
      </c>
      <c r="BY558" s="2" t="s">
        <v>274</v>
      </c>
      <c r="BZ558" s="2" t="s">
        <v>240</v>
      </c>
      <c r="CA558" s="2" t="s">
        <v>2723</v>
      </c>
      <c r="CB558" s="2" t="s">
        <v>3567</v>
      </c>
      <c r="CC558" s="2" t="s">
        <v>241</v>
      </c>
      <c r="CD558" s="2" t="s">
        <v>228</v>
      </c>
      <c r="CE558" s="4">
        <v>380</v>
      </c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>
        <v>240</v>
      </c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>
        <v>180</v>
      </c>
      <c r="FG558" s="4"/>
      <c r="FH558" s="4">
        <v>190</v>
      </c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</row>
    <row r="559">
      <c r="A559" s="2" t="s">
        <v>3568</v>
      </c>
      <c r="B559" s="2" t="s">
        <v>258</v>
      </c>
      <c r="C559" s="2" t="s">
        <v>1406</v>
      </c>
      <c r="D559" s="2" t="s">
        <v>1601</v>
      </c>
      <c r="E559" s="2" t="s">
        <v>1602</v>
      </c>
      <c r="F559" s="2" t="s">
        <v>3569</v>
      </c>
      <c r="G559" s="2" t="s">
        <v>3569</v>
      </c>
      <c r="H559" s="2" t="s">
        <v>3569</v>
      </c>
      <c r="I559" s="2" t="s">
        <v>3570</v>
      </c>
      <c r="J559" s="2" t="s">
        <v>1412</v>
      </c>
      <c r="K559" s="2" t="s">
        <v>249</v>
      </c>
      <c r="L559" s="3">
        <v>15.33</v>
      </c>
      <c r="M559" s="3">
        <v>16.1</v>
      </c>
      <c r="N559" s="3">
        <v>34.99</v>
      </c>
      <c r="O559" s="2" t="s">
        <v>240</v>
      </c>
      <c r="P559" s="2" t="s">
        <v>233</v>
      </c>
      <c r="Q559" s="2" t="s">
        <v>234</v>
      </c>
      <c r="R559" s="2" t="s">
        <v>228</v>
      </c>
      <c r="S559" s="2" t="s">
        <v>3571</v>
      </c>
      <c r="T559" s="2" t="s">
        <v>3572</v>
      </c>
      <c r="U559" s="2" t="s">
        <v>416</v>
      </c>
      <c r="V559" s="2" t="s">
        <v>236</v>
      </c>
      <c r="W559" s="2" t="s">
        <v>269</v>
      </c>
      <c r="X559" s="2" t="s">
        <v>228</v>
      </c>
      <c r="Y559" s="2" t="s">
        <v>3573</v>
      </c>
      <c r="Z559" s="4">
        <v>651</v>
      </c>
      <c r="AA559" s="4">
        <f>=ROUNDDOWN(26.04,0)</f>
      </c>
      <c r="AB559" s="5">
        <v>25</v>
      </c>
      <c r="AC559" s="2" t="s">
        <v>197</v>
      </c>
      <c r="AD559" s="4">
        <v>1200</v>
      </c>
      <c r="AE559" s="4">
        <v>1200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228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 t="s">
        <v>228</v>
      </c>
      <c r="BD559" s="8" t="s">
        <v>228</v>
      </c>
      <c r="BE559" s="4" t="s">
        <v>228</v>
      </c>
      <c r="BF559" s="8" t="s">
        <v>228</v>
      </c>
      <c r="BG559" s="7" t="s">
        <v>228</v>
      </c>
      <c r="BH559" s="7" t="s">
        <v>228</v>
      </c>
      <c r="BI559" s="7"/>
      <c r="BJ559" s="4">
        <v>64</v>
      </c>
      <c r="BK559" s="8">
        <v>1006.18</v>
      </c>
      <c r="BL559" s="2" t="s">
        <v>3574</v>
      </c>
      <c r="BM559" s="7"/>
      <c r="BN559" s="7"/>
      <c r="BO559" s="4"/>
      <c r="BP559" s="8"/>
      <c r="BQ559" s="4"/>
      <c r="BR559" s="8"/>
      <c r="BS559" s="7"/>
      <c r="BT559" s="7"/>
      <c r="BU559" s="2" t="s">
        <v>3575</v>
      </c>
      <c r="BV559" s="2" t="s">
        <v>228</v>
      </c>
      <c r="BW559" s="2" t="s">
        <v>228</v>
      </c>
      <c r="BX559" s="2" t="s">
        <v>3576</v>
      </c>
      <c r="BY559" s="2" t="s">
        <v>274</v>
      </c>
      <c r="BZ559" s="2" t="s">
        <v>240</v>
      </c>
      <c r="CA559" s="2" t="s">
        <v>2113</v>
      </c>
      <c r="CB559" s="2" t="s">
        <v>228</v>
      </c>
      <c r="CC559" s="2" t="s">
        <v>241</v>
      </c>
      <c r="CD559" s="2" t="s">
        <v>228</v>
      </c>
      <c r="CE559" s="4">
        <v>651</v>
      </c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>
        <v>1200</v>
      </c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</row>
    <row r="560">
      <c r="A560" s="2" t="s">
        <v>3577</v>
      </c>
      <c r="B560" s="2" t="s">
        <v>258</v>
      </c>
      <c r="C560" s="2" t="s">
        <v>1406</v>
      </c>
      <c r="D560" s="2" t="s">
        <v>1601</v>
      </c>
      <c r="E560" s="2" t="s">
        <v>1602</v>
      </c>
      <c r="F560" s="2" t="s">
        <v>3569</v>
      </c>
      <c r="G560" s="2" t="s">
        <v>3569</v>
      </c>
      <c r="H560" s="2" t="s">
        <v>3569</v>
      </c>
      <c r="I560" s="2" t="s">
        <v>3570</v>
      </c>
      <c r="J560" s="2" t="s">
        <v>1412</v>
      </c>
      <c r="K560" s="2" t="s">
        <v>480</v>
      </c>
      <c r="L560" s="3">
        <v>15.33</v>
      </c>
      <c r="M560" s="3">
        <v>16.1</v>
      </c>
      <c r="N560" s="3">
        <v>34.99</v>
      </c>
      <c r="O560" s="2" t="s">
        <v>240</v>
      </c>
      <c r="P560" s="2" t="s">
        <v>233</v>
      </c>
      <c r="Q560" s="2" t="s">
        <v>234</v>
      </c>
      <c r="R560" s="2" t="s">
        <v>228</v>
      </c>
      <c r="S560" s="2" t="s">
        <v>3578</v>
      </c>
      <c r="T560" s="2" t="s">
        <v>3572</v>
      </c>
      <c r="U560" s="2" t="s">
        <v>416</v>
      </c>
      <c r="V560" s="2" t="s">
        <v>236</v>
      </c>
      <c r="W560" s="2" t="s">
        <v>269</v>
      </c>
      <c r="X560" s="2" t="s">
        <v>228</v>
      </c>
      <c r="Y560" s="2" t="s">
        <v>3573</v>
      </c>
      <c r="Z560" s="4">
        <v>731</v>
      </c>
      <c r="AA560" s="4">
        <f>=ROUNDDOWN(45.6875,0)</f>
      </c>
      <c r="AB560" s="5">
        <v>16</v>
      </c>
      <c r="AC560" s="2" t="s">
        <v>197</v>
      </c>
      <c r="AD560" s="4">
        <v>800</v>
      </c>
      <c r="AE560" s="4">
        <v>800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228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 t="s">
        <v>228</v>
      </c>
      <c r="BD560" s="8" t="s">
        <v>228</v>
      </c>
      <c r="BE560" s="4" t="s">
        <v>228</v>
      </c>
      <c r="BF560" s="8" t="s">
        <v>228</v>
      </c>
      <c r="BG560" s="7" t="s">
        <v>228</v>
      </c>
      <c r="BH560" s="7" t="s">
        <v>228</v>
      </c>
      <c r="BI560" s="7"/>
      <c r="BJ560" s="4">
        <v>15</v>
      </c>
      <c r="BK560" s="8">
        <v>240.44</v>
      </c>
      <c r="BL560" s="2" t="s">
        <v>3579</v>
      </c>
      <c r="BM560" s="7"/>
      <c r="BN560" s="7"/>
      <c r="BO560" s="4"/>
      <c r="BP560" s="8"/>
      <c r="BQ560" s="4"/>
      <c r="BR560" s="8"/>
      <c r="BS560" s="7"/>
      <c r="BT560" s="7"/>
      <c r="BU560" s="2" t="s">
        <v>3580</v>
      </c>
      <c r="BV560" s="2" t="s">
        <v>228</v>
      </c>
      <c r="BW560" s="2" t="s">
        <v>228</v>
      </c>
      <c r="BX560" s="2" t="s">
        <v>3576</v>
      </c>
      <c r="BY560" s="2" t="s">
        <v>274</v>
      </c>
      <c r="BZ560" s="2" t="s">
        <v>240</v>
      </c>
      <c r="CA560" s="2" t="s">
        <v>2113</v>
      </c>
      <c r="CB560" s="2" t="s">
        <v>228</v>
      </c>
      <c r="CC560" s="2" t="s">
        <v>241</v>
      </c>
      <c r="CD560" s="2" t="s">
        <v>228</v>
      </c>
      <c r="CE560" s="4">
        <v>731</v>
      </c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>
        <v>800</v>
      </c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</row>
    <row r="561">
      <c r="A561" s="2" t="s">
        <v>3581</v>
      </c>
      <c r="B561" s="2" t="s">
        <v>258</v>
      </c>
      <c r="C561" s="2" t="s">
        <v>1406</v>
      </c>
      <c r="D561" s="2" t="s">
        <v>1601</v>
      </c>
      <c r="E561" s="2" t="s">
        <v>1602</v>
      </c>
      <c r="F561" s="2" t="s">
        <v>3569</v>
      </c>
      <c r="G561" s="2" t="s">
        <v>3569</v>
      </c>
      <c r="H561" s="2" t="s">
        <v>3569</v>
      </c>
      <c r="I561" s="2" t="s">
        <v>3570</v>
      </c>
      <c r="J561" s="2" t="s">
        <v>1412</v>
      </c>
      <c r="K561" s="2" t="s">
        <v>251</v>
      </c>
      <c r="L561" s="3">
        <v>15.33</v>
      </c>
      <c r="M561" s="3">
        <v>16.1</v>
      </c>
      <c r="N561" s="3">
        <v>34.99</v>
      </c>
      <c r="O561" s="2" t="s">
        <v>240</v>
      </c>
      <c r="P561" s="2" t="s">
        <v>233</v>
      </c>
      <c r="Q561" s="2" t="s">
        <v>234</v>
      </c>
      <c r="R561" s="2" t="s">
        <v>228</v>
      </c>
      <c r="S561" s="2" t="s">
        <v>3582</v>
      </c>
      <c r="T561" s="2" t="s">
        <v>3572</v>
      </c>
      <c r="U561" s="2" t="s">
        <v>416</v>
      </c>
      <c r="V561" s="2" t="s">
        <v>236</v>
      </c>
      <c r="W561" s="2" t="s">
        <v>269</v>
      </c>
      <c r="X561" s="2" t="s">
        <v>228</v>
      </c>
      <c r="Y561" s="2" t="s">
        <v>3573</v>
      </c>
      <c r="Z561" s="4">
        <v>676</v>
      </c>
      <c r="AA561" s="4">
        <f>=ROUNDDOWN(32.1904761904762,0)</f>
      </c>
      <c r="AB561" s="5">
        <v>21</v>
      </c>
      <c r="AC561" s="2" t="s">
        <v>197</v>
      </c>
      <c r="AD561" s="4">
        <v>1000</v>
      </c>
      <c r="AE561" s="4">
        <v>1000</v>
      </c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228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 t="s">
        <v>228</v>
      </c>
      <c r="BD561" s="8" t="s">
        <v>228</v>
      </c>
      <c r="BE561" s="4" t="s">
        <v>228</v>
      </c>
      <c r="BF561" s="8" t="s">
        <v>228</v>
      </c>
      <c r="BG561" s="7" t="s">
        <v>228</v>
      </c>
      <c r="BH561" s="7" t="s">
        <v>228</v>
      </c>
      <c r="BI561" s="7"/>
      <c r="BJ561" s="4">
        <v>47</v>
      </c>
      <c r="BK561" s="8">
        <v>750.63</v>
      </c>
      <c r="BL561" s="2" t="s">
        <v>3583</v>
      </c>
      <c r="BM561" s="7"/>
      <c r="BN561" s="7"/>
      <c r="BO561" s="4"/>
      <c r="BP561" s="8"/>
      <c r="BQ561" s="4"/>
      <c r="BR561" s="8"/>
      <c r="BS561" s="7"/>
      <c r="BT561" s="7"/>
      <c r="BU561" s="2" t="s">
        <v>3584</v>
      </c>
      <c r="BV561" s="2" t="s">
        <v>228</v>
      </c>
      <c r="BW561" s="2" t="s">
        <v>228</v>
      </c>
      <c r="BX561" s="2" t="s">
        <v>3576</v>
      </c>
      <c r="BY561" s="2" t="s">
        <v>274</v>
      </c>
      <c r="BZ561" s="2" t="s">
        <v>240</v>
      </c>
      <c r="CA561" s="2" t="s">
        <v>2113</v>
      </c>
      <c r="CB561" s="2" t="s">
        <v>228</v>
      </c>
      <c r="CC561" s="2" t="s">
        <v>241</v>
      </c>
      <c r="CD561" s="2" t="s">
        <v>228</v>
      </c>
      <c r="CE561" s="4">
        <v>676</v>
      </c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>
        <v>1000</v>
      </c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</row>
    <row r="562">
      <c r="A562" s="2" t="s">
        <v>3585</v>
      </c>
      <c r="B562" s="2" t="s">
        <v>258</v>
      </c>
      <c r="C562" s="2" t="s">
        <v>1406</v>
      </c>
      <c r="D562" s="2" t="s">
        <v>1601</v>
      </c>
      <c r="E562" s="2" t="s">
        <v>1602</v>
      </c>
      <c r="F562" s="2" t="s">
        <v>3569</v>
      </c>
      <c r="G562" s="2" t="s">
        <v>3569</v>
      </c>
      <c r="H562" s="2" t="s">
        <v>3569</v>
      </c>
      <c r="I562" s="2" t="s">
        <v>3570</v>
      </c>
      <c r="J562" s="2" t="s">
        <v>1412</v>
      </c>
      <c r="K562" s="2" t="s">
        <v>1478</v>
      </c>
      <c r="L562" s="3">
        <v>15.33</v>
      </c>
      <c r="M562" s="3">
        <v>16.1</v>
      </c>
      <c r="N562" s="3">
        <v>34.99</v>
      </c>
      <c r="O562" s="2" t="s">
        <v>240</v>
      </c>
      <c r="P562" s="2" t="s">
        <v>233</v>
      </c>
      <c r="Q562" s="2" t="s">
        <v>234</v>
      </c>
      <c r="R562" s="2" t="s">
        <v>228</v>
      </c>
      <c r="S562" s="2" t="s">
        <v>3586</v>
      </c>
      <c r="T562" s="2" t="s">
        <v>3572</v>
      </c>
      <c r="U562" s="2" t="s">
        <v>416</v>
      </c>
      <c r="V562" s="2" t="s">
        <v>236</v>
      </c>
      <c r="W562" s="2" t="s">
        <v>269</v>
      </c>
      <c r="X562" s="2" t="s">
        <v>228</v>
      </c>
      <c r="Y562" s="2" t="s">
        <v>3573</v>
      </c>
      <c r="Z562" s="4">
        <v>737</v>
      </c>
      <c r="AA562" s="4">
        <f>=ROUNDDOWN(46.0625,0)</f>
      </c>
      <c r="AB562" s="5">
        <v>16</v>
      </c>
      <c r="AC562" s="2" t="s">
        <v>197</v>
      </c>
      <c r="AD562" s="4">
        <v>800</v>
      </c>
      <c r="AE562" s="4">
        <v>800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228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 t="s">
        <v>228</v>
      </c>
      <c r="BD562" s="8" t="s">
        <v>228</v>
      </c>
      <c r="BE562" s="4" t="s">
        <v>228</v>
      </c>
      <c r="BF562" s="8" t="s">
        <v>228</v>
      </c>
      <c r="BG562" s="7" t="s">
        <v>228</v>
      </c>
      <c r="BH562" s="7" t="s">
        <v>228</v>
      </c>
      <c r="BI562" s="7"/>
      <c r="BJ562" s="4">
        <v>25</v>
      </c>
      <c r="BK562" s="8">
        <v>418.1</v>
      </c>
      <c r="BL562" s="2" t="s">
        <v>3579</v>
      </c>
      <c r="BM562" s="7"/>
      <c r="BN562" s="7"/>
      <c r="BO562" s="4"/>
      <c r="BP562" s="8"/>
      <c r="BQ562" s="4"/>
      <c r="BR562" s="8"/>
      <c r="BS562" s="7"/>
      <c r="BT562" s="7"/>
      <c r="BU562" s="2" t="s">
        <v>3587</v>
      </c>
      <c r="BV562" s="2" t="s">
        <v>228</v>
      </c>
      <c r="BW562" s="2" t="s">
        <v>228</v>
      </c>
      <c r="BX562" s="2" t="s">
        <v>3576</v>
      </c>
      <c r="BY562" s="2" t="s">
        <v>274</v>
      </c>
      <c r="BZ562" s="2" t="s">
        <v>240</v>
      </c>
      <c r="CA562" s="2" t="s">
        <v>2113</v>
      </c>
      <c r="CB562" s="2" t="s">
        <v>228</v>
      </c>
      <c r="CC562" s="2" t="s">
        <v>241</v>
      </c>
      <c r="CD562" s="2" t="s">
        <v>228</v>
      </c>
      <c r="CE562" s="4">
        <v>737</v>
      </c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>
        <v>800</v>
      </c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</row>
    <row r="563">
      <c r="A563" s="2" t="s">
        <v>3588</v>
      </c>
      <c r="B563" s="2" t="s">
        <v>258</v>
      </c>
      <c r="C563" s="2" t="s">
        <v>1406</v>
      </c>
      <c r="D563" s="2" t="s">
        <v>225</v>
      </c>
      <c r="E563" s="2" t="s">
        <v>2943</v>
      </c>
      <c r="F563" s="2" t="s">
        <v>3569</v>
      </c>
      <c r="G563" s="2" t="s">
        <v>3569</v>
      </c>
      <c r="H563" s="2" t="s">
        <v>3569</v>
      </c>
      <c r="I563" s="2" t="s">
        <v>3589</v>
      </c>
      <c r="J563" s="2" t="s">
        <v>264</v>
      </c>
      <c r="K563" s="2" t="s">
        <v>316</v>
      </c>
      <c r="L563" s="3">
        <v>22.85</v>
      </c>
      <c r="M563" s="3">
        <v>23.99</v>
      </c>
      <c r="N563" s="3">
        <v>49.99</v>
      </c>
      <c r="O563" s="2" t="s">
        <v>240</v>
      </c>
      <c r="P563" s="2" t="s">
        <v>233</v>
      </c>
      <c r="Q563" s="2" t="s">
        <v>234</v>
      </c>
      <c r="R563" s="2" t="s">
        <v>228</v>
      </c>
      <c r="S563" s="2" t="s">
        <v>3590</v>
      </c>
      <c r="T563" s="2" t="s">
        <v>3572</v>
      </c>
      <c r="U563" s="2" t="s">
        <v>416</v>
      </c>
      <c r="V563" s="2" t="s">
        <v>236</v>
      </c>
      <c r="W563" s="2" t="s">
        <v>269</v>
      </c>
      <c r="X563" s="2" t="s">
        <v>228</v>
      </c>
      <c r="Y563" s="2" t="s">
        <v>3591</v>
      </c>
      <c r="Z563" s="4">
        <v>266</v>
      </c>
      <c r="AA563" s="4">
        <f>=ROUNDDOWN(24.1818181818182,0)</f>
      </c>
      <c r="AB563" s="5">
        <v>11</v>
      </c>
      <c r="AC563" s="2" t="s">
        <v>1516</v>
      </c>
      <c r="AD563" s="4">
        <v>180</v>
      </c>
      <c r="AE563" s="4">
        <v>180</v>
      </c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228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228</v>
      </c>
      <c r="AW563" s="8" t="s">
        <v>228</v>
      </c>
      <c r="AX563" s="4" t="s">
        <v>228</v>
      </c>
      <c r="AY563" s="8" t="s">
        <v>228</v>
      </c>
      <c r="AZ563" s="7" t="s">
        <v>228</v>
      </c>
      <c r="BA563" s="7" t="s">
        <v>228</v>
      </c>
      <c r="BB563" s="7" t="s">
        <v>228</v>
      </c>
      <c r="BC563" s="4" t="s">
        <v>228</v>
      </c>
      <c r="BD563" s="8" t="s">
        <v>228</v>
      </c>
      <c r="BE563" s="4" t="s">
        <v>228</v>
      </c>
      <c r="BF563" s="8" t="s">
        <v>228</v>
      </c>
      <c r="BG563" s="7" t="s">
        <v>228</v>
      </c>
      <c r="BH563" s="7" t="s">
        <v>228</v>
      </c>
      <c r="BI563" s="7"/>
      <c r="BJ563" s="4">
        <v>14</v>
      </c>
      <c r="BK563" s="8">
        <v>312.58</v>
      </c>
      <c r="BL563" s="2" t="s">
        <v>2352</v>
      </c>
      <c r="BM563" s="7"/>
      <c r="BN563" s="7"/>
      <c r="BO563" s="4"/>
      <c r="BP563" s="8"/>
      <c r="BQ563" s="4"/>
      <c r="BR563" s="8"/>
      <c r="BS563" s="7"/>
      <c r="BT563" s="7"/>
      <c r="BU563" s="2" t="s">
        <v>3592</v>
      </c>
      <c r="BV563" s="2" t="s">
        <v>228</v>
      </c>
      <c r="BW563" s="2" t="s">
        <v>228</v>
      </c>
      <c r="BX563" s="2" t="s">
        <v>3576</v>
      </c>
      <c r="BY563" s="2" t="s">
        <v>274</v>
      </c>
      <c r="BZ563" s="2" t="s">
        <v>240</v>
      </c>
      <c r="CA563" s="2" t="s">
        <v>1217</v>
      </c>
      <c r="CB563" s="2" t="s">
        <v>228</v>
      </c>
      <c r="CC563" s="2" t="s">
        <v>241</v>
      </c>
      <c r="CD563" s="2" t="s">
        <v>228</v>
      </c>
      <c r="CE563" s="4">
        <v>266</v>
      </c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>
        <v>180</v>
      </c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</row>
    <row r="564">
      <c r="A564" s="2" t="s">
        <v>3593</v>
      </c>
      <c r="B564" s="2" t="s">
        <v>258</v>
      </c>
      <c r="C564" s="2" t="s">
        <v>1406</v>
      </c>
      <c r="D564" s="2" t="s">
        <v>260</v>
      </c>
      <c r="E564" s="2" t="s">
        <v>411</v>
      </c>
      <c r="F564" s="2" t="s">
        <v>3569</v>
      </c>
      <c r="G564" s="2" t="s">
        <v>3569</v>
      </c>
      <c r="H564" s="2" t="s">
        <v>3569</v>
      </c>
      <c r="I564" s="2" t="s">
        <v>3594</v>
      </c>
      <c r="J564" s="2" t="s">
        <v>264</v>
      </c>
      <c r="K564" s="2" t="s">
        <v>316</v>
      </c>
      <c r="L564" s="3">
        <v>20.57</v>
      </c>
      <c r="M564" s="3">
        <v>21.6</v>
      </c>
      <c r="N564" s="3">
        <v>44.99</v>
      </c>
      <c r="O564" s="2" t="s">
        <v>240</v>
      </c>
      <c r="P564" s="2" t="s">
        <v>233</v>
      </c>
      <c r="Q564" s="2" t="s">
        <v>234</v>
      </c>
      <c r="R564" s="2" t="s">
        <v>228</v>
      </c>
      <c r="S564" s="2" t="s">
        <v>3595</v>
      </c>
      <c r="T564" s="2" t="s">
        <v>3572</v>
      </c>
      <c r="U564" s="2" t="s">
        <v>416</v>
      </c>
      <c r="V564" s="2" t="s">
        <v>236</v>
      </c>
      <c r="W564" s="2" t="s">
        <v>269</v>
      </c>
      <c r="X564" s="2" t="s">
        <v>228</v>
      </c>
      <c r="Y564" s="2" t="s">
        <v>3596</v>
      </c>
      <c r="Z564" s="4">
        <v>253</v>
      </c>
      <c r="AA564" s="4">
        <f>=ROUNDDOWN(25.3,0)</f>
      </c>
      <c r="AB564" s="5">
        <v>10</v>
      </c>
      <c r="AC564" s="2" t="s">
        <v>197</v>
      </c>
      <c r="AD564" s="4">
        <v>80</v>
      </c>
      <c r="AE564" s="4">
        <v>130</v>
      </c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228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228</v>
      </c>
      <c r="AW564" s="8" t="s">
        <v>228</v>
      </c>
      <c r="AX564" s="4" t="s">
        <v>228</v>
      </c>
      <c r="AY564" s="8" t="s">
        <v>228</v>
      </c>
      <c r="AZ564" s="7" t="s">
        <v>228</v>
      </c>
      <c r="BA564" s="7" t="s">
        <v>228</v>
      </c>
      <c r="BB564" s="7" t="s">
        <v>228</v>
      </c>
      <c r="BC564" s="4" t="s">
        <v>228</v>
      </c>
      <c r="BD564" s="8" t="s">
        <v>228</v>
      </c>
      <c r="BE564" s="4" t="s">
        <v>228</v>
      </c>
      <c r="BF564" s="8" t="s">
        <v>228</v>
      </c>
      <c r="BG564" s="7" t="s">
        <v>228</v>
      </c>
      <c r="BH564" s="7" t="s">
        <v>228</v>
      </c>
      <c r="BI564" s="7"/>
      <c r="BJ564" s="4">
        <v>7</v>
      </c>
      <c r="BK564" s="8">
        <v>152.02</v>
      </c>
      <c r="BL564" s="2" t="s">
        <v>3597</v>
      </c>
      <c r="BM564" s="7"/>
      <c r="BN564" s="7"/>
      <c r="BO564" s="4"/>
      <c r="BP564" s="8"/>
      <c r="BQ564" s="4"/>
      <c r="BR564" s="8"/>
      <c r="BS564" s="7"/>
      <c r="BT564" s="7"/>
      <c r="BU564" s="2" t="s">
        <v>3598</v>
      </c>
      <c r="BV564" s="2" t="s">
        <v>228</v>
      </c>
      <c r="BW564" s="2" t="s">
        <v>228</v>
      </c>
      <c r="BX564" s="2" t="s">
        <v>3576</v>
      </c>
      <c r="BY564" s="2" t="s">
        <v>274</v>
      </c>
      <c r="BZ564" s="2" t="s">
        <v>240</v>
      </c>
      <c r="CA564" s="2" t="s">
        <v>3163</v>
      </c>
      <c r="CB564" s="2" t="s">
        <v>228</v>
      </c>
      <c r="CC564" s="2" t="s">
        <v>241</v>
      </c>
      <c r="CD564" s="2" t="s">
        <v>228</v>
      </c>
      <c r="CE564" s="4">
        <v>70</v>
      </c>
      <c r="CF564" s="4"/>
      <c r="CG564" s="4"/>
      <c r="CH564" s="4">
        <v>183</v>
      </c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>
        <v>80</v>
      </c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>
        <v>50</v>
      </c>
    </row>
    <row r="565">
      <c r="A565" s="2" t="s">
        <v>3599</v>
      </c>
      <c r="B565" s="2" t="s">
        <v>258</v>
      </c>
      <c r="C565" s="2" t="s">
        <v>1406</v>
      </c>
      <c r="D565" s="2" t="s">
        <v>260</v>
      </c>
      <c r="E565" s="2" t="s">
        <v>411</v>
      </c>
      <c r="F565" s="2" t="s">
        <v>3569</v>
      </c>
      <c r="G565" s="2" t="s">
        <v>3569</v>
      </c>
      <c r="H565" s="2" t="s">
        <v>3569</v>
      </c>
      <c r="I565" s="2" t="s">
        <v>3594</v>
      </c>
      <c r="J565" s="2" t="s">
        <v>284</v>
      </c>
      <c r="K565" s="2" t="s">
        <v>316</v>
      </c>
      <c r="L565" s="3">
        <v>26.19</v>
      </c>
      <c r="M565" s="3">
        <v>27.5</v>
      </c>
      <c r="N565" s="3">
        <v>54.99</v>
      </c>
      <c r="O565" s="2" t="s">
        <v>240</v>
      </c>
      <c r="P565" s="2" t="s">
        <v>233</v>
      </c>
      <c r="Q565" s="2" t="s">
        <v>234</v>
      </c>
      <c r="R565" s="2" t="s">
        <v>228</v>
      </c>
      <c r="S565" s="2" t="s">
        <v>3595</v>
      </c>
      <c r="T565" s="2" t="s">
        <v>3572</v>
      </c>
      <c r="U565" s="2" t="s">
        <v>416</v>
      </c>
      <c r="V565" s="2" t="s">
        <v>236</v>
      </c>
      <c r="W565" s="2" t="s">
        <v>269</v>
      </c>
      <c r="X565" s="2" t="s">
        <v>228</v>
      </c>
      <c r="Y565" s="2" t="s">
        <v>3573</v>
      </c>
      <c r="Z565" s="4">
        <v>260</v>
      </c>
      <c r="AA565" s="4">
        <f>=ROUNDDOWN(20,0)</f>
      </c>
      <c r="AB565" s="5">
        <v>13</v>
      </c>
      <c r="AC565" s="2" t="s">
        <v>1461</v>
      </c>
      <c r="AD565" s="4">
        <v>18</v>
      </c>
      <c r="AE565" s="4">
        <v>278</v>
      </c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228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 t="s">
        <v>228</v>
      </c>
      <c r="AW565" s="8" t="s">
        <v>228</v>
      </c>
      <c r="AX565" s="4" t="s">
        <v>228</v>
      </c>
      <c r="AY565" s="8" t="s">
        <v>228</v>
      </c>
      <c r="AZ565" s="7" t="s">
        <v>228</v>
      </c>
      <c r="BA565" s="7" t="s">
        <v>228</v>
      </c>
      <c r="BB565" s="7"/>
      <c r="BC565" s="4" t="s">
        <v>228</v>
      </c>
      <c r="BD565" s="8" t="s">
        <v>228</v>
      </c>
      <c r="BE565" s="4" t="s">
        <v>228</v>
      </c>
      <c r="BF565" s="8" t="s">
        <v>228</v>
      </c>
      <c r="BG565" s="7" t="s">
        <v>228</v>
      </c>
      <c r="BH565" s="7" t="s">
        <v>228</v>
      </c>
      <c r="BI565" s="7"/>
      <c r="BJ565" s="4">
        <v>9</v>
      </c>
      <c r="BK565" s="8">
        <v>225.39</v>
      </c>
      <c r="BL565" s="2" t="s">
        <v>3600</v>
      </c>
      <c r="BM565" s="7"/>
      <c r="BN565" s="7"/>
      <c r="BO565" s="4"/>
      <c r="BP565" s="8"/>
      <c r="BQ565" s="4"/>
      <c r="BR565" s="8"/>
      <c r="BS565" s="7"/>
      <c r="BT565" s="7"/>
      <c r="BU565" s="2" t="s">
        <v>3601</v>
      </c>
      <c r="BV565" s="2" t="s">
        <v>228</v>
      </c>
      <c r="BW565" s="2" t="s">
        <v>228</v>
      </c>
      <c r="BX565" s="2" t="s">
        <v>3576</v>
      </c>
      <c r="BY565" s="2" t="s">
        <v>274</v>
      </c>
      <c r="BZ565" s="2" t="s">
        <v>240</v>
      </c>
      <c r="CA565" s="2" t="s">
        <v>3163</v>
      </c>
      <c r="CB565" s="2" t="s">
        <v>228</v>
      </c>
      <c r="CC565" s="2" t="s">
        <v>241</v>
      </c>
      <c r="CD565" s="2" t="s">
        <v>228</v>
      </c>
      <c r="CE565" s="4">
        <v>60</v>
      </c>
      <c r="CF565" s="4"/>
      <c r="CG565" s="4"/>
      <c r="CH565" s="4">
        <v>200</v>
      </c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>
        <v>18</v>
      </c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>
        <v>170</v>
      </c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>
        <v>90</v>
      </c>
    </row>
    <row r="566">
      <c r="A566" s="2" t="s">
        <v>3602</v>
      </c>
      <c r="B566" s="2" t="s">
        <v>258</v>
      </c>
      <c r="C566" s="2" t="s">
        <v>1406</v>
      </c>
      <c r="D566" s="2" t="s">
        <v>225</v>
      </c>
      <c r="E566" s="2" t="s">
        <v>2943</v>
      </c>
      <c r="F566" s="2" t="s">
        <v>3569</v>
      </c>
      <c r="G566" s="2" t="s">
        <v>3569</v>
      </c>
      <c r="H566" s="2" t="s">
        <v>3569</v>
      </c>
      <c r="I566" s="2" t="s">
        <v>3589</v>
      </c>
      <c r="J566" s="2" t="s">
        <v>1189</v>
      </c>
      <c r="K566" s="2" t="s">
        <v>316</v>
      </c>
      <c r="L566" s="3">
        <v>26.19</v>
      </c>
      <c r="M566" s="3">
        <v>27.5</v>
      </c>
      <c r="N566" s="3">
        <v>54.99</v>
      </c>
      <c r="O566" s="2" t="s">
        <v>240</v>
      </c>
      <c r="P566" s="2" t="s">
        <v>233</v>
      </c>
      <c r="Q566" s="2" t="s">
        <v>234</v>
      </c>
      <c r="R566" s="2" t="s">
        <v>228</v>
      </c>
      <c r="S566" s="2" t="s">
        <v>3590</v>
      </c>
      <c r="T566" s="2" t="s">
        <v>3572</v>
      </c>
      <c r="U566" s="2" t="s">
        <v>416</v>
      </c>
      <c r="V566" s="2" t="s">
        <v>236</v>
      </c>
      <c r="W566" s="2" t="s">
        <v>269</v>
      </c>
      <c r="X566" s="2" t="s">
        <v>228</v>
      </c>
      <c r="Y566" s="2" t="s">
        <v>3573</v>
      </c>
      <c r="Z566" s="4">
        <v>272</v>
      </c>
      <c r="AA566" s="4">
        <f>=ROUNDDOWN(15.1111111111111,0)</f>
      </c>
      <c r="AB566" s="5">
        <v>18</v>
      </c>
      <c r="AC566" s="2" t="s">
        <v>3603</v>
      </c>
      <c r="AD566" s="4">
        <v>430</v>
      </c>
      <c r="AE566" s="4">
        <v>730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228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228</v>
      </c>
      <c r="AW566" s="8" t="s">
        <v>228</v>
      </c>
      <c r="AX566" s="4" t="s">
        <v>228</v>
      </c>
      <c r="AY566" s="8" t="s">
        <v>228</v>
      </c>
      <c r="AZ566" s="7" t="s">
        <v>228</v>
      </c>
      <c r="BA566" s="7" t="s">
        <v>228</v>
      </c>
      <c r="BB566" s="7"/>
      <c r="BC566" s="4" t="s">
        <v>228</v>
      </c>
      <c r="BD566" s="8" t="s">
        <v>228</v>
      </c>
      <c r="BE566" s="4" t="s">
        <v>228</v>
      </c>
      <c r="BF566" s="8" t="s">
        <v>228</v>
      </c>
      <c r="BG566" s="7" t="s">
        <v>228</v>
      </c>
      <c r="BH566" s="7" t="s">
        <v>228</v>
      </c>
      <c r="BI566" s="7"/>
      <c r="BJ566" s="4">
        <v>25</v>
      </c>
      <c r="BK566" s="8">
        <v>706.9</v>
      </c>
      <c r="BL566" s="2" t="s">
        <v>3604</v>
      </c>
      <c r="BM566" s="7"/>
      <c r="BN566" s="7"/>
      <c r="BO566" s="4"/>
      <c r="BP566" s="8"/>
      <c r="BQ566" s="4"/>
      <c r="BR566" s="8"/>
      <c r="BS566" s="7"/>
      <c r="BT566" s="7"/>
      <c r="BU566" s="2" t="s">
        <v>3605</v>
      </c>
      <c r="BV566" s="2" t="s">
        <v>228</v>
      </c>
      <c r="BW566" s="2" t="s">
        <v>228</v>
      </c>
      <c r="BX566" s="2" t="s">
        <v>3576</v>
      </c>
      <c r="BY566" s="2" t="s">
        <v>274</v>
      </c>
      <c r="BZ566" s="2" t="s">
        <v>240</v>
      </c>
      <c r="CA566" s="2" t="s">
        <v>1217</v>
      </c>
      <c r="CB566" s="2" t="s">
        <v>228</v>
      </c>
      <c r="CC566" s="2" t="s">
        <v>241</v>
      </c>
      <c r="CD566" s="2" t="s">
        <v>228</v>
      </c>
      <c r="CE566" s="4">
        <v>272</v>
      </c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>
        <v>430</v>
      </c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>
        <v>300</v>
      </c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</row>
    <row r="567">
      <c r="A567" s="2" t="s">
        <v>3606</v>
      </c>
      <c r="B567" s="2" t="s">
        <v>258</v>
      </c>
      <c r="C567" s="2" t="s">
        <v>1406</v>
      </c>
      <c r="D567" s="2" t="s">
        <v>260</v>
      </c>
      <c r="E567" s="2" t="s">
        <v>411</v>
      </c>
      <c r="F567" s="2" t="s">
        <v>3569</v>
      </c>
      <c r="G567" s="2" t="s">
        <v>3569</v>
      </c>
      <c r="H567" s="2" t="s">
        <v>3569</v>
      </c>
      <c r="I567" s="2" t="s">
        <v>3594</v>
      </c>
      <c r="J567" s="2" t="s">
        <v>289</v>
      </c>
      <c r="K567" s="2" t="s">
        <v>316</v>
      </c>
      <c r="L567" s="3">
        <v>28.57</v>
      </c>
      <c r="M567" s="3">
        <v>30</v>
      </c>
      <c r="N567" s="3">
        <v>59.99</v>
      </c>
      <c r="O567" s="2" t="s">
        <v>240</v>
      </c>
      <c r="P567" s="2" t="s">
        <v>233</v>
      </c>
      <c r="Q567" s="2" t="s">
        <v>234</v>
      </c>
      <c r="R567" s="2" t="s">
        <v>228</v>
      </c>
      <c r="S567" s="2" t="s">
        <v>3595</v>
      </c>
      <c r="T567" s="2" t="s">
        <v>3572</v>
      </c>
      <c r="U567" s="2" t="s">
        <v>416</v>
      </c>
      <c r="V567" s="2" t="s">
        <v>236</v>
      </c>
      <c r="W567" s="2" t="s">
        <v>269</v>
      </c>
      <c r="X567" s="2" t="s">
        <v>228</v>
      </c>
      <c r="Y567" s="2" t="s">
        <v>3573</v>
      </c>
      <c r="Z567" s="4">
        <v>393</v>
      </c>
      <c r="AA567" s="4">
        <f>=ROUNDDOWN(17.0869565217391,0)</f>
      </c>
      <c r="AB567" s="5">
        <v>23</v>
      </c>
      <c r="AC567" s="2" t="s">
        <v>1461</v>
      </c>
      <c r="AD567" s="4">
        <v>164</v>
      </c>
      <c r="AE567" s="4">
        <v>504</v>
      </c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228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 t="s">
        <v>228</v>
      </c>
      <c r="AW567" s="8" t="s">
        <v>228</v>
      </c>
      <c r="AX567" s="4" t="s">
        <v>228</v>
      </c>
      <c r="AY567" s="8" t="s">
        <v>228</v>
      </c>
      <c r="AZ567" s="7" t="s">
        <v>228</v>
      </c>
      <c r="BA567" s="7" t="s">
        <v>228</v>
      </c>
      <c r="BB567" s="7"/>
      <c r="BC567" s="4" t="s">
        <v>228</v>
      </c>
      <c r="BD567" s="8" t="s">
        <v>228</v>
      </c>
      <c r="BE567" s="4" t="s">
        <v>228</v>
      </c>
      <c r="BF567" s="8" t="s">
        <v>228</v>
      </c>
      <c r="BG567" s="7" t="s">
        <v>228</v>
      </c>
      <c r="BH567" s="7" t="s">
        <v>228</v>
      </c>
      <c r="BI567" s="7"/>
      <c r="BJ567" s="4">
        <v>19</v>
      </c>
      <c r="BK567" s="8">
        <v>567.2</v>
      </c>
      <c r="BL567" s="2" t="s">
        <v>3607</v>
      </c>
      <c r="BM567" s="7"/>
      <c r="BN567" s="7"/>
      <c r="BO567" s="4"/>
      <c r="BP567" s="8"/>
      <c r="BQ567" s="4"/>
      <c r="BR567" s="8"/>
      <c r="BS567" s="7"/>
      <c r="BT567" s="7"/>
      <c r="BU567" s="2" t="s">
        <v>3608</v>
      </c>
      <c r="BV567" s="2" t="s">
        <v>228</v>
      </c>
      <c r="BW567" s="2" t="s">
        <v>228</v>
      </c>
      <c r="BX567" s="2" t="s">
        <v>3576</v>
      </c>
      <c r="BY567" s="2" t="s">
        <v>274</v>
      </c>
      <c r="BZ567" s="2" t="s">
        <v>240</v>
      </c>
      <c r="CA567" s="2" t="s">
        <v>3163</v>
      </c>
      <c r="CB567" s="2" t="s">
        <v>228</v>
      </c>
      <c r="CC567" s="2" t="s">
        <v>241</v>
      </c>
      <c r="CD567" s="2" t="s">
        <v>228</v>
      </c>
      <c r="CE567" s="4">
        <v>31</v>
      </c>
      <c r="CF567" s="4"/>
      <c r="CG567" s="4"/>
      <c r="CH567" s="4">
        <v>362</v>
      </c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>
        <v>164</v>
      </c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>
        <v>180</v>
      </c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>
        <v>160</v>
      </c>
    </row>
    <row r="568">
      <c r="A568" s="2" t="s">
        <v>3609</v>
      </c>
      <c r="B568" s="2" t="s">
        <v>258</v>
      </c>
      <c r="C568" s="2" t="s">
        <v>1406</v>
      </c>
      <c r="D568" s="2" t="s">
        <v>260</v>
      </c>
      <c r="E568" s="2" t="s">
        <v>411</v>
      </c>
      <c r="F568" s="2" t="s">
        <v>3569</v>
      </c>
      <c r="G568" s="2" t="s">
        <v>3569</v>
      </c>
      <c r="H568" s="2" t="s">
        <v>3569</v>
      </c>
      <c r="I568" s="2" t="s">
        <v>3594</v>
      </c>
      <c r="J568" s="2" t="s">
        <v>294</v>
      </c>
      <c r="K568" s="2" t="s">
        <v>316</v>
      </c>
      <c r="L568" s="3">
        <v>33.33</v>
      </c>
      <c r="M568" s="3">
        <v>35</v>
      </c>
      <c r="N568" s="3">
        <v>69.99</v>
      </c>
      <c r="O568" s="2" t="s">
        <v>240</v>
      </c>
      <c r="P568" s="2" t="s">
        <v>233</v>
      </c>
      <c r="Q568" s="2" t="s">
        <v>234</v>
      </c>
      <c r="R568" s="2" t="s">
        <v>228</v>
      </c>
      <c r="S568" s="2" t="s">
        <v>3595</v>
      </c>
      <c r="T568" s="2" t="s">
        <v>3572</v>
      </c>
      <c r="U568" s="2" t="s">
        <v>416</v>
      </c>
      <c r="V568" s="2" t="s">
        <v>236</v>
      </c>
      <c r="W568" s="2" t="s">
        <v>269</v>
      </c>
      <c r="X568" s="2" t="s">
        <v>228</v>
      </c>
      <c r="Y568" s="2" t="s">
        <v>3610</v>
      </c>
      <c r="Z568" s="4">
        <v>162</v>
      </c>
      <c r="AA568" s="4">
        <f>=ROUNDDOWN(12.4615384615385,0)</f>
      </c>
      <c r="AB568" s="5">
        <v>13</v>
      </c>
      <c r="AC568" s="2" t="s">
        <v>1461</v>
      </c>
      <c r="AD568" s="4">
        <v>78</v>
      </c>
      <c r="AE568" s="4">
        <v>348</v>
      </c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228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228</v>
      </c>
      <c r="AW568" s="8" t="s">
        <v>228</v>
      </c>
      <c r="AX568" s="4" t="s">
        <v>228</v>
      </c>
      <c r="AY568" s="8" t="s">
        <v>228</v>
      </c>
      <c r="AZ568" s="7" t="s">
        <v>228</v>
      </c>
      <c r="BA568" s="7" t="s">
        <v>228</v>
      </c>
      <c r="BB568" s="7"/>
      <c r="BC568" s="4" t="s">
        <v>228</v>
      </c>
      <c r="BD568" s="8" t="s">
        <v>228</v>
      </c>
      <c r="BE568" s="4" t="s">
        <v>228</v>
      </c>
      <c r="BF568" s="8" t="s">
        <v>228</v>
      </c>
      <c r="BG568" s="7" t="s">
        <v>228</v>
      </c>
      <c r="BH568" s="7" t="s">
        <v>228</v>
      </c>
      <c r="BI568" s="7"/>
      <c r="BJ568" s="4">
        <v>8</v>
      </c>
      <c r="BK568" s="8">
        <v>258.3</v>
      </c>
      <c r="BL568" s="2" t="s">
        <v>3611</v>
      </c>
      <c r="BM568" s="7"/>
      <c r="BN568" s="7"/>
      <c r="BO568" s="4"/>
      <c r="BP568" s="8"/>
      <c r="BQ568" s="4"/>
      <c r="BR568" s="8"/>
      <c r="BS568" s="7"/>
      <c r="BT568" s="7"/>
      <c r="BU568" s="2" t="s">
        <v>3612</v>
      </c>
      <c r="BV568" s="2" t="s">
        <v>228</v>
      </c>
      <c r="BW568" s="2" t="s">
        <v>228</v>
      </c>
      <c r="BX568" s="2" t="s">
        <v>3576</v>
      </c>
      <c r="BY568" s="2" t="s">
        <v>274</v>
      </c>
      <c r="BZ568" s="2" t="s">
        <v>240</v>
      </c>
      <c r="CA568" s="2" t="s">
        <v>3163</v>
      </c>
      <c r="CB568" s="2" t="s">
        <v>1160</v>
      </c>
      <c r="CC568" s="2" t="s">
        <v>241</v>
      </c>
      <c r="CD568" s="2" t="s">
        <v>228</v>
      </c>
      <c r="CE568" s="4"/>
      <c r="CF568" s="4"/>
      <c r="CG568" s="4"/>
      <c r="CH568" s="4">
        <v>162</v>
      </c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>
        <v>78</v>
      </c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>
        <v>170</v>
      </c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>
        <v>100</v>
      </c>
    </row>
    <row r="569">
      <c r="A569" s="2" t="s">
        <v>3613</v>
      </c>
      <c r="B569" s="2" t="s">
        <v>1196</v>
      </c>
      <c r="C569" s="2" t="s">
        <v>1197</v>
      </c>
      <c r="D569" s="2" t="s">
        <v>1198</v>
      </c>
      <c r="E569" s="2" t="s">
        <v>1199</v>
      </c>
      <c r="F569" s="2" t="s">
        <v>3614</v>
      </c>
      <c r="G569" s="2" t="s">
        <v>3614</v>
      </c>
      <c r="H569" s="2" t="s">
        <v>3614</v>
      </c>
      <c r="I569" s="2" t="s">
        <v>3615</v>
      </c>
      <c r="J569" s="2" t="s">
        <v>840</v>
      </c>
      <c r="K569" s="2" t="s">
        <v>1478</v>
      </c>
      <c r="L569" s="3">
        <v>22.43</v>
      </c>
      <c r="M569" s="3">
        <v>23.55</v>
      </c>
      <c r="N569" s="3">
        <v>39.99</v>
      </c>
      <c r="O569" s="2" t="s">
        <v>240</v>
      </c>
      <c r="P569" s="2" t="s">
        <v>266</v>
      </c>
      <c r="Q569" s="2" t="s">
        <v>234</v>
      </c>
      <c r="R569" s="2" t="s">
        <v>228</v>
      </c>
      <c r="S569" s="2" t="s">
        <v>228</v>
      </c>
      <c r="T569" s="2" t="s">
        <v>228</v>
      </c>
      <c r="U569" s="2" t="s">
        <v>416</v>
      </c>
      <c r="V569" s="2" t="s">
        <v>842</v>
      </c>
      <c r="W569" s="2" t="s">
        <v>269</v>
      </c>
      <c r="X569" s="2" t="s">
        <v>228</v>
      </c>
      <c r="Y569" s="2" t="s">
        <v>2850</v>
      </c>
      <c r="Z569" s="4">
        <v>481</v>
      </c>
      <c r="AA569" s="4">
        <f>=ROUNDDOWN(80.1666666666667,0)</f>
      </c>
      <c r="AB569" s="5">
        <v>6</v>
      </c>
      <c r="AC569" s="2" t="s">
        <v>228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228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/>
      <c r="BD569" s="8"/>
      <c r="BE569" s="4"/>
      <c r="BF569" s="8"/>
      <c r="BG569" s="7"/>
      <c r="BH569" s="7"/>
      <c r="BI569" s="7"/>
      <c r="BJ569" s="4"/>
      <c r="BK569" s="8"/>
      <c r="BL569" s="2" t="s">
        <v>3616</v>
      </c>
      <c r="BM569" s="7"/>
      <c r="BN569" s="7"/>
      <c r="BO569" s="4"/>
      <c r="BP569" s="8"/>
      <c r="BQ569" s="4"/>
      <c r="BR569" s="8"/>
      <c r="BS569" s="7"/>
      <c r="BT569" s="7"/>
      <c r="BU569" s="2" t="s">
        <v>3617</v>
      </c>
      <c r="BV569" s="2" t="s">
        <v>228</v>
      </c>
      <c r="BW569" s="2" t="s">
        <v>228</v>
      </c>
      <c r="BX569" s="2" t="s">
        <v>273</v>
      </c>
      <c r="BY569" s="2" t="s">
        <v>274</v>
      </c>
      <c r="BZ569" s="2" t="s">
        <v>240</v>
      </c>
      <c r="CA569" s="2" t="s">
        <v>3618</v>
      </c>
      <c r="CB569" s="2" t="s">
        <v>228</v>
      </c>
      <c r="CC569" s="2" t="s">
        <v>241</v>
      </c>
      <c r="CD569" s="2" t="s">
        <v>228</v>
      </c>
      <c r="CE569" s="4"/>
      <c r="CF569" s="4">
        <v>229</v>
      </c>
      <c r="CG569" s="4"/>
      <c r="CH569" s="4">
        <v>252</v>
      </c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</row>
    <row r="570">
      <c r="A570" s="2" t="s">
        <v>3619</v>
      </c>
      <c r="B570" s="2" t="s">
        <v>848</v>
      </c>
      <c r="C570" s="2" t="s">
        <v>2390</v>
      </c>
      <c r="D570" s="2" t="s">
        <v>1112</v>
      </c>
      <c r="E570" s="2" t="s">
        <v>1113</v>
      </c>
      <c r="F570" s="2" t="s">
        <v>3620</v>
      </c>
      <c r="G570" s="2" t="s">
        <v>2668</v>
      </c>
      <c r="H570" s="2" t="s">
        <v>3621</v>
      </c>
      <c r="I570" s="2" t="s">
        <v>3622</v>
      </c>
      <c r="J570" s="2" t="s">
        <v>264</v>
      </c>
      <c r="K570" s="2" t="s">
        <v>3623</v>
      </c>
      <c r="L570" s="3">
        <v>26.19</v>
      </c>
      <c r="M570" s="3">
        <v>27.5</v>
      </c>
      <c r="N570" s="3">
        <v>54.99</v>
      </c>
      <c r="O570" s="2" t="s">
        <v>240</v>
      </c>
      <c r="P570" s="2" t="s">
        <v>233</v>
      </c>
      <c r="Q570" s="2" t="s">
        <v>234</v>
      </c>
      <c r="R570" s="2" t="s">
        <v>228</v>
      </c>
      <c r="S570" s="2" t="s">
        <v>3624</v>
      </c>
      <c r="T570" s="2" t="s">
        <v>1414</v>
      </c>
      <c r="U570" s="2" t="s">
        <v>520</v>
      </c>
      <c r="V570" s="2" t="s">
        <v>3625</v>
      </c>
      <c r="W570" s="2" t="s">
        <v>269</v>
      </c>
      <c r="X570" s="2" t="s">
        <v>228</v>
      </c>
      <c r="Y570" s="2" t="s">
        <v>2540</v>
      </c>
      <c r="Z570" s="4">
        <v>204</v>
      </c>
      <c r="AA570" s="4">
        <f>=ROUNDDOWN(29.1428571428571,0)</f>
      </c>
      <c r="AB570" s="5">
        <v>7</v>
      </c>
      <c r="AC570" s="2" t="s">
        <v>228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228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228</v>
      </c>
      <c r="AW570" s="8" t="s">
        <v>228</v>
      </c>
      <c r="AX570" s="4" t="s">
        <v>228</v>
      </c>
      <c r="AY570" s="8" t="s">
        <v>228</v>
      </c>
      <c r="AZ570" s="7" t="s">
        <v>228</v>
      </c>
      <c r="BA570" s="7" t="s">
        <v>228</v>
      </c>
      <c r="BB570" s="7"/>
      <c r="BC570" s="4" t="s">
        <v>228</v>
      </c>
      <c r="BD570" s="8" t="s">
        <v>228</v>
      </c>
      <c r="BE570" s="4" t="s">
        <v>228</v>
      </c>
      <c r="BF570" s="8" t="s">
        <v>228</v>
      </c>
      <c r="BG570" s="7" t="s">
        <v>228</v>
      </c>
      <c r="BH570" s="7" t="s">
        <v>228</v>
      </c>
      <c r="BI570" s="7"/>
      <c r="BJ570" s="4">
        <v>17</v>
      </c>
      <c r="BK570" s="8">
        <v>494.08</v>
      </c>
      <c r="BL570" s="2" t="s">
        <v>3626</v>
      </c>
      <c r="BM570" s="7"/>
      <c r="BN570" s="7"/>
      <c r="BO570" s="4"/>
      <c r="BP570" s="8"/>
      <c r="BQ570" s="4"/>
      <c r="BR570" s="8"/>
      <c r="BS570" s="7"/>
      <c r="BT570" s="7"/>
      <c r="BU570" s="2" t="s">
        <v>3627</v>
      </c>
      <c r="BV570" s="2" t="s">
        <v>228</v>
      </c>
      <c r="BW570" s="2" t="s">
        <v>228</v>
      </c>
      <c r="BX570" s="2" t="s">
        <v>273</v>
      </c>
      <c r="BY570" s="2" t="s">
        <v>274</v>
      </c>
      <c r="BZ570" s="2" t="s">
        <v>240</v>
      </c>
      <c r="CA570" s="2" t="s">
        <v>2375</v>
      </c>
      <c r="CB570" s="2" t="s">
        <v>3101</v>
      </c>
      <c r="CC570" s="2" t="s">
        <v>241</v>
      </c>
      <c r="CD570" s="2" t="s">
        <v>228</v>
      </c>
      <c r="CE570" s="4">
        <v>204</v>
      </c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</row>
    <row r="571">
      <c r="A571" s="2" t="s">
        <v>3628</v>
      </c>
      <c r="B571" s="2" t="s">
        <v>848</v>
      </c>
      <c r="C571" s="2" t="s">
        <v>2390</v>
      </c>
      <c r="D571" s="2" t="s">
        <v>1112</v>
      </c>
      <c r="E571" s="2" t="s">
        <v>1113</v>
      </c>
      <c r="F571" s="2" t="s">
        <v>3620</v>
      </c>
      <c r="G571" s="2" t="s">
        <v>2668</v>
      </c>
      <c r="H571" s="2" t="s">
        <v>3621</v>
      </c>
      <c r="I571" s="2" t="s">
        <v>3622</v>
      </c>
      <c r="J571" s="2" t="s">
        <v>1189</v>
      </c>
      <c r="K571" s="2" t="s">
        <v>3623</v>
      </c>
      <c r="L571" s="3">
        <v>30.95</v>
      </c>
      <c r="M571" s="3">
        <v>32.5</v>
      </c>
      <c r="N571" s="3">
        <v>64.99</v>
      </c>
      <c r="O571" s="2" t="s">
        <v>240</v>
      </c>
      <c r="P571" s="2" t="s">
        <v>233</v>
      </c>
      <c r="Q571" s="2" t="s">
        <v>234</v>
      </c>
      <c r="R571" s="2" t="s">
        <v>228</v>
      </c>
      <c r="S571" s="2" t="s">
        <v>3624</v>
      </c>
      <c r="T571" s="2" t="s">
        <v>1414</v>
      </c>
      <c r="U571" s="2" t="s">
        <v>500</v>
      </c>
      <c r="V571" s="2" t="s">
        <v>3625</v>
      </c>
      <c r="W571" s="2" t="s">
        <v>269</v>
      </c>
      <c r="X571" s="2" t="s">
        <v>228</v>
      </c>
      <c r="Y571" s="2" t="s">
        <v>2540</v>
      </c>
      <c r="Z571" s="4">
        <v>214</v>
      </c>
      <c r="AA571" s="4">
        <f>=ROUNDDOWN(42.8,0)</f>
      </c>
      <c r="AB571" s="5">
        <v>5</v>
      </c>
      <c r="AC571" s="2" t="s">
        <v>228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228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228</v>
      </c>
      <c r="AW571" s="8" t="s">
        <v>228</v>
      </c>
      <c r="AX571" s="4" t="s">
        <v>228</v>
      </c>
      <c r="AY571" s="8" t="s">
        <v>228</v>
      </c>
      <c r="AZ571" s="7" t="s">
        <v>228</v>
      </c>
      <c r="BA571" s="7" t="s">
        <v>228</v>
      </c>
      <c r="BB571" s="7" t="s">
        <v>228</v>
      </c>
      <c r="BC571" s="4" t="s">
        <v>228</v>
      </c>
      <c r="BD571" s="8" t="s">
        <v>228</v>
      </c>
      <c r="BE571" s="4" t="s">
        <v>228</v>
      </c>
      <c r="BF571" s="8" t="s">
        <v>228</v>
      </c>
      <c r="BG571" s="7" t="s">
        <v>228</v>
      </c>
      <c r="BH571" s="7" t="s">
        <v>228</v>
      </c>
      <c r="BI571" s="7"/>
      <c r="BJ571" s="4">
        <v>4</v>
      </c>
      <c r="BK571" s="8">
        <v>138.72</v>
      </c>
      <c r="BL571" s="2" t="s">
        <v>861</v>
      </c>
      <c r="BM571" s="7"/>
      <c r="BN571" s="7"/>
      <c r="BO571" s="4"/>
      <c r="BP571" s="8"/>
      <c r="BQ571" s="4"/>
      <c r="BR571" s="8"/>
      <c r="BS571" s="7"/>
      <c r="BT571" s="7"/>
      <c r="BU571" s="2" t="s">
        <v>3629</v>
      </c>
      <c r="BV571" s="2" t="s">
        <v>228</v>
      </c>
      <c r="BW571" s="2" t="s">
        <v>228</v>
      </c>
      <c r="BX571" s="2" t="s">
        <v>273</v>
      </c>
      <c r="BY571" s="2" t="s">
        <v>274</v>
      </c>
      <c r="BZ571" s="2" t="s">
        <v>240</v>
      </c>
      <c r="CA571" s="2" t="s">
        <v>2375</v>
      </c>
      <c r="CB571" s="2" t="s">
        <v>228</v>
      </c>
      <c r="CC571" s="2" t="s">
        <v>241</v>
      </c>
      <c r="CD571" s="2" t="s">
        <v>228</v>
      </c>
      <c r="CE571" s="4">
        <v>214</v>
      </c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</row>
    <row r="572">
      <c r="A572" s="2" t="s">
        <v>3630</v>
      </c>
      <c r="B572" s="2" t="s">
        <v>848</v>
      </c>
      <c r="C572" s="2" t="s">
        <v>2390</v>
      </c>
      <c r="D572" s="2" t="s">
        <v>850</v>
      </c>
      <c r="E572" s="2" t="s">
        <v>1038</v>
      </c>
      <c r="F572" s="2" t="s">
        <v>3620</v>
      </c>
      <c r="G572" s="2" t="s">
        <v>2668</v>
      </c>
      <c r="H572" s="2" t="s">
        <v>3621</v>
      </c>
      <c r="I572" s="2" t="s">
        <v>3631</v>
      </c>
      <c r="J572" s="2" t="s">
        <v>1189</v>
      </c>
      <c r="K572" s="2" t="s">
        <v>3623</v>
      </c>
      <c r="L572" s="3">
        <v>23.8</v>
      </c>
      <c r="M572" s="3">
        <v>24.99</v>
      </c>
      <c r="N572" s="3">
        <v>49.99</v>
      </c>
      <c r="O572" s="2" t="s">
        <v>240</v>
      </c>
      <c r="P572" s="2" t="s">
        <v>233</v>
      </c>
      <c r="Q572" s="2" t="s">
        <v>234</v>
      </c>
      <c r="R572" s="2" t="s">
        <v>228</v>
      </c>
      <c r="S572" s="2" t="s">
        <v>3624</v>
      </c>
      <c r="T572" s="2" t="s">
        <v>1414</v>
      </c>
      <c r="U572" s="2" t="s">
        <v>500</v>
      </c>
      <c r="V572" s="2" t="s">
        <v>3625</v>
      </c>
      <c r="W572" s="2" t="s">
        <v>269</v>
      </c>
      <c r="X572" s="2" t="s">
        <v>228</v>
      </c>
      <c r="Y572" s="2" t="s">
        <v>2540</v>
      </c>
      <c r="Z572" s="4">
        <v>96</v>
      </c>
      <c r="AA572" s="4">
        <f>=ROUNDDOWN(32,0)</f>
      </c>
      <c r="AB572" s="5">
        <v>3</v>
      </c>
      <c r="AC572" s="2" t="s">
        <v>228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228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228</v>
      </c>
      <c r="AW572" s="8" t="s">
        <v>228</v>
      </c>
      <c r="AX572" s="4" t="s">
        <v>228</v>
      </c>
      <c r="AY572" s="8" t="s">
        <v>228</v>
      </c>
      <c r="AZ572" s="7" t="s">
        <v>228</v>
      </c>
      <c r="BA572" s="7" t="s">
        <v>228</v>
      </c>
      <c r="BB572" s="7" t="s">
        <v>228</v>
      </c>
      <c r="BC572" s="4" t="s">
        <v>228</v>
      </c>
      <c r="BD572" s="8" t="s">
        <v>228</v>
      </c>
      <c r="BE572" s="4" t="s">
        <v>228</v>
      </c>
      <c r="BF572" s="8" t="s">
        <v>228</v>
      </c>
      <c r="BG572" s="7" t="s">
        <v>228</v>
      </c>
      <c r="BH572" s="7" t="s">
        <v>228</v>
      </c>
      <c r="BI572" s="7"/>
      <c r="BJ572" s="4">
        <v>4</v>
      </c>
      <c r="BK572" s="8">
        <v>105.97</v>
      </c>
      <c r="BL572" s="2" t="s">
        <v>3632</v>
      </c>
      <c r="BM572" s="7"/>
      <c r="BN572" s="7"/>
      <c r="BO572" s="4"/>
      <c r="BP572" s="8"/>
      <c r="BQ572" s="4"/>
      <c r="BR572" s="8"/>
      <c r="BS572" s="7"/>
      <c r="BT572" s="7"/>
      <c r="BU572" s="2" t="s">
        <v>3633</v>
      </c>
      <c r="BV572" s="2" t="s">
        <v>228</v>
      </c>
      <c r="BW572" s="2" t="s">
        <v>228</v>
      </c>
      <c r="BX572" s="2" t="s">
        <v>273</v>
      </c>
      <c r="BY572" s="2" t="s">
        <v>274</v>
      </c>
      <c r="BZ572" s="2" t="s">
        <v>240</v>
      </c>
      <c r="CA572" s="2" t="s">
        <v>2375</v>
      </c>
      <c r="CB572" s="2" t="s">
        <v>3300</v>
      </c>
      <c r="CC572" s="2" t="s">
        <v>241</v>
      </c>
      <c r="CD572" s="2" t="s">
        <v>228</v>
      </c>
      <c r="CE572" s="4">
        <v>96</v>
      </c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</row>
    <row r="573">
      <c r="A573" s="2" t="s">
        <v>3634</v>
      </c>
      <c r="B573" s="2" t="s">
        <v>223</v>
      </c>
      <c r="C573" s="2" t="s">
        <v>3635</v>
      </c>
      <c r="D573" s="2" t="s">
        <v>1407</v>
      </c>
      <c r="E573" s="2" t="s">
        <v>3636</v>
      </c>
      <c r="F573" s="2" t="s">
        <v>3637</v>
      </c>
      <c r="G573" s="2" t="s">
        <v>3637</v>
      </c>
      <c r="H573" s="2" t="s">
        <v>3637</v>
      </c>
      <c r="I573" s="2" t="s">
        <v>3638</v>
      </c>
      <c r="J573" s="2" t="s">
        <v>264</v>
      </c>
      <c r="K573" s="2" t="s">
        <v>265</v>
      </c>
      <c r="L573" s="3">
        <v>45.23</v>
      </c>
      <c r="M573" s="3">
        <v>47.49</v>
      </c>
      <c r="N573" s="3">
        <v>94.99</v>
      </c>
      <c r="O573" s="2" t="s">
        <v>240</v>
      </c>
      <c r="P573" s="2" t="s">
        <v>266</v>
      </c>
      <c r="Q573" s="2" t="s">
        <v>234</v>
      </c>
      <c r="R573" s="2" t="s">
        <v>228</v>
      </c>
      <c r="S573" s="2" t="s">
        <v>3639</v>
      </c>
      <c r="T573" s="2" t="s">
        <v>3112</v>
      </c>
      <c r="U573" s="2" t="s">
        <v>416</v>
      </c>
      <c r="V573" s="2" t="s">
        <v>236</v>
      </c>
      <c r="W573" s="2" t="s">
        <v>269</v>
      </c>
      <c r="X573" s="2" t="s">
        <v>228</v>
      </c>
      <c r="Y573" s="2" t="s">
        <v>514</v>
      </c>
      <c r="Z573" s="4">
        <v>249</v>
      </c>
      <c r="AA573" s="4">
        <f>=ROUNDDOWN(124.5,0)</f>
      </c>
      <c r="AB573" s="5">
        <v>2</v>
      </c>
      <c r="AC573" s="2" t="s">
        <v>228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228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228</v>
      </c>
      <c r="AW573" s="8" t="s">
        <v>228</v>
      </c>
      <c r="AX573" s="4" t="s">
        <v>228</v>
      </c>
      <c r="AY573" s="8" t="s">
        <v>228</v>
      </c>
      <c r="AZ573" s="7" t="s">
        <v>228</v>
      </c>
      <c r="BA573" s="7" t="s">
        <v>228</v>
      </c>
      <c r="BB573" s="7"/>
      <c r="BC573" s="4" t="s">
        <v>228</v>
      </c>
      <c r="BD573" s="8" t="s">
        <v>228</v>
      </c>
      <c r="BE573" s="4" t="s">
        <v>228</v>
      </c>
      <c r="BF573" s="8" t="s">
        <v>228</v>
      </c>
      <c r="BG573" s="7" t="s">
        <v>228</v>
      </c>
      <c r="BH573" s="7" t="s">
        <v>228</v>
      </c>
      <c r="BI573" s="7"/>
      <c r="BJ573" s="4">
        <v>2</v>
      </c>
      <c r="BK573" s="8">
        <v>99.74</v>
      </c>
      <c r="BL573" s="2" t="s">
        <v>2986</v>
      </c>
      <c r="BM573" s="7"/>
      <c r="BN573" s="7"/>
      <c r="BO573" s="4"/>
      <c r="BP573" s="8"/>
      <c r="BQ573" s="4"/>
      <c r="BR573" s="8"/>
      <c r="BS573" s="7"/>
      <c r="BT573" s="7"/>
      <c r="BU573" s="2" t="s">
        <v>3640</v>
      </c>
      <c r="BV573" s="2" t="s">
        <v>228</v>
      </c>
      <c r="BW573" s="2" t="s">
        <v>228</v>
      </c>
      <c r="BX573" s="2" t="s">
        <v>273</v>
      </c>
      <c r="BY573" s="2" t="s">
        <v>274</v>
      </c>
      <c r="BZ573" s="2" t="s">
        <v>240</v>
      </c>
      <c r="CA573" s="2" t="s">
        <v>1869</v>
      </c>
      <c r="CB573" s="2" t="s">
        <v>2815</v>
      </c>
      <c r="CC573" s="2" t="s">
        <v>241</v>
      </c>
      <c r="CD573" s="2" t="s">
        <v>228</v>
      </c>
      <c r="CE573" s="4">
        <v>249</v>
      </c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</row>
    <row r="574">
      <c r="A574" s="2" t="s">
        <v>3641</v>
      </c>
      <c r="B574" s="2" t="s">
        <v>223</v>
      </c>
      <c r="C574" s="2" t="s">
        <v>3635</v>
      </c>
      <c r="D574" s="2" t="s">
        <v>1407</v>
      </c>
      <c r="E574" s="2" t="s">
        <v>3636</v>
      </c>
      <c r="F574" s="2" t="s">
        <v>3637</v>
      </c>
      <c r="G574" s="2" t="s">
        <v>3637</v>
      </c>
      <c r="H574" s="2" t="s">
        <v>3637</v>
      </c>
      <c r="I574" s="2" t="s">
        <v>3638</v>
      </c>
      <c r="J574" s="2" t="s">
        <v>284</v>
      </c>
      <c r="K574" s="2" t="s">
        <v>265</v>
      </c>
      <c r="L574" s="3">
        <v>50</v>
      </c>
      <c r="M574" s="3">
        <v>52.5</v>
      </c>
      <c r="N574" s="3">
        <v>104.99</v>
      </c>
      <c r="O574" s="2" t="s">
        <v>240</v>
      </c>
      <c r="P574" s="2" t="s">
        <v>266</v>
      </c>
      <c r="Q574" s="2" t="s">
        <v>234</v>
      </c>
      <c r="R574" s="2" t="s">
        <v>228</v>
      </c>
      <c r="S574" s="2" t="s">
        <v>3639</v>
      </c>
      <c r="T574" s="2" t="s">
        <v>3112</v>
      </c>
      <c r="U574" s="2" t="s">
        <v>416</v>
      </c>
      <c r="V574" s="2" t="s">
        <v>236</v>
      </c>
      <c r="W574" s="2" t="s">
        <v>269</v>
      </c>
      <c r="X574" s="2" t="s">
        <v>228</v>
      </c>
      <c r="Y574" s="2" t="s">
        <v>3642</v>
      </c>
      <c r="Z574" s="4">
        <v>224</v>
      </c>
      <c r="AA574" s="4">
        <f>=ROUNDDOWN(56,0)</f>
      </c>
      <c r="AB574" s="5">
        <v>4</v>
      </c>
      <c r="AC574" s="2" t="s">
        <v>228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228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228</v>
      </c>
      <c r="AW574" s="8" t="s">
        <v>228</v>
      </c>
      <c r="AX574" s="4" t="s">
        <v>228</v>
      </c>
      <c r="AY574" s="8" t="s">
        <v>228</v>
      </c>
      <c r="AZ574" s="7" t="s">
        <v>228</v>
      </c>
      <c r="BA574" s="7" t="s">
        <v>228</v>
      </c>
      <c r="BB574" s="7"/>
      <c r="BC574" s="4" t="s">
        <v>228</v>
      </c>
      <c r="BD574" s="8" t="s">
        <v>228</v>
      </c>
      <c r="BE574" s="4" t="s">
        <v>228</v>
      </c>
      <c r="BF574" s="8" t="s">
        <v>228</v>
      </c>
      <c r="BG574" s="7" t="s">
        <v>228</v>
      </c>
      <c r="BH574" s="7" t="s">
        <v>228</v>
      </c>
      <c r="BI574" s="7"/>
      <c r="BJ574" s="4">
        <v>1</v>
      </c>
      <c r="BK574" s="8">
        <v>55.12</v>
      </c>
      <c r="BL574" s="2" t="s">
        <v>2986</v>
      </c>
      <c r="BM574" s="7"/>
      <c r="BN574" s="7"/>
      <c r="BO574" s="4"/>
      <c r="BP574" s="8"/>
      <c r="BQ574" s="4"/>
      <c r="BR574" s="8"/>
      <c r="BS574" s="7"/>
      <c r="BT574" s="7"/>
      <c r="BU574" s="2" t="s">
        <v>3643</v>
      </c>
      <c r="BV574" s="2" t="s">
        <v>228</v>
      </c>
      <c r="BW574" s="2" t="s">
        <v>228</v>
      </c>
      <c r="BX574" s="2" t="s">
        <v>273</v>
      </c>
      <c r="BY574" s="2" t="s">
        <v>274</v>
      </c>
      <c r="BZ574" s="2" t="s">
        <v>240</v>
      </c>
      <c r="CA574" s="2" t="s">
        <v>2240</v>
      </c>
      <c r="CB574" s="2" t="s">
        <v>3644</v>
      </c>
      <c r="CC574" s="2" t="s">
        <v>241</v>
      </c>
      <c r="CD574" s="2" t="s">
        <v>228</v>
      </c>
      <c r="CE574" s="4">
        <v>224</v>
      </c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</row>
    <row r="575">
      <c r="A575" s="2" t="s">
        <v>3645</v>
      </c>
      <c r="B575" s="2" t="s">
        <v>223</v>
      </c>
      <c r="C575" s="2" t="s">
        <v>3635</v>
      </c>
      <c r="D575" s="2" t="s">
        <v>1407</v>
      </c>
      <c r="E575" s="2" t="s">
        <v>3636</v>
      </c>
      <c r="F575" s="2" t="s">
        <v>3637</v>
      </c>
      <c r="G575" s="2" t="s">
        <v>3637</v>
      </c>
      <c r="H575" s="2" t="s">
        <v>3637</v>
      </c>
      <c r="I575" s="2" t="s">
        <v>3638</v>
      </c>
      <c r="J575" s="2" t="s">
        <v>289</v>
      </c>
      <c r="K575" s="2" t="s">
        <v>265</v>
      </c>
      <c r="L575" s="3">
        <v>71.42</v>
      </c>
      <c r="M575" s="3">
        <v>74.99</v>
      </c>
      <c r="N575" s="3">
        <v>149.99</v>
      </c>
      <c r="O575" s="2" t="s">
        <v>240</v>
      </c>
      <c r="P575" s="2" t="s">
        <v>266</v>
      </c>
      <c r="Q575" s="2" t="s">
        <v>234</v>
      </c>
      <c r="R575" s="2" t="s">
        <v>228</v>
      </c>
      <c r="S575" s="2" t="s">
        <v>3639</v>
      </c>
      <c r="T575" s="2" t="s">
        <v>3112</v>
      </c>
      <c r="U575" s="2" t="s">
        <v>416</v>
      </c>
      <c r="V575" s="2" t="s">
        <v>236</v>
      </c>
      <c r="W575" s="2" t="s">
        <v>269</v>
      </c>
      <c r="X575" s="2" t="s">
        <v>228</v>
      </c>
      <c r="Y575" s="2" t="s">
        <v>3642</v>
      </c>
      <c r="Z575" s="4">
        <v>226</v>
      </c>
      <c r="AA575" s="4">
        <f>=ROUNDDOWN(113,0)</f>
      </c>
      <c r="AB575" s="5">
        <v>2</v>
      </c>
      <c r="AC575" s="2" t="s">
        <v>228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228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228</v>
      </c>
      <c r="AW575" s="8" t="s">
        <v>228</v>
      </c>
      <c r="AX575" s="4" t="s">
        <v>228</v>
      </c>
      <c r="AY575" s="8" t="s">
        <v>228</v>
      </c>
      <c r="AZ575" s="7" t="s">
        <v>228</v>
      </c>
      <c r="BA575" s="7" t="s">
        <v>228</v>
      </c>
      <c r="BB575" s="7"/>
      <c r="BC575" s="4" t="s">
        <v>228</v>
      </c>
      <c r="BD575" s="8" t="s">
        <v>228</v>
      </c>
      <c r="BE575" s="4" t="s">
        <v>228</v>
      </c>
      <c r="BF575" s="8" t="s">
        <v>228</v>
      </c>
      <c r="BG575" s="7" t="s">
        <v>228</v>
      </c>
      <c r="BH575" s="7" t="s">
        <v>228</v>
      </c>
      <c r="BI575" s="7"/>
      <c r="BJ575" s="4">
        <v>5</v>
      </c>
      <c r="BK575" s="8">
        <v>400.45</v>
      </c>
      <c r="BL575" s="2" t="s">
        <v>3646</v>
      </c>
      <c r="BM575" s="7"/>
      <c r="BN575" s="7"/>
      <c r="BO575" s="4"/>
      <c r="BP575" s="8"/>
      <c r="BQ575" s="4"/>
      <c r="BR575" s="8"/>
      <c r="BS575" s="7"/>
      <c r="BT575" s="7"/>
      <c r="BU575" s="2" t="s">
        <v>3647</v>
      </c>
      <c r="BV575" s="2" t="s">
        <v>228</v>
      </c>
      <c r="BW575" s="2" t="s">
        <v>228</v>
      </c>
      <c r="BX575" s="2" t="s">
        <v>273</v>
      </c>
      <c r="BY575" s="2" t="s">
        <v>274</v>
      </c>
      <c r="BZ575" s="2" t="s">
        <v>240</v>
      </c>
      <c r="CA575" s="2" t="s">
        <v>2240</v>
      </c>
      <c r="CB575" s="2" t="s">
        <v>396</v>
      </c>
      <c r="CC575" s="2" t="s">
        <v>241</v>
      </c>
      <c r="CD575" s="2" t="s">
        <v>228</v>
      </c>
      <c r="CE575" s="4">
        <v>226</v>
      </c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</row>
    <row r="576">
      <c r="A576" s="2" t="s">
        <v>3648</v>
      </c>
      <c r="B576" s="2" t="s">
        <v>223</v>
      </c>
      <c r="C576" s="2" t="s">
        <v>3635</v>
      </c>
      <c r="D576" s="2" t="s">
        <v>1407</v>
      </c>
      <c r="E576" s="2" t="s">
        <v>3636</v>
      </c>
      <c r="F576" s="2" t="s">
        <v>3637</v>
      </c>
      <c r="G576" s="2" t="s">
        <v>3637</v>
      </c>
      <c r="H576" s="2" t="s">
        <v>3637</v>
      </c>
      <c r="I576" s="2" t="s">
        <v>3638</v>
      </c>
      <c r="J576" s="2" t="s">
        <v>294</v>
      </c>
      <c r="K576" s="2" t="s">
        <v>265</v>
      </c>
      <c r="L576" s="3">
        <v>78.57</v>
      </c>
      <c r="M576" s="3">
        <v>82.5</v>
      </c>
      <c r="N576" s="3">
        <v>164.99</v>
      </c>
      <c r="O576" s="2" t="s">
        <v>240</v>
      </c>
      <c r="P576" s="2" t="s">
        <v>266</v>
      </c>
      <c r="Q576" s="2" t="s">
        <v>234</v>
      </c>
      <c r="R576" s="2" t="s">
        <v>228</v>
      </c>
      <c r="S576" s="2" t="s">
        <v>3639</v>
      </c>
      <c r="T576" s="2" t="s">
        <v>3112</v>
      </c>
      <c r="U576" s="2" t="s">
        <v>416</v>
      </c>
      <c r="V576" s="2" t="s">
        <v>236</v>
      </c>
      <c r="W576" s="2" t="s">
        <v>269</v>
      </c>
      <c r="X576" s="2" t="s">
        <v>228</v>
      </c>
      <c r="Y576" s="2" t="s">
        <v>3642</v>
      </c>
      <c r="Z576" s="4">
        <v>221</v>
      </c>
      <c r="AA576" s="4">
        <f>=ROUNDDOWN(73.6666666666667,0)</f>
      </c>
      <c r="AB576" s="5">
        <v>3</v>
      </c>
      <c r="AC576" s="2" t="s">
        <v>228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228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228</v>
      </c>
      <c r="AW576" s="8" t="s">
        <v>228</v>
      </c>
      <c r="AX576" s="4" t="s">
        <v>228</v>
      </c>
      <c r="AY576" s="8" t="s">
        <v>228</v>
      </c>
      <c r="AZ576" s="7" t="s">
        <v>228</v>
      </c>
      <c r="BA576" s="7" t="s">
        <v>228</v>
      </c>
      <c r="BB576" s="7"/>
      <c r="BC576" s="4" t="s">
        <v>228</v>
      </c>
      <c r="BD576" s="8" t="s">
        <v>228</v>
      </c>
      <c r="BE576" s="4" t="s">
        <v>228</v>
      </c>
      <c r="BF576" s="8" t="s">
        <v>228</v>
      </c>
      <c r="BG576" s="7" t="s">
        <v>228</v>
      </c>
      <c r="BH576" s="7" t="s">
        <v>228</v>
      </c>
      <c r="BI576" s="7"/>
      <c r="BJ576" s="4">
        <v>6</v>
      </c>
      <c r="BK576" s="8">
        <v>527.16</v>
      </c>
      <c r="BL576" s="2" t="s">
        <v>3646</v>
      </c>
      <c r="BM576" s="7"/>
      <c r="BN576" s="7"/>
      <c r="BO576" s="4"/>
      <c r="BP576" s="8"/>
      <c r="BQ576" s="4"/>
      <c r="BR576" s="8"/>
      <c r="BS576" s="7"/>
      <c r="BT576" s="7"/>
      <c r="BU576" s="2" t="s">
        <v>3649</v>
      </c>
      <c r="BV576" s="2" t="s">
        <v>228</v>
      </c>
      <c r="BW576" s="2" t="s">
        <v>228</v>
      </c>
      <c r="BX576" s="2" t="s">
        <v>273</v>
      </c>
      <c r="BY576" s="2" t="s">
        <v>274</v>
      </c>
      <c r="BZ576" s="2" t="s">
        <v>240</v>
      </c>
      <c r="CA576" s="2" t="s">
        <v>2240</v>
      </c>
      <c r="CB576" s="2" t="s">
        <v>390</v>
      </c>
      <c r="CC576" s="2" t="s">
        <v>241</v>
      </c>
      <c r="CD576" s="2" t="s">
        <v>228</v>
      </c>
      <c r="CE576" s="4">
        <v>221</v>
      </c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</row>
    <row r="577">
      <c r="A577" s="2" t="s">
        <v>3650</v>
      </c>
      <c r="B577" s="2" t="s">
        <v>223</v>
      </c>
      <c r="C577" s="2" t="s">
        <v>3635</v>
      </c>
      <c r="D577" s="2" t="s">
        <v>1407</v>
      </c>
      <c r="E577" s="2" t="s">
        <v>3636</v>
      </c>
      <c r="F577" s="2" t="s">
        <v>3637</v>
      </c>
      <c r="G577" s="2" t="s">
        <v>3637</v>
      </c>
      <c r="H577" s="2" t="s">
        <v>3637</v>
      </c>
      <c r="I577" s="2" t="s">
        <v>3638</v>
      </c>
      <c r="J577" s="2" t="s">
        <v>264</v>
      </c>
      <c r="K577" s="2" t="s">
        <v>1421</v>
      </c>
      <c r="L577" s="3">
        <v>45.23</v>
      </c>
      <c r="M577" s="3">
        <v>47.49</v>
      </c>
      <c r="N577" s="3">
        <v>94.99</v>
      </c>
      <c r="O577" s="2" t="s">
        <v>240</v>
      </c>
      <c r="P577" s="2" t="s">
        <v>266</v>
      </c>
      <c r="Q577" s="2" t="s">
        <v>234</v>
      </c>
      <c r="R577" s="2" t="s">
        <v>228</v>
      </c>
      <c r="S577" s="2" t="s">
        <v>3651</v>
      </c>
      <c r="T577" s="2" t="s">
        <v>3112</v>
      </c>
      <c r="U577" s="2" t="s">
        <v>416</v>
      </c>
      <c r="V577" s="2" t="s">
        <v>236</v>
      </c>
      <c r="W577" s="2" t="s">
        <v>269</v>
      </c>
      <c r="X577" s="2" t="s">
        <v>228</v>
      </c>
      <c r="Y577" s="2" t="s">
        <v>3642</v>
      </c>
      <c r="Z577" s="4">
        <v>254</v>
      </c>
      <c r="AA577" s="4">
        <f>=ROUNDDOWN(127,0)</f>
      </c>
      <c r="AB577" s="5">
        <v>2</v>
      </c>
      <c r="AC577" s="2" t="s">
        <v>228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228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228</v>
      </c>
      <c r="AW577" s="8" t="s">
        <v>228</v>
      </c>
      <c r="AX577" s="4" t="s">
        <v>228</v>
      </c>
      <c r="AY577" s="8" t="s">
        <v>228</v>
      </c>
      <c r="AZ577" s="7" t="s">
        <v>228</v>
      </c>
      <c r="BA577" s="7" t="s">
        <v>228</v>
      </c>
      <c r="BB577" s="7"/>
      <c r="BC577" s="4" t="s">
        <v>228</v>
      </c>
      <c r="BD577" s="8" t="s">
        <v>228</v>
      </c>
      <c r="BE577" s="4" t="s">
        <v>228</v>
      </c>
      <c r="BF577" s="8" t="s">
        <v>228</v>
      </c>
      <c r="BG577" s="7" t="s">
        <v>228</v>
      </c>
      <c r="BH577" s="7" t="s">
        <v>228</v>
      </c>
      <c r="BI577" s="7"/>
      <c r="BJ577" s="4">
        <v>6</v>
      </c>
      <c r="BK577" s="8">
        <v>303.48</v>
      </c>
      <c r="BL577" s="2" t="s">
        <v>509</v>
      </c>
      <c r="BM577" s="7"/>
      <c r="BN577" s="7"/>
      <c r="BO577" s="4"/>
      <c r="BP577" s="8"/>
      <c r="BQ577" s="4"/>
      <c r="BR577" s="8"/>
      <c r="BS577" s="7"/>
      <c r="BT577" s="7"/>
      <c r="BU577" s="2" t="s">
        <v>3652</v>
      </c>
      <c r="BV577" s="2" t="s">
        <v>228</v>
      </c>
      <c r="BW577" s="2" t="s">
        <v>228</v>
      </c>
      <c r="BX577" s="2" t="s">
        <v>273</v>
      </c>
      <c r="BY577" s="2" t="s">
        <v>274</v>
      </c>
      <c r="BZ577" s="2" t="s">
        <v>240</v>
      </c>
      <c r="CA577" s="2" t="s">
        <v>2240</v>
      </c>
      <c r="CB577" s="2" t="s">
        <v>228</v>
      </c>
      <c r="CC577" s="2" t="s">
        <v>241</v>
      </c>
      <c r="CD577" s="2" t="s">
        <v>228</v>
      </c>
      <c r="CE577" s="4">
        <v>254</v>
      </c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</row>
    <row r="578">
      <c r="A578" s="2" t="s">
        <v>3653</v>
      </c>
      <c r="B578" s="2" t="s">
        <v>223</v>
      </c>
      <c r="C578" s="2" t="s">
        <v>3635</v>
      </c>
      <c r="D578" s="2" t="s">
        <v>1407</v>
      </c>
      <c r="E578" s="2" t="s">
        <v>3636</v>
      </c>
      <c r="F578" s="2" t="s">
        <v>3637</v>
      </c>
      <c r="G578" s="2" t="s">
        <v>3637</v>
      </c>
      <c r="H578" s="2" t="s">
        <v>3637</v>
      </c>
      <c r="I578" s="2" t="s">
        <v>3638</v>
      </c>
      <c r="J578" s="2" t="s">
        <v>294</v>
      </c>
      <c r="K578" s="2" t="s">
        <v>1421</v>
      </c>
      <c r="L578" s="3">
        <v>78.57</v>
      </c>
      <c r="M578" s="3">
        <v>82.5</v>
      </c>
      <c r="N578" s="3">
        <v>164.99</v>
      </c>
      <c r="O578" s="2" t="s">
        <v>240</v>
      </c>
      <c r="P578" s="2" t="s">
        <v>266</v>
      </c>
      <c r="Q578" s="2" t="s">
        <v>234</v>
      </c>
      <c r="R578" s="2" t="s">
        <v>228</v>
      </c>
      <c r="S578" s="2" t="s">
        <v>3651</v>
      </c>
      <c r="T578" s="2" t="s">
        <v>3112</v>
      </c>
      <c r="U578" s="2" t="s">
        <v>416</v>
      </c>
      <c r="V578" s="2" t="s">
        <v>236</v>
      </c>
      <c r="W578" s="2" t="s">
        <v>269</v>
      </c>
      <c r="X578" s="2" t="s">
        <v>228</v>
      </c>
      <c r="Y578" s="2" t="s">
        <v>3642</v>
      </c>
      <c r="Z578" s="4">
        <v>419</v>
      </c>
      <c r="AA578" s="4">
        <f>=ROUNDDOWN(83.8,0)</f>
      </c>
      <c r="AB578" s="5">
        <v>5</v>
      </c>
      <c r="AC578" s="2" t="s">
        <v>228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228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228</v>
      </c>
      <c r="AW578" s="8" t="s">
        <v>228</v>
      </c>
      <c r="AX578" s="4" t="s">
        <v>228</v>
      </c>
      <c r="AY578" s="8" t="s">
        <v>228</v>
      </c>
      <c r="AZ578" s="7" t="s">
        <v>228</v>
      </c>
      <c r="BA578" s="7" t="s">
        <v>228</v>
      </c>
      <c r="BB578" s="7"/>
      <c r="BC578" s="4" t="s">
        <v>228</v>
      </c>
      <c r="BD578" s="8" t="s">
        <v>228</v>
      </c>
      <c r="BE578" s="4" t="s">
        <v>228</v>
      </c>
      <c r="BF578" s="8" t="s">
        <v>228</v>
      </c>
      <c r="BG578" s="7" t="s">
        <v>228</v>
      </c>
      <c r="BH578" s="7" t="s">
        <v>228</v>
      </c>
      <c r="BI578" s="7"/>
      <c r="BJ578" s="4">
        <v>4</v>
      </c>
      <c r="BK578" s="8">
        <v>348.96</v>
      </c>
      <c r="BL578" s="2" t="s">
        <v>3157</v>
      </c>
      <c r="BM578" s="7"/>
      <c r="BN578" s="7"/>
      <c r="BO578" s="4"/>
      <c r="BP578" s="8"/>
      <c r="BQ578" s="4"/>
      <c r="BR578" s="8"/>
      <c r="BS578" s="7"/>
      <c r="BT578" s="7"/>
      <c r="BU578" s="2" t="s">
        <v>3654</v>
      </c>
      <c r="BV578" s="2" t="s">
        <v>228</v>
      </c>
      <c r="BW578" s="2" t="s">
        <v>228</v>
      </c>
      <c r="BX578" s="2" t="s">
        <v>273</v>
      </c>
      <c r="BY578" s="2" t="s">
        <v>274</v>
      </c>
      <c r="BZ578" s="2" t="s">
        <v>240</v>
      </c>
      <c r="CA578" s="2" t="s">
        <v>2240</v>
      </c>
      <c r="CB578" s="2" t="s">
        <v>3655</v>
      </c>
      <c r="CC578" s="2" t="s">
        <v>241</v>
      </c>
      <c r="CD578" s="2" t="s">
        <v>228</v>
      </c>
      <c r="CE578" s="4">
        <v>419</v>
      </c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</row>
    <row r="579">
      <c r="A579" s="2" t="s">
        <v>3656</v>
      </c>
      <c r="B579" s="2" t="s">
        <v>223</v>
      </c>
      <c r="C579" s="2" t="s">
        <v>3635</v>
      </c>
      <c r="D579" s="2" t="s">
        <v>1407</v>
      </c>
      <c r="E579" s="2" t="s">
        <v>3636</v>
      </c>
      <c r="F579" s="2" t="s">
        <v>3637</v>
      </c>
      <c r="G579" s="2" t="s">
        <v>3637</v>
      </c>
      <c r="H579" s="2" t="s">
        <v>3637</v>
      </c>
      <c r="I579" s="2" t="s">
        <v>3638</v>
      </c>
      <c r="J579" s="2" t="s">
        <v>284</v>
      </c>
      <c r="K579" s="2" t="s">
        <v>249</v>
      </c>
      <c r="L579" s="3">
        <v>50</v>
      </c>
      <c r="M579" s="3">
        <v>52.5</v>
      </c>
      <c r="N579" s="3">
        <v>104.99</v>
      </c>
      <c r="O579" s="2" t="s">
        <v>240</v>
      </c>
      <c r="P579" s="2" t="s">
        <v>266</v>
      </c>
      <c r="Q579" s="2" t="s">
        <v>234</v>
      </c>
      <c r="R579" s="2" t="s">
        <v>228</v>
      </c>
      <c r="S579" s="2" t="s">
        <v>3657</v>
      </c>
      <c r="T579" s="2" t="s">
        <v>3112</v>
      </c>
      <c r="U579" s="2" t="s">
        <v>416</v>
      </c>
      <c r="V579" s="2" t="s">
        <v>236</v>
      </c>
      <c r="W579" s="2" t="s">
        <v>269</v>
      </c>
      <c r="X579" s="2" t="s">
        <v>228</v>
      </c>
      <c r="Y579" s="2" t="s">
        <v>3642</v>
      </c>
      <c r="Z579" s="4">
        <v>206</v>
      </c>
      <c r="AA579" s="4">
        <f>=ROUNDDOWN(41.2,0)</f>
      </c>
      <c r="AB579" s="5">
        <v>5</v>
      </c>
      <c r="AC579" s="2" t="s">
        <v>228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228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228</v>
      </c>
      <c r="AW579" s="8" t="s">
        <v>228</v>
      </c>
      <c r="AX579" s="4" t="s">
        <v>228</v>
      </c>
      <c r="AY579" s="8" t="s">
        <v>228</v>
      </c>
      <c r="AZ579" s="7" t="s">
        <v>228</v>
      </c>
      <c r="BA579" s="7" t="s">
        <v>228</v>
      </c>
      <c r="BB579" s="7"/>
      <c r="BC579" s="4" t="s">
        <v>228</v>
      </c>
      <c r="BD579" s="8" t="s">
        <v>228</v>
      </c>
      <c r="BE579" s="4" t="s">
        <v>228</v>
      </c>
      <c r="BF579" s="8" t="s">
        <v>228</v>
      </c>
      <c r="BG579" s="7" t="s">
        <v>228</v>
      </c>
      <c r="BH579" s="7" t="s">
        <v>228</v>
      </c>
      <c r="BI579" s="7"/>
      <c r="BJ579" s="4">
        <v>4</v>
      </c>
      <c r="BK579" s="8">
        <v>219.44</v>
      </c>
      <c r="BL579" s="2" t="s">
        <v>1322</v>
      </c>
      <c r="BM579" s="7"/>
      <c r="BN579" s="7"/>
      <c r="BO579" s="4"/>
      <c r="BP579" s="8"/>
      <c r="BQ579" s="4"/>
      <c r="BR579" s="8"/>
      <c r="BS579" s="7"/>
      <c r="BT579" s="7"/>
      <c r="BU579" s="2" t="s">
        <v>3658</v>
      </c>
      <c r="BV579" s="2" t="s">
        <v>228</v>
      </c>
      <c r="BW579" s="2" t="s">
        <v>228</v>
      </c>
      <c r="BX579" s="2" t="s">
        <v>273</v>
      </c>
      <c r="BY579" s="2" t="s">
        <v>274</v>
      </c>
      <c r="BZ579" s="2" t="s">
        <v>240</v>
      </c>
      <c r="CA579" s="2" t="s">
        <v>2240</v>
      </c>
      <c r="CB579" s="2" t="s">
        <v>3659</v>
      </c>
      <c r="CC579" s="2" t="s">
        <v>241</v>
      </c>
      <c r="CD579" s="2" t="s">
        <v>228</v>
      </c>
      <c r="CE579" s="4">
        <v>206</v>
      </c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</row>
    <row r="580">
      <c r="A580" s="2" t="s">
        <v>3660</v>
      </c>
      <c r="B580" s="2" t="s">
        <v>223</v>
      </c>
      <c r="C580" s="2" t="s">
        <v>3635</v>
      </c>
      <c r="D580" s="2" t="s">
        <v>1407</v>
      </c>
      <c r="E580" s="2" t="s">
        <v>3636</v>
      </c>
      <c r="F580" s="2" t="s">
        <v>3637</v>
      </c>
      <c r="G580" s="2" t="s">
        <v>3637</v>
      </c>
      <c r="H580" s="2" t="s">
        <v>3637</v>
      </c>
      <c r="I580" s="2" t="s">
        <v>3638</v>
      </c>
      <c r="J580" s="2" t="s">
        <v>289</v>
      </c>
      <c r="K580" s="2" t="s">
        <v>249</v>
      </c>
      <c r="L580" s="3">
        <v>71.42</v>
      </c>
      <c r="M580" s="3">
        <v>74.99</v>
      </c>
      <c r="N580" s="3">
        <v>149.99</v>
      </c>
      <c r="O580" s="2" t="s">
        <v>240</v>
      </c>
      <c r="P580" s="2" t="s">
        <v>266</v>
      </c>
      <c r="Q580" s="2" t="s">
        <v>234</v>
      </c>
      <c r="R580" s="2" t="s">
        <v>228</v>
      </c>
      <c r="S580" s="2" t="s">
        <v>3657</v>
      </c>
      <c r="T580" s="2" t="s">
        <v>3112</v>
      </c>
      <c r="U580" s="2" t="s">
        <v>416</v>
      </c>
      <c r="V580" s="2" t="s">
        <v>236</v>
      </c>
      <c r="W580" s="2" t="s">
        <v>269</v>
      </c>
      <c r="X580" s="2" t="s">
        <v>228</v>
      </c>
      <c r="Y580" s="2" t="s">
        <v>514</v>
      </c>
      <c r="Z580" s="4">
        <v>290</v>
      </c>
      <c r="AA580" s="4">
        <f>=ROUNDDOWN(41.4285714285714,0)</f>
      </c>
      <c r="AB580" s="5">
        <v>7</v>
      </c>
      <c r="AC580" s="2" t="s">
        <v>228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228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228</v>
      </c>
      <c r="AW580" s="8" t="s">
        <v>228</v>
      </c>
      <c r="AX580" s="4" t="s">
        <v>228</v>
      </c>
      <c r="AY580" s="8" t="s">
        <v>228</v>
      </c>
      <c r="AZ580" s="7" t="s">
        <v>228</v>
      </c>
      <c r="BA580" s="7" t="s">
        <v>228</v>
      </c>
      <c r="BB580" s="7"/>
      <c r="BC580" s="4" t="s">
        <v>228</v>
      </c>
      <c r="BD580" s="8" t="s">
        <v>228</v>
      </c>
      <c r="BE580" s="4" t="s">
        <v>228</v>
      </c>
      <c r="BF580" s="8" t="s">
        <v>228</v>
      </c>
      <c r="BG580" s="7" t="s">
        <v>228</v>
      </c>
      <c r="BH580" s="7" t="s">
        <v>228</v>
      </c>
      <c r="BI580" s="7"/>
      <c r="BJ580" s="4">
        <v>5</v>
      </c>
      <c r="BK580" s="8">
        <v>400.45</v>
      </c>
      <c r="BL580" s="2" t="s">
        <v>3646</v>
      </c>
      <c r="BM580" s="7"/>
      <c r="BN580" s="7"/>
      <c r="BO580" s="4"/>
      <c r="BP580" s="8"/>
      <c r="BQ580" s="4"/>
      <c r="BR580" s="8"/>
      <c r="BS580" s="7"/>
      <c r="BT580" s="7"/>
      <c r="BU580" s="2" t="s">
        <v>3661</v>
      </c>
      <c r="BV580" s="2" t="s">
        <v>228</v>
      </c>
      <c r="BW580" s="2" t="s">
        <v>228</v>
      </c>
      <c r="BX580" s="2" t="s">
        <v>273</v>
      </c>
      <c r="BY580" s="2" t="s">
        <v>274</v>
      </c>
      <c r="BZ580" s="2" t="s">
        <v>240</v>
      </c>
      <c r="CA580" s="2" t="s">
        <v>2240</v>
      </c>
      <c r="CB580" s="2" t="s">
        <v>3470</v>
      </c>
      <c r="CC580" s="2" t="s">
        <v>241</v>
      </c>
      <c r="CD580" s="2" t="s">
        <v>228</v>
      </c>
      <c r="CE580" s="4">
        <v>290</v>
      </c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</row>
    <row r="581">
      <c r="A581" s="2" t="s">
        <v>3662</v>
      </c>
      <c r="B581" s="2" t="s">
        <v>223</v>
      </c>
      <c r="C581" s="2" t="s">
        <v>3635</v>
      </c>
      <c r="D581" s="2" t="s">
        <v>1407</v>
      </c>
      <c r="E581" s="2" t="s">
        <v>3636</v>
      </c>
      <c r="F581" s="2" t="s">
        <v>3637</v>
      </c>
      <c r="G581" s="2" t="s">
        <v>3637</v>
      </c>
      <c r="H581" s="2" t="s">
        <v>3637</v>
      </c>
      <c r="I581" s="2" t="s">
        <v>3638</v>
      </c>
      <c r="J581" s="2" t="s">
        <v>264</v>
      </c>
      <c r="K581" s="2" t="s">
        <v>480</v>
      </c>
      <c r="L581" s="3">
        <v>45.23</v>
      </c>
      <c r="M581" s="3">
        <v>47.49</v>
      </c>
      <c r="N581" s="3">
        <v>94.99</v>
      </c>
      <c r="O581" s="2" t="s">
        <v>240</v>
      </c>
      <c r="P581" s="2" t="s">
        <v>266</v>
      </c>
      <c r="Q581" s="2" t="s">
        <v>234</v>
      </c>
      <c r="R581" s="2" t="s">
        <v>228</v>
      </c>
      <c r="S581" s="2" t="s">
        <v>3663</v>
      </c>
      <c r="T581" s="2" t="s">
        <v>3112</v>
      </c>
      <c r="U581" s="2" t="s">
        <v>416</v>
      </c>
      <c r="V581" s="2" t="s">
        <v>236</v>
      </c>
      <c r="W581" s="2" t="s">
        <v>269</v>
      </c>
      <c r="X581" s="2" t="s">
        <v>228</v>
      </c>
      <c r="Y581" s="2" t="s">
        <v>3642</v>
      </c>
      <c r="Z581" s="4">
        <v>242</v>
      </c>
      <c r="AA581" s="4">
        <f>=ROUNDDOWN(121,0)</f>
      </c>
      <c r="AB581" s="5">
        <v>2</v>
      </c>
      <c r="AC581" s="2" t="s">
        <v>228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228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228</v>
      </c>
      <c r="AW581" s="8" t="s">
        <v>228</v>
      </c>
      <c r="AX581" s="4" t="s">
        <v>228</v>
      </c>
      <c r="AY581" s="8" t="s">
        <v>228</v>
      </c>
      <c r="AZ581" s="7" t="s">
        <v>228</v>
      </c>
      <c r="BA581" s="7" t="s">
        <v>228</v>
      </c>
      <c r="BB581" s="7"/>
      <c r="BC581" s="4" t="s">
        <v>228</v>
      </c>
      <c r="BD581" s="8" t="s">
        <v>228</v>
      </c>
      <c r="BE581" s="4" t="s">
        <v>228</v>
      </c>
      <c r="BF581" s="8" t="s">
        <v>228</v>
      </c>
      <c r="BG581" s="7" t="s">
        <v>228</v>
      </c>
      <c r="BH581" s="7" t="s">
        <v>228</v>
      </c>
      <c r="BI581" s="7"/>
      <c r="BJ581" s="4">
        <v>3</v>
      </c>
      <c r="BK581" s="8">
        <v>151.03</v>
      </c>
      <c r="BL581" s="2" t="s">
        <v>501</v>
      </c>
      <c r="BM581" s="7"/>
      <c r="BN581" s="7"/>
      <c r="BO581" s="4"/>
      <c r="BP581" s="8"/>
      <c r="BQ581" s="4"/>
      <c r="BR581" s="8"/>
      <c r="BS581" s="7"/>
      <c r="BT581" s="7"/>
      <c r="BU581" s="2" t="s">
        <v>3664</v>
      </c>
      <c r="BV581" s="2" t="s">
        <v>228</v>
      </c>
      <c r="BW581" s="2" t="s">
        <v>228</v>
      </c>
      <c r="BX581" s="2" t="s">
        <v>273</v>
      </c>
      <c r="BY581" s="2" t="s">
        <v>274</v>
      </c>
      <c r="BZ581" s="2" t="s">
        <v>240</v>
      </c>
      <c r="CA581" s="2" t="s">
        <v>2240</v>
      </c>
      <c r="CB581" s="2" t="s">
        <v>2815</v>
      </c>
      <c r="CC581" s="2" t="s">
        <v>241</v>
      </c>
      <c r="CD581" s="2" t="s">
        <v>228</v>
      </c>
      <c r="CE581" s="4">
        <v>242</v>
      </c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</row>
    <row r="582">
      <c r="A582" s="2" t="s">
        <v>3665</v>
      </c>
      <c r="B582" s="2" t="s">
        <v>223</v>
      </c>
      <c r="C582" s="2" t="s">
        <v>3635</v>
      </c>
      <c r="D582" s="2" t="s">
        <v>1407</v>
      </c>
      <c r="E582" s="2" t="s">
        <v>3636</v>
      </c>
      <c r="F582" s="2" t="s">
        <v>3637</v>
      </c>
      <c r="G582" s="2" t="s">
        <v>3637</v>
      </c>
      <c r="H582" s="2" t="s">
        <v>3637</v>
      </c>
      <c r="I582" s="2" t="s">
        <v>3638</v>
      </c>
      <c r="J582" s="2" t="s">
        <v>289</v>
      </c>
      <c r="K582" s="2" t="s">
        <v>480</v>
      </c>
      <c r="L582" s="3">
        <v>71.42</v>
      </c>
      <c r="M582" s="3">
        <v>74.99</v>
      </c>
      <c r="N582" s="3">
        <v>149.99</v>
      </c>
      <c r="O582" s="2" t="s">
        <v>240</v>
      </c>
      <c r="P582" s="2" t="s">
        <v>266</v>
      </c>
      <c r="Q582" s="2" t="s">
        <v>234</v>
      </c>
      <c r="R582" s="2" t="s">
        <v>228</v>
      </c>
      <c r="S582" s="2" t="s">
        <v>3663</v>
      </c>
      <c r="T582" s="2" t="s">
        <v>3112</v>
      </c>
      <c r="U582" s="2" t="s">
        <v>416</v>
      </c>
      <c r="V582" s="2" t="s">
        <v>236</v>
      </c>
      <c r="W582" s="2" t="s">
        <v>269</v>
      </c>
      <c r="X582" s="2" t="s">
        <v>228</v>
      </c>
      <c r="Y582" s="2" t="s">
        <v>3642</v>
      </c>
      <c r="Z582" s="4">
        <v>358</v>
      </c>
      <c r="AA582" s="4">
        <f>=ROUNDDOWN(59.6666666666667,0)</f>
      </c>
      <c r="AB582" s="5">
        <v>6</v>
      </c>
      <c r="AC582" s="2" t="s">
        <v>228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228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228</v>
      </c>
      <c r="AW582" s="8" t="s">
        <v>228</v>
      </c>
      <c r="AX582" s="4" t="s">
        <v>228</v>
      </c>
      <c r="AY582" s="8" t="s">
        <v>228</v>
      </c>
      <c r="AZ582" s="7" t="s">
        <v>228</v>
      </c>
      <c r="BA582" s="7" t="s">
        <v>228</v>
      </c>
      <c r="BB582" s="7"/>
      <c r="BC582" s="4" t="s">
        <v>228</v>
      </c>
      <c r="BD582" s="8" t="s">
        <v>228</v>
      </c>
      <c r="BE582" s="4" t="s">
        <v>228</v>
      </c>
      <c r="BF582" s="8" t="s">
        <v>228</v>
      </c>
      <c r="BG582" s="7" t="s">
        <v>228</v>
      </c>
      <c r="BH582" s="7" t="s">
        <v>228</v>
      </c>
      <c r="BI582" s="7"/>
      <c r="BJ582" s="4">
        <v>18</v>
      </c>
      <c r="BK582" s="8">
        <v>1448.82</v>
      </c>
      <c r="BL582" s="2" t="s">
        <v>3157</v>
      </c>
      <c r="BM582" s="7"/>
      <c r="BN582" s="7"/>
      <c r="BO582" s="4"/>
      <c r="BP582" s="8"/>
      <c r="BQ582" s="4"/>
      <c r="BR582" s="8"/>
      <c r="BS582" s="7"/>
      <c r="BT582" s="7"/>
      <c r="BU582" s="2" t="s">
        <v>3666</v>
      </c>
      <c r="BV582" s="2" t="s">
        <v>228</v>
      </c>
      <c r="BW582" s="2" t="s">
        <v>228</v>
      </c>
      <c r="BX582" s="2" t="s">
        <v>273</v>
      </c>
      <c r="BY582" s="2" t="s">
        <v>274</v>
      </c>
      <c r="BZ582" s="2" t="s">
        <v>240</v>
      </c>
      <c r="CA582" s="2" t="s">
        <v>2240</v>
      </c>
      <c r="CB582" s="2" t="s">
        <v>2234</v>
      </c>
      <c r="CC582" s="2" t="s">
        <v>241</v>
      </c>
      <c r="CD582" s="2" t="s">
        <v>228</v>
      </c>
      <c r="CE582" s="4">
        <v>358</v>
      </c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</row>
    <row r="583">
      <c r="A583" s="2" t="s">
        <v>3667</v>
      </c>
      <c r="B583" s="2" t="s">
        <v>970</v>
      </c>
      <c r="C583" s="2" t="s">
        <v>1861</v>
      </c>
      <c r="D583" s="2" t="s">
        <v>971</v>
      </c>
      <c r="E583" s="2" t="s">
        <v>972</v>
      </c>
      <c r="F583" s="2" t="s">
        <v>3668</v>
      </c>
      <c r="G583" s="2" t="s">
        <v>3668</v>
      </c>
      <c r="H583" s="2" t="s">
        <v>3668</v>
      </c>
      <c r="I583" s="2" t="s">
        <v>3669</v>
      </c>
      <c r="J583" s="2" t="s">
        <v>1966</v>
      </c>
      <c r="K583" s="2" t="s">
        <v>480</v>
      </c>
      <c r="L583" s="3">
        <v>17.02</v>
      </c>
      <c r="M583" s="3">
        <v>17.87</v>
      </c>
      <c r="N583" s="3">
        <v>49.99</v>
      </c>
      <c r="O583" s="2" t="s">
        <v>240</v>
      </c>
      <c r="P583" s="2" t="s">
        <v>333</v>
      </c>
      <c r="Q583" s="2" t="s">
        <v>234</v>
      </c>
      <c r="R583" s="2" t="s">
        <v>228</v>
      </c>
      <c r="S583" s="2" t="s">
        <v>228</v>
      </c>
      <c r="T583" s="2" t="s">
        <v>228</v>
      </c>
      <c r="U583" s="2" t="s">
        <v>416</v>
      </c>
      <c r="V583" s="2" t="s">
        <v>236</v>
      </c>
      <c r="W583" s="2" t="s">
        <v>309</v>
      </c>
      <c r="X583" s="2" t="s">
        <v>228</v>
      </c>
      <c r="Y583" s="2" t="s">
        <v>2393</v>
      </c>
      <c r="Z583" s="4">
        <v>108</v>
      </c>
      <c r="AA583" s="4">
        <f>=ROUNDDOWN(72,0)</f>
      </c>
      <c r="AB583" s="5">
        <v>1.5</v>
      </c>
      <c r="AC583" s="2" t="s">
        <v>228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228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228</v>
      </c>
      <c r="AW583" s="8" t="s">
        <v>228</v>
      </c>
      <c r="AX583" s="4" t="s">
        <v>228</v>
      </c>
      <c r="AY583" s="8" t="s">
        <v>228</v>
      </c>
      <c r="AZ583" s="7" t="s">
        <v>228</v>
      </c>
      <c r="BA583" s="7" t="s">
        <v>228</v>
      </c>
      <c r="BB583" s="7"/>
      <c r="BC583" s="4" t="s">
        <v>228</v>
      </c>
      <c r="BD583" s="8" t="s">
        <v>228</v>
      </c>
      <c r="BE583" s="4" t="s">
        <v>228</v>
      </c>
      <c r="BF583" s="8" t="s">
        <v>228</v>
      </c>
      <c r="BG583" s="7" t="s">
        <v>228</v>
      </c>
      <c r="BH583" s="7" t="s">
        <v>228</v>
      </c>
      <c r="BI583" s="7"/>
      <c r="BJ583" s="4">
        <v>6</v>
      </c>
      <c r="BK583" s="8">
        <v>133.5</v>
      </c>
      <c r="BL583" s="2" t="s">
        <v>746</v>
      </c>
      <c r="BM583" s="7"/>
      <c r="BN583" s="7"/>
      <c r="BO583" s="4"/>
      <c r="BP583" s="8"/>
      <c r="BQ583" s="4"/>
      <c r="BR583" s="8"/>
      <c r="BS583" s="7"/>
      <c r="BT583" s="7"/>
      <c r="BU583" s="2" t="s">
        <v>3670</v>
      </c>
      <c r="BV583" s="2" t="s">
        <v>228</v>
      </c>
      <c r="BW583" s="2" t="s">
        <v>228</v>
      </c>
      <c r="BX583" s="2" t="s">
        <v>337</v>
      </c>
      <c r="BY583" s="2" t="s">
        <v>274</v>
      </c>
      <c r="BZ583" s="2" t="s">
        <v>240</v>
      </c>
      <c r="CA583" s="2" t="s">
        <v>1963</v>
      </c>
      <c r="CB583" s="2" t="s">
        <v>1447</v>
      </c>
      <c r="CC583" s="2" t="s">
        <v>241</v>
      </c>
      <c r="CD583" s="2" t="s">
        <v>228</v>
      </c>
      <c r="CE583" s="4">
        <v>108</v>
      </c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</row>
    <row r="584">
      <c r="A584" s="2" t="s">
        <v>3671</v>
      </c>
      <c r="B584" s="2" t="s">
        <v>970</v>
      </c>
      <c r="C584" s="2" t="s">
        <v>1861</v>
      </c>
      <c r="D584" s="2" t="s">
        <v>971</v>
      </c>
      <c r="E584" s="2" t="s">
        <v>972</v>
      </c>
      <c r="F584" s="2" t="s">
        <v>3668</v>
      </c>
      <c r="G584" s="2" t="s">
        <v>3668</v>
      </c>
      <c r="H584" s="2" t="s">
        <v>3668</v>
      </c>
      <c r="I584" s="2" t="s">
        <v>3669</v>
      </c>
      <c r="J584" s="2" t="s">
        <v>3672</v>
      </c>
      <c r="K584" s="2" t="s">
        <v>480</v>
      </c>
      <c r="L584" s="3">
        <v>15.32</v>
      </c>
      <c r="M584" s="3">
        <v>16.09</v>
      </c>
      <c r="N584" s="3">
        <v>44.99</v>
      </c>
      <c r="O584" s="2" t="s">
        <v>240</v>
      </c>
      <c r="P584" s="2" t="s">
        <v>333</v>
      </c>
      <c r="Q584" s="2" t="s">
        <v>234</v>
      </c>
      <c r="R584" s="2" t="s">
        <v>228</v>
      </c>
      <c r="S584" s="2" t="s">
        <v>228</v>
      </c>
      <c r="T584" s="2" t="s">
        <v>228</v>
      </c>
      <c r="U584" s="2" t="s">
        <v>416</v>
      </c>
      <c r="V584" s="2" t="s">
        <v>236</v>
      </c>
      <c r="W584" s="2" t="s">
        <v>309</v>
      </c>
      <c r="X584" s="2" t="s">
        <v>228</v>
      </c>
      <c r="Y584" s="2" t="s">
        <v>2393</v>
      </c>
      <c r="Z584" s="4">
        <v>265</v>
      </c>
      <c r="AA584" s="4">
        <f>=ROUNDDOWN(265,0)</f>
      </c>
      <c r="AB584" s="5">
        <v>1</v>
      </c>
      <c r="AC584" s="2" t="s">
        <v>228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228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228</v>
      </c>
      <c r="AW584" s="8" t="s">
        <v>228</v>
      </c>
      <c r="AX584" s="4" t="s">
        <v>228</v>
      </c>
      <c r="AY584" s="8" t="s">
        <v>228</v>
      </c>
      <c r="AZ584" s="7" t="s">
        <v>228</v>
      </c>
      <c r="BA584" s="7" t="s">
        <v>228</v>
      </c>
      <c r="BB584" s="7"/>
      <c r="BC584" s="4" t="s">
        <v>228</v>
      </c>
      <c r="BD584" s="8" t="s">
        <v>228</v>
      </c>
      <c r="BE584" s="4" t="s">
        <v>228</v>
      </c>
      <c r="BF584" s="8" t="s">
        <v>228</v>
      </c>
      <c r="BG584" s="7" t="s">
        <v>228</v>
      </c>
      <c r="BH584" s="7" t="s">
        <v>228</v>
      </c>
      <c r="BI584" s="7"/>
      <c r="BJ584" s="4">
        <v>19</v>
      </c>
      <c r="BK584" s="8">
        <v>160.55</v>
      </c>
      <c r="BL584" s="2" t="s">
        <v>2986</v>
      </c>
      <c r="BM584" s="7"/>
      <c r="BN584" s="7"/>
      <c r="BO584" s="4"/>
      <c r="BP584" s="8"/>
      <c r="BQ584" s="4"/>
      <c r="BR584" s="8"/>
      <c r="BS584" s="7"/>
      <c r="BT584" s="7"/>
      <c r="BU584" s="2" t="s">
        <v>3673</v>
      </c>
      <c r="BV584" s="2" t="s">
        <v>228</v>
      </c>
      <c r="BW584" s="2" t="s">
        <v>228</v>
      </c>
      <c r="BX584" s="2" t="s">
        <v>337</v>
      </c>
      <c r="BY584" s="2" t="s">
        <v>274</v>
      </c>
      <c r="BZ584" s="2" t="s">
        <v>240</v>
      </c>
      <c r="CA584" s="2" t="s">
        <v>1963</v>
      </c>
      <c r="CB584" s="2" t="s">
        <v>3125</v>
      </c>
      <c r="CC584" s="2" t="s">
        <v>241</v>
      </c>
      <c r="CD584" s="2" t="s">
        <v>228</v>
      </c>
      <c r="CE584" s="4">
        <v>265</v>
      </c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</row>
    <row r="585">
      <c r="A585" s="2" t="s">
        <v>3674</v>
      </c>
      <c r="B585" s="2" t="s">
        <v>970</v>
      </c>
      <c r="C585" s="2" t="s">
        <v>1861</v>
      </c>
      <c r="D585" s="2" t="s">
        <v>971</v>
      </c>
      <c r="E585" s="2" t="s">
        <v>972</v>
      </c>
      <c r="F585" s="2" t="s">
        <v>3668</v>
      </c>
      <c r="G585" s="2" t="s">
        <v>3668</v>
      </c>
      <c r="H585" s="2" t="s">
        <v>3668</v>
      </c>
      <c r="I585" s="2" t="s">
        <v>3669</v>
      </c>
      <c r="J585" s="2" t="s">
        <v>1966</v>
      </c>
      <c r="K585" s="2" t="s">
        <v>316</v>
      </c>
      <c r="L585" s="3">
        <v>17.02</v>
      </c>
      <c r="M585" s="3">
        <v>17.87</v>
      </c>
      <c r="N585" s="3">
        <v>49.99</v>
      </c>
      <c r="O585" s="2" t="s">
        <v>240</v>
      </c>
      <c r="P585" s="2" t="s">
        <v>333</v>
      </c>
      <c r="Q585" s="2" t="s">
        <v>234</v>
      </c>
      <c r="R585" s="2" t="s">
        <v>228</v>
      </c>
      <c r="S585" s="2" t="s">
        <v>228</v>
      </c>
      <c r="T585" s="2" t="s">
        <v>228</v>
      </c>
      <c r="U585" s="2" t="s">
        <v>416</v>
      </c>
      <c r="V585" s="2" t="s">
        <v>236</v>
      </c>
      <c r="W585" s="2" t="s">
        <v>309</v>
      </c>
      <c r="X585" s="2" t="s">
        <v>228</v>
      </c>
      <c r="Y585" s="2" t="s">
        <v>2393</v>
      </c>
      <c r="Z585" s="4">
        <v>110</v>
      </c>
      <c r="AA585" s="4">
        <f>=ROUNDDOWN(55,0)</f>
      </c>
      <c r="AB585" s="5">
        <v>2</v>
      </c>
      <c r="AC585" s="2" t="s">
        <v>228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228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228</v>
      </c>
      <c r="AW585" s="8" t="s">
        <v>228</v>
      </c>
      <c r="AX585" s="4" t="s">
        <v>228</v>
      </c>
      <c r="AY585" s="8" t="s">
        <v>228</v>
      </c>
      <c r="AZ585" s="7" t="s">
        <v>228</v>
      </c>
      <c r="BA585" s="7" t="s">
        <v>228</v>
      </c>
      <c r="BB585" s="7"/>
      <c r="BC585" s="4" t="s">
        <v>228</v>
      </c>
      <c r="BD585" s="8" t="s">
        <v>228</v>
      </c>
      <c r="BE585" s="4" t="s">
        <v>228</v>
      </c>
      <c r="BF585" s="8" t="s">
        <v>228</v>
      </c>
      <c r="BG585" s="7" t="s">
        <v>228</v>
      </c>
      <c r="BH585" s="7" t="s">
        <v>228</v>
      </c>
      <c r="BI585" s="7"/>
      <c r="BJ585" s="4"/>
      <c r="BK585" s="8"/>
      <c r="BL585" s="2" t="s">
        <v>228</v>
      </c>
      <c r="BM585" s="7"/>
      <c r="BN585" s="7"/>
      <c r="BO585" s="4"/>
      <c r="BP585" s="8"/>
      <c r="BQ585" s="4"/>
      <c r="BR585" s="8"/>
      <c r="BS585" s="7"/>
      <c r="BT585" s="7"/>
      <c r="BU585" s="2" t="s">
        <v>3675</v>
      </c>
      <c r="BV585" s="2" t="s">
        <v>228</v>
      </c>
      <c r="BW585" s="2" t="s">
        <v>228</v>
      </c>
      <c r="BX585" s="2" t="s">
        <v>337</v>
      </c>
      <c r="BY585" s="2" t="s">
        <v>274</v>
      </c>
      <c r="BZ585" s="2" t="s">
        <v>240</v>
      </c>
      <c r="CA585" s="2" t="s">
        <v>1963</v>
      </c>
      <c r="CB585" s="2" t="s">
        <v>228</v>
      </c>
      <c r="CC585" s="2" t="s">
        <v>241</v>
      </c>
      <c r="CD585" s="2" t="s">
        <v>228</v>
      </c>
      <c r="CE585" s="4">
        <v>110</v>
      </c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</row>
    <row r="586">
      <c r="A586" s="2" t="s">
        <v>3676</v>
      </c>
      <c r="B586" s="2" t="s">
        <v>970</v>
      </c>
      <c r="C586" s="2" t="s">
        <v>1861</v>
      </c>
      <c r="D586" s="2" t="s">
        <v>971</v>
      </c>
      <c r="E586" s="2" t="s">
        <v>972</v>
      </c>
      <c r="F586" s="2" t="s">
        <v>3668</v>
      </c>
      <c r="G586" s="2" t="s">
        <v>3668</v>
      </c>
      <c r="H586" s="2" t="s">
        <v>3668</v>
      </c>
      <c r="I586" s="2" t="s">
        <v>3669</v>
      </c>
      <c r="J586" s="2" t="s">
        <v>3672</v>
      </c>
      <c r="K586" s="2" t="s">
        <v>316</v>
      </c>
      <c r="L586" s="3">
        <v>15.32</v>
      </c>
      <c r="M586" s="3">
        <v>16.09</v>
      </c>
      <c r="N586" s="3">
        <v>44.99</v>
      </c>
      <c r="O586" s="2" t="s">
        <v>240</v>
      </c>
      <c r="P586" s="2" t="s">
        <v>333</v>
      </c>
      <c r="Q586" s="2" t="s">
        <v>234</v>
      </c>
      <c r="R586" s="2" t="s">
        <v>228</v>
      </c>
      <c r="S586" s="2" t="s">
        <v>228</v>
      </c>
      <c r="T586" s="2" t="s">
        <v>228</v>
      </c>
      <c r="U586" s="2" t="s">
        <v>416</v>
      </c>
      <c r="V586" s="2" t="s">
        <v>236</v>
      </c>
      <c r="W586" s="2" t="s">
        <v>309</v>
      </c>
      <c r="X586" s="2" t="s">
        <v>228</v>
      </c>
      <c r="Y586" s="2" t="s">
        <v>2393</v>
      </c>
      <c r="Z586" s="4">
        <v>286</v>
      </c>
      <c r="AA586" s="4">
        <f>=ROUNDDOWN(143,0)</f>
      </c>
      <c r="AB586" s="5">
        <v>2</v>
      </c>
      <c r="AC586" s="2" t="s">
        <v>228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228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228</v>
      </c>
      <c r="AW586" s="8" t="s">
        <v>228</v>
      </c>
      <c r="AX586" s="4" t="s">
        <v>228</v>
      </c>
      <c r="AY586" s="8" t="s">
        <v>228</v>
      </c>
      <c r="AZ586" s="7" t="s">
        <v>228</v>
      </c>
      <c r="BA586" s="7" t="s">
        <v>228</v>
      </c>
      <c r="BB586" s="7"/>
      <c r="BC586" s="4" t="s">
        <v>228</v>
      </c>
      <c r="BD586" s="8" t="s">
        <v>228</v>
      </c>
      <c r="BE586" s="4" t="s">
        <v>228</v>
      </c>
      <c r="BF586" s="8" t="s">
        <v>228</v>
      </c>
      <c r="BG586" s="7" t="s">
        <v>228</v>
      </c>
      <c r="BH586" s="7" t="s">
        <v>228</v>
      </c>
      <c r="BI586" s="7"/>
      <c r="BJ586" s="4">
        <v>5</v>
      </c>
      <c r="BK586" s="8">
        <v>42.25</v>
      </c>
      <c r="BL586" s="2" t="s">
        <v>2986</v>
      </c>
      <c r="BM586" s="7"/>
      <c r="BN586" s="7"/>
      <c r="BO586" s="4"/>
      <c r="BP586" s="8"/>
      <c r="BQ586" s="4"/>
      <c r="BR586" s="8"/>
      <c r="BS586" s="7"/>
      <c r="BT586" s="7"/>
      <c r="BU586" s="2" t="s">
        <v>3677</v>
      </c>
      <c r="BV586" s="2" t="s">
        <v>228</v>
      </c>
      <c r="BW586" s="2" t="s">
        <v>228</v>
      </c>
      <c r="BX586" s="2" t="s">
        <v>337</v>
      </c>
      <c r="BY586" s="2" t="s">
        <v>274</v>
      </c>
      <c r="BZ586" s="2" t="s">
        <v>240</v>
      </c>
      <c r="CA586" s="2" t="s">
        <v>1963</v>
      </c>
      <c r="CB586" s="2" t="s">
        <v>383</v>
      </c>
      <c r="CC586" s="2" t="s">
        <v>241</v>
      </c>
      <c r="CD586" s="2" t="s">
        <v>228</v>
      </c>
      <c r="CE586" s="4">
        <v>286</v>
      </c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</row>
    <row r="587">
      <c r="A587" s="2" t="s">
        <v>3678</v>
      </c>
      <c r="B587" s="2" t="s">
        <v>1374</v>
      </c>
      <c r="C587" s="2" t="s">
        <v>918</v>
      </c>
      <c r="D587" s="2" t="s">
        <v>3679</v>
      </c>
      <c r="E587" s="2" t="s">
        <v>3680</v>
      </c>
      <c r="F587" s="2" t="s">
        <v>3681</v>
      </c>
      <c r="G587" s="2" t="s">
        <v>3681</v>
      </c>
      <c r="H587" s="2" t="s">
        <v>3681</v>
      </c>
      <c r="I587" s="2" t="s">
        <v>3682</v>
      </c>
      <c r="J587" s="2" t="s">
        <v>2920</v>
      </c>
      <c r="K587" s="2" t="s">
        <v>912</v>
      </c>
      <c r="L587" s="3">
        <v>6.27</v>
      </c>
      <c r="M587" s="3">
        <v>6.58</v>
      </c>
      <c r="N587" s="3">
        <v>19.99</v>
      </c>
      <c r="O587" s="2" t="s">
        <v>240</v>
      </c>
      <c r="P587" s="2" t="s">
        <v>333</v>
      </c>
      <c r="Q587" s="2" t="s">
        <v>234</v>
      </c>
      <c r="R587" s="2" t="s">
        <v>228</v>
      </c>
      <c r="S587" s="2" t="s">
        <v>228</v>
      </c>
      <c r="T587" s="2" t="s">
        <v>228</v>
      </c>
      <c r="U587" s="2" t="s">
        <v>416</v>
      </c>
      <c r="V587" s="2" t="s">
        <v>859</v>
      </c>
      <c r="W587" s="2" t="s">
        <v>309</v>
      </c>
      <c r="X587" s="2" t="s">
        <v>228</v>
      </c>
      <c r="Y587" s="2" t="s">
        <v>3683</v>
      </c>
      <c r="Z587" s="4">
        <v>128</v>
      </c>
      <c r="AA587" s="4">
        <f>=ROUNDDOWN(106.666666666667,0)</f>
      </c>
      <c r="AB587" s="5">
        <v>1.2</v>
      </c>
      <c r="AC587" s="2" t="s">
        <v>228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228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228</v>
      </c>
      <c r="AW587" s="8" t="s">
        <v>228</v>
      </c>
      <c r="AX587" s="4" t="s">
        <v>228</v>
      </c>
      <c r="AY587" s="8" t="s">
        <v>228</v>
      </c>
      <c r="AZ587" s="7" t="s">
        <v>228</v>
      </c>
      <c r="BA587" s="7" t="s">
        <v>228</v>
      </c>
      <c r="BB587" s="7" t="s">
        <v>228</v>
      </c>
      <c r="BC587" s="4" t="s">
        <v>228</v>
      </c>
      <c r="BD587" s="8" t="s">
        <v>228</v>
      </c>
      <c r="BE587" s="4" t="s">
        <v>228</v>
      </c>
      <c r="BF587" s="8" t="s">
        <v>228</v>
      </c>
      <c r="BG587" s="7" t="s">
        <v>228</v>
      </c>
      <c r="BH587" s="7" t="s">
        <v>228</v>
      </c>
      <c r="BI587" s="7"/>
      <c r="BJ587" s="4">
        <v>5</v>
      </c>
      <c r="BK587" s="8">
        <v>30.18</v>
      </c>
      <c r="BL587" s="2" t="s">
        <v>3684</v>
      </c>
      <c r="BM587" s="7"/>
      <c r="BN587" s="7"/>
      <c r="BO587" s="4"/>
      <c r="BP587" s="8"/>
      <c r="BQ587" s="4"/>
      <c r="BR587" s="8"/>
      <c r="BS587" s="7"/>
      <c r="BT587" s="7"/>
      <c r="BU587" s="2" t="s">
        <v>3685</v>
      </c>
      <c r="BV587" s="2" t="s">
        <v>228</v>
      </c>
      <c r="BW587" s="2" t="s">
        <v>228</v>
      </c>
      <c r="BX587" s="2" t="s">
        <v>337</v>
      </c>
      <c r="BY587" s="2" t="s">
        <v>274</v>
      </c>
      <c r="BZ587" s="2" t="s">
        <v>240</v>
      </c>
      <c r="CA587" s="2" t="s">
        <v>3686</v>
      </c>
      <c r="CB587" s="2" t="s">
        <v>3687</v>
      </c>
      <c r="CC587" s="2" t="s">
        <v>241</v>
      </c>
      <c r="CD587" s="2" t="s">
        <v>228</v>
      </c>
      <c r="CE587" s="4">
        <v>128</v>
      </c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</row>
    <row r="588">
      <c r="A588" s="2" t="s">
        <v>3688</v>
      </c>
      <c r="B588" s="2" t="s">
        <v>1374</v>
      </c>
      <c r="C588" s="2" t="s">
        <v>918</v>
      </c>
      <c r="D588" s="2" t="s">
        <v>3679</v>
      </c>
      <c r="E588" s="2" t="s">
        <v>3680</v>
      </c>
      <c r="F588" s="2" t="s">
        <v>3681</v>
      </c>
      <c r="G588" s="2" t="s">
        <v>3681</v>
      </c>
      <c r="H588" s="2" t="s">
        <v>3681</v>
      </c>
      <c r="I588" s="2" t="s">
        <v>3689</v>
      </c>
      <c r="J588" s="2" t="s">
        <v>2920</v>
      </c>
      <c r="K588" s="2" t="s">
        <v>912</v>
      </c>
      <c r="L588" s="3">
        <v>7.24</v>
      </c>
      <c r="M588" s="3">
        <v>7.6</v>
      </c>
      <c r="N588" s="3">
        <v>21.99</v>
      </c>
      <c r="O588" s="2" t="s">
        <v>240</v>
      </c>
      <c r="P588" s="2" t="s">
        <v>333</v>
      </c>
      <c r="Q588" s="2" t="s">
        <v>234</v>
      </c>
      <c r="R588" s="2" t="s">
        <v>228</v>
      </c>
      <c r="S588" s="2" t="s">
        <v>228</v>
      </c>
      <c r="T588" s="2" t="s">
        <v>228</v>
      </c>
      <c r="U588" s="2" t="s">
        <v>416</v>
      </c>
      <c r="V588" s="2" t="s">
        <v>859</v>
      </c>
      <c r="W588" s="2" t="s">
        <v>309</v>
      </c>
      <c r="X588" s="2" t="s">
        <v>228</v>
      </c>
      <c r="Y588" s="2" t="s">
        <v>3683</v>
      </c>
      <c r="Z588" s="4">
        <v>125</v>
      </c>
      <c r="AA588" s="4">
        <f>=ROUNDDOWN(156.25,0)</f>
      </c>
      <c r="AB588" s="5">
        <v>0.8</v>
      </c>
      <c r="AC588" s="2" t="s">
        <v>228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228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228</v>
      </c>
      <c r="AW588" s="8" t="s">
        <v>228</v>
      </c>
      <c r="AX588" s="4" t="s">
        <v>228</v>
      </c>
      <c r="AY588" s="8" t="s">
        <v>228</v>
      </c>
      <c r="AZ588" s="7" t="s">
        <v>228</v>
      </c>
      <c r="BA588" s="7" t="s">
        <v>228</v>
      </c>
      <c r="BB588" s="7" t="s">
        <v>228</v>
      </c>
      <c r="BC588" s="4" t="s">
        <v>228</v>
      </c>
      <c r="BD588" s="8" t="s">
        <v>228</v>
      </c>
      <c r="BE588" s="4" t="s">
        <v>228</v>
      </c>
      <c r="BF588" s="8" t="s">
        <v>228</v>
      </c>
      <c r="BG588" s="7" t="s">
        <v>228</v>
      </c>
      <c r="BH588" s="7" t="s">
        <v>228</v>
      </c>
      <c r="BI588" s="7"/>
      <c r="BJ588" s="4">
        <v>3</v>
      </c>
      <c r="BK588" s="8">
        <v>22.8</v>
      </c>
      <c r="BL588" s="2" t="s">
        <v>3690</v>
      </c>
      <c r="BM588" s="7"/>
      <c r="BN588" s="7"/>
      <c r="BO588" s="4"/>
      <c r="BP588" s="8"/>
      <c r="BQ588" s="4"/>
      <c r="BR588" s="8"/>
      <c r="BS588" s="7"/>
      <c r="BT588" s="7"/>
      <c r="BU588" s="2" t="s">
        <v>3691</v>
      </c>
      <c r="BV588" s="2" t="s">
        <v>228</v>
      </c>
      <c r="BW588" s="2" t="s">
        <v>228</v>
      </c>
      <c r="BX588" s="2" t="s">
        <v>337</v>
      </c>
      <c r="BY588" s="2" t="s">
        <v>274</v>
      </c>
      <c r="BZ588" s="2" t="s">
        <v>240</v>
      </c>
      <c r="CA588" s="2" t="s">
        <v>3686</v>
      </c>
      <c r="CB588" s="2" t="s">
        <v>3687</v>
      </c>
      <c r="CC588" s="2" t="s">
        <v>241</v>
      </c>
      <c r="CD588" s="2" t="s">
        <v>228</v>
      </c>
      <c r="CE588" s="4">
        <v>125</v>
      </c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</row>
    <row r="589">
      <c r="A589" s="2" t="s">
        <v>3692</v>
      </c>
      <c r="B589" s="2" t="s">
        <v>866</v>
      </c>
      <c r="C589" s="2" t="s">
        <v>1037</v>
      </c>
      <c r="D589" s="2" t="s">
        <v>899</v>
      </c>
      <c r="E589" s="2" t="s">
        <v>877</v>
      </c>
      <c r="F589" s="2" t="s">
        <v>3693</v>
      </c>
      <c r="G589" s="2" t="s">
        <v>3693</v>
      </c>
      <c r="H589" s="2" t="s">
        <v>3693</v>
      </c>
      <c r="I589" s="2" t="s">
        <v>2463</v>
      </c>
      <c r="J589" s="2" t="s">
        <v>840</v>
      </c>
      <c r="K589" s="2" t="s">
        <v>3694</v>
      </c>
      <c r="L589" s="3">
        <v>37.27</v>
      </c>
      <c r="M589" s="3">
        <v>39.13</v>
      </c>
      <c r="N589" s="3">
        <v>76.49</v>
      </c>
      <c r="O589" s="2" t="s">
        <v>240</v>
      </c>
      <c r="P589" s="2" t="s">
        <v>1012</v>
      </c>
      <c r="Q589" s="2" t="s">
        <v>234</v>
      </c>
      <c r="R589" s="2" t="s">
        <v>228</v>
      </c>
      <c r="S589" s="2" t="s">
        <v>3695</v>
      </c>
      <c r="T589" s="2" t="s">
        <v>228</v>
      </c>
      <c r="U589" s="2" t="s">
        <v>500</v>
      </c>
      <c r="V589" s="2" t="s">
        <v>980</v>
      </c>
      <c r="W589" s="2" t="s">
        <v>417</v>
      </c>
      <c r="X589" s="2" t="s">
        <v>843</v>
      </c>
      <c r="Y589" s="2" t="s">
        <v>3696</v>
      </c>
      <c r="Z589" s="4">
        <v>113</v>
      </c>
      <c r="AA589" s="4">
        <f>=ROUNDDOWN(37.6666666666667,0)</f>
      </c>
      <c r="AB589" s="5">
        <v>3</v>
      </c>
      <c r="AC589" s="2" t="s">
        <v>228</v>
      </c>
      <c r="AD589" s="4"/>
      <c r="AE589" s="4"/>
      <c r="AF589" s="6">
        <v>63</v>
      </c>
      <c r="AG589" s="6"/>
      <c r="AH589" s="7">
        <v>1</v>
      </c>
      <c r="AI589" s="4"/>
      <c r="AJ589" s="4">
        <f>=ROUNDDOWN({0},0)</f>
      </c>
      <c r="AK589" s="5"/>
      <c r="AL589" s="2" t="s">
        <v>228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/>
      <c r="BD589" s="8"/>
      <c r="BE589" s="4"/>
      <c r="BF589" s="8"/>
      <c r="BG589" s="7"/>
      <c r="BH589" s="7"/>
      <c r="BI589" s="7"/>
      <c r="BJ589" s="4">
        <v>9</v>
      </c>
      <c r="BK589" s="8">
        <v>385.44</v>
      </c>
      <c r="BL589" s="2" t="s">
        <v>3697</v>
      </c>
      <c r="BM589" s="7"/>
      <c r="BN589" s="7"/>
      <c r="BO589" s="4"/>
      <c r="BP589" s="8"/>
      <c r="BQ589" s="4"/>
      <c r="BR589" s="8"/>
      <c r="BS589" s="7"/>
      <c r="BT589" s="7"/>
      <c r="BU589" s="2" t="s">
        <v>3698</v>
      </c>
      <c r="BV589" s="2" t="s">
        <v>228</v>
      </c>
      <c r="BW589" s="2" t="s">
        <v>228</v>
      </c>
      <c r="BX589" s="2" t="s">
        <v>273</v>
      </c>
      <c r="BY589" s="2" t="s">
        <v>274</v>
      </c>
      <c r="BZ589" s="2" t="s">
        <v>240</v>
      </c>
      <c r="CA589" s="2" t="s">
        <v>3699</v>
      </c>
      <c r="CB589" s="2" t="s">
        <v>3700</v>
      </c>
      <c r="CC589" s="2" t="s">
        <v>241</v>
      </c>
      <c r="CD589" s="2" t="s">
        <v>228</v>
      </c>
      <c r="CE589" s="4"/>
      <c r="CF589" s="4">
        <v>113</v>
      </c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</row>
    <row r="590">
      <c r="A590" s="2" t="s">
        <v>3701</v>
      </c>
      <c r="B590" s="2" t="s">
        <v>970</v>
      </c>
      <c r="C590" s="2" t="s">
        <v>1743</v>
      </c>
      <c r="D590" s="2" t="s">
        <v>3702</v>
      </c>
      <c r="E590" s="2" t="s">
        <v>238</v>
      </c>
      <c r="F590" s="2" t="s">
        <v>3703</v>
      </c>
      <c r="G590" s="2" t="s">
        <v>3704</v>
      </c>
      <c r="H590" s="2" t="s">
        <v>3704</v>
      </c>
      <c r="I590" s="2" t="s">
        <v>3705</v>
      </c>
      <c r="J590" s="2" t="s">
        <v>3706</v>
      </c>
      <c r="K590" s="2" t="s">
        <v>3005</v>
      </c>
      <c r="L590" s="3">
        <v>14.71</v>
      </c>
      <c r="M590" s="3">
        <v>15.45</v>
      </c>
      <c r="N590" s="3">
        <v>32.99</v>
      </c>
      <c r="O590" s="2" t="s">
        <v>240</v>
      </c>
      <c r="P590" s="2" t="s">
        <v>233</v>
      </c>
      <c r="Q590" s="2" t="s">
        <v>234</v>
      </c>
      <c r="R590" s="2" t="s">
        <v>228</v>
      </c>
      <c r="S590" s="2" t="s">
        <v>3707</v>
      </c>
      <c r="T590" s="2" t="s">
        <v>228</v>
      </c>
      <c r="U590" s="2" t="s">
        <v>416</v>
      </c>
      <c r="V590" s="2" t="s">
        <v>1644</v>
      </c>
      <c r="W590" s="2" t="s">
        <v>228</v>
      </c>
      <c r="X590" s="2" t="s">
        <v>228</v>
      </c>
      <c r="Y590" s="2" t="s">
        <v>3610</v>
      </c>
      <c r="Z590" s="4">
        <v>128</v>
      </c>
      <c r="AA590" s="4">
        <f>=ROUNDDOWN(25.6,0)</f>
      </c>
      <c r="AB590" s="5">
        <v>5</v>
      </c>
      <c r="AC590" s="2" t="s">
        <v>228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228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 t="s">
        <v>228</v>
      </c>
      <c r="BD590" s="8" t="s">
        <v>228</v>
      </c>
      <c r="BE590" s="4" t="s">
        <v>228</v>
      </c>
      <c r="BF590" s="8" t="s">
        <v>228</v>
      </c>
      <c r="BG590" s="7" t="s">
        <v>228</v>
      </c>
      <c r="BH590" s="7" t="s">
        <v>228</v>
      </c>
      <c r="BI590" s="7"/>
      <c r="BJ590" s="4"/>
      <c r="BK590" s="8"/>
      <c r="BL590" s="2" t="s">
        <v>228</v>
      </c>
      <c r="BM590" s="7"/>
      <c r="BN590" s="7"/>
      <c r="BO590" s="4"/>
      <c r="BP590" s="8"/>
      <c r="BQ590" s="4"/>
      <c r="BR590" s="8"/>
      <c r="BS590" s="7"/>
      <c r="BT590" s="7"/>
      <c r="BU590" s="2" t="s">
        <v>3708</v>
      </c>
      <c r="BV590" s="2" t="s">
        <v>228</v>
      </c>
      <c r="BW590" s="2" t="s">
        <v>228</v>
      </c>
      <c r="BX590" s="2" t="s">
        <v>3576</v>
      </c>
      <c r="BY590" s="2" t="s">
        <v>274</v>
      </c>
      <c r="BZ590" s="2" t="s">
        <v>240</v>
      </c>
      <c r="CA590" s="2" t="s">
        <v>1270</v>
      </c>
      <c r="CB590" s="2" t="s">
        <v>228</v>
      </c>
      <c r="CC590" s="2" t="s">
        <v>241</v>
      </c>
      <c r="CD590" s="2" t="s">
        <v>228</v>
      </c>
      <c r="CE590" s="4">
        <v>128</v>
      </c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</row>
    <row r="591">
      <c r="A591" s="2" t="s">
        <v>3709</v>
      </c>
      <c r="B591" s="2" t="s">
        <v>970</v>
      </c>
      <c r="C591" s="2" t="s">
        <v>1743</v>
      </c>
      <c r="D591" s="2" t="s">
        <v>3702</v>
      </c>
      <c r="E591" s="2" t="s">
        <v>238</v>
      </c>
      <c r="F591" s="2" t="s">
        <v>3703</v>
      </c>
      <c r="G591" s="2" t="s">
        <v>3704</v>
      </c>
      <c r="H591" s="2" t="s">
        <v>3704</v>
      </c>
      <c r="I591" s="2" t="s">
        <v>3705</v>
      </c>
      <c r="J591" s="2" t="s">
        <v>3706</v>
      </c>
      <c r="K591" s="2" t="s">
        <v>3710</v>
      </c>
      <c r="L591" s="3">
        <v>14.71</v>
      </c>
      <c r="M591" s="3">
        <v>15.45</v>
      </c>
      <c r="N591" s="3">
        <v>32.99</v>
      </c>
      <c r="O591" s="2" t="s">
        <v>240</v>
      </c>
      <c r="P591" s="2" t="s">
        <v>233</v>
      </c>
      <c r="Q591" s="2" t="s">
        <v>234</v>
      </c>
      <c r="R591" s="2" t="s">
        <v>228</v>
      </c>
      <c r="S591" s="2" t="s">
        <v>3711</v>
      </c>
      <c r="T591" s="2" t="s">
        <v>228</v>
      </c>
      <c r="U591" s="2" t="s">
        <v>416</v>
      </c>
      <c r="V591" s="2" t="s">
        <v>374</v>
      </c>
      <c r="W591" s="2" t="s">
        <v>228</v>
      </c>
      <c r="X591" s="2" t="s">
        <v>228</v>
      </c>
      <c r="Y591" s="2" t="s">
        <v>3610</v>
      </c>
      <c r="Z591" s="4">
        <v>152</v>
      </c>
      <c r="AA591" s="4">
        <f>=ROUNDDOWN(25.3333333333333,0)</f>
      </c>
      <c r="AB591" s="5">
        <v>6</v>
      </c>
      <c r="AC591" s="2" t="s">
        <v>228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228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 t="s">
        <v>228</v>
      </c>
      <c r="BD591" s="8" t="s">
        <v>228</v>
      </c>
      <c r="BE591" s="4" t="s">
        <v>228</v>
      </c>
      <c r="BF591" s="8" t="s">
        <v>228</v>
      </c>
      <c r="BG591" s="7" t="s">
        <v>228</v>
      </c>
      <c r="BH591" s="7" t="s">
        <v>228</v>
      </c>
      <c r="BI591" s="7"/>
      <c r="BJ591" s="4"/>
      <c r="BK591" s="8"/>
      <c r="BL591" s="2" t="s">
        <v>228</v>
      </c>
      <c r="BM591" s="7"/>
      <c r="BN591" s="7"/>
      <c r="BO591" s="4"/>
      <c r="BP591" s="8"/>
      <c r="BQ591" s="4"/>
      <c r="BR591" s="8"/>
      <c r="BS591" s="7"/>
      <c r="BT591" s="7"/>
      <c r="BU591" s="2" t="s">
        <v>3712</v>
      </c>
      <c r="BV591" s="2" t="s">
        <v>228</v>
      </c>
      <c r="BW591" s="2" t="s">
        <v>228</v>
      </c>
      <c r="BX591" s="2" t="s">
        <v>3576</v>
      </c>
      <c r="BY591" s="2" t="s">
        <v>274</v>
      </c>
      <c r="BZ591" s="2" t="s">
        <v>240</v>
      </c>
      <c r="CA591" s="2" t="s">
        <v>1270</v>
      </c>
      <c r="CB591" s="2" t="s">
        <v>228</v>
      </c>
      <c r="CC591" s="2" t="s">
        <v>241</v>
      </c>
      <c r="CD591" s="2" t="s">
        <v>228</v>
      </c>
      <c r="CE591" s="4">
        <v>152</v>
      </c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</row>
    <row r="592">
      <c r="A592" s="2" t="s">
        <v>3713</v>
      </c>
      <c r="B592" s="2" t="s">
        <v>299</v>
      </c>
      <c r="C592" s="2" t="s">
        <v>1111</v>
      </c>
      <c r="D592" s="2" t="s">
        <v>301</v>
      </c>
      <c r="E592" s="2" t="s">
        <v>302</v>
      </c>
      <c r="F592" s="2" t="s">
        <v>3714</v>
      </c>
      <c r="G592" s="2" t="s">
        <v>3714</v>
      </c>
      <c r="H592" s="2" t="s">
        <v>3714</v>
      </c>
      <c r="I592" s="2" t="s">
        <v>3715</v>
      </c>
      <c r="J592" s="2" t="s">
        <v>284</v>
      </c>
      <c r="K592" s="2" t="s">
        <v>3716</v>
      </c>
      <c r="L592" s="3">
        <v>18.47</v>
      </c>
      <c r="M592" s="3">
        <v>19.39</v>
      </c>
      <c r="N592" s="3">
        <v>31.99</v>
      </c>
      <c r="O592" s="2" t="s">
        <v>491</v>
      </c>
      <c r="P592" s="2" t="s">
        <v>1116</v>
      </c>
      <c r="Q592" s="2" t="s">
        <v>234</v>
      </c>
      <c r="R592" s="2" t="s">
        <v>727</v>
      </c>
      <c r="S592" s="2" t="s">
        <v>228</v>
      </c>
      <c r="T592" s="2" t="s">
        <v>350</v>
      </c>
      <c r="U592" s="2" t="s">
        <v>308</v>
      </c>
      <c r="V592" s="2" t="s">
        <v>3717</v>
      </c>
      <c r="W592" s="2" t="s">
        <v>228</v>
      </c>
      <c r="X592" s="2" t="s">
        <v>228</v>
      </c>
      <c r="Y592" s="2" t="s">
        <v>3718</v>
      </c>
      <c r="Z592" s="4">
        <v>28</v>
      </c>
      <c r="AA592" s="4">
        <f>=ROUNDDOWN(140,0)</f>
      </c>
      <c r="AB592" s="5">
        <v>0.2</v>
      </c>
      <c r="AC592" s="2" t="s">
        <v>228</v>
      </c>
      <c r="AD592" s="4"/>
      <c r="AE592" s="4"/>
      <c r="AF592" s="6">
        <v>66</v>
      </c>
      <c r="AG592" s="6"/>
      <c r="AH592" s="7">
        <v>0.7419</v>
      </c>
      <c r="AI592" s="4"/>
      <c r="AJ592" s="4">
        <f>=ROUNDDOWN({0},0)</f>
      </c>
      <c r="AK592" s="5"/>
      <c r="AL592" s="2" t="s">
        <v>228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228</v>
      </c>
      <c r="AW592" s="8" t="s">
        <v>228</v>
      </c>
      <c r="AX592" s="4" t="s">
        <v>228</v>
      </c>
      <c r="AY592" s="8" t="s">
        <v>228</v>
      </c>
      <c r="AZ592" s="7" t="s">
        <v>228</v>
      </c>
      <c r="BA592" s="7" t="s">
        <v>228</v>
      </c>
      <c r="BB592" s="7"/>
      <c r="BC592" s="4" t="s">
        <v>228</v>
      </c>
      <c r="BD592" s="8" t="s">
        <v>228</v>
      </c>
      <c r="BE592" s="4" t="s">
        <v>228</v>
      </c>
      <c r="BF592" s="8" t="s">
        <v>228</v>
      </c>
      <c r="BG592" s="7" t="s">
        <v>228</v>
      </c>
      <c r="BH592" s="7" t="s">
        <v>228</v>
      </c>
      <c r="BI592" s="7"/>
      <c r="BJ592" s="4">
        <v>1</v>
      </c>
      <c r="BK592" s="8">
        <v>9.23</v>
      </c>
      <c r="BL592" s="2" t="s">
        <v>699</v>
      </c>
      <c r="BM592" s="7"/>
      <c r="BN592" s="7"/>
      <c r="BO592" s="4"/>
      <c r="BP592" s="8"/>
      <c r="BQ592" s="4"/>
      <c r="BR592" s="8"/>
      <c r="BS592" s="7"/>
      <c r="BT592" s="7"/>
      <c r="BU592" s="2" t="s">
        <v>3719</v>
      </c>
      <c r="BV592" s="2" t="s">
        <v>228</v>
      </c>
      <c r="BW592" s="2" t="s">
        <v>228</v>
      </c>
      <c r="BX592" s="2" t="s">
        <v>273</v>
      </c>
      <c r="BY592" s="2" t="s">
        <v>274</v>
      </c>
      <c r="BZ592" s="2" t="s">
        <v>240</v>
      </c>
      <c r="CA592" s="2" t="s">
        <v>3720</v>
      </c>
      <c r="CB592" s="2" t="s">
        <v>1026</v>
      </c>
      <c r="CC592" s="2" t="s">
        <v>241</v>
      </c>
      <c r="CD592" s="2" t="s">
        <v>228</v>
      </c>
      <c r="CE592" s="4">
        <v>28</v>
      </c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</row>
    <row r="593">
      <c r="A593" s="2" t="s">
        <v>3721</v>
      </c>
      <c r="B593" s="2" t="s">
        <v>299</v>
      </c>
      <c r="C593" s="2" t="s">
        <v>1111</v>
      </c>
      <c r="D593" s="2" t="s">
        <v>301</v>
      </c>
      <c r="E593" s="2" t="s">
        <v>302</v>
      </c>
      <c r="F593" s="2" t="s">
        <v>3714</v>
      </c>
      <c r="G593" s="2" t="s">
        <v>3714</v>
      </c>
      <c r="H593" s="2" t="s">
        <v>3714</v>
      </c>
      <c r="I593" s="2" t="s">
        <v>3715</v>
      </c>
      <c r="J593" s="2" t="s">
        <v>312</v>
      </c>
      <c r="K593" s="2" t="s">
        <v>3716</v>
      </c>
      <c r="L593" s="3">
        <v>23.75</v>
      </c>
      <c r="M593" s="3">
        <v>24.94</v>
      </c>
      <c r="N593" s="3">
        <v>39.99</v>
      </c>
      <c r="O593" s="2" t="s">
        <v>491</v>
      </c>
      <c r="P593" s="2" t="s">
        <v>1116</v>
      </c>
      <c r="Q593" s="2" t="s">
        <v>234</v>
      </c>
      <c r="R593" s="2" t="s">
        <v>727</v>
      </c>
      <c r="S593" s="2" t="s">
        <v>228</v>
      </c>
      <c r="T593" s="2" t="s">
        <v>350</v>
      </c>
      <c r="U593" s="2" t="s">
        <v>308</v>
      </c>
      <c r="V593" s="2" t="s">
        <v>3717</v>
      </c>
      <c r="W593" s="2" t="s">
        <v>228</v>
      </c>
      <c r="X593" s="2" t="s">
        <v>228</v>
      </c>
      <c r="Y593" s="2" t="s">
        <v>3718</v>
      </c>
      <c r="Z593" s="4">
        <v>29</v>
      </c>
      <c r="AA593" s="4">
        <f>=ROUNDDOWN(72.5,0)</f>
      </c>
      <c r="AB593" s="5">
        <v>0.4</v>
      </c>
      <c r="AC593" s="2" t="s">
        <v>228</v>
      </c>
      <c r="AD593" s="4"/>
      <c r="AE593" s="4"/>
      <c r="AF593" s="6">
        <v>66</v>
      </c>
      <c r="AG593" s="6"/>
      <c r="AH593" s="7">
        <v>0.9355</v>
      </c>
      <c r="AI593" s="4"/>
      <c r="AJ593" s="4">
        <f>=ROUNDDOWN({0},0)</f>
      </c>
      <c r="AK593" s="5"/>
      <c r="AL593" s="2" t="s">
        <v>228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228</v>
      </c>
      <c r="AW593" s="8" t="s">
        <v>228</v>
      </c>
      <c r="AX593" s="4" t="s">
        <v>228</v>
      </c>
      <c r="AY593" s="8" t="s">
        <v>228</v>
      </c>
      <c r="AZ593" s="7" t="s">
        <v>228</v>
      </c>
      <c r="BA593" s="7" t="s">
        <v>228</v>
      </c>
      <c r="BB593" s="7"/>
      <c r="BC593" s="4" t="s">
        <v>228</v>
      </c>
      <c r="BD593" s="8" t="s">
        <v>228</v>
      </c>
      <c r="BE593" s="4" t="s">
        <v>228</v>
      </c>
      <c r="BF593" s="8" t="s">
        <v>228</v>
      </c>
      <c r="BG593" s="7" t="s">
        <v>228</v>
      </c>
      <c r="BH593" s="7" t="s">
        <v>228</v>
      </c>
      <c r="BI593" s="7"/>
      <c r="BJ593" s="4">
        <v>1</v>
      </c>
      <c r="BK593" s="8">
        <v>39.99</v>
      </c>
      <c r="BL593" s="2" t="s">
        <v>3722</v>
      </c>
      <c r="BM593" s="7"/>
      <c r="BN593" s="7"/>
      <c r="BO593" s="4"/>
      <c r="BP593" s="8"/>
      <c r="BQ593" s="4"/>
      <c r="BR593" s="8"/>
      <c r="BS593" s="7"/>
      <c r="BT593" s="7"/>
      <c r="BU593" s="2" t="s">
        <v>3723</v>
      </c>
      <c r="BV593" s="2" t="s">
        <v>228</v>
      </c>
      <c r="BW593" s="2" t="s">
        <v>228</v>
      </c>
      <c r="BX593" s="2" t="s">
        <v>273</v>
      </c>
      <c r="BY593" s="2" t="s">
        <v>274</v>
      </c>
      <c r="BZ593" s="2" t="s">
        <v>240</v>
      </c>
      <c r="CA593" s="2" t="s">
        <v>3720</v>
      </c>
      <c r="CB593" s="2" t="s">
        <v>3114</v>
      </c>
      <c r="CC593" s="2" t="s">
        <v>241</v>
      </c>
      <c r="CD593" s="2" t="s">
        <v>228</v>
      </c>
      <c r="CE593" s="4">
        <v>29</v>
      </c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</row>
    <row r="594">
      <c r="A594" s="2" t="s">
        <v>3724</v>
      </c>
      <c r="B594" s="2" t="s">
        <v>223</v>
      </c>
      <c r="C594" s="2" t="s">
        <v>731</v>
      </c>
      <c r="D594" s="2" t="s">
        <v>3559</v>
      </c>
      <c r="E594" s="2" t="s">
        <v>3560</v>
      </c>
      <c r="F594" s="2" t="s">
        <v>3725</v>
      </c>
      <c r="G594" s="2" t="s">
        <v>3725</v>
      </c>
      <c r="H594" s="2" t="s">
        <v>3725</v>
      </c>
      <c r="I594" s="2" t="s">
        <v>3562</v>
      </c>
      <c r="J594" s="2" t="s">
        <v>264</v>
      </c>
      <c r="K594" s="2" t="s">
        <v>316</v>
      </c>
      <c r="L594" s="3">
        <v>45</v>
      </c>
      <c r="M594" s="3">
        <v>47.25</v>
      </c>
      <c r="N594" s="3">
        <v>89.99</v>
      </c>
      <c r="O594" s="2" t="s">
        <v>240</v>
      </c>
      <c r="P594" s="2" t="s">
        <v>715</v>
      </c>
      <c r="Q594" s="2" t="s">
        <v>234</v>
      </c>
      <c r="R594" s="2" t="s">
        <v>228</v>
      </c>
      <c r="S594" s="2" t="s">
        <v>3726</v>
      </c>
      <c r="T594" s="2" t="s">
        <v>307</v>
      </c>
      <c r="U594" s="2" t="s">
        <v>228</v>
      </c>
      <c r="V594" s="2" t="s">
        <v>236</v>
      </c>
      <c r="W594" s="2" t="s">
        <v>269</v>
      </c>
      <c r="X594" s="2" t="s">
        <v>228</v>
      </c>
      <c r="Y594" s="2" t="s">
        <v>270</v>
      </c>
      <c r="Z594" s="4">
        <v>520</v>
      </c>
      <c r="AA594" s="4">
        <f>=ROUNDDOWN(19.2592592592593,0)</f>
      </c>
      <c r="AB594" s="5">
        <v>27</v>
      </c>
      <c r="AC594" s="2" t="s">
        <v>2799</v>
      </c>
      <c r="AD594" s="4">
        <v>350</v>
      </c>
      <c r="AE594" s="4">
        <v>970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228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228</v>
      </c>
      <c r="AW594" s="8" t="s">
        <v>228</v>
      </c>
      <c r="AX594" s="4" t="s">
        <v>228</v>
      </c>
      <c r="AY594" s="8" t="s">
        <v>228</v>
      </c>
      <c r="AZ594" s="7" t="s">
        <v>228</v>
      </c>
      <c r="BA594" s="7" t="s">
        <v>228</v>
      </c>
      <c r="BB594" s="7"/>
      <c r="BC594" s="4" t="s">
        <v>228</v>
      </c>
      <c r="BD594" s="8" t="s">
        <v>228</v>
      </c>
      <c r="BE594" s="4" t="s">
        <v>228</v>
      </c>
      <c r="BF594" s="8" t="s">
        <v>228</v>
      </c>
      <c r="BG594" s="7" t="s">
        <v>228</v>
      </c>
      <c r="BH594" s="7" t="s">
        <v>228</v>
      </c>
      <c r="BI594" s="7"/>
      <c r="BJ594" s="4">
        <v>72</v>
      </c>
      <c r="BK594" s="8">
        <v>2883.24</v>
      </c>
      <c r="BL594" s="2" t="s">
        <v>3727</v>
      </c>
      <c r="BM594" s="7"/>
      <c r="BN594" s="7"/>
      <c r="BO594" s="4"/>
      <c r="BP594" s="8"/>
      <c r="BQ594" s="4"/>
      <c r="BR594" s="8"/>
      <c r="BS594" s="7"/>
      <c r="BT594" s="7"/>
      <c r="BU594" s="2" t="s">
        <v>3728</v>
      </c>
      <c r="BV594" s="2" t="s">
        <v>228</v>
      </c>
      <c r="BW594" s="2" t="s">
        <v>228</v>
      </c>
      <c r="BX594" s="2" t="s">
        <v>273</v>
      </c>
      <c r="BY594" s="2" t="s">
        <v>274</v>
      </c>
      <c r="BZ594" s="2" t="s">
        <v>240</v>
      </c>
      <c r="CA594" s="2" t="s">
        <v>275</v>
      </c>
      <c r="CB594" s="2" t="s">
        <v>3729</v>
      </c>
      <c r="CC594" s="2" t="s">
        <v>241</v>
      </c>
      <c r="CD594" s="2" t="s">
        <v>228</v>
      </c>
      <c r="CE594" s="4">
        <v>519</v>
      </c>
      <c r="CF594" s="4"/>
      <c r="CG594" s="4"/>
      <c r="CH594" s="4"/>
      <c r="CI594" s="4"/>
      <c r="CJ594" s="4"/>
      <c r="CK594" s="4">
        <v>1</v>
      </c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>
        <v>350</v>
      </c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>
        <v>200</v>
      </c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>
        <v>100</v>
      </c>
      <c r="FU594" s="4"/>
      <c r="FV594" s="4"/>
      <c r="FW594" s="4"/>
      <c r="FX594" s="4"/>
      <c r="FY594" s="4">
        <v>20</v>
      </c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>
        <v>300</v>
      </c>
      <c r="HA594" s="4"/>
      <c r="HB594" s="4"/>
      <c r="HC594" s="4"/>
      <c r="HD594" s="4"/>
      <c r="HE594" s="4"/>
    </row>
    <row r="595">
      <c r="A595" s="2" t="s">
        <v>3730</v>
      </c>
      <c r="B595" s="2" t="s">
        <v>223</v>
      </c>
      <c r="C595" s="2" t="s">
        <v>731</v>
      </c>
      <c r="D595" s="2" t="s">
        <v>3559</v>
      </c>
      <c r="E595" s="2" t="s">
        <v>3560</v>
      </c>
      <c r="F595" s="2" t="s">
        <v>3725</v>
      </c>
      <c r="G595" s="2" t="s">
        <v>3725</v>
      </c>
      <c r="H595" s="2" t="s">
        <v>3725</v>
      </c>
      <c r="I595" s="2" t="s">
        <v>3562</v>
      </c>
      <c r="J595" s="2" t="s">
        <v>278</v>
      </c>
      <c r="K595" s="2" t="s">
        <v>316</v>
      </c>
      <c r="L595" s="3">
        <v>45</v>
      </c>
      <c r="M595" s="3">
        <v>47.25</v>
      </c>
      <c r="N595" s="3">
        <v>89.99</v>
      </c>
      <c r="O595" s="2" t="s">
        <v>240</v>
      </c>
      <c r="P595" s="2" t="s">
        <v>3731</v>
      </c>
      <c r="Q595" s="2" t="s">
        <v>234</v>
      </c>
      <c r="R595" s="2" t="s">
        <v>228</v>
      </c>
      <c r="S595" s="2" t="s">
        <v>3726</v>
      </c>
      <c r="T595" s="2" t="s">
        <v>307</v>
      </c>
      <c r="U595" s="2" t="s">
        <v>228</v>
      </c>
      <c r="V595" s="2" t="s">
        <v>236</v>
      </c>
      <c r="W595" s="2" t="s">
        <v>269</v>
      </c>
      <c r="X595" s="2" t="s">
        <v>228</v>
      </c>
      <c r="Y595" s="2" t="s">
        <v>270</v>
      </c>
      <c r="Z595" s="4">
        <v>3085</v>
      </c>
      <c r="AA595" s="4">
        <f>=ROUNDDOWN(11.7748091603053,0)</f>
      </c>
      <c r="AB595" s="5">
        <v>262</v>
      </c>
      <c r="AC595" s="2" t="s">
        <v>2799</v>
      </c>
      <c r="AD595" s="4">
        <v>3240</v>
      </c>
      <c r="AE595" s="4">
        <v>11370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228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228</v>
      </c>
      <c r="AW595" s="8" t="s">
        <v>228</v>
      </c>
      <c r="AX595" s="4" t="s">
        <v>228</v>
      </c>
      <c r="AY595" s="8" t="s">
        <v>228</v>
      </c>
      <c r="AZ595" s="7" t="s">
        <v>228</v>
      </c>
      <c r="BA595" s="7" t="s">
        <v>228</v>
      </c>
      <c r="BB595" s="7"/>
      <c r="BC595" s="4" t="s">
        <v>228</v>
      </c>
      <c r="BD595" s="8" t="s">
        <v>228</v>
      </c>
      <c r="BE595" s="4" t="s">
        <v>228</v>
      </c>
      <c r="BF595" s="8" t="s">
        <v>228</v>
      </c>
      <c r="BG595" s="7" t="s">
        <v>228</v>
      </c>
      <c r="BH595" s="7" t="s">
        <v>228</v>
      </c>
      <c r="BI595" s="7"/>
      <c r="BJ595" s="4">
        <v>1398</v>
      </c>
      <c r="BK595" s="8">
        <v>55295.9</v>
      </c>
      <c r="BL595" s="2" t="s">
        <v>3732</v>
      </c>
      <c r="BM595" s="7"/>
      <c r="BN595" s="7"/>
      <c r="BO595" s="4"/>
      <c r="BP595" s="8"/>
      <c r="BQ595" s="4"/>
      <c r="BR595" s="8"/>
      <c r="BS595" s="7"/>
      <c r="BT595" s="7"/>
      <c r="BU595" s="2" t="s">
        <v>3733</v>
      </c>
      <c r="BV595" s="2" t="s">
        <v>228</v>
      </c>
      <c r="BW595" s="2" t="s">
        <v>228</v>
      </c>
      <c r="BX595" s="2" t="s">
        <v>273</v>
      </c>
      <c r="BY595" s="2" t="s">
        <v>274</v>
      </c>
      <c r="BZ595" s="2" t="s">
        <v>240</v>
      </c>
      <c r="CA595" s="2" t="s">
        <v>3734</v>
      </c>
      <c r="CB595" s="2" t="s">
        <v>3735</v>
      </c>
      <c r="CC595" s="2" t="s">
        <v>241</v>
      </c>
      <c r="CD595" s="2" t="s">
        <v>228</v>
      </c>
      <c r="CE595" s="4">
        <v>3085</v>
      </c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>
        <v>3240</v>
      </c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>
        <v>600</v>
      </c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>
        <v>100</v>
      </c>
      <c r="FU595" s="4"/>
      <c r="FV595" s="4"/>
      <c r="FW595" s="4"/>
      <c r="FX595" s="4"/>
      <c r="FY595" s="4">
        <v>1830</v>
      </c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>
        <v>200</v>
      </c>
      <c r="GT595" s="4"/>
      <c r="GU595" s="4"/>
      <c r="GV595" s="4"/>
      <c r="GW595" s="4"/>
      <c r="GX595" s="4"/>
      <c r="GY595" s="4"/>
      <c r="GZ595" s="4">
        <v>3700</v>
      </c>
      <c r="HA595" s="4"/>
      <c r="HB595" s="4"/>
      <c r="HC595" s="4"/>
      <c r="HD595" s="4"/>
      <c r="HE595" s="4">
        <v>1700</v>
      </c>
    </row>
    <row r="596">
      <c r="A596" s="2" t="s">
        <v>3736</v>
      </c>
      <c r="B596" s="2" t="s">
        <v>223</v>
      </c>
      <c r="C596" s="2" t="s">
        <v>731</v>
      </c>
      <c r="D596" s="2" t="s">
        <v>3559</v>
      </c>
      <c r="E596" s="2" t="s">
        <v>3560</v>
      </c>
      <c r="F596" s="2" t="s">
        <v>3725</v>
      </c>
      <c r="G596" s="2" t="s">
        <v>3725</v>
      </c>
      <c r="H596" s="2" t="s">
        <v>3725</v>
      </c>
      <c r="I596" s="2" t="s">
        <v>3562</v>
      </c>
      <c r="J596" s="2" t="s">
        <v>312</v>
      </c>
      <c r="K596" s="2" t="s">
        <v>316</v>
      </c>
      <c r="L596" s="3">
        <v>74.19</v>
      </c>
      <c r="M596" s="3">
        <v>77.9</v>
      </c>
      <c r="N596" s="3">
        <v>139.99</v>
      </c>
      <c r="O596" s="2" t="s">
        <v>240</v>
      </c>
      <c r="P596" s="2" t="s">
        <v>3731</v>
      </c>
      <c r="Q596" s="2" t="s">
        <v>234</v>
      </c>
      <c r="R596" s="2" t="s">
        <v>228</v>
      </c>
      <c r="S596" s="2" t="s">
        <v>3726</v>
      </c>
      <c r="T596" s="2" t="s">
        <v>307</v>
      </c>
      <c r="U596" s="2" t="s">
        <v>228</v>
      </c>
      <c r="V596" s="2" t="s">
        <v>236</v>
      </c>
      <c r="W596" s="2" t="s">
        <v>269</v>
      </c>
      <c r="X596" s="2" t="s">
        <v>228</v>
      </c>
      <c r="Y596" s="2" t="s">
        <v>270</v>
      </c>
      <c r="Z596" s="4">
        <v>1745</v>
      </c>
      <c r="AA596" s="4">
        <f>=ROUNDDOWN(31.1607142857143,0)</f>
      </c>
      <c r="AB596" s="5">
        <v>56</v>
      </c>
      <c r="AC596" s="2" t="s">
        <v>157</v>
      </c>
      <c r="AD596" s="4">
        <v>490</v>
      </c>
      <c r="AE596" s="4">
        <v>2230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228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228</v>
      </c>
      <c r="AW596" s="8" t="s">
        <v>228</v>
      </c>
      <c r="AX596" s="4" t="s">
        <v>228</v>
      </c>
      <c r="AY596" s="8" t="s">
        <v>228</v>
      </c>
      <c r="AZ596" s="7" t="s">
        <v>228</v>
      </c>
      <c r="BA596" s="7" t="s">
        <v>228</v>
      </c>
      <c r="BB596" s="7"/>
      <c r="BC596" s="4" t="s">
        <v>228</v>
      </c>
      <c r="BD596" s="8" t="s">
        <v>228</v>
      </c>
      <c r="BE596" s="4" t="s">
        <v>228</v>
      </c>
      <c r="BF596" s="8" t="s">
        <v>228</v>
      </c>
      <c r="BG596" s="7" t="s">
        <v>228</v>
      </c>
      <c r="BH596" s="7" t="s">
        <v>228</v>
      </c>
      <c r="BI596" s="7"/>
      <c r="BJ596" s="4">
        <v>80</v>
      </c>
      <c r="BK596" s="8">
        <v>5683.76</v>
      </c>
      <c r="BL596" s="2" t="s">
        <v>3737</v>
      </c>
      <c r="BM596" s="7"/>
      <c r="BN596" s="7"/>
      <c r="BO596" s="4"/>
      <c r="BP596" s="8"/>
      <c r="BQ596" s="4"/>
      <c r="BR596" s="8"/>
      <c r="BS596" s="7"/>
      <c r="BT596" s="7"/>
      <c r="BU596" s="2" t="s">
        <v>3738</v>
      </c>
      <c r="BV596" s="2" t="s">
        <v>228</v>
      </c>
      <c r="BW596" s="2" t="s">
        <v>228</v>
      </c>
      <c r="BX596" s="2" t="s">
        <v>273</v>
      </c>
      <c r="BY596" s="2" t="s">
        <v>274</v>
      </c>
      <c r="BZ596" s="2" t="s">
        <v>240</v>
      </c>
      <c r="CA596" s="2" t="s">
        <v>275</v>
      </c>
      <c r="CB596" s="2" t="s">
        <v>3739</v>
      </c>
      <c r="CC596" s="2" t="s">
        <v>241</v>
      </c>
      <c r="CD596" s="2" t="s">
        <v>228</v>
      </c>
      <c r="CE596" s="4">
        <v>1745</v>
      </c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>
        <v>490</v>
      </c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>
        <v>200</v>
      </c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>
        <v>100</v>
      </c>
      <c r="FU596" s="4"/>
      <c r="FV596" s="4"/>
      <c r="FW596" s="4"/>
      <c r="FX596" s="4"/>
      <c r="FY596" s="4">
        <v>190</v>
      </c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>
        <v>150</v>
      </c>
      <c r="GT596" s="4"/>
      <c r="GU596" s="4"/>
      <c r="GV596" s="4"/>
      <c r="GW596" s="4"/>
      <c r="GX596" s="4"/>
      <c r="GY596" s="4"/>
      <c r="GZ596" s="4">
        <v>1100</v>
      </c>
      <c r="HA596" s="4"/>
      <c r="HB596" s="4"/>
      <c r="HC596" s="4"/>
      <c r="HD596" s="4"/>
      <c r="HE596" s="4"/>
    </row>
    <row r="597">
      <c r="A597" s="2" t="s">
        <v>3740</v>
      </c>
      <c r="B597" s="2" t="s">
        <v>299</v>
      </c>
      <c r="C597" s="2" t="s">
        <v>849</v>
      </c>
      <c r="D597" s="2" t="s">
        <v>301</v>
      </c>
      <c r="E597" s="2" t="s">
        <v>302</v>
      </c>
      <c r="F597" s="2" t="s">
        <v>3741</v>
      </c>
      <c r="G597" s="2" t="s">
        <v>3741</v>
      </c>
      <c r="H597" s="2" t="s">
        <v>3741</v>
      </c>
      <c r="I597" s="2" t="s">
        <v>3742</v>
      </c>
      <c r="J597" s="2" t="s">
        <v>284</v>
      </c>
      <c r="K597" s="2" t="s">
        <v>978</v>
      </c>
      <c r="L597" s="3">
        <v>21.6</v>
      </c>
      <c r="M597" s="3">
        <v>22.68</v>
      </c>
      <c r="N597" s="3">
        <v>44.99</v>
      </c>
      <c r="O597" s="2" t="s">
        <v>240</v>
      </c>
      <c r="P597" s="2" t="s">
        <v>266</v>
      </c>
      <c r="Q597" s="2" t="s">
        <v>234</v>
      </c>
      <c r="R597" s="2" t="s">
        <v>228</v>
      </c>
      <c r="S597" s="2" t="s">
        <v>3743</v>
      </c>
      <c r="T597" s="2" t="s">
        <v>3461</v>
      </c>
      <c r="U597" s="2" t="s">
        <v>308</v>
      </c>
      <c r="V597" s="2" t="s">
        <v>236</v>
      </c>
      <c r="W597" s="2" t="s">
        <v>269</v>
      </c>
      <c r="X597" s="2" t="s">
        <v>228</v>
      </c>
      <c r="Y597" s="2" t="s">
        <v>270</v>
      </c>
      <c r="Z597" s="4">
        <v>109</v>
      </c>
      <c r="AA597" s="4">
        <f>=ROUNDDOWN(7.78571428571429,0)</f>
      </c>
      <c r="AB597" s="5">
        <v>14</v>
      </c>
      <c r="AC597" s="2" t="s">
        <v>2305</v>
      </c>
      <c r="AD597" s="4">
        <v>50</v>
      </c>
      <c r="AE597" s="4">
        <v>540</v>
      </c>
      <c r="AF597" s="6">
        <v>67</v>
      </c>
      <c r="AG597" s="6"/>
      <c r="AH597" s="7">
        <v>1</v>
      </c>
      <c r="AI597" s="4"/>
      <c r="AJ597" s="4">
        <f>=ROUNDDOWN({0},0)</f>
      </c>
      <c r="AK597" s="5"/>
      <c r="AL597" s="2" t="s">
        <v>228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 t="s">
        <v>228</v>
      </c>
      <c r="BD597" s="8" t="s">
        <v>228</v>
      </c>
      <c r="BE597" s="4" t="s">
        <v>228</v>
      </c>
      <c r="BF597" s="8" t="s">
        <v>228</v>
      </c>
      <c r="BG597" s="7" t="s">
        <v>228</v>
      </c>
      <c r="BH597" s="7" t="s">
        <v>228</v>
      </c>
      <c r="BI597" s="7"/>
      <c r="BJ597" s="4">
        <v>62</v>
      </c>
      <c r="BK597" s="8">
        <v>1426.26</v>
      </c>
      <c r="BL597" s="2" t="s">
        <v>3744</v>
      </c>
      <c r="BM597" s="7"/>
      <c r="BN597" s="7"/>
      <c r="BO597" s="4"/>
      <c r="BP597" s="8"/>
      <c r="BQ597" s="4"/>
      <c r="BR597" s="8"/>
      <c r="BS597" s="7"/>
      <c r="BT597" s="7"/>
      <c r="BU597" s="2" t="s">
        <v>3745</v>
      </c>
      <c r="BV597" s="2" t="s">
        <v>228</v>
      </c>
      <c r="BW597" s="2" t="s">
        <v>228</v>
      </c>
      <c r="BX597" s="2" t="s">
        <v>273</v>
      </c>
      <c r="BY597" s="2" t="s">
        <v>274</v>
      </c>
      <c r="BZ597" s="2" t="s">
        <v>240</v>
      </c>
      <c r="CA597" s="2" t="s">
        <v>275</v>
      </c>
      <c r="CB597" s="2" t="s">
        <v>3746</v>
      </c>
      <c r="CC597" s="2" t="s">
        <v>241</v>
      </c>
      <c r="CD597" s="2" t="s">
        <v>228</v>
      </c>
      <c r="CE597" s="4">
        <v>109</v>
      </c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>
        <v>50</v>
      </c>
      <c r="DT597" s="4"/>
      <c r="DU597" s="4"/>
      <c r="DV597" s="4"/>
      <c r="DW597" s="4">
        <v>100</v>
      </c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>
        <v>90</v>
      </c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>
        <v>100</v>
      </c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>
        <v>50</v>
      </c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>
        <v>80</v>
      </c>
      <c r="GX597" s="4"/>
      <c r="GY597" s="4"/>
      <c r="GZ597" s="4"/>
      <c r="HA597" s="4"/>
      <c r="HB597" s="4"/>
      <c r="HC597" s="4"/>
      <c r="HD597" s="4"/>
      <c r="HE597" s="4">
        <v>70</v>
      </c>
    </row>
    <row r="598">
      <c r="A598" s="2" t="s">
        <v>3747</v>
      </c>
      <c r="B598" s="2" t="s">
        <v>299</v>
      </c>
      <c r="C598" s="2" t="s">
        <v>849</v>
      </c>
      <c r="D598" s="2" t="s">
        <v>301</v>
      </c>
      <c r="E598" s="2" t="s">
        <v>302</v>
      </c>
      <c r="F598" s="2" t="s">
        <v>3741</v>
      </c>
      <c r="G598" s="2" t="s">
        <v>3741</v>
      </c>
      <c r="H598" s="2" t="s">
        <v>3741</v>
      </c>
      <c r="I598" s="2" t="s">
        <v>3742</v>
      </c>
      <c r="J598" s="2" t="s">
        <v>264</v>
      </c>
      <c r="K598" s="2" t="s">
        <v>556</v>
      </c>
      <c r="L598" s="3">
        <v>18.8</v>
      </c>
      <c r="M598" s="3">
        <v>19.74</v>
      </c>
      <c r="N598" s="3">
        <v>39.99</v>
      </c>
      <c r="O598" s="2" t="s">
        <v>240</v>
      </c>
      <c r="P598" s="2" t="s">
        <v>233</v>
      </c>
      <c r="Q598" s="2" t="s">
        <v>234</v>
      </c>
      <c r="R598" s="2" t="s">
        <v>228</v>
      </c>
      <c r="S598" s="2" t="s">
        <v>3748</v>
      </c>
      <c r="T598" s="2" t="s">
        <v>3461</v>
      </c>
      <c r="U598" s="2" t="s">
        <v>500</v>
      </c>
      <c r="V598" s="2" t="s">
        <v>236</v>
      </c>
      <c r="W598" s="2" t="s">
        <v>269</v>
      </c>
      <c r="X598" s="2" t="s">
        <v>228</v>
      </c>
      <c r="Y598" s="2" t="s">
        <v>228</v>
      </c>
      <c r="Z598" s="4"/>
      <c r="AA598" s="4">
        <f>=ROUNDDOWN({0},0)</f>
      </c>
      <c r="AB598" s="5"/>
      <c r="AC598" s="2" t="s">
        <v>3749</v>
      </c>
      <c r="AD598" s="4">
        <v>220</v>
      </c>
      <c r="AE598" s="4">
        <v>430</v>
      </c>
      <c r="AF598" s="6">
        <v>67</v>
      </c>
      <c r="AG598" s="6"/>
      <c r="AH598" s="7"/>
      <c r="AI598" s="4"/>
      <c r="AJ598" s="4">
        <f>=ROUNDDOWN({0},0)</f>
      </c>
      <c r="AK598" s="5"/>
      <c r="AL598" s="2" t="s">
        <v>228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228</v>
      </c>
      <c r="AW598" s="8" t="s">
        <v>228</v>
      </c>
      <c r="AX598" s="4" t="s">
        <v>228</v>
      </c>
      <c r="AY598" s="8" t="s">
        <v>228</v>
      </c>
      <c r="AZ598" s="7" t="s">
        <v>228</v>
      </c>
      <c r="BA598" s="7" t="s">
        <v>228</v>
      </c>
      <c r="BB598" s="7"/>
      <c r="BC598" s="4" t="s">
        <v>228</v>
      </c>
      <c r="BD598" s="8" t="s">
        <v>228</v>
      </c>
      <c r="BE598" s="4" t="s">
        <v>228</v>
      </c>
      <c r="BF598" s="8" t="s">
        <v>228</v>
      </c>
      <c r="BG598" s="7" t="s">
        <v>228</v>
      </c>
      <c r="BH598" s="7" t="s">
        <v>228</v>
      </c>
      <c r="BI598" s="7"/>
      <c r="BJ598" s="4"/>
      <c r="BK598" s="8"/>
      <c r="BL598" s="2" t="s">
        <v>228</v>
      </c>
      <c r="BM598" s="7"/>
      <c r="BN598" s="7"/>
      <c r="BO598" s="4"/>
      <c r="BP598" s="8"/>
      <c r="BQ598" s="4"/>
      <c r="BR598" s="8"/>
      <c r="BS598" s="7"/>
      <c r="BT598" s="7"/>
      <c r="BU598" s="2" t="s">
        <v>238</v>
      </c>
      <c r="BV598" s="2" t="s">
        <v>228</v>
      </c>
      <c r="BW598" s="2" t="s">
        <v>228</v>
      </c>
      <c r="BX598" s="2" t="s">
        <v>238</v>
      </c>
      <c r="BY598" s="2" t="s">
        <v>239</v>
      </c>
      <c r="BZ598" s="2" t="s">
        <v>240</v>
      </c>
      <c r="CA598" s="2" t="s">
        <v>228</v>
      </c>
      <c r="CB598" s="2" t="s">
        <v>228</v>
      </c>
      <c r="CC598" s="2" t="s">
        <v>241</v>
      </c>
      <c r="CD598" s="2" t="s">
        <v>228</v>
      </c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>
        <v>220</v>
      </c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>
        <v>210</v>
      </c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</row>
    <row r="599">
      <c r="A599" s="2" t="s">
        <v>3750</v>
      </c>
      <c r="B599" s="2" t="s">
        <v>299</v>
      </c>
      <c r="C599" s="2" t="s">
        <v>849</v>
      </c>
      <c r="D599" s="2" t="s">
        <v>301</v>
      </c>
      <c r="E599" s="2" t="s">
        <v>302</v>
      </c>
      <c r="F599" s="2" t="s">
        <v>3741</v>
      </c>
      <c r="G599" s="2" t="s">
        <v>3741</v>
      </c>
      <c r="H599" s="2" t="s">
        <v>3741</v>
      </c>
      <c r="I599" s="2" t="s">
        <v>3742</v>
      </c>
      <c r="J599" s="2" t="s">
        <v>278</v>
      </c>
      <c r="K599" s="2" t="s">
        <v>556</v>
      </c>
      <c r="L599" s="3">
        <v>20.16</v>
      </c>
      <c r="M599" s="3">
        <v>21.17</v>
      </c>
      <c r="N599" s="3">
        <v>41.99</v>
      </c>
      <c r="O599" s="2" t="s">
        <v>240</v>
      </c>
      <c r="P599" s="2" t="s">
        <v>233</v>
      </c>
      <c r="Q599" s="2" t="s">
        <v>234</v>
      </c>
      <c r="R599" s="2" t="s">
        <v>228</v>
      </c>
      <c r="S599" s="2" t="s">
        <v>3748</v>
      </c>
      <c r="T599" s="2" t="s">
        <v>3461</v>
      </c>
      <c r="U599" s="2" t="s">
        <v>500</v>
      </c>
      <c r="V599" s="2" t="s">
        <v>236</v>
      </c>
      <c r="W599" s="2" t="s">
        <v>269</v>
      </c>
      <c r="X599" s="2" t="s">
        <v>228</v>
      </c>
      <c r="Y599" s="2" t="s">
        <v>228</v>
      </c>
      <c r="Z599" s="4"/>
      <c r="AA599" s="4">
        <f>=ROUNDDOWN({0},0)</f>
      </c>
      <c r="AB599" s="5"/>
      <c r="AC599" s="2" t="s">
        <v>3749</v>
      </c>
      <c r="AD599" s="4">
        <v>90</v>
      </c>
      <c r="AE599" s="4">
        <v>170</v>
      </c>
      <c r="AF599" s="6">
        <v>67</v>
      </c>
      <c r="AG599" s="6"/>
      <c r="AH599" s="7"/>
      <c r="AI599" s="4"/>
      <c r="AJ599" s="4">
        <f>=ROUNDDOWN({0},0)</f>
      </c>
      <c r="AK599" s="5"/>
      <c r="AL599" s="2" t="s">
        <v>228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228</v>
      </c>
      <c r="AW599" s="8" t="s">
        <v>228</v>
      </c>
      <c r="AX599" s="4" t="s">
        <v>228</v>
      </c>
      <c r="AY599" s="8" t="s">
        <v>228</v>
      </c>
      <c r="AZ599" s="7" t="s">
        <v>228</v>
      </c>
      <c r="BA599" s="7" t="s">
        <v>228</v>
      </c>
      <c r="BB599" s="7"/>
      <c r="BC599" s="4" t="s">
        <v>228</v>
      </c>
      <c r="BD599" s="8" t="s">
        <v>228</v>
      </c>
      <c r="BE599" s="4" t="s">
        <v>228</v>
      </c>
      <c r="BF599" s="8" t="s">
        <v>228</v>
      </c>
      <c r="BG599" s="7" t="s">
        <v>228</v>
      </c>
      <c r="BH599" s="7" t="s">
        <v>228</v>
      </c>
      <c r="BI599" s="7"/>
      <c r="BJ599" s="4"/>
      <c r="BK599" s="8"/>
      <c r="BL599" s="2" t="s">
        <v>228</v>
      </c>
      <c r="BM599" s="7"/>
      <c r="BN599" s="7"/>
      <c r="BO599" s="4"/>
      <c r="BP599" s="8"/>
      <c r="BQ599" s="4"/>
      <c r="BR599" s="8"/>
      <c r="BS599" s="7"/>
      <c r="BT599" s="7"/>
      <c r="BU599" s="2" t="s">
        <v>238</v>
      </c>
      <c r="BV599" s="2" t="s">
        <v>228</v>
      </c>
      <c r="BW599" s="2" t="s">
        <v>228</v>
      </c>
      <c r="BX599" s="2" t="s">
        <v>238</v>
      </c>
      <c r="BY599" s="2" t="s">
        <v>239</v>
      </c>
      <c r="BZ599" s="2" t="s">
        <v>240</v>
      </c>
      <c r="CA599" s="2" t="s">
        <v>228</v>
      </c>
      <c r="CB599" s="2" t="s">
        <v>228</v>
      </c>
      <c r="CC599" s="2" t="s">
        <v>241</v>
      </c>
      <c r="CD599" s="2" t="s">
        <v>228</v>
      </c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>
        <v>90</v>
      </c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>
        <v>80</v>
      </c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</row>
    <row r="600">
      <c r="A600" s="2" t="s">
        <v>3751</v>
      </c>
      <c r="B600" s="2" t="s">
        <v>299</v>
      </c>
      <c r="C600" s="2" t="s">
        <v>849</v>
      </c>
      <c r="D600" s="2" t="s">
        <v>301</v>
      </c>
      <c r="E600" s="2" t="s">
        <v>302</v>
      </c>
      <c r="F600" s="2" t="s">
        <v>3741</v>
      </c>
      <c r="G600" s="2" t="s">
        <v>3741</v>
      </c>
      <c r="H600" s="2" t="s">
        <v>3741</v>
      </c>
      <c r="I600" s="2" t="s">
        <v>3742</v>
      </c>
      <c r="J600" s="2" t="s">
        <v>284</v>
      </c>
      <c r="K600" s="2" t="s">
        <v>556</v>
      </c>
      <c r="L600" s="3">
        <v>21.6</v>
      </c>
      <c r="M600" s="3">
        <v>22.68</v>
      </c>
      <c r="N600" s="3">
        <v>44.99</v>
      </c>
      <c r="O600" s="2" t="s">
        <v>240</v>
      </c>
      <c r="P600" s="2" t="s">
        <v>233</v>
      </c>
      <c r="Q600" s="2" t="s">
        <v>234</v>
      </c>
      <c r="R600" s="2" t="s">
        <v>228</v>
      </c>
      <c r="S600" s="2" t="s">
        <v>3748</v>
      </c>
      <c r="T600" s="2" t="s">
        <v>3461</v>
      </c>
      <c r="U600" s="2" t="s">
        <v>308</v>
      </c>
      <c r="V600" s="2" t="s">
        <v>236</v>
      </c>
      <c r="W600" s="2" t="s">
        <v>269</v>
      </c>
      <c r="X600" s="2" t="s">
        <v>228</v>
      </c>
      <c r="Y600" s="2" t="s">
        <v>228</v>
      </c>
      <c r="Z600" s="4"/>
      <c r="AA600" s="4">
        <f>=ROUNDDOWN({0},0)</f>
      </c>
      <c r="AB600" s="5"/>
      <c r="AC600" s="2" t="s">
        <v>3749</v>
      </c>
      <c r="AD600" s="4">
        <v>300</v>
      </c>
      <c r="AE600" s="4">
        <v>600</v>
      </c>
      <c r="AF600" s="6">
        <v>67</v>
      </c>
      <c r="AG600" s="6"/>
      <c r="AH600" s="7"/>
      <c r="AI600" s="4"/>
      <c r="AJ600" s="4">
        <f>=ROUNDDOWN({0},0)</f>
      </c>
      <c r="AK600" s="5"/>
      <c r="AL600" s="2" t="s">
        <v>228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228</v>
      </c>
      <c r="AW600" s="8" t="s">
        <v>228</v>
      </c>
      <c r="AX600" s="4" t="s">
        <v>228</v>
      </c>
      <c r="AY600" s="8" t="s">
        <v>228</v>
      </c>
      <c r="AZ600" s="7" t="s">
        <v>228</v>
      </c>
      <c r="BA600" s="7" t="s">
        <v>228</v>
      </c>
      <c r="BB600" s="7"/>
      <c r="BC600" s="4" t="s">
        <v>228</v>
      </c>
      <c r="BD600" s="8" t="s">
        <v>228</v>
      </c>
      <c r="BE600" s="4" t="s">
        <v>228</v>
      </c>
      <c r="BF600" s="8" t="s">
        <v>228</v>
      </c>
      <c r="BG600" s="7" t="s">
        <v>228</v>
      </c>
      <c r="BH600" s="7" t="s">
        <v>228</v>
      </c>
      <c r="BI600" s="7"/>
      <c r="BJ600" s="4"/>
      <c r="BK600" s="8"/>
      <c r="BL600" s="2" t="s">
        <v>228</v>
      </c>
      <c r="BM600" s="7"/>
      <c r="BN600" s="7"/>
      <c r="BO600" s="4"/>
      <c r="BP600" s="8"/>
      <c r="BQ600" s="4"/>
      <c r="BR600" s="8"/>
      <c r="BS600" s="7"/>
      <c r="BT600" s="7"/>
      <c r="BU600" s="2" t="s">
        <v>238</v>
      </c>
      <c r="BV600" s="2" t="s">
        <v>228</v>
      </c>
      <c r="BW600" s="2" t="s">
        <v>228</v>
      </c>
      <c r="BX600" s="2" t="s">
        <v>238</v>
      </c>
      <c r="BY600" s="2" t="s">
        <v>239</v>
      </c>
      <c r="BZ600" s="2" t="s">
        <v>240</v>
      </c>
      <c r="CA600" s="2" t="s">
        <v>228</v>
      </c>
      <c r="CB600" s="2" t="s">
        <v>228</v>
      </c>
      <c r="CC600" s="2" t="s">
        <v>241</v>
      </c>
      <c r="CD600" s="2" t="s">
        <v>228</v>
      </c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>
        <v>300</v>
      </c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>
        <v>300</v>
      </c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</row>
    <row r="601">
      <c r="A601" s="2" t="s">
        <v>3752</v>
      </c>
      <c r="B601" s="2" t="s">
        <v>299</v>
      </c>
      <c r="C601" s="2" t="s">
        <v>849</v>
      </c>
      <c r="D601" s="2" t="s">
        <v>301</v>
      </c>
      <c r="E601" s="2" t="s">
        <v>302</v>
      </c>
      <c r="F601" s="2" t="s">
        <v>3741</v>
      </c>
      <c r="G601" s="2" t="s">
        <v>3741</v>
      </c>
      <c r="H601" s="2" t="s">
        <v>3741</v>
      </c>
      <c r="I601" s="2" t="s">
        <v>3742</v>
      </c>
      <c r="J601" s="2" t="s">
        <v>289</v>
      </c>
      <c r="K601" s="2" t="s">
        <v>556</v>
      </c>
      <c r="L601" s="3">
        <v>24.5</v>
      </c>
      <c r="M601" s="3">
        <v>25.73</v>
      </c>
      <c r="N601" s="3">
        <v>49.99</v>
      </c>
      <c r="O601" s="2" t="s">
        <v>240</v>
      </c>
      <c r="P601" s="2" t="s">
        <v>233</v>
      </c>
      <c r="Q601" s="2" t="s">
        <v>234</v>
      </c>
      <c r="R601" s="2" t="s">
        <v>228</v>
      </c>
      <c r="S601" s="2" t="s">
        <v>3748</v>
      </c>
      <c r="T601" s="2" t="s">
        <v>3461</v>
      </c>
      <c r="U601" s="2" t="s">
        <v>308</v>
      </c>
      <c r="V601" s="2" t="s">
        <v>236</v>
      </c>
      <c r="W601" s="2" t="s">
        <v>269</v>
      </c>
      <c r="X601" s="2" t="s">
        <v>228</v>
      </c>
      <c r="Y601" s="2" t="s">
        <v>228</v>
      </c>
      <c r="Z601" s="4"/>
      <c r="AA601" s="4">
        <f>=ROUNDDOWN({0},0)</f>
      </c>
      <c r="AB601" s="5"/>
      <c r="AC601" s="2" t="s">
        <v>3749</v>
      </c>
      <c r="AD601" s="4">
        <v>350</v>
      </c>
      <c r="AE601" s="4">
        <v>700</v>
      </c>
      <c r="AF601" s="6">
        <v>67</v>
      </c>
      <c r="AG601" s="6"/>
      <c r="AH601" s="7"/>
      <c r="AI601" s="4"/>
      <c r="AJ601" s="4">
        <f>=ROUNDDOWN({0},0)</f>
      </c>
      <c r="AK601" s="5"/>
      <c r="AL601" s="2" t="s">
        <v>228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228</v>
      </c>
      <c r="AW601" s="8" t="s">
        <v>228</v>
      </c>
      <c r="AX601" s="4" t="s">
        <v>228</v>
      </c>
      <c r="AY601" s="8" t="s">
        <v>228</v>
      </c>
      <c r="AZ601" s="7" t="s">
        <v>228</v>
      </c>
      <c r="BA601" s="7" t="s">
        <v>228</v>
      </c>
      <c r="BB601" s="7"/>
      <c r="BC601" s="4" t="s">
        <v>228</v>
      </c>
      <c r="BD601" s="8" t="s">
        <v>228</v>
      </c>
      <c r="BE601" s="4" t="s">
        <v>228</v>
      </c>
      <c r="BF601" s="8" t="s">
        <v>228</v>
      </c>
      <c r="BG601" s="7" t="s">
        <v>228</v>
      </c>
      <c r="BH601" s="7" t="s">
        <v>228</v>
      </c>
      <c r="BI601" s="7"/>
      <c r="BJ601" s="4"/>
      <c r="BK601" s="8"/>
      <c r="BL601" s="2" t="s">
        <v>228</v>
      </c>
      <c r="BM601" s="7"/>
      <c r="BN601" s="7"/>
      <c r="BO601" s="4"/>
      <c r="BP601" s="8"/>
      <c r="BQ601" s="4"/>
      <c r="BR601" s="8"/>
      <c r="BS601" s="7"/>
      <c r="BT601" s="7"/>
      <c r="BU601" s="2" t="s">
        <v>238</v>
      </c>
      <c r="BV601" s="2" t="s">
        <v>228</v>
      </c>
      <c r="BW601" s="2" t="s">
        <v>228</v>
      </c>
      <c r="BX601" s="2" t="s">
        <v>238</v>
      </c>
      <c r="BY601" s="2" t="s">
        <v>239</v>
      </c>
      <c r="BZ601" s="2" t="s">
        <v>240</v>
      </c>
      <c r="CA601" s="2" t="s">
        <v>228</v>
      </c>
      <c r="CB601" s="2" t="s">
        <v>228</v>
      </c>
      <c r="CC601" s="2" t="s">
        <v>241</v>
      </c>
      <c r="CD601" s="2" t="s">
        <v>228</v>
      </c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>
        <v>350</v>
      </c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>
        <v>350</v>
      </c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</row>
    <row r="602">
      <c r="A602" s="2" t="s">
        <v>3753</v>
      </c>
      <c r="B602" s="2" t="s">
        <v>299</v>
      </c>
      <c r="C602" s="2" t="s">
        <v>849</v>
      </c>
      <c r="D602" s="2" t="s">
        <v>301</v>
      </c>
      <c r="E602" s="2" t="s">
        <v>302</v>
      </c>
      <c r="F602" s="2" t="s">
        <v>3741</v>
      </c>
      <c r="G602" s="2" t="s">
        <v>3741</v>
      </c>
      <c r="H602" s="2" t="s">
        <v>3741</v>
      </c>
      <c r="I602" s="2" t="s">
        <v>3742</v>
      </c>
      <c r="J602" s="2" t="s">
        <v>294</v>
      </c>
      <c r="K602" s="2" t="s">
        <v>556</v>
      </c>
      <c r="L602" s="3">
        <v>26.95</v>
      </c>
      <c r="M602" s="3">
        <v>28.3</v>
      </c>
      <c r="N602" s="3">
        <v>54.99</v>
      </c>
      <c r="O602" s="2" t="s">
        <v>240</v>
      </c>
      <c r="P602" s="2" t="s">
        <v>233</v>
      </c>
      <c r="Q602" s="2" t="s">
        <v>234</v>
      </c>
      <c r="R602" s="2" t="s">
        <v>228</v>
      </c>
      <c r="S602" s="2" t="s">
        <v>3748</v>
      </c>
      <c r="T602" s="2" t="s">
        <v>3461</v>
      </c>
      <c r="U602" s="2" t="s">
        <v>308</v>
      </c>
      <c r="V602" s="2" t="s">
        <v>236</v>
      </c>
      <c r="W602" s="2" t="s">
        <v>269</v>
      </c>
      <c r="X602" s="2" t="s">
        <v>228</v>
      </c>
      <c r="Y602" s="2" t="s">
        <v>228</v>
      </c>
      <c r="Z602" s="4"/>
      <c r="AA602" s="4">
        <f>=ROUNDDOWN({0},0)</f>
      </c>
      <c r="AB602" s="5"/>
      <c r="AC602" s="2" t="s">
        <v>228</v>
      </c>
      <c r="AD602" s="4"/>
      <c r="AE602" s="4"/>
      <c r="AF602" s="6"/>
      <c r="AG602" s="6"/>
      <c r="AH602" s="7"/>
      <c r="AI602" s="4"/>
      <c r="AJ602" s="4">
        <f>=ROUNDDOWN({0},0)</f>
      </c>
      <c r="AK602" s="5"/>
      <c r="AL602" s="2" t="s">
        <v>228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228</v>
      </c>
      <c r="AW602" s="8" t="s">
        <v>228</v>
      </c>
      <c r="AX602" s="4" t="s">
        <v>228</v>
      </c>
      <c r="AY602" s="8" t="s">
        <v>228</v>
      </c>
      <c r="AZ602" s="7" t="s">
        <v>228</v>
      </c>
      <c r="BA602" s="7" t="s">
        <v>228</v>
      </c>
      <c r="BB602" s="7"/>
      <c r="BC602" s="4" t="s">
        <v>228</v>
      </c>
      <c r="BD602" s="8" t="s">
        <v>228</v>
      </c>
      <c r="BE602" s="4" t="s">
        <v>228</v>
      </c>
      <c r="BF602" s="8" t="s">
        <v>228</v>
      </c>
      <c r="BG602" s="7" t="s">
        <v>228</v>
      </c>
      <c r="BH602" s="7" t="s">
        <v>228</v>
      </c>
      <c r="BI602" s="7"/>
      <c r="BJ602" s="4"/>
      <c r="BK602" s="8"/>
      <c r="BL602" s="2" t="s">
        <v>228</v>
      </c>
      <c r="BM602" s="7"/>
      <c r="BN602" s="7"/>
      <c r="BO602" s="4"/>
      <c r="BP602" s="8"/>
      <c r="BQ602" s="4"/>
      <c r="BR602" s="8"/>
      <c r="BS602" s="7"/>
      <c r="BT602" s="7"/>
      <c r="BU602" s="2" t="s">
        <v>238</v>
      </c>
      <c r="BV602" s="2" t="s">
        <v>228</v>
      </c>
      <c r="BW602" s="2" t="s">
        <v>228</v>
      </c>
      <c r="BX602" s="2" t="s">
        <v>238</v>
      </c>
      <c r="BY602" s="2" t="s">
        <v>239</v>
      </c>
      <c r="BZ602" s="2" t="s">
        <v>240</v>
      </c>
      <c r="CA602" s="2" t="s">
        <v>228</v>
      </c>
      <c r="CB602" s="2" t="s">
        <v>228</v>
      </c>
      <c r="CC602" s="2" t="s">
        <v>241</v>
      </c>
      <c r="CD602" s="2" t="s">
        <v>228</v>
      </c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</row>
    <row r="603">
      <c r="A603" s="2" t="s">
        <v>3754</v>
      </c>
      <c r="B603" s="2" t="s">
        <v>299</v>
      </c>
      <c r="C603" s="2" t="s">
        <v>849</v>
      </c>
      <c r="D603" s="2" t="s">
        <v>301</v>
      </c>
      <c r="E603" s="2" t="s">
        <v>302</v>
      </c>
      <c r="F603" s="2" t="s">
        <v>3741</v>
      </c>
      <c r="G603" s="2" t="s">
        <v>3741</v>
      </c>
      <c r="H603" s="2" t="s">
        <v>3741</v>
      </c>
      <c r="I603" s="2" t="s">
        <v>3742</v>
      </c>
      <c r="J603" s="2" t="s">
        <v>264</v>
      </c>
      <c r="K603" s="2" t="s">
        <v>1105</v>
      </c>
      <c r="L603" s="3">
        <v>18.8</v>
      </c>
      <c r="M603" s="3">
        <v>19.74</v>
      </c>
      <c r="N603" s="3">
        <v>39.99</v>
      </c>
      <c r="O603" s="2" t="s">
        <v>240</v>
      </c>
      <c r="P603" s="2" t="s">
        <v>233</v>
      </c>
      <c r="Q603" s="2" t="s">
        <v>234</v>
      </c>
      <c r="R603" s="2" t="s">
        <v>228</v>
      </c>
      <c r="S603" s="2" t="s">
        <v>3755</v>
      </c>
      <c r="T603" s="2" t="s">
        <v>3461</v>
      </c>
      <c r="U603" s="2" t="s">
        <v>500</v>
      </c>
      <c r="V603" s="2" t="s">
        <v>236</v>
      </c>
      <c r="W603" s="2" t="s">
        <v>269</v>
      </c>
      <c r="X603" s="2" t="s">
        <v>228</v>
      </c>
      <c r="Y603" s="2" t="s">
        <v>228</v>
      </c>
      <c r="Z603" s="4"/>
      <c r="AA603" s="4">
        <f>=ROUNDDOWN({0},0)</f>
      </c>
      <c r="AB603" s="5"/>
      <c r="AC603" s="2" t="s">
        <v>3749</v>
      </c>
      <c r="AD603" s="4">
        <v>100</v>
      </c>
      <c r="AE603" s="4">
        <v>200</v>
      </c>
      <c r="AF603" s="6">
        <v>67</v>
      </c>
      <c r="AG603" s="6"/>
      <c r="AH603" s="7"/>
      <c r="AI603" s="4"/>
      <c r="AJ603" s="4">
        <f>=ROUNDDOWN({0},0)</f>
      </c>
      <c r="AK603" s="5"/>
      <c r="AL603" s="2" t="s">
        <v>228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228</v>
      </c>
      <c r="AW603" s="8" t="s">
        <v>228</v>
      </c>
      <c r="AX603" s="4" t="s">
        <v>228</v>
      </c>
      <c r="AY603" s="8" t="s">
        <v>228</v>
      </c>
      <c r="AZ603" s="7" t="s">
        <v>228</v>
      </c>
      <c r="BA603" s="7" t="s">
        <v>228</v>
      </c>
      <c r="BB603" s="7"/>
      <c r="BC603" s="4" t="s">
        <v>228</v>
      </c>
      <c r="BD603" s="8" t="s">
        <v>228</v>
      </c>
      <c r="BE603" s="4" t="s">
        <v>228</v>
      </c>
      <c r="BF603" s="8" t="s">
        <v>228</v>
      </c>
      <c r="BG603" s="7" t="s">
        <v>228</v>
      </c>
      <c r="BH603" s="7" t="s">
        <v>228</v>
      </c>
      <c r="BI603" s="7"/>
      <c r="BJ603" s="4"/>
      <c r="BK603" s="8"/>
      <c r="BL603" s="2" t="s">
        <v>228</v>
      </c>
      <c r="BM603" s="7"/>
      <c r="BN603" s="7"/>
      <c r="BO603" s="4"/>
      <c r="BP603" s="8"/>
      <c r="BQ603" s="4"/>
      <c r="BR603" s="8"/>
      <c r="BS603" s="7"/>
      <c r="BT603" s="7"/>
      <c r="BU603" s="2" t="s">
        <v>238</v>
      </c>
      <c r="BV603" s="2" t="s">
        <v>228</v>
      </c>
      <c r="BW603" s="2" t="s">
        <v>228</v>
      </c>
      <c r="BX603" s="2" t="s">
        <v>238</v>
      </c>
      <c r="BY603" s="2" t="s">
        <v>239</v>
      </c>
      <c r="BZ603" s="2" t="s">
        <v>240</v>
      </c>
      <c r="CA603" s="2" t="s">
        <v>228</v>
      </c>
      <c r="CB603" s="2" t="s">
        <v>228</v>
      </c>
      <c r="CC603" s="2" t="s">
        <v>241</v>
      </c>
      <c r="CD603" s="2" t="s">
        <v>228</v>
      </c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>
        <v>100</v>
      </c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>
        <v>100</v>
      </c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</row>
    <row r="604">
      <c r="A604" s="2" t="s">
        <v>3756</v>
      </c>
      <c r="B604" s="2" t="s">
        <v>299</v>
      </c>
      <c r="C604" s="2" t="s">
        <v>849</v>
      </c>
      <c r="D604" s="2" t="s">
        <v>301</v>
      </c>
      <c r="E604" s="2" t="s">
        <v>302</v>
      </c>
      <c r="F604" s="2" t="s">
        <v>3741</v>
      </c>
      <c r="G604" s="2" t="s">
        <v>3741</v>
      </c>
      <c r="H604" s="2" t="s">
        <v>3741</v>
      </c>
      <c r="I604" s="2" t="s">
        <v>3742</v>
      </c>
      <c r="J604" s="2" t="s">
        <v>278</v>
      </c>
      <c r="K604" s="2" t="s">
        <v>1105</v>
      </c>
      <c r="L604" s="3">
        <v>20.16</v>
      </c>
      <c r="M604" s="3">
        <v>21.17</v>
      </c>
      <c r="N604" s="3">
        <v>41.99</v>
      </c>
      <c r="O604" s="2" t="s">
        <v>240</v>
      </c>
      <c r="P604" s="2" t="s">
        <v>233</v>
      </c>
      <c r="Q604" s="2" t="s">
        <v>234</v>
      </c>
      <c r="R604" s="2" t="s">
        <v>228</v>
      </c>
      <c r="S604" s="2" t="s">
        <v>3755</v>
      </c>
      <c r="T604" s="2" t="s">
        <v>3461</v>
      </c>
      <c r="U604" s="2" t="s">
        <v>500</v>
      </c>
      <c r="V604" s="2" t="s">
        <v>236</v>
      </c>
      <c r="W604" s="2" t="s">
        <v>269</v>
      </c>
      <c r="X604" s="2" t="s">
        <v>228</v>
      </c>
      <c r="Y604" s="2" t="s">
        <v>228</v>
      </c>
      <c r="Z604" s="4"/>
      <c r="AA604" s="4">
        <f>=ROUNDDOWN({0},0)</f>
      </c>
      <c r="AB604" s="5"/>
      <c r="AC604" s="2" t="s">
        <v>3749</v>
      </c>
      <c r="AD604" s="4">
        <v>70</v>
      </c>
      <c r="AE604" s="4">
        <v>130</v>
      </c>
      <c r="AF604" s="6">
        <v>67</v>
      </c>
      <c r="AG604" s="6"/>
      <c r="AH604" s="7"/>
      <c r="AI604" s="4"/>
      <c r="AJ604" s="4">
        <f>=ROUNDDOWN({0},0)</f>
      </c>
      <c r="AK604" s="5"/>
      <c r="AL604" s="2" t="s">
        <v>228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228</v>
      </c>
      <c r="AW604" s="8" t="s">
        <v>228</v>
      </c>
      <c r="AX604" s="4" t="s">
        <v>228</v>
      </c>
      <c r="AY604" s="8" t="s">
        <v>228</v>
      </c>
      <c r="AZ604" s="7" t="s">
        <v>228</v>
      </c>
      <c r="BA604" s="7" t="s">
        <v>228</v>
      </c>
      <c r="BB604" s="7"/>
      <c r="BC604" s="4" t="s">
        <v>228</v>
      </c>
      <c r="BD604" s="8" t="s">
        <v>228</v>
      </c>
      <c r="BE604" s="4" t="s">
        <v>228</v>
      </c>
      <c r="BF604" s="8" t="s">
        <v>228</v>
      </c>
      <c r="BG604" s="7" t="s">
        <v>228</v>
      </c>
      <c r="BH604" s="7" t="s">
        <v>228</v>
      </c>
      <c r="BI604" s="7"/>
      <c r="BJ604" s="4"/>
      <c r="BK604" s="8"/>
      <c r="BL604" s="2" t="s">
        <v>228</v>
      </c>
      <c r="BM604" s="7"/>
      <c r="BN604" s="7"/>
      <c r="BO604" s="4"/>
      <c r="BP604" s="8"/>
      <c r="BQ604" s="4"/>
      <c r="BR604" s="8"/>
      <c r="BS604" s="7"/>
      <c r="BT604" s="7"/>
      <c r="BU604" s="2" t="s">
        <v>238</v>
      </c>
      <c r="BV604" s="2" t="s">
        <v>228</v>
      </c>
      <c r="BW604" s="2" t="s">
        <v>228</v>
      </c>
      <c r="BX604" s="2" t="s">
        <v>238</v>
      </c>
      <c r="BY604" s="2" t="s">
        <v>239</v>
      </c>
      <c r="BZ604" s="2" t="s">
        <v>240</v>
      </c>
      <c r="CA604" s="2" t="s">
        <v>228</v>
      </c>
      <c r="CB604" s="2" t="s">
        <v>228</v>
      </c>
      <c r="CC604" s="2" t="s">
        <v>241</v>
      </c>
      <c r="CD604" s="2" t="s">
        <v>228</v>
      </c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>
        <v>70</v>
      </c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>
        <v>60</v>
      </c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</row>
    <row r="605">
      <c r="A605" s="2" t="s">
        <v>3757</v>
      </c>
      <c r="B605" s="2" t="s">
        <v>299</v>
      </c>
      <c r="C605" s="2" t="s">
        <v>849</v>
      </c>
      <c r="D605" s="2" t="s">
        <v>301</v>
      </c>
      <c r="E605" s="2" t="s">
        <v>302</v>
      </c>
      <c r="F605" s="2" t="s">
        <v>3741</v>
      </c>
      <c r="G605" s="2" t="s">
        <v>3741</v>
      </c>
      <c r="H605" s="2" t="s">
        <v>3741</v>
      </c>
      <c r="I605" s="2" t="s">
        <v>3742</v>
      </c>
      <c r="J605" s="2" t="s">
        <v>284</v>
      </c>
      <c r="K605" s="2" t="s">
        <v>1105</v>
      </c>
      <c r="L605" s="3">
        <v>21.6</v>
      </c>
      <c r="M605" s="3">
        <v>22.68</v>
      </c>
      <c r="N605" s="3">
        <v>44.99</v>
      </c>
      <c r="O605" s="2" t="s">
        <v>240</v>
      </c>
      <c r="P605" s="2" t="s">
        <v>233</v>
      </c>
      <c r="Q605" s="2" t="s">
        <v>234</v>
      </c>
      <c r="R605" s="2" t="s">
        <v>228</v>
      </c>
      <c r="S605" s="2" t="s">
        <v>3755</v>
      </c>
      <c r="T605" s="2" t="s">
        <v>3461</v>
      </c>
      <c r="U605" s="2" t="s">
        <v>308</v>
      </c>
      <c r="V605" s="2" t="s">
        <v>236</v>
      </c>
      <c r="W605" s="2" t="s">
        <v>269</v>
      </c>
      <c r="X605" s="2" t="s">
        <v>228</v>
      </c>
      <c r="Y605" s="2" t="s">
        <v>228</v>
      </c>
      <c r="Z605" s="4"/>
      <c r="AA605" s="4">
        <f>=ROUNDDOWN({0},0)</f>
      </c>
      <c r="AB605" s="5"/>
      <c r="AC605" s="2" t="s">
        <v>3749</v>
      </c>
      <c r="AD605" s="4">
        <v>90</v>
      </c>
      <c r="AE605" s="4">
        <v>170</v>
      </c>
      <c r="AF605" s="6">
        <v>67</v>
      </c>
      <c r="AG605" s="6"/>
      <c r="AH605" s="7"/>
      <c r="AI605" s="4"/>
      <c r="AJ605" s="4">
        <f>=ROUNDDOWN({0},0)</f>
      </c>
      <c r="AK605" s="5"/>
      <c r="AL605" s="2" t="s">
        <v>228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228</v>
      </c>
      <c r="AW605" s="8" t="s">
        <v>228</v>
      </c>
      <c r="AX605" s="4" t="s">
        <v>228</v>
      </c>
      <c r="AY605" s="8" t="s">
        <v>228</v>
      </c>
      <c r="AZ605" s="7" t="s">
        <v>228</v>
      </c>
      <c r="BA605" s="7" t="s">
        <v>228</v>
      </c>
      <c r="BB605" s="7"/>
      <c r="BC605" s="4" t="s">
        <v>228</v>
      </c>
      <c r="BD605" s="8" t="s">
        <v>228</v>
      </c>
      <c r="BE605" s="4" t="s">
        <v>228</v>
      </c>
      <c r="BF605" s="8" t="s">
        <v>228</v>
      </c>
      <c r="BG605" s="7" t="s">
        <v>228</v>
      </c>
      <c r="BH605" s="7" t="s">
        <v>228</v>
      </c>
      <c r="BI605" s="7"/>
      <c r="BJ605" s="4"/>
      <c r="BK605" s="8"/>
      <c r="BL605" s="2" t="s">
        <v>228</v>
      </c>
      <c r="BM605" s="7"/>
      <c r="BN605" s="7"/>
      <c r="BO605" s="4"/>
      <c r="BP605" s="8"/>
      <c r="BQ605" s="4"/>
      <c r="BR605" s="8"/>
      <c r="BS605" s="7"/>
      <c r="BT605" s="7"/>
      <c r="BU605" s="2" t="s">
        <v>238</v>
      </c>
      <c r="BV605" s="2" t="s">
        <v>228</v>
      </c>
      <c r="BW605" s="2" t="s">
        <v>228</v>
      </c>
      <c r="BX605" s="2" t="s">
        <v>238</v>
      </c>
      <c r="BY605" s="2" t="s">
        <v>239</v>
      </c>
      <c r="BZ605" s="2" t="s">
        <v>240</v>
      </c>
      <c r="CA605" s="2" t="s">
        <v>228</v>
      </c>
      <c r="CB605" s="2" t="s">
        <v>228</v>
      </c>
      <c r="CC605" s="2" t="s">
        <v>241</v>
      </c>
      <c r="CD605" s="2" t="s">
        <v>228</v>
      </c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>
        <v>90</v>
      </c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>
        <v>80</v>
      </c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</row>
    <row r="606">
      <c r="A606" s="2" t="s">
        <v>3758</v>
      </c>
      <c r="B606" s="2" t="s">
        <v>299</v>
      </c>
      <c r="C606" s="2" t="s">
        <v>849</v>
      </c>
      <c r="D606" s="2" t="s">
        <v>301</v>
      </c>
      <c r="E606" s="2" t="s">
        <v>302</v>
      </c>
      <c r="F606" s="2" t="s">
        <v>3741</v>
      </c>
      <c r="G606" s="2" t="s">
        <v>3741</v>
      </c>
      <c r="H606" s="2" t="s">
        <v>3741</v>
      </c>
      <c r="I606" s="2" t="s">
        <v>3742</v>
      </c>
      <c r="J606" s="2" t="s">
        <v>289</v>
      </c>
      <c r="K606" s="2" t="s">
        <v>1105</v>
      </c>
      <c r="L606" s="3">
        <v>24.5</v>
      </c>
      <c r="M606" s="3">
        <v>25.73</v>
      </c>
      <c r="N606" s="3">
        <v>49.99</v>
      </c>
      <c r="O606" s="2" t="s">
        <v>240</v>
      </c>
      <c r="P606" s="2" t="s">
        <v>233</v>
      </c>
      <c r="Q606" s="2" t="s">
        <v>234</v>
      </c>
      <c r="R606" s="2" t="s">
        <v>228</v>
      </c>
      <c r="S606" s="2" t="s">
        <v>3755</v>
      </c>
      <c r="T606" s="2" t="s">
        <v>3461</v>
      </c>
      <c r="U606" s="2" t="s">
        <v>308</v>
      </c>
      <c r="V606" s="2" t="s">
        <v>236</v>
      </c>
      <c r="W606" s="2" t="s">
        <v>269</v>
      </c>
      <c r="X606" s="2" t="s">
        <v>228</v>
      </c>
      <c r="Y606" s="2" t="s">
        <v>228</v>
      </c>
      <c r="Z606" s="4"/>
      <c r="AA606" s="4">
        <f>=ROUNDDOWN({0},0)</f>
      </c>
      <c r="AB606" s="5"/>
      <c r="AC606" s="2" t="s">
        <v>3749</v>
      </c>
      <c r="AD606" s="4">
        <v>180</v>
      </c>
      <c r="AE606" s="4">
        <v>360</v>
      </c>
      <c r="AF606" s="6">
        <v>67</v>
      </c>
      <c r="AG606" s="6"/>
      <c r="AH606" s="7"/>
      <c r="AI606" s="4"/>
      <c r="AJ606" s="4">
        <f>=ROUNDDOWN({0},0)</f>
      </c>
      <c r="AK606" s="5"/>
      <c r="AL606" s="2" t="s">
        <v>228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228</v>
      </c>
      <c r="AW606" s="8" t="s">
        <v>228</v>
      </c>
      <c r="AX606" s="4" t="s">
        <v>228</v>
      </c>
      <c r="AY606" s="8" t="s">
        <v>228</v>
      </c>
      <c r="AZ606" s="7" t="s">
        <v>228</v>
      </c>
      <c r="BA606" s="7" t="s">
        <v>228</v>
      </c>
      <c r="BB606" s="7"/>
      <c r="BC606" s="4" t="s">
        <v>228</v>
      </c>
      <c r="BD606" s="8" t="s">
        <v>228</v>
      </c>
      <c r="BE606" s="4" t="s">
        <v>228</v>
      </c>
      <c r="BF606" s="8" t="s">
        <v>228</v>
      </c>
      <c r="BG606" s="7" t="s">
        <v>228</v>
      </c>
      <c r="BH606" s="7" t="s">
        <v>228</v>
      </c>
      <c r="BI606" s="7"/>
      <c r="BJ606" s="4"/>
      <c r="BK606" s="8"/>
      <c r="BL606" s="2" t="s">
        <v>228</v>
      </c>
      <c r="BM606" s="7"/>
      <c r="BN606" s="7"/>
      <c r="BO606" s="4"/>
      <c r="BP606" s="8"/>
      <c r="BQ606" s="4"/>
      <c r="BR606" s="8"/>
      <c r="BS606" s="7"/>
      <c r="BT606" s="7"/>
      <c r="BU606" s="2" t="s">
        <v>238</v>
      </c>
      <c r="BV606" s="2" t="s">
        <v>228</v>
      </c>
      <c r="BW606" s="2" t="s">
        <v>228</v>
      </c>
      <c r="BX606" s="2" t="s">
        <v>238</v>
      </c>
      <c r="BY606" s="2" t="s">
        <v>239</v>
      </c>
      <c r="BZ606" s="2" t="s">
        <v>240</v>
      </c>
      <c r="CA606" s="2" t="s">
        <v>228</v>
      </c>
      <c r="CB606" s="2" t="s">
        <v>228</v>
      </c>
      <c r="CC606" s="2" t="s">
        <v>241</v>
      </c>
      <c r="CD606" s="2" t="s">
        <v>228</v>
      </c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>
        <v>180</v>
      </c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>
        <v>180</v>
      </c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</row>
    <row r="607">
      <c r="A607" s="2" t="s">
        <v>3759</v>
      </c>
      <c r="B607" s="2" t="s">
        <v>299</v>
      </c>
      <c r="C607" s="2" t="s">
        <v>849</v>
      </c>
      <c r="D607" s="2" t="s">
        <v>301</v>
      </c>
      <c r="E607" s="2" t="s">
        <v>302</v>
      </c>
      <c r="F607" s="2" t="s">
        <v>3741</v>
      </c>
      <c r="G607" s="2" t="s">
        <v>3741</v>
      </c>
      <c r="H607" s="2" t="s">
        <v>3741</v>
      </c>
      <c r="I607" s="2" t="s">
        <v>3742</v>
      </c>
      <c r="J607" s="2" t="s">
        <v>294</v>
      </c>
      <c r="K607" s="2" t="s">
        <v>1105</v>
      </c>
      <c r="L607" s="3">
        <v>26.95</v>
      </c>
      <c r="M607" s="3">
        <v>28.3</v>
      </c>
      <c r="N607" s="3">
        <v>54.99</v>
      </c>
      <c r="O607" s="2" t="s">
        <v>240</v>
      </c>
      <c r="P607" s="2" t="s">
        <v>233</v>
      </c>
      <c r="Q607" s="2" t="s">
        <v>234</v>
      </c>
      <c r="R607" s="2" t="s">
        <v>228</v>
      </c>
      <c r="S607" s="2" t="s">
        <v>3755</v>
      </c>
      <c r="T607" s="2" t="s">
        <v>3461</v>
      </c>
      <c r="U607" s="2" t="s">
        <v>308</v>
      </c>
      <c r="V607" s="2" t="s">
        <v>236</v>
      </c>
      <c r="W607" s="2" t="s">
        <v>269</v>
      </c>
      <c r="X607" s="2" t="s">
        <v>228</v>
      </c>
      <c r="Y607" s="2" t="s">
        <v>228</v>
      </c>
      <c r="Z607" s="4"/>
      <c r="AA607" s="4">
        <f>=ROUNDDOWN({0},0)</f>
      </c>
      <c r="AB607" s="5"/>
      <c r="AC607" s="2" t="s">
        <v>3749</v>
      </c>
      <c r="AD607" s="4">
        <v>140</v>
      </c>
      <c r="AE607" s="4">
        <v>270</v>
      </c>
      <c r="AF607" s="6">
        <v>67</v>
      </c>
      <c r="AG607" s="6"/>
      <c r="AH607" s="7"/>
      <c r="AI607" s="4"/>
      <c r="AJ607" s="4">
        <f>=ROUNDDOWN({0},0)</f>
      </c>
      <c r="AK607" s="5"/>
      <c r="AL607" s="2" t="s">
        <v>228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228</v>
      </c>
      <c r="AW607" s="8" t="s">
        <v>228</v>
      </c>
      <c r="AX607" s="4" t="s">
        <v>228</v>
      </c>
      <c r="AY607" s="8" t="s">
        <v>228</v>
      </c>
      <c r="AZ607" s="7" t="s">
        <v>228</v>
      </c>
      <c r="BA607" s="7" t="s">
        <v>228</v>
      </c>
      <c r="BB607" s="7"/>
      <c r="BC607" s="4" t="s">
        <v>228</v>
      </c>
      <c r="BD607" s="8" t="s">
        <v>228</v>
      </c>
      <c r="BE607" s="4" t="s">
        <v>228</v>
      </c>
      <c r="BF607" s="8" t="s">
        <v>228</v>
      </c>
      <c r="BG607" s="7" t="s">
        <v>228</v>
      </c>
      <c r="BH607" s="7" t="s">
        <v>228</v>
      </c>
      <c r="BI607" s="7"/>
      <c r="BJ607" s="4"/>
      <c r="BK607" s="8"/>
      <c r="BL607" s="2" t="s">
        <v>228</v>
      </c>
      <c r="BM607" s="7"/>
      <c r="BN607" s="7"/>
      <c r="BO607" s="4"/>
      <c r="BP607" s="8"/>
      <c r="BQ607" s="4"/>
      <c r="BR607" s="8"/>
      <c r="BS607" s="7"/>
      <c r="BT607" s="7"/>
      <c r="BU607" s="2" t="s">
        <v>238</v>
      </c>
      <c r="BV607" s="2" t="s">
        <v>228</v>
      </c>
      <c r="BW607" s="2" t="s">
        <v>228</v>
      </c>
      <c r="BX607" s="2" t="s">
        <v>238</v>
      </c>
      <c r="BY607" s="2" t="s">
        <v>239</v>
      </c>
      <c r="BZ607" s="2" t="s">
        <v>240</v>
      </c>
      <c r="CA607" s="2" t="s">
        <v>228</v>
      </c>
      <c r="CB607" s="2" t="s">
        <v>228</v>
      </c>
      <c r="CC607" s="2" t="s">
        <v>241</v>
      </c>
      <c r="CD607" s="2" t="s">
        <v>228</v>
      </c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>
        <v>140</v>
      </c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>
        <v>130</v>
      </c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</row>
    <row r="608">
      <c r="A608" s="2" t="s">
        <v>3760</v>
      </c>
      <c r="B608" s="2" t="s">
        <v>299</v>
      </c>
      <c r="C608" s="2" t="s">
        <v>849</v>
      </c>
      <c r="D608" s="2" t="s">
        <v>301</v>
      </c>
      <c r="E608" s="2" t="s">
        <v>302</v>
      </c>
      <c r="F608" s="2" t="s">
        <v>3741</v>
      </c>
      <c r="G608" s="2" t="s">
        <v>3741</v>
      </c>
      <c r="H608" s="2" t="s">
        <v>3741</v>
      </c>
      <c r="I608" s="2" t="s">
        <v>3742</v>
      </c>
      <c r="J608" s="2" t="s">
        <v>278</v>
      </c>
      <c r="K608" s="2" t="s">
        <v>3761</v>
      </c>
      <c r="L608" s="3">
        <v>20.16</v>
      </c>
      <c r="M608" s="3">
        <v>21.17</v>
      </c>
      <c r="N608" s="3">
        <v>41.99</v>
      </c>
      <c r="O608" s="2" t="s">
        <v>240</v>
      </c>
      <c r="P608" s="2" t="s">
        <v>266</v>
      </c>
      <c r="Q608" s="2" t="s">
        <v>234</v>
      </c>
      <c r="R608" s="2" t="s">
        <v>228</v>
      </c>
      <c r="S608" s="2" t="s">
        <v>3762</v>
      </c>
      <c r="T608" s="2" t="s">
        <v>3461</v>
      </c>
      <c r="U608" s="2" t="s">
        <v>500</v>
      </c>
      <c r="V608" s="2" t="s">
        <v>236</v>
      </c>
      <c r="W608" s="2" t="s">
        <v>269</v>
      </c>
      <c r="X608" s="2" t="s">
        <v>228</v>
      </c>
      <c r="Y608" s="2" t="s">
        <v>270</v>
      </c>
      <c r="Z608" s="4"/>
      <c r="AA608" s="4">
        <f>=ROUNDDOWN({0},0)</f>
      </c>
      <c r="AB608" s="5">
        <v>13</v>
      </c>
      <c r="AC608" s="2" t="s">
        <v>2305</v>
      </c>
      <c r="AD608" s="4">
        <v>80</v>
      </c>
      <c r="AE608" s="4">
        <v>690</v>
      </c>
      <c r="AF608" s="6">
        <v>67</v>
      </c>
      <c r="AG608" s="6"/>
      <c r="AH608" s="7">
        <v>0.129</v>
      </c>
      <c r="AI608" s="4"/>
      <c r="AJ608" s="4">
        <f>=ROUNDDOWN({0},0)</f>
      </c>
      <c r="AK608" s="5"/>
      <c r="AL608" s="2" t="s">
        <v>228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228</v>
      </c>
      <c r="AW608" s="8" t="s">
        <v>228</v>
      </c>
      <c r="AX608" s="4" t="s">
        <v>228</v>
      </c>
      <c r="AY608" s="8" t="s">
        <v>228</v>
      </c>
      <c r="AZ608" s="7" t="s">
        <v>228</v>
      </c>
      <c r="BA608" s="7" t="s">
        <v>228</v>
      </c>
      <c r="BB608" s="7"/>
      <c r="BC608" s="4" t="s">
        <v>228</v>
      </c>
      <c r="BD608" s="8" t="s">
        <v>228</v>
      </c>
      <c r="BE608" s="4" t="s">
        <v>228</v>
      </c>
      <c r="BF608" s="8" t="s">
        <v>228</v>
      </c>
      <c r="BG608" s="7" t="s">
        <v>228</v>
      </c>
      <c r="BH608" s="7" t="s">
        <v>228</v>
      </c>
      <c r="BI608" s="7"/>
      <c r="BJ608" s="4">
        <v>77</v>
      </c>
      <c r="BK608" s="8">
        <v>1638.12</v>
      </c>
      <c r="BL608" s="2" t="s">
        <v>3763</v>
      </c>
      <c r="BM608" s="7"/>
      <c r="BN608" s="7"/>
      <c r="BO608" s="4"/>
      <c r="BP608" s="8"/>
      <c r="BQ608" s="4"/>
      <c r="BR608" s="8"/>
      <c r="BS608" s="7"/>
      <c r="BT608" s="7"/>
      <c r="BU608" s="2" t="s">
        <v>3764</v>
      </c>
      <c r="BV608" s="2" t="s">
        <v>228</v>
      </c>
      <c r="BW608" s="2" t="s">
        <v>228</v>
      </c>
      <c r="BX608" s="2" t="s">
        <v>273</v>
      </c>
      <c r="BY608" s="2" t="s">
        <v>274</v>
      </c>
      <c r="BZ608" s="2" t="s">
        <v>240</v>
      </c>
      <c r="CA608" s="2" t="s">
        <v>275</v>
      </c>
      <c r="CB608" s="2" t="s">
        <v>3765</v>
      </c>
      <c r="CC608" s="2" t="s">
        <v>241</v>
      </c>
      <c r="CD608" s="2" t="s">
        <v>228</v>
      </c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>
        <v>80</v>
      </c>
      <c r="DT608" s="4"/>
      <c r="DU608" s="4"/>
      <c r="DV608" s="4"/>
      <c r="DW608" s="4">
        <v>140</v>
      </c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>
        <v>90</v>
      </c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>
        <v>40</v>
      </c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>
        <v>220</v>
      </c>
      <c r="GX608" s="4"/>
      <c r="GY608" s="4"/>
      <c r="GZ608" s="4"/>
      <c r="HA608" s="4"/>
      <c r="HB608" s="4"/>
      <c r="HC608" s="4"/>
      <c r="HD608" s="4"/>
      <c r="HE608" s="4">
        <v>120</v>
      </c>
    </row>
    <row r="609">
      <c r="A609" s="2" t="s">
        <v>3766</v>
      </c>
      <c r="B609" s="2" t="s">
        <v>299</v>
      </c>
      <c r="C609" s="2" t="s">
        <v>849</v>
      </c>
      <c r="D609" s="2" t="s">
        <v>301</v>
      </c>
      <c r="E609" s="2" t="s">
        <v>302</v>
      </c>
      <c r="F609" s="2" t="s">
        <v>3741</v>
      </c>
      <c r="G609" s="2" t="s">
        <v>3741</v>
      </c>
      <c r="H609" s="2" t="s">
        <v>3741</v>
      </c>
      <c r="I609" s="2" t="s">
        <v>3742</v>
      </c>
      <c r="J609" s="2" t="s">
        <v>284</v>
      </c>
      <c r="K609" s="2" t="s">
        <v>3761</v>
      </c>
      <c r="L609" s="3">
        <v>21.6</v>
      </c>
      <c r="M609" s="3">
        <v>22.68</v>
      </c>
      <c r="N609" s="3">
        <v>44.99</v>
      </c>
      <c r="O609" s="2" t="s">
        <v>240</v>
      </c>
      <c r="P609" s="2" t="s">
        <v>266</v>
      </c>
      <c r="Q609" s="2" t="s">
        <v>234</v>
      </c>
      <c r="R609" s="2" t="s">
        <v>228</v>
      </c>
      <c r="S609" s="2" t="s">
        <v>3762</v>
      </c>
      <c r="T609" s="2" t="s">
        <v>3461</v>
      </c>
      <c r="U609" s="2" t="s">
        <v>308</v>
      </c>
      <c r="V609" s="2" t="s">
        <v>236</v>
      </c>
      <c r="W609" s="2" t="s">
        <v>269</v>
      </c>
      <c r="X609" s="2" t="s">
        <v>228</v>
      </c>
      <c r="Y609" s="2" t="s">
        <v>270</v>
      </c>
      <c r="Z609" s="4">
        <v>177</v>
      </c>
      <c r="AA609" s="4">
        <f>=ROUNDDOWN(9.83333333333333,0)</f>
      </c>
      <c r="AB609" s="5">
        <v>18</v>
      </c>
      <c r="AC609" s="2" t="s">
        <v>2305</v>
      </c>
      <c r="AD609" s="4">
        <v>80</v>
      </c>
      <c r="AE609" s="4">
        <v>560</v>
      </c>
      <c r="AF609" s="6">
        <v>67</v>
      </c>
      <c r="AG609" s="6"/>
      <c r="AH609" s="7">
        <v>1</v>
      </c>
      <c r="AI609" s="4"/>
      <c r="AJ609" s="4">
        <f>=ROUNDDOWN({0},0)</f>
      </c>
      <c r="AK609" s="5"/>
      <c r="AL609" s="2" t="s">
        <v>228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228</v>
      </c>
      <c r="AW609" s="8" t="s">
        <v>228</v>
      </c>
      <c r="AX609" s="4" t="s">
        <v>228</v>
      </c>
      <c r="AY609" s="8" t="s">
        <v>228</v>
      </c>
      <c r="AZ609" s="7" t="s">
        <v>228</v>
      </c>
      <c r="BA609" s="7" t="s">
        <v>228</v>
      </c>
      <c r="BB609" s="7"/>
      <c r="BC609" s="4" t="s">
        <v>228</v>
      </c>
      <c r="BD609" s="8" t="s">
        <v>228</v>
      </c>
      <c r="BE609" s="4" t="s">
        <v>228</v>
      </c>
      <c r="BF609" s="8" t="s">
        <v>228</v>
      </c>
      <c r="BG609" s="7" t="s">
        <v>228</v>
      </c>
      <c r="BH609" s="7" t="s">
        <v>228</v>
      </c>
      <c r="BI609" s="7"/>
      <c r="BJ609" s="4">
        <v>89</v>
      </c>
      <c r="BK609" s="8">
        <v>2040.89</v>
      </c>
      <c r="BL609" s="2" t="s">
        <v>3767</v>
      </c>
      <c r="BM609" s="7"/>
      <c r="BN609" s="7"/>
      <c r="BO609" s="4"/>
      <c r="BP609" s="8"/>
      <c r="BQ609" s="4"/>
      <c r="BR609" s="8"/>
      <c r="BS609" s="7"/>
      <c r="BT609" s="7"/>
      <c r="BU609" s="2" t="s">
        <v>3768</v>
      </c>
      <c r="BV609" s="2" t="s">
        <v>228</v>
      </c>
      <c r="BW609" s="2" t="s">
        <v>228</v>
      </c>
      <c r="BX609" s="2" t="s">
        <v>273</v>
      </c>
      <c r="BY609" s="2" t="s">
        <v>274</v>
      </c>
      <c r="BZ609" s="2" t="s">
        <v>240</v>
      </c>
      <c r="CA609" s="2" t="s">
        <v>275</v>
      </c>
      <c r="CB609" s="2" t="s">
        <v>3746</v>
      </c>
      <c r="CC609" s="2" t="s">
        <v>241</v>
      </c>
      <c r="CD609" s="2" t="s">
        <v>228</v>
      </c>
      <c r="CE609" s="4">
        <v>177</v>
      </c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>
        <v>80</v>
      </c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>
        <v>170</v>
      </c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>
        <v>100</v>
      </c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>
        <v>90</v>
      </c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>
        <v>50</v>
      </c>
      <c r="GX609" s="4"/>
      <c r="GY609" s="4"/>
      <c r="GZ609" s="4"/>
      <c r="HA609" s="4"/>
      <c r="HB609" s="4"/>
      <c r="HC609" s="4"/>
      <c r="HD609" s="4"/>
      <c r="HE609" s="4">
        <v>70</v>
      </c>
    </row>
    <row r="610">
      <c r="A610" s="2" t="s">
        <v>3769</v>
      </c>
      <c r="B610" s="2" t="s">
        <v>299</v>
      </c>
      <c r="C610" s="2" t="s">
        <v>849</v>
      </c>
      <c r="D610" s="2" t="s">
        <v>301</v>
      </c>
      <c r="E610" s="2" t="s">
        <v>302</v>
      </c>
      <c r="F610" s="2" t="s">
        <v>3741</v>
      </c>
      <c r="G610" s="2" t="s">
        <v>3741</v>
      </c>
      <c r="H610" s="2" t="s">
        <v>3741</v>
      </c>
      <c r="I610" s="2" t="s">
        <v>3742</v>
      </c>
      <c r="J610" s="2" t="s">
        <v>289</v>
      </c>
      <c r="K610" s="2" t="s">
        <v>3761</v>
      </c>
      <c r="L610" s="3">
        <v>24.5</v>
      </c>
      <c r="M610" s="3">
        <v>25.72</v>
      </c>
      <c r="N610" s="3">
        <v>49.99</v>
      </c>
      <c r="O610" s="2" t="s">
        <v>240</v>
      </c>
      <c r="P610" s="2" t="s">
        <v>266</v>
      </c>
      <c r="Q610" s="2" t="s">
        <v>234</v>
      </c>
      <c r="R610" s="2" t="s">
        <v>228</v>
      </c>
      <c r="S610" s="2" t="s">
        <v>3762</v>
      </c>
      <c r="T610" s="2" t="s">
        <v>3461</v>
      </c>
      <c r="U610" s="2" t="s">
        <v>308</v>
      </c>
      <c r="V610" s="2" t="s">
        <v>236</v>
      </c>
      <c r="W610" s="2" t="s">
        <v>269</v>
      </c>
      <c r="X610" s="2" t="s">
        <v>228</v>
      </c>
      <c r="Y610" s="2" t="s">
        <v>270</v>
      </c>
      <c r="Z610" s="4">
        <v>192</v>
      </c>
      <c r="AA610" s="4">
        <f>=ROUNDDOWN(13.7142857142857,0)</f>
      </c>
      <c r="AB610" s="5">
        <v>14</v>
      </c>
      <c r="AC610" s="2" t="s">
        <v>2305</v>
      </c>
      <c r="AD610" s="4">
        <v>90</v>
      </c>
      <c r="AE610" s="4">
        <v>570</v>
      </c>
      <c r="AF610" s="6">
        <v>67</v>
      </c>
      <c r="AG610" s="6"/>
      <c r="AH610" s="7">
        <v>1</v>
      </c>
      <c r="AI610" s="4"/>
      <c r="AJ610" s="4">
        <f>=ROUNDDOWN({0},0)</f>
      </c>
      <c r="AK610" s="5"/>
      <c r="AL610" s="2" t="s">
        <v>228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228</v>
      </c>
      <c r="AW610" s="8" t="s">
        <v>228</v>
      </c>
      <c r="AX610" s="4" t="s">
        <v>228</v>
      </c>
      <c r="AY610" s="8" t="s">
        <v>228</v>
      </c>
      <c r="AZ610" s="7" t="s">
        <v>228</v>
      </c>
      <c r="BA610" s="7" t="s">
        <v>228</v>
      </c>
      <c r="BB610" s="7"/>
      <c r="BC610" s="4" t="s">
        <v>228</v>
      </c>
      <c r="BD610" s="8" t="s">
        <v>228</v>
      </c>
      <c r="BE610" s="4" t="s">
        <v>228</v>
      </c>
      <c r="BF610" s="8" t="s">
        <v>228</v>
      </c>
      <c r="BG610" s="7" t="s">
        <v>228</v>
      </c>
      <c r="BH610" s="7" t="s">
        <v>228</v>
      </c>
      <c r="BI610" s="7"/>
      <c r="BJ610" s="4">
        <v>59</v>
      </c>
      <c r="BK610" s="8">
        <v>1522.92</v>
      </c>
      <c r="BL610" s="2" t="s">
        <v>3770</v>
      </c>
      <c r="BM610" s="7"/>
      <c r="BN610" s="7"/>
      <c r="BO610" s="4"/>
      <c r="BP610" s="8"/>
      <c r="BQ610" s="4"/>
      <c r="BR610" s="8"/>
      <c r="BS610" s="7"/>
      <c r="BT610" s="7"/>
      <c r="BU610" s="2" t="s">
        <v>3771</v>
      </c>
      <c r="BV610" s="2" t="s">
        <v>228</v>
      </c>
      <c r="BW610" s="2" t="s">
        <v>228</v>
      </c>
      <c r="BX610" s="2" t="s">
        <v>273</v>
      </c>
      <c r="BY610" s="2" t="s">
        <v>274</v>
      </c>
      <c r="BZ610" s="2" t="s">
        <v>240</v>
      </c>
      <c r="CA610" s="2" t="s">
        <v>275</v>
      </c>
      <c r="CB610" s="2" t="s">
        <v>3772</v>
      </c>
      <c r="CC610" s="2" t="s">
        <v>241</v>
      </c>
      <c r="CD610" s="2" t="s">
        <v>228</v>
      </c>
      <c r="CE610" s="4">
        <v>192</v>
      </c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>
        <v>90</v>
      </c>
      <c r="DT610" s="4"/>
      <c r="DU610" s="4"/>
      <c r="DV610" s="4"/>
      <c r="DW610" s="4">
        <v>110</v>
      </c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>
        <v>90</v>
      </c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>
        <v>40</v>
      </c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>
        <v>180</v>
      </c>
      <c r="GX610" s="4"/>
      <c r="GY610" s="4"/>
      <c r="GZ610" s="4"/>
      <c r="HA610" s="4"/>
      <c r="HB610" s="4"/>
      <c r="HC610" s="4"/>
      <c r="HD610" s="4"/>
      <c r="HE610" s="4">
        <v>60</v>
      </c>
    </row>
    <row r="611">
      <c r="A611" s="2" t="s">
        <v>3773</v>
      </c>
      <c r="B611" s="2" t="s">
        <v>299</v>
      </c>
      <c r="C611" s="2" t="s">
        <v>849</v>
      </c>
      <c r="D611" s="2" t="s">
        <v>301</v>
      </c>
      <c r="E611" s="2" t="s">
        <v>302</v>
      </c>
      <c r="F611" s="2" t="s">
        <v>3741</v>
      </c>
      <c r="G611" s="2" t="s">
        <v>3741</v>
      </c>
      <c r="H611" s="2" t="s">
        <v>3741</v>
      </c>
      <c r="I611" s="2" t="s">
        <v>3742</v>
      </c>
      <c r="J611" s="2" t="s">
        <v>264</v>
      </c>
      <c r="K611" s="2" t="s">
        <v>249</v>
      </c>
      <c r="L611" s="3">
        <v>18.8</v>
      </c>
      <c r="M611" s="3">
        <v>19.74</v>
      </c>
      <c r="N611" s="3">
        <v>39.99</v>
      </c>
      <c r="O611" s="2" t="s">
        <v>240</v>
      </c>
      <c r="P611" s="2" t="s">
        <v>233</v>
      </c>
      <c r="Q611" s="2" t="s">
        <v>234</v>
      </c>
      <c r="R611" s="2" t="s">
        <v>228</v>
      </c>
      <c r="S611" s="2" t="s">
        <v>3774</v>
      </c>
      <c r="T611" s="2" t="s">
        <v>3461</v>
      </c>
      <c r="U611" s="2" t="s">
        <v>500</v>
      </c>
      <c r="V611" s="2" t="s">
        <v>236</v>
      </c>
      <c r="W611" s="2" t="s">
        <v>269</v>
      </c>
      <c r="X611" s="2" t="s">
        <v>228</v>
      </c>
      <c r="Y611" s="2" t="s">
        <v>228</v>
      </c>
      <c r="Z611" s="4"/>
      <c r="AA611" s="4">
        <f>=ROUNDDOWN({0},0)</f>
      </c>
      <c r="AB611" s="5"/>
      <c r="AC611" s="2" t="s">
        <v>3749</v>
      </c>
      <c r="AD611" s="4">
        <v>60</v>
      </c>
      <c r="AE611" s="4">
        <v>110</v>
      </c>
      <c r="AF611" s="6">
        <v>67</v>
      </c>
      <c r="AG611" s="6"/>
      <c r="AH611" s="7"/>
      <c r="AI611" s="4"/>
      <c r="AJ611" s="4">
        <f>=ROUNDDOWN({0},0)</f>
      </c>
      <c r="AK611" s="5"/>
      <c r="AL611" s="2" t="s">
        <v>228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228</v>
      </c>
      <c r="AW611" s="8" t="s">
        <v>228</v>
      </c>
      <c r="AX611" s="4" t="s">
        <v>228</v>
      </c>
      <c r="AY611" s="8" t="s">
        <v>228</v>
      </c>
      <c r="AZ611" s="7" t="s">
        <v>228</v>
      </c>
      <c r="BA611" s="7" t="s">
        <v>228</v>
      </c>
      <c r="BB611" s="7"/>
      <c r="BC611" s="4" t="s">
        <v>228</v>
      </c>
      <c r="BD611" s="8" t="s">
        <v>228</v>
      </c>
      <c r="BE611" s="4" t="s">
        <v>228</v>
      </c>
      <c r="BF611" s="8" t="s">
        <v>228</v>
      </c>
      <c r="BG611" s="7" t="s">
        <v>228</v>
      </c>
      <c r="BH611" s="7" t="s">
        <v>228</v>
      </c>
      <c r="BI611" s="7"/>
      <c r="BJ611" s="4"/>
      <c r="BK611" s="8"/>
      <c r="BL611" s="2" t="s">
        <v>228</v>
      </c>
      <c r="BM611" s="7"/>
      <c r="BN611" s="7"/>
      <c r="BO611" s="4"/>
      <c r="BP611" s="8"/>
      <c r="BQ611" s="4"/>
      <c r="BR611" s="8"/>
      <c r="BS611" s="7"/>
      <c r="BT611" s="7"/>
      <c r="BU611" s="2" t="s">
        <v>238</v>
      </c>
      <c r="BV611" s="2" t="s">
        <v>228</v>
      </c>
      <c r="BW611" s="2" t="s">
        <v>228</v>
      </c>
      <c r="BX611" s="2" t="s">
        <v>238</v>
      </c>
      <c r="BY611" s="2" t="s">
        <v>239</v>
      </c>
      <c r="BZ611" s="2" t="s">
        <v>240</v>
      </c>
      <c r="CA611" s="2" t="s">
        <v>228</v>
      </c>
      <c r="CB611" s="2" t="s">
        <v>228</v>
      </c>
      <c r="CC611" s="2" t="s">
        <v>241</v>
      </c>
      <c r="CD611" s="2" t="s">
        <v>228</v>
      </c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>
        <v>60</v>
      </c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>
        <v>50</v>
      </c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</row>
    <row r="612">
      <c r="A612" s="2" t="s">
        <v>3775</v>
      </c>
      <c r="B612" s="2" t="s">
        <v>299</v>
      </c>
      <c r="C612" s="2" t="s">
        <v>849</v>
      </c>
      <c r="D612" s="2" t="s">
        <v>301</v>
      </c>
      <c r="E612" s="2" t="s">
        <v>302</v>
      </c>
      <c r="F612" s="2" t="s">
        <v>3741</v>
      </c>
      <c r="G612" s="2" t="s">
        <v>3741</v>
      </c>
      <c r="H612" s="2" t="s">
        <v>3741</v>
      </c>
      <c r="I612" s="2" t="s">
        <v>3742</v>
      </c>
      <c r="J612" s="2" t="s">
        <v>278</v>
      </c>
      <c r="K612" s="2" t="s">
        <v>249</v>
      </c>
      <c r="L612" s="3">
        <v>20.16</v>
      </c>
      <c r="M612" s="3">
        <v>21.17</v>
      </c>
      <c r="N612" s="3">
        <v>41.99</v>
      </c>
      <c r="O612" s="2" t="s">
        <v>240</v>
      </c>
      <c r="P612" s="2" t="s">
        <v>233</v>
      </c>
      <c r="Q612" s="2" t="s">
        <v>234</v>
      </c>
      <c r="R612" s="2" t="s">
        <v>228</v>
      </c>
      <c r="S612" s="2" t="s">
        <v>3774</v>
      </c>
      <c r="T612" s="2" t="s">
        <v>3461</v>
      </c>
      <c r="U612" s="2" t="s">
        <v>500</v>
      </c>
      <c r="V612" s="2" t="s">
        <v>236</v>
      </c>
      <c r="W612" s="2" t="s">
        <v>269</v>
      </c>
      <c r="X612" s="2" t="s">
        <v>228</v>
      </c>
      <c r="Y612" s="2" t="s">
        <v>228</v>
      </c>
      <c r="Z612" s="4"/>
      <c r="AA612" s="4">
        <f>=ROUNDDOWN({0},0)</f>
      </c>
      <c r="AB612" s="5"/>
      <c r="AC612" s="2" t="s">
        <v>3749</v>
      </c>
      <c r="AD612" s="4">
        <v>100</v>
      </c>
      <c r="AE612" s="4">
        <v>190</v>
      </c>
      <c r="AF612" s="6">
        <v>67</v>
      </c>
      <c r="AG612" s="6"/>
      <c r="AH612" s="7"/>
      <c r="AI612" s="4"/>
      <c r="AJ612" s="4">
        <f>=ROUNDDOWN({0},0)</f>
      </c>
      <c r="AK612" s="5"/>
      <c r="AL612" s="2" t="s">
        <v>228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228</v>
      </c>
      <c r="AW612" s="8" t="s">
        <v>228</v>
      </c>
      <c r="AX612" s="4" t="s">
        <v>228</v>
      </c>
      <c r="AY612" s="8" t="s">
        <v>228</v>
      </c>
      <c r="AZ612" s="7" t="s">
        <v>228</v>
      </c>
      <c r="BA612" s="7" t="s">
        <v>228</v>
      </c>
      <c r="BB612" s="7"/>
      <c r="BC612" s="4" t="s">
        <v>228</v>
      </c>
      <c r="BD612" s="8" t="s">
        <v>228</v>
      </c>
      <c r="BE612" s="4" t="s">
        <v>228</v>
      </c>
      <c r="BF612" s="8" t="s">
        <v>228</v>
      </c>
      <c r="BG612" s="7" t="s">
        <v>228</v>
      </c>
      <c r="BH612" s="7" t="s">
        <v>228</v>
      </c>
      <c r="BI612" s="7"/>
      <c r="BJ612" s="4"/>
      <c r="BK612" s="8"/>
      <c r="BL612" s="2" t="s">
        <v>228</v>
      </c>
      <c r="BM612" s="7"/>
      <c r="BN612" s="7"/>
      <c r="BO612" s="4"/>
      <c r="BP612" s="8"/>
      <c r="BQ612" s="4"/>
      <c r="BR612" s="8"/>
      <c r="BS612" s="7"/>
      <c r="BT612" s="7"/>
      <c r="BU612" s="2" t="s">
        <v>238</v>
      </c>
      <c r="BV612" s="2" t="s">
        <v>228</v>
      </c>
      <c r="BW612" s="2" t="s">
        <v>228</v>
      </c>
      <c r="BX612" s="2" t="s">
        <v>238</v>
      </c>
      <c r="BY612" s="2" t="s">
        <v>239</v>
      </c>
      <c r="BZ612" s="2" t="s">
        <v>240</v>
      </c>
      <c r="CA612" s="2" t="s">
        <v>228</v>
      </c>
      <c r="CB612" s="2" t="s">
        <v>228</v>
      </c>
      <c r="CC612" s="2" t="s">
        <v>241</v>
      </c>
      <c r="CD612" s="2" t="s">
        <v>228</v>
      </c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>
        <v>100</v>
      </c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>
        <v>90</v>
      </c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</row>
    <row r="613">
      <c r="A613" s="2" t="s">
        <v>3776</v>
      </c>
      <c r="B613" s="2" t="s">
        <v>299</v>
      </c>
      <c r="C613" s="2" t="s">
        <v>849</v>
      </c>
      <c r="D613" s="2" t="s">
        <v>301</v>
      </c>
      <c r="E613" s="2" t="s">
        <v>302</v>
      </c>
      <c r="F613" s="2" t="s">
        <v>3741</v>
      </c>
      <c r="G613" s="2" t="s">
        <v>3741</v>
      </c>
      <c r="H613" s="2" t="s">
        <v>3741</v>
      </c>
      <c r="I613" s="2" t="s">
        <v>3742</v>
      </c>
      <c r="J613" s="2" t="s">
        <v>284</v>
      </c>
      <c r="K613" s="2" t="s">
        <v>249</v>
      </c>
      <c r="L613" s="3">
        <v>21.6</v>
      </c>
      <c r="M613" s="3">
        <v>22.68</v>
      </c>
      <c r="N613" s="3">
        <v>44.99</v>
      </c>
      <c r="O613" s="2" t="s">
        <v>240</v>
      </c>
      <c r="P613" s="2" t="s">
        <v>233</v>
      </c>
      <c r="Q613" s="2" t="s">
        <v>234</v>
      </c>
      <c r="R613" s="2" t="s">
        <v>228</v>
      </c>
      <c r="S613" s="2" t="s">
        <v>3774</v>
      </c>
      <c r="T613" s="2" t="s">
        <v>3461</v>
      </c>
      <c r="U613" s="2" t="s">
        <v>308</v>
      </c>
      <c r="V613" s="2" t="s">
        <v>236</v>
      </c>
      <c r="W613" s="2" t="s">
        <v>269</v>
      </c>
      <c r="X613" s="2" t="s">
        <v>228</v>
      </c>
      <c r="Y613" s="2" t="s">
        <v>228</v>
      </c>
      <c r="Z613" s="4"/>
      <c r="AA613" s="4">
        <f>=ROUNDDOWN({0},0)</f>
      </c>
      <c r="AB613" s="5"/>
      <c r="AC613" s="2" t="s">
        <v>3749</v>
      </c>
      <c r="AD613" s="4">
        <v>120</v>
      </c>
      <c r="AE613" s="4">
        <v>230</v>
      </c>
      <c r="AF613" s="6">
        <v>67</v>
      </c>
      <c r="AG613" s="6"/>
      <c r="AH613" s="7"/>
      <c r="AI613" s="4"/>
      <c r="AJ613" s="4">
        <f>=ROUNDDOWN({0},0)</f>
      </c>
      <c r="AK613" s="5"/>
      <c r="AL613" s="2" t="s">
        <v>228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228</v>
      </c>
      <c r="AW613" s="8" t="s">
        <v>228</v>
      </c>
      <c r="AX613" s="4" t="s">
        <v>228</v>
      </c>
      <c r="AY613" s="8" t="s">
        <v>228</v>
      </c>
      <c r="AZ613" s="7" t="s">
        <v>228</v>
      </c>
      <c r="BA613" s="7" t="s">
        <v>228</v>
      </c>
      <c r="BB613" s="7"/>
      <c r="BC613" s="4" t="s">
        <v>228</v>
      </c>
      <c r="BD613" s="8" t="s">
        <v>228</v>
      </c>
      <c r="BE613" s="4" t="s">
        <v>228</v>
      </c>
      <c r="BF613" s="8" t="s">
        <v>228</v>
      </c>
      <c r="BG613" s="7" t="s">
        <v>228</v>
      </c>
      <c r="BH613" s="7" t="s">
        <v>228</v>
      </c>
      <c r="BI613" s="7"/>
      <c r="BJ613" s="4"/>
      <c r="BK613" s="8"/>
      <c r="BL613" s="2" t="s">
        <v>228</v>
      </c>
      <c r="BM613" s="7"/>
      <c r="BN613" s="7"/>
      <c r="BO613" s="4"/>
      <c r="BP613" s="8"/>
      <c r="BQ613" s="4"/>
      <c r="BR613" s="8"/>
      <c r="BS613" s="7"/>
      <c r="BT613" s="7"/>
      <c r="BU613" s="2" t="s">
        <v>238</v>
      </c>
      <c r="BV613" s="2" t="s">
        <v>228</v>
      </c>
      <c r="BW613" s="2" t="s">
        <v>228</v>
      </c>
      <c r="BX613" s="2" t="s">
        <v>238</v>
      </c>
      <c r="BY613" s="2" t="s">
        <v>239</v>
      </c>
      <c r="BZ613" s="2" t="s">
        <v>240</v>
      </c>
      <c r="CA613" s="2" t="s">
        <v>228</v>
      </c>
      <c r="CB613" s="2" t="s">
        <v>228</v>
      </c>
      <c r="CC613" s="2" t="s">
        <v>241</v>
      </c>
      <c r="CD613" s="2" t="s">
        <v>228</v>
      </c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>
        <v>120</v>
      </c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>
        <v>110</v>
      </c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</row>
    <row r="614">
      <c r="A614" s="2" t="s">
        <v>3777</v>
      </c>
      <c r="B614" s="2" t="s">
        <v>299</v>
      </c>
      <c r="C614" s="2" t="s">
        <v>849</v>
      </c>
      <c r="D614" s="2" t="s">
        <v>301</v>
      </c>
      <c r="E614" s="2" t="s">
        <v>302</v>
      </c>
      <c r="F614" s="2" t="s">
        <v>3741</v>
      </c>
      <c r="G614" s="2" t="s">
        <v>3741</v>
      </c>
      <c r="H614" s="2" t="s">
        <v>3741</v>
      </c>
      <c r="I614" s="2" t="s">
        <v>3742</v>
      </c>
      <c r="J614" s="2" t="s">
        <v>289</v>
      </c>
      <c r="K614" s="2" t="s">
        <v>249</v>
      </c>
      <c r="L614" s="3">
        <v>24.5</v>
      </c>
      <c r="M614" s="3">
        <v>25.73</v>
      </c>
      <c r="N614" s="3">
        <v>49.99</v>
      </c>
      <c r="O614" s="2" t="s">
        <v>240</v>
      </c>
      <c r="P614" s="2" t="s">
        <v>233</v>
      </c>
      <c r="Q614" s="2" t="s">
        <v>234</v>
      </c>
      <c r="R614" s="2" t="s">
        <v>228</v>
      </c>
      <c r="S614" s="2" t="s">
        <v>3774</v>
      </c>
      <c r="T614" s="2" t="s">
        <v>3461</v>
      </c>
      <c r="U614" s="2" t="s">
        <v>308</v>
      </c>
      <c r="V614" s="2" t="s">
        <v>236</v>
      </c>
      <c r="W614" s="2" t="s">
        <v>269</v>
      </c>
      <c r="X614" s="2" t="s">
        <v>228</v>
      </c>
      <c r="Y614" s="2" t="s">
        <v>228</v>
      </c>
      <c r="Z614" s="4"/>
      <c r="AA614" s="4">
        <f>=ROUNDDOWN({0},0)</f>
      </c>
      <c r="AB614" s="5"/>
      <c r="AC614" s="2" t="s">
        <v>3749</v>
      </c>
      <c r="AD614" s="4">
        <v>160</v>
      </c>
      <c r="AE614" s="4">
        <v>310</v>
      </c>
      <c r="AF614" s="6">
        <v>67</v>
      </c>
      <c r="AG614" s="6"/>
      <c r="AH614" s="7"/>
      <c r="AI614" s="4"/>
      <c r="AJ614" s="4">
        <f>=ROUNDDOWN({0},0)</f>
      </c>
      <c r="AK614" s="5"/>
      <c r="AL614" s="2" t="s">
        <v>228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228</v>
      </c>
      <c r="AW614" s="8" t="s">
        <v>228</v>
      </c>
      <c r="AX614" s="4" t="s">
        <v>228</v>
      </c>
      <c r="AY614" s="8" t="s">
        <v>228</v>
      </c>
      <c r="AZ614" s="7" t="s">
        <v>228</v>
      </c>
      <c r="BA614" s="7" t="s">
        <v>228</v>
      </c>
      <c r="BB614" s="7"/>
      <c r="BC614" s="4" t="s">
        <v>228</v>
      </c>
      <c r="BD614" s="8" t="s">
        <v>228</v>
      </c>
      <c r="BE614" s="4" t="s">
        <v>228</v>
      </c>
      <c r="BF614" s="8" t="s">
        <v>228</v>
      </c>
      <c r="BG614" s="7" t="s">
        <v>228</v>
      </c>
      <c r="BH614" s="7" t="s">
        <v>228</v>
      </c>
      <c r="BI614" s="7"/>
      <c r="BJ614" s="4"/>
      <c r="BK614" s="8"/>
      <c r="BL614" s="2" t="s">
        <v>228</v>
      </c>
      <c r="BM614" s="7"/>
      <c r="BN614" s="7"/>
      <c r="BO614" s="4"/>
      <c r="BP614" s="8"/>
      <c r="BQ614" s="4"/>
      <c r="BR614" s="8"/>
      <c r="BS614" s="7"/>
      <c r="BT614" s="7"/>
      <c r="BU614" s="2" t="s">
        <v>238</v>
      </c>
      <c r="BV614" s="2" t="s">
        <v>228</v>
      </c>
      <c r="BW614" s="2" t="s">
        <v>228</v>
      </c>
      <c r="BX614" s="2" t="s">
        <v>238</v>
      </c>
      <c r="BY614" s="2" t="s">
        <v>239</v>
      </c>
      <c r="BZ614" s="2" t="s">
        <v>240</v>
      </c>
      <c r="CA614" s="2" t="s">
        <v>228</v>
      </c>
      <c r="CB614" s="2" t="s">
        <v>228</v>
      </c>
      <c r="CC614" s="2" t="s">
        <v>241</v>
      </c>
      <c r="CD614" s="2" t="s">
        <v>228</v>
      </c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>
        <v>160</v>
      </c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>
        <v>150</v>
      </c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</row>
    <row r="615">
      <c r="A615" s="2" t="s">
        <v>3778</v>
      </c>
      <c r="B615" s="2" t="s">
        <v>299</v>
      </c>
      <c r="C615" s="2" t="s">
        <v>849</v>
      </c>
      <c r="D615" s="2" t="s">
        <v>301</v>
      </c>
      <c r="E615" s="2" t="s">
        <v>302</v>
      </c>
      <c r="F615" s="2" t="s">
        <v>3741</v>
      </c>
      <c r="G615" s="2" t="s">
        <v>3741</v>
      </c>
      <c r="H615" s="2" t="s">
        <v>3741</v>
      </c>
      <c r="I615" s="2" t="s">
        <v>3742</v>
      </c>
      <c r="J615" s="2" t="s">
        <v>294</v>
      </c>
      <c r="K615" s="2" t="s">
        <v>249</v>
      </c>
      <c r="L615" s="3">
        <v>26.95</v>
      </c>
      <c r="M615" s="3">
        <v>28.3</v>
      </c>
      <c r="N615" s="3">
        <v>54.99</v>
      </c>
      <c r="O615" s="2" t="s">
        <v>240</v>
      </c>
      <c r="P615" s="2" t="s">
        <v>233</v>
      </c>
      <c r="Q615" s="2" t="s">
        <v>234</v>
      </c>
      <c r="R615" s="2" t="s">
        <v>228</v>
      </c>
      <c r="S615" s="2" t="s">
        <v>3774</v>
      </c>
      <c r="T615" s="2" t="s">
        <v>3461</v>
      </c>
      <c r="U615" s="2" t="s">
        <v>308</v>
      </c>
      <c r="V615" s="2" t="s">
        <v>236</v>
      </c>
      <c r="W615" s="2" t="s">
        <v>269</v>
      </c>
      <c r="X615" s="2" t="s">
        <v>228</v>
      </c>
      <c r="Y615" s="2" t="s">
        <v>228</v>
      </c>
      <c r="Z615" s="4"/>
      <c r="AA615" s="4">
        <f>=ROUNDDOWN({0},0)</f>
      </c>
      <c r="AB615" s="5"/>
      <c r="AC615" s="2" t="s">
        <v>3749</v>
      </c>
      <c r="AD615" s="4">
        <v>140</v>
      </c>
      <c r="AE615" s="4">
        <v>270</v>
      </c>
      <c r="AF615" s="6">
        <v>67</v>
      </c>
      <c r="AG615" s="6"/>
      <c r="AH615" s="7"/>
      <c r="AI615" s="4"/>
      <c r="AJ615" s="4">
        <f>=ROUNDDOWN({0},0)</f>
      </c>
      <c r="AK615" s="5"/>
      <c r="AL615" s="2" t="s">
        <v>228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228</v>
      </c>
      <c r="AW615" s="8" t="s">
        <v>228</v>
      </c>
      <c r="AX615" s="4" t="s">
        <v>228</v>
      </c>
      <c r="AY615" s="8" t="s">
        <v>228</v>
      </c>
      <c r="AZ615" s="7" t="s">
        <v>228</v>
      </c>
      <c r="BA615" s="7" t="s">
        <v>228</v>
      </c>
      <c r="BB615" s="7"/>
      <c r="BC615" s="4" t="s">
        <v>228</v>
      </c>
      <c r="BD615" s="8" t="s">
        <v>228</v>
      </c>
      <c r="BE615" s="4" t="s">
        <v>228</v>
      </c>
      <c r="BF615" s="8" t="s">
        <v>228</v>
      </c>
      <c r="BG615" s="7" t="s">
        <v>228</v>
      </c>
      <c r="BH615" s="7" t="s">
        <v>228</v>
      </c>
      <c r="BI615" s="7"/>
      <c r="BJ615" s="4"/>
      <c r="BK615" s="8"/>
      <c r="BL615" s="2" t="s">
        <v>228</v>
      </c>
      <c r="BM615" s="7"/>
      <c r="BN615" s="7"/>
      <c r="BO615" s="4"/>
      <c r="BP615" s="8"/>
      <c r="BQ615" s="4"/>
      <c r="BR615" s="8"/>
      <c r="BS615" s="7"/>
      <c r="BT615" s="7"/>
      <c r="BU615" s="2" t="s">
        <v>238</v>
      </c>
      <c r="BV615" s="2" t="s">
        <v>228</v>
      </c>
      <c r="BW615" s="2" t="s">
        <v>228</v>
      </c>
      <c r="BX615" s="2" t="s">
        <v>238</v>
      </c>
      <c r="BY615" s="2" t="s">
        <v>239</v>
      </c>
      <c r="BZ615" s="2" t="s">
        <v>240</v>
      </c>
      <c r="CA615" s="2" t="s">
        <v>228</v>
      </c>
      <c r="CB615" s="2" t="s">
        <v>228</v>
      </c>
      <c r="CC615" s="2" t="s">
        <v>241</v>
      </c>
      <c r="CD615" s="2" t="s">
        <v>228</v>
      </c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>
        <v>140</v>
      </c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>
        <v>130</v>
      </c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</row>
    <row r="616">
      <c r="A616" s="2" t="s">
        <v>3779</v>
      </c>
      <c r="B616" s="2" t="s">
        <v>299</v>
      </c>
      <c r="C616" s="2" t="s">
        <v>849</v>
      </c>
      <c r="D616" s="2" t="s">
        <v>301</v>
      </c>
      <c r="E616" s="2" t="s">
        <v>302</v>
      </c>
      <c r="F616" s="2" t="s">
        <v>3741</v>
      </c>
      <c r="G616" s="2" t="s">
        <v>3741</v>
      </c>
      <c r="H616" s="2" t="s">
        <v>3741</v>
      </c>
      <c r="I616" s="2" t="s">
        <v>3742</v>
      </c>
      <c r="J616" s="2" t="s">
        <v>278</v>
      </c>
      <c r="K616" s="2" t="s">
        <v>614</v>
      </c>
      <c r="L616" s="3">
        <v>20.16</v>
      </c>
      <c r="M616" s="3">
        <v>21.17</v>
      </c>
      <c r="N616" s="3">
        <v>41.99</v>
      </c>
      <c r="O616" s="2" t="s">
        <v>240</v>
      </c>
      <c r="P616" s="2" t="s">
        <v>266</v>
      </c>
      <c r="Q616" s="2" t="s">
        <v>234</v>
      </c>
      <c r="R616" s="2" t="s">
        <v>228</v>
      </c>
      <c r="S616" s="2" t="s">
        <v>3780</v>
      </c>
      <c r="T616" s="2" t="s">
        <v>3461</v>
      </c>
      <c r="U616" s="2" t="s">
        <v>500</v>
      </c>
      <c r="V616" s="2" t="s">
        <v>236</v>
      </c>
      <c r="W616" s="2" t="s">
        <v>269</v>
      </c>
      <c r="X616" s="2" t="s">
        <v>228</v>
      </c>
      <c r="Y616" s="2" t="s">
        <v>270</v>
      </c>
      <c r="Z616" s="4">
        <v>318</v>
      </c>
      <c r="AA616" s="4">
        <f>=ROUNDDOWN(35.3333333333333,0)</f>
      </c>
      <c r="AB616" s="5">
        <v>9</v>
      </c>
      <c r="AC616" s="2" t="s">
        <v>2305</v>
      </c>
      <c r="AD616" s="4">
        <v>50</v>
      </c>
      <c r="AE616" s="4">
        <v>200</v>
      </c>
      <c r="AF616" s="6">
        <v>67</v>
      </c>
      <c r="AG616" s="6"/>
      <c r="AH616" s="7">
        <v>1</v>
      </c>
      <c r="AI616" s="4"/>
      <c r="AJ616" s="4">
        <f>=ROUNDDOWN({0},0)</f>
      </c>
      <c r="AK616" s="5"/>
      <c r="AL616" s="2" t="s">
        <v>228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 t="s">
        <v>228</v>
      </c>
      <c r="BD616" s="8" t="s">
        <v>228</v>
      </c>
      <c r="BE616" s="4" t="s">
        <v>228</v>
      </c>
      <c r="BF616" s="8" t="s">
        <v>228</v>
      </c>
      <c r="BG616" s="7" t="s">
        <v>228</v>
      </c>
      <c r="BH616" s="7" t="s">
        <v>228</v>
      </c>
      <c r="BI616" s="7"/>
      <c r="BJ616" s="4">
        <v>118</v>
      </c>
      <c r="BK616" s="8">
        <v>2516.2</v>
      </c>
      <c r="BL616" s="2" t="s">
        <v>3763</v>
      </c>
      <c r="BM616" s="7"/>
      <c r="BN616" s="7"/>
      <c r="BO616" s="4"/>
      <c r="BP616" s="8"/>
      <c r="BQ616" s="4"/>
      <c r="BR616" s="8"/>
      <c r="BS616" s="7"/>
      <c r="BT616" s="7"/>
      <c r="BU616" s="2" t="s">
        <v>3781</v>
      </c>
      <c r="BV616" s="2" t="s">
        <v>228</v>
      </c>
      <c r="BW616" s="2" t="s">
        <v>228</v>
      </c>
      <c r="BX616" s="2" t="s">
        <v>273</v>
      </c>
      <c r="BY616" s="2" t="s">
        <v>274</v>
      </c>
      <c r="BZ616" s="2" t="s">
        <v>240</v>
      </c>
      <c r="CA616" s="2" t="s">
        <v>275</v>
      </c>
      <c r="CB616" s="2" t="s">
        <v>1140</v>
      </c>
      <c r="CC616" s="2" t="s">
        <v>241</v>
      </c>
      <c r="CD616" s="2" t="s">
        <v>228</v>
      </c>
      <c r="CE616" s="4">
        <v>318</v>
      </c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>
        <v>50</v>
      </c>
      <c r="DT616" s="4"/>
      <c r="DU616" s="4"/>
      <c r="DV616" s="4"/>
      <c r="DW616" s="4">
        <v>150</v>
      </c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</row>
    <row r="617">
      <c r="A617" s="2" t="s">
        <v>3782</v>
      </c>
      <c r="B617" s="2" t="s">
        <v>299</v>
      </c>
      <c r="C617" s="2" t="s">
        <v>849</v>
      </c>
      <c r="D617" s="2" t="s">
        <v>301</v>
      </c>
      <c r="E617" s="2" t="s">
        <v>302</v>
      </c>
      <c r="F617" s="2" t="s">
        <v>3741</v>
      </c>
      <c r="G617" s="2" t="s">
        <v>3741</v>
      </c>
      <c r="H617" s="2" t="s">
        <v>3741</v>
      </c>
      <c r="I617" s="2" t="s">
        <v>3742</v>
      </c>
      <c r="J617" s="2" t="s">
        <v>264</v>
      </c>
      <c r="K617" s="2" t="s">
        <v>650</v>
      </c>
      <c r="L617" s="3">
        <v>18.8</v>
      </c>
      <c r="M617" s="3">
        <v>19.74</v>
      </c>
      <c r="N617" s="3">
        <v>39.99</v>
      </c>
      <c r="O617" s="2" t="s">
        <v>240</v>
      </c>
      <c r="P617" s="2" t="s">
        <v>266</v>
      </c>
      <c r="Q617" s="2" t="s">
        <v>234</v>
      </c>
      <c r="R617" s="2" t="s">
        <v>228</v>
      </c>
      <c r="S617" s="2" t="s">
        <v>3783</v>
      </c>
      <c r="T617" s="2" t="s">
        <v>3461</v>
      </c>
      <c r="U617" s="2" t="s">
        <v>500</v>
      </c>
      <c r="V617" s="2" t="s">
        <v>236</v>
      </c>
      <c r="W617" s="2" t="s">
        <v>269</v>
      </c>
      <c r="X617" s="2" t="s">
        <v>228</v>
      </c>
      <c r="Y617" s="2" t="s">
        <v>3784</v>
      </c>
      <c r="Z617" s="4">
        <v>69</v>
      </c>
      <c r="AA617" s="4">
        <f>=ROUNDDOWN(3.13636363636364,0)</f>
      </c>
      <c r="AB617" s="5">
        <v>22</v>
      </c>
      <c r="AC617" s="2" t="s">
        <v>2305</v>
      </c>
      <c r="AD617" s="4">
        <v>70</v>
      </c>
      <c r="AE617" s="4">
        <v>740</v>
      </c>
      <c r="AF617" s="6">
        <v>67</v>
      </c>
      <c r="AG617" s="6"/>
      <c r="AH617" s="7">
        <v>0.9677</v>
      </c>
      <c r="AI617" s="4"/>
      <c r="AJ617" s="4">
        <f>=ROUNDDOWN({0},0)</f>
      </c>
      <c r="AK617" s="5"/>
      <c r="AL617" s="2" t="s">
        <v>228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228</v>
      </c>
      <c r="AW617" s="8" t="s">
        <v>228</v>
      </c>
      <c r="AX617" s="4" t="s">
        <v>228</v>
      </c>
      <c r="AY617" s="8" t="s">
        <v>228</v>
      </c>
      <c r="AZ617" s="7" t="s">
        <v>228</v>
      </c>
      <c r="BA617" s="7" t="s">
        <v>228</v>
      </c>
      <c r="BB617" s="7"/>
      <c r="BC617" s="4" t="s">
        <v>228</v>
      </c>
      <c r="BD617" s="8" t="s">
        <v>228</v>
      </c>
      <c r="BE617" s="4" t="s">
        <v>228</v>
      </c>
      <c r="BF617" s="8" t="s">
        <v>228</v>
      </c>
      <c r="BG617" s="7" t="s">
        <v>228</v>
      </c>
      <c r="BH617" s="7" t="s">
        <v>228</v>
      </c>
      <c r="BI617" s="7"/>
      <c r="BJ617" s="4">
        <v>82</v>
      </c>
      <c r="BK617" s="8">
        <v>1618.33</v>
      </c>
      <c r="BL617" s="2" t="s">
        <v>1192</v>
      </c>
      <c r="BM617" s="7"/>
      <c r="BN617" s="7"/>
      <c r="BO617" s="4"/>
      <c r="BP617" s="8"/>
      <c r="BQ617" s="4"/>
      <c r="BR617" s="8"/>
      <c r="BS617" s="7"/>
      <c r="BT617" s="7"/>
      <c r="BU617" s="2" t="s">
        <v>3785</v>
      </c>
      <c r="BV617" s="2" t="s">
        <v>228</v>
      </c>
      <c r="BW617" s="2" t="s">
        <v>228</v>
      </c>
      <c r="BX617" s="2" t="s">
        <v>273</v>
      </c>
      <c r="BY617" s="2" t="s">
        <v>274</v>
      </c>
      <c r="BZ617" s="2" t="s">
        <v>240</v>
      </c>
      <c r="CA617" s="2" t="s">
        <v>3786</v>
      </c>
      <c r="CB617" s="2" t="s">
        <v>3787</v>
      </c>
      <c r="CC617" s="2" t="s">
        <v>241</v>
      </c>
      <c r="CD617" s="2" t="s">
        <v>228</v>
      </c>
      <c r="CE617" s="4">
        <v>69</v>
      </c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>
        <v>70</v>
      </c>
      <c r="DT617" s="4"/>
      <c r="DU617" s="4"/>
      <c r="DV617" s="4"/>
      <c r="DW617" s="4">
        <v>80</v>
      </c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>
        <v>60</v>
      </c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>
        <v>350</v>
      </c>
      <c r="GX617" s="4"/>
      <c r="GY617" s="4"/>
      <c r="GZ617" s="4"/>
      <c r="HA617" s="4"/>
      <c r="HB617" s="4"/>
      <c r="HC617" s="4"/>
      <c r="HD617" s="4"/>
      <c r="HE617" s="4">
        <v>180</v>
      </c>
    </row>
    <row r="618">
      <c r="A618" s="2" t="s">
        <v>3788</v>
      </c>
      <c r="B618" s="2" t="s">
        <v>299</v>
      </c>
      <c r="C618" s="2" t="s">
        <v>849</v>
      </c>
      <c r="D618" s="2" t="s">
        <v>301</v>
      </c>
      <c r="E618" s="2" t="s">
        <v>302</v>
      </c>
      <c r="F618" s="2" t="s">
        <v>3741</v>
      </c>
      <c r="G618" s="2" t="s">
        <v>3741</v>
      </c>
      <c r="H618" s="2" t="s">
        <v>3741</v>
      </c>
      <c r="I618" s="2" t="s">
        <v>3742</v>
      </c>
      <c r="J618" s="2" t="s">
        <v>284</v>
      </c>
      <c r="K618" s="2" t="s">
        <v>650</v>
      </c>
      <c r="L618" s="3">
        <v>21.6</v>
      </c>
      <c r="M618" s="3">
        <v>22.68</v>
      </c>
      <c r="N618" s="3">
        <v>44.99</v>
      </c>
      <c r="O618" s="2" t="s">
        <v>240</v>
      </c>
      <c r="P618" s="2" t="s">
        <v>266</v>
      </c>
      <c r="Q618" s="2" t="s">
        <v>234</v>
      </c>
      <c r="R618" s="2" t="s">
        <v>228</v>
      </c>
      <c r="S618" s="2" t="s">
        <v>3783</v>
      </c>
      <c r="T618" s="2" t="s">
        <v>3461</v>
      </c>
      <c r="U618" s="2" t="s">
        <v>308</v>
      </c>
      <c r="V618" s="2" t="s">
        <v>236</v>
      </c>
      <c r="W618" s="2" t="s">
        <v>269</v>
      </c>
      <c r="X618" s="2" t="s">
        <v>228</v>
      </c>
      <c r="Y618" s="2" t="s">
        <v>3784</v>
      </c>
      <c r="Z618" s="4">
        <v>72</v>
      </c>
      <c r="AA618" s="4">
        <f>=ROUNDDOWN(4.23529411764706,0)</f>
      </c>
      <c r="AB618" s="5">
        <v>17</v>
      </c>
      <c r="AC618" s="2" t="s">
        <v>2305</v>
      </c>
      <c r="AD618" s="4">
        <v>90</v>
      </c>
      <c r="AE618" s="4">
        <v>630</v>
      </c>
      <c r="AF618" s="6">
        <v>67</v>
      </c>
      <c r="AG618" s="6"/>
      <c r="AH618" s="7">
        <v>1</v>
      </c>
      <c r="AI618" s="4"/>
      <c r="AJ618" s="4">
        <f>=ROUNDDOWN({0},0)</f>
      </c>
      <c r="AK618" s="5"/>
      <c r="AL618" s="2" t="s">
        <v>228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228</v>
      </c>
      <c r="AW618" s="8" t="s">
        <v>228</v>
      </c>
      <c r="AX618" s="4" t="s">
        <v>228</v>
      </c>
      <c r="AY618" s="8" t="s">
        <v>228</v>
      </c>
      <c r="AZ618" s="7" t="s">
        <v>228</v>
      </c>
      <c r="BA618" s="7" t="s">
        <v>228</v>
      </c>
      <c r="BB618" s="7"/>
      <c r="BC618" s="4" t="s">
        <v>228</v>
      </c>
      <c r="BD618" s="8" t="s">
        <v>228</v>
      </c>
      <c r="BE618" s="4" t="s">
        <v>228</v>
      </c>
      <c r="BF618" s="8" t="s">
        <v>228</v>
      </c>
      <c r="BG618" s="7" t="s">
        <v>228</v>
      </c>
      <c r="BH618" s="7" t="s">
        <v>228</v>
      </c>
      <c r="BI618" s="7"/>
      <c r="BJ618" s="4">
        <v>82</v>
      </c>
      <c r="BK618" s="8">
        <v>1872.57</v>
      </c>
      <c r="BL618" s="2" t="s">
        <v>1391</v>
      </c>
      <c r="BM618" s="7"/>
      <c r="BN618" s="7"/>
      <c r="BO618" s="4"/>
      <c r="BP618" s="8"/>
      <c r="BQ618" s="4"/>
      <c r="BR618" s="8"/>
      <c r="BS618" s="7"/>
      <c r="BT618" s="7"/>
      <c r="BU618" s="2" t="s">
        <v>3789</v>
      </c>
      <c r="BV618" s="2" t="s">
        <v>228</v>
      </c>
      <c r="BW618" s="2" t="s">
        <v>228</v>
      </c>
      <c r="BX618" s="2" t="s">
        <v>273</v>
      </c>
      <c r="BY618" s="2" t="s">
        <v>274</v>
      </c>
      <c r="BZ618" s="2" t="s">
        <v>240</v>
      </c>
      <c r="CA618" s="2" t="s">
        <v>3786</v>
      </c>
      <c r="CB618" s="2" t="s">
        <v>3790</v>
      </c>
      <c r="CC618" s="2" t="s">
        <v>241</v>
      </c>
      <c r="CD618" s="2" t="s">
        <v>228</v>
      </c>
      <c r="CE618" s="4">
        <v>72</v>
      </c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>
        <v>90</v>
      </c>
      <c r="DT618" s="4"/>
      <c r="DU618" s="4"/>
      <c r="DV618" s="4"/>
      <c r="DW618" s="4">
        <v>50</v>
      </c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>
        <v>140</v>
      </c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>
        <v>250</v>
      </c>
      <c r="GX618" s="4"/>
      <c r="GY618" s="4"/>
      <c r="GZ618" s="4"/>
      <c r="HA618" s="4"/>
      <c r="HB618" s="4"/>
      <c r="HC618" s="4"/>
      <c r="HD618" s="4"/>
      <c r="HE618" s="4">
        <v>100</v>
      </c>
    </row>
    <row r="619">
      <c r="A619" s="2" t="s">
        <v>3791</v>
      </c>
      <c r="B619" s="2" t="s">
        <v>299</v>
      </c>
      <c r="C619" s="2" t="s">
        <v>849</v>
      </c>
      <c r="D619" s="2" t="s">
        <v>301</v>
      </c>
      <c r="E619" s="2" t="s">
        <v>302</v>
      </c>
      <c r="F619" s="2" t="s">
        <v>3741</v>
      </c>
      <c r="G619" s="2" t="s">
        <v>3741</v>
      </c>
      <c r="H619" s="2" t="s">
        <v>3741</v>
      </c>
      <c r="I619" s="2" t="s">
        <v>3742</v>
      </c>
      <c r="J619" s="2" t="s">
        <v>294</v>
      </c>
      <c r="K619" s="2" t="s">
        <v>650</v>
      </c>
      <c r="L619" s="3">
        <v>26.95</v>
      </c>
      <c r="M619" s="3">
        <v>28.3</v>
      </c>
      <c r="N619" s="3">
        <v>54.99</v>
      </c>
      <c r="O619" s="2" t="s">
        <v>240</v>
      </c>
      <c r="P619" s="2" t="s">
        <v>266</v>
      </c>
      <c r="Q619" s="2" t="s">
        <v>234</v>
      </c>
      <c r="R619" s="2" t="s">
        <v>228</v>
      </c>
      <c r="S619" s="2" t="s">
        <v>3783</v>
      </c>
      <c r="T619" s="2" t="s">
        <v>3461</v>
      </c>
      <c r="U619" s="2" t="s">
        <v>308</v>
      </c>
      <c r="V619" s="2" t="s">
        <v>236</v>
      </c>
      <c r="W619" s="2" t="s">
        <v>269</v>
      </c>
      <c r="X619" s="2" t="s">
        <v>228</v>
      </c>
      <c r="Y619" s="2" t="s">
        <v>1055</v>
      </c>
      <c r="Z619" s="4">
        <v>327</v>
      </c>
      <c r="AA619" s="4">
        <f>=ROUNDDOWN(20.4375,0)</f>
      </c>
      <c r="AB619" s="5">
        <v>16</v>
      </c>
      <c r="AC619" s="2" t="s">
        <v>3792</v>
      </c>
      <c r="AD619" s="4">
        <v>30</v>
      </c>
      <c r="AE619" s="4">
        <v>330</v>
      </c>
      <c r="AF619" s="6">
        <v>67</v>
      </c>
      <c r="AG619" s="6"/>
      <c r="AH619" s="7">
        <v>1</v>
      </c>
      <c r="AI619" s="4"/>
      <c r="AJ619" s="4">
        <f>=ROUNDDOWN({0},0)</f>
      </c>
      <c r="AK619" s="5"/>
      <c r="AL619" s="2" t="s">
        <v>228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 t="s">
        <v>228</v>
      </c>
      <c r="AW619" s="8" t="s">
        <v>228</v>
      </c>
      <c r="AX619" s="4" t="s">
        <v>228</v>
      </c>
      <c r="AY619" s="8" t="s">
        <v>228</v>
      </c>
      <c r="AZ619" s="7" t="s">
        <v>228</v>
      </c>
      <c r="BA619" s="7" t="s">
        <v>228</v>
      </c>
      <c r="BB619" s="7"/>
      <c r="BC619" s="4" t="s">
        <v>228</v>
      </c>
      <c r="BD619" s="8" t="s">
        <v>228</v>
      </c>
      <c r="BE619" s="4" t="s">
        <v>228</v>
      </c>
      <c r="BF619" s="8" t="s">
        <v>228</v>
      </c>
      <c r="BG619" s="7" t="s">
        <v>228</v>
      </c>
      <c r="BH619" s="7" t="s">
        <v>228</v>
      </c>
      <c r="BI619" s="7"/>
      <c r="BJ619" s="4">
        <v>59</v>
      </c>
      <c r="BK619" s="8">
        <v>1727.9</v>
      </c>
      <c r="BL619" s="2" t="s">
        <v>3793</v>
      </c>
      <c r="BM619" s="7"/>
      <c r="BN619" s="7"/>
      <c r="BO619" s="4"/>
      <c r="BP619" s="8"/>
      <c r="BQ619" s="4"/>
      <c r="BR619" s="8"/>
      <c r="BS619" s="7"/>
      <c r="BT619" s="7"/>
      <c r="BU619" s="2" t="s">
        <v>3794</v>
      </c>
      <c r="BV619" s="2" t="s">
        <v>228</v>
      </c>
      <c r="BW619" s="2" t="s">
        <v>228</v>
      </c>
      <c r="BX619" s="2" t="s">
        <v>273</v>
      </c>
      <c r="BY619" s="2" t="s">
        <v>274</v>
      </c>
      <c r="BZ619" s="2" t="s">
        <v>240</v>
      </c>
      <c r="CA619" s="2" t="s">
        <v>3786</v>
      </c>
      <c r="CB619" s="2" t="s">
        <v>3795</v>
      </c>
      <c r="CC619" s="2" t="s">
        <v>241</v>
      </c>
      <c r="CD619" s="2" t="s">
        <v>228</v>
      </c>
      <c r="CE619" s="4">
        <v>327</v>
      </c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>
        <v>30</v>
      </c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>
        <v>70</v>
      </c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>
        <v>150</v>
      </c>
      <c r="GX619" s="4"/>
      <c r="GY619" s="4"/>
      <c r="GZ619" s="4"/>
      <c r="HA619" s="4"/>
      <c r="HB619" s="4"/>
      <c r="HC619" s="4"/>
      <c r="HD619" s="4"/>
      <c r="HE619" s="4">
        <v>80</v>
      </c>
    </row>
    <row r="620">
      <c r="A620" s="2" t="s">
        <v>3796</v>
      </c>
      <c r="B620" s="2" t="s">
        <v>299</v>
      </c>
      <c r="C620" s="2" t="s">
        <v>849</v>
      </c>
      <c r="D620" s="2" t="s">
        <v>301</v>
      </c>
      <c r="E620" s="2" t="s">
        <v>302</v>
      </c>
      <c r="F620" s="2" t="s">
        <v>3741</v>
      </c>
      <c r="G620" s="2" t="s">
        <v>3741</v>
      </c>
      <c r="H620" s="2" t="s">
        <v>3741</v>
      </c>
      <c r="I620" s="2" t="s">
        <v>3742</v>
      </c>
      <c r="J620" s="2" t="s">
        <v>264</v>
      </c>
      <c r="K620" s="2" t="s">
        <v>316</v>
      </c>
      <c r="L620" s="3">
        <v>18.8</v>
      </c>
      <c r="M620" s="3">
        <v>19.74</v>
      </c>
      <c r="N620" s="3">
        <v>39.99</v>
      </c>
      <c r="O620" s="2" t="s">
        <v>240</v>
      </c>
      <c r="P620" s="2" t="s">
        <v>266</v>
      </c>
      <c r="Q620" s="2" t="s">
        <v>234</v>
      </c>
      <c r="R620" s="2" t="s">
        <v>228</v>
      </c>
      <c r="S620" s="2" t="s">
        <v>3797</v>
      </c>
      <c r="T620" s="2" t="s">
        <v>3461</v>
      </c>
      <c r="U620" s="2" t="s">
        <v>500</v>
      </c>
      <c r="V620" s="2" t="s">
        <v>236</v>
      </c>
      <c r="W620" s="2" t="s">
        <v>269</v>
      </c>
      <c r="X620" s="2" t="s">
        <v>228</v>
      </c>
      <c r="Y620" s="2" t="s">
        <v>270</v>
      </c>
      <c r="Z620" s="4">
        <v>47</v>
      </c>
      <c r="AA620" s="4">
        <f>=ROUNDDOWN(2.47368421052632,0)</f>
      </c>
      <c r="AB620" s="5">
        <v>19</v>
      </c>
      <c r="AC620" s="2" t="s">
        <v>2305</v>
      </c>
      <c r="AD620" s="4">
        <v>120</v>
      </c>
      <c r="AE620" s="4">
        <v>940</v>
      </c>
      <c r="AF620" s="6">
        <v>67</v>
      </c>
      <c r="AG620" s="6"/>
      <c r="AH620" s="7">
        <v>1</v>
      </c>
      <c r="AI620" s="4"/>
      <c r="AJ620" s="4">
        <f>=ROUNDDOWN({0},0)</f>
      </c>
      <c r="AK620" s="5"/>
      <c r="AL620" s="2" t="s">
        <v>228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228</v>
      </c>
      <c r="AW620" s="8" t="s">
        <v>228</v>
      </c>
      <c r="AX620" s="4" t="s">
        <v>228</v>
      </c>
      <c r="AY620" s="8" t="s">
        <v>228</v>
      </c>
      <c r="AZ620" s="7" t="s">
        <v>228</v>
      </c>
      <c r="BA620" s="7" t="s">
        <v>228</v>
      </c>
      <c r="BB620" s="7"/>
      <c r="BC620" s="4" t="s">
        <v>228</v>
      </c>
      <c r="BD620" s="8" t="s">
        <v>228</v>
      </c>
      <c r="BE620" s="4" t="s">
        <v>228</v>
      </c>
      <c r="BF620" s="8" t="s">
        <v>228</v>
      </c>
      <c r="BG620" s="7" t="s">
        <v>228</v>
      </c>
      <c r="BH620" s="7" t="s">
        <v>228</v>
      </c>
      <c r="BI620" s="7"/>
      <c r="BJ620" s="4">
        <v>64</v>
      </c>
      <c r="BK620" s="8">
        <v>1328.58</v>
      </c>
      <c r="BL620" s="2" t="s">
        <v>3798</v>
      </c>
      <c r="BM620" s="7"/>
      <c r="BN620" s="7"/>
      <c r="BO620" s="4"/>
      <c r="BP620" s="8"/>
      <c r="BQ620" s="4"/>
      <c r="BR620" s="8"/>
      <c r="BS620" s="7"/>
      <c r="BT620" s="7"/>
      <c r="BU620" s="2" t="s">
        <v>3799</v>
      </c>
      <c r="BV620" s="2" t="s">
        <v>228</v>
      </c>
      <c r="BW620" s="2" t="s">
        <v>228</v>
      </c>
      <c r="BX620" s="2" t="s">
        <v>273</v>
      </c>
      <c r="BY620" s="2" t="s">
        <v>274</v>
      </c>
      <c r="BZ620" s="2" t="s">
        <v>240</v>
      </c>
      <c r="CA620" s="2" t="s">
        <v>275</v>
      </c>
      <c r="CB620" s="2" t="s">
        <v>3800</v>
      </c>
      <c r="CC620" s="2" t="s">
        <v>241</v>
      </c>
      <c r="CD620" s="2" t="s">
        <v>228</v>
      </c>
      <c r="CE620" s="4">
        <v>47</v>
      </c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>
        <v>120</v>
      </c>
      <c r="DT620" s="4"/>
      <c r="DU620" s="4"/>
      <c r="DV620" s="4"/>
      <c r="DW620" s="4">
        <v>140</v>
      </c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>
        <v>140</v>
      </c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>
        <v>60</v>
      </c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>
        <v>20</v>
      </c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>
        <v>200</v>
      </c>
      <c r="GX620" s="4"/>
      <c r="GY620" s="4"/>
      <c r="GZ620" s="4"/>
      <c r="HA620" s="4"/>
      <c r="HB620" s="4"/>
      <c r="HC620" s="4"/>
      <c r="HD620" s="4"/>
      <c r="HE620" s="4">
        <v>260</v>
      </c>
    </row>
    <row r="621">
      <c r="A621" s="2" t="s">
        <v>3801</v>
      </c>
      <c r="B621" s="2" t="s">
        <v>299</v>
      </c>
      <c r="C621" s="2" t="s">
        <v>849</v>
      </c>
      <c r="D621" s="2" t="s">
        <v>301</v>
      </c>
      <c r="E621" s="2" t="s">
        <v>302</v>
      </c>
      <c r="F621" s="2" t="s">
        <v>3741</v>
      </c>
      <c r="G621" s="2" t="s">
        <v>3741</v>
      </c>
      <c r="H621" s="2" t="s">
        <v>3741</v>
      </c>
      <c r="I621" s="2" t="s">
        <v>3742</v>
      </c>
      <c r="J621" s="2" t="s">
        <v>284</v>
      </c>
      <c r="K621" s="2" t="s">
        <v>316</v>
      </c>
      <c r="L621" s="3">
        <v>21.6</v>
      </c>
      <c r="M621" s="3">
        <v>22.68</v>
      </c>
      <c r="N621" s="3">
        <v>44.99</v>
      </c>
      <c r="O621" s="2" t="s">
        <v>240</v>
      </c>
      <c r="P621" s="2" t="s">
        <v>266</v>
      </c>
      <c r="Q621" s="2" t="s">
        <v>234</v>
      </c>
      <c r="R621" s="2" t="s">
        <v>228</v>
      </c>
      <c r="S621" s="2" t="s">
        <v>3797</v>
      </c>
      <c r="T621" s="2" t="s">
        <v>3461</v>
      </c>
      <c r="U621" s="2" t="s">
        <v>308</v>
      </c>
      <c r="V621" s="2" t="s">
        <v>236</v>
      </c>
      <c r="W621" s="2" t="s">
        <v>269</v>
      </c>
      <c r="X621" s="2" t="s">
        <v>228</v>
      </c>
      <c r="Y621" s="2" t="s">
        <v>270</v>
      </c>
      <c r="Z621" s="4">
        <v>81</v>
      </c>
      <c r="AA621" s="4">
        <f>=ROUNDDOWN(11.4084507042254,0)</f>
      </c>
      <c r="AB621" s="5">
        <v>7.1</v>
      </c>
      <c r="AC621" s="2" t="s">
        <v>2305</v>
      </c>
      <c r="AD621" s="4">
        <v>80</v>
      </c>
      <c r="AE621" s="4">
        <v>570</v>
      </c>
      <c r="AF621" s="6">
        <v>67</v>
      </c>
      <c r="AG621" s="6"/>
      <c r="AH621" s="7">
        <v>1</v>
      </c>
      <c r="AI621" s="4"/>
      <c r="AJ621" s="4">
        <f>=ROUNDDOWN({0},0)</f>
      </c>
      <c r="AK621" s="5"/>
      <c r="AL621" s="2" t="s">
        <v>228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228</v>
      </c>
      <c r="AW621" s="8" t="s">
        <v>228</v>
      </c>
      <c r="AX621" s="4" t="s">
        <v>228</v>
      </c>
      <c r="AY621" s="8" t="s">
        <v>228</v>
      </c>
      <c r="AZ621" s="7" t="s">
        <v>228</v>
      </c>
      <c r="BA621" s="7" t="s">
        <v>228</v>
      </c>
      <c r="BB621" s="7"/>
      <c r="BC621" s="4" t="s">
        <v>228</v>
      </c>
      <c r="BD621" s="8" t="s">
        <v>228</v>
      </c>
      <c r="BE621" s="4" t="s">
        <v>228</v>
      </c>
      <c r="BF621" s="8" t="s">
        <v>228</v>
      </c>
      <c r="BG621" s="7" t="s">
        <v>228</v>
      </c>
      <c r="BH621" s="7" t="s">
        <v>228</v>
      </c>
      <c r="BI621" s="7"/>
      <c r="BJ621" s="4">
        <v>36</v>
      </c>
      <c r="BK621" s="8">
        <v>831.42</v>
      </c>
      <c r="BL621" s="2" t="s">
        <v>3802</v>
      </c>
      <c r="BM621" s="7"/>
      <c r="BN621" s="7"/>
      <c r="BO621" s="4"/>
      <c r="BP621" s="8"/>
      <c r="BQ621" s="4"/>
      <c r="BR621" s="8"/>
      <c r="BS621" s="7"/>
      <c r="BT621" s="7"/>
      <c r="BU621" s="2" t="s">
        <v>3803</v>
      </c>
      <c r="BV621" s="2" t="s">
        <v>228</v>
      </c>
      <c r="BW621" s="2" t="s">
        <v>228</v>
      </c>
      <c r="BX621" s="2" t="s">
        <v>273</v>
      </c>
      <c r="BY621" s="2" t="s">
        <v>274</v>
      </c>
      <c r="BZ621" s="2" t="s">
        <v>240</v>
      </c>
      <c r="CA621" s="2" t="s">
        <v>275</v>
      </c>
      <c r="CB621" s="2" t="s">
        <v>3746</v>
      </c>
      <c r="CC621" s="2" t="s">
        <v>241</v>
      </c>
      <c r="CD621" s="2" t="s">
        <v>228</v>
      </c>
      <c r="CE621" s="4">
        <v>81</v>
      </c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>
        <v>80</v>
      </c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>
        <v>90</v>
      </c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>
        <v>60</v>
      </c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>
        <v>40</v>
      </c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>
        <v>200</v>
      </c>
      <c r="GX621" s="4"/>
      <c r="GY621" s="4"/>
      <c r="GZ621" s="4"/>
      <c r="HA621" s="4"/>
      <c r="HB621" s="4"/>
      <c r="HC621" s="4"/>
      <c r="HD621" s="4"/>
      <c r="HE621" s="4">
        <v>100</v>
      </c>
    </row>
    <row r="622">
      <c r="A622" s="2" t="s">
        <v>3804</v>
      </c>
      <c r="B622" s="2" t="s">
        <v>299</v>
      </c>
      <c r="C622" s="2" t="s">
        <v>849</v>
      </c>
      <c r="D622" s="2" t="s">
        <v>301</v>
      </c>
      <c r="E622" s="2" t="s">
        <v>302</v>
      </c>
      <c r="F622" s="2" t="s">
        <v>3741</v>
      </c>
      <c r="G622" s="2" t="s">
        <v>3741</v>
      </c>
      <c r="H622" s="2" t="s">
        <v>3741</v>
      </c>
      <c r="I622" s="2" t="s">
        <v>3742</v>
      </c>
      <c r="J622" s="2" t="s">
        <v>289</v>
      </c>
      <c r="K622" s="2" t="s">
        <v>316</v>
      </c>
      <c r="L622" s="3">
        <v>24.5</v>
      </c>
      <c r="M622" s="3">
        <v>25.72</v>
      </c>
      <c r="N622" s="3">
        <v>49.99</v>
      </c>
      <c r="O622" s="2" t="s">
        <v>240</v>
      </c>
      <c r="P622" s="2" t="s">
        <v>266</v>
      </c>
      <c r="Q622" s="2" t="s">
        <v>234</v>
      </c>
      <c r="R622" s="2" t="s">
        <v>228</v>
      </c>
      <c r="S622" s="2" t="s">
        <v>3797</v>
      </c>
      <c r="T622" s="2" t="s">
        <v>3461</v>
      </c>
      <c r="U622" s="2" t="s">
        <v>308</v>
      </c>
      <c r="V622" s="2" t="s">
        <v>236</v>
      </c>
      <c r="W622" s="2" t="s">
        <v>269</v>
      </c>
      <c r="X622" s="2" t="s">
        <v>228</v>
      </c>
      <c r="Y622" s="2" t="s">
        <v>270</v>
      </c>
      <c r="Z622" s="4">
        <v>152</v>
      </c>
      <c r="AA622" s="4">
        <f>=ROUNDDOWN(6.90909090909091,0)</f>
      </c>
      <c r="AB622" s="5">
        <v>22</v>
      </c>
      <c r="AC622" s="2" t="s">
        <v>2305</v>
      </c>
      <c r="AD622" s="4">
        <v>20</v>
      </c>
      <c r="AE622" s="4">
        <v>980</v>
      </c>
      <c r="AF622" s="6">
        <v>67</v>
      </c>
      <c r="AG622" s="6"/>
      <c r="AH622" s="7">
        <v>1</v>
      </c>
      <c r="AI622" s="4"/>
      <c r="AJ622" s="4">
        <f>=ROUNDDOWN({0},0)</f>
      </c>
      <c r="AK622" s="5"/>
      <c r="AL622" s="2" t="s">
        <v>228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228</v>
      </c>
      <c r="AW622" s="8" t="s">
        <v>228</v>
      </c>
      <c r="AX622" s="4" t="s">
        <v>228</v>
      </c>
      <c r="AY622" s="8" t="s">
        <v>228</v>
      </c>
      <c r="AZ622" s="7" t="s">
        <v>228</v>
      </c>
      <c r="BA622" s="7" t="s">
        <v>228</v>
      </c>
      <c r="BB622" s="7"/>
      <c r="BC622" s="4" t="s">
        <v>228</v>
      </c>
      <c r="BD622" s="8" t="s">
        <v>228</v>
      </c>
      <c r="BE622" s="4" t="s">
        <v>228</v>
      </c>
      <c r="BF622" s="8" t="s">
        <v>228</v>
      </c>
      <c r="BG622" s="7" t="s">
        <v>228</v>
      </c>
      <c r="BH622" s="7" t="s">
        <v>228</v>
      </c>
      <c r="BI622" s="7"/>
      <c r="BJ622" s="4">
        <v>106</v>
      </c>
      <c r="BK622" s="8">
        <v>2723.36</v>
      </c>
      <c r="BL622" s="2" t="s">
        <v>2763</v>
      </c>
      <c r="BM622" s="7"/>
      <c r="BN622" s="7"/>
      <c r="BO622" s="4"/>
      <c r="BP622" s="8"/>
      <c r="BQ622" s="4"/>
      <c r="BR622" s="8"/>
      <c r="BS622" s="7"/>
      <c r="BT622" s="7"/>
      <c r="BU622" s="2" t="s">
        <v>3805</v>
      </c>
      <c r="BV622" s="2" t="s">
        <v>228</v>
      </c>
      <c r="BW622" s="2" t="s">
        <v>228</v>
      </c>
      <c r="BX622" s="2" t="s">
        <v>273</v>
      </c>
      <c r="BY622" s="2" t="s">
        <v>274</v>
      </c>
      <c r="BZ622" s="2" t="s">
        <v>240</v>
      </c>
      <c r="CA622" s="2" t="s">
        <v>275</v>
      </c>
      <c r="CB622" s="2" t="s">
        <v>3772</v>
      </c>
      <c r="CC622" s="2" t="s">
        <v>241</v>
      </c>
      <c r="CD622" s="2" t="s">
        <v>228</v>
      </c>
      <c r="CE622" s="4">
        <v>152</v>
      </c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>
        <v>20</v>
      </c>
      <c r="DT622" s="4"/>
      <c r="DU622" s="4"/>
      <c r="DV622" s="4"/>
      <c r="DW622" s="4">
        <v>40</v>
      </c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>
        <v>120</v>
      </c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>
        <v>120</v>
      </c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>
        <v>60</v>
      </c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>
        <v>420</v>
      </c>
      <c r="GX622" s="4"/>
      <c r="GY622" s="4"/>
      <c r="GZ622" s="4"/>
      <c r="HA622" s="4"/>
      <c r="HB622" s="4"/>
      <c r="HC622" s="4"/>
      <c r="HD622" s="4"/>
      <c r="HE622" s="4">
        <v>200</v>
      </c>
    </row>
    <row r="623">
      <c r="A623" s="2" t="s">
        <v>3806</v>
      </c>
      <c r="B623" s="2" t="s">
        <v>299</v>
      </c>
      <c r="C623" s="2" t="s">
        <v>1261</v>
      </c>
      <c r="D623" s="2" t="s">
        <v>301</v>
      </c>
      <c r="E623" s="2" t="s">
        <v>302</v>
      </c>
      <c r="F623" s="2" t="s">
        <v>3807</v>
      </c>
      <c r="G623" s="2" t="s">
        <v>3807</v>
      </c>
      <c r="H623" s="2" t="s">
        <v>3807</v>
      </c>
      <c r="I623" s="2" t="s">
        <v>347</v>
      </c>
      <c r="J623" s="2" t="s">
        <v>264</v>
      </c>
      <c r="K623" s="2" t="s">
        <v>3808</v>
      </c>
      <c r="L623" s="3">
        <v>19.8</v>
      </c>
      <c r="M623" s="3">
        <v>20.79</v>
      </c>
      <c r="N623" s="3">
        <v>44.99</v>
      </c>
      <c r="O623" s="2" t="s">
        <v>240</v>
      </c>
      <c r="P623" s="2" t="s">
        <v>266</v>
      </c>
      <c r="Q623" s="2" t="s">
        <v>234</v>
      </c>
      <c r="R623" s="2" t="s">
        <v>228</v>
      </c>
      <c r="S623" s="2" t="s">
        <v>3809</v>
      </c>
      <c r="T623" s="2" t="s">
        <v>3810</v>
      </c>
      <c r="U623" s="2" t="s">
        <v>500</v>
      </c>
      <c r="V623" s="2" t="s">
        <v>3717</v>
      </c>
      <c r="W623" s="2" t="s">
        <v>1267</v>
      </c>
      <c r="X623" s="2" t="s">
        <v>269</v>
      </c>
      <c r="Y623" s="2" t="s">
        <v>3811</v>
      </c>
      <c r="Z623" s="4">
        <v>444</v>
      </c>
      <c r="AA623" s="4">
        <f>=ROUNDDOWN(49.3333333333333,0)</f>
      </c>
      <c r="AB623" s="5">
        <v>9</v>
      </c>
      <c r="AC623" s="2" t="s">
        <v>184</v>
      </c>
      <c r="AD623" s="4">
        <v>101</v>
      </c>
      <c r="AE623" s="4">
        <v>101</v>
      </c>
      <c r="AF623" s="6">
        <v>74</v>
      </c>
      <c r="AG623" s="6"/>
      <c r="AH623" s="7">
        <v>1</v>
      </c>
      <c r="AI623" s="4"/>
      <c r="AJ623" s="4">
        <f>=ROUNDDOWN({0},0)</f>
      </c>
      <c r="AK623" s="5"/>
      <c r="AL623" s="2" t="s">
        <v>228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228</v>
      </c>
      <c r="AW623" s="8" t="s">
        <v>228</v>
      </c>
      <c r="AX623" s="4" t="s">
        <v>228</v>
      </c>
      <c r="AY623" s="8" t="s">
        <v>228</v>
      </c>
      <c r="AZ623" s="7" t="s">
        <v>228</v>
      </c>
      <c r="BA623" s="7" t="s">
        <v>228</v>
      </c>
      <c r="BB623" s="7"/>
      <c r="BC623" s="4" t="s">
        <v>228</v>
      </c>
      <c r="BD623" s="8" t="s">
        <v>228</v>
      </c>
      <c r="BE623" s="4" t="s">
        <v>228</v>
      </c>
      <c r="BF623" s="8" t="s">
        <v>228</v>
      </c>
      <c r="BG623" s="7" t="s">
        <v>228</v>
      </c>
      <c r="BH623" s="7" t="s">
        <v>228</v>
      </c>
      <c r="BI623" s="7"/>
      <c r="BJ623" s="4">
        <v>1</v>
      </c>
      <c r="BK623" s="8">
        <v>20.13</v>
      </c>
      <c r="BL623" s="2" t="s">
        <v>622</v>
      </c>
      <c r="BM623" s="7"/>
      <c r="BN623" s="7"/>
      <c r="BO623" s="4"/>
      <c r="BP623" s="8"/>
      <c r="BQ623" s="4"/>
      <c r="BR623" s="8"/>
      <c r="BS623" s="7"/>
      <c r="BT623" s="7"/>
      <c r="BU623" s="2" t="s">
        <v>3812</v>
      </c>
      <c r="BV623" s="2" t="s">
        <v>228</v>
      </c>
      <c r="BW623" s="2" t="s">
        <v>228</v>
      </c>
      <c r="BX623" s="2" t="s">
        <v>3813</v>
      </c>
      <c r="BY623" s="2" t="s">
        <v>274</v>
      </c>
      <c r="BZ623" s="2" t="s">
        <v>240</v>
      </c>
      <c r="CA623" s="2" t="s">
        <v>486</v>
      </c>
      <c r="CB623" s="2" t="s">
        <v>719</v>
      </c>
      <c r="CC623" s="2" t="s">
        <v>241</v>
      </c>
      <c r="CD623" s="2" t="s">
        <v>228</v>
      </c>
      <c r="CE623" s="4">
        <v>444</v>
      </c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>
        <v>101</v>
      </c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</row>
    <row r="624">
      <c r="A624" s="2" t="s">
        <v>3814</v>
      </c>
      <c r="B624" s="2" t="s">
        <v>299</v>
      </c>
      <c r="C624" s="2" t="s">
        <v>1261</v>
      </c>
      <c r="D624" s="2" t="s">
        <v>301</v>
      </c>
      <c r="E624" s="2" t="s">
        <v>302</v>
      </c>
      <c r="F624" s="2" t="s">
        <v>3807</v>
      </c>
      <c r="G624" s="2" t="s">
        <v>3807</v>
      </c>
      <c r="H624" s="2" t="s">
        <v>3807</v>
      </c>
      <c r="I624" s="2" t="s">
        <v>347</v>
      </c>
      <c r="J624" s="2" t="s">
        <v>312</v>
      </c>
      <c r="K624" s="2" t="s">
        <v>3808</v>
      </c>
      <c r="L624" s="3">
        <v>28.98</v>
      </c>
      <c r="M624" s="3">
        <v>30.43</v>
      </c>
      <c r="N624" s="3">
        <v>64.99</v>
      </c>
      <c r="O624" s="2" t="s">
        <v>240</v>
      </c>
      <c r="P624" s="2" t="s">
        <v>266</v>
      </c>
      <c r="Q624" s="2" t="s">
        <v>234</v>
      </c>
      <c r="R624" s="2" t="s">
        <v>228</v>
      </c>
      <c r="S624" s="2" t="s">
        <v>3809</v>
      </c>
      <c r="T624" s="2" t="s">
        <v>3810</v>
      </c>
      <c r="U624" s="2" t="s">
        <v>308</v>
      </c>
      <c r="V624" s="2" t="s">
        <v>3717</v>
      </c>
      <c r="W624" s="2" t="s">
        <v>1267</v>
      </c>
      <c r="X624" s="2" t="s">
        <v>269</v>
      </c>
      <c r="Y624" s="2" t="s">
        <v>3811</v>
      </c>
      <c r="Z624" s="4">
        <v>162</v>
      </c>
      <c r="AA624" s="4">
        <f>=ROUNDDOWN(14.7272727272727,0)</f>
      </c>
      <c r="AB624" s="5">
        <v>11</v>
      </c>
      <c r="AC624" s="2" t="s">
        <v>3815</v>
      </c>
      <c r="AD624" s="4">
        <v>65</v>
      </c>
      <c r="AE624" s="4">
        <v>265</v>
      </c>
      <c r="AF624" s="6">
        <v>74</v>
      </c>
      <c r="AG624" s="6"/>
      <c r="AH624" s="7">
        <v>1</v>
      </c>
      <c r="AI624" s="4"/>
      <c r="AJ624" s="4">
        <f>=ROUNDDOWN({0},0)</f>
      </c>
      <c r="AK624" s="5"/>
      <c r="AL624" s="2" t="s">
        <v>228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228</v>
      </c>
      <c r="AW624" s="8" t="s">
        <v>228</v>
      </c>
      <c r="AX624" s="4" t="s">
        <v>228</v>
      </c>
      <c r="AY624" s="8" t="s">
        <v>228</v>
      </c>
      <c r="AZ624" s="7" t="s">
        <v>228</v>
      </c>
      <c r="BA624" s="7" t="s">
        <v>228</v>
      </c>
      <c r="BB624" s="7"/>
      <c r="BC624" s="4" t="s">
        <v>228</v>
      </c>
      <c r="BD624" s="8" t="s">
        <v>228</v>
      </c>
      <c r="BE624" s="4" t="s">
        <v>228</v>
      </c>
      <c r="BF624" s="8" t="s">
        <v>228</v>
      </c>
      <c r="BG624" s="7" t="s">
        <v>228</v>
      </c>
      <c r="BH624" s="7" t="s">
        <v>228</v>
      </c>
      <c r="BI624" s="7"/>
      <c r="BJ624" s="4">
        <v>20</v>
      </c>
      <c r="BK624" s="8">
        <v>671.57</v>
      </c>
      <c r="BL624" s="2" t="s">
        <v>3816</v>
      </c>
      <c r="BM624" s="7"/>
      <c r="BN624" s="7"/>
      <c r="BO624" s="4"/>
      <c r="BP624" s="8"/>
      <c r="BQ624" s="4"/>
      <c r="BR624" s="8"/>
      <c r="BS624" s="7"/>
      <c r="BT624" s="7"/>
      <c r="BU624" s="2" t="s">
        <v>3817</v>
      </c>
      <c r="BV624" s="2" t="s">
        <v>228</v>
      </c>
      <c r="BW624" s="2" t="s">
        <v>228</v>
      </c>
      <c r="BX624" s="2" t="s">
        <v>3813</v>
      </c>
      <c r="BY624" s="2" t="s">
        <v>274</v>
      </c>
      <c r="BZ624" s="2" t="s">
        <v>240</v>
      </c>
      <c r="CA624" s="2" t="s">
        <v>486</v>
      </c>
      <c r="CB624" s="2" t="s">
        <v>487</v>
      </c>
      <c r="CC624" s="2" t="s">
        <v>241</v>
      </c>
      <c r="CD624" s="2" t="s">
        <v>228</v>
      </c>
      <c r="CE624" s="4">
        <v>162</v>
      </c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>
        <v>65</v>
      </c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>
        <v>200</v>
      </c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</row>
    <row r="625">
      <c r="A625" s="2" t="s">
        <v>3818</v>
      </c>
      <c r="B625" s="2" t="s">
        <v>299</v>
      </c>
      <c r="C625" s="2" t="s">
        <v>1261</v>
      </c>
      <c r="D625" s="2" t="s">
        <v>301</v>
      </c>
      <c r="E625" s="2" t="s">
        <v>302</v>
      </c>
      <c r="F625" s="2" t="s">
        <v>3807</v>
      </c>
      <c r="G625" s="2" t="s">
        <v>3807</v>
      </c>
      <c r="H625" s="2" t="s">
        <v>3807</v>
      </c>
      <c r="I625" s="2" t="s">
        <v>347</v>
      </c>
      <c r="J625" s="2" t="s">
        <v>264</v>
      </c>
      <c r="K625" s="2" t="s">
        <v>3819</v>
      </c>
      <c r="L625" s="3">
        <v>19.8</v>
      </c>
      <c r="M625" s="3">
        <v>20.79</v>
      </c>
      <c r="N625" s="3">
        <v>44.99</v>
      </c>
      <c r="O625" s="2" t="s">
        <v>461</v>
      </c>
      <c r="P625" s="2" t="s">
        <v>333</v>
      </c>
      <c r="Q625" s="2" t="s">
        <v>234</v>
      </c>
      <c r="R625" s="2" t="s">
        <v>228</v>
      </c>
      <c r="S625" s="2" t="s">
        <v>3820</v>
      </c>
      <c r="T625" s="2" t="s">
        <v>3810</v>
      </c>
      <c r="U625" s="2" t="s">
        <v>228</v>
      </c>
      <c r="V625" s="2" t="s">
        <v>3717</v>
      </c>
      <c r="W625" s="2" t="s">
        <v>1267</v>
      </c>
      <c r="X625" s="2" t="s">
        <v>228</v>
      </c>
      <c r="Y625" s="2" t="s">
        <v>3821</v>
      </c>
      <c r="Z625" s="4">
        <v>180</v>
      </c>
      <c r="AA625" s="4">
        <f>=ROUNDDOWN(27.2727272727273,0)</f>
      </c>
      <c r="AB625" s="5">
        <v>6.6</v>
      </c>
      <c r="AC625" s="2" t="s">
        <v>228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228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228</v>
      </c>
      <c r="AW625" s="8" t="s">
        <v>228</v>
      </c>
      <c r="AX625" s="4" t="s">
        <v>228</v>
      </c>
      <c r="AY625" s="8" t="s">
        <v>228</v>
      </c>
      <c r="AZ625" s="7" t="s">
        <v>228</v>
      </c>
      <c r="BA625" s="7" t="s">
        <v>228</v>
      </c>
      <c r="BB625" s="7"/>
      <c r="BC625" s="4" t="s">
        <v>228</v>
      </c>
      <c r="BD625" s="8" t="s">
        <v>228</v>
      </c>
      <c r="BE625" s="4" t="s">
        <v>228</v>
      </c>
      <c r="BF625" s="8" t="s">
        <v>228</v>
      </c>
      <c r="BG625" s="7" t="s">
        <v>228</v>
      </c>
      <c r="BH625" s="7" t="s">
        <v>228</v>
      </c>
      <c r="BI625" s="7"/>
      <c r="BJ625" s="4">
        <v>12</v>
      </c>
      <c r="BK625" s="8">
        <v>251.99</v>
      </c>
      <c r="BL625" s="2" t="s">
        <v>3165</v>
      </c>
      <c r="BM625" s="7"/>
      <c r="BN625" s="7"/>
      <c r="BO625" s="4"/>
      <c r="BP625" s="8"/>
      <c r="BQ625" s="4"/>
      <c r="BR625" s="8"/>
      <c r="BS625" s="7"/>
      <c r="BT625" s="7"/>
      <c r="BU625" s="2" t="s">
        <v>3822</v>
      </c>
      <c r="BV625" s="2" t="s">
        <v>228</v>
      </c>
      <c r="BW625" s="2" t="s">
        <v>228</v>
      </c>
      <c r="BX625" s="2" t="s">
        <v>337</v>
      </c>
      <c r="BY625" s="2" t="s">
        <v>274</v>
      </c>
      <c r="BZ625" s="2" t="s">
        <v>240</v>
      </c>
      <c r="CA625" s="2" t="s">
        <v>3823</v>
      </c>
      <c r="CB625" s="2" t="s">
        <v>3824</v>
      </c>
      <c r="CC625" s="2" t="s">
        <v>241</v>
      </c>
      <c r="CD625" s="2" t="s">
        <v>228</v>
      </c>
      <c r="CE625" s="4">
        <v>180</v>
      </c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</row>
    <row r="626">
      <c r="A626" s="2" t="s">
        <v>3825</v>
      </c>
      <c r="B626" s="2" t="s">
        <v>299</v>
      </c>
      <c r="C626" s="2" t="s">
        <v>1261</v>
      </c>
      <c r="D626" s="2" t="s">
        <v>301</v>
      </c>
      <c r="E626" s="2" t="s">
        <v>302</v>
      </c>
      <c r="F626" s="2" t="s">
        <v>3807</v>
      </c>
      <c r="G626" s="2" t="s">
        <v>3807</v>
      </c>
      <c r="H626" s="2" t="s">
        <v>3807</v>
      </c>
      <c r="I626" s="2" t="s">
        <v>347</v>
      </c>
      <c r="J626" s="2" t="s">
        <v>284</v>
      </c>
      <c r="K626" s="2" t="s">
        <v>3819</v>
      </c>
      <c r="L626" s="3">
        <v>21.78</v>
      </c>
      <c r="M626" s="3">
        <v>22.87</v>
      </c>
      <c r="N626" s="3">
        <v>49.99</v>
      </c>
      <c r="O626" s="2" t="s">
        <v>461</v>
      </c>
      <c r="P626" s="2" t="s">
        <v>333</v>
      </c>
      <c r="Q626" s="2" t="s">
        <v>234</v>
      </c>
      <c r="R626" s="2" t="s">
        <v>228</v>
      </c>
      <c r="S626" s="2" t="s">
        <v>3820</v>
      </c>
      <c r="T626" s="2" t="s">
        <v>3810</v>
      </c>
      <c r="U626" s="2" t="s">
        <v>228</v>
      </c>
      <c r="V626" s="2" t="s">
        <v>3717</v>
      </c>
      <c r="W626" s="2" t="s">
        <v>1267</v>
      </c>
      <c r="X626" s="2" t="s">
        <v>228</v>
      </c>
      <c r="Y626" s="2" t="s">
        <v>3821</v>
      </c>
      <c r="Z626" s="4">
        <v>360</v>
      </c>
      <c r="AA626" s="4">
        <f>=ROUNDDOWN(31.5789473684211,0)</f>
      </c>
      <c r="AB626" s="5">
        <v>11.4</v>
      </c>
      <c r="AC626" s="2" t="s">
        <v>228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228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228</v>
      </c>
      <c r="AW626" s="8" t="s">
        <v>228</v>
      </c>
      <c r="AX626" s="4" t="s">
        <v>228</v>
      </c>
      <c r="AY626" s="8" t="s">
        <v>228</v>
      </c>
      <c r="AZ626" s="7" t="s">
        <v>228</v>
      </c>
      <c r="BA626" s="7" t="s">
        <v>228</v>
      </c>
      <c r="BB626" s="7"/>
      <c r="BC626" s="4" t="s">
        <v>228</v>
      </c>
      <c r="BD626" s="8" t="s">
        <v>228</v>
      </c>
      <c r="BE626" s="4" t="s">
        <v>228</v>
      </c>
      <c r="BF626" s="8" t="s">
        <v>228</v>
      </c>
      <c r="BG626" s="7" t="s">
        <v>228</v>
      </c>
      <c r="BH626" s="7" t="s">
        <v>228</v>
      </c>
      <c r="BI626" s="7"/>
      <c r="BJ626" s="4">
        <v>21</v>
      </c>
      <c r="BK626" s="8">
        <v>477.66</v>
      </c>
      <c r="BL626" s="2" t="s">
        <v>3826</v>
      </c>
      <c r="BM626" s="7"/>
      <c r="BN626" s="7"/>
      <c r="BO626" s="4"/>
      <c r="BP626" s="8"/>
      <c r="BQ626" s="4"/>
      <c r="BR626" s="8"/>
      <c r="BS626" s="7"/>
      <c r="BT626" s="7"/>
      <c r="BU626" s="2" t="s">
        <v>3827</v>
      </c>
      <c r="BV626" s="2" t="s">
        <v>228</v>
      </c>
      <c r="BW626" s="2" t="s">
        <v>228</v>
      </c>
      <c r="BX626" s="2" t="s">
        <v>337</v>
      </c>
      <c r="BY626" s="2" t="s">
        <v>274</v>
      </c>
      <c r="BZ626" s="2" t="s">
        <v>240</v>
      </c>
      <c r="CA626" s="2" t="s">
        <v>3823</v>
      </c>
      <c r="CB626" s="2" t="s">
        <v>3828</v>
      </c>
      <c r="CC626" s="2" t="s">
        <v>241</v>
      </c>
      <c r="CD626" s="2" t="s">
        <v>228</v>
      </c>
      <c r="CE626" s="4">
        <v>360</v>
      </c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</row>
    <row r="627">
      <c r="A627" s="2" t="s">
        <v>3829</v>
      </c>
      <c r="B627" s="2" t="s">
        <v>299</v>
      </c>
      <c r="C627" s="2" t="s">
        <v>1261</v>
      </c>
      <c r="D627" s="2" t="s">
        <v>301</v>
      </c>
      <c r="E627" s="2" t="s">
        <v>302</v>
      </c>
      <c r="F627" s="2" t="s">
        <v>3807</v>
      </c>
      <c r="G627" s="2" t="s">
        <v>3807</v>
      </c>
      <c r="H627" s="2" t="s">
        <v>3807</v>
      </c>
      <c r="I627" s="2" t="s">
        <v>347</v>
      </c>
      <c r="J627" s="2" t="s">
        <v>294</v>
      </c>
      <c r="K627" s="2" t="s">
        <v>3819</v>
      </c>
      <c r="L627" s="3">
        <v>28.98</v>
      </c>
      <c r="M627" s="3">
        <v>30.43</v>
      </c>
      <c r="N627" s="3">
        <v>64.99</v>
      </c>
      <c r="O627" s="2" t="s">
        <v>461</v>
      </c>
      <c r="P627" s="2" t="s">
        <v>333</v>
      </c>
      <c r="Q627" s="2" t="s">
        <v>234</v>
      </c>
      <c r="R627" s="2" t="s">
        <v>228</v>
      </c>
      <c r="S627" s="2" t="s">
        <v>3820</v>
      </c>
      <c r="T627" s="2" t="s">
        <v>3810</v>
      </c>
      <c r="U627" s="2" t="s">
        <v>228</v>
      </c>
      <c r="V627" s="2" t="s">
        <v>3717</v>
      </c>
      <c r="W627" s="2" t="s">
        <v>1267</v>
      </c>
      <c r="X627" s="2" t="s">
        <v>228</v>
      </c>
      <c r="Y627" s="2" t="s">
        <v>3821</v>
      </c>
      <c r="Z627" s="4">
        <v>121</v>
      </c>
      <c r="AA627" s="4">
        <f>=ROUNDDOWN(23.7254901960784,0)</f>
      </c>
      <c r="AB627" s="5">
        <v>5.1</v>
      </c>
      <c r="AC627" s="2" t="s">
        <v>228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228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228</v>
      </c>
      <c r="AW627" s="8" t="s">
        <v>228</v>
      </c>
      <c r="AX627" s="4" t="s">
        <v>228</v>
      </c>
      <c r="AY627" s="8" t="s">
        <v>228</v>
      </c>
      <c r="AZ627" s="7" t="s">
        <v>228</v>
      </c>
      <c r="BA627" s="7" t="s">
        <v>228</v>
      </c>
      <c r="BB627" s="7"/>
      <c r="BC627" s="4" t="s">
        <v>228</v>
      </c>
      <c r="BD627" s="8" t="s">
        <v>228</v>
      </c>
      <c r="BE627" s="4" t="s">
        <v>228</v>
      </c>
      <c r="BF627" s="8" t="s">
        <v>228</v>
      </c>
      <c r="BG627" s="7" t="s">
        <v>228</v>
      </c>
      <c r="BH627" s="7" t="s">
        <v>228</v>
      </c>
      <c r="BI627" s="7"/>
      <c r="BJ627" s="4">
        <v>12</v>
      </c>
      <c r="BK627" s="8">
        <v>368.8</v>
      </c>
      <c r="BL627" s="2" t="s">
        <v>3816</v>
      </c>
      <c r="BM627" s="7"/>
      <c r="BN627" s="7"/>
      <c r="BO627" s="4"/>
      <c r="BP627" s="8"/>
      <c r="BQ627" s="4"/>
      <c r="BR627" s="8"/>
      <c r="BS627" s="7"/>
      <c r="BT627" s="7"/>
      <c r="BU627" s="2" t="s">
        <v>3830</v>
      </c>
      <c r="BV627" s="2" t="s">
        <v>228</v>
      </c>
      <c r="BW627" s="2" t="s">
        <v>228</v>
      </c>
      <c r="BX627" s="2" t="s">
        <v>337</v>
      </c>
      <c r="BY627" s="2" t="s">
        <v>274</v>
      </c>
      <c r="BZ627" s="2" t="s">
        <v>240</v>
      </c>
      <c r="CA627" s="2" t="s">
        <v>3823</v>
      </c>
      <c r="CB627" s="2" t="s">
        <v>3831</v>
      </c>
      <c r="CC627" s="2" t="s">
        <v>241</v>
      </c>
      <c r="CD627" s="2" t="s">
        <v>228</v>
      </c>
      <c r="CE627" s="4">
        <v>121</v>
      </c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</row>
    <row r="628">
      <c r="A628" s="2" t="s">
        <v>3832</v>
      </c>
      <c r="B628" s="2" t="s">
        <v>299</v>
      </c>
      <c r="C628" s="2" t="s">
        <v>1261</v>
      </c>
      <c r="D628" s="2" t="s">
        <v>301</v>
      </c>
      <c r="E628" s="2" t="s">
        <v>302</v>
      </c>
      <c r="F628" s="2" t="s">
        <v>3807</v>
      </c>
      <c r="G628" s="2" t="s">
        <v>3807</v>
      </c>
      <c r="H628" s="2" t="s">
        <v>3807</v>
      </c>
      <c r="I628" s="2" t="s">
        <v>347</v>
      </c>
      <c r="J628" s="2" t="s">
        <v>312</v>
      </c>
      <c r="K628" s="2" t="s">
        <v>3833</v>
      </c>
      <c r="L628" s="3">
        <v>28.98</v>
      </c>
      <c r="M628" s="3">
        <v>30.43</v>
      </c>
      <c r="N628" s="3">
        <v>64.99</v>
      </c>
      <c r="O628" s="2" t="s">
        <v>240</v>
      </c>
      <c r="P628" s="2" t="s">
        <v>266</v>
      </c>
      <c r="Q628" s="2" t="s">
        <v>234</v>
      </c>
      <c r="R628" s="2" t="s">
        <v>228</v>
      </c>
      <c r="S628" s="2" t="s">
        <v>3834</v>
      </c>
      <c r="T628" s="2" t="s">
        <v>3810</v>
      </c>
      <c r="U628" s="2" t="s">
        <v>228</v>
      </c>
      <c r="V628" s="2" t="s">
        <v>1438</v>
      </c>
      <c r="W628" s="2" t="s">
        <v>1267</v>
      </c>
      <c r="X628" s="2" t="s">
        <v>269</v>
      </c>
      <c r="Y628" s="2" t="s">
        <v>3835</v>
      </c>
      <c r="Z628" s="4">
        <v>194</v>
      </c>
      <c r="AA628" s="4">
        <f>=ROUNDDOWN(27.7142857142857,0)</f>
      </c>
      <c r="AB628" s="5">
        <v>7</v>
      </c>
      <c r="AC628" s="2" t="s">
        <v>3815</v>
      </c>
      <c r="AD628" s="4">
        <v>69</v>
      </c>
      <c r="AE628" s="4">
        <v>164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228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/>
      <c r="AW628" s="8"/>
      <c r="AX628" s="4"/>
      <c r="AY628" s="8"/>
      <c r="AZ628" s="7"/>
      <c r="BA628" s="7"/>
      <c r="BB628" s="7"/>
      <c r="BC628" s="4" t="s">
        <v>228</v>
      </c>
      <c r="BD628" s="8" t="s">
        <v>228</v>
      </c>
      <c r="BE628" s="4" t="s">
        <v>228</v>
      </c>
      <c r="BF628" s="8" t="s">
        <v>228</v>
      </c>
      <c r="BG628" s="7" t="s">
        <v>228</v>
      </c>
      <c r="BH628" s="7" t="s">
        <v>228</v>
      </c>
      <c r="BI628" s="7"/>
      <c r="BJ628" s="4">
        <v>22</v>
      </c>
      <c r="BK628" s="8">
        <v>735.68</v>
      </c>
      <c r="BL628" s="2" t="s">
        <v>3836</v>
      </c>
      <c r="BM628" s="7"/>
      <c r="BN628" s="7"/>
      <c r="BO628" s="4"/>
      <c r="BP628" s="8"/>
      <c r="BQ628" s="4"/>
      <c r="BR628" s="8"/>
      <c r="BS628" s="7"/>
      <c r="BT628" s="7"/>
      <c r="BU628" s="2" t="s">
        <v>3837</v>
      </c>
      <c r="BV628" s="2" t="s">
        <v>228</v>
      </c>
      <c r="BW628" s="2" t="s">
        <v>228</v>
      </c>
      <c r="BX628" s="2" t="s">
        <v>3813</v>
      </c>
      <c r="BY628" s="2" t="s">
        <v>274</v>
      </c>
      <c r="BZ628" s="2" t="s">
        <v>240</v>
      </c>
      <c r="CA628" s="2" t="s">
        <v>3838</v>
      </c>
      <c r="CB628" s="2" t="s">
        <v>3839</v>
      </c>
      <c r="CC628" s="2" t="s">
        <v>241</v>
      </c>
      <c r="CD628" s="2" t="s">
        <v>228</v>
      </c>
      <c r="CE628" s="4">
        <v>194</v>
      </c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>
        <v>69</v>
      </c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>
        <v>95</v>
      </c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</row>
    <row r="629">
      <c r="A629" s="2" t="s">
        <v>3840</v>
      </c>
      <c r="B629" s="2" t="s">
        <v>299</v>
      </c>
      <c r="C629" s="2" t="s">
        <v>1261</v>
      </c>
      <c r="D629" s="2" t="s">
        <v>301</v>
      </c>
      <c r="E629" s="2" t="s">
        <v>302</v>
      </c>
      <c r="F629" s="2" t="s">
        <v>3807</v>
      </c>
      <c r="G629" s="2" t="s">
        <v>3807</v>
      </c>
      <c r="H629" s="2" t="s">
        <v>3807</v>
      </c>
      <c r="I629" s="2" t="s">
        <v>347</v>
      </c>
      <c r="J629" s="2" t="s">
        <v>294</v>
      </c>
      <c r="K629" s="2" t="s">
        <v>3841</v>
      </c>
      <c r="L629" s="3">
        <v>28.98</v>
      </c>
      <c r="M629" s="3">
        <v>30.43</v>
      </c>
      <c r="N629" s="3">
        <v>64.99</v>
      </c>
      <c r="O629" s="2" t="s">
        <v>240</v>
      </c>
      <c r="P629" s="2" t="s">
        <v>266</v>
      </c>
      <c r="Q629" s="2" t="s">
        <v>234</v>
      </c>
      <c r="R629" s="2" t="s">
        <v>228</v>
      </c>
      <c r="S629" s="2" t="s">
        <v>3842</v>
      </c>
      <c r="T629" s="2" t="s">
        <v>3810</v>
      </c>
      <c r="U629" s="2" t="s">
        <v>308</v>
      </c>
      <c r="V629" s="2" t="s">
        <v>3717</v>
      </c>
      <c r="W629" s="2" t="s">
        <v>1267</v>
      </c>
      <c r="X629" s="2" t="s">
        <v>269</v>
      </c>
      <c r="Y629" s="2" t="s">
        <v>3843</v>
      </c>
      <c r="Z629" s="4">
        <v>45</v>
      </c>
      <c r="AA629" s="4">
        <f>=ROUNDDOWN(3,0)</f>
      </c>
      <c r="AB629" s="5">
        <v>15</v>
      </c>
      <c r="AC629" s="2" t="s">
        <v>1014</v>
      </c>
      <c r="AD629" s="4">
        <v>173</v>
      </c>
      <c r="AE629" s="4">
        <v>513</v>
      </c>
      <c r="AF629" s="6">
        <v>70</v>
      </c>
      <c r="AG629" s="6"/>
      <c r="AH629" s="7">
        <v>1</v>
      </c>
      <c r="AI629" s="4"/>
      <c r="AJ629" s="4">
        <f>=ROUNDDOWN({0},0)</f>
      </c>
      <c r="AK629" s="5"/>
      <c r="AL629" s="2" t="s">
        <v>228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228</v>
      </c>
      <c r="AW629" s="8" t="s">
        <v>228</v>
      </c>
      <c r="AX629" s="4" t="s">
        <v>228</v>
      </c>
      <c r="AY629" s="8" t="s">
        <v>228</v>
      </c>
      <c r="AZ629" s="7" t="s">
        <v>228</v>
      </c>
      <c r="BA629" s="7" t="s">
        <v>228</v>
      </c>
      <c r="BB629" s="7"/>
      <c r="BC629" s="4" t="s">
        <v>228</v>
      </c>
      <c r="BD629" s="8" t="s">
        <v>228</v>
      </c>
      <c r="BE629" s="4" t="s">
        <v>228</v>
      </c>
      <c r="BF629" s="8" t="s">
        <v>228</v>
      </c>
      <c r="BG629" s="7" t="s">
        <v>228</v>
      </c>
      <c r="BH629" s="7" t="s">
        <v>228</v>
      </c>
      <c r="BI629" s="7"/>
      <c r="BJ629" s="4">
        <v>48</v>
      </c>
      <c r="BK629" s="8">
        <v>1726.37</v>
      </c>
      <c r="BL629" s="2" t="s">
        <v>3844</v>
      </c>
      <c r="BM629" s="7"/>
      <c r="BN629" s="7"/>
      <c r="BO629" s="4"/>
      <c r="BP629" s="8"/>
      <c r="BQ629" s="4"/>
      <c r="BR629" s="8"/>
      <c r="BS629" s="7"/>
      <c r="BT629" s="7"/>
      <c r="BU629" s="2" t="s">
        <v>3845</v>
      </c>
      <c r="BV629" s="2" t="s">
        <v>228</v>
      </c>
      <c r="BW629" s="2" t="s">
        <v>228</v>
      </c>
      <c r="BX629" s="2" t="s">
        <v>3813</v>
      </c>
      <c r="BY629" s="2" t="s">
        <v>274</v>
      </c>
      <c r="BZ629" s="2" t="s">
        <v>240</v>
      </c>
      <c r="CA629" s="2" t="s">
        <v>1910</v>
      </c>
      <c r="CB629" s="2" t="s">
        <v>3846</v>
      </c>
      <c r="CC629" s="2" t="s">
        <v>241</v>
      </c>
      <c r="CD629" s="2" t="s">
        <v>228</v>
      </c>
      <c r="CE629" s="4">
        <v>45</v>
      </c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>
        <v>173</v>
      </c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>
        <v>106</v>
      </c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>
        <v>234</v>
      </c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</row>
    <row r="630">
      <c r="A630" s="2" t="s">
        <v>3847</v>
      </c>
      <c r="B630" s="2" t="s">
        <v>299</v>
      </c>
      <c r="C630" s="2" t="s">
        <v>1261</v>
      </c>
      <c r="D630" s="2" t="s">
        <v>301</v>
      </c>
      <c r="E630" s="2" t="s">
        <v>302</v>
      </c>
      <c r="F630" s="2" t="s">
        <v>3807</v>
      </c>
      <c r="G630" s="2" t="s">
        <v>3807</v>
      </c>
      <c r="H630" s="2" t="s">
        <v>3807</v>
      </c>
      <c r="I630" s="2" t="s">
        <v>347</v>
      </c>
      <c r="J630" s="2" t="s">
        <v>312</v>
      </c>
      <c r="K630" s="2" t="s">
        <v>3841</v>
      </c>
      <c r="L630" s="3">
        <v>28.98</v>
      </c>
      <c r="M630" s="3">
        <v>30.43</v>
      </c>
      <c r="N630" s="3">
        <v>64.99</v>
      </c>
      <c r="O630" s="2" t="s">
        <v>240</v>
      </c>
      <c r="P630" s="2" t="s">
        <v>266</v>
      </c>
      <c r="Q630" s="2" t="s">
        <v>234</v>
      </c>
      <c r="R630" s="2" t="s">
        <v>228</v>
      </c>
      <c r="S630" s="2" t="s">
        <v>3848</v>
      </c>
      <c r="T630" s="2" t="s">
        <v>3810</v>
      </c>
      <c r="U630" s="2" t="s">
        <v>308</v>
      </c>
      <c r="V630" s="2" t="s">
        <v>3717</v>
      </c>
      <c r="W630" s="2" t="s">
        <v>1267</v>
      </c>
      <c r="X630" s="2" t="s">
        <v>269</v>
      </c>
      <c r="Y630" s="2" t="s">
        <v>3843</v>
      </c>
      <c r="Z630" s="4">
        <v>60</v>
      </c>
      <c r="AA630" s="4">
        <f>=ROUNDDOWN(7.5,0)</f>
      </c>
      <c r="AB630" s="5">
        <v>8</v>
      </c>
      <c r="AC630" s="2" t="s">
        <v>1014</v>
      </c>
      <c r="AD630" s="4">
        <v>131</v>
      </c>
      <c r="AE630" s="4">
        <v>280</v>
      </c>
      <c r="AF630" s="6">
        <v>70</v>
      </c>
      <c r="AG630" s="6"/>
      <c r="AH630" s="7">
        <v>1</v>
      </c>
      <c r="AI630" s="4"/>
      <c r="AJ630" s="4">
        <f>=ROUNDDOWN({0},0)</f>
      </c>
      <c r="AK630" s="5"/>
      <c r="AL630" s="2" t="s">
        <v>228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228</v>
      </c>
      <c r="AW630" s="8" t="s">
        <v>228</v>
      </c>
      <c r="AX630" s="4" t="s">
        <v>228</v>
      </c>
      <c r="AY630" s="8" t="s">
        <v>228</v>
      </c>
      <c r="AZ630" s="7" t="s">
        <v>228</v>
      </c>
      <c r="BA630" s="7" t="s">
        <v>228</v>
      </c>
      <c r="BB630" s="7"/>
      <c r="BC630" s="4" t="s">
        <v>228</v>
      </c>
      <c r="BD630" s="8" t="s">
        <v>228</v>
      </c>
      <c r="BE630" s="4" t="s">
        <v>228</v>
      </c>
      <c r="BF630" s="8" t="s">
        <v>228</v>
      </c>
      <c r="BG630" s="7" t="s">
        <v>228</v>
      </c>
      <c r="BH630" s="7" t="s">
        <v>228</v>
      </c>
      <c r="BI630" s="7"/>
      <c r="BJ630" s="4">
        <v>14</v>
      </c>
      <c r="BK630" s="8">
        <v>509.46</v>
      </c>
      <c r="BL630" s="2" t="s">
        <v>708</v>
      </c>
      <c r="BM630" s="7"/>
      <c r="BN630" s="7"/>
      <c r="BO630" s="4"/>
      <c r="BP630" s="8"/>
      <c r="BQ630" s="4"/>
      <c r="BR630" s="8"/>
      <c r="BS630" s="7"/>
      <c r="BT630" s="7"/>
      <c r="BU630" s="2" t="s">
        <v>3849</v>
      </c>
      <c r="BV630" s="2" t="s">
        <v>228</v>
      </c>
      <c r="BW630" s="2" t="s">
        <v>228</v>
      </c>
      <c r="BX630" s="2" t="s">
        <v>3813</v>
      </c>
      <c r="BY630" s="2" t="s">
        <v>274</v>
      </c>
      <c r="BZ630" s="2" t="s">
        <v>240</v>
      </c>
      <c r="CA630" s="2" t="s">
        <v>1910</v>
      </c>
      <c r="CB630" s="2" t="s">
        <v>3850</v>
      </c>
      <c r="CC630" s="2" t="s">
        <v>241</v>
      </c>
      <c r="CD630" s="2" t="s">
        <v>228</v>
      </c>
      <c r="CE630" s="4">
        <v>60</v>
      </c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>
        <v>131</v>
      </c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>
        <v>69</v>
      </c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>
        <v>80</v>
      </c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</row>
    <row r="631">
      <c r="A631" s="2" t="s">
        <v>3851</v>
      </c>
      <c r="B631" s="2" t="s">
        <v>299</v>
      </c>
      <c r="C631" s="2" t="s">
        <v>1261</v>
      </c>
      <c r="D631" s="2" t="s">
        <v>301</v>
      </c>
      <c r="E631" s="2" t="s">
        <v>302</v>
      </c>
      <c r="F631" s="2" t="s">
        <v>3807</v>
      </c>
      <c r="G631" s="2" t="s">
        <v>3807</v>
      </c>
      <c r="H631" s="2" t="s">
        <v>3807</v>
      </c>
      <c r="I631" s="2" t="s">
        <v>347</v>
      </c>
      <c r="J631" s="2" t="s">
        <v>264</v>
      </c>
      <c r="K631" s="2" t="s">
        <v>3852</v>
      </c>
      <c r="L631" s="3">
        <v>19.8</v>
      </c>
      <c r="M631" s="3">
        <v>20.79</v>
      </c>
      <c r="N631" s="3">
        <v>44.99</v>
      </c>
      <c r="O631" s="2" t="s">
        <v>240</v>
      </c>
      <c r="P631" s="2" t="s">
        <v>233</v>
      </c>
      <c r="Q631" s="2" t="s">
        <v>234</v>
      </c>
      <c r="R631" s="2" t="s">
        <v>228</v>
      </c>
      <c r="S631" s="2" t="s">
        <v>3853</v>
      </c>
      <c r="T631" s="2" t="s">
        <v>3810</v>
      </c>
      <c r="U631" s="2" t="s">
        <v>500</v>
      </c>
      <c r="V631" s="2" t="s">
        <v>3717</v>
      </c>
      <c r="W631" s="2" t="s">
        <v>1267</v>
      </c>
      <c r="X631" s="2" t="s">
        <v>269</v>
      </c>
      <c r="Y631" s="2" t="s">
        <v>228</v>
      </c>
      <c r="Z631" s="4"/>
      <c r="AA631" s="4">
        <f>=ROUNDDOWN({0},0)</f>
      </c>
      <c r="AB631" s="5"/>
      <c r="AC631" s="2" t="s">
        <v>3854</v>
      </c>
      <c r="AD631" s="4">
        <v>261</v>
      </c>
      <c r="AE631" s="4">
        <v>870</v>
      </c>
      <c r="AF631" s="6">
        <v>69</v>
      </c>
      <c r="AG631" s="6"/>
      <c r="AH631" s="7"/>
      <c r="AI631" s="4"/>
      <c r="AJ631" s="4">
        <f>=ROUNDDOWN({0},0)</f>
      </c>
      <c r="AK631" s="5"/>
      <c r="AL631" s="2" t="s">
        <v>228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228</v>
      </c>
      <c r="AW631" s="8" t="s">
        <v>228</v>
      </c>
      <c r="AX631" s="4" t="s">
        <v>228</v>
      </c>
      <c r="AY631" s="8" t="s">
        <v>228</v>
      </c>
      <c r="AZ631" s="7" t="s">
        <v>228</v>
      </c>
      <c r="BA631" s="7" t="s">
        <v>228</v>
      </c>
      <c r="BB631" s="7"/>
      <c r="BC631" s="4" t="s">
        <v>228</v>
      </c>
      <c r="BD631" s="8" t="s">
        <v>228</v>
      </c>
      <c r="BE631" s="4" t="s">
        <v>228</v>
      </c>
      <c r="BF631" s="8" t="s">
        <v>228</v>
      </c>
      <c r="BG631" s="7" t="s">
        <v>228</v>
      </c>
      <c r="BH631" s="7" t="s">
        <v>228</v>
      </c>
      <c r="BI631" s="7"/>
      <c r="BJ631" s="4"/>
      <c r="BK631" s="8"/>
      <c r="BL631" s="2" t="s">
        <v>228</v>
      </c>
      <c r="BM631" s="7"/>
      <c r="BN631" s="7"/>
      <c r="BO631" s="4"/>
      <c r="BP631" s="8"/>
      <c r="BQ631" s="4"/>
      <c r="BR631" s="8"/>
      <c r="BS631" s="7"/>
      <c r="BT631" s="7"/>
      <c r="BU631" s="2" t="s">
        <v>238</v>
      </c>
      <c r="BV631" s="2" t="s">
        <v>228</v>
      </c>
      <c r="BW631" s="2" t="s">
        <v>228</v>
      </c>
      <c r="BX631" s="2" t="s">
        <v>3813</v>
      </c>
      <c r="BY631" s="2" t="s">
        <v>239</v>
      </c>
      <c r="BZ631" s="2" t="s">
        <v>240</v>
      </c>
      <c r="CA631" s="2" t="s">
        <v>228</v>
      </c>
      <c r="CB631" s="2" t="s">
        <v>228</v>
      </c>
      <c r="CC631" s="2" t="s">
        <v>241</v>
      </c>
      <c r="CD631" s="2" t="s">
        <v>228</v>
      </c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>
        <v>261</v>
      </c>
      <c r="DW631" s="4"/>
      <c r="DX631" s="4"/>
      <c r="DY631" s="4"/>
      <c r="DZ631" s="4">
        <v>435</v>
      </c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>
        <v>174</v>
      </c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</row>
    <row r="632">
      <c r="A632" s="2" t="s">
        <v>3855</v>
      </c>
      <c r="B632" s="2" t="s">
        <v>299</v>
      </c>
      <c r="C632" s="2" t="s">
        <v>1261</v>
      </c>
      <c r="D632" s="2" t="s">
        <v>301</v>
      </c>
      <c r="E632" s="2" t="s">
        <v>302</v>
      </c>
      <c r="F632" s="2" t="s">
        <v>3807</v>
      </c>
      <c r="G632" s="2" t="s">
        <v>3807</v>
      </c>
      <c r="H632" s="2" t="s">
        <v>3807</v>
      </c>
      <c r="I632" s="2" t="s">
        <v>347</v>
      </c>
      <c r="J632" s="2" t="s">
        <v>284</v>
      </c>
      <c r="K632" s="2" t="s">
        <v>3852</v>
      </c>
      <c r="L632" s="3">
        <v>21.78</v>
      </c>
      <c r="M632" s="3">
        <v>22.87</v>
      </c>
      <c r="N632" s="3">
        <v>49.99</v>
      </c>
      <c r="O632" s="2" t="s">
        <v>240</v>
      </c>
      <c r="P632" s="2" t="s">
        <v>233</v>
      </c>
      <c r="Q632" s="2" t="s">
        <v>234</v>
      </c>
      <c r="R632" s="2" t="s">
        <v>228</v>
      </c>
      <c r="S632" s="2" t="s">
        <v>3853</v>
      </c>
      <c r="T632" s="2" t="s">
        <v>3810</v>
      </c>
      <c r="U632" s="2" t="s">
        <v>308</v>
      </c>
      <c r="V632" s="2" t="s">
        <v>3717</v>
      </c>
      <c r="W632" s="2" t="s">
        <v>1267</v>
      </c>
      <c r="X632" s="2" t="s">
        <v>269</v>
      </c>
      <c r="Y632" s="2" t="s">
        <v>228</v>
      </c>
      <c r="Z632" s="4"/>
      <c r="AA632" s="4">
        <f>=ROUNDDOWN({0},0)</f>
      </c>
      <c r="AB632" s="5"/>
      <c r="AC632" s="2" t="s">
        <v>3854</v>
      </c>
      <c r="AD632" s="4">
        <v>202</v>
      </c>
      <c r="AE632" s="4">
        <v>673</v>
      </c>
      <c r="AF632" s="6">
        <v>69</v>
      </c>
      <c r="AG632" s="6"/>
      <c r="AH632" s="7"/>
      <c r="AI632" s="4"/>
      <c r="AJ632" s="4">
        <f>=ROUNDDOWN({0},0)</f>
      </c>
      <c r="AK632" s="5"/>
      <c r="AL632" s="2" t="s">
        <v>228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228</v>
      </c>
      <c r="AW632" s="8" t="s">
        <v>228</v>
      </c>
      <c r="AX632" s="4" t="s">
        <v>228</v>
      </c>
      <c r="AY632" s="8" t="s">
        <v>228</v>
      </c>
      <c r="AZ632" s="7" t="s">
        <v>228</v>
      </c>
      <c r="BA632" s="7" t="s">
        <v>228</v>
      </c>
      <c r="BB632" s="7"/>
      <c r="BC632" s="4" t="s">
        <v>228</v>
      </c>
      <c r="BD632" s="8" t="s">
        <v>228</v>
      </c>
      <c r="BE632" s="4" t="s">
        <v>228</v>
      </c>
      <c r="BF632" s="8" t="s">
        <v>228</v>
      </c>
      <c r="BG632" s="7" t="s">
        <v>228</v>
      </c>
      <c r="BH632" s="7" t="s">
        <v>228</v>
      </c>
      <c r="BI632" s="7"/>
      <c r="BJ632" s="4"/>
      <c r="BK632" s="8"/>
      <c r="BL632" s="2" t="s">
        <v>228</v>
      </c>
      <c r="BM632" s="7"/>
      <c r="BN632" s="7"/>
      <c r="BO632" s="4"/>
      <c r="BP632" s="8"/>
      <c r="BQ632" s="4"/>
      <c r="BR632" s="8"/>
      <c r="BS632" s="7"/>
      <c r="BT632" s="7"/>
      <c r="BU632" s="2" t="s">
        <v>238</v>
      </c>
      <c r="BV632" s="2" t="s">
        <v>228</v>
      </c>
      <c r="BW632" s="2" t="s">
        <v>228</v>
      </c>
      <c r="BX632" s="2" t="s">
        <v>3813</v>
      </c>
      <c r="BY632" s="2" t="s">
        <v>239</v>
      </c>
      <c r="BZ632" s="2" t="s">
        <v>240</v>
      </c>
      <c r="CA632" s="2" t="s">
        <v>228</v>
      </c>
      <c r="CB632" s="2" t="s">
        <v>228</v>
      </c>
      <c r="CC632" s="2" t="s">
        <v>241</v>
      </c>
      <c r="CD632" s="2" t="s">
        <v>228</v>
      </c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>
        <v>202</v>
      </c>
      <c r="DW632" s="4"/>
      <c r="DX632" s="4"/>
      <c r="DY632" s="4"/>
      <c r="DZ632" s="4">
        <v>336</v>
      </c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>
        <v>135</v>
      </c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</row>
    <row r="633">
      <c r="A633" s="2" t="s">
        <v>3856</v>
      </c>
      <c r="B633" s="2" t="s">
        <v>299</v>
      </c>
      <c r="C633" s="2" t="s">
        <v>1261</v>
      </c>
      <c r="D633" s="2" t="s">
        <v>301</v>
      </c>
      <c r="E633" s="2" t="s">
        <v>302</v>
      </c>
      <c r="F633" s="2" t="s">
        <v>3807</v>
      </c>
      <c r="G633" s="2" t="s">
        <v>3807</v>
      </c>
      <c r="H633" s="2" t="s">
        <v>3807</v>
      </c>
      <c r="I633" s="2" t="s">
        <v>347</v>
      </c>
      <c r="J633" s="2" t="s">
        <v>294</v>
      </c>
      <c r="K633" s="2" t="s">
        <v>3857</v>
      </c>
      <c r="L633" s="3">
        <v>28.98</v>
      </c>
      <c r="M633" s="3">
        <v>30.43</v>
      </c>
      <c r="N633" s="3">
        <v>64.99</v>
      </c>
      <c r="O633" s="2" t="s">
        <v>240</v>
      </c>
      <c r="P633" s="2" t="s">
        <v>266</v>
      </c>
      <c r="Q633" s="2" t="s">
        <v>234</v>
      </c>
      <c r="R633" s="2" t="s">
        <v>228</v>
      </c>
      <c r="S633" s="2" t="s">
        <v>3858</v>
      </c>
      <c r="T633" s="2" t="s">
        <v>3810</v>
      </c>
      <c r="U633" s="2" t="s">
        <v>228</v>
      </c>
      <c r="V633" s="2" t="s">
        <v>3717</v>
      </c>
      <c r="W633" s="2" t="s">
        <v>1267</v>
      </c>
      <c r="X633" s="2" t="s">
        <v>269</v>
      </c>
      <c r="Y633" s="2" t="s">
        <v>3835</v>
      </c>
      <c r="Z633" s="4">
        <v>233</v>
      </c>
      <c r="AA633" s="4">
        <f>=ROUNDDOWN(15.5333333333333,0)</f>
      </c>
      <c r="AB633" s="5">
        <v>15</v>
      </c>
      <c r="AC633" s="2" t="s">
        <v>2799</v>
      </c>
      <c r="AD633" s="4">
        <v>86</v>
      </c>
      <c r="AE633" s="4">
        <v>213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228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228</v>
      </c>
      <c r="AW633" s="8" t="s">
        <v>228</v>
      </c>
      <c r="AX633" s="4" t="s">
        <v>228</v>
      </c>
      <c r="AY633" s="8" t="s">
        <v>228</v>
      </c>
      <c r="AZ633" s="7" t="s">
        <v>228</v>
      </c>
      <c r="BA633" s="7" t="s">
        <v>228</v>
      </c>
      <c r="BB633" s="7"/>
      <c r="BC633" s="4" t="s">
        <v>228</v>
      </c>
      <c r="BD633" s="8" t="s">
        <v>228</v>
      </c>
      <c r="BE633" s="4" t="s">
        <v>228</v>
      </c>
      <c r="BF633" s="8" t="s">
        <v>228</v>
      </c>
      <c r="BG633" s="7" t="s">
        <v>228</v>
      </c>
      <c r="BH633" s="7" t="s">
        <v>228</v>
      </c>
      <c r="BI633" s="7"/>
      <c r="BJ633" s="4">
        <v>19</v>
      </c>
      <c r="BK633" s="8">
        <v>659.57</v>
      </c>
      <c r="BL633" s="2" t="s">
        <v>3859</v>
      </c>
      <c r="BM633" s="7"/>
      <c r="BN633" s="7"/>
      <c r="BO633" s="4"/>
      <c r="BP633" s="8"/>
      <c r="BQ633" s="4"/>
      <c r="BR633" s="8"/>
      <c r="BS633" s="7"/>
      <c r="BT633" s="7"/>
      <c r="BU633" s="2" t="s">
        <v>3860</v>
      </c>
      <c r="BV633" s="2" t="s">
        <v>228</v>
      </c>
      <c r="BW633" s="2" t="s">
        <v>228</v>
      </c>
      <c r="BX633" s="2" t="s">
        <v>3813</v>
      </c>
      <c r="BY633" s="2" t="s">
        <v>274</v>
      </c>
      <c r="BZ633" s="2" t="s">
        <v>240</v>
      </c>
      <c r="CA633" s="2" t="s">
        <v>3838</v>
      </c>
      <c r="CB633" s="2" t="s">
        <v>3861</v>
      </c>
      <c r="CC633" s="2" t="s">
        <v>241</v>
      </c>
      <c r="CD633" s="2" t="s">
        <v>228</v>
      </c>
      <c r="CE633" s="4">
        <v>233</v>
      </c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>
        <v>86</v>
      </c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>
        <v>127</v>
      </c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</row>
    <row r="634">
      <c r="A634" s="2" t="s">
        <v>3862</v>
      </c>
      <c r="B634" s="2" t="s">
        <v>299</v>
      </c>
      <c r="C634" s="2" t="s">
        <v>1261</v>
      </c>
      <c r="D634" s="2" t="s">
        <v>301</v>
      </c>
      <c r="E634" s="2" t="s">
        <v>302</v>
      </c>
      <c r="F634" s="2" t="s">
        <v>3807</v>
      </c>
      <c r="G634" s="2" t="s">
        <v>3807</v>
      </c>
      <c r="H634" s="2" t="s">
        <v>3807</v>
      </c>
      <c r="I634" s="2" t="s">
        <v>347</v>
      </c>
      <c r="J634" s="2" t="s">
        <v>312</v>
      </c>
      <c r="K634" s="2" t="s">
        <v>3857</v>
      </c>
      <c r="L634" s="3">
        <v>28.98</v>
      </c>
      <c r="M634" s="3">
        <v>30.43</v>
      </c>
      <c r="N634" s="3">
        <v>64.99</v>
      </c>
      <c r="O634" s="2" t="s">
        <v>240</v>
      </c>
      <c r="P634" s="2" t="s">
        <v>266</v>
      </c>
      <c r="Q634" s="2" t="s">
        <v>234</v>
      </c>
      <c r="R634" s="2" t="s">
        <v>228</v>
      </c>
      <c r="S634" s="2" t="s">
        <v>3858</v>
      </c>
      <c r="T634" s="2" t="s">
        <v>3810</v>
      </c>
      <c r="U634" s="2" t="s">
        <v>228</v>
      </c>
      <c r="V634" s="2" t="s">
        <v>3717</v>
      </c>
      <c r="W634" s="2" t="s">
        <v>1267</v>
      </c>
      <c r="X634" s="2" t="s">
        <v>269</v>
      </c>
      <c r="Y634" s="2" t="s">
        <v>3835</v>
      </c>
      <c r="Z634" s="4">
        <v>173</v>
      </c>
      <c r="AA634" s="4">
        <f>=ROUNDDOWN(19.2222222222222,0)</f>
      </c>
      <c r="AB634" s="5">
        <v>9</v>
      </c>
      <c r="AC634" s="2" t="s">
        <v>2799</v>
      </c>
      <c r="AD634" s="4">
        <v>68</v>
      </c>
      <c r="AE634" s="4">
        <v>171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228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228</v>
      </c>
      <c r="AW634" s="8" t="s">
        <v>228</v>
      </c>
      <c r="AX634" s="4" t="s">
        <v>228</v>
      </c>
      <c r="AY634" s="8" t="s">
        <v>228</v>
      </c>
      <c r="AZ634" s="7" t="s">
        <v>228</v>
      </c>
      <c r="BA634" s="7" t="s">
        <v>228</v>
      </c>
      <c r="BB634" s="7"/>
      <c r="BC634" s="4" t="s">
        <v>228</v>
      </c>
      <c r="BD634" s="8" t="s">
        <v>228</v>
      </c>
      <c r="BE634" s="4" t="s">
        <v>228</v>
      </c>
      <c r="BF634" s="8" t="s">
        <v>228</v>
      </c>
      <c r="BG634" s="7" t="s">
        <v>228</v>
      </c>
      <c r="BH634" s="7" t="s">
        <v>228</v>
      </c>
      <c r="BI634" s="7"/>
      <c r="BJ634" s="4">
        <v>11</v>
      </c>
      <c r="BK634" s="8">
        <v>385.83</v>
      </c>
      <c r="BL634" s="2" t="s">
        <v>3863</v>
      </c>
      <c r="BM634" s="7"/>
      <c r="BN634" s="7"/>
      <c r="BO634" s="4"/>
      <c r="BP634" s="8"/>
      <c r="BQ634" s="4"/>
      <c r="BR634" s="8"/>
      <c r="BS634" s="7"/>
      <c r="BT634" s="7"/>
      <c r="BU634" s="2" t="s">
        <v>3864</v>
      </c>
      <c r="BV634" s="2" t="s">
        <v>228</v>
      </c>
      <c r="BW634" s="2" t="s">
        <v>228</v>
      </c>
      <c r="BX634" s="2" t="s">
        <v>3813</v>
      </c>
      <c r="BY634" s="2" t="s">
        <v>274</v>
      </c>
      <c r="BZ634" s="2" t="s">
        <v>240</v>
      </c>
      <c r="CA634" s="2" t="s">
        <v>3838</v>
      </c>
      <c r="CB634" s="2" t="s">
        <v>3865</v>
      </c>
      <c r="CC634" s="2" t="s">
        <v>241</v>
      </c>
      <c r="CD634" s="2" t="s">
        <v>228</v>
      </c>
      <c r="CE634" s="4">
        <v>173</v>
      </c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>
        <v>68</v>
      </c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>
        <v>103</v>
      </c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</row>
    <row r="635">
      <c r="A635" s="2" t="s">
        <v>3866</v>
      </c>
      <c r="B635" s="2" t="s">
        <v>299</v>
      </c>
      <c r="C635" s="2" t="s">
        <v>1261</v>
      </c>
      <c r="D635" s="2" t="s">
        <v>301</v>
      </c>
      <c r="E635" s="2" t="s">
        <v>302</v>
      </c>
      <c r="F635" s="2" t="s">
        <v>3807</v>
      </c>
      <c r="G635" s="2" t="s">
        <v>3807</v>
      </c>
      <c r="H635" s="2" t="s">
        <v>3807</v>
      </c>
      <c r="I635" s="2" t="s">
        <v>347</v>
      </c>
      <c r="J635" s="2" t="s">
        <v>312</v>
      </c>
      <c r="K635" s="2" t="s">
        <v>3867</v>
      </c>
      <c r="L635" s="3">
        <v>28.98</v>
      </c>
      <c r="M635" s="3">
        <v>30.43</v>
      </c>
      <c r="N635" s="3">
        <v>64.99</v>
      </c>
      <c r="O635" s="2" t="s">
        <v>240</v>
      </c>
      <c r="P635" s="2" t="s">
        <v>266</v>
      </c>
      <c r="Q635" s="2" t="s">
        <v>234</v>
      </c>
      <c r="R635" s="2" t="s">
        <v>228</v>
      </c>
      <c r="S635" s="2" t="s">
        <v>3868</v>
      </c>
      <c r="T635" s="2" t="s">
        <v>3810</v>
      </c>
      <c r="U635" s="2" t="s">
        <v>228</v>
      </c>
      <c r="V635" s="2" t="s">
        <v>1438</v>
      </c>
      <c r="W635" s="2" t="s">
        <v>1267</v>
      </c>
      <c r="X635" s="2" t="s">
        <v>269</v>
      </c>
      <c r="Y635" s="2" t="s">
        <v>270</v>
      </c>
      <c r="Z635" s="4">
        <v>63</v>
      </c>
      <c r="AA635" s="4">
        <f>=ROUNDDOWN(7,0)</f>
      </c>
      <c r="AB635" s="5">
        <v>9</v>
      </c>
      <c r="AC635" s="2" t="s">
        <v>1014</v>
      </c>
      <c r="AD635" s="4">
        <v>170</v>
      </c>
      <c r="AE635" s="4">
        <v>366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228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 t="s">
        <v>228</v>
      </c>
      <c r="BD635" s="8" t="s">
        <v>228</v>
      </c>
      <c r="BE635" s="4" t="s">
        <v>228</v>
      </c>
      <c r="BF635" s="8" t="s">
        <v>228</v>
      </c>
      <c r="BG635" s="7" t="s">
        <v>228</v>
      </c>
      <c r="BH635" s="7" t="s">
        <v>228</v>
      </c>
      <c r="BI635" s="7"/>
      <c r="BJ635" s="4">
        <v>23</v>
      </c>
      <c r="BK635" s="8">
        <v>782.96</v>
      </c>
      <c r="BL635" s="2" t="s">
        <v>3869</v>
      </c>
      <c r="BM635" s="7"/>
      <c r="BN635" s="7"/>
      <c r="BO635" s="4"/>
      <c r="BP635" s="8"/>
      <c r="BQ635" s="4"/>
      <c r="BR635" s="8"/>
      <c r="BS635" s="7"/>
      <c r="BT635" s="7"/>
      <c r="BU635" s="2" t="s">
        <v>3870</v>
      </c>
      <c r="BV635" s="2" t="s">
        <v>228</v>
      </c>
      <c r="BW635" s="2" t="s">
        <v>228</v>
      </c>
      <c r="BX635" s="2" t="s">
        <v>3813</v>
      </c>
      <c r="BY635" s="2" t="s">
        <v>274</v>
      </c>
      <c r="BZ635" s="2" t="s">
        <v>240</v>
      </c>
      <c r="CA635" s="2" t="s">
        <v>3871</v>
      </c>
      <c r="CB635" s="2" t="s">
        <v>3872</v>
      </c>
      <c r="CC635" s="2" t="s">
        <v>241</v>
      </c>
      <c r="CD635" s="2" t="s">
        <v>228</v>
      </c>
      <c r="CE635" s="4">
        <v>63</v>
      </c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>
        <v>170</v>
      </c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>
        <v>82</v>
      </c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>
        <v>114</v>
      </c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</row>
    <row r="636">
      <c r="A636" s="2" t="s">
        <v>3873</v>
      </c>
      <c r="B636" s="2" t="s">
        <v>299</v>
      </c>
      <c r="C636" s="2" t="s">
        <v>1261</v>
      </c>
      <c r="D636" s="2" t="s">
        <v>301</v>
      </c>
      <c r="E636" s="2" t="s">
        <v>302</v>
      </c>
      <c r="F636" s="2" t="s">
        <v>3807</v>
      </c>
      <c r="G636" s="2" t="s">
        <v>3807</v>
      </c>
      <c r="H636" s="2" t="s">
        <v>3807</v>
      </c>
      <c r="I636" s="2" t="s">
        <v>347</v>
      </c>
      <c r="J636" s="2" t="s">
        <v>264</v>
      </c>
      <c r="K636" s="2" t="s">
        <v>3874</v>
      </c>
      <c r="L636" s="3">
        <v>19.8</v>
      </c>
      <c r="M636" s="3">
        <v>20.79</v>
      </c>
      <c r="N636" s="3">
        <v>44.99</v>
      </c>
      <c r="O636" s="2" t="s">
        <v>240</v>
      </c>
      <c r="P636" s="2" t="s">
        <v>233</v>
      </c>
      <c r="Q636" s="2" t="s">
        <v>234</v>
      </c>
      <c r="R636" s="2" t="s">
        <v>228</v>
      </c>
      <c r="S636" s="2" t="s">
        <v>3875</v>
      </c>
      <c r="T636" s="2" t="s">
        <v>3810</v>
      </c>
      <c r="U636" s="2" t="s">
        <v>500</v>
      </c>
      <c r="V636" s="2" t="s">
        <v>3876</v>
      </c>
      <c r="W636" s="2" t="s">
        <v>1267</v>
      </c>
      <c r="X636" s="2" t="s">
        <v>269</v>
      </c>
      <c r="Y636" s="2" t="s">
        <v>228</v>
      </c>
      <c r="Z636" s="4"/>
      <c r="AA636" s="4">
        <f>=ROUNDDOWN({0},0)</f>
      </c>
      <c r="AB636" s="5"/>
      <c r="AC636" s="2" t="s">
        <v>3854</v>
      </c>
      <c r="AD636" s="4">
        <v>227</v>
      </c>
      <c r="AE636" s="4">
        <v>594</v>
      </c>
      <c r="AF636" s="6">
        <v>69</v>
      </c>
      <c r="AG636" s="6"/>
      <c r="AH636" s="7"/>
      <c r="AI636" s="4"/>
      <c r="AJ636" s="4">
        <f>=ROUNDDOWN({0},0)</f>
      </c>
      <c r="AK636" s="5"/>
      <c r="AL636" s="2" t="s">
        <v>228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228</v>
      </c>
      <c r="AW636" s="8" t="s">
        <v>228</v>
      </c>
      <c r="AX636" s="4" t="s">
        <v>228</v>
      </c>
      <c r="AY636" s="8" t="s">
        <v>228</v>
      </c>
      <c r="AZ636" s="7" t="s">
        <v>228</v>
      </c>
      <c r="BA636" s="7" t="s">
        <v>228</v>
      </c>
      <c r="BB636" s="7"/>
      <c r="BC636" s="4" t="s">
        <v>228</v>
      </c>
      <c r="BD636" s="8" t="s">
        <v>228</v>
      </c>
      <c r="BE636" s="4" t="s">
        <v>228</v>
      </c>
      <c r="BF636" s="8" t="s">
        <v>228</v>
      </c>
      <c r="BG636" s="7" t="s">
        <v>228</v>
      </c>
      <c r="BH636" s="7" t="s">
        <v>228</v>
      </c>
      <c r="BI636" s="7"/>
      <c r="BJ636" s="4"/>
      <c r="BK636" s="8"/>
      <c r="BL636" s="2" t="s">
        <v>228</v>
      </c>
      <c r="BM636" s="7"/>
      <c r="BN636" s="7"/>
      <c r="BO636" s="4"/>
      <c r="BP636" s="8"/>
      <c r="BQ636" s="4"/>
      <c r="BR636" s="8"/>
      <c r="BS636" s="7"/>
      <c r="BT636" s="7"/>
      <c r="BU636" s="2" t="s">
        <v>238</v>
      </c>
      <c r="BV636" s="2" t="s">
        <v>228</v>
      </c>
      <c r="BW636" s="2" t="s">
        <v>228</v>
      </c>
      <c r="BX636" s="2" t="s">
        <v>3813</v>
      </c>
      <c r="BY636" s="2" t="s">
        <v>239</v>
      </c>
      <c r="BZ636" s="2" t="s">
        <v>240</v>
      </c>
      <c r="CA636" s="2" t="s">
        <v>228</v>
      </c>
      <c r="CB636" s="2" t="s">
        <v>228</v>
      </c>
      <c r="CC636" s="2" t="s">
        <v>241</v>
      </c>
      <c r="CD636" s="2" t="s">
        <v>228</v>
      </c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>
        <v>227</v>
      </c>
      <c r="DW636" s="4"/>
      <c r="DX636" s="4"/>
      <c r="DY636" s="4"/>
      <c r="DZ636" s="4">
        <v>262</v>
      </c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>
        <v>105</v>
      </c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</row>
    <row r="637">
      <c r="A637" s="2" t="s">
        <v>3877</v>
      </c>
      <c r="B637" s="2" t="s">
        <v>299</v>
      </c>
      <c r="C637" s="2" t="s">
        <v>1261</v>
      </c>
      <c r="D637" s="2" t="s">
        <v>301</v>
      </c>
      <c r="E637" s="2" t="s">
        <v>302</v>
      </c>
      <c r="F637" s="2" t="s">
        <v>3807</v>
      </c>
      <c r="G637" s="2" t="s">
        <v>3807</v>
      </c>
      <c r="H637" s="2" t="s">
        <v>3807</v>
      </c>
      <c r="I637" s="2" t="s">
        <v>347</v>
      </c>
      <c r="J637" s="2" t="s">
        <v>284</v>
      </c>
      <c r="K637" s="2" t="s">
        <v>3874</v>
      </c>
      <c r="L637" s="3">
        <v>21.78</v>
      </c>
      <c r="M637" s="3">
        <v>22.87</v>
      </c>
      <c r="N637" s="3">
        <v>49.99</v>
      </c>
      <c r="O637" s="2" t="s">
        <v>240</v>
      </c>
      <c r="P637" s="2" t="s">
        <v>233</v>
      </c>
      <c r="Q637" s="2" t="s">
        <v>234</v>
      </c>
      <c r="R637" s="2" t="s">
        <v>228</v>
      </c>
      <c r="S637" s="2" t="s">
        <v>3875</v>
      </c>
      <c r="T637" s="2" t="s">
        <v>3810</v>
      </c>
      <c r="U637" s="2" t="s">
        <v>308</v>
      </c>
      <c r="V637" s="2" t="s">
        <v>3876</v>
      </c>
      <c r="W637" s="2" t="s">
        <v>1267</v>
      </c>
      <c r="X637" s="2" t="s">
        <v>269</v>
      </c>
      <c r="Y637" s="2" t="s">
        <v>228</v>
      </c>
      <c r="Z637" s="4"/>
      <c r="AA637" s="4">
        <f>=ROUNDDOWN({0},0)</f>
      </c>
      <c r="AB637" s="5"/>
      <c r="AC637" s="2" t="s">
        <v>3854</v>
      </c>
      <c r="AD637" s="4">
        <v>264</v>
      </c>
      <c r="AE637" s="4">
        <v>624</v>
      </c>
      <c r="AF637" s="6">
        <v>69</v>
      </c>
      <c r="AG637" s="6"/>
      <c r="AH637" s="7"/>
      <c r="AI637" s="4"/>
      <c r="AJ637" s="4">
        <f>=ROUNDDOWN({0},0)</f>
      </c>
      <c r="AK637" s="5"/>
      <c r="AL637" s="2" t="s">
        <v>228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228</v>
      </c>
      <c r="AW637" s="8" t="s">
        <v>228</v>
      </c>
      <c r="AX637" s="4" t="s">
        <v>228</v>
      </c>
      <c r="AY637" s="8" t="s">
        <v>228</v>
      </c>
      <c r="AZ637" s="7" t="s">
        <v>228</v>
      </c>
      <c r="BA637" s="7" t="s">
        <v>228</v>
      </c>
      <c r="BB637" s="7"/>
      <c r="BC637" s="4" t="s">
        <v>228</v>
      </c>
      <c r="BD637" s="8" t="s">
        <v>228</v>
      </c>
      <c r="BE637" s="4" t="s">
        <v>228</v>
      </c>
      <c r="BF637" s="8" t="s">
        <v>228</v>
      </c>
      <c r="BG637" s="7" t="s">
        <v>228</v>
      </c>
      <c r="BH637" s="7" t="s">
        <v>228</v>
      </c>
      <c r="BI637" s="7"/>
      <c r="BJ637" s="4"/>
      <c r="BK637" s="8"/>
      <c r="BL637" s="2" t="s">
        <v>228</v>
      </c>
      <c r="BM637" s="7"/>
      <c r="BN637" s="7"/>
      <c r="BO637" s="4"/>
      <c r="BP637" s="8"/>
      <c r="BQ637" s="4"/>
      <c r="BR637" s="8"/>
      <c r="BS637" s="7"/>
      <c r="BT637" s="7"/>
      <c r="BU637" s="2" t="s">
        <v>238</v>
      </c>
      <c r="BV637" s="2" t="s">
        <v>228</v>
      </c>
      <c r="BW637" s="2" t="s">
        <v>228</v>
      </c>
      <c r="BX637" s="2" t="s">
        <v>3813</v>
      </c>
      <c r="BY637" s="2" t="s">
        <v>239</v>
      </c>
      <c r="BZ637" s="2" t="s">
        <v>240</v>
      </c>
      <c r="CA637" s="2" t="s">
        <v>228</v>
      </c>
      <c r="CB637" s="2" t="s">
        <v>228</v>
      </c>
      <c r="CC637" s="2" t="s">
        <v>241</v>
      </c>
      <c r="CD637" s="2" t="s">
        <v>228</v>
      </c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>
        <v>264</v>
      </c>
      <c r="DW637" s="4"/>
      <c r="DX637" s="4"/>
      <c r="DY637" s="4"/>
      <c r="DZ637" s="4">
        <v>257</v>
      </c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>
        <v>103</v>
      </c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</row>
    <row r="638">
      <c r="A638" s="2" t="s">
        <v>3878</v>
      </c>
      <c r="B638" s="2" t="s">
        <v>299</v>
      </c>
      <c r="C638" s="2" t="s">
        <v>1261</v>
      </c>
      <c r="D638" s="2" t="s">
        <v>301</v>
      </c>
      <c r="E638" s="2" t="s">
        <v>302</v>
      </c>
      <c r="F638" s="2" t="s">
        <v>3807</v>
      </c>
      <c r="G638" s="2" t="s">
        <v>3807</v>
      </c>
      <c r="H638" s="2" t="s">
        <v>3807</v>
      </c>
      <c r="I638" s="2" t="s">
        <v>347</v>
      </c>
      <c r="J638" s="2" t="s">
        <v>289</v>
      </c>
      <c r="K638" s="2" t="s">
        <v>3874</v>
      </c>
      <c r="L638" s="3">
        <v>24.3</v>
      </c>
      <c r="M638" s="3">
        <v>25.52</v>
      </c>
      <c r="N638" s="3">
        <v>54.99</v>
      </c>
      <c r="O638" s="2" t="s">
        <v>240</v>
      </c>
      <c r="P638" s="2" t="s">
        <v>233</v>
      </c>
      <c r="Q638" s="2" t="s">
        <v>234</v>
      </c>
      <c r="R638" s="2" t="s">
        <v>228</v>
      </c>
      <c r="S638" s="2" t="s">
        <v>3875</v>
      </c>
      <c r="T638" s="2" t="s">
        <v>3810</v>
      </c>
      <c r="U638" s="2" t="s">
        <v>308</v>
      </c>
      <c r="V638" s="2" t="s">
        <v>3876</v>
      </c>
      <c r="W638" s="2" t="s">
        <v>1267</v>
      </c>
      <c r="X638" s="2" t="s">
        <v>269</v>
      </c>
      <c r="Y638" s="2" t="s">
        <v>228</v>
      </c>
      <c r="Z638" s="4"/>
      <c r="AA638" s="4">
        <f>=ROUNDDOWN({0},0)</f>
      </c>
      <c r="AB638" s="5"/>
      <c r="AC638" s="2" t="s">
        <v>3854</v>
      </c>
      <c r="AD638" s="4">
        <v>625</v>
      </c>
      <c r="AE638" s="4">
        <v>1478</v>
      </c>
      <c r="AF638" s="6">
        <v>69</v>
      </c>
      <c r="AG638" s="6"/>
      <c r="AH638" s="7"/>
      <c r="AI638" s="4"/>
      <c r="AJ638" s="4">
        <f>=ROUNDDOWN({0},0)</f>
      </c>
      <c r="AK638" s="5"/>
      <c r="AL638" s="2" t="s">
        <v>228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228</v>
      </c>
      <c r="AW638" s="8" t="s">
        <v>228</v>
      </c>
      <c r="AX638" s="4" t="s">
        <v>228</v>
      </c>
      <c r="AY638" s="8" t="s">
        <v>228</v>
      </c>
      <c r="AZ638" s="7" t="s">
        <v>228</v>
      </c>
      <c r="BA638" s="7" t="s">
        <v>228</v>
      </c>
      <c r="BB638" s="7"/>
      <c r="BC638" s="4" t="s">
        <v>228</v>
      </c>
      <c r="BD638" s="8" t="s">
        <v>228</v>
      </c>
      <c r="BE638" s="4" t="s">
        <v>228</v>
      </c>
      <c r="BF638" s="8" t="s">
        <v>228</v>
      </c>
      <c r="BG638" s="7" t="s">
        <v>228</v>
      </c>
      <c r="BH638" s="7" t="s">
        <v>228</v>
      </c>
      <c r="BI638" s="7"/>
      <c r="BJ638" s="4"/>
      <c r="BK638" s="8"/>
      <c r="BL638" s="2" t="s">
        <v>228</v>
      </c>
      <c r="BM638" s="7"/>
      <c r="BN638" s="7"/>
      <c r="BO638" s="4"/>
      <c r="BP638" s="8"/>
      <c r="BQ638" s="4"/>
      <c r="BR638" s="8"/>
      <c r="BS638" s="7"/>
      <c r="BT638" s="7"/>
      <c r="BU638" s="2" t="s">
        <v>238</v>
      </c>
      <c r="BV638" s="2" t="s">
        <v>228</v>
      </c>
      <c r="BW638" s="2" t="s">
        <v>228</v>
      </c>
      <c r="BX638" s="2" t="s">
        <v>3813</v>
      </c>
      <c r="BY638" s="2" t="s">
        <v>239</v>
      </c>
      <c r="BZ638" s="2" t="s">
        <v>240</v>
      </c>
      <c r="CA638" s="2" t="s">
        <v>228</v>
      </c>
      <c r="CB638" s="2" t="s">
        <v>228</v>
      </c>
      <c r="CC638" s="2" t="s">
        <v>241</v>
      </c>
      <c r="CD638" s="2" t="s">
        <v>228</v>
      </c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>
        <v>625</v>
      </c>
      <c r="DW638" s="4"/>
      <c r="DX638" s="4"/>
      <c r="DY638" s="4"/>
      <c r="DZ638" s="4">
        <v>609</v>
      </c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>
        <v>244</v>
      </c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</row>
    <row r="639">
      <c r="A639" s="2" t="s">
        <v>3879</v>
      </c>
      <c r="B639" s="2" t="s">
        <v>299</v>
      </c>
      <c r="C639" s="2" t="s">
        <v>1261</v>
      </c>
      <c r="D639" s="2" t="s">
        <v>301</v>
      </c>
      <c r="E639" s="2" t="s">
        <v>302</v>
      </c>
      <c r="F639" s="2" t="s">
        <v>3807</v>
      </c>
      <c r="G639" s="2" t="s">
        <v>3807</v>
      </c>
      <c r="H639" s="2" t="s">
        <v>3807</v>
      </c>
      <c r="I639" s="2" t="s">
        <v>347</v>
      </c>
      <c r="J639" s="2" t="s">
        <v>294</v>
      </c>
      <c r="K639" s="2" t="s">
        <v>3874</v>
      </c>
      <c r="L639" s="3">
        <v>28.98</v>
      </c>
      <c r="M639" s="3">
        <v>30.43</v>
      </c>
      <c r="N639" s="3">
        <v>64.99</v>
      </c>
      <c r="O639" s="2" t="s">
        <v>240</v>
      </c>
      <c r="P639" s="2" t="s">
        <v>233</v>
      </c>
      <c r="Q639" s="2" t="s">
        <v>234</v>
      </c>
      <c r="R639" s="2" t="s">
        <v>228</v>
      </c>
      <c r="S639" s="2" t="s">
        <v>3875</v>
      </c>
      <c r="T639" s="2" t="s">
        <v>3810</v>
      </c>
      <c r="U639" s="2" t="s">
        <v>308</v>
      </c>
      <c r="V639" s="2" t="s">
        <v>3876</v>
      </c>
      <c r="W639" s="2" t="s">
        <v>1267</v>
      </c>
      <c r="X639" s="2" t="s">
        <v>269</v>
      </c>
      <c r="Y639" s="2" t="s">
        <v>228</v>
      </c>
      <c r="Z639" s="4"/>
      <c r="AA639" s="4">
        <f>=ROUNDDOWN({0},0)</f>
      </c>
      <c r="AB639" s="5"/>
      <c r="AC639" s="2" t="s">
        <v>3854</v>
      </c>
      <c r="AD639" s="4">
        <v>352</v>
      </c>
      <c r="AE639" s="4">
        <v>894</v>
      </c>
      <c r="AF639" s="6">
        <v>69</v>
      </c>
      <c r="AG639" s="6"/>
      <c r="AH639" s="7"/>
      <c r="AI639" s="4"/>
      <c r="AJ639" s="4">
        <f>=ROUNDDOWN({0},0)</f>
      </c>
      <c r="AK639" s="5"/>
      <c r="AL639" s="2" t="s">
        <v>228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228</v>
      </c>
      <c r="AW639" s="8" t="s">
        <v>228</v>
      </c>
      <c r="AX639" s="4" t="s">
        <v>228</v>
      </c>
      <c r="AY639" s="8" t="s">
        <v>228</v>
      </c>
      <c r="AZ639" s="7" t="s">
        <v>228</v>
      </c>
      <c r="BA639" s="7" t="s">
        <v>228</v>
      </c>
      <c r="BB639" s="7"/>
      <c r="BC639" s="4" t="s">
        <v>228</v>
      </c>
      <c r="BD639" s="8" t="s">
        <v>228</v>
      </c>
      <c r="BE639" s="4" t="s">
        <v>228</v>
      </c>
      <c r="BF639" s="8" t="s">
        <v>228</v>
      </c>
      <c r="BG639" s="7" t="s">
        <v>228</v>
      </c>
      <c r="BH639" s="7" t="s">
        <v>228</v>
      </c>
      <c r="BI639" s="7"/>
      <c r="BJ639" s="4"/>
      <c r="BK639" s="8"/>
      <c r="BL639" s="2" t="s">
        <v>228</v>
      </c>
      <c r="BM639" s="7"/>
      <c r="BN639" s="7"/>
      <c r="BO639" s="4"/>
      <c r="BP639" s="8"/>
      <c r="BQ639" s="4"/>
      <c r="BR639" s="8"/>
      <c r="BS639" s="7"/>
      <c r="BT639" s="7"/>
      <c r="BU639" s="2" t="s">
        <v>238</v>
      </c>
      <c r="BV639" s="2" t="s">
        <v>228</v>
      </c>
      <c r="BW639" s="2" t="s">
        <v>228</v>
      </c>
      <c r="BX639" s="2" t="s">
        <v>3813</v>
      </c>
      <c r="BY639" s="2" t="s">
        <v>239</v>
      </c>
      <c r="BZ639" s="2" t="s">
        <v>240</v>
      </c>
      <c r="CA639" s="2" t="s">
        <v>228</v>
      </c>
      <c r="CB639" s="2" t="s">
        <v>228</v>
      </c>
      <c r="CC639" s="2" t="s">
        <v>241</v>
      </c>
      <c r="CD639" s="2" t="s">
        <v>228</v>
      </c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>
        <v>352</v>
      </c>
      <c r="DW639" s="4"/>
      <c r="DX639" s="4"/>
      <c r="DY639" s="4"/>
      <c r="DZ639" s="4">
        <v>387</v>
      </c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>
        <v>155</v>
      </c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</row>
    <row r="640">
      <c r="A640" s="2" t="s">
        <v>3880</v>
      </c>
      <c r="B640" s="2" t="s">
        <v>299</v>
      </c>
      <c r="C640" s="2" t="s">
        <v>1261</v>
      </c>
      <c r="D640" s="2" t="s">
        <v>301</v>
      </c>
      <c r="E640" s="2" t="s">
        <v>302</v>
      </c>
      <c r="F640" s="2" t="s">
        <v>3807</v>
      </c>
      <c r="G640" s="2" t="s">
        <v>3807</v>
      </c>
      <c r="H640" s="2" t="s">
        <v>3807</v>
      </c>
      <c r="I640" s="2" t="s">
        <v>347</v>
      </c>
      <c r="J640" s="2" t="s">
        <v>312</v>
      </c>
      <c r="K640" s="2" t="s">
        <v>3874</v>
      </c>
      <c r="L640" s="3">
        <v>28.98</v>
      </c>
      <c r="M640" s="3">
        <v>30.43</v>
      </c>
      <c r="N640" s="3">
        <v>64.99</v>
      </c>
      <c r="O640" s="2" t="s">
        <v>240</v>
      </c>
      <c r="P640" s="2" t="s">
        <v>233</v>
      </c>
      <c r="Q640" s="2" t="s">
        <v>234</v>
      </c>
      <c r="R640" s="2" t="s">
        <v>228</v>
      </c>
      <c r="S640" s="2" t="s">
        <v>3875</v>
      </c>
      <c r="T640" s="2" t="s">
        <v>3810</v>
      </c>
      <c r="U640" s="2" t="s">
        <v>308</v>
      </c>
      <c r="V640" s="2" t="s">
        <v>3876</v>
      </c>
      <c r="W640" s="2" t="s">
        <v>1267</v>
      </c>
      <c r="X640" s="2" t="s">
        <v>269</v>
      </c>
      <c r="Y640" s="2" t="s">
        <v>228</v>
      </c>
      <c r="Z640" s="4"/>
      <c r="AA640" s="4">
        <f>=ROUNDDOWN({0},0)</f>
      </c>
      <c r="AB640" s="5"/>
      <c r="AC640" s="2" t="s">
        <v>3854</v>
      </c>
      <c r="AD640" s="4">
        <v>156</v>
      </c>
      <c r="AE640" s="4">
        <v>428</v>
      </c>
      <c r="AF640" s="6">
        <v>69</v>
      </c>
      <c r="AG640" s="6"/>
      <c r="AH640" s="7"/>
      <c r="AI640" s="4"/>
      <c r="AJ640" s="4">
        <f>=ROUNDDOWN({0},0)</f>
      </c>
      <c r="AK640" s="5"/>
      <c r="AL640" s="2" t="s">
        <v>228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228</v>
      </c>
      <c r="AW640" s="8" t="s">
        <v>228</v>
      </c>
      <c r="AX640" s="4" t="s">
        <v>228</v>
      </c>
      <c r="AY640" s="8" t="s">
        <v>228</v>
      </c>
      <c r="AZ640" s="7" t="s">
        <v>228</v>
      </c>
      <c r="BA640" s="7" t="s">
        <v>228</v>
      </c>
      <c r="BB640" s="7"/>
      <c r="BC640" s="4" t="s">
        <v>228</v>
      </c>
      <c r="BD640" s="8" t="s">
        <v>228</v>
      </c>
      <c r="BE640" s="4" t="s">
        <v>228</v>
      </c>
      <c r="BF640" s="8" t="s">
        <v>228</v>
      </c>
      <c r="BG640" s="7" t="s">
        <v>228</v>
      </c>
      <c r="BH640" s="7" t="s">
        <v>228</v>
      </c>
      <c r="BI640" s="7"/>
      <c r="BJ640" s="4"/>
      <c r="BK640" s="8"/>
      <c r="BL640" s="2" t="s">
        <v>228</v>
      </c>
      <c r="BM640" s="7"/>
      <c r="BN640" s="7"/>
      <c r="BO640" s="4"/>
      <c r="BP640" s="8"/>
      <c r="BQ640" s="4"/>
      <c r="BR640" s="8"/>
      <c r="BS640" s="7"/>
      <c r="BT640" s="7"/>
      <c r="BU640" s="2" t="s">
        <v>238</v>
      </c>
      <c r="BV640" s="2" t="s">
        <v>228</v>
      </c>
      <c r="BW640" s="2" t="s">
        <v>228</v>
      </c>
      <c r="BX640" s="2" t="s">
        <v>3813</v>
      </c>
      <c r="BY640" s="2" t="s">
        <v>239</v>
      </c>
      <c r="BZ640" s="2" t="s">
        <v>240</v>
      </c>
      <c r="CA640" s="2" t="s">
        <v>228</v>
      </c>
      <c r="CB640" s="2" t="s">
        <v>228</v>
      </c>
      <c r="CC640" s="2" t="s">
        <v>241</v>
      </c>
      <c r="CD640" s="2" t="s">
        <v>228</v>
      </c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>
        <v>156</v>
      </c>
      <c r="DW640" s="4"/>
      <c r="DX640" s="4"/>
      <c r="DY640" s="4"/>
      <c r="DZ640" s="4">
        <v>194</v>
      </c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>
        <v>78</v>
      </c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</row>
    <row r="641">
      <c r="A641" s="2" t="s">
        <v>3881</v>
      </c>
      <c r="B641" s="2" t="s">
        <v>299</v>
      </c>
      <c r="C641" s="2" t="s">
        <v>1261</v>
      </c>
      <c r="D641" s="2" t="s">
        <v>301</v>
      </c>
      <c r="E641" s="2" t="s">
        <v>302</v>
      </c>
      <c r="F641" s="2" t="s">
        <v>3807</v>
      </c>
      <c r="G641" s="2" t="s">
        <v>3807</v>
      </c>
      <c r="H641" s="2" t="s">
        <v>3807</v>
      </c>
      <c r="I641" s="2" t="s">
        <v>347</v>
      </c>
      <c r="J641" s="2" t="s">
        <v>264</v>
      </c>
      <c r="K641" s="2" t="s">
        <v>2242</v>
      </c>
      <c r="L641" s="3">
        <v>19.8</v>
      </c>
      <c r="M641" s="3">
        <v>20.79</v>
      </c>
      <c r="N641" s="3">
        <v>44.99</v>
      </c>
      <c r="O641" s="2" t="s">
        <v>240</v>
      </c>
      <c r="P641" s="2" t="s">
        <v>233</v>
      </c>
      <c r="Q641" s="2" t="s">
        <v>234</v>
      </c>
      <c r="R641" s="2" t="s">
        <v>228</v>
      </c>
      <c r="S641" s="2" t="s">
        <v>3882</v>
      </c>
      <c r="T641" s="2" t="s">
        <v>3810</v>
      </c>
      <c r="U641" s="2" t="s">
        <v>308</v>
      </c>
      <c r="V641" s="2" t="s">
        <v>1438</v>
      </c>
      <c r="W641" s="2" t="s">
        <v>1267</v>
      </c>
      <c r="X641" s="2" t="s">
        <v>269</v>
      </c>
      <c r="Y641" s="2" t="s">
        <v>228</v>
      </c>
      <c r="Z641" s="4"/>
      <c r="AA641" s="4">
        <f>=ROUNDDOWN({0},0)</f>
      </c>
      <c r="AB641" s="5"/>
      <c r="AC641" s="2" t="s">
        <v>3854</v>
      </c>
      <c r="AD641" s="4">
        <v>461</v>
      </c>
      <c r="AE641" s="4">
        <v>1538</v>
      </c>
      <c r="AF641" s="6">
        <v>69</v>
      </c>
      <c r="AG641" s="6"/>
      <c r="AH641" s="7"/>
      <c r="AI641" s="4"/>
      <c r="AJ641" s="4">
        <f>=ROUNDDOWN({0},0)</f>
      </c>
      <c r="AK641" s="5"/>
      <c r="AL641" s="2" t="s">
        <v>228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228</v>
      </c>
      <c r="AW641" s="8" t="s">
        <v>228</v>
      </c>
      <c r="AX641" s="4" t="s">
        <v>228</v>
      </c>
      <c r="AY641" s="8" t="s">
        <v>228</v>
      </c>
      <c r="AZ641" s="7" t="s">
        <v>228</v>
      </c>
      <c r="BA641" s="7" t="s">
        <v>228</v>
      </c>
      <c r="BB641" s="7"/>
      <c r="BC641" s="4" t="s">
        <v>228</v>
      </c>
      <c r="BD641" s="8" t="s">
        <v>228</v>
      </c>
      <c r="BE641" s="4" t="s">
        <v>228</v>
      </c>
      <c r="BF641" s="8" t="s">
        <v>228</v>
      </c>
      <c r="BG641" s="7" t="s">
        <v>228</v>
      </c>
      <c r="BH641" s="7" t="s">
        <v>228</v>
      </c>
      <c r="BI641" s="7"/>
      <c r="BJ641" s="4"/>
      <c r="BK641" s="8"/>
      <c r="BL641" s="2" t="s">
        <v>228</v>
      </c>
      <c r="BM641" s="7"/>
      <c r="BN641" s="7"/>
      <c r="BO641" s="4"/>
      <c r="BP641" s="8"/>
      <c r="BQ641" s="4"/>
      <c r="BR641" s="8"/>
      <c r="BS641" s="7"/>
      <c r="BT641" s="7"/>
      <c r="BU641" s="2" t="s">
        <v>238</v>
      </c>
      <c r="BV641" s="2" t="s">
        <v>228</v>
      </c>
      <c r="BW641" s="2" t="s">
        <v>228</v>
      </c>
      <c r="BX641" s="2" t="s">
        <v>3813</v>
      </c>
      <c r="BY641" s="2" t="s">
        <v>239</v>
      </c>
      <c r="BZ641" s="2" t="s">
        <v>240</v>
      </c>
      <c r="CA641" s="2" t="s">
        <v>228</v>
      </c>
      <c r="CB641" s="2" t="s">
        <v>228</v>
      </c>
      <c r="CC641" s="2" t="s">
        <v>241</v>
      </c>
      <c r="CD641" s="2" t="s">
        <v>228</v>
      </c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>
        <v>461</v>
      </c>
      <c r="DW641" s="4"/>
      <c r="DX641" s="4"/>
      <c r="DY641" s="4"/>
      <c r="DZ641" s="4">
        <v>769</v>
      </c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>
        <v>308</v>
      </c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</row>
    <row r="642">
      <c r="A642" s="2" t="s">
        <v>3883</v>
      </c>
      <c r="B642" s="2" t="s">
        <v>299</v>
      </c>
      <c r="C642" s="2" t="s">
        <v>1261</v>
      </c>
      <c r="D642" s="2" t="s">
        <v>301</v>
      </c>
      <c r="E642" s="2" t="s">
        <v>302</v>
      </c>
      <c r="F642" s="2" t="s">
        <v>3807</v>
      </c>
      <c r="G642" s="2" t="s">
        <v>3807</v>
      </c>
      <c r="H642" s="2" t="s">
        <v>3807</v>
      </c>
      <c r="I642" s="2" t="s">
        <v>347</v>
      </c>
      <c r="J642" s="2" t="s">
        <v>284</v>
      </c>
      <c r="K642" s="2" t="s">
        <v>2242</v>
      </c>
      <c r="L642" s="3">
        <v>21.78</v>
      </c>
      <c r="M642" s="3">
        <v>22.87</v>
      </c>
      <c r="N642" s="3">
        <v>49.99</v>
      </c>
      <c r="O642" s="2" t="s">
        <v>240</v>
      </c>
      <c r="P642" s="2" t="s">
        <v>233</v>
      </c>
      <c r="Q642" s="2" t="s">
        <v>234</v>
      </c>
      <c r="R642" s="2" t="s">
        <v>228</v>
      </c>
      <c r="S642" s="2" t="s">
        <v>3882</v>
      </c>
      <c r="T642" s="2" t="s">
        <v>3810</v>
      </c>
      <c r="U642" s="2" t="s">
        <v>308</v>
      </c>
      <c r="V642" s="2" t="s">
        <v>1438</v>
      </c>
      <c r="W642" s="2" t="s">
        <v>1267</v>
      </c>
      <c r="X642" s="2" t="s">
        <v>269</v>
      </c>
      <c r="Y642" s="2" t="s">
        <v>228</v>
      </c>
      <c r="Z642" s="4"/>
      <c r="AA642" s="4">
        <f>=ROUNDDOWN({0},0)</f>
      </c>
      <c r="AB642" s="5"/>
      <c r="AC642" s="2" t="s">
        <v>3854</v>
      </c>
      <c r="AD642" s="4">
        <v>356</v>
      </c>
      <c r="AE642" s="4">
        <v>1188</v>
      </c>
      <c r="AF642" s="6">
        <v>69</v>
      </c>
      <c r="AG642" s="6"/>
      <c r="AH642" s="7"/>
      <c r="AI642" s="4"/>
      <c r="AJ642" s="4">
        <f>=ROUNDDOWN({0},0)</f>
      </c>
      <c r="AK642" s="5"/>
      <c r="AL642" s="2" t="s">
        <v>228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228</v>
      </c>
      <c r="AW642" s="8" t="s">
        <v>228</v>
      </c>
      <c r="AX642" s="4" t="s">
        <v>228</v>
      </c>
      <c r="AY642" s="8" t="s">
        <v>228</v>
      </c>
      <c r="AZ642" s="7" t="s">
        <v>228</v>
      </c>
      <c r="BA642" s="7" t="s">
        <v>228</v>
      </c>
      <c r="BB642" s="7"/>
      <c r="BC642" s="4" t="s">
        <v>228</v>
      </c>
      <c r="BD642" s="8" t="s">
        <v>228</v>
      </c>
      <c r="BE642" s="4" t="s">
        <v>228</v>
      </c>
      <c r="BF642" s="8" t="s">
        <v>228</v>
      </c>
      <c r="BG642" s="7" t="s">
        <v>228</v>
      </c>
      <c r="BH642" s="7" t="s">
        <v>228</v>
      </c>
      <c r="BI642" s="7"/>
      <c r="BJ642" s="4"/>
      <c r="BK642" s="8"/>
      <c r="BL642" s="2" t="s">
        <v>228</v>
      </c>
      <c r="BM642" s="7"/>
      <c r="BN642" s="7"/>
      <c r="BO642" s="4"/>
      <c r="BP642" s="8"/>
      <c r="BQ642" s="4"/>
      <c r="BR642" s="8"/>
      <c r="BS642" s="7"/>
      <c r="BT642" s="7"/>
      <c r="BU642" s="2" t="s">
        <v>238</v>
      </c>
      <c r="BV642" s="2" t="s">
        <v>228</v>
      </c>
      <c r="BW642" s="2" t="s">
        <v>228</v>
      </c>
      <c r="BX642" s="2" t="s">
        <v>3813</v>
      </c>
      <c r="BY642" s="2" t="s">
        <v>239</v>
      </c>
      <c r="BZ642" s="2" t="s">
        <v>240</v>
      </c>
      <c r="CA642" s="2" t="s">
        <v>228</v>
      </c>
      <c r="CB642" s="2" t="s">
        <v>228</v>
      </c>
      <c r="CC642" s="2" t="s">
        <v>241</v>
      </c>
      <c r="CD642" s="2" t="s">
        <v>228</v>
      </c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>
        <v>356</v>
      </c>
      <c r="DW642" s="4"/>
      <c r="DX642" s="4"/>
      <c r="DY642" s="4"/>
      <c r="DZ642" s="4">
        <v>594</v>
      </c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>
        <v>238</v>
      </c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</row>
    <row r="643">
      <c r="A643" s="2" t="s">
        <v>3884</v>
      </c>
      <c r="B643" s="2" t="s">
        <v>299</v>
      </c>
      <c r="C643" s="2" t="s">
        <v>1261</v>
      </c>
      <c r="D643" s="2" t="s">
        <v>301</v>
      </c>
      <c r="E643" s="2" t="s">
        <v>302</v>
      </c>
      <c r="F643" s="2" t="s">
        <v>3807</v>
      </c>
      <c r="G643" s="2" t="s">
        <v>3807</v>
      </c>
      <c r="H643" s="2" t="s">
        <v>3807</v>
      </c>
      <c r="I643" s="2" t="s">
        <v>347</v>
      </c>
      <c r="J643" s="2" t="s">
        <v>294</v>
      </c>
      <c r="K643" s="2" t="s">
        <v>2242</v>
      </c>
      <c r="L643" s="3">
        <v>28.98</v>
      </c>
      <c r="M643" s="3">
        <v>30.43</v>
      </c>
      <c r="N643" s="3">
        <v>64.99</v>
      </c>
      <c r="O643" s="2" t="s">
        <v>240</v>
      </c>
      <c r="P643" s="2" t="s">
        <v>715</v>
      </c>
      <c r="Q643" s="2" t="s">
        <v>234</v>
      </c>
      <c r="R643" s="2" t="s">
        <v>228</v>
      </c>
      <c r="S643" s="2" t="s">
        <v>3885</v>
      </c>
      <c r="T643" s="2" t="s">
        <v>3810</v>
      </c>
      <c r="U643" s="2" t="s">
        <v>228</v>
      </c>
      <c r="V643" s="2" t="s">
        <v>1438</v>
      </c>
      <c r="W643" s="2" t="s">
        <v>1267</v>
      </c>
      <c r="X643" s="2" t="s">
        <v>269</v>
      </c>
      <c r="Y643" s="2" t="s">
        <v>270</v>
      </c>
      <c r="Z643" s="4">
        <v>49</v>
      </c>
      <c r="AA643" s="4">
        <f>=ROUNDDOWN(1.63333333333333,0)</f>
      </c>
      <c r="AB643" s="5">
        <v>30</v>
      </c>
      <c r="AC643" s="2" t="s">
        <v>1014</v>
      </c>
      <c r="AD643" s="4">
        <v>533</v>
      </c>
      <c r="AE643" s="4">
        <v>1143</v>
      </c>
      <c r="AF643" s="6">
        <v>69</v>
      </c>
      <c r="AG643" s="6"/>
      <c r="AH643" s="7">
        <v>1</v>
      </c>
      <c r="AI643" s="4"/>
      <c r="AJ643" s="4">
        <f>=ROUNDDOWN({0},0)</f>
      </c>
      <c r="AK643" s="5"/>
      <c r="AL643" s="2" t="s">
        <v>228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228</v>
      </c>
      <c r="AW643" s="8" t="s">
        <v>228</v>
      </c>
      <c r="AX643" s="4" t="s">
        <v>228</v>
      </c>
      <c r="AY643" s="8" t="s">
        <v>228</v>
      </c>
      <c r="AZ643" s="7" t="s">
        <v>228</v>
      </c>
      <c r="BA643" s="7" t="s">
        <v>228</v>
      </c>
      <c r="BB643" s="7"/>
      <c r="BC643" s="4" t="s">
        <v>228</v>
      </c>
      <c r="BD643" s="8" t="s">
        <v>228</v>
      </c>
      <c r="BE643" s="4" t="s">
        <v>228</v>
      </c>
      <c r="BF643" s="8" t="s">
        <v>228</v>
      </c>
      <c r="BG643" s="7" t="s">
        <v>228</v>
      </c>
      <c r="BH643" s="7" t="s">
        <v>228</v>
      </c>
      <c r="BI643" s="7"/>
      <c r="BJ643" s="4">
        <v>86</v>
      </c>
      <c r="BK643" s="8">
        <v>2898.97</v>
      </c>
      <c r="BL643" s="2" t="s">
        <v>3886</v>
      </c>
      <c r="BM643" s="7"/>
      <c r="BN643" s="7"/>
      <c r="BO643" s="4"/>
      <c r="BP643" s="8"/>
      <c r="BQ643" s="4"/>
      <c r="BR643" s="8"/>
      <c r="BS643" s="7"/>
      <c r="BT643" s="7"/>
      <c r="BU643" s="2" t="s">
        <v>3887</v>
      </c>
      <c r="BV643" s="2" t="s">
        <v>228</v>
      </c>
      <c r="BW643" s="2" t="s">
        <v>228</v>
      </c>
      <c r="BX643" s="2" t="s">
        <v>3813</v>
      </c>
      <c r="BY643" s="2" t="s">
        <v>274</v>
      </c>
      <c r="BZ643" s="2" t="s">
        <v>240</v>
      </c>
      <c r="CA643" s="2" t="s">
        <v>3871</v>
      </c>
      <c r="CB643" s="2" t="s">
        <v>3888</v>
      </c>
      <c r="CC643" s="2" t="s">
        <v>241</v>
      </c>
      <c r="CD643" s="2" t="s">
        <v>228</v>
      </c>
      <c r="CE643" s="4">
        <v>49</v>
      </c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>
        <v>533</v>
      </c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>
        <v>256</v>
      </c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>
        <v>354</v>
      </c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</row>
    <row r="644">
      <c r="A644" s="2" t="s">
        <v>3889</v>
      </c>
      <c r="B644" s="2" t="s">
        <v>299</v>
      </c>
      <c r="C644" s="2" t="s">
        <v>1261</v>
      </c>
      <c r="D644" s="2" t="s">
        <v>301</v>
      </c>
      <c r="E644" s="2" t="s">
        <v>302</v>
      </c>
      <c r="F644" s="2" t="s">
        <v>3807</v>
      </c>
      <c r="G644" s="2" t="s">
        <v>3807</v>
      </c>
      <c r="H644" s="2" t="s">
        <v>3807</v>
      </c>
      <c r="I644" s="2" t="s">
        <v>347</v>
      </c>
      <c r="J644" s="2" t="s">
        <v>312</v>
      </c>
      <c r="K644" s="2" t="s">
        <v>2242</v>
      </c>
      <c r="L644" s="3">
        <v>28.98</v>
      </c>
      <c r="M644" s="3">
        <v>30.43</v>
      </c>
      <c r="N644" s="3">
        <v>64.99</v>
      </c>
      <c r="O644" s="2" t="s">
        <v>240</v>
      </c>
      <c r="P644" s="2" t="s">
        <v>233</v>
      </c>
      <c r="Q644" s="2" t="s">
        <v>234</v>
      </c>
      <c r="R644" s="2" t="s">
        <v>228</v>
      </c>
      <c r="S644" s="2" t="s">
        <v>3882</v>
      </c>
      <c r="T644" s="2" t="s">
        <v>3810</v>
      </c>
      <c r="U644" s="2" t="s">
        <v>308</v>
      </c>
      <c r="V644" s="2" t="s">
        <v>1438</v>
      </c>
      <c r="W644" s="2" t="s">
        <v>1267</v>
      </c>
      <c r="X644" s="2" t="s">
        <v>269</v>
      </c>
      <c r="Y644" s="2" t="s">
        <v>228</v>
      </c>
      <c r="Z644" s="4"/>
      <c r="AA644" s="4">
        <f>=ROUNDDOWN({0},0)</f>
      </c>
      <c r="AB644" s="5"/>
      <c r="AC644" s="2" t="s">
        <v>3854</v>
      </c>
      <c r="AD644" s="4">
        <v>189</v>
      </c>
      <c r="AE644" s="4">
        <v>619</v>
      </c>
      <c r="AF644" s="6">
        <v>69</v>
      </c>
      <c r="AG644" s="6"/>
      <c r="AH644" s="7"/>
      <c r="AI644" s="4"/>
      <c r="AJ644" s="4">
        <f>=ROUNDDOWN({0},0)</f>
      </c>
      <c r="AK644" s="5"/>
      <c r="AL644" s="2" t="s">
        <v>228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 t="s">
        <v>228</v>
      </c>
      <c r="AW644" s="8" t="s">
        <v>228</v>
      </c>
      <c r="AX644" s="4" t="s">
        <v>228</v>
      </c>
      <c r="AY644" s="8" t="s">
        <v>228</v>
      </c>
      <c r="AZ644" s="7" t="s">
        <v>228</v>
      </c>
      <c r="BA644" s="7" t="s">
        <v>228</v>
      </c>
      <c r="BB644" s="7"/>
      <c r="BC644" s="4" t="s">
        <v>228</v>
      </c>
      <c r="BD644" s="8" t="s">
        <v>228</v>
      </c>
      <c r="BE644" s="4" t="s">
        <v>228</v>
      </c>
      <c r="BF644" s="8" t="s">
        <v>228</v>
      </c>
      <c r="BG644" s="7" t="s">
        <v>228</v>
      </c>
      <c r="BH644" s="7" t="s">
        <v>228</v>
      </c>
      <c r="BI644" s="7"/>
      <c r="BJ644" s="4"/>
      <c r="BK644" s="8"/>
      <c r="BL644" s="2" t="s">
        <v>228</v>
      </c>
      <c r="BM644" s="7"/>
      <c r="BN644" s="7"/>
      <c r="BO644" s="4"/>
      <c r="BP644" s="8"/>
      <c r="BQ644" s="4"/>
      <c r="BR644" s="8"/>
      <c r="BS644" s="7"/>
      <c r="BT644" s="7"/>
      <c r="BU644" s="2" t="s">
        <v>238</v>
      </c>
      <c r="BV644" s="2" t="s">
        <v>228</v>
      </c>
      <c r="BW644" s="2" t="s">
        <v>228</v>
      </c>
      <c r="BX644" s="2" t="s">
        <v>3813</v>
      </c>
      <c r="BY644" s="2" t="s">
        <v>239</v>
      </c>
      <c r="BZ644" s="2" t="s">
        <v>240</v>
      </c>
      <c r="CA644" s="2" t="s">
        <v>228</v>
      </c>
      <c r="CB644" s="2" t="s">
        <v>228</v>
      </c>
      <c r="CC644" s="2" t="s">
        <v>241</v>
      </c>
      <c r="CD644" s="2" t="s">
        <v>228</v>
      </c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>
        <v>189</v>
      </c>
      <c r="DW644" s="4"/>
      <c r="DX644" s="4"/>
      <c r="DY644" s="4"/>
      <c r="DZ644" s="4">
        <v>304</v>
      </c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>
        <v>126</v>
      </c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</row>
    <row r="645">
      <c r="A645" s="2" t="s">
        <v>3890</v>
      </c>
      <c r="B645" s="2" t="s">
        <v>299</v>
      </c>
      <c r="C645" s="2" t="s">
        <v>1261</v>
      </c>
      <c r="D645" s="2" t="s">
        <v>301</v>
      </c>
      <c r="E645" s="2" t="s">
        <v>302</v>
      </c>
      <c r="F645" s="2" t="s">
        <v>3807</v>
      </c>
      <c r="G645" s="2" t="s">
        <v>3807</v>
      </c>
      <c r="H645" s="2" t="s">
        <v>3807</v>
      </c>
      <c r="I645" s="2" t="s">
        <v>347</v>
      </c>
      <c r="J645" s="2" t="s">
        <v>264</v>
      </c>
      <c r="K645" s="2" t="s">
        <v>3891</v>
      </c>
      <c r="L645" s="3">
        <v>19.8</v>
      </c>
      <c r="M645" s="3">
        <v>20.79</v>
      </c>
      <c r="N645" s="3">
        <v>44.99</v>
      </c>
      <c r="O645" s="2" t="s">
        <v>240</v>
      </c>
      <c r="P645" s="2" t="s">
        <v>266</v>
      </c>
      <c r="Q645" s="2" t="s">
        <v>234</v>
      </c>
      <c r="R645" s="2" t="s">
        <v>228</v>
      </c>
      <c r="S645" s="2" t="s">
        <v>3892</v>
      </c>
      <c r="T645" s="2" t="s">
        <v>3810</v>
      </c>
      <c r="U645" s="2" t="s">
        <v>500</v>
      </c>
      <c r="V645" s="2" t="s">
        <v>3717</v>
      </c>
      <c r="W645" s="2" t="s">
        <v>1267</v>
      </c>
      <c r="X645" s="2" t="s">
        <v>269</v>
      </c>
      <c r="Y645" s="2" t="s">
        <v>3811</v>
      </c>
      <c r="Z645" s="4">
        <v>815</v>
      </c>
      <c r="AA645" s="4">
        <f>=ROUNDDOWN(29.1071428571429,0)</f>
      </c>
      <c r="AB645" s="5">
        <v>28</v>
      </c>
      <c r="AC645" s="2" t="s">
        <v>3815</v>
      </c>
      <c r="AD645" s="4">
        <v>233</v>
      </c>
      <c r="AE645" s="4">
        <v>546</v>
      </c>
      <c r="AF645" s="6">
        <v>74</v>
      </c>
      <c r="AG645" s="6"/>
      <c r="AH645" s="7">
        <v>1</v>
      </c>
      <c r="AI645" s="4"/>
      <c r="AJ645" s="4">
        <f>=ROUNDDOWN({0},0)</f>
      </c>
      <c r="AK645" s="5"/>
      <c r="AL645" s="2" t="s">
        <v>228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228</v>
      </c>
      <c r="AW645" s="8" t="s">
        <v>228</v>
      </c>
      <c r="AX645" s="4" t="s">
        <v>228</v>
      </c>
      <c r="AY645" s="8" t="s">
        <v>228</v>
      </c>
      <c r="AZ645" s="7" t="s">
        <v>228</v>
      </c>
      <c r="BA645" s="7" t="s">
        <v>228</v>
      </c>
      <c r="BB645" s="7"/>
      <c r="BC645" s="4" t="s">
        <v>228</v>
      </c>
      <c r="BD645" s="8" t="s">
        <v>228</v>
      </c>
      <c r="BE645" s="4" t="s">
        <v>228</v>
      </c>
      <c r="BF645" s="8" t="s">
        <v>228</v>
      </c>
      <c r="BG645" s="7" t="s">
        <v>228</v>
      </c>
      <c r="BH645" s="7" t="s">
        <v>228</v>
      </c>
      <c r="BI645" s="7"/>
      <c r="BJ645" s="4">
        <v>4</v>
      </c>
      <c r="BK645" s="8">
        <v>82.22</v>
      </c>
      <c r="BL645" s="2" t="s">
        <v>2507</v>
      </c>
      <c r="BM645" s="7"/>
      <c r="BN645" s="7"/>
      <c r="BO645" s="4"/>
      <c r="BP645" s="8"/>
      <c r="BQ645" s="4"/>
      <c r="BR645" s="8"/>
      <c r="BS645" s="7"/>
      <c r="BT645" s="7"/>
      <c r="BU645" s="2" t="s">
        <v>3893</v>
      </c>
      <c r="BV645" s="2" t="s">
        <v>228</v>
      </c>
      <c r="BW645" s="2" t="s">
        <v>228</v>
      </c>
      <c r="BX645" s="2" t="s">
        <v>3813</v>
      </c>
      <c r="BY645" s="2" t="s">
        <v>274</v>
      </c>
      <c r="BZ645" s="2" t="s">
        <v>240</v>
      </c>
      <c r="CA645" s="2" t="s">
        <v>486</v>
      </c>
      <c r="CB645" s="2" t="s">
        <v>719</v>
      </c>
      <c r="CC645" s="2" t="s">
        <v>241</v>
      </c>
      <c r="CD645" s="2" t="s">
        <v>228</v>
      </c>
      <c r="CE645" s="4">
        <v>815</v>
      </c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>
        <v>233</v>
      </c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>
        <v>313</v>
      </c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</row>
    <row r="646">
      <c r="A646" s="2" t="s">
        <v>3894</v>
      </c>
      <c r="B646" s="2" t="s">
        <v>299</v>
      </c>
      <c r="C646" s="2" t="s">
        <v>1261</v>
      </c>
      <c r="D646" s="2" t="s">
        <v>301</v>
      </c>
      <c r="E646" s="2" t="s">
        <v>302</v>
      </c>
      <c r="F646" s="2" t="s">
        <v>3807</v>
      </c>
      <c r="G646" s="2" t="s">
        <v>3807</v>
      </c>
      <c r="H646" s="2" t="s">
        <v>3807</v>
      </c>
      <c r="I646" s="2" t="s">
        <v>347</v>
      </c>
      <c r="J646" s="2" t="s">
        <v>284</v>
      </c>
      <c r="K646" s="2" t="s">
        <v>3891</v>
      </c>
      <c r="L646" s="3">
        <v>21.78</v>
      </c>
      <c r="M646" s="3">
        <v>22.87</v>
      </c>
      <c r="N646" s="3">
        <v>49.99</v>
      </c>
      <c r="O646" s="2" t="s">
        <v>240</v>
      </c>
      <c r="P646" s="2" t="s">
        <v>715</v>
      </c>
      <c r="Q646" s="2" t="s">
        <v>234</v>
      </c>
      <c r="R646" s="2" t="s">
        <v>228</v>
      </c>
      <c r="S646" s="2" t="s">
        <v>3892</v>
      </c>
      <c r="T646" s="2" t="s">
        <v>3810</v>
      </c>
      <c r="U646" s="2" t="s">
        <v>308</v>
      </c>
      <c r="V646" s="2" t="s">
        <v>3717</v>
      </c>
      <c r="W646" s="2" t="s">
        <v>1267</v>
      </c>
      <c r="X646" s="2" t="s">
        <v>269</v>
      </c>
      <c r="Y646" s="2" t="s">
        <v>3811</v>
      </c>
      <c r="Z646" s="4">
        <v>1392</v>
      </c>
      <c r="AA646" s="4">
        <f>=ROUNDDOWN(26.7692307692308,0)</f>
      </c>
      <c r="AB646" s="5">
        <v>52</v>
      </c>
      <c r="AC646" s="2" t="s">
        <v>3815</v>
      </c>
      <c r="AD646" s="4">
        <v>430</v>
      </c>
      <c r="AE646" s="4">
        <v>1027</v>
      </c>
      <c r="AF646" s="6">
        <v>74</v>
      </c>
      <c r="AG646" s="6"/>
      <c r="AH646" s="7">
        <v>1</v>
      </c>
      <c r="AI646" s="4"/>
      <c r="AJ646" s="4">
        <f>=ROUNDDOWN({0},0)</f>
      </c>
      <c r="AK646" s="5"/>
      <c r="AL646" s="2" t="s">
        <v>228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228</v>
      </c>
      <c r="AW646" s="8" t="s">
        <v>228</v>
      </c>
      <c r="AX646" s="4" t="s">
        <v>228</v>
      </c>
      <c r="AY646" s="8" t="s">
        <v>228</v>
      </c>
      <c r="AZ646" s="7" t="s">
        <v>228</v>
      </c>
      <c r="BA646" s="7" t="s">
        <v>228</v>
      </c>
      <c r="BB646" s="7"/>
      <c r="BC646" s="4" t="s">
        <v>228</v>
      </c>
      <c r="BD646" s="8" t="s">
        <v>228</v>
      </c>
      <c r="BE646" s="4" t="s">
        <v>228</v>
      </c>
      <c r="BF646" s="8" t="s">
        <v>228</v>
      </c>
      <c r="BG646" s="7" t="s">
        <v>228</v>
      </c>
      <c r="BH646" s="7" t="s">
        <v>228</v>
      </c>
      <c r="BI646" s="7"/>
      <c r="BJ646" s="4">
        <v>26</v>
      </c>
      <c r="BK646" s="8">
        <v>666.28</v>
      </c>
      <c r="BL646" s="2" t="s">
        <v>3816</v>
      </c>
      <c r="BM646" s="7"/>
      <c r="BN646" s="7"/>
      <c r="BO646" s="4"/>
      <c r="BP646" s="8"/>
      <c r="BQ646" s="4"/>
      <c r="BR646" s="8"/>
      <c r="BS646" s="7"/>
      <c r="BT646" s="7"/>
      <c r="BU646" s="2" t="s">
        <v>3895</v>
      </c>
      <c r="BV646" s="2" t="s">
        <v>228</v>
      </c>
      <c r="BW646" s="2" t="s">
        <v>228</v>
      </c>
      <c r="BX646" s="2" t="s">
        <v>3813</v>
      </c>
      <c r="BY646" s="2" t="s">
        <v>274</v>
      </c>
      <c r="BZ646" s="2" t="s">
        <v>240</v>
      </c>
      <c r="CA646" s="2" t="s">
        <v>486</v>
      </c>
      <c r="CB646" s="2" t="s">
        <v>2192</v>
      </c>
      <c r="CC646" s="2" t="s">
        <v>241</v>
      </c>
      <c r="CD646" s="2" t="s">
        <v>228</v>
      </c>
      <c r="CE646" s="4">
        <v>1392</v>
      </c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>
        <v>430</v>
      </c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>
        <v>597</v>
      </c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</row>
    <row r="647">
      <c r="A647" s="2" t="s">
        <v>3896</v>
      </c>
      <c r="B647" s="2" t="s">
        <v>299</v>
      </c>
      <c r="C647" s="2" t="s">
        <v>1261</v>
      </c>
      <c r="D647" s="2" t="s">
        <v>301</v>
      </c>
      <c r="E647" s="2" t="s">
        <v>302</v>
      </c>
      <c r="F647" s="2" t="s">
        <v>3807</v>
      </c>
      <c r="G647" s="2" t="s">
        <v>3807</v>
      </c>
      <c r="H647" s="2" t="s">
        <v>3807</v>
      </c>
      <c r="I647" s="2" t="s">
        <v>347</v>
      </c>
      <c r="J647" s="2" t="s">
        <v>294</v>
      </c>
      <c r="K647" s="2" t="s">
        <v>3891</v>
      </c>
      <c r="L647" s="3">
        <v>28.98</v>
      </c>
      <c r="M647" s="3">
        <v>30.43</v>
      </c>
      <c r="N647" s="3">
        <v>64.99</v>
      </c>
      <c r="O647" s="2" t="s">
        <v>240</v>
      </c>
      <c r="P647" s="2" t="s">
        <v>715</v>
      </c>
      <c r="Q647" s="2" t="s">
        <v>234</v>
      </c>
      <c r="R647" s="2" t="s">
        <v>228</v>
      </c>
      <c r="S647" s="2" t="s">
        <v>3892</v>
      </c>
      <c r="T647" s="2" t="s">
        <v>3810</v>
      </c>
      <c r="U647" s="2" t="s">
        <v>308</v>
      </c>
      <c r="V647" s="2" t="s">
        <v>3717</v>
      </c>
      <c r="W647" s="2" t="s">
        <v>1267</v>
      </c>
      <c r="X647" s="2" t="s">
        <v>269</v>
      </c>
      <c r="Y647" s="2" t="s">
        <v>3811</v>
      </c>
      <c r="Z647" s="4">
        <v>933</v>
      </c>
      <c r="AA647" s="4">
        <f>=ROUNDDOWN(35.8846153846154,0)</f>
      </c>
      <c r="AB647" s="5">
        <v>26</v>
      </c>
      <c r="AC647" s="2" t="s">
        <v>3815</v>
      </c>
      <c r="AD647" s="4">
        <v>290</v>
      </c>
      <c r="AE647" s="4">
        <v>694</v>
      </c>
      <c r="AF647" s="6">
        <v>74</v>
      </c>
      <c r="AG647" s="6"/>
      <c r="AH647" s="7">
        <v>1</v>
      </c>
      <c r="AI647" s="4"/>
      <c r="AJ647" s="4">
        <f>=ROUNDDOWN({0},0)</f>
      </c>
      <c r="AK647" s="5"/>
      <c r="AL647" s="2" t="s">
        <v>228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228</v>
      </c>
      <c r="AW647" s="8" t="s">
        <v>228</v>
      </c>
      <c r="AX647" s="4" t="s">
        <v>228</v>
      </c>
      <c r="AY647" s="8" t="s">
        <v>228</v>
      </c>
      <c r="AZ647" s="7" t="s">
        <v>228</v>
      </c>
      <c r="BA647" s="7" t="s">
        <v>228</v>
      </c>
      <c r="BB647" s="7"/>
      <c r="BC647" s="4" t="s">
        <v>228</v>
      </c>
      <c r="BD647" s="8" t="s">
        <v>228</v>
      </c>
      <c r="BE647" s="4" t="s">
        <v>228</v>
      </c>
      <c r="BF647" s="8" t="s">
        <v>228</v>
      </c>
      <c r="BG647" s="7" t="s">
        <v>228</v>
      </c>
      <c r="BH647" s="7" t="s">
        <v>228</v>
      </c>
      <c r="BI647" s="7"/>
      <c r="BJ647" s="4">
        <v>27</v>
      </c>
      <c r="BK647" s="8">
        <v>943.28</v>
      </c>
      <c r="BL647" s="2" t="s">
        <v>1245</v>
      </c>
      <c r="BM647" s="7"/>
      <c r="BN647" s="7"/>
      <c r="BO647" s="4"/>
      <c r="BP647" s="8"/>
      <c r="BQ647" s="4"/>
      <c r="BR647" s="8"/>
      <c r="BS647" s="7"/>
      <c r="BT647" s="7"/>
      <c r="BU647" s="2" t="s">
        <v>3897</v>
      </c>
      <c r="BV647" s="2" t="s">
        <v>228</v>
      </c>
      <c r="BW647" s="2" t="s">
        <v>228</v>
      </c>
      <c r="BX647" s="2" t="s">
        <v>3813</v>
      </c>
      <c r="BY647" s="2" t="s">
        <v>274</v>
      </c>
      <c r="BZ647" s="2" t="s">
        <v>240</v>
      </c>
      <c r="CA647" s="2" t="s">
        <v>486</v>
      </c>
      <c r="CB647" s="2" t="s">
        <v>1082</v>
      </c>
      <c r="CC647" s="2" t="s">
        <v>241</v>
      </c>
      <c r="CD647" s="2" t="s">
        <v>228</v>
      </c>
      <c r="CE647" s="4">
        <v>932</v>
      </c>
      <c r="CF647" s="4"/>
      <c r="CG647" s="4"/>
      <c r="CH647" s="4"/>
      <c r="CI647" s="4"/>
      <c r="CJ647" s="4"/>
      <c r="CK647" s="4">
        <v>1</v>
      </c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>
        <v>290</v>
      </c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>
        <v>404</v>
      </c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</row>
    <row r="648">
      <c r="A648" s="2" t="s">
        <v>3898</v>
      </c>
      <c r="B648" s="2" t="s">
        <v>299</v>
      </c>
      <c r="C648" s="2" t="s">
        <v>1261</v>
      </c>
      <c r="D648" s="2" t="s">
        <v>301</v>
      </c>
      <c r="E648" s="2" t="s">
        <v>302</v>
      </c>
      <c r="F648" s="2" t="s">
        <v>3807</v>
      </c>
      <c r="G648" s="2" t="s">
        <v>3807</v>
      </c>
      <c r="H648" s="2" t="s">
        <v>3807</v>
      </c>
      <c r="I648" s="2" t="s">
        <v>347</v>
      </c>
      <c r="J648" s="2" t="s">
        <v>312</v>
      </c>
      <c r="K648" s="2" t="s">
        <v>3891</v>
      </c>
      <c r="L648" s="3">
        <v>28.98</v>
      </c>
      <c r="M648" s="3">
        <v>30.43</v>
      </c>
      <c r="N648" s="3">
        <v>64.99</v>
      </c>
      <c r="O648" s="2" t="s">
        <v>240</v>
      </c>
      <c r="P648" s="2" t="s">
        <v>266</v>
      </c>
      <c r="Q648" s="2" t="s">
        <v>234</v>
      </c>
      <c r="R648" s="2" t="s">
        <v>228</v>
      </c>
      <c r="S648" s="2" t="s">
        <v>3892</v>
      </c>
      <c r="T648" s="2" t="s">
        <v>3810</v>
      </c>
      <c r="U648" s="2" t="s">
        <v>308</v>
      </c>
      <c r="V648" s="2" t="s">
        <v>3717</v>
      </c>
      <c r="W648" s="2" t="s">
        <v>1267</v>
      </c>
      <c r="X648" s="2" t="s">
        <v>269</v>
      </c>
      <c r="Y648" s="2" t="s">
        <v>3811</v>
      </c>
      <c r="Z648" s="4">
        <v>343</v>
      </c>
      <c r="AA648" s="4">
        <f>=ROUNDDOWN(26.3846153846154,0)</f>
      </c>
      <c r="AB648" s="5">
        <v>13</v>
      </c>
      <c r="AC648" s="2" t="s">
        <v>3815</v>
      </c>
      <c r="AD648" s="4">
        <v>108</v>
      </c>
      <c r="AE648" s="4">
        <v>263</v>
      </c>
      <c r="AF648" s="6">
        <v>74</v>
      </c>
      <c r="AG648" s="6"/>
      <c r="AH648" s="7">
        <v>1</v>
      </c>
      <c r="AI648" s="4"/>
      <c r="AJ648" s="4">
        <f>=ROUNDDOWN({0},0)</f>
      </c>
      <c r="AK648" s="5"/>
      <c r="AL648" s="2" t="s">
        <v>228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228</v>
      </c>
      <c r="AW648" s="8" t="s">
        <v>228</v>
      </c>
      <c r="AX648" s="4" t="s">
        <v>228</v>
      </c>
      <c r="AY648" s="8" t="s">
        <v>228</v>
      </c>
      <c r="AZ648" s="7" t="s">
        <v>228</v>
      </c>
      <c r="BA648" s="7" t="s">
        <v>228</v>
      </c>
      <c r="BB648" s="7"/>
      <c r="BC648" s="4" t="s">
        <v>228</v>
      </c>
      <c r="BD648" s="8" t="s">
        <v>228</v>
      </c>
      <c r="BE648" s="4" t="s">
        <v>228</v>
      </c>
      <c r="BF648" s="8" t="s">
        <v>228</v>
      </c>
      <c r="BG648" s="7" t="s">
        <v>228</v>
      </c>
      <c r="BH648" s="7" t="s">
        <v>228</v>
      </c>
      <c r="BI648" s="7"/>
      <c r="BJ648" s="4">
        <v>12</v>
      </c>
      <c r="BK648" s="8">
        <v>410.68</v>
      </c>
      <c r="BL648" s="2" t="s">
        <v>1245</v>
      </c>
      <c r="BM648" s="7"/>
      <c r="BN648" s="7"/>
      <c r="BO648" s="4"/>
      <c r="BP648" s="8"/>
      <c r="BQ648" s="4"/>
      <c r="BR648" s="8"/>
      <c r="BS648" s="7"/>
      <c r="BT648" s="7"/>
      <c r="BU648" s="2" t="s">
        <v>3899</v>
      </c>
      <c r="BV648" s="2" t="s">
        <v>228</v>
      </c>
      <c r="BW648" s="2" t="s">
        <v>228</v>
      </c>
      <c r="BX648" s="2" t="s">
        <v>3813</v>
      </c>
      <c r="BY648" s="2" t="s">
        <v>274</v>
      </c>
      <c r="BZ648" s="2" t="s">
        <v>240</v>
      </c>
      <c r="CA648" s="2" t="s">
        <v>486</v>
      </c>
      <c r="CB648" s="2" t="s">
        <v>1082</v>
      </c>
      <c r="CC648" s="2" t="s">
        <v>241</v>
      </c>
      <c r="CD648" s="2" t="s">
        <v>228</v>
      </c>
      <c r="CE648" s="4">
        <v>343</v>
      </c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>
        <v>108</v>
      </c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>
        <v>155</v>
      </c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</row>
    <row r="649">
      <c r="A649" s="2" t="s">
        <v>3900</v>
      </c>
      <c r="B649" s="2" t="s">
        <v>299</v>
      </c>
      <c r="C649" s="2" t="s">
        <v>1261</v>
      </c>
      <c r="D649" s="2" t="s">
        <v>301</v>
      </c>
      <c r="E649" s="2" t="s">
        <v>302</v>
      </c>
      <c r="F649" s="2" t="s">
        <v>3807</v>
      </c>
      <c r="G649" s="2" t="s">
        <v>3807</v>
      </c>
      <c r="H649" s="2" t="s">
        <v>3807</v>
      </c>
      <c r="I649" s="2" t="s">
        <v>347</v>
      </c>
      <c r="J649" s="2" t="s">
        <v>264</v>
      </c>
      <c r="K649" s="2" t="s">
        <v>3901</v>
      </c>
      <c r="L649" s="3">
        <v>19.8</v>
      </c>
      <c r="M649" s="3">
        <v>20.79</v>
      </c>
      <c r="N649" s="3">
        <v>44.99</v>
      </c>
      <c r="O649" s="2" t="s">
        <v>240</v>
      </c>
      <c r="P649" s="2" t="s">
        <v>233</v>
      </c>
      <c r="Q649" s="2" t="s">
        <v>234</v>
      </c>
      <c r="R649" s="2" t="s">
        <v>228</v>
      </c>
      <c r="S649" s="2" t="s">
        <v>3902</v>
      </c>
      <c r="T649" s="2" t="s">
        <v>3810</v>
      </c>
      <c r="U649" s="2" t="s">
        <v>500</v>
      </c>
      <c r="V649" s="2" t="s">
        <v>3717</v>
      </c>
      <c r="W649" s="2" t="s">
        <v>1267</v>
      </c>
      <c r="X649" s="2" t="s">
        <v>269</v>
      </c>
      <c r="Y649" s="2" t="s">
        <v>228</v>
      </c>
      <c r="Z649" s="4"/>
      <c r="AA649" s="4">
        <f>=ROUNDDOWN({0},0)</f>
      </c>
      <c r="AB649" s="5"/>
      <c r="AC649" s="2" t="s">
        <v>3854</v>
      </c>
      <c r="AD649" s="4">
        <v>347</v>
      </c>
      <c r="AE649" s="4">
        <v>993</v>
      </c>
      <c r="AF649" s="6">
        <v>69</v>
      </c>
      <c r="AG649" s="6"/>
      <c r="AH649" s="7"/>
      <c r="AI649" s="4"/>
      <c r="AJ649" s="4">
        <f>=ROUNDDOWN({0},0)</f>
      </c>
      <c r="AK649" s="5"/>
      <c r="AL649" s="2" t="s">
        <v>228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228</v>
      </c>
      <c r="AW649" s="8" t="s">
        <v>228</v>
      </c>
      <c r="AX649" s="4" t="s">
        <v>228</v>
      </c>
      <c r="AY649" s="8" t="s">
        <v>228</v>
      </c>
      <c r="AZ649" s="7" t="s">
        <v>228</v>
      </c>
      <c r="BA649" s="7" t="s">
        <v>228</v>
      </c>
      <c r="BB649" s="7"/>
      <c r="BC649" s="4" t="s">
        <v>228</v>
      </c>
      <c r="BD649" s="8" t="s">
        <v>228</v>
      </c>
      <c r="BE649" s="4" t="s">
        <v>228</v>
      </c>
      <c r="BF649" s="8" t="s">
        <v>228</v>
      </c>
      <c r="BG649" s="7" t="s">
        <v>228</v>
      </c>
      <c r="BH649" s="7" t="s">
        <v>228</v>
      </c>
      <c r="BI649" s="7"/>
      <c r="BJ649" s="4"/>
      <c r="BK649" s="8"/>
      <c r="BL649" s="2" t="s">
        <v>228</v>
      </c>
      <c r="BM649" s="7"/>
      <c r="BN649" s="7"/>
      <c r="BO649" s="4"/>
      <c r="BP649" s="8"/>
      <c r="BQ649" s="4"/>
      <c r="BR649" s="8"/>
      <c r="BS649" s="7"/>
      <c r="BT649" s="7"/>
      <c r="BU649" s="2" t="s">
        <v>238</v>
      </c>
      <c r="BV649" s="2" t="s">
        <v>228</v>
      </c>
      <c r="BW649" s="2" t="s">
        <v>228</v>
      </c>
      <c r="BX649" s="2" t="s">
        <v>3813</v>
      </c>
      <c r="BY649" s="2" t="s">
        <v>239</v>
      </c>
      <c r="BZ649" s="2" t="s">
        <v>240</v>
      </c>
      <c r="CA649" s="2" t="s">
        <v>228</v>
      </c>
      <c r="CB649" s="2" t="s">
        <v>228</v>
      </c>
      <c r="CC649" s="2" t="s">
        <v>241</v>
      </c>
      <c r="CD649" s="2" t="s">
        <v>228</v>
      </c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>
        <v>347</v>
      </c>
      <c r="DW649" s="4"/>
      <c r="DX649" s="4"/>
      <c r="DY649" s="4"/>
      <c r="DZ649" s="4">
        <v>461</v>
      </c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>
        <v>185</v>
      </c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</row>
    <row r="650">
      <c r="A650" s="2" t="s">
        <v>3903</v>
      </c>
      <c r="B650" s="2" t="s">
        <v>299</v>
      </c>
      <c r="C650" s="2" t="s">
        <v>1261</v>
      </c>
      <c r="D650" s="2" t="s">
        <v>301</v>
      </c>
      <c r="E650" s="2" t="s">
        <v>302</v>
      </c>
      <c r="F650" s="2" t="s">
        <v>3807</v>
      </c>
      <c r="G650" s="2" t="s">
        <v>3807</v>
      </c>
      <c r="H650" s="2" t="s">
        <v>3807</v>
      </c>
      <c r="I650" s="2" t="s">
        <v>347</v>
      </c>
      <c r="J650" s="2" t="s">
        <v>284</v>
      </c>
      <c r="K650" s="2" t="s">
        <v>3901</v>
      </c>
      <c r="L650" s="3">
        <v>21.78</v>
      </c>
      <c r="M650" s="3">
        <v>22.87</v>
      </c>
      <c r="N650" s="3">
        <v>49.99</v>
      </c>
      <c r="O650" s="2" t="s">
        <v>240</v>
      </c>
      <c r="P650" s="2" t="s">
        <v>233</v>
      </c>
      <c r="Q650" s="2" t="s">
        <v>234</v>
      </c>
      <c r="R650" s="2" t="s">
        <v>228</v>
      </c>
      <c r="S650" s="2" t="s">
        <v>3902</v>
      </c>
      <c r="T650" s="2" t="s">
        <v>3810</v>
      </c>
      <c r="U650" s="2" t="s">
        <v>308</v>
      </c>
      <c r="V650" s="2" t="s">
        <v>3717</v>
      </c>
      <c r="W650" s="2" t="s">
        <v>1267</v>
      </c>
      <c r="X650" s="2" t="s">
        <v>269</v>
      </c>
      <c r="Y650" s="2" t="s">
        <v>228</v>
      </c>
      <c r="Z650" s="4"/>
      <c r="AA650" s="4">
        <f>=ROUNDDOWN({0},0)</f>
      </c>
      <c r="AB650" s="5"/>
      <c r="AC650" s="2" t="s">
        <v>3854</v>
      </c>
      <c r="AD650" s="4">
        <v>694</v>
      </c>
      <c r="AE650" s="4">
        <v>2056</v>
      </c>
      <c r="AF650" s="6">
        <v>69</v>
      </c>
      <c r="AG650" s="6"/>
      <c r="AH650" s="7"/>
      <c r="AI650" s="4"/>
      <c r="AJ650" s="4">
        <f>=ROUNDDOWN({0},0)</f>
      </c>
      <c r="AK650" s="5"/>
      <c r="AL650" s="2" t="s">
        <v>228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228</v>
      </c>
      <c r="AW650" s="8" t="s">
        <v>228</v>
      </c>
      <c r="AX650" s="4" t="s">
        <v>228</v>
      </c>
      <c r="AY650" s="8" t="s">
        <v>228</v>
      </c>
      <c r="AZ650" s="7" t="s">
        <v>228</v>
      </c>
      <c r="BA650" s="7" t="s">
        <v>228</v>
      </c>
      <c r="BB650" s="7"/>
      <c r="BC650" s="4" t="s">
        <v>228</v>
      </c>
      <c r="BD650" s="8" t="s">
        <v>228</v>
      </c>
      <c r="BE650" s="4" t="s">
        <v>228</v>
      </c>
      <c r="BF650" s="8" t="s">
        <v>228</v>
      </c>
      <c r="BG650" s="7" t="s">
        <v>228</v>
      </c>
      <c r="BH650" s="7" t="s">
        <v>228</v>
      </c>
      <c r="BI650" s="7"/>
      <c r="BJ650" s="4"/>
      <c r="BK650" s="8"/>
      <c r="BL650" s="2" t="s">
        <v>228</v>
      </c>
      <c r="BM650" s="7"/>
      <c r="BN650" s="7"/>
      <c r="BO650" s="4"/>
      <c r="BP650" s="8"/>
      <c r="BQ650" s="4"/>
      <c r="BR650" s="8"/>
      <c r="BS650" s="7"/>
      <c r="BT650" s="7"/>
      <c r="BU650" s="2" t="s">
        <v>238</v>
      </c>
      <c r="BV650" s="2" t="s">
        <v>228</v>
      </c>
      <c r="BW650" s="2" t="s">
        <v>228</v>
      </c>
      <c r="BX650" s="2" t="s">
        <v>3813</v>
      </c>
      <c r="BY650" s="2" t="s">
        <v>239</v>
      </c>
      <c r="BZ650" s="2" t="s">
        <v>240</v>
      </c>
      <c r="CA650" s="2" t="s">
        <v>228</v>
      </c>
      <c r="CB650" s="2" t="s">
        <v>228</v>
      </c>
      <c r="CC650" s="2" t="s">
        <v>241</v>
      </c>
      <c r="CD650" s="2" t="s">
        <v>228</v>
      </c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>
        <v>694</v>
      </c>
      <c r="DW650" s="4"/>
      <c r="DX650" s="4"/>
      <c r="DY650" s="4"/>
      <c r="DZ650" s="4">
        <v>973</v>
      </c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>
        <v>389</v>
      </c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</row>
    <row r="651">
      <c r="A651" s="2" t="s">
        <v>3904</v>
      </c>
      <c r="B651" s="2" t="s">
        <v>299</v>
      </c>
      <c r="C651" s="2" t="s">
        <v>1261</v>
      </c>
      <c r="D651" s="2" t="s">
        <v>301</v>
      </c>
      <c r="E651" s="2" t="s">
        <v>302</v>
      </c>
      <c r="F651" s="2" t="s">
        <v>3807</v>
      </c>
      <c r="G651" s="2" t="s">
        <v>3807</v>
      </c>
      <c r="H651" s="2" t="s">
        <v>3807</v>
      </c>
      <c r="I651" s="2" t="s">
        <v>347</v>
      </c>
      <c r="J651" s="2" t="s">
        <v>289</v>
      </c>
      <c r="K651" s="2" t="s">
        <v>3901</v>
      </c>
      <c r="L651" s="3">
        <v>24.3</v>
      </c>
      <c r="M651" s="3">
        <v>25.52</v>
      </c>
      <c r="N651" s="3">
        <v>54.99</v>
      </c>
      <c r="O651" s="2" t="s">
        <v>240</v>
      </c>
      <c r="P651" s="2" t="s">
        <v>233</v>
      </c>
      <c r="Q651" s="2" t="s">
        <v>234</v>
      </c>
      <c r="R651" s="2" t="s">
        <v>228</v>
      </c>
      <c r="S651" s="2" t="s">
        <v>3902</v>
      </c>
      <c r="T651" s="2" t="s">
        <v>3810</v>
      </c>
      <c r="U651" s="2" t="s">
        <v>308</v>
      </c>
      <c r="V651" s="2" t="s">
        <v>3717</v>
      </c>
      <c r="W651" s="2" t="s">
        <v>1267</v>
      </c>
      <c r="X651" s="2" t="s">
        <v>269</v>
      </c>
      <c r="Y651" s="2" t="s">
        <v>228</v>
      </c>
      <c r="Z651" s="4"/>
      <c r="AA651" s="4">
        <f>=ROUNDDOWN({0},0)</f>
      </c>
      <c r="AB651" s="5"/>
      <c r="AC651" s="2" t="s">
        <v>3854</v>
      </c>
      <c r="AD651" s="4">
        <v>1201</v>
      </c>
      <c r="AE651" s="4">
        <v>3398</v>
      </c>
      <c r="AF651" s="6">
        <v>69</v>
      </c>
      <c r="AG651" s="6"/>
      <c r="AH651" s="7"/>
      <c r="AI651" s="4"/>
      <c r="AJ651" s="4">
        <f>=ROUNDDOWN({0},0)</f>
      </c>
      <c r="AK651" s="5"/>
      <c r="AL651" s="2" t="s">
        <v>228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228</v>
      </c>
      <c r="AW651" s="8" t="s">
        <v>228</v>
      </c>
      <c r="AX651" s="4" t="s">
        <v>228</v>
      </c>
      <c r="AY651" s="8" t="s">
        <v>228</v>
      </c>
      <c r="AZ651" s="7" t="s">
        <v>228</v>
      </c>
      <c r="BA651" s="7" t="s">
        <v>228</v>
      </c>
      <c r="BB651" s="7"/>
      <c r="BC651" s="4" t="s">
        <v>228</v>
      </c>
      <c r="BD651" s="8" t="s">
        <v>228</v>
      </c>
      <c r="BE651" s="4" t="s">
        <v>228</v>
      </c>
      <c r="BF651" s="8" t="s">
        <v>228</v>
      </c>
      <c r="BG651" s="7" t="s">
        <v>228</v>
      </c>
      <c r="BH651" s="7" t="s">
        <v>228</v>
      </c>
      <c r="BI651" s="7"/>
      <c r="BJ651" s="4"/>
      <c r="BK651" s="8"/>
      <c r="BL651" s="2" t="s">
        <v>228</v>
      </c>
      <c r="BM651" s="7"/>
      <c r="BN651" s="7"/>
      <c r="BO651" s="4"/>
      <c r="BP651" s="8"/>
      <c r="BQ651" s="4"/>
      <c r="BR651" s="8"/>
      <c r="BS651" s="7"/>
      <c r="BT651" s="7"/>
      <c r="BU651" s="2" t="s">
        <v>238</v>
      </c>
      <c r="BV651" s="2" t="s">
        <v>228</v>
      </c>
      <c r="BW651" s="2" t="s">
        <v>228</v>
      </c>
      <c r="BX651" s="2" t="s">
        <v>3813</v>
      </c>
      <c r="BY651" s="2" t="s">
        <v>239</v>
      </c>
      <c r="BZ651" s="2" t="s">
        <v>240</v>
      </c>
      <c r="CA651" s="2" t="s">
        <v>228</v>
      </c>
      <c r="CB651" s="2" t="s">
        <v>228</v>
      </c>
      <c r="CC651" s="2" t="s">
        <v>241</v>
      </c>
      <c r="CD651" s="2" t="s">
        <v>228</v>
      </c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>
        <v>1201</v>
      </c>
      <c r="DW651" s="4"/>
      <c r="DX651" s="4"/>
      <c r="DY651" s="4"/>
      <c r="DZ651" s="4">
        <v>1569</v>
      </c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>
        <v>628</v>
      </c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</row>
    <row r="652">
      <c r="A652" s="2" t="s">
        <v>3905</v>
      </c>
      <c r="B652" s="2" t="s">
        <v>299</v>
      </c>
      <c r="C652" s="2" t="s">
        <v>1261</v>
      </c>
      <c r="D652" s="2" t="s">
        <v>301</v>
      </c>
      <c r="E652" s="2" t="s">
        <v>302</v>
      </c>
      <c r="F652" s="2" t="s">
        <v>3807</v>
      </c>
      <c r="G652" s="2" t="s">
        <v>3807</v>
      </c>
      <c r="H652" s="2" t="s">
        <v>3807</v>
      </c>
      <c r="I652" s="2" t="s">
        <v>347</v>
      </c>
      <c r="J652" s="2" t="s">
        <v>294</v>
      </c>
      <c r="K652" s="2" t="s">
        <v>3901</v>
      </c>
      <c r="L652" s="3">
        <v>28.98</v>
      </c>
      <c r="M652" s="3">
        <v>30.43</v>
      </c>
      <c r="N652" s="3">
        <v>64.99</v>
      </c>
      <c r="O652" s="2" t="s">
        <v>240</v>
      </c>
      <c r="P652" s="2" t="s">
        <v>233</v>
      </c>
      <c r="Q652" s="2" t="s">
        <v>234</v>
      </c>
      <c r="R652" s="2" t="s">
        <v>228</v>
      </c>
      <c r="S652" s="2" t="s">
        <v>3902</v>
      </c>
      <c r="T652" s="2" t="s">
        <v>3810</v>
      </c>
      <c r="U652" s="2" t="s">
        <v>308</v>
      </c>
      <c r="V652" s="2" t="s">
        <v>3717</v>
      </c>
      <c r="W652" s="2" t="s">
        <v>1267</v>
      </c>
      <c r="X652" s="2" t="s">
        <v>269</v>
      </c>
      <c r="Y652" s="2" t="s">
        <v>228</v>
      </c>
      <c r="Z652" s="4"/>
      <c r="AA652" s="4">
        <f>=ROUNDDOWN({0},0)</f>
      </c>
      <c r="AB652" s="5"/>
      <c r="AC652" s="2" t="s">
        <v>3854</v>
      </c>
      <c r="AD652" s="4">
        <v>511</v>
      </c>
      <c r="AE652" s="4">
        <v>1424</v>
      </c>
      <c r="AF652" s="6">
        <v>69</v>
      </c>
      <c r="AG652" s="6"/>
      <c r="AH652" s="7"/>
      <c r="AI652" s="4"/>
      <c r="AJ652" s="4">
        <f>=ROUNDDOWN({0},0)</f>
      </c>
      <c r="AK652" s="5"/>
      <c r="AL652" s="2" t="s">
        <v>228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228</v>
      </c>
      <c r="AW652" s="8" t="s">
        <v>228</v>
      </c>
      <c r="AX652" s="4" t="s">
        <v>228</v>
      </c>
      <c r="AY652" s="8" t="s">
        <v>228</v>
      </c>
      <c r="AZ652" s="7" t="s">
        <v>228</v>
      </c>
      <c r="BA652" s="7" t="s">
        <v>228</v>
      </c>
      <c r="BB652" s="7"/>
      <c r="BC652" s="4" t="s">
        <v>228</v>
      </c>
      <c r="BD652" s="8" t="s">
        <v>228</v>
      </c>
      <c r="BE652" s="4" t="s">
        <v>228</v>
      </c>
      <c r="BF652" s="8" t="s">
        <v>228</v>
      </c>
      <c r="BG652" s="7" t="s">
        <v>228</v>
      </c>
      <c r="BH652" s="7" t="s">
        <v>228</v>
      </c>
      <c r="BI652" s="7"/>
      <c r="BJ652" s="4"/>
      <c r="BK652" s="8"/>
      <c r="BL652" s="2" t="s">
        <v>228</v>
      </c>
      <c r="BM652" s="7"/>
      <c r="BN652" s="7"/>
      <c r="BO652" s="4"/>
      <c r="BP652" s="8"/>
      <c r="BQ652" s="4"/>
      <c r="BR652" s="8"/>
      <c r="BS652" s="7"/>
      <c r="BT652" s="7"/>
      <c r="BU652" s="2" t="s">
        <v>238</v>
      </c>
      <c r="BV652" s="2" t="s">
        <v>228</v>
      </c>
      <c r="BW652" s="2" t="s">
        <v>228</v>
      </c>
      <c r="BX652" s="2" t="s">
        <v>3813</v>
      </c>
      <c r="BY652" s="2" t="s">
        <v>239</v>
      </c>
      <c r="BZ652" s="2" t="s">
        <v>240</v>
      </c>
      <c r="CA652" s="2" t="s">
        <v>228</v>
      </c>
      <c r="CB652" s="2" t="s">
        <v>228</v>
      </c>
      <c r="CC652" s="2" t="s">
        <v>241</v>
      </c>
      <c r="CD652" s="2" t="s">
        <v>228</v>
      </c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>
        <v>511</v>
      </c>
      <c r="DW652" s="4"/>
      <c r="DX652" s="4"/>
      <c r="DY652" s="4"/>
      <c r="DZ652" s="4">
        <v>652</v>
      </c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>
        <v>261</v>
      </c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</row>
    <row r="653">
      <c r="A653" s="2" t="s">
        <v>3906</v>
      </c>
      <c r="B653" s="2" t="s">
        <v>299</v>
      </c>
      <c r="C653" s="2" t="s">
        <v>1261</v>
      </c>
      <c r="D653" s="2" t="s">
        <v>301</v>
      </c>
      <c r="E653" s="2" t="s">
        <v>302</v>
      </c>
      <c r="F653" s="2" t="s">
        <v>3807</v>
      </c>
      <c r="G653" s="2" t="s">
        <v>3807</v>
      </c>
      <c r="H653" s="2" t="s">
        <v>3807</v>
      </c>
      <c r="I653" s="2" t="s">
        <v>347</v>
      </c>
      <c r="J653" s="2" t="s">
        <v>312</v>
      </c>
      <c r="K653" s="2" t="s">
        <v>3901</v>
      </c>
      <c r="L653" s="3">
        <v>28.98</v>
      </c>
      <c r="M653" s="3">
        <v>30.43</v>
      </c>
      <c r="N653" s="3">
        <v>64.99</v>
      </c>
      <c r="O653" s="2" t="s">
        <v>240</v>
      </c>
      <c r="P653" s="2" t="s">
        <v>233</v>
      </c>
      <c r="Q653" s="2" t="s">
        <v>234</v>
      </c>
      <c r="R653" s="2" t="s">
        <v>228</v>
      </c>
      <c r="S653" s="2" t="s">
        <v>3902</v>
      </c>
      <c r="T653" s="2" t="s">
        <v>3810</v>
      </c>
      <c r="U653" s="2" t="s">
        <v>308</v>
      </c>
      <c r="V653" s="2" t="s">
        <v>3717</v>
      </c>
      <c r="W653" s="2" t="s">
        <v>1267</v>
      </c>
      <c r="X653" s="2" t="s">
        <v>269</v>
      </c>
      <c r="Y653" s="2" t="s">
        <v>228</v>
      </c>
      <c r="Z653" s="4"/>
      <c r="AA653" s="4">
        <f>=ROUNDDOWN({0},0)</f>
      </c>
      <c r="AB653" s="5"/>
      <c r="AC653" s="2" t="s">
        <v>3854</v>
      </c>
      <c r="AD653" s="4">
        <v>223</v>
      </c>
      <c r="AE653" s="4">
        <v>649</v>
      </c>
      <c r="AF653" s="6">
        <v>69</v>
      </c>
      <c r="AG653" s="6"/>
      <c r="AH653" s="7"/>
      <c r="AI653" s="4"/>
      <c r="AJ653" s="4">
        <f>=ROUNDDOWN({0},0)</f>
      </c>
      <c r="AK653" s="5"/>
      <c r="AL653" s="2" t="s">
        <v>228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228</v>
      </c>
      <c r="AW653" s="8" t="s">
        <v>228</v>
      </c>
      <c r="AX653" s="4" t="s">
        <v>228</v>
      </c>
      <c r="AY653" s="8" t="s">
        <v>228</v>
      </c>
      <c r="AZ653" s="7" t="s">
        <v>228</v>
      </c>
      <c r="BA653" s="7" t="s">
        <v>228</v>
      </c>
      <c r="BB653" s="7"/>
      <c r="BC653" s="4" t="s">
        <v>228</v>
      </c>
      <c r="BD653" s="8" t="s">
        <v>228</v>
      </c>
      <c r="BE653" s="4" t="s">
        <v>228</v>
      </c>
      <c r="BF653" s="8" t="s">
        <v>228</v>
      </c>
      <c r="BG653" s="7" t="s">
        <v>228</v>
      </c>
      <c r="BH653" s="7" t="s">
        <v>228</v>
      </c>
      <c r="BI653" s="7"/>
      <c r="BJ653" s="4"/>
      <c r="BK653" s="8"/>
      <c r="BL653" s="2" t="s">
        <v>228</v>
      </c>
      <c r="BM653" s="7"/>
      <c r="BN653" s="7"/>
      <c r="BO653" s="4"/>
      <c r="BP653" s="8"/>
      <c r="BQ653" s="4"/>
      <c r="BR653" s="8"/>
      <c r="BS653" s="7"/>
      <c r="BT653" s="7"/>
      <c r="BU653" s="2" t="s">
        <v>238</v>
      </c>
      <c r="BV653" s="2" t="s">
        <v>228</v>
      </c>
      <c r="BW653" s="2" t="s">
        <v>228</v>
      </c>
      <c r="BX653" s="2" t="s">
        <v>3813</v>
      </c>
      <c r="BY653" s="2" t="s">
        <v>239</v>
      </c>
      <c r="BZ653" s="2" t="s">
        <v>240</v>
      </c>
      <c r="CA653" s="2" t="s">
        <v>228</v>
      </c>
      <c r="CB653" s="2" t="s">
        <v>228</v>
      </c>
      <c r="CC653" s="2" t="s">
        <v>241</v>
      </c>
      <c r="CD653" s="2" t="s">
        <v>228</v>
      </c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>
        <v>223</v>
      </c>
      <c r="DW653" s="4"/>
      <c r="DX653" s="4"/>
      <c r="DY653" s="4"/>
      <c r="DZ653" s="4">
        <v>304</v>
      </c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>
        <v>122</v>
      </c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</row>
    <row r="654">
      <c r="A654" s="2" t="s">
        <v>3907</v>
      </c>
      <c r="B654" s="2" t="s">
        <v>299</v>
      </c>
      <c r="C654" s="2" t="s">
        <v>1261</v>
      </c>
      <c r="D654" s="2" t="s">
        <v>301</v>
      </c>
      <c r="E654" s="2" t="s">
        <v>302</v>
      </c>
      <c r="F654" s="2" t="s">
        <v>3807</v>
      </c>
      <c r="G654" s="2" t="s">
        <v>3807</v>
      </c>
      <c r="H654" s="2" t="s">
        <v>3807</v>
      </c>
      <c r="I654" s="2" t="s">
        <v>347</v>
      </c>
      <c r="J654" s="2" t="s">
        <v>289</v>
      </c>
      <c r="K654" s="2" t="s">
        <v>3908</v>
      </c>
      <c r="L654" s="3">
        <v>24.3</v>
      </c>
      <c r="M654" s="3">
        <v>25.52</v>
      </c>
      <c r="N654" s="3">
        <v>54.99</v>
      </c>
      <c r="O654" s="2" t="s">
        <v>240</v>
      </c>
      <c r="P654" s="2" t="s">
        <v>266</v>
      </c>
      <c r="Q654" s="2" t="s">
        <v>234</v>
      </c>
      <c r="R654" s="2" t="s">
        <v>228</v>
      </c>
      <c r="S654" s="2" t="s">
        <v>3842</v>
      </c>
      <c r="T654" s="2" t="s">
        <v>3810</v>
      </c>
      <c r="U654" s="2" t="s">
        <v>308</v>
      </c>
      <c r="V654" s="2" t="s">
        <v>3717</v>
      </c>
      <c r="W654" s="2" t="s">
        <v>1267</v>
      </c>
      <c r="X654" s="2" t="s">
        <v>269</v>
      </c>
      <c r="Y654" s="2" t="s">
        <v>3843</v>
      </c>
      <c r="Z654" s="4">
        <v>398</v>
      </c>
      <c r="AA654" s="4">
        <f>=ROUNDDOWN(19.9,0)</f>
      </c>
      <c r="AB654" s="5">
        <v>20</v>
      </c>
      <c r="AC654" s="2" t="s">
        <v>1014</v>
      </c>
      <c r="AD654" s="4">
        <v>46</v>
      </c>
      <c r="AE654" s="4">
        <v>508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228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228</v>
      </c>
      <c r="AW654" s="8" t="s">
        <v>228</v>
      </c>
      <c r="AX654" s="4" t="s">
        <v>228</v>
      </c>
      <c r="AY654" s="8" t="s">
        <v>228</v>
      </c>
      <c r="AZ654" s="7" t="s">
        <v>228</v>
      </c>
      <c r="BA654" s="7" t="s">
        <v>228</v>
      </c>
      <c r="BB654" s="7"/>
      <c r="BC654" s="4" t="s">
        <v>228</v>
      </c>
      <c r="BD654" s="8" t="s">
        <v>228</v>
      </c>
      <c r="BE654" s="4" t="s">
        <v>228</v>
      </c>
      <c r="BF654" s="8" t="s">
        <v>228</v>
      </c>
      <c r="BG654" s="7" t="s">
        <v>228</v>
      </c>
      <c r="BH654" s="7" t="s">
        <v>228</v>
      </c>
      <c r="BI654" s="7"/>
      <c r="BJ654" s="4">
        <v>59</v>
      </c>
      <c r="BK654" s="8">
        <v>1722.16</v>
      </c>
      <c r="BL654" s="2" t="s">
        <v>3909</v>
      </c>
      <c r="BM654" s="7"/>
      <c r="BN654" s="7"/>
      <c r="BO654" s="4"/>
      <c r="BP654" s="8"/>
      <c r="BQ654" s="4"/>
      <c r="BR654" s="8"/>
      <c r="BS654" s="7"/>
      <c r="BT654" s="7"/>
      <c r="BU654" s="2" t="s">
        <v>3910</v>
      </c>
      <c r="BV654" s="2" t="s">
        <v>228</v>
      </c>
      <c r="BW654" s="2" t="s">
        <v>228</v>
      </c>
      <c r="BX654" s="2" t="s">
        <v>3813</v>
      </c>
      <c r="BY654" s="2" t="s">
        <v>274</v>
      </c>
      <c r="BZ654" s="2" t="s">
        <v>240</v>
      </c>
      <c r="CA654" s="2" t="s">
        <v>1910</v>
      </c>
      <c r="CB654" s="2" t="s">
        <v>3911</v>
      </c>
      <c r="CC654" s="2" t="s">
        <v>241</v>
      </c>
      <c r="CD654" s="2" t="s">
        <v>228</v>
      </c>
      <c r="CE654" s="4">
        <v>398</v>
      </c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>
        <v>46</v>
      </c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>
        <v>181</v>
      </c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>
        <v>281</v>
      </c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</row>
    <row r="655">
      <c r="A655" s="2" t="s">
        <v>3912</v>
      </c>
      <c r="B655" s="2" t="s">
        <v>299</v>
      </c>
      <c r="C655" s="2" t="s">
        <v>1261</v>
      </c>
      <c r="D655" s="2" t="s">
        <v>301</v>
      </c>
      <c r="E655" s="2" t="s">
        <v>302</v>
      </c>
      <c r="F655" s="2" t="s">
        <v>3807</v>
      </c>
      <c r="G655" s="2" t="s">
        <v>3807</v>
      </c>
      <c r="H655" s="2" t="s">
        <v>3807</v>
      </c>
      <c r="I655" s="2" t="s">
        <v>347</v>
      </c>
      <c r="J655" s="2" t="s">
        <v>312</v>
      </c>
      <c r="K655" s="2" t="s">
        <v>3908</v>
      </c>
      <c r="L655" s="3">
        <v>28.98</v>
      </c>
      <c r="M655" s="3">
        <v>30.43</v>
      </c>
      <c r="N655" s="3">
        <v>64.99</v>
      </c>
      <c r="O655" s="2" t="s">
        <v>240</v>
      </c>
      <c r="P655" s="2" t="s">
        <v>266</v>
      </c>
      <c r="Q655" s="2" t="s">
        <v>234</v>
      </c>
      <c r="R655" s="2" t="s">
        <v>228</v>
      </c>
      <c r="S655" s="2" t="s">
        <v>3842</v>
      </c>
      <c r="T655" s="2" t="s">
        <v>3810</v>
      </c>
      <c r="U655" s="2" t="s">
        <v>308</v>
      </c>
      <c r="V655" s="2" t="s">
        <v>3717</v>
      </c>
      <c r="W655" s="2" t="s">
        <v>1267</v>
      </c>
      <c r="X655" s="2" t="s">
        <v>269</v>
      </c>
      <c r="Y655" s="2" t="s">
        <v>3843</v>
      </c>
      <c r="Z655" s="4">
        <v>168</v>
      </c>
      <c r="AA655" s="4">
        <f>=ROUNDDOWN(24,0)</f>
      </c>
      <c r="AB655" s="5">
        <v>7</v>
      </c>
      <c r="AC655" s="2" t="s">
        <v>3815</v>
      </c>
      <c r="AD655" s="4">
        <v>59</v>
      </c>
      <c r="AE655" s="4">
        <v>159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228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228</v>
      </c>
      <c r="AW655" s="8" t="s">
        <v>228</v>
      </c>
      <c r="AX655" s="4" t="s">
        <v>228</v>
      </c>
      <c r="AY655" s="8" t="s">
        <v>228</v>
      </c>
      <c r="AZ655" s="7" t="s">
        <v>228</v>
      </c>
      <c r="BA655" s="7" t="s">
        <v>228</v>
      </c>
      <c r="BB655" s="7"/>
      <c r="BC655" s="4" t="s">
        <v>228</v>
      </c>
      <c r="BD655" s="8" t="s">
        <v>228</v>
      </c>
      <c r="BE655" s="4" t="s">
        <v>228</v>
      </c>
      <c r="BF655" s="8" t="s">
        <v>228</v>
      </c>
      <c r="BG655" s="7" t="s">
        <v>228</v>
      </c>
      <c r="BH655" s="7" t="s">
        <v>228</v>
      </c>
      <c r="BI655" s="7"/>
      <c r="BJ655" s="4">
        <v>6</v>
      </c>
      <c r="BK655" s="8">
        <v>211.26</v>
      </c>
      <c r="BL655" s="2" t="s">
        <v>3909</v>
      </c>
      <c r="BM655" s="7"/>
      <c r="BN655" s="7"/>
      <c r="BO655" s="4"/>
      <c r="BP655" s="8"/>
      <c r="BQ655" s="4"/>
      <c r="BR655" s="8"/>
      <c r="BS655" s="7"/>
      <c r="BT655" s="7"/>
      <c r="BU655" s="2" t="s">
        <v>3913</v>
      </c>
      <c r="BV655" s="2" t="s">
        <v>228</v>
      </c>
      <c r="BW655" s="2" t="s">
        <v>228</v>
      </c>
      <c r="BX655" s="2" t="s">
        <v>3813</v>
      </c>
      <c r="BY655" s="2" t="s">
        <v>274</v>
      </c>
      <c r="BZ655" s="2" t="s">
        <v>240</v>
      </c>
      <c r="CA655" s="2" t="s">
        <v>3914</v>
      </c>
      <c r="CB655" s="2" t="s">
        <v>3915</v>
      </c>
      <c r="CC655" s="2" t="s">
        <v>241</v>
      </c>
      <c r="CD655" s="2" t="s">
        <v>228</v>
      </c>
      <c r="CE655" s="4">
        <v>168</v>
      </c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>
        <v>59</v>
      </c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>
        <v>100</v>
      </c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</row>
    <row r="656">
      <c r="A656" s="2" t="s">
        <v>3916</v>
      </c>
      <c r="B656" s="2" t="s">
        <v>299</v>
      </c>
      <c r="C656" s="2" t="s">
        <v>1261</v>
      </c>
      <c r="D656" s="2" t="s">
        <v>301</v>
      </c>
      <c r="E656" s="2" t="s">
        <v>302</v>
      </c>
      <c r="F656" s="2" t="s">
        <v>3807</v>
      </c>
      <c r="G656" s="2" t="s">
        <v>3807</v>
      </c>
      <c r="H656" s="2" t="s">
        <v>3807</v>
      </c>
      <c r="I656" s="2" t="s">
        <v>347</v>
      </c>
      <c r="J656" s="2" t="s">
        <v>289</v>
      </c>
      <c r="K656" s="2" t="s">
        <v>3917</v>
      </c>
      <c r="L656" s="3">
        <v>24.3</v>
      </c>
      <c r="M656" s="3">
        <v>25.52</v>
      </c>
      <c r="N656" s="3">
        <v>54.99</v>
      </c>
      <c r="O656" s="2" t="s">
        <v>240</v>
      </c>
      <c r="P656" s="2" t="s">
        <v>715</v>
      </c>
      <c r="Q656" s="2" t="s">
        <v>234</v>
      </c>
      <c r="R656" s="2" t="s">
        <v>228</v>
      </c>
      <c r="S656" s="2" t="s">
        <v>3918</v>
      </c>
      <c r="T656" s="2" t="s">
        <v>3810</v>
      </c>
      <c r="U656" s="2" t="s">
        <v>228</v>
      </c>
      <c r="V656" s="2" t="s">
        <v>1438</v>
      </c>
      <c r="W656" s="2" t="s">
        <v>1267</v>
      </c>
      <c r="X656" s="2" t="s">
        <v>269</v>
      </c>
      <c r="Y656" s="2" t="s">
        <v>3919</v>
      </c>
      <c r="Z656" s="4">
        <v>58</v>
      </c>
      <c r="AA656" s="4">
        <f>=ROUNDDOWN(1.41463414634146,0)</f>
      </c>
      <c r="AB656" s="5">
        <v>41</v>
      </c>
      <c r="AC656" s="2" t="s">
        <v>1014</v>
      </c>
      <c r="AD656" s="4">
        <v>687</v>
      </c>
      <c r="AE656" s="4">
        <v>1611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228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228</v>
      </c>
      <c r="AW656" s="8" t="s">
        <v>228</v>
      </c>
      <c r="AX656" s="4" t="s">
        <v>228</v>
      </c>
      <c r="AY656" s="8" t="s">
        <v>228</v>
      </c>
      <c r="AZ656" s="7" t="s">
        <v>228</v>
      </c>
      <c r="BA656" s="7" t="s">
        <v>228</v>
      </c>
      <c r="BB656" s="7"/>
      <c r="BC656" s="4" t="s">
        <v>228</v>
      </c>
      <c r="BD656" s="8" t="s">
        <v>228</v>
      </c>
      <c r="BE656" s="4" t="s">
        <v>228</v>
      </c>
      <c r="BF656" s="8" t="s">
        <v>228</v>
      </c>
      <c r="BG656" s="7" t="s">
        <v>228</v>
      </c>
      <c r="BH656" s="7" t="s">
        <v>228</v>
      </c>
      <c r="BI656" s="7"/>
      <c r="BJ656" s="4">
        <v>164</v>
      </c>
      <c r="BK656" s="8">
        <v>4642.98</v>
      </c>
      <c r="BL656" s="2" t="s">
        <v>3920</v>
      </c>
      <c r="BM656" s="7"/>
      <c r="BN656" s="7"/>
      <c r="BO656" s="4"/>
      <c r="BP656" s="8"/>
      <c r="BQ656" s="4"/>
      <c r="BR656" s="8"/>
      <c r="BS656" s="7"/>
      <c r="BT656" s="7"/>
      <c r="BU656" s="2" t="s">
        <v>3921</v>
      </c>
      <c r="BV656" s="2" t="s">
        <v>228</v>
      </c>
      <c r="BW656" s="2" t="s">
        <v>228</v>
      </c>
      <c r="BX656" s="2" t="s">
        <v>3813</v>
      </c>
      <c r="BY656" s="2" t="s">
        <v>274</v>
      </c>
      <c r="BZ656" s="2" t="s">
        <v>240</v>
      </c>
      <c r="CA656" s="2" t="s">
        <v>3838</v>
      </c>
      <c r="CB656" s="2" t="s">
        <v>3922</v>
      </c>
      <c r="CC656" s="2" t="s">
        <v>241</v>
      </c>
      <c r="CD656" s="2" t="s">
        <v>228</v>
      </c>
      <c r="CE656" s="4">
        <v>58</v>
      </c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>
        <v>687</v>
      </c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>
        <v>411</v>
      </c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>
        <v>513</v>
      </c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</row>
    <row r="657">
      <c r="A657" s="2" t="s">
        <v>3923</v>
      </c>
      <c r="B657" s="2" t="s">
        <v>299</v>
      </c>
      <c r="C657" s="2" t="s">
        <v>1261</v>
      </c>
      <c r="D657" s="2" t="s">
        <v>301</v>
      </c>
      <c r="E657" s="2" t="s">
        <v>302</v>
      </c>
      <c r="F657" s="2" t="s">
        <v>3807</v>
      </c>
      <c r="G657" s="2" t="s">
        <v>3807</v>
      </c>
      <c r="H657" s="2" t="s">
        <v>3807</v>
      </c>
      <c r="I657" s="2" t="s">
        <v>347</v>
      </c>
      <c r="J657" s="2" t="s">
        <v>312</v>
      </c>
      <c r="K657" s="2" t="s">
        <v>3917</v>
      </c>
      <c r="L657" s="3">
        <v>28.98</v>
      </c>
      <c r="M657" s="3">
        <v>30.43</v>
      </c>
      <c r="N657" s="3">
        <v>64.99</v>
      </c>
      <c r="O657" s="2" t="s">
        <v>240</v>
      </c>
      <c r="P657" s="2" t="s">
        <v>266</v>
      </c>
      <c r="Q657" s="2" t="s">
        <v>234</v>
      </c>
      <c r="R657" s="2" t="s">
        <v>228</v>
      </c>
      <c r="S657" s="2" t="s">
        <v>3918</v>
      </c>
      <c r="T657" s="2" t="s">
        <v>3810</v>
      </c>
      <c r="U657" s="2" t="s">
        <v>228</v>
      </c>
      <c r="V657" s="2" t="s">
        <v>1438</v>
      </c>
      <c r="W657" s="2" t="s">
        <v>1267</v>
      </c>
      <c r="X657" s="2" t="s">
        <v>269</v>
      </c>
      <c r="Y657" s="2" t="s">
        <v>3919</v>
      </c>
      <c r="Z657" s="4">
        <v>54</v>
      </c>
      <c r="AA657" s="4">
        <f>=ROUNDDOWN(9,0)</f>
      </c>
      <c r="AB657" s="5">
        <v>6</v>
      </c>
      <c r="AC657" s="2" t="s">
        <v>1014</v>
      </c>
      <c r="AD657" s="4">
        <v>113</v>
      </c>
      <c r="AE657" s="4">
        <v>262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228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228</v>
      </c>
      <c r="AW657" s="8" t="s">
        <v>228</v>
      </c>
      <c r="AX657" s="4" t="s">
        <v>228</v>
      </c>
      <c r="AY657" s="8" t="s">
        <v>228</v>
      </c>
      <c r="AZ657" s="7" t="s">
        <v>228</v>
      </c>
      <c r="BA657" s="7" t="s">
        <v>228</v>
      </c>
      <c r="BB657" s="7"/>
      <c r="BC657" s="4" t="s">
        <v>228</v>
      </c>
      <c r="BD657" s="8" t="s">
        <v>228</v>
      </c>
      <c r="BE657" s="4" t="s">
        <v>228</v>
      </c>
      <c r="BF657" s="8" t="s">
        <v>228</v>
      </c>
      <c r="BG657" s="7" t="s">
        <v>228</v>
      </c>
      <c r="BH657" s="7" t="s">
        <v>228</v>
      </c>
      <c r="BI657" s="7"/>
      <c r="BJ657" s="4">
        <v>7</v>
      </c>
      <c r="BK657" s="8">
        <v>232.97</v>
      </c>
      <c r="BL657" s="2" t="s">
        <v>3924</v>
      </c>
      <c r="BM657" s="7"/>
      <c r="BN657" s="7"/>
      <c r="BO657" s="4"/>
      <c r="BP657" s="8"/>
      <c r="BQ657" s="4"/>
      <c r="BR657" s="8"/>
      <c r="BS657" s="7"/>
      <c r="BT657" s="7"/>
      <c r="BU657" s="2" t="s">
        <v>3925</v>
      </c>
      <c r="BV657" s="2" t="s">
        <v>228</v>
      </c>
      <c r="BW657" s="2" t="s">
        <v>228</v>
      </c>
      <c r="BX657" s="2" t="s">
        <v>3813</v>
      </c>
      <c r="BY657" s="2" t="s">
        <v>274</v>
      </c>
      <c r="BZ657" s="2" t="s">
        <v>240</v>
      </c>
      <c r="CA657" s="2" t="s">
        <v>3838</v>
      </c>
      <c r="CB657" s="2" t="s">
        <v>3922</v>
      </c>
      <c r="CC657" s="2" t="s">
        <v>241</v>
      </c>
      <c r="CD657" s="2" t="s">
        <v>228</v>
      </c>
      <c r="CE657" s="4">
        <v>54</v>
      </c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>
        <v>113</v>
      </c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>
        <v>58</v>
      </c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>
        <v>91</v>
      </c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</row>
    <row r="658">
      <c r="A658" s="2" t="s">
        <v>3926</v>
      </c>
      <c r="B658" s="2" t="s">
        <v>299</v>
      </c>
      <c r="C658" s="2" t="s">
        <v>1261</v>
      </c>
      <c r="D658" s="2" t="s">
        <v>301</v>
      </c>
      <c r="E658" s="2" t="s">
        <v>302</v>
      </c>
      <c r="F658" s="2" t="s">
        <v>3807</v>
      </c>
      <c r="G658" s="2" t="s">
        <v>3807</v>
      </c>
      <c r="H658" s="2" t="s">
        <v>3807</v>
      </c>
      <c r="I658" s="2" t="s">
        <v>347</v>
      </c>
      <c r="J658" s="2" t="s">
        <v>264</v>
      </c>
      <c r="K658" s="2" t="s">
        <v>3927</v>
      </c>
      <c r="L658" s="3">
        <v>19.8</v>
      </c>
      <c r="M658" s="3">
        <v>20.79</v>
      </c>
      <c r="N658" s="3">
        <v>44.99</v>
      </c>
      <c r="O658" s="2" t="s">
        <v>240</v>
      </c>
      <c r="P658" s="2" t="s">
        <v>233</v>
      </c>
      <c r="Q658" s="2" t="s">
        <v>234</v>
      </c>
      <c r="R658" s="2" t="s">
        <v>228</v>
      </c>
      <c r="S658" s="2" t="s">
        <v>3928</v>
      </c>
      <c r="T658" s="2" t="s">
        <v>3810</v>
      </c>
      <c r="U658" s="2" t="s">
        <v>500</v>
      </c>
      <c r="V658" s="2" t="s">
        <v>3717</v>
      </c>
      <c r="W658" s="2" t="s">
        <v>1267</v>
      </c>
      <c r="X658" s="2" t="s">
        <v>269</v>
      </c>
      <c r="Y658" s="2" t="s">
        <v>228</v>
      </c>
      <c r="Z658" s="4"/>
      <c r="AA658" s="4">
        <f>=ROUNDDOWN({0},0)</f>
      </c>
      <c r="AB658" s="5"/>
      <c r="AC658" s="2" t="s">
        <v>3854</v>
      </c>
      <c r="AD658" s="4">
        <v>365</v>
      </c>
      <c r="AE658" s="4">
        <v>1218</v>
      </c>
      <c r="AF658" s="6">
        <v>69</v>
      </c>
      <c r="AG658" s="6"/>
      <c r="AH658" s="7"/>
      <c r="AI658" s="4"/>
      <c r="AJ658" s="4">
        <f>=ROUNDDOWN({0},0)</f>
      </c>
      <c r="AK658" s="5"/>
      <c r="AL658" s="2" t="s">
        <v>228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228</v>
      </c>
      <c r="AW658" s="8" t="s">
        <v>228</v>
      </c>
      <c r="AX658" s="4" t="s">
        <v>228</v>
      </c>
      <c r="AY658" s="8" t="s">
        <v>228</v>
      </c>
      <c r="AZ658" s="7" t="s">
        <v>228</v>
      </c>
      <c r="BA658" s="7" t="s">
        <v>228</v>
      </c>
      <c r="BB658" s="7"/>
      <c r="BC658" s="4" t="s">
        <v>228</v>
      </c>
      <c r="BD658" s="8" t="s">
        <v>228</v>
      </c>
      <c r="BE658" s="4" t="s">
        <v>228</v>
      </c>
      <c r="BF658" s="8" t="s">
        <v>228</v>
      </c>
      <c r="BG658" s="7" t="s">
        <v>228</v>
      </c>
      <c r="BH658" s="7" t="s">
        <v>228</v>
      </c>
      <c r="BI658" s="7"/>
      <c r="BJ658" s="4"/>
      <c r="BK658" s="8"/>
      <c r="BL658" s="2" t="s">
        <v>228</v>
      </c>
      <c r="BM658" s="7"/>
      <c r="BN658" s="7"/>
      <c r="BO658" s="4"/>
      <c r="BP658" s="8"/>
      <c r="BQ658" s="4"/>
      <c r="BR658" s="8"/>
      <c r="BS658" s="7"/>
      <c r="BT658" s="7"/>
      <c r="BU658" s="2" t="s">
        <v>238</v>
      </c>
      <c r="BV658" s="2" t="s">
        <v>228</v>
      </c>
      <c r="BW658" s="2" t="s">
        <v>228</v>
      </c>
      <c r="BX658" s="2" t="s">
        <v>3813</v>
      </c>
      <c r="BY658" s="2" t="s">
        <v>239</v>
      </c>
      <c r="BZ658" s="2" t="s">
        <v>240</v>
      </c>
      <c r="CA658" s="2" t="s">
        <v>228</v>
      </c>
      <c r="CB658" s="2" t="s">
        <v>228</v>
      </c>
      <c r="CC658" s="2" t="s">
        <v>241</v>
      </c>
      <c r="CD658" s="2" t="s">
        <v>228</v>
      </c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>
        <v>365</v>
      </c>
      <c r="DW658" s="4"/>
      <c r="DX658" s="4"/>
      <c r="DY658" s="4"/>
      <c r="DZ658" s="4">
        <v>609</v>
      </c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>
        <v>244</v>
      </c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</row>
    <row r="659">
      <c r="A659" s="2" t="s">
        <v>3929</v>
      </c>
      <c r="B659" s="2" t="s">
        <v>299</v>
      </c>
      <c r="C659" s="2" t="s">
        <v>1261</v>
      </c>
      <c r="D659" s="2" t="s">
        <v>301</v>
      </c>
      <c r="E659" s="2" t="s">
        <v>302</v>
      </c>
      <c r="F659" s="2" t="s">
        <v>3807</v>
      </c>
      <c r="G659" s="2" t="s">
        <v>3807</v>
      </c>
      <c r="H659" s="2" t="s">
        <v>3807</v>
      </c>
      <c r="I659" s="2" t="s">
        <v>347</v>
      </c>
      <c r="J659" s="2" t="s">
        <v>284</v>
      </c>
      <c r="K659" s="2" t="s">
        <v>3927</v>
      </c>
      <c r="L659" s="3">
        <v>21.78</v>
      </c>
      <c r="M659" s="3">
        <v>22.87</v>
      </c>
      <c r="N659" s="3">
        <v>49.99</v>
      </c>
      <c r="O659" s="2" t="s">
        <v>240</v>
      </c>
      <c r="P659" s="2" t="s">
        <v>233</v>
      </c>
      <c r="Q659" s="2" t="s">
        <v>234</v>
      </c>
      <c r="R659" s="2" t="s">
        <v>228</v>
      </c>
      <c r="S659" s="2" t="s">
        <v>3928</v>
      </c>
      <c r="T659" s="2" t="s">
        <v>3810</v>
      </c>
      <c r="U659" s="2" t="s">
        <v>308</v>
      </c>
      <c r="V659" s="2" t="s">
        <v>3717</v>
      </c>
      <c r="W659" s="2" t="s">
        <v>1267</v>
      </c>
      <c r="X659" s="2" t="s">
        <v>269</v>
      </c>
      <c r="Y659" s="2" t="s">
        <v>228</v>
      </c>
      <c r="Z659" s="4"/>
      <c r="AA659" s="4">
        <f>=ROUNDDOWN({0},0)</f>
      </c>
      <c r="AB659" s="5"/>
      <c r="AC659" s="2" t="s">
        <v>3854</v>
      </c>
      <c r="AD659" s="4">
        <v>583</v>
      </c>
      <c r="AE659" s="4">
        <v>1934</v>
      </c>
      <c r="AF659" s="6">
        <v>69</v>
      </c>
      <c r="AG659" s="6"/>
      <c r="AH659" s="7"/>
      <c r="AI659" s="4"/>
      <c r="AJ659" s="4">
        <f>=ROUNDDOWN({0},0)</f>
      </c>
      <c r="AK659" s="5"/>
      <c r="AL659" s="2" t="s">
        <v>228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228</v>
      </c>
      <c r="AW659" s="8" t="s">
        <v>228</v>
      </c>
      <c r="AX659" s="4" t="s">
        <v>228</v>
      </c>
      <c r="AY659" s="8" t="s">
        <v>228</v>
      </c>
      <c r="AZ659" s="7" t="s">
        <v>228</v>
      </c>
      <c r="BA659" s="7" t="s">
        <v>228</v>
      </c>
      <c r="BB659" s="7"/>
      <c r="BC659" s="4" t="s">
        <v>228</v>
      </c>
      <c r="BD659" s="8" t="s">
        <v>228</v>
      </c>
      <c r="BE659" s="4" t="s">
        <v>228</v>
      </c>
      <c r="BF659" s="8" t="s">
        <v>228</v>
      </c>
      <c r="BG659" s="7" t="s">
        <v>228</v>
      </c>
      <c r="BH659" s="7" t="s">
        <v>228</v>
      </c>
      <c r="BI659" s="7"/>
      <c r="BJ659" s="4"/>
      <c r="BK659" s="8"/>
      <c r="BL659" s="2" t="s">
        <v>228</v>
      </c>
      <c r="BM659" s="7"/>
      <c r="BN659" s="7"/>
      <c r="BO659" s="4"/>
      <c r="BP659" s="8"/>
      <c r="BQ659" s="4"/>
      <c r="BR659" s="8"/>
      <c r="BS659" s="7"/>
      <c r="BT659" s="7"/>
      <c r="BU659" s="2" t="s">
        <v>238</v>
      </c>
      <c r="BV659" s="2" t="s">
        <v>228</v>
      </c>
      <c r="BW659" s="2" t="s">
        <v>228</v>
      </c>
      <c r="BX659" s="2" t="s">
        <v>3813</v>
      </c>
      <c r="BY659" s="2" t="s">
        <v>239</v>
      </c>
      <c r="BZ659" s="2" t="s">
        <v>240</v>
      </c>
      <c r="CA659" s="2" t="s">
        <v>228</v>
      </c>
      <c r="CB659" s="2" t="s">
        <v>228</v>
      </c>
      <c r="CC659" s="2" t="s">
        <v>241</v>
      </c>
      <c r="CD659" s="2" t="s">
        <v>228</v>
      </c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>
        <v>583</v>
      </c>
      <c r="DW659" s="4"/>
      <c r="DX659" s="4"/>
      <c r="DY659" s="4"/>
      <c r="DZ659" s="4">
        <v>962</v>
      </c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>
        <v>389</v>
      </c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</row>
    <row r="660">
      <c r="A660" s="2" t="s">
        <v>3930</v>
      </c>
      <c r="B660" s="2" t="s">
        <v>299</v>
      </c>
      <c r="C660" s="2" t="s">
        <v>1261</v>
      </c>
      <c r="D660" s="2" t="s">
        <v>301</v>
      </c>
      <c r="E660" s="2" t="s">
        <v>302</v>
      </c>
      <c r="F660" s="2" t="s">
        <v>3807</v>
      </c>
      <c r="G660" s="2" t="s">
        <v>3807</v>
      </c>
      <c r="H660" s="2" t="s">
        <v>3807</v>
      </c>
      <c r="I660" s="2" t="s">
        <v>347</v>
      </c>
      <c r="J660" s="2" t="s">
        <v>289</v>
      </c>
      <c r="K660" s="2" t="s">
        <v>3927</v>
      </c>
      <c r="L660" s="3">
        <v>24.3</v>
      </c>
      <c r="M660" s="3">
        <v>25.52</v>
      </c>
      <c r="N660" s="3">
        <v>54.99</v>
      </c>
      <c r="O660" s="2" t="s">
        <v>240</v>
      </c>
      <c r="P660" s="2" t="s">
        <v>233</v>
      </c>
      <c r="Q660" s="2" t="s">
        <v>234</v>
      </c>
      <c r="R660" s="2" t="s">
        <v>228</v>
      </c>
      <c r="S660" s="2" t="s">
        <v>3928</v>
      </c>
      <c r="T660" s="2" t="s">
        <v>3810</v>
      </c>
      <c r="U660" s="2" t="s">
        <v>308</v>
      </c>
      <c r="V660" s="2" t="s">
        <v>3717</v>
      </c>
      <c r="W660" s="2" t="s">
        <v>1267</v>
      </c>
      <c r="X660" s="2" t="s">
        <v>269</v>
      </c>
      <c r="Y660" s="2" t="s">
        <v>228</v>
      </c>
      <c r="Z660" s="4"/>
      <c r="AA660" s="4">
        <f>=ROUNDDOWN({0},0)</f>
      </c>
      <c r="AB660" s="5"/>
      <c r="AC660" s="2" t="s">
        <v>3854</v>
      </c>
      <c r="AD660" s="4">
        <v>941</v>
      </c>
      <c r="AE660" s="4">
        <v>3118</v>
      </c>
      <c r="AF660" s="6">
        <v>69</v>
      </c>
      <c r="AG660" s="6"/>
      <c r="AH660" s="7"/>
      <c r="AI660" s="4"/>
      <c r="AJ660" s="4">
        <f>=ROUNDDOWN({0},0)</f>
      </c>
      <c r="AK660" s="5"/>
      <c r="AL660" s="2" t="s">
        <v>228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228</v>
      </c>
      <c r="AW660" s="8" t="s">
        <v>228</v>
      </c>
      <c r="AX660" s="4" t="s">
        <v>228</v>
      </c>
      <c r="AY660" s="8" t="s">
        <v>228</v>
      </c>
      <c r="AZ660" s="7" t="s">
        <v>228</v>
      </c>
      <c r="BA660" s="7" t="s">
        <v>228</v>
      </c>
      <c r="BB660" s="7"/>
      <c r="BC660" s="4" t="s">
        <v>228</v>
      </c>
      <c r="BD660" s="8" t="s">
        <v>228</v>
      </c>
      <c r="BE660" s="4" t="s">
        <v>228</v>
      </c>
      <c r="BF660" s="8" t="s">
        <v>228</v>
      </c>
      <c r="BG660" s="7" t="s">
        <v>228</v>
      </c>
      <c r="BH660" s="7" t="s">
        <v>228</v>
      </c>
      <c r="BI660" s="7"/>
      <c r="BJ660" s="4"/>
      <c r="BK660" s="8"/>
      <c r="BL660" s="2" t="s">
        <v>228</v>
      </c>
      <c r="BM660" s="7"/>
      <c r="BN660" s="7"/>
      <c r="BO660" s="4"/>
      <c r="BP660" s="8"/>
      <c r="BQ660" s="4"/>
      <c r="BR660" s="8"/>
      <c r="BS660" s="7"/>
      <c r="BT660" s="7"/>
      <c r="BU660" s="2" t="s">
        <v>238</v>
      </c>
      <c r="BV660" s="2" t="s">
        <v>228</v>
      </c>
      <c r="BW660" s="2" t="s">
        <v>228</v>
      </c>
      <c r="BX660" s="2" t="s">
        <v>3813</v>
      </c>
      <c r="BY660" s="2" t="s">
        <v>239</v>
      </c>
      <c r="BZ660" s="2" t="s">
        <v>240</v>
      </c>
      <c r="CA660" s="2" t="s">
        <v>228</v>
      </c>
      <c r="CB660" s="2" t="s">
        <v>228</v>
      </c>
      <c r="CC660" s="2" t="s">
        <v>241</v>
      </c>
      <c r="CD660" s="2" t="s">
        <v>228</v>
      </c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>
        <v>941</v>
      </c>
      <c r="DW660" s="4"/>
      <c r="DX660" s="4"/>
      <c r="DY660" s="4"/>
      <c r="DZ660" s="4">
        <v>1549</v>
      </c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>
        <v>628</v>
      </c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</row>
    <row r="661">
      <c r="A661" s="2" t="s">
        <v>3931</v>
      </c>
      <c r="B661" s="2" t="s">
        <v>299</v>
      </c>
      <c r="C661" s="2" t="s">
        <v>1261</v>
      </c>
      <c r="D661" s="2" t="s">
        <v>301</v>
      </c>
      <c r="E661" s="2" t="s">
        <v>302</v>
      </c>
      <c r="F661" s="2" t="s">
        <v>3807</v>
      </c>
      <c r="G661" s="2" t="s">
        <v>3807</v>
      </c>
      <c r="H661" s="2" t="s">
        <v>3807</v>
      </c>
      <c r="I661" s="2" t="s">
        <v>347</v>
      </c>
      <c r="J661" s="2" t="s">
        <v>294</v>
      </c>
      <c r="K661" s="2" t="s">
        <v>3927</v>
      </c>
      <c r="L661" s="3">
        <v>28.98</v>
      </c>
      <c r="M661" s="3">
        <v>30.43</v>
      </c>
      <c r="N661" s="3">
        <v>64.99</v>
      </c>
      <c r="O661" s="2" t="s">
        <v>240</v>
      </c>
      <c r="P661" s="2" t="s">
        <v>233</v>
      </c>
      <c r="Q661" s="2" t="s">
        <v>234</v>
      </c>
      <c r="R661" s="2" t="s">
        <v>228</v>
      </c>
      <c r="S661" s="2" t="s">
        <v>3928</v>
      </c>
      <c r="T661" s="2" t="s">
        <v>3810</v>
      </c>
      <c r="U661" s="2" t="s">
        <v>308</v>
      </c>
      <c r="V661" s="2" t="s">
        <v>3717</v>
      </c>
      <c r="W661" s="2" t="s">
        <v>1267</v>
      </c>
      <c r="X661" s="2" t="s">
        <v>269</v>
      </c>
      <c r="Y661" s="2" t="s">
        <v>228</v>
      </c>
      <c r="Z661" s="4"/>
      <c r="AA661" s="4">
        <f>=ROUNDDOWN({0},0)</f>
      </c>
      <c r="AB661" s="5"/>
      <c r="AC661" s="2" t="s">
        <v>3854</v>
      </c>
      <c r="AD661" s="4">
        <v>391</v>
      </c>
      <c r="AE661" s="4">
        <v>1304</v>
      </c>
      <c r="AF661" s="6">
        <v>69</v>
      </c>
      <c r="AG661" s="6"/>
      <c r="AH661" s="7"/>
      <c r="AI661" s="4"/>
      <c r="AJ661" s="4">
        <f>=ROUNDDOWN({0},0)</f>
      </c>
      <c r="AK661" s="5"/>
      <c r="AL661" s="2" t="s">
        <v>228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228</v>
      </c>
      <c r="AW661" s="8" t="s">
        <v>228</v>
      </c>
      <c r="AX661" s="4" t="s">
        <v>228</v>
      </c>
      <c r="AY661" s="8" t="s">
        <v>228</v>
      </c>
      <c r="AZ661" s="7" t="s">
        <v>228</v>
      </c>
      <c r="BA661" s="7" t="s">
        <v>228</v>
      </c>
      <c r="BB661" s="7"/>
      <c r="BC661" s="4" t="s">
        <v>228</v>
      </c>
      <c r="BD661" s="8" t="s">
        <v>228</v>
      </c>
      <c r="BE661" s="4" t="s">
        <v>228</v>
      </c>
      <c r="BF661" s="8" t="s">
        <v>228</v>
      </c>
      <c r="BG661" s="7" t="s">
        <v>228</v>
      </c>
      <c r="BH661" s="7" t="s">
        <v>228</v>
      </c>
      <c r="BI661" s="7"/>
      <c r="BJ661" s="4"/>
      <c r="BK661" s="8"/>
      <c r="BL661" s="2" t="s">
        <v>228</v>
      </c>
      <c r="BM661" s="7"/>
      <c r="BN661" s="7"/>
      <c r="BO661" s="4"/>
      <c r="BP661" s="8"/>
      <c r="BQ661" s="4"/>
      <c r="BR661" s="8"/>
      <c r="BS661" s="7"/>
      <c r="BT661" s="7"/>
      <c r="BU661" s="2" t="s">
        <v>238</v>
      </c>
      <c r="BV661" s="2" t="s">
        <v>228</v>
      </c>
      <c r="BW661" s="2" t="s">
        <v>228</v>
      </c>
      <c r="BX661" s="2" t="s">
        <v>3813</v>
      </c>
      <c r="BY661" s="2" t="s">
        <v>239</v>
      </c>
      <c r="BZ661" s="2" t="s">
        <v>240</v>
      </c>
      <c r="CA661" s="2" t="s">
        <v>228</v>
      </c>
      <c r="CB661" s="2" t="s">
        <v>228</v>
      </c>
      <c r="CC661" s="2" t="s">
        <v>241</v>
      </c>
      <c r="CD661" s="2" t="s">
        <v>228</v>
      </c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>
        <v>391</v>
      </c>
      <c r="DW661" s="4"/>
      <c r="DX661" s="4"/>
      <c r="DY661" s="4"/>
      <c r="DZ661" s="4">
        <v>652</v>
      </c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>
        <v>261</v>
      </c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</row>
    <row r="662">
      <c r="A662" s="2" t="s">
        <v>3932</v>
      </c>
      <c r="B662" s="2" t="s">
        <v>299</v>
      </c>
      <c r="C662" s="2" t="s">
        <v>1261</v>
      </c>
      <c r="D662" s="2" t="s">
        <v>301</v>
      </c>
      <c r="E662" s="2" t="s">
        <v>302</v>
      </c>
      <c r="F662" s="2" t="s">
        <v>3807</v>
      </c>
      <c r="G662" s="2" t="s">
        <v>3807</v>
      </c>
      <c r="H662" s="2" t="s">
        <v>3807</v>
      </c>
      <c r="I662" s="2" t="s">
        <v>347</v>
      </c>
      <c r="J662" s="2" t="s">
        <v>312</v>
      </c>
      <c r="K662" s="2" t="s">
        <v>3927</v>
      </c>
      <c r="L662" s="3">
        <v>28.98</v>
      </c>
      <c r="M662" s="3">
        <v>30.43</v>
      </c>
      <c r="N662" s="3">
        <v>64.99</v>
      </c>
      <c r="O662" s="2" t="s">
        <v>240</v>
      </c>
      <c r="P662" s="2" t="s">
        <v>233</v>
      </c>
      <c r="Q662" s="2" t="s">
        <v>234</v>
      </c>
      <c r="R662" s="2" t="s">
        <v>228</v>
      </c>
      <c r="S662" s="2" t="s">
        <v>3928</v>
      </c>
      <c r="T662" s="2" t="s">
        <v>3810</v>
      </c>
      <c r="U662" s="2" t="s">
        <v>308</v>
      </c>
      <c r="V662" s="2" t="s">
        <v>3717</v>
      </c>
      <c r="W662" s="2" t="s">
        <v>1267</v>
      </c>
      <c r="X662" s="2" t="s">
        <v>269</v>
      </c>
      <c r="Y662" s="2" t="s">
        <v>228</v>
      </c>
      <c r="Z662" s="4"/>
      <c r="AA662" s="4">
        <f>=ROUNDDOWN({0},0)</f>
      </c>
      <c r="AB662" s="5"/>
      <c r="AC662" s="2" t="s">
        <v>3854</v>
      </c>
      <c r="AD662" s="4">
        <v>183</v>
      </c>
      <c r="AE662" s="4">
        <v>609</v>
      </c>
      <c r="AF662" s="6">
        <v>69</v>
      </c>
      <c r="AG662" s="6"/>
      <c r="AH662" s="7"/>
      <c r="AI662" s="4"/>
      <c r="AJ662" s="4">
        <f>=ROUNDDOWN({0},0)</f>
      </c>
      <c r="AK662" s="5"/>
      <c r="AL662" s="2" t="s">
        <v>228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228</v>
      </c>
      <c r="AW662" s="8" t="s">
        <v>228</v>
      </c>
      <c r="AX662" s="4" t="s">
        <v>228</v>
      </c>
      <c r="AY662" s="8" t="s">
        <v>228</v>
      </c>
      <c r="AZ662" s="7" t="s">
        <v>228</v>
      </c>
      <c r="BA662" s="7" t="s">
        <v>228</v>
      </c>
      <c r="BB662" s="7"/>
      <c r="BC662" s="4" t="s">
        <v>228</v>
      </c>
      <c r="BD662" s="8" t="s">
        <v>228</v>
      </c>
      <c r="BE662" s="4" t="s">
        <v>228</v>
      </c>
      <c r="BF662" s="8" t="s">
        <v>228</v>
      </c>
      <c r="BG662" s="7" t="s">
        <v>228</v>
      </c>
      <c r="BH662" s="7" t="s">
        <v>228</v>
      </c>
      <c r="BI662" s="7"/>
      <c r="BJ662" s="4"/>
      <c r="BK662" s="8"/>
      <c r="BL662" s="2" t="s">
        <v>228</v>
      </c>
      <c r="BM662" s="7"/>
      <c r="BN662" s="7"/>
      <c r="BO662" s="4"/>
      <c r="BP662" s="8"/>
      <c r="BQ662" s="4"/>
      <c r="BR662" s="8"/>
      <c r="BS662" s="7"/>
      <c r="BT662" s="7"/>
      <c r="BU662" s="2" t="s">
        <v>238</v>
      </c>
      <c r="BV662" s="2" t="s">
        <v>228</v>
      </c>
      <c r="BW662" s="2" t="s">
        <v>228</v>
      </c>
      <c r="BX662" s="2" t="s">
        <v>3813</v>
      </c>
      <c r="BY662" s="2" t="s">
        <v>239</v>
      </c>
      <c r="BZ662" s="2" t="s">
        <v>240</v>
      </c>
      <c r="CA662" s="2" t="s">
        <v>228</v>
      </c>
      <c r="CB662" s="2" t="s">
        <v>228</v>
      </c>
      <c r="CC662" s="2" t="s">
        <v>241</v>
      </c>
      <c r="CD662" s="2" t="s">
        <v>228</v>
      </c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>
        <v>183</v>
      </c>
      <c r="DW662" s="4"/>
      <c r="DX662" s="4"/>
      <c r="DY662" s="4"/>
      <c r="DZ662" s="4">
        <v>304</v>
      </c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>
        <v>122</v>
      </c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</row>
    <row r="663">
      <c r="A663" s="2" t="s">
        <v>3933</v>
      </c>
      <c r="B663" s="2" t="s">
        <v>299</v>
      </c>
      <c r="C663" s="2" t="s">
        <v>1261</v>
      </c>
      <c r="D663" s="2" t="s">
        <v>301</v>
      </c>
      <c r="E663" s="2" t="s">
        <v>302</v>
      </c>
      <c r="F663" s="2" t="s">
        <v>3807</v>
      </c>
      <c r="G663" s="2" t="s">
        <v>3807</v>
      </c>
      <c r="H663" s="2" t="s">
        <v>3807</v>
      </c>
      <c r="I663" s="2" t="s">
        <v>347</v>
      </c>
      <c r="J663" s="2" t="s">
        <v>264</v>
      </c>
      <c r="K663" s="2" t="s">
        <v>3934</v>
      </c>
      <c r="L663" s="3">
        <v>19.8</v>
      </c>
      <c r="M663" s="3">
        <v>20.79</v>
      </c>
      <c r="N663" s="3">
        <v>44.99</v>
      </c>
      <c r="O663" s="2" t="s">
        <v>240</v>
      </c>
      <c r="P663" s="2" t="s">
        <v>233</v>
      </c>
      <c r="Q663" s="2" t="s">
        <v>234</v>
      </c>
      <c r="R663" s="2" t="s">
        <v>228</v>
      </c>
      <c r="S663" s="2" t="s">
        <v>3935</v>
      </c>
      <c r="T663" s="2" t="s">
        <v>3810</v>
      </c>
      <c r="U663" s="2" t="s">
        <v>500</v>
      </c>
      <c r="V663" s="2" t="s">
        <v>1438</v>
      </c>
      <c r="W663" s="2" t="s">
        <v>1267</v>
      </c>
      <c r="X663" s="2" t="s">
        <v>269</v>
      </c>
      <c r="Y663" s="2" t="s">
        <v>228</v>
      </c>
      <c r="Z663" s="4"/>
      <c r="AA663" s="4">
        <f>=ROUNDDOWN({0},0)</f>
      </c>
      <c r="AB663" s="5"/>
      <c r="AC663" s="2" t="s">
        <v>3854</v>
      </c>
      <c r="AD663" s="4">
        <v>452</v>
      </c>
      <c r="AE663" s="4">
        <v>1506</v>
      </c>
      <c r="AF663" s="6">
        <v>69</v>
      </c>
      <c r="AG663" s="6"/>
      <c r="AH663" s="7"/>
      <c r="AI663" s="4"/>
      <c r="AJ663" s="4">
        <f>=ROUNDDOWN({0},0)</f>
      </c>
      <c r="AK663" s="5"/>
      <c r="AL663" s="2" t="s">
        <v>228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228</v>
      </c>
      <c r="AW663" s="8" t="s">
        <v>228</v>
      </c>
      <c r="AX663" s="4" t="s">
        <v>228</v>
      </c>
      <c r="AY663" s="8" t="s">
        <v>228</v>
      </c>
      <c r="AZ663" s="7" t="s">
        <v>228</v>
      </c>
      <c r="BA663" s="7" t="s">
        <v>228</v>
      </c>
      <c r="BB663" s="7"/>
      <c r="BC663" s="4" t="s">
        <v>228</v>
      </c>
      <c r="BD663" s="8" t="s">
        <v>228</v>
      </c>
      <c r="BE663" s="4" t="s">
        <v>228</v>
      </c>
      <c r="BF663" s="8" t="s">
        <v>228</v>
      </c>
      <c r="BG663" s="7" t="s">
        <v>228</v>
      </c>
      <c r="BH663" s="7" t="s">
        <v>228</v>
      </c>
      <c r="BI663" s="7"/>
      <c r="BJ663" s="4"/>
      <c r="BK663" s="8"/>
      <c r="BL663" s="2" t="s">
        <v>228</v>
      </c>
      <c r="BM663" s="7"/>
      <c r="BN663" s="7"/>
      <c r="BO663" s="4"/>
      <c r="BP663" s="8"/>
      <c r="BQ663" s="4"/>
      <c r="BR663" s="8"/>
      <c r="BS663" s="7"/>
      <c r="BT663" s="7"/>
      <c r="BU663" s="2" t="s">
        <v>238</v>
      </c>
      <c r="BV663" s="2" t="s">
        <v>228</v>
      </c>
      <c r="BW663" s="2" t="s">
        <v>228</v>
      </c>
      <c r="BX663" s="2" t="s">
        <v>3813</v>
      </c>
      <c r="BY663" s="2" t="s">
        <v>239</v>
      </c>
      <c r="BZ663" s="2" t="s">
        <v>240</v>
      </c>
      <c r="CA663" s="2" t="s">
        <v>228</v>
      </c>
      <c r="CB663" s="2" t="s">
        <v>228</v>
      </c>
      <c r="CC663" s="2" t="s">
        <v>241</v>
      </c>
      <c r="CD663" s="2" t="s">
        <v>228</v>
      </c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>
        <v>452</v>
      </c>
      <c r="DW663" s="4"/>
      <c r="DX663" s="4"/>
      <c r="DY663" s="4"/>
      <c r="DZ663" s="4">
        <v>753</v>
      </c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>
        <v>301</v>
      </c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</row>
    <row r="664">
      <c r="A664" s="2" t="s">
        <v>3936</v>
      </c>
      <c r="B664" s="2" t="s">
        <v>299</v>
      </c>
      <c r="C664" s="2" t="s">
        <v>1261</v>
      </c>
      <c r="D664" s="2" t="s">
        <v>301</v>
      </c>
      <c r="E664" s="2" t="s">
        <v>302</v>
      </c>
      <c r="F664" s="2" t="s">
        <v>3807</v>
      </c>
      <c r="G664" s="2" t="s">
        <v>3807</v>
      </c>
      <c r="H664" s="2" t="s">
        <v>3807</v>
      </c>
      <c r="I664" s="2" t="s">
        <v>347</v>
      </c>
      <c r="J664" s="2" t="s">
        <v>284</v>
      </c>
      <c r="K664" s="2" t="s">
        <v>3934</v>
      </c>
      <c r="L664" s="3">
        <v>21.78</v>
      </c>
      <c r="M664" s="3">
        <v>22.87</v>
      </c>
      <c r="N664" s="3">
        <v>49.99</v>
      </c>
      <c r="O664" s="2" t="s">
        <v>240</v>
      </c>
      <c r="P664" s="2" t="s">
        <v>233</v>
      </c>
      <c r="Q664" s="2" t="s">
        <v>234</v>
      </c>
      <c r="R664" s="2" t="s">
        <v>228</v>
      </c>
      <c r="S664" s="2" t="s">
        <v>3935</v>
      </c>
      <c r="T664" s="2" t="s">
        <v>3810</v>
      </c>
      <c r="U664" s="2" t="s">
        <v>308</v>
      </c>
      <c r="V664" s="2" t="s">
        <v>1438</v>
      </c>
      <c r="W664" s="2" t="s">
        <v>1267</v>
      </c>
      <c r="X664" s="2" t="s">
        <v>269</v>
      </c>
      <c r="Y664" s="2" t="s">
        <v>228</v>
      </c>
      <c r="Z664" s="4"/>
      <c r="AA664" s="4">
        <f>=ROUNDDOWN({0},0)</f>
      </c>
      <c r="AB664" s="5"/>
      <c r="AC664" s="2" t="s">
        <v>3854</v>
      </c>
      <c r="AD664" s="4">
        <v>349</v>
      </c>
      <c r="AE664" s="4">
        <v>1164</v>
      </c>
      <c r="AF664" s="6">
        <v>69</v>
      </c>
      <c r="AG664" s="6"/>
      <c r="AH664" s="7"/>
      <c r="AI664" s="4"/>
      <c r="AJ664" s="4">
        <f>=ROUNDDOWN({0},0)</f>
      </c>
      <c r="AK664" s="5"/>
      <c r="AL664" s="2" t="s">
        <v>228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228</v>
      </c>
      <c r="AW664" s="8" t="s">
        <v>228</v>
      </c>
      <c r="AX664" s="4" t="s">
        <v>228</v>
      </c>
      <c r="AY664" s="8" t="s">
        <v>228</v>
      </c>
      <c r="AZ664" s="7" t="s">
        <v>228</v>
      </c>
      <c r="BA664" s="7" t="s">
        <v>228</v>
      </c>
      <c r="BB664" s="7"/>
      <c r="BC664" s="4" t="s">
        <v>228</v>
      </c>
      <c r="BD664" s="8" t="s">
        <v>228</v>
      </c>
      <c r="BE664" s="4" t="s">
        <v>228</v>
      </c>
      <c r="BF664" s="8" t="s">
        <v>228</v>
      </c>
      <c r="BG664" s="7" t="s">
        <v>228</v>
      </c>
      <c r="BH664" s="7" t="s">
        <v>228</v>
      </c>
      <c r="BI664" s="7"/>
      <c r="BJ664" s="4"/>
      <c r="BK664" s="8"/>
      <c r="BL664" s="2" t="s">
        <v>228</v>
      </c>
      <c r="BM664" s="7"/>
      <c r="BN664" s="7"/>
      <c r="BO664" s="4"/>
      <c r="BP664" s="8"/>
      <c r="BQ664" s="4"/>
      <c r="BR664" s="8"/>
      <c r="BS664" s="7"/>
      <c r="BT664" s="7"/>
      <c r="BU664" s="2" t="s">
        <v>238</v>
      </c>
      <c r="BV664" s="2" t="s">
        <v>228</v>
      </c>
      <c r="BW664" s="2" t="s">
        <v>228</v>
      </c>
      <c r="BX664" s="2" t="s">
        <v>3813</v>
      </c>
      <c r="BY664" s="2" t="s">
        <v>239</v>
      </c>
      <c r="BZ664" s="2" t="s">
        <v>240</v>
      </c>
      <c r="CA664" s="2" t="s">
        <v>228</v>
      </c>
      <c r="CB664" s="2" t="s">
        <v>228</v>
      </c>
      <c r="CC664" s="2" t="s">
        <v>241</v>
      </c>
      <c r="CD664" s="2" t="s">
        <v>228</v>
      </c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>
        <v>349</v>
      </c>
      <c r="DW664" s="4"/>
      <c r="DX664" s="4"/>
      <c r="DY664" s="4"/>
      <c r="DZ664" s="4">
        <v>582</v>
      </c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>
        <v>233</v>
      </c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</row>
    <row r="665">
      <c r="A665" s="2" t="s">
        <v>3937</v>
      </c>
      <c r="B665" s="2" t="s">
        <v>299</v>
      </c>
      <c r="C665" s="2" t="s">
        <v>1261</v>
      </c>
      <c r="D665" s="2" t="s">
        <v>301</v>
      </c>
      <c r="E665" s="2" t="s">
        <v>302</v>
      </c>
      <c r="F665" s="2" t="s">
        <v>3807</v>
      </c>
      <c r="G665" s="2" t="s">
        <v>3807</v>
      </c>
      <c r="H665" s="2" t="s">
        <v>3807</v>
      </c>
      <c r="I665" s="2" t="s">
        <v>347</v>
      </c>
      <c r="J665" s="2" t="s">
        <v>312</v>
      </c>
      <c r="K665" s="2" t="s">
        <v>3934</v>
      </c>
      <c r="L665" s="3">
        <v>28.98</v>
      </c>
      <c r="M665" s="3">
        <v>30.43</v>
      </c>
      <c r="N665" s="3">
        <v>64.99</v>
      </c>
      <c r="O665" s="2" t="s">
        <v>240</v>
      </c>
      <c r="P665" s="2" t="s">
        <v>715</v>
      </c>
      <c r="Q665" s="2" t="s">
        <v>234</v>
      </c>
      <c r="R665" s="2" t="s">
        <v>228</v>
      </c>
      <c r="S665" s="2" t="s">
        <v>3938</v>
      </c>
      <c r="T665" s="2" t="s">
        <v>3810</v>
      </c>
      <c r="U665" s="2" t="s">
        <v>228</v>
      </c>
      <c r="V665" s="2" t="s">
        <v>1438</v>
      </c>
      <c r="W665" s="2" t="s">
        <v>1267</v>
      </c>
      <c r="X665" s="2" t="s">
        <v>269</v>
      </c>
      <c r="Y665" s="2" t="s">
        <v>3939</v>
      </c>
      <c r="Z665" s="4">
        <v>136</v>
      </c>
      <c r="AA665" s="4">
        <f>=ROUNDDOWN(8.5,0)</f>
      </c>
      <c r="AB665" s="5">
        <v>16</v>
      </c>
      <c r="AC665" s="2" t="s">
        <v>1014</v>
      </c>
      <c r="AD665" s="4">
        <v>290</v>
      </c>
      <c r="AE665" s="4">
        <v>559</v>
      </c>
      <c r="AF665" s="6">
        <v>69</v>
      </c>
      <c r="AG665" s="6"/>
      <c r="AH665" s="7">
        <v>1</v>
      </c>
      <c r="AI665" s="4"/>
      <c r="AJ665" s="4">
        <f>=ROUNDDOWN({0},0)</f>
      </c>
      <c r="AK665" s="5"/>
      <c r="AL665" s="2" t="s">
        <v>228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228</v>
      </c>
      <c r="AW665" s="8" t="s">
        <v>228</v>
      </c>
      <c r="AX665" s="4" t="s">
        <v>228</v>
      </c>
      <c r="AY665" s="8" t="s">
        <v>228</v>
      </c>
      <c r="AZ665" s="7" t="s">
        <v>228</v>
      </c>
      <c r="BA665" s="7" t="s">
        <v>228</v>
      </c>
      <c r="BB665" s="7"/>
      <c r="BC665" s="4" t="s">
        <v>228</v>
      </c>
      <c r="BD665" s="8" t="s">
        <v>228</v>
      </c>
      <c r="BE665" s="4" t="s">
        <v>228</v>
      </c>
      <c r="BF665" s="8" t="s">
        <v>228</v>
      </c>
      <c r="BG665" s="7" t="s">
        <v>228</v>
      </c>
      <c r="BH665" s="7" t="s">
        <v>228</v>
      </c>
      <c r="BI665" s="7"/>
      <c r="BJ665" s="4">
        <v>14</v>
      </c>
      <c r="BK665" s="8">
        <v>481.61</v>
      </c>
      <c r="BL665" s="2" t="s">
        <v>3940</v>
      </c>
      <c r="BM665" s="7"/>
      <c r="BN665" s="7"/>
      <c r="BO665" s="4"/>
      <c r="BP665" s="8"/>
      <c r="BQ665" s="4"/>
      <c r="BR665" s="8"/>
      <c r="BS665" s="7"/>
      <c r="BT665" s="7"/>
      <c r="BU665" s="2" t="s">
        <v>3941</v>
      </c>
      <c r="BV665" s="2" t="s">
        <v>228</v>
      </c>
      <c r="BW665" s="2" t="s">
        <v>228</v>
      </c>
      <c r="BX665" s="2" t="s">
        <v>3813</v>
      </c>
      <c r="BY665" s="2" t="s">
        <v>274</v>
      </c>
      <c r="BZ665" s="2" t="s">
        <v>240</v>
      </c>
      <c r="CA665" s="2" t="s">
        <v>3871</v>
      </c>
      <c r="CB665" s="2" t="s">
        <v>3942</v>
      </c>
      <c r="CC665" s="2" t="s">
        <v>241</v>
      </c>
      <c r="CD665" s="2" t="s">
        <v>228</v>
      </c>
      <c r="CE665" s="4">
        <v>136</v>
      </c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>
        <v>290</v>
      </c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>
        <v>139</v>
      </c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>
        <v>130</v>
      </c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</row>
    <row r="666">
      <c r="A666" s="2" t="s">
        <v>3943</v>
      </c>
      <c r="B666" s="2" t="s">
        <v>299</v>
      </c>
      <c r="C666" s="2" t="s">
        <v>1261</v>
      </c>
      <c r="D666" s="2" t="s">
        <v>301</v>
      </c>
      <c r="E666" s="2" t="s">
        <v>302</v>
      </c>
      <c r="F666" s="2" t="s">
        <v>3807</v>
      </c>
      <c r="G666" s="2" t="s">
        <v>3807</v>
      </c>
      <c r="H666" s="2" t="s">
        <v>3807</v>
      </c>
      <c r="I666" s="2" t="s">
        <v>347</v>
      </c>
      <c r="J666" s="2" t="s">
        <v>264</v>
      </c>
      <c r="K666" s="2" t="s">
        <v>3944</v>
      </c>
      <c r="L666" s="3">
        <v>19.8</v>
      </c>
      <c r="M666" s="3">
        <v>20.79</v>
      </c>
      <c r="N666" s="3">
        <v>44.99</v>
      </c>
      <c r="O666" s="2" t="s">
        <v>240</v>
      </c>
      <c r="P666" s="2" t="s">
        <v>266</v>
      </c>
      <c r="Q666" s="2" t="s">
        <v>234</v>
      </c>
      <c r="R666" s="2" t="s">
        <v>228</v>
      </c>
      <c r="S666" s="2" t="s">
        <v>3945</v>
      </c>
      <c r="T666" s="2" t="s">
        <v>3810</v>
      </c>
      <c r="U666" s="2" t="s">
        <v>228</v>
      </c>
      <c r="V666" s="2" t="s">
        <v>3717</v>
      </c>
      <c r="W666" s="2" t="s">
        <v>1267</v>
      </c>
      <c r="X666" s="2" t="s">
        <v>269</v>
      </c>
      <c r="Y666" s="2" t="s">
        <v>3835</v>
      </c>
      <c r="Z666" s="4">
        <v>82</v>
      </c>
      <c r="AA666" s="4">
        <f>=ROUNDDOWN(5.85714285714286,0)</f>
      </c>
      <c r="AB666" s="5">
        <v>14</v>
      </c>
      <c r="AC666" s="2" t="s">
        <v>1014</v>
      </c>
      <c r="AD666" s="4">
        <v>211</v>
      </c>
      <c r="AE666" s="4">
        <v>319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228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228</v>
      </c>
      <c r="AW666" s="8" t="s">
        <v>228</v>
      </c>
      <c r="AX666" s="4" t="s">
        <v>228</v>
      </c>
      <c r="AY666" s="8" t="s">
        <v>228</v>
      </c>
      <c r="AZ666" s="7" t="s">
        <v>228</v>
      </c>
      <c r="BA666" s="7" t="s">
        <v>228</v>
      </c>
      <c r="BB666" s="7"/>
      <c r="BC666" s="4" t="s">
        <v>228</v>
      </c>
      <c r="BD666" s="8" t="s">
        <v>228</v>
      </c>
      <c r="BE666" s="4" t="s">
        <v>228</v>
      </c>
      <c r="BF666" s="8" t="s">
        <v>228</v>
      </c>
      <c r="BG666" s="7" t="s">
        <v>228</v>
      </c>
      <c r="BH666" s="7" t="s">
        <v>228</v>
      </c>
      <c r="BI666" s="7"/>
      <c r="BJ666" s="4">
        <v>15</v>
      </c>
      <c r="BK666" s="8">
        <v>358.84</v>
      </c>
      <c r="BL666" s="2" t="s">
        <v>3946</v>
      </c>
      <c r="BM666" s="7"/>
      <c r="BN666" s="7"/>
      <c r="BO666" s="4"/>
      <c r="BP666" s="8"/>
      <c r="BQ666" s="4"/>
      <c r="BR666" s="8"/>
      <c r="BS666" s="7"/>
      <c r="BT666" s="7"/>
      <c r="BU666" s="2" t="s">
        <v>3947</v>
      </c>
      <c r="BV666" s="2" t="s">
        <v>228</v>
      </c>
      <c r="BW666" s="2" t="s">
        <v>228</v>
      </c>
      <c r="BX666" s="2" t="s">
        <v>3813</v>
      </c>
      <c r="BY666" s="2" t="s">
        <v>274</v>
      </c>
      <c r="BZ666" s="2" t="s">
        <v>240</v>
      </c>
      <c r="CA666" s="2" t="s">
        <v>3838</v>
      </c>
      <c r="CB666" s="2" t="s">
        <v>3948</v>
      </c>
      <c r="CC666" s="2" t="s">
        <v>241</v>
      </c>
      <c r="CD666" s="2" t="s">
        <v>228</v>
      </c>
      <c r="CE666" s="4">
        <v>82</v>
      </c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>
        <v>211</v>
      </c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>
        <v>78</v>
      </c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>
        <v>30</v>
      </c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</row>
    <row r="667">
      <c r="A667" s="2" t="s">
        <v>3949</v>
      </c>
      <c r="B667" s="2" t="s">
        <v>299</v>
      </c>
      <c r="C667" s="2" t="s">
        <v>1261</v>
      </c>
      <c r="D667" s="2" t="s">
        <v>301</v>
      </c>
      <c r="E667" s="2" t="s">
        <v>302</v>
      </c>
      <c r="F667" s="2" t="s">
        <v>3807</v>
      </c>
      <c r="G667" s="2" t="s">
        <v>3807</v>
      </c>
      <c r="H667" s="2" t="s">
        <v>3807</v>
      </c>
      <c r="I667" s="2" t="s">
        <v>347</v>
      </c>
      <c r="J667" s="2" t="s">
        <v>284</v>
      </c>
      <c r="K667" s="2" t="s">
        <v>3944</v>
      </c>
      <c r="L667" s="3">
        <v>21.78</v>
      </c>
      <c r="M667" s="3">
        <v>22.87</v>
      </c>
      <c r="N667" s="3">
        <v>49.99</v>
      </c>
      <c r="O667" s="2" t="s">
        <v>240</v>
      </c>
      <c r="P667" s="2" t="s">
        <v>266</v>
      </c>
      <c r="Q667" s="2" t="s">
        <v>234</v>
      </c>
      <c r="R667" s="2" t="s">
        <v>228</v>
      </c>
      <c r="S667" s="2" t="s">
        <v>3945</v>
      </c>
      <c r="T667" s="2" t="s">
        <v>3810</v>
      </c>
      <c r="U667" s="2" t="s">
        <v>228</v>
      </c>
      <c r="V667" s="2" t="s">
        <v>3717</v>
      </c>
      <c r="W667" s="2" t="s">
        <v>1267</v>
      </c>
      <c r="X667" s="2" t="s">
        <v>269</v>
      </c>
      <c r="Y667" s="2" t="s">
        <v>3835</v>
      </c>
      <c r="Z667" s="4">
        <v>71</v>
      </c>
      <c r="AA667" s="4">
        <f>=ROUNDDOWN(5.07142857142857,0)</f>
      </c>
      <c r="AB667" s="5">
        <v>14</v>
      </c>
      <c r="AC667" s="2" t="s">
        <v>1014</v>
      </c>
      <c r="AD667" s="4">
        <v>280</v>
      </c>
      <c r="AE667" s="4">
        <v>487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228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228</v>
      </c>
      <c r="AW667" s="8" t="s">
        <v>228</v>
      </c>
      <c r="AX667" s="4" t="s">
        <v>228</v>
      </c>
      <c r="AY667" s="8" t="s">
        <v>228</v>
      </c>
      <c r="AZ667" s="7" t="s">
        <v>228</v>
      </c>
      <c r="BA667" s="7" t="s">
        <v>228</v>
      </c>
      <c r="BB667" s="7"/>
      <c r="BC667" s="4" t="s">
        <v>228</v>
      </c>
      <c r="BD667" s="8" t="s">
        <v>228</v>
      </c>
      <c r="BE667" s="4" t="s">
        <v>228</v>
      </c>
      <c r="BF667" s="8" t="s">
        <v>228</v>
      </c>
      <c r="BG667" s="7" t="s">
        <v>228</v>
      </c>
      <c r="BH667" s="7" t="s">
        <v>228</v>
      </c>
      <c r="BI667" s="7"/>
      <c r="BJ667" s="4">
        <v>21</v>
      </c>
      <c r="BK667" s="8">
        <v>521.15</v>
      </c>
      <c r="BL667" s="2" t="s">
        <v>3950</v>
      </c>
      <c r="BM667" s="7"/>
      <c r="BN667" s="7"/>
      <c r="BO667" s="4"/>
      <c r="BP667" s="8"/>
      <c r="BQ667" s="4"/>
      <c r="BR667" s="8"/>
      <c r="BS667" s="7"/>
      <c r="BT667" s="7"/>
      <c r="BU667" s="2" t="s">
        <v>3951</v>
      </c>
      <c r="BV667" s="2" t="s">
        <v>228</v>
      </c>
      <c r="BW667" s="2" t="s">
        <v>228</v>
      </c>
      <c r="BX667" s="2" t="s">
        <v>3813</v>
      </c>
      <c r="BY667" s="2" t="s">
        <v>274</v>
      </c>
      <c r="BZ667" s="2" t="s">
        <v>240</v>
      </c>
      <c r="CA667" s="2" t="s">
        <v>3838</v>
      </c>
      <c r="CB667" s="2" t="s">
        <v>3948</v>
      </c>
      <c r="CC667" s="2" t="s">
        <v>241</v>
      </c>
      <c r="CD667" s="2" t="s">
        <v>228</v>
      </c>
      <c r="CE667" s="4">
        <v>71</v>
      </c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>
        <v>280</v>
      </c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>
        <v>107</v>
      </c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>
        <v>100</v>
      </c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</row>
    <row r="668">
      <c r="A668" s="2" t="s">
        <v>3952</v>
      </c>
      <c r="B668" s="2" t="s">
        <v>299</v>
      </c>
      <c r="C668" s="2" t="s">
        <v>1261</v>
      </c>
      <c r="D668" s="2" t="s">
        <v>301</v>
      </c>
      <c r="E668" s="2" t="s">
        <v>302</v>
      </c>
      <c r="F668" s="2" t="s">
        <v>3807</v>
      </c>
      <c r="G668" s="2" t="s">
        <v>3807</v>
      </c>
      <c r="H668" s="2" t="s">
        <v>3807</v>
      </c>
      <c r="I668" s="2" t="s">
        <v>347</v>
      </c>
      <c r="J668" s="2" t="s">
        <v>289</v>
      </c>
      <c r="K668" s="2" t="s">
        <v>3944</v>
      </c>
      <c r="L668" s="3">
        <v>24.3</v>
      </c>
      <c r="M668" s="3">
        <v>25.52</v>
      </c>
      <c r="N668" s="3">
        <v>54.99</v>
      </c>
      <c r="O668" s="2" t="s">
        <v>240</v>
      </c>
      <c r="P668" s="2" t="s">
        <v>715</v>
      </c>
      <c r="Q668" s="2" t="s">
        <v>234</v>
      </c>
      <c r="R668" s="2" t="s">
        <v>228</v>
      </c>
      <c r="S668" s="2" t="s">
        <v>3953</v>
      </c>
      <c r="T668" s="2" t="s">
        <v>3810</v>
      </c>
      <c r="U668" s="2" t="s">
        <v>228</v>
      </c>
      <c r="V668" s="2" t="s">
        <v>3717</v>
      </c>
      <c r="W668" s="2" t="s">
        <v>1267</v>
      </c>
      <c r="X668" s="2" t="s">
        <v>269</v>
      </c>
      <c r="Y668" s="2" t="s">
        <v>3835</v>
      </c>
      <c r="Z668" s="4">
        <v>23</v>
      </c>
      <c r="AA668" s="4">
        <f>=ROUNDDOWN(1.04545454545455,0)</f>
      </c>
      <c r="AB668" s="5">
        <v>22</v>
      </c>
      <c r="AC668" s="2" t="s">
        <v>1014</v>
      </c>
      <c r="AD668" s="4">
        <v>370</v>
      </c>
      <c r="AE668" s="4">
        <v>873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228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228</v>
      </c>
      <c r="AW668" s="8" t="s">
        <v>228</v>
      </c>
      <c r="AX668" s="4" t="s">
        <v>228</v>
      </c>
      <c r="AY668" s="8" t="s">
        <v>228</v>
      </c>
      <c r="AZ668" s="7" t="s">
        <v>228</v>
      </c>
      <c r="BA668" s="7" t="s">
        <v>228</v>
      </c>
      <c r="BB668" s="7"/>
      <c r="BC668" s="4" t="s">
        <v>228</v>
      </c>
      <c r="BD668" s="8" t="s">
        <v>228</v>
      </c>
      <c r="BE668" s="4" t="s">
        <v>228</v>
      </c>
      <c r="BF668" s="8" t="s">
        <v>228</v>
      </c>
      <c r="BG668" s="7" t="s">
        <v>228</v>
      </c>
      <c r="BH668" s="7" t="s">
        <v>228</v>
      </c>
      <c r="BI668" s="7"/>
      <c r="BJ668" s="4">
        <v>65</v>
      </c>
      <c r="BK668" s="8">
        <v>1839.41</v>
      </c>
      <c r="BL668" s="2" t="s">
        <v>3954</v>
      </c>
      <c r="BM668" s="7"/>
      <c r="BN668" s="7"/>
      <c r="BO668" s="4"/>
      <c r="BP668" s="8"/>
      <c r="BQ668" s="4"/>
      <c r="BR668" s="8"/>
      <c r="BS668" s="7"/>
      <c r="BT668" s="7"/>
      <c r="BU668" s="2" t="s">
        <v>3955</v>
      </c>
      <c r="BV668" s="2" t="s">
        <v>228</v>
      </c>
      <c r="BW668" s="2" t="s">
        <v>228</v>
      </c>
      <c r="BX668" s="2" t="s">
        <v>3813</v>
      </c>
      <c r="BY668" s="2" t="s">
        <v>274</v>
      </c>
      <c r="BZ668" s="2" t="s">
        <v>240</v>
      </c>
      <c r="CA668" s="2" t="s">
        <v>3838</v>
      </c>
      <c r="CB668" s="2" t="s">
        <v>3956</v>
      </c>
      <c r="CC668" s="2" t="s">
        <v>241</v>
      </c>
      <c r="CD668" s="2" t="s">
        <v>228</v>
      </c>
      <c r="CE668" s="4">
        <v>23</v>
      </c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>
        <v>370</v>
      </c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>
        <v>203</v>
      </c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>
        <v>300</v>
      </c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</row>
    <row r="669">
      <c r="A669" s="2" t="s">
        <v>3957</v>
      </c>
      <c r="B669" s="2" t="s">
        <v>299</v>
      </c>
      <c r="C669" s="2" t="s">
        <v>1261</v>
      </c>
      <c r="D669" s="2" t="s">
        <v>301</v>
      </c>
      <c r="E669" s="2" t="s">
        <v>302</v>
      </c>
      <c r="F669" s="2" t="s">
        <v>3807</v>
      </c>
      <c r="G669" s="2" t="s">
        <v>3807</v>
      </c>
      <c r="H669" s="2" t="s">
        <v>3807</v>
      </c>
      <c r="I669" s="2" t="s">
        <v>347</v>
      </c>
      <c r="J669" s="2" t="s">
        <v>294</v>
      </c>
      <c r="K669" s="2" t="s">
        <v>3944</v>
      </c>
      <c r="L669" s="3">
        <v>28.98</v>
      </c>
      <c r="M669" s="3">
        <v>30.43</v>
      </c>
      <c r="N669" s="3">
        <v>64.99</v>
      </c>
      <c r="O669" s="2" t="s">
        <v>240</v>
      </c>
      <c r="P669" s="2" t="s">
        <v>266</v>
      </c>
      <c r="Q669" s="2" t="s">
        <v>234</v>
      </c>
      <c r="R669" s="2" t="s">
        <v>228</v>
      </c>
      <c r="S669" s="2" t="s">
        <v>3953</v>
      </c>
      <c r="T669" s="2" t="s">
        <v>3810</v>
      </c>
      <c r="U669" s="2" t="s">
        <v>228</v>
      </c>
      <c r="V669" s="2" t="s">
        <v>3717</v>
      </c>
      <c r="W669" s="2" t="s">
        <v>1267</v>
      </c>
      <c r="X669" s="2" t="s">
        <v>269</v>
      </c>
      <c r="Y669" s="2" t="s">
        <v>3835</v>
      </c>
      <c r="Z669" s="4">
        <v>67</v>
      </c>
      <c r="AA669" s="4">
        <f>=ROUNDDOWN(8.375,0)</f>
      </c>
      <c r="AB669" s="5">
        <v>8</v>
      </c>
      <c r="AC669" s="2" t="s">
        <v>1014</v>
      </c>
      <c r="AD669" s="4">
        <v>165</v>
      </c>
      <c r="AE669" s="4">
        <v>328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228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228</v>
      </c>
      <c r="AW669" s="8" t="s">
        <v>228</v>
      </c>
      <c r="AX669" s="4" t="s">
        <v>228</v>
      </c>
      <c r="AY669" s="8" t="s">
        <v>228</v>
      </c>
      <c r="AZ669" s="7" t="s">
        <v>228</v>
      </c>
      <c r="BA669" s="7" t="s">
        <v>228</v>
      </c>
      <c r="BB669" s="7"/>
      <c r="BC669" s="4" t="s">
        <v>228</v>
      </c>
      <c r="BD669" s="8" t="s">
        <v>228</v>
      </c>
      <c r="BE669" s="4" t="s">
        <v>228</v>
      </c>
      <c r="BF669" s="8" t="s">
        <v>228</v>
      </c>
      <c r="BG669" s="7" t="s">
        <v>228</v>
      </c>
      <c r="BH669" s="7" t="s">
        <v>228</v>
      </c>
      <c r="BI669" s="7"/>
      <c r="BJ669" s="4">
        <v>16</v>
      </c>
      <c r="BK669" s="8">
        <v>540.03</v>
      </c>
      <c r="BL669" s="2" t="s">
        <v>3138</v>
      </c>
      <c r="BM669" s="7"/>
      <c r="BN669" s="7"/>
      <c r="BO669" s="4"/>
      <c r="BP669" s="8"/>
      <c r="BQ669" s="4"/>
      <c r="BR669" s="8"/>
      <c r="BS669" s="7"/>
      <c r="BT669" s="7"/>
      <c r="BU669" s="2" t="s">
        <v>3958</v>
      </c>
      <c r="BV669" s="2" t="s">
        <v>228</v>
      </c>
      <c r="BW669" s="2" t="s">
        <v>228</v>
      </c>
      <c r="BX669" s="2" t="s">
        <v>3813</v>
      </c>
      <c r="BY669" s="2" t="s">
        <v>274</v>
      </c>
      <c r="BZ669" s="2" t="s">
        <v>240</v>
      </c>
      <c r="CA669" s="2" t="s">
        <v>3838</v>
      </c>
      <c r="CB669" s="2" t="s">
        <v>3861</v>
      </c>
      <c r="CC669" s="2" t="s">
        <v>241</v>
      </c>
      <c r="CD669" s="2" t="s">
        <v>228</v>
      </c>
      <c r="CE669" s="4">
        <v>67</v>
      </c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>
        <v>165</v>
      </c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>
        <v>70</v>
      </c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>
        <v>93</v>
      </c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</row>
    <row r="670">
      <c r="A670" s="2" t="s">
        <v>3959</v>
      </c>
      <c r="B670" s="2" t="s">
        <v>299</v>
      </c>
      <c r="C670" s="2" t="s">
        <v>1261</v>
      </c>
      <c r="D670" s="2" t="s">
        <v>301</v>
      </c>
      <c r="E670" s="2" t="s">
        <v>302</v>
      </c>
      <c r="F670" s="2" t="s">
        <v>3807</v>
      </c>
      <c r="G670" s="2" t="s">
        <v>3807</v>
      </c>
      <c r="H670" s="2" t="s">
        <v>3807</v>
      </c>
      <c r="I670" s="2" t="s">
        <v>347</v>
      </c>
      <c r="J670" s="2" t="s">
        <v>264</v>
      </c>
      <c r="K670" s="2" t="s">
        <v>3960</v>
      </c>
      <c r="L670" s="3">
        <v>19.8</v>
      </c>
      <c r="M670" s="3">
        <v>20.79</v>
      </c>
      <c r="N670" s="3">
        <v>44.99</v>
      </c>
      <c r="O670" s="2" t="s">
        <v>240</v>
      </c>
      <c r="P670" s="2" t="s">
        <v>266</v>
      </c>
      <c r="Q670" s="2" t="s">
        <v>234</v>
      </c>
      <c r="R670" s="2" t="s">
        <v>228</v>
      </c>
      <c r="S670" s="2" t="s">
        <v>3961</v>
      </c>
      <c r="T670" s="2" t="s">
        <v>3810</v>
      </c>
      <c r="U670" s="2" t="s">
        <v>228</v>
      </c>
      <c r="V670" s="2" t="s">
        <v>3717</v>
      </c>
      <c r="W670" s="2" t="s">
        <v>1267</v>
      </c>
      <c r="X670" s="2" t="s">
        <v>269</v>
      </c>
      <c r="Y670" s="2" t="s">
        <v>3919</v>
      </c>
      <c r="Z670" s="4">
        <v>146</v>
      </c>
      <c r="AA670" s="4">
        <f>=ROUNDDOWN(24.3333333333333,0)</f>
      </c>
      <c r="AB670" s="5">
        <v>6</v>
      </c>
      <c r="AC670" s="2" t="s">
        <v>2799</v>
      </c>
      <c r="AD670" s="4">
        <v>59</v>
      </c>
      <c r="AE670" s="4">
        <v>139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228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228</v>
      </c>
      <c r="AW670" s="8" t="s">
        <v>228</v>
      </c>
      <c r="AX670" s="4" t="s">
        <v>228</v>
      </c>
      <c r="AY670" s="8" t="s">
        <v>228</v>
      </c>
      <c r="AZ670" s="7" t="s">
        <v>228</v>
      </c>
      <c r="BA670" s="7" t="s">
        <v>228</v>
      </c>
      <c r="BB670" s="7"/>
      <c r="BC670" s="4" t="s">
        <v>228</v>
      </c>
      <c r="BD670" s="8" t="s">
        <v>228</v>
      </c>
      <c r="BE670" s="4" t="s">
        <v>228</v>
      </c>
      <c r="BF670" s="8" t="s">
        <v>228</v>
      </c>
      <c r="BG670" s="7" t="s">
        <v>228</v>
      </c>
      <c r="BH670" s="7" t="s">
        <v>228</v>
      </c>
      <c r="BI670" s="7"/>
      <c r="BJ670" s="4">
        <v>26</v>
      </c>
      <c r="BK670" s="8">
        <v>620.91</v>
      </c>
      <c r="BL670" s="2" t="s">
        <v>3962</v>
      </c>
      <c r="BM670" s="7"/>
      <c r="BN670" s="7"/>
      <c r="BO670" s="4"/>
      <c r="BP670" s="8"/>
      <c r="BQ670" s="4"/>
      <c r="BR670" s="8"/>
      <c r="BS670" s="7"/>
      <c r="BT670" s="7"/>
      <c r="BU670" s="2" t="s">
        <v>3963</v>
      </c>
      <c r="BV670" s="2" t="s">
        <v>228</v>
      </c>
      <c r="BW670" s="2" t="s">
        <v>228</v>
      </c>
      <c r="BX670" s="2" t="s">
        <v>3813</v>
      </c>
      <c r="BY670" s="2" t="s">
        <v>274</v>
      </c>
      <c r="BZ670" s="2" t="s">
        <v>240</v>
      </c>
      <c r="CA670" s="2" t="s">
        <v>3838</v>
      </c>
      <c r="CB670" s="2" t="s">
        <v>3964</v>
      </c>
      <c r="CC670" s="2" t="s">
        <v>241</v>
      </c>
      <c r="CD670" s="2" t="s">
        <v>228</v>
      </c>
      <c r="CE670" s="4">
        <v>146</v>
      </c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>
        <v>59</v>
      </c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>
        <v>80</v>
      </c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</row>
    <row r="671">
      <c r="A671" s="2" t="s">
        <v>3965</v>
      </c>
      <c r="B671" s="2" t="s">
        <v>299</v>
      </c>
      <c r="C671" s="2" t="s">
        <v>1261</v>
      </c>
      <c r="D671" s="2" t="s">
        <v>301</v>
      </c>
      <c r="E671" s="2" t="s">
        <v>302</v>
      </c>
      <c r="F671" s="2" t="s">
        <v>3807</v>
      </c>
      <c r="G671" s="2" t="s">
        <v>3807</v>
      </c>
      <c r="H671" s="2" t="s">
        <v>3807</v>
      </c>
      <c r="I671" s="2" t="s">
        <v>347</v>
      </c>
      <c r="J671" s="2" t="s">
        <v>289</v>
      </c>
      <c r="K671" s="2" t="s">
        <v>3960</v>
      </c>
      <c r="L671" s="3">
        <v>24.3</v>
      </c>
      <c r="M671" s="3">
        <v>25.52</v>
      </c>
      <c r="N671" s="3">
        <v>54.99</v>
      </c>
      <c r="O671" s="2" t="s">
        <v>240</v>
      </c>
      <c r="P671" s="2" t="s">
        <v>266</v>
      </c>
      <c r="Q671" s="2" t="s">
        <v>234</v>
      </c>
      <c r="R671" s="2" t="s">
        <v>228</v>
      </c>
      <c r="S671" s="2" t="s">
        <v>3966</v>
      </c>
      <c r="T671" s="2" t="s">
        <v>3810</v>
      </c>
      <c r="U671" s="2" t="s">
        <v>228</v>
      </c>
      <c r="V671" s="2" t="s">
        <v>3717</v>
      </c>
      <c r="W671" s="2" t="s">
        <v>1267</v>
      </c>
      <c r="X671" s="2" t="s">
        <v>269</v>
      </c>
      <c r="Y671" s="2" t="s">
        <v>3967</v>
      </c>
      <c r="Z671" s="4">
        <v>158</v>
      </c>
      <c r="AA671" s="4">
        <f>=ROUNDDOWN(14.3636363636364,0)</f>
      </c>
      <c r="AB671" s="5">
        <v>11</v>
      </c>
      <c r="AC671" s="2" t="s">
        <v>1014</v>
      </c>
      <c r="AD671" s="4">
        <v>75</v>
      </c>
      <c r="AE671" s="4">
        <v>354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228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228</v>
      </c>
      <c r="AW671" s="8" t="s">
        <v>228</v>
      </c>
      <c r="AX671" s="4" t="s">
        <v>228</v>
      </c>
      <c r="AY671" s="8" t="s">
        <v>228</v>
      </c>
      <c r="AZ671" s="7" t="s">
        <v>228</v>
      </c>
      <c r="BA671" s="7" t="s">
        <v>228</v>
      </c>
      <c r="BB671" s="7"/>
      <c r="BC671" s="4" t="s">
        <v>228</v>
      </c>
      <c r="BD671" s="8" t="s">
        <v>228</v>
      </c>
      <c r="BE671" s="4" t="s">
        <v>228</v>
      </c>
      <c r="BF671" s="8" t="s">
        <v>228</v>
      </c>
      <c r="BG671" s="7" t="s">
        <v>228</v>
      </c>
      <c r="BH671" s="7" t="s">
        <v>228</v>
      </c>
      <c r="BI671" s="7"/>
      <c r="BJ671" s="4">
        <v>40</v>
      </c>
      <c r="BK671" s="8">
        <v>1171.24</v>
      </c>
      <c r="BL671" s="2" t="s">
        <v>3968</v>
      </c>
      <c r="BM671" s="7"/>
      <c r="BN671" s="7"/>
      <c r="BO671" s="4"/>
      <c r="BP671" s="8"/>
      <c r="BQ671" s="4"/>
      <c r="BR671" s="8"/>
      <c r="BS671" s="7"/>
      <c r="BT671" s="7"/>
      <c r="BU671" s="2" t="s">
        <v>3969</v>
      </c>
      <c r="BV671" s="2" t="s">
        <v>228</v>
      </c>
      <c r="BW671" s="2" t="s">
        <v>228</v>
      </c>
      <c r="BX671" s="2" t="s">
        <v>3813</v>
      </c>
      <c r="BY671" s="2" t="s">
        <v>274</v>
      </c>
      <c r="BZ671" s="2" t="s">
        <v>240</v>
      </c>
      <c r="CA671" s="2" t="s">
        <v>3838</v>
      </c>
      <c r="CB671" s="2" t="s">
        <v>3956</v>
      </c>
      <c r="CC671" s="2" t="s">
        <v>241</v>
      </c>
      <c r="CD671" s="2" t="s">
        <v>228</v>
      </c>
      <c r="CE671" s="4">
        <v>158</v>
      </c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>
        <v>75</v>
      </c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>
        <v>110</v>
      </c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>
        <v>169</v>
      </c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</row>
    <row r="672">
      <c r="A672" s="2" t="s">
        <v>3970</v>
      </c>
      <c r="B672" s="2" t="s">
        <v>299</v>
      </c>
      <c r="C672" s="2" t="s">
        <v>1261</v>
      </c>
      <c r="D672" s="2" t="s">
        <v>301</v>
      </c>
      <c r="E672" s="2" t="s">
        <v>302</v>
      </c>
      <c r="F672" s="2" t="s">
        <v>3807</v>
      </c>
      <c r="G672" s="2" t="s">
        <v>3807</v>
      </c>
      <c r="H672" s="2" t="s">
        <v>3807</v>
      </c>
      <c r="I672" s="2" t="s">
        <v>347</v>
      </c>
      <c r="J672" s="2" t="s">
        <v>312</v>
      </c>
      <c r="K672" s="2" t="s">
        <v>3960</v>
      </c>
      <c r="L672" s="3">
        <v>28.98</v>
      </c>
      <c r="M672" s="3">
        <v>30.43</v>
      </c>
      <c r="N672" s="3">
        <v>64.99</v>
      </c>
      <c r="O672" s="2" t="s">
        <v>240</v>
      </c>
      <c r="P672" s="2" t="s">
        <v>266</v>
      </c>
      <c r="Q672" s="2" t="s">
        <v>234</v>
      </c>
      <c r="R672" s="2" t="s">
        <v>228</v>
      </c>
      <c r="S672" s="2" t="s">
        <v>3966</v>
      </c>
      <c r="T672" s="2" t="s">
        <v>3810</v>
      </c>
      <c r="U672" s="2" t="s">
        <v>228</v>
      </c>
      <c r="V672" s="2" t="s">
        <v>3717</v>
      </c>
      <c r="W672" s="2" t="s">
        <v>1267</v>
      </c>
      <c r="X672" s="2" t="s">
        <v>269</v>
      </c>
      <c r="Y672" s="2" t="s">
        <v>3967</v>
      </c>
      <c r="Z672" s="4">
        <v>493</v>
      </c>
      <c r="AA672" s="4">
        <f>=ROUNDDOWN(98.6,0)</f>
      </c>
      <c r="AB672" s="5">
        <v>5</v>
      </c>
      <c r="AC672" s="2" t="s">
        <v>228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228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228</v>
      </c>
      <c r="AW672" s="8" t="s">
        <v>228</v>
      </c>
      <c r="AX672" s="4" t="s">
        <v>228</v>
      </c>
      <c r="AY672" s="8" t="s">
        <v>228</v>
      </c>
      <c r="AZ672" s="7" t="s">
        <v>228</v>
      </c>
      <c r="BA672" s="7" t="s">
        <v>228</v>
      </c>
      <c r="BB672" s="7"/>
      <c r="BC672" s="4" t="s">
        <v>228</v>
      </c>
      <c r="BD672" s="8" t="s">
        <v>228</v>
      </c>
      <c r="BE672" s="4" t="s">
        <v>228</v>
      </c>
      <c r="BF672" s="8" t="s">
        <v>228</v>
      </c>
      <c r="BG672" s="7" t="s">
        <v>228</v>
      </c>
      <c r="BH672" s="7" t="s">
        <v>228</v>
      </c>
      <c r="BI672" s="7"/>
      <c r="BJ672" s="4">
        <v>11</v>
      </c>
      <c r="BK672" s="8">
        <v>380.4</v>
      </c>
      <c r="BL672" s="2" t="s">
        <v>3971</v>
      </c>
      <c r="BM672" s="7"/>
      <c r="BN672" s="7"/>
      <c r="BO672" s="4"/>
      <c r="BP672" s="8"/>
      <c r="BQ672" s="4"/>
      <c r="BR672" s="8"/>
      <c r="BS672" s="7"/>
      <c r="BT672" s="7"/>
      <c r="BU672" s="2" t="s">
        <v>3972</v>
      </c>
      <c r="BV672" s="2" t="s">
        <v>228</v>
      </c>
      <c r="BW672" s="2" t="s">
        <v>228</v>
      </c>
      <c r="BX672" s="2" t="s">
        <v>3813</v>
      </c>
      <c r="BY672" s="2" t="s">
        <v>274</v>
      </c>
      <c r="BZ672" s="2" t="s">
        <v>240</v>
      </c>
      <c r="CA672" s="2" t="s">
        <v>3838</v>
      </c>
      <c r="CB672" s="2" t="s">
        <v>3861</v>
      </c>
      <c r="CC672" s="2" t="s">
        <v>241</v>
      </c>
      <c r="CD672" s="2" t="s">
        <v>228</v>
      </c>
      <c r="CE672" s="4">
        <v>493</v>
      </c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</row>
    <row r="673">
      <c r="A673" s="2" t="s">
        <v>3973</v>
      </c>
      <c r="B673" s="2" t="s">
        <v>299</v>
      </c>
      <c r="C673" s="2" t="s">
        <v>1261</v>
      </c>
      <c r="D673" s="2" t="s">
        <v>301</v>
      </c>
      <c r="E673" s="2" t="s">
        <v>302</v>
      </c>
      <c r="F673" s="2" t="s">
        <v>3807</v>
      </c>
      <c r="G673" s="2" t="s">
        <v>3807</v>
      </c>
      <c r="H673" s="2" t="s">
        <v>3807</v>
      </c>
      <c r="I673" s="2" t="s">
        <v>347</v>
      </c>
      <c r="J673" s="2" t="s">
        <v>264</v>
      </c>
      <c r="K673" s="2" t="s">
        <v>3974</v>
      </c>
      <c r="L673" s="3">
        <v>19.8</v>
      </c>
      <c r="M673" s="3">
        <v>20.79</v>
      </c>
      <c r="N673" s="3">
        <v>44.99</v>
      </c>
      <c r="O673" s="2" t="s">
        <v>240</v>
      </c>
      <c r="P673" s="2" t="s">
        <v>233</v>
      </c>
      <c r="Q673" s="2" t="s">
        <v>234</v>
      </c>
      <c r="R673" s="2" t="s">
        <v>228</v>
      </c>
      <c r="S673" s="2" t="s">
        <v>3975</v>
      </c>
      <c r="T673" s="2" t="s">
        <v>3810</v>
      </c>
      <c r="U673" s="2" t="s">
        <v>500</v>
      </c>
      <c r="V673" s="2" t="s">
        <v>1438</v>
      </c>
      <c r="W673" s="2" t="s">
        <v>1267</v>
      </c>
      <c r="X673" s="2" t="s">
        <v>269</v>
      </c>
      <c r="Y673" s="2" t="s">
        <v>228</v>
      </c>
      <c r="Z673" s="4"/>
      <c r="AA673" s="4">
        <f>=ROUNDDOWN({0},0)</f>
      </c>
      <c r="AB673" s="5"/>
      <c r="AC673" s="2" t="s">
        <v>3854</v>
      </c>
      <c r="AD673" s="4">
        <v>267</v>
      </c>
      <c r="AE673" s="4">
        <v>890</v>
      </c>
      <c r="AF673" s="6">
        <v>69</v>
      </c>
      <c r="AG673" s="6"/>
      <c r="AH673" s="7"/>
      <c r="AI673" s="4"/>
      <c r="AJ673" s="4">
        <f>=ROUNDDOWN({0},0)</f>
      </c>
      <c r="AK673" s="5"/>
      <c r="AL673" s="2" t="s">
        <v>228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228</v>
      </c>
      <c r="AW673" s="8" t="s">
        <v>228</v>
      </c>
      <c r="AX673" s="4" t="s">
        <v>228</v>
      </c>
      <c r="AY673" s="8" t="s">
        <v>228</v>
      </c>
      <c r="AZ673" s="7" t="s">
        <v>228</v>
      </c>
      <c r="BA673" s="7" t="s">
        <v>228</v>
      </c>
      <c r="BB673" s="7"/>
      <c r="BC673" s="4" t="s">
        <v>228</v>
      </c>
      <c r="BD673" s="8" t="s">
        <v>228</v>
      </c>
      <c r="BE673" s="4" t="s">
        <v>228</v>
      </c>
      <c r="BF673" s="8" t="s">
        <v>228</v>
      </c>
      <c r="BG673" s="7" t="s">
        <v>228</v>
      </c>
      <c r="BH673" s="7" t="s">
        <v>228</v>
      </c>
      <c r="BI673" s="7"/>
      <c r="BJ673" s="4"/>
      <c r="BK673" s="8"/>
      <c r="BL673" s="2" t="s">
        <v>228</v>
      </c>
      <c r="BM673" s="7"/>
      <c r="BN673" s="7"/>
      <c r="BO673" s="4"/>
      <c r="BP673" s="8"/>
      <c r="BQ673" s="4"/>
      <c r="BR673" s="8"/>
      <c r="BS673" s="7"/>
      <c r="BT673" s="7"/>
      <c r="BU673" s="2" t="s">
        <v>238</v>
      </c>
      <c r="BV673" s="2" t="s">
        <v>228</v>
      </c>
      <c r="BW673" s="2" t="s">
        <v>228</v>
      </c>
      <c r="BX673" s="2" t="s">
        <v>3813</v>
      </c>
      <c r="BY673" s="2" t="s">
        <v>239</v>
      </c>
      <c r="BZ673" s="2" t="s">
        <v>240</v>
      </c>
      <c r="CA673" s="2" t="s">
        <v>228</v>
      </c>
      <c r="CB673" s="2" t="s">
        <v>228</v>
      </c>
      <c r="CC673" s="2" t="s">
        <v>241</v>
      </c>
      <c r="CD673" s="2" t="s">
        <v>228</v>
      </c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>
        <v>267</v>
      </c>
      <c r="DW673" s="4"/>
      <c r="DX673" s="4"/>
      <c r="DY673" s="4"/>
      <c r="DZ673" s="4">
        <v>445</v>
      </c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>
        <v>178</v>
      </c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</row>
    <row r="674">
      <c r="A674" s="2" t="s">
        <v>3976</v>
      </c>
      <c r="B674" s="2" t="s">
        <v>299</v>
      </c>
      <c r="C674" s="2" t="s">
        <v>1261</v>
      </c>
      <c r="D674" s="2" t="s">
        <v>301</v>
      </c>
      <c r="E674" s="2" t="s">
        <v>302</v>
      </c>
      <c r="F674" s="2" t="s">
        <v>3807</v>
      </c>
      <c r="G674" s="2" t="s">
        <v>3807</v>
      </c>
      <c r="H674" s="2" t="s">
        <v>3807</v>
      </c>
      <c r="I674" s="2" t="s">
        <v>347</v>
      </c>
      <c r="J674" s="2" t="s">
        <v>284</v>
      </c>
      <c r="K674" s="2" t="s">
        <v>3974</v>
      </c>
      <c r="L674" s="3">
        <v>21.78</v>
      </c>
      <c r="M674" s="3">
        <v>22.87</v>
      </c>
      <c r="N674" s="3">
        <v>49.99</v>
      </c>
      <c r="O674" s="2" t="s">
        <v>240</v>
      </c>
      <c r="P674" s="2" t="s">
        <v>233</v>
      </c>
      <c r="Q674" s="2" t="s">
        <v>234</v>
      </c>
      <c r="R674" s="2" t="s">
        <v>228</v>
      </c>
      <c r="S674" s="2" t="s">
        <v>3975</v>
      </c>
      <c r="T674" s="2" t="s">
        <v>3810</v>
      </c>
      <c r="U674" s="2" t="s">
        <v>308</v>
      </c>
      <c r="V674" s="2" t="s">
        <v>1438</v>
      </c>
      <c r="W674" s="2" t="s">
        <v>1267</v>
      </c>
      <c r="X674" s="2" t="s">
        <v>269</v>
      </c>
      <c r="Y674" s="2" t="s">
        <v>228</v>
      </c>
      <c r="Z674" s="4"/>
      <c r="AA674" s="4">
        <f>=ROUNDDOWN({0},0)</f>
      </c>
      <c r="AB674" s="5"/>
      <c r="AC674" s="2" t="s">
        <v>3854</v>
      </c>
      <c r="AD674" s="4">
        <v>216</v>
      </c>
      <c r="AE674" s="4">
        <v>721</v>
      </c>
      <c r="AF674" s="6">
        <v>69</v>
      </c>
      <c r="AG674" s="6"/>
      <c r="AH674" s="7"/>
      <c r="AI674" s="4"/>
      <c r="AJ674" s="4">
        <f>=ROUNDDOWN({0},0)</f>
      </c>
      <c r="AK674" s="5"/>
      <c r="AL674" s="2" t="s">
        <v>228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228</v>
      </c>
      <c r="AW674" s="8" t="s">
        <v>228</v>
      </c>
      <c r="AX674" s="4" t="s">
        <v>228</v>
      </c>
      <c r="AY674" s="8" t="s">
        <v>228</v>
      </c>
      <c r="AZ674" s="7" t="s">
        <v>228</v>
      </c>
      <c r="BA674" s="7" t="s">
        <v>228</v>
      </c>
      <c r="BB674" s="7"/>
      <c r="BC674" s="4" t="s">
        <v>228</v>
      </c>
      <c r="BD674" s="8" t="s">
        <v>228</v>
      </c>
      <c r="BE674" s="4" t="s">
        <v>228</v>
      </c>
      <c r="BF674" s="8" t="s">
        <v>228</v>
      </c>
      <c r="BG674" s="7" t="s">
        <v>228</v>
      </c>
      <c r="BH674" s="7" t="s">
        <v>228</v>
      </c>
      <c r="BI674" s="7"/>
      <c r="BJ674" s="4"/>
      <c r="BK674" s="8"/>
      <c r="BL674" s="2" t="s">
        <v>228</v>
      </c>
      <c r="BM674" s="7"/>
      <c r="BN674" s="7"/>
      <c r="BO674" s="4"/>
      <c r="BP674" s="8"/>
      <c r="BQ674" s="4"/>
      <c r="BR674" s="8"/>
      <c r="BS674" s="7"/>
      <c r="BT674" s="7"/>
      <c r="BU674" s="2" t="s">
        <v>238</v>
      </c>
      <c r="BV674" s="2" t="s">
        <v>228</v>
      </c>
      <c r="BW674" s="2" t="s">
        <v>228</v>
      </c>
      <c r="BX674" s="2" t="s">
        <v>3813</v>
      </c>
      <c r="BY674" s="2" t="s">
        <v>239</v>
      </c>
      <c r="BZ674" s="2" t="s">
        <v>240</v>
      </c>
      <c r="CA674" s="2" t="s">
        <v>228</v>
      </c>
      <c r="CB674" s="2" t="s">
        <v>228</v>
      </c>
      <c r="CC674" s="2" t="s">
        <v>241</v>
      </c>
      <c r="CD674" s="2" t="s">
        <v>228</v>
      </c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>
        <v>216</v>
      </c>
      <c r="DW674" s="4"/>
      <c r="DX674" s="4"/>
      <c r="DY674" s="4"/>
      <c r="DZ674" s="4">
        <v>361</v>
      </c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>
        <v>144</v>
      </c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</row>
    <row r="675">
      <c r="A675" s="2" t="s">
        <v>3977</v>
      </c>
      <c r="B675" s="2" t="s">
        <v>299</v>
      </c>
      <c r="C675" s="2" t="s">
        <v>1261</v>
      </c>
      <c r="D675" s="2" t="s">
        <v>301</v>
      </c>
      <c r="E675" s="2" t="s">
        <v>302</v>
      </c>
      <c r="F675" s="2" t="s">
        <v>3807</v>
      </c>
      <c r="G675" s="2" t="s">
        <v>3807</v>
      </c>
      <c r="H675" s="2" t="s">
        <v>3807</v>
      </c>
      <c r="I675" s="2" t="s">
        <v>347</v>
      </c>
      <c r="J675" s="2" t="s">
        <v>289</v>
      </c>
      <c r="K675" s="2" t="s">
        <v>3974</v>
      </c>
      <c r="L675" s="3">
        <v>24.3</v>
      </c>
      <c r="M675" s="3">
        <v>25.52</v>
      </c>
      <c r="N675" s="3">
        <v>54.99</v>
      </c>
      <c r="O675" s="2" t="s">
        <v>240</v>
      </c>
      <c r="P675" s="2" t="s">
        <v>233</v>
      </c>
      <c r="Q675" s="2" t="s">
        <v>234</v>
      </c>
      <c r="R675" s="2" t="s">
        <v>228</v>
      </c>
      <c r="S675" s="2" t="s">
        <v>3975</v>
      </c>
      <c r="T675" s="2" t="s">
        <v>3810</v>
      </c>
      <c r="U675" s="2" t="s">
        <v>308</v>
      </c>
      <c r="V675" s="2" t="s">
        <v>1438</v>
      </c>
      <c r="W675" s="2" t="s">
        <v>1267</v>
      </c>
      <c r="X675" s="2" t="s">
        <v>269</v>
      </c>
      <c r="Y675" s="2" t="s">
        <v>228</v>
      </c>
      <c r="Z675" s="4"/>
      <c r="AA675" s="4">
        <f>=ROUNDDOWN({0},0)</f>
      </c>
      <c r="AB675" s="5"/>
      <c r="AC675" s="2" t="s">
        <v>3854</v>
      </c>
      <c r="AD675" s="4">
        <v>471</v>
      </c>
      <c r="AE675" s="4">
        <v>1570</v>
      </c>
      <c r="AF675" s="6">
        <v>69</v>
      </c>
      <c r="AG675" s="6"/>
      <c r="AH675" s="7"/>
      <c r="AI675" s="4"/>
      <c r="AJ675" s="4">
        <f>=ROUNDDOWN({0},0)</f>
      </c>
      <c r="AK675" s="5"/>
      <c r="AL675" s="2" t="s">
        <v>228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228</v>
      </c>
      <c r="AW675" s="8" t="s">
        <v>228</v>
      </c>
      <c r="AX675" s="4" t="s">
        <v>228</v>
      </c>
      <c r="AY675" s="8" t="s">
        <v>228</v>
      </c>
      <c r="AZ675" s="7" t="s">
        <v>228</v>
      </c>
      <c r="BA675" s="7" t="s">
        <v>228</v>
      </c>
      <c r="BB675" s="7"/>
      <c r="BC675" s="4" t="s">
        <v>228</v>
      </c>
      <c r="BD675" s="8" t="s">
        <v>228</v>
      </c>
      <c r="BE675" s="4" t="s">
        <v>228</v>
      </c>
      <c r="BF675" s="8" t="s">
        <v>228</v>
      </c>
      <c r="BG675" s="7" t="s">
        <v>228</v>
      </c>
      <c r="BH675" s="7" t="s">
        <v>228</v>
      </c>
      <c r="BI675" s="7"/>
      <c r="BJ675" s="4"/>
      <c r="BK675" s="8"/>
      <c r="BL675" s="2" t="s">
        <v>228</v>
      </c>
      <c r="BM675" s="7"/>
      <c r="BN675" s="7"/>
      <c r="BO675" s="4"/>
      <c r="BP675" s="8"/>
      <c r="BQ675" s="4"/>
      <c r="BR675" s="8"/>
      <c r="BS675" s="7"/>
      <c r="BT675" s="7"/>
      <c r="BU675" s="2" t="s">
        <v>238</v>
      </c>
      <c r="BV675" s="2" t="s">
        <v>228</v>
      </c>
      <c r="BW675" s="2" t="s">
        <v>228</v>
      </c>
      <c r="BX675" s="2" t="s">
        <v>3813</v>
      </c>
      <c r="BY675" s="2" t="s">
        <v>239</v>
      </c>
      <c r="BZ675" s="2" t="s">
        <v>240</v>
      </c>
      <c r="CA675" s="2" t="s">
        <v>228</v>
      </c>
      <c r="CB675" s="2" t="s">
        <v>228</v>
      </c>
      <c r="CC675" s="2" t="s">
        <v>241</v>
      </c>
      <c r="CD675" s="2" t="s">
        <v>228</v>
      </c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>
        <v>471</v>
      </c>
      <c r="DW675" s="4"/>
      <c r="DX675" s="4"/>
      <c r="DY675" s="4"/>
      <c r="DZ675" s="4">
        <v>785</v>
      </c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>
        <v>314</v>
      </c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</row>
    <row r="676">
      <c r="A676" s="2" t="s">
        <v>3978</v>
      </c>
      <c r="B676" s="2" t="s">
        <v>299</v>
      </c>
      <c r="C676" s="2" t="s">
        <v>1261</v>
      </c>
      <c r="D676" s="2" t="s">
        <v>301</v>
      </c>
      <c r="E676" s="2" t="s">
        <v>302</v>
      </c>
      <c r="F676" s="2" t="s">
        <v>3807</v>
      </c>
      <c r="G676" s="2" t="s">
        <v>3807</v>
      </c>
      <c r="H676" s="2" t="s">
        <v>3807</v>
      </c>
      <c r="I676" s="2" t="s">
        <v>347</v>
      </c>
      <c r="J676" s="2" t="s">
        <v>294</v>
      </c>
      <c r="K676" s="2" t="s">
        <v>3974</v>
      </c>
      <c r="L676" s="3">
        <v>28.98</v>
      </c>
      <c r="M676" s="3">
        <v>30.43</v>
      </c>
      <c r="N676" s="3">
        <v>64.99</v>
      </c>
      <c r="O676" s="2" t="s">
        <v>240</v>
      </c>
      <c r="P676" s="2" t="s">
        <v>233</v>
      </c>
      <c r="Q676" s="2" t="s">
        <v>234</v>
      </c>
      <c r="R676" s="2" t="s">
        <v>228</v>
      </c>
      <c r="S676" s="2" t="s">
        <v>3975</v>
      </c>
      <c r="T676" s="2" t="s">
        <v>3810</v>
      </c>
      <c r="U676" s="2" t="s">
        <v>308</v>
      </c>
      <c r="V676" s="2" t="s">
        <v>1438</v>
      </c>
      <c r="W676" s="2" t="s">
        <v>1267</v>
      </c>
      <c r="X676" s="2" t="s">
        <v>269</v>
      </c>
      <c r="Y676" s="2" t="s">
        <v>228</v>
      </c>
      <c r="Z676" s="4"/>
      <c r="AA676" s="4">
        <f>=ROUNDDOWN({0},0)</f>
      </c>
      <c r="AB676" s="5"/>
      <c r="AC676" s="2" t="s">
        <v>3854</v>
      </c>
      <c r="AD676" s="4">
        <v>137</v>
      </c>
      <c r="AE676" s="4">
        <v>456</v>
      </c>
      <c r="AF676" s="6">
        <v>69</v>
      </c>
      <c r="AG676" s="6"/>
      <c r="AH676" s="7"/>
      <c r="AI676" s="4"/>
      <c r="AJ676" s="4">
        <f>=ROUNDDOWN({0},0)</f>
      </c>
      <c r="AK676" s="5"/>
      <c r="AL676" s="2" t="s">
        <v>228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228</v>
      </c>
      <c r="AW676" s="8" t="s">
        <v>228</v>
      </c>
      <c r="AX676" s="4" t="s">
        <v>228</v>
      </c>
      <c r="AY676" s="8" t="s">
        <v>228</v>
      </c>
      <c r="AZ676" s="7" t="s">
        <v>228</v>
      </c>
      <c r="BA676" s="7" t="s">
        <v>228</v>
      </c>
      <c r="BB676" s="7"/>
      <c r="BC676" s="4" t="s">
        <v>228</v>
      </c>
      <c r="BD676" s="8" t="s">
        <v>228</v>
      </c>
      <c r="BE676" s="4" t="s">
        <v>228</v>
      </c>
      <c r="BF676" s="8" t="s">
        <v>228</v>
      </c>
      <c r="BG676" s="7" t="s">
        <v>228</v>
      </c>
      <c r="BH676" s="7" t="s">
        <v>228</v>
      </c>
      <c r="BI676" s="7"/>
      <c r="BJ676" s="4"/>
      <c r="BK676" s="8"/>
      <c r="BL676" s="2" t="s">
        <v>228</v>
      </c>
      <c r="BM676" s="7"/>
      <c r="BN676" s="7"/>
      <c r="BO676" s="4"/>
      <c r="BP676" s="8"/>
      <c r="BQ676" s="4"/>
      <c r="BR676" s="8"/>
      <c r="BS676" s="7"/>
      <c r="BT676" s="7"/>
      <c r="BU676" s="2" t="s">
        <v>238</v>
      </c>
      <c r="BV676" s="2" t="s">
        <v>228</v>
      </c>
      <c r="BW676" s="2" t="s">
        <v>228</v>
      </c>
      <c r="BX676" s="2" t="s">
        <v>3813</v>
      </c>
      <c r="BY676" s="2" t="s">
        <v>239</v>
      </c>
      <c r="BZ676" s="2" t="s">
        <v>240</v>
      </c>
      <c r="CA676" s="2" t="s">
        <v>228</v>
      </c>
      <c r="CB676" s="2" t="s">
        <v>228</v>
      </c>
      <c r="CC676" s="2" t="s">
        <v>241</v>
      </c>
      <c r="CD676" s="2" t="s">
        <v>228</v>
      </c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>
        <v>137</v>
      </c>
      <c r="DW676" s="4"/>
      <c r="DX676" s="4"/>
      <c r="DY676" s="4"/>
      <c r="DZ676" s="4">
        <v>228</v>
      </c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>
        <v>91</v>
      </c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</row>
    <row r="677">
      <c r="A677" s="2" t="s">
        <v>3979</v>
      </c>
      <c r="B677" s="2" t="s">
        <v>299</v>
      </c>
      <c r="C677" s="2" t="s">
        <v>1261</v>
      </c>
      <c r="D677" s="2" t="s">
        <v>301</v>
      </c>
      <c r="E677" s="2" t="s">
        <v>302</v>
      </c>
      <c r="F677" s="2" t="s">
        <v>3807</v>
      </c>
      <c r="G677" s="2" t="s">
        <v>3807</v>
      </c>
      <c r="H677" s="2" t="s">
        <v>3807</v>
      </c>
      <c r="I677" s="2" t="s">
        <v>347</v>
      </c>
      <c r="J677" s="2" t="s">
        <v>312</v>
      </c>
      <c r="K677" s="2" t="s">
        <v>3974</v>
      </c>
      <c r="L677" s="3">
        <v>28.98</v>
      </c>
      <c r="M677" s="3">
        <v>30.43</v>
      </c>
      <c r="N677" s="3">
        <v>64.99</v>
      </c>
      <c r="O677" s="2" t="s">
        <v>240</v>
      </c>
      <c r="P677" s="2" t="s">
        <v>233</v>
      </c>
      <c r="Q677" s="2" t="s">
        <v>234</v>
      </c>
      <c r="R677" s="2" t="s">
        <v>228</v>
      </c>
      <c r="S677" s="2" t="s">
        <v>3975</v>
      </c>
      <c r="T677" s="2" t="s">
        <v>3810</v>
      </c>
      <c r="U677" s="2" t="s">
        <v>308</v>
      </c>
      <c r="V677" s="2" t="s">
        <v>1438</v>
      </c>
      <c r="W677" s="2" t="s">
        <v>1267</v>
      </c>
      <c r="X677" s="2" t="s">
        <v>269</v>
      </c>
      <c r="Y677" s="2" t="s">
        <v>228</v>
      </c>
      <c r="Z677" s="4"/>
      <c r="AA677" s="4">
        <f>=ROUNDDOWN({0},0)</f>
      </c>
      <c r="AB677" s="5"/>
      <c r="AC677" s="2" t="s">
        <v>3854</v>
      </c>
      <c r="AD677" s="4">
        <v>78</v>
      </c>
      <c r="AE677" s="4">
        <v>260</v>
      </c>
      <c r="AF677" s="6">
        <v>69</v>
      </c>
      <c r="AG677" s="6"/>
      <c r="AH677" s="7"/>
      <c r="AI677" s="4"/>
      <c r="AJ677" s="4">
        <f>=ROUNDDOWN({0},0)</f>
      </c>
      <c r="AK677" s="5"/>
      <c r="AL677" s="2" t="s">
        <v>228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228</v>
      </c>
      <c r="AW677" s="8" t="s">
        <v>228</v>
      </c>
      <c r="AX677" s="4" t="s">
        <v>228</v>
      </c>
      <c r="AY677" s="8" t="s">
        <v>228</v>
      </c>
      <c r="AZ677" s="7" t="s">
        <v>228</v>
      </c>
      <c r="BA677" s="7" t="s">
        <v>228</v>
      </c>
      <c r="BB677" s="7"/>
      <c r="BC677" s="4" t="s">
        <v>228</v>
      </c>
      <c r="BD677" s="8" t="s">
        <v>228</v>
      </c>
      <c r="BE677" s="4" t="s">
        <v>228</v>
      </c>
      <c r="BF677" s="8" t="s">
        <v>228</v>
      </c>
      <c r="BG677" s="7" t="s">
        <v>228</v>
      </c>
      <c r="BH677" s="7" t="s">
        <v>228</v>
      </c>
      <c r="BI677" s="7"/>
      <c r="BJ677" s="4"/>
      <c r="BK677" s="8"/>
      <c r="BL677" s="2" t="s">
        <v>228</v>
      </c>
      <c r="BM677" s="7"/>
      <c r="BN677" s="7"/>
      <c r="BO677" s="4"/>
      <c r="BP677" s="8"/>
      <c r="BQ677" s="4"/>
      <c r="BR677" s="8"/>
      <c r="BS677" s="7"/>
      <c r="BT677" s="7"/>
      <c r="BU677" s="2" t="s">
        <v>238</v>
      </c>
      <c r="BV677" s="2" t="s">
        <v>228</v>
      </c>
      <c r="BW677" s="2" t="s">
        <v>228</v>
      </c>
      <c r="BX677" s="2" t="s">
        <v>3813</v>
      </c>
      <c r="BY677" s="2" t="s">
        <v>239</v>
      </c>
      <c r="BZ677" s="2" t="s">
        <v>240</v>
      </c>
      <c r="CA677" s="2" t="s">
        <v>228</v>
      </c>
      <c r="CB677" s="2" t="s">
        <v>228</v>
      </c>
      <c r="CC677" s="2" t="s">
        <v>241</v>
      </c>
      <c r="CD677" s="2" t="s">
        <v>228</v>
      </c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>
        <v>78</v>
      </c>
      <c r="DW677" s="4"/>
      <c r="DX677" s="4"/>
      <c r="DY677" s="4"/>
      <c r="DZ677" s="4">
        <v>130</v>
      </c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>
        <v>52</v>
      </c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</row>
    <row r="678">
      <c r="A678" s="2" t="s">
        <v>3980</v>
      </c>
      <c r="B678" s="2" t="s">
        <v>834</v>
      </c>
      <c r="C678" s="2" t="s">
        <v>1743</v>
      </c>
      <c r="D678" s="2" t="s">
        <v>1101</v>
      </c>
      <c r="E678" s="2" t="s">
        <v>1102</v>
      </c>
      <c r="F678" s="2" t="s">
        <v>3981</v>
      </c>
      <c r="G678" s="2" t="s">
        <v>3981</v>
      </c>
      <c r="H678" s="2" t="s">
        <v>3981</v>
      </c>
      <c r="I678" s="2" t="s">
        <v>3982</v>
      </c>
      <c r="J678" s="2" t="s">
        <v>840</v>
      </c>
      <c r="K678" s="2" t="s">
        <v>316</v>
      </c>
      <c r="L678" s="3">
        <v>62.74</v>
      </c>
      <c r="M678" s="3">
        <v>65.88</v>
      </c>
      <c r="N678" s="3">
        <v>134.99</v>
      </c>
      <c r="O678" s="2" t="s">
        <v>240</v>
      </c>
      <c r="P678" s="2" t="s">
        <v>266</v>
      </c>
      <c r="Q678" s="2" t="s">
        <v>234</v>
      </c>
      <c r="R678" s="2" t="s">
        <v>228</v>
      </c>
      <c r="S678" s="2" t="s">
        <v>228</v>
      </c>
      <c r="T678" s="2" t="s">
        <v>228</v>
      </c>
      <c r="U678" s="2" t="s">
        <v>520</v>
      </c>
      <c r="V678" s="2" t="s">
        <v>842</v>
      </c>
      <c r="W678" s="2" t="s">
        <v>269</v>
      </c>
      <c r="X678" s="2" t="s">
        <v>228</v>
      </c>
      <c r="Y678" s="2" t="s">
        <v>3983</v>
      </c>
      <c r="Z678" s="4">
        <v>60</v>
      </c>
      <c r="AA678" s="4">
        <f>=ROUNDDOWN(30,0)</f>
      </c>
      <c r="AB678" s="5">
        <v>2</v>
      </c>
      <c r="AC678" s="2" t="s">
        <v>228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228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/>
      <c r="BD678" s="8"/>
      <c r="BE678" s="4"/>
      <c r="BF678" s="8"/>
      <c r="BG678" s="7"/>
      <c r="BH678" s="7"/>
      <c r="BI678" s="7"/>
      <c r="BJ678" s="4">
        <v>10</v>
      </c>
      <c r="BK678" s="8">
        <v>718.68</v>
      </c>
      <c r="BL678" s="2" t="s">
        <v>3984</v>
      </c>
      <c r="BM678" s="7"/>
      <c r="BN678" s="7"/>
      <c r="BO678" s="4"/>
      <c r="BP678" s="8"/>
      <c r="BQ678" s="4"/>
      <c r="BR678" s="8"/>
      <c r="BS678" s="7"/>
      <c r="BT678" s="7"/>
      <c r="BU678" s="2" t="s">
        <v>3985</v>
      </c>
      <c r="BV678" s="2" t="s">
        <v>228</v>
      </c>
      <c r="BW678" s="2" t="s">
        <v>228</v>
      </c>
      <c r="BX678" s="2" t="s">
        <v>273</v>
      </c>
      <c r="BY678" s="2" t="s">
        <v>274</v>
      </c>
      <c r="BZ678" s="2" t="s">
        <v>240</v>
      </c>
      <c r="CA678" s="2" t="s">
        <v>3986</v>
      </c>
      <c r="CB678" s="2" t="s">
        <v>3846</v>
      </c>
      <c r="CC678" s="2" t="s">
        <v>241</v>
      </c>
      <c r="CD678" s="2" t="s">
        <v>228</v>
      </c>
      <c r="CE678" s="4"/>
      <c r="CF678" s="4">
        <v>60</v>
      </c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</row>
    <row r="679">
      <c r="A679" s="2" t="s">
        <v>3987</v>
      </c>
      <c r="B679" s="2" t="s">
        <v>958</v>
      </c>
      <c r="C679" s="2" t="s">
        <v>300</v>
      </c>
      <c r="D679" s="2" t="s">
        <v>2117</v>
      </c>
      <c r="E679" s="2" t="s">
        <v>3988</v>
      </c>
      <c r="F679" s="2" t="s">
        <v>3989</v>
      </c>
      <c r="G679" s="2" t="s">
        <v>3990</v>
      </c>
      <c r="H679" s="2" t="s">
        <v>3991</v>
      </c>
      <c r="I679" s="2" t="s">
        <v>3992</v>
      </c>
      <c r="J679" s="2" t="s">
        <v>840</v>
      </c>
      <c r="K679" s="2" t="s">
        <v>3993</v>
      </c>
      <c r="L679" s="3">
        <v>256.5</v>
      </c>
      <c r="M679" s="3">
        <v>269.32</v>
      </c>
      <c r="N679" s="3">
        <v>549</v>
      </c>
      <c r="O679" s="2" t="s">
        <v>240</v>
      </c>
      <c r="P679" s="2" t="s">
        <v>333</v>
      </c>
      <c r="Q679" s="2" t="s">
        <v>234</v>
      </c>
      <c r="R679" s="2" t="s">
        <v>228</v>
      </c>
      <c r="S679" s="2" t="s">
        <v>3994</v>
      </c>
      <c r="T679" s="2" t="s">
        <v>228</v>
      </c>
      <c r="U679" s="2" t="s">
        <v>228</v>
      </c>
      <c r="V679" s="2" t="s">
        <v>842</v>
      </c>
      <c r="W679" s="2" t="s">
        <v>2472</v>
      </c>
      <c r="X679" s="2" t="s">
        <v>463</v>
      </c>
      <c r="Y679" s="2" t="s">
        <v>3995</v>
      </c>
      <c r="Z679" s="4">
        <v>19</v>
      </c>
      <c r="AA679" s="4">
        <f>=ROUNDDOWN(9.5,0)</f>
      </c>
      <c r="AB679" s="5">
        <v>2</v>
      </c>
      <c r="AC679" s="2" t="s">
        <v>228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228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/>
      <c r="BD679" s="8"/>
      <c r="BE679" s="4"/>
      <c r="BF679" s="8"/>
      <c r="BG679" s="7"/>
      <c r="BH679" s="7"/>
      <c r="BI679" s="7"/>
      <c r="BJ679" s="4">
        <v>3</v>
      </c>
      <c r="BK679" s="8">
        <v>382.5</v>
      </c>
      <c r="BL679" s="2" t="s">
        <v>2978</v>
      </c>
      <c r="BM679" s="7"/>
      <c r="BN679" s="7"/>
      <c r="BO679" s="4"/>
      <c r="BP679" s="8"/>
      <c r="BQ679" s="4"/>
      <c r="BR679" s="8"/>
      <c r="BS679" s="7"/>
      <c r="BT679" s="7"/>
      <c r="BU679" s="2" t="s">
        <v>3996</v>
      </c>
      <c r="BV679" s="2" t="s">
        <v>228</v>
      </c>
      <c r="BW679" s="2" t="s">
        <v>228</v>
      </c>
      <c r="BX679" s="2" t="s">
        <v>337</v>
      </c>
      <c r="BY679" s="2" t="s">
        <v>274</v>
      </c>
      <c r="BZ679" s="2" t="s">
        <v>240</v>
      </c>
      <c r="CA679" s="2" t="s">
        <v>3997</v>
      </c>
      <c r="CB679" s="2" t="s">
        <v>3998</v>
      </c>
      <c r="CC679" s="2" t="s">
        <v>241</v>
      </c>
      <c r="CD679" s="2" t="s">
        <v>228</v>
      </c>
      <c r="CE679" s="4"/>
      <c r="CF679" s="4">
        <v>19</v>
      </c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</row>
    <row r="680">
      <c r="A680" s="2" t="s">
        <v>3999</v>
      </c>
      <c r="B680" s="2" t="s">
        <v>299</v>
      </c>
      <c r="C680" s="2" t="s">
        <v>4000</v>
      </c>
      <c r="D680" s="2" t="s">
        <v>301</v>
      </c>
      <c r="E680" s="2" t="s">
        <v>302</v>
      </c>
      <c r="F680" s="2" t="s">
        <v>4001</v>
      </c>
      <c r="G680" s="2" t="s">
        <v>4001</v>
      </c>
      <c r="H680" s="2" t="s">
        <v>4001</v>
      </c>
      <c r="I680" s="2" t="s">
        <v>4002</v>
      </c>
      <c r="J680" s="2" t="s">
        <v>294</v>
      </c>
      <c r="K680" s="2" t="s">
        <v>4003</v>
      </c>
      <c r="L680" s="3">
        <v>27.39</v>
      </c>
      <c r="M680" s="3">
        <v>28.76</v>
      </c>
      <c r="N680" s="3">
        <v>62.99</v>
      </c>
      <c r="O680" s="2" t="s">
        <v>240</v>
      </c>
      <c r="P680" s="2" t="s">
        <v>266</v>
      </c>
      <c r="Q680" s="2" t="s">
        <v>234</v>
      </c>
      <c r="R680" s="2" t="s">
        <v>228</v>
      </c>
      <c r="S680" s="2" t="s">
        <v>4004</v>
      </c>
      <c r="T680" s="2" t="s">
        <v>3810</v>
      </c>
      <c r="U680" s="2" t="s">
        <v>308</v>
      </c>
      <c r="V680" s="2" t="s">
        <v>3625</v>
      </c>
      <c r="W680" s="2" t="s">
        <v>269</v>
      </c>
      <c r="X680" s="2" t="s">
        <v>1267</v>
      </c>
      <c r="Y680" s="2" t="s">
        <v>4005</v>
      </c>
      <c r="Z680" s="4">
        <v>509</v>
      </c>
      <c r="AA680" s="4">
        <f>=ROUNDDOWN(22.1304347826087,0)</f>
      </c>
      <c r="AB680" s="5">
        <v>23</v>
      </c>
      <c r="AC680" s="2" t="s">
        <v>1996</v>
      </c>
      <c r="AD680" s="4">
        <v>49</v>
      </c>
      <c r="AE680" s="4">
        <v>536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228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/>
      <c r="AW680" s="8"/>
      <c r="AX680" s="4"/>
      <c r="AY680" s="8"/>
      <c r="AZ680" s="7"/>
      <c r="BA680" s="7"/>
      <c r="BB680" s="7"/>
      <c r="BC680" s="4" t="s">
        <v>228</v>
      </c>
      <c r="BD680" s="8" t="s">
        <v>228</v>
      </c>
      <c r="BE680" s="4" t="s">
        <v>228</v>
      </c>
      <c r="BF680" s="8" t="s">
        <v>228</v>
      </c>
      <c r="BG680" s="7" t="s">
        <v>228</v>
      </c>
      <c r="BH680" s="7" t="s">
        <v>228</v>
      </c>
      <c r="BI680" s="7"/>
      <c r="BJ680" s="4">
        <v>51</v>
      </c>
      <c r="BK680" s="8">
        <v>1497.25</v>
      </c>
      <c r="BL680" s="2" t="s">
        <v>2763</v>
      </c>
      <c r="BM680" s="7"/>
      <c r="BN680" s="7"/>
      <c r="BO680" s="4"/>
      <c r="BP680" s="8"/>
      <c r="BQ680" s="4"/>
      <c r="BR680" s="8"/>
      <c r="BS680" s="7"/>
      <c r="BT680" s="7"/>
      <c r="BU680" s="2" t="s">
        <v>4006</v>
      </c>
      <c r="BV680" s="2" t="s">
        <v>228</v>
      </c>
      <c r="BW680" s="2" t="s">
        <v>228</v>
      </c>
      <c r="BX680" s="2" t="s">
        <v>273</v>
      </c>
      <c r="BY680" s="2" t="s">
        <v>274</v>
      </c>
      <c r="BZ680" s="2" t="s">
        <v>240</v>
      </c>
      <c r="CA680" s="2" t="s">
        <v>4007</v>
      </c>
      <c r="CB680" s="2" t="s">
        <v>4008</v>
      </c>
      <c r="CC680" s="2" t="s">
        <v>241</v>
      </c>
      <c r="CD680" s="2" t="s">
        <v>228</v>
      </c>
      <c r="CE680" s="4">
        <v>509</v>
      </c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>
        <v>49</v>
      </c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>
        <v>198</v>
      </c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>
        <v>289</v>
      </c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</row>
    <row r="681">
      <c r="A681" s="2" t="s">
        <v>4009</v>
      </c>
      <c r="B681" s="2" t="s">
        <v>299</v>
      </c>
      <c r="C681" s="2" t="s">
        <v>4000</v>
      </c>
      <c r="D681" s="2" t="s">
        <v>301</v>
      </c>
      <c r="E681" s="2" t="s">
        <v>302</v>
      </c>
      <c r="F681" s="2" t="s">
        <v>4001</v>
      </c>
      <c r="G681" s="2" t="s">
        <v>4001</v>
      </c>
      <c r="H681" s="2" t="s">
        <v>4001</v>
      </c>
      <c r="I681" s="2" t="s">
        <v>4002</v>
      </c>
      <c r="J681" s="2" t="s">
        <v>278</v>
      </c>
      <c r="K681" s="2" t="s">
        <v>4010</v>
      </c>
      <c r="L681" s="3">
        <v>16.16</v>
      </c>
      <c r="M681" s="3">
        <v>16.97</v>
      </c>
      <c r="N681" s="3">
        <v>34.99</v>
      </c>
      <c r="O681" s="2" t="s">
        <v>240</v>
      </c>
      <c r="P681" s="2" t="s">
        <v>266</v>
      </c>
      <c r="Q681" s="2" t="s">
        <v>234</v>
      </c>
      <c r="R681" s="2" t="s">
        <v>228</v>
      </c>
      <c r="S681" s="2" t="s">
        <v>4011</v>
      </c>
      <c r="T681" s="2" t="s">
        <v>3810</v>
      </c>
      <c r="U681" s="2" t="s">
        <v>228</v>
      </c>
      <c r="V681" s="2" t="s">
        <v>3717</v>
      </c>
      <c r="W681" s="2" t="s">
        <v>269</v>
      </c>
      <c r="X681" s="2" t="s">
        <v>228</v>
      </c>
      <c r="Y681" s="2" t="s">
        <v>3919</v>
      </c>
      <c r="Z681" s="4">
        <v>34</v>
      </c>
      <c r="AA681" s="4">
        <f>=ROUNDDOWN(2.26666666666667,0)</f>
      </c>
      <c r="AB681" s="5">
        <v>15</v>
      </c>
      <c r="AC681" s="2" t="s">
        <v>1014</v>
      </c>
      <c r="AD681" s="4">
        <v>295</v>
      </c>
      <c r="AE681" s="4">
        <v>595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228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228</v>
      </c>
      <c r="AW681" s="8" t="s">
        <v>228</v>
      </c>
      <c r="AX681" s="4" t="s">
        <v>228</v>
      </c>
      <c r="AY681" s="8" t="s">
        <v>228</v>
      </c>
      <c r="AZ681" s="7" t="s">
        <v>228</v>
      </c>
      <c r="BA681" s="7" t="s">
        <v>228</v>
      </c>
      <c r="BB681" s="7"/>
      <c r="BC681" s="4" t="s">
        <v>228</v>
      </c>
      <c r="BD681" s="8" t="s">
        <v>228</v>
      </c>
      <c r="BE681" s="4" t="s">
        <v>228</v>
      </c>
      <c r="BF681" s="8" t="s">
        <v>228</v>
      </c>
      <c r="BG681" s="7" t="s">
        <v>228</v>
      </c>
      <c r="BH681" s="7" t="s">
        <v>228</v>
      </c>
      <c r="BI681" s="7"/>
      <c r="BJ681" s="4">
        <v>61</v>
      </c>
      <c r="BK681" s="8">
        <v>1122.18</v>
      </c>
      <c r="BL681" s="2" t="s">
        <v>4012</v>
      </c>
      <c r="BM681" s="7"/>
      <c r="BN681" s="7"/>
      <c r="BO681" s="4"/>
      <c r="BP681" s="8"/>
      <c r="BQ681" s="4"/>
      <c r="BR681" s="8"/>
      <c r="BS681" s="7"/>
      <c r="BT681" s="7"/>
      <c r="BU681" s="2" t="s">
        <v>4013</v>
      </c>
      <c r="BV681" s="2" t="s">
        <v>228</v>
      </c>
      <c r="BW681" s="2" t="s">
        <v>228</v>
      </c>
      <c r="BX681" s="2" t="s">
        <v>273</v>
      </c>
      <c r="BY681" s="2" t="s">
        <v>274</v>
      </c>
      <c r="BZ681" s="2" t="s">
        <v>240</v>
      </c>
      <c r="CA681" s="2" t="s">
        <v>4014</v>
      </c>
      <c r="CB681" s="2" t="s">
        <v>3964</v>
      </c>
      <c r="CC681" s="2" t="s">
        <v>241</v>
      </c>
      <c r="CD681" s="2" t="s">
        <v>228</v>
      </c>
      <c r="CE681" s="4">
        <v>34</v>
      </c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>
        <v>295</v>
      </c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>
        <v>121</v>
      </c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>
        <v>179</v>
      </c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</row>
    <row r="682">
      <c r="A682" s="2" t="s">
        <v>4015</v>
      </c>
      <c r="B682" s="2" t="s">
        <v>299</v>
      </c>
      <c r="C682" s="2" t="s">
        <v>4000</v>
      </c>
      <c r="D682" s="2" t="s">
        <v>301</v>
      </c>
      <c r="E682" s="2" t="s">
        <v>302</v>
      </c>
      <c r="F682" s="2" t="s">
        <v>4001</v>
      </c>
      <c r="G682" s="2" t="s">
        <v>4001</v>
      </c>
      <c r="H682" s="2" t="s">
        <v>4001</v>
      </c>
      <c r="I682" s="2" t="s">
        <v>4002</v>
      </c>
      <c r="J682" s="2" t="s">
        <v>284</v>
      </c>
      <c r="K682" s="2" t="s">
        <v>4010</v>
      </c>
      <c r="L682" s="3">
        <v>19.57</v>
      </c>
      <c r="M682" s="3">
        <v>20.55</v>
      </c>
      <c r="N682" s="3">
        <v>42.99</v>
      </c>
      <c r="O682" s="2" t="s">
        <v>240</v>
      </c>
      <c r="P682" s="2" t="s">
        <v>266</v>
      </c>
      <c r="Q682" s="2" t="s">
        <v>234</v>
      </c>
      <c r="R682" s="2" t="s">
        <v>228</v>
      </c>
      <c r="S682" s="2" t="s">
        <v>4011</v>
      </c>
      <c r="T682" s="2" t="s">
        <v>3810</v>
      </c>
      <c r="U682" s="2" t="s">
        <v>308</v>
      </c>
      <c r="V682" s="2" t="s">
        <v>3717</v>
      </c>
      <c r="W682" s="2" t="s">
        <v>269</v>
      </c>
      <c r="X682" s="2" t="s">
        <v>228</v>
      </c>
      <c r="Y682" s="2" t="s">
        <v>3919</v>
      </c>
      <c r="Z682" s="4">
        <v>154</v>
      </c>
      <c r="AA682" s="4">
        <f>=ROUNDDOWN(6.16,0)</f>
      </c>
      <c r="AB682" s="5">
        <v>25</v>
      </c>
      <c r="AC682" s="2" t="s">
        <v>1014</v>
      </c>
      <c r="AD682" s="4">
        <v>478</v>
      </c>
      <c r="AE682" s="4">
        <v>969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228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228</v>
      </c>
      <c r="AW682" s="8" t="s">
        <v>228</v>
      </c>
      <c r="AX682" s="4" t="s">
        <v>228</v>
      </c>
      <c r="AY682" s="8" t="s">
        <v>228</v>
      </c>
      <c r="AZ682" s="7" t="s">
        <v>228</v>
      </c>
      <c r="BA682" s="7" t="s">
        <v>228</v>
      </c>
      <c r="BB682" s="7"/>
      <c r="BC682" s="4" t="s">
        <v>228</v>
      </c>
      <c r="BD682" s="8" t="s">
        <v>228</v>
      </c>
      <c r="BE682" s="4" t="s">
        <v>228</v>
      </c>
      <c r="BF682" s="8" t="s">
        <v>228</v>
      </c>
      <c r="BG682" s="7" t="s">
        <v>228</v>
      </c>
      <c r="BH682" s="7" t="s">
        <v>228</v>
      </c>
      <c r="BI682" s="7"/>
      <c r="BJ682" s="4">
        <v>23</v>
      </c>
      <c r="BK682" s="8">
        <v>490.83</v>
      </c>
      <c r="BL682" s="2" t="s">
        <v>4016</v>
      </c>
      <c r="BM682" s="7"/>
      <c r="BN682" s="7"/>
      <c r="BO682" s="4"/>
      <c r="BP682" s="8"/>
      <c r="BQ682" s="4"/>
      <c r="BR682" s="8"/>
      <c r="BS682" s="7"/>
      <c r="BT682" s="7"/>
      <c r="BU682" s="2" t="s">
        <v>4017</v>
      </c>
      <c r="BV682" s="2" t="s">
        <v>228</v>
      </c>
      <c r="BW682" s="2" t="s">
        <v>228</v>
      </c>
      <c r="BX682" s="2" t="s">
        <v>273</v>
      </c>
      <c r="BY682" s="2" t="s">
        <v>274</v>
      </c>
      <c r="BZ682" s="2" t="s">
        <v>240</v>
      </c>
      <c r="CA682" s="2" t="s">
        <v>4014</v>
      </c>
      <c r="CB682" s="2" t="s">
        <v>4018</v>
      </c>
      <c r="CC682" s="2" t="s">
        <v>241</v>
      </c>
      <c r="CD682" s="2" t="s">
        <v>228</v>
      </c>
      <c r="CE682" s="4">
        <v>154</v>
      </c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>
        <v>478</v>
      </c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>
        <v>206</v>
      </c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>
        <v>285</v>
      </c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</row>
    <row r="683">
      <c r="A683" s="2" t="s">
        <v>4019</v>
      </c>
      <c r="B683" s="2" t="s">
        <v>299</v>
      </c>
      <c r="C683" s="2" t="s">
        <v>4000</v>
      </c>
      <c r="D683" s="2" t="s">
        <v>301</v>
      </c>
      <c r="E683" s="2" t="s">
        <v>302</v>
      </c>
      <c r="F683" s="2" t="s">
        <v>4001</v>
      </c>
      <c r="G683" s="2" t="s">
        <v>4001</v>
      </c>
      <c r="H683" s="2" t="s">
        <v>4001</v>
      </c>
      <c r="I683" s="2" t="s">
        <v>4002</v>
      </c>
      <c r="J683" s="2" t="s">
        <v>294</v>
      </c>
      <c r="K683" s="2" t="s">
        <v>4010</v>
      </c>
      <c r="L683" s="3">
        <v>27.39</v>
      </c>
      <c r="M683" s="3">
        <v>28.76</v>
      </c>
      <c r="N683" s="3">
        <v>62.99</v>
      </c>
      <c r="O683" s="2" t="s">
        <v>240</v>
      </c>
      <c r="P683" s="2" t="s">
        <v>266</v>
      </c>
      <c r="Q683" s="2" t="s">
        <v>234</v>
      </c>
      <c r="R683" s="2" t="s">
        <v>228</v>
      </c>
      <c r="S683" s="2" t="s">
        <v>4011</v>
      </c>
      <c r="T683" s="2" t="s">
        <v>3810</v>
      </c>
      <c r="U683" s="2" t="s">
        <v>308</v>
      </c>
      <c r="V683" s="2" t="s">
        <v>3717</v>
      </c>
      <c r="W683" s="2" t="s">
        <v>269</v>
      </c>
      <c r="X683" s="2" t="s">
        <v>228</v>
      </c>
      <c r="Y683" s="2" t="s">
        <v>3919</v>
      </c>
      <c r="Z683" s="4">
        <v>309</v>
      </c>
      <c r="AA683" s="4">
        <f>=ROUNDDOWN(22.0714285714286,0)</f>
      </c>
      <c r="AB683" s="5">
        <v>14</v>
      </c>
      <c r="AC683" s="2" t="s">
        <v>1014</v>
      </c>
      <c r="AD683" s="4">
        <v>118</v>
      </c>
      <c r="AE683" s="4">
        <v>351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228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228</v>
      </c>
      <c r="AW683" s="8" t="s">
        <v>228</v>
      </c>
      <c r="AX683" s="4" t="s">
        <v>228</v>
      </c>
      <c r="AY683" s="8" t="s">
        <v>228</v>
      </c>
      <c r="AZ683" s="7" t="s">
        <v>228</v>
      </c>
      <c r="BA683" s="7" t="s">
        <v>228</v>
      </c>
      <c r="BB683" s="7"/>
      <c r="BC683" s="4" t="s">
        <v>228</v>
      </c>
      <c r="BD683" s="8" t="s">
        <v>228</v>
      </c>
      <c r="BE683" s="4" t="s">
        <v>228</v>
      </c>
      <c r="BF683" s="8" t="s">
        <v>228</v>
      </c>
      <c r="BG683" s="7" t="s">
        <v>228</v>
      </c>
      <c r="BH683" s="7" t="s">
        <v>228</v>
      </c>
      <c r="BI683" s="7"/>
      <c r="BJ683" s="4">
        <v>32</v>
      </c>
      <c r="BK683" s="8">
        <v>1032.6</v>
      </c>
      <c r="BL683" s="2" t="s">
        <v>4020</v>
      </c>
      <c r="BM683" s="7"/>
      <c r="BN683" s="7"/>
      <c r="BO683" s="4"/>
      <c r="BP683" s="8"/>
      <c r="BQ683" s="4"/>
      <c r="BR683" s="8"/>
      <c r="BS683" s="7"/>
      <c r="BT683" s="7"/>
      <c r="BU683" s="2" t="s">
        <v>4021</v>
      </c>
      <c r="BV683" s="2" t="s">
        <v>228</v>
      </c>
      <c r="BW683" s="2" t="s">
        <v>228</v>
      </c>
      <c r="BX683" s="2" t="s">
        <v>273</v>
      </c>
      <c r="BY683" s="2" t="s">
        <v>274</v>
      </c>
      <c r="BZ683" s="2" t="s">
        <v>240</v>
      </c>
      <c r="CA683" s="2" t="s">
        <v>4014</v>
      </c>
      <c r="CB683" s="2" t="s">
        <v>4022</v>
      </c>
      <c r="CC683" s="2" t="s">
        <v>241</v>
      </c>
      <c r="CD683" s="2" t="s">
        <v>228</v>
      </c>
      <c r="CE683" s="4">
        <v>309</v>
      </c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>
        <v>118</v>
      </c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>
        <v>133</v>
      </c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>
        <v>100</v>
      </c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</row>
    <row r="684">
      <c r="A684" s="2" t="s">
        <v>4023</v>
      </c>
      <c r="B684" s="2" t="s">
        <v>299</v>
      </c>
      <c r="C684" s="2" t="s">
        <v>4000</v>
      </c>
      <c r="D684" s="2" t="s">
        <v>301</v>
      </c>
      <c r="E684" s="2" t="s">
        <v>302</v>
      </c>
      <c r="F684" s="2" t="s">
        <v>4001</v>
      </c>
      <c r="G684" s="2" t="s">
        <v>4001</v>
      </c>
      <c r="H684" s="2" t="s">
        <v>4001</v>
      </c>
      <c r="I684" s="2" t="s">
        <v>4002</v>
      </c>
      <c r="J684" s="2" t="s">
        <v>312</v>
      </c>
      <c r="K684" s="2" t="s">
        <v>4010</v>
      </c>
      <c r="L684" s="3">
        <v>27.39</v>
      </c>
      <c r="M684" s="3">
        <v>28.76</v>
      </c>
      <c r="N684" s="3">
        <v>62.99</v>
      </c>
      <c r="O684" s="2" t="s">
        <v>240</v>
      </c>
      <c r="P684" s="2" t="s">
        <v>266</v>
      </c>
      <c r="Q684" s="2" t="s">
        <v>234</v>
      </c>
      <c r="R684" s="2" t="s">
        <v>228</v>
      </c>
      <c r="S684" s="2" t="s">
        <v>4011</v>
      </c>
      <c r="T684" s="2" t="s">
        <v>3810</v>
      </c>
      <c r="U684" s="2" t="s">
        <v>228</v>
      </c>
      <c r="V684" s="2" t="s">
        <v>3717</v>
      </c>
      <c r="W684" s="2" t="s">
        <v>269</v>
      </c>
      <c r="X684" s="2" t="s">
        <v>228</v>
      </c>
      <c r="Y684" s="2" t="s">
        <v>3919</v>
      </c>
      <c r="Z684" s="4">
        <v>84</v>
      </c>
      <c r="AA684" s="4">
        <f>=ROUNDDOWN(8.4,0)</f>
      </c>
      <c r="AB684" s="5">
        <v>10</v>
      </c>
      <c r="AC684" s="2" t="s">
        <v>1014</v>
      </c>
      <c r="AD684" s="4">
        <v>221</v>
      </c>
      <c r="AE684" s="4">
        <v>374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228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228</v>
      </c>
      <c r="AW684" s="8" t="s">
        <v>228</v>
      </c>
      <c r="AX684" s="4" t="s">
        <v>228</v>
      </c>
      <c r="AY684" s="8" t="s">
        <v>228</v>
      </c>
      <c r="AZ684" s="7" t="s">
        <v>228</v>
      </c>
      <c r="BA684" s="7" t="s">
        <v>228</v>
      </c>
      <c r="BB684" s="7"/>
      <c r="BC684" s="4" t="s">
        <v>228</v>
      </c>
      <c r="BD684" s="8" t="s">
        <v>228</v>
      </c>
      <c r="BE684" s="4" t="s">
        <v>228</v>
      </c>
      <c r="BF684" s="8" t="s">
        <v>228</v>
      </c>
      <c r="BG684" s="7" t="s">
        <v>228</v>
      </c>
      <c r="BH684" s="7" t="s">
        <v>228</v>
      </c>
      <c r="BI684" s="7"/>
      <c r="BJ684" s="4">
        <v>10</v>
      </c>
      <c r="BK684" s="8">
        <v>298.36</v>
      </c>
      <c r="BL684" s="2" t="s">
        <v>1245</v>
      </c>
      <c r="BM684" s="7"/>
      <c r="BN684" s="7"/>
      <c r="BO684" s="4"/>
      <c r="BP684" s="8"/>
      <c r="BQ684" s="4"/>
      <c r="BR684" s="8"/>
      <c r="BS684" s="7"/>
      <c r="BT684" s="7"/>
      <c r="BU684" s="2" t="s">
        <v>4024</v>
      </c>
      <c r="BV684" s="2" t="s">
        <v>228</v>
      </c>
      <c r="BW684" s="2" t="s">
        <v>228</v>
      </c>
      <c r="BX684" s="2" t="s">
        <v>273</v>
      </c>
      <c r="BY684" s="2" t="s">
        <v>274</v>
      </c>
      <c r="BZ684" s="2" t="s">
        <v>240</v>
      </c>
      <c r="CA684" s="2" t="s">
        <v>4014</v>
      </c>
      <c r="CB684" s="2" t="s">
        <v>4025</v>
      </c>
      <c r="CC684" s="2" t="s">
        <v>241</v>
      </c>
      <c r="CD684" s="2" t="s">
        <v>228</v>
      </c>
      <c r="CE684" s="4">
        <v>84</v>
      </c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>
        <v>221</v>
      </c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>
        <v>83</v>
      </c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>
        <v>70</v>
      </c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</row>
    <row r="685">
      <c r="A685" s="2" t="s">
        <v>4026</v>
      </c>
      <c r="B685" s="2" t="s">
        <v>299</v>
      </c>
      <c r="C685" s="2" t="s">
        <v>4000</v>
      </c>
      <c r="D685" s="2" t="s">
        <v>301</v>
      </c>
      <c r="E685" s="2" t="s">
        <v>302</v>
      </c>
      <c r="F685" s="2" t="s">
        <v>4001</v>
      </c>
      <c r="G685" s="2" t="s">
        <v>4001</v>
      </c>
      <c r="H685" s="2" t="s">
        <v>4001</v>
      </c>
      <c r="I685" s="2" t="s">
        <v>4002</v>
      </c>
      <c r="J685" s="2" t="s">
        <v>278</v>
      </c>
      <c r="K685" s="2" t="s">
        <v>4027</v>
      </c>
      <c r="L685" s="3">
        <v>16.16</v>
      </c>
      <c r="M685" s="3">
        <v>16.97</v>
      </c>
      <c r="N685" s="3">
        <v>34.99</v>
      </c>
      <c r="O685" s="2" t="s">
        <v>240</v>
      </c>
      <c r="P685" s="2" t="s">
        <v>333</v>
      </c>
      <c r="Q685" s="2" t="s">
        <v>234</v>
      </c>
      <c r="R685" s="2" t="s">
        <v>228</v>
      </c>
      <c r="S685" s="2" t="s">
        <v>4028</v>
      </c>
      <c r="T685" s="2" t="s">
        <v>3810</v>
      </c>
      <c r="U685" s="2" t="s">
        <v>228</v>
      </c>
      <c r="V685" s="2" t="s">
        <v>980</v>
      </c>
      <c r="W685" s="2" t="s">
        <v>269</v>
      </c>
      <c r="X685" s="2" t="s">
        <v>228</v>
      </c>
      <c r="Y685" s="2" t="s">
        <v>3919</v>
      </c>
      <c r="Z685" s="4"/>
      <c r="AA685" s="4">
        <f>=ROUNDDOWN({0},0)</f>
      </c>
      <c r="AB685" s="5">
        <v>12</v>
      </c>
      <c r="AC685" s="2" t="s">
        <v>228</v>
      </c>
      <c r="AD685" s="4"/>
      <c r="AE685" s="4"/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228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228</v>
      </c>
      <c r="AW685" s="8" t="s">
        <v>228</v>
      </c>
      <c r="AX685" s="4" t="s">
        <v>228</v>
      </c>
      <c r="AY685" s="8" t="s">
        <v>228</v>
      </c>
      <c r="AZ685" s="7" t="s">
        <v>228</v>
      </c>
      <c r="BA685" s="7" t="s">
        <v>228</v>
      </c>
      <c r="BB685" s="7"/>
      <c r="BC685" s="4" t="s">
        <v>228</v>
      </c>
      <c r="BD685" s="8" t="s">
        <v>228</v>
      </c>
      <c r="BE685" s="4" t="s">
        <v>228</v>
      </c>
      <c r="BF685" s="8" t="s">
        <v>228</v>
      </c>
      <c r="BG685" s="7" t="s">
        <v>228</v>
      </c>
      <c r="BH685" s="7" t="s">
        <v>228</v>
      </c>
      <c r="BI685" s="7"/>
      <c r="BJ685" s="4"/>
      <c r="BK685" s="8"/>
      <c r="BL685" s="2" t="s">
        <v>4029</v>
      </c>
      <c r="BM685" s="7"/>
      <c r="BN685" s="7"/>
      <c r="BO685" s="4"/>
      <c r="BP685" s="8"/>
      <c r="BQ685" s="4"/>
      <c r="BR685" s="8"/>
      <c r="BS685" s="7"/>
      <c r="BT685" s="7"/>
      <c r="BU685" s="2" t="s">
        <v>4030</v>
      </c>
      <c r="BV685" s="2" t="s">
        <v>228</v>
      </c>
      <c r="BW685" s="2" t="s">
        <v>228</v>
      </c>
      <c r="BX685" s="2" t="s">
        <v>337</v>
      </c>
      <c r="BY685" s="2" t="s">
        <v>274</v>
      </c>
      <c r="BZ685" s="2" t="s">
        <v>240</v>
      </c>
      <c r="CA685" s="2" t="s">
        <v>4014</v>
      </c>
      <c r="CB685" s="2" t="s">
        <v>4031</v>
      </c>
      <c r="CC685" s="2" t="s">
        <v>241</v>
      </c>
      <c r="CD685" s="2" t="s">
        <v>228</v>
      </c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</row>
    <row r="686">
      <c r="A686" s="2" t="s">
        <v>4032</v>
      </c>
      <c r="B686" s="2" t="s">
        <v>299</v>
      </c>
      <c r="C686" s="2" t="s">
        <v>4000</v>
      </c>
      <c r="D686" s="2" t="s">
        <v>301</v>
      </c>
      <c r="E686" s="2" t="s">
        <v>302</v>
      </c>
      <c r="F686" s="2" t="s">
        <v>4001</v>
      </c>
      <c r="G686" s="2" t="s">
        <v>4001</v>
      </c>
      <c r="H686" s="2" t="s">
        <v>4001</v>
      </c>
      <c r="I686" s="2" t="s">
        <v>4002</v>
      </c>
      <c r="J686" s="2" t="s">
        <v>312</v>
      </c>
      <c r="K686" s="2" t="s">
        <v>4027</v>
      </c>
      <c r="L686" s="3">
        <v>27.39</v>
      </c>
      <c r="M686" s="3">
        <v>28.76</v>
      </c>
      <c r="N686" s="3">
        <v>62.99</v>
      </c>
      <c r="O686" s="2" t="s">
        <v>240</v>
      </c>
      <c r="P686" s="2" t="s">
        <v>333</v>
      </c>
      <c r="Q686" s="2" t="s">
        <v>234</v>
      </c>
      <c r="R686" s="2" t="s">
        <v>228</v>
      </c>
      <c r="S686" s="2" t="s">
        <v>4028</v>
      </c>
      <c r="T686" s="2" t="s">
        <v>3810</v>
      </c>
      <c r="U686" s="2" t="s">
        <v>228</v>
      </c>
      <c r="V686" s="2" t="s">
        <v>980</v>
      </c>
      <c r="W686" s="2" t="s">
        <v>269</v>
      </c>
      <c r="X686" s="2" t="s">
        <v>228</v>
      </c>
      <c r="Y686" s="2" t="s">
        <v>3919</v>
      </c>
      <c r="Z686" s="4"/>
      <c r="AA686" s="4">
        <f>=ROUNDDOWN({0},0)</f>
      </c>
      <c r="AB686" s="5">
        <v>6</v>
      </c>
      <c r="AC686" s="2" t="s">
        <v>228</v>
      </c>
      <c r="AD686" s="4"/>
      <c r="AE686" s="4"/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228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228</v>
      </c>
      <c r="AW686" s="8" t="s">
        <v>228</v>
      </c>
      <c r="AX686" s="4" t="s">
        <v>228</v>
      </c>
      <c r="AY686" s="8" t="s">
        <v>228</v>
      </c>
      <c r="AZ686" s="7" t="s">
        <v>228</v>
      </c>
      <c r="BA686" s="7" t="s">
        <v>228</v>
      </c>
      <c r="BB686" s="7"/>
      <c r="BC686" s="4" t="s">
        <v>228</v>
      </c>
      <c r="BD686" s="8" t="s">
        <v>228</v>
      </c>
      <c r="BE686" s="4" t="s">
        <v>228</v>
      </c>
      <c r="BF686" s="8" t="s">
        <v>228</v>
      </c>
      <c r="BG686" s="7" t="s">
        <v>228</v>
      </c>
      <c r="BH686" s="7" t="s">
        <v>228</v>
      </c>
      <c r="BI686" s="7"/>
      <c r="BJ686" s="4"/>
      <c r="BK686" s="8"/>
      <c r="BL686" s="2" t="s">
        <v>861</v>
      </c>
      <c r="BM686" s="7"/>
      <c r="BN686" s="7"/>
      <c r="BO686" s="4"/>
      <c r="BP686" s="8"/>
      <c r="BQ686" s="4"/>
      <c r="BR686" s="8"/>
      <c r="BS686" s="7"/>
      <c r="BT686" s="7"/>
      <c r="BU686" s="2" t="s">
        <v>4033</v>
      </c>
      <c r="BV686" s="2" t="s">
        <v>228</v>
      </c>
      <c r="BW686" s="2" t="s">
        <v>228</v>
      </c>
      <c r="BX686" s="2" t="s">
        <v>337</v>
      </c>
      <c r="BY686" s="2" t="s">
        <v>274</v>
      </c>
      <c r="BZ686" s="2" t="s">
        <v>240</v>
      </c>
      <c r="CA686" s="2" t="s">
        <v>4014</v>
      </c>
      <c r="CB686" s="2" t="s">
        <v>4034</v>
      </c>
      <c r="CC686" s="2" t="s">
        <v>241</v>
      </c>
      <c r="CD686" s="2" t="s">
        <v>228</v>
      </c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</row>
    <row r="687">
      <c r="A687" s="2" t="s">
        <v>4035</v>
      </c>
      <c r="B687" s="2" t="s">
        <v>299</v>
      </c>
      <c r="C687" s="2" t="s">
        <v>4000</v>
      </c>
      <c r="D687" s="2" t="s">
        <v>301</v>
      </c>
      <c r="E687" s="2" t="s">
        <v>302</v>
      </c>
      <c r="F687" s="2" t="s">
        <v>4001</v>
      </c>
      <c r="G687" s="2" t="s">
        <v>4001</v>
      </c>
      <c r="H687" s="2" t="s">
        <v>4001</v>
      </c>
      <c r="I687" s="2" t="s">
        <v>4002</v>
      </c>
      <c r="J687" s="2" t="s">
        <v>264</v>
      </c>
      <c r="K687" s="2" t="s">
        <v>4036</v>
      </c>
      <c r="L687" s="3">
        <v>14.89</v>
      </c>
      <c r="M687" s="3">
        <v>15.63</v>
      </c>
      <c r="N687" s="3">
        <v>31.99</v>
      </c>
      <c r="O687" s="2" t="s">
        <v>240</v>
      </c>
      <c r="P687" s="2" t="s">
        <v>266</v>
      </c>
      <c r="Q687" s="2" t="s">
        <v>234</v>
      </c>
      <c r="R687" s="2" t="s">
        <v>228</v>
      </c>
      <c r="S687" s="2" t="s">
        <v>4037</v>
      </c>
      <c r="T687" s="2" t="s">
        <v>3810</v>
      </c>
      <c r="U687" s="2" t="s">
        <v>500</v>
      </c>
      <c r="V687" s="2" t="s">
        <v>1644</v>
      </c>
      <c r="W687" s="2" t="s">
        <v>269</v>
      </c>
      <c r="X687" s="2" t="s">
        <v>463</v>
      </c>
      <c r="Y687" s="2" t="s">
        <v>2778</v>
      </c>
      <c r="Z687" s="4">
        <v>121</v>
      </c>
      <c r="AA687" s="4">
        <f>=ROUNDDOWN(3.66666666666667,0)</f>
      </c>
      <c r="AB687" s="5">
        <v>33</v>
      </c>
      <c r="AC687" s="2" t="s">
        <v>1014</v>
      </c>
      <c r="AD687" s="4">
        <v>532</v>
      </c>
      <c r="AE687" s="4">
        <v>1232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228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228</v>
      </c>
      <c r="AW687" s="8" t="s">
        <v>228</v>
      </c>
      <c r="AX687" s="4" t="s">
        <v>228</v>
      </c>
      <c r="AY687" s="8" t="s">
        <v>228</v>
      </c>
      <c r="AZ687" s="7" t="s">
        <v>228</v>
      </c>
      <c r="BA687" s="7" t="s">
        <v>228</v>
      </c>
      <c r="BB687" s="7"/>
      <c r="BC687" s="4" t="s">
        <v>228</v>
      </c>
      <c r="BD687" s="8" t="s">
        <v>228</v>
      </c>
      <c r="BE687" s="4" t="s">
        <v>228</v>
      </c>
      <c r="BF687" s="8" t="s">
        <v>228</v>
      </c>
      <c r="BG687" s="7" t="s">
        <v>228</v>
      </c>
      <c r="BH687" s="7" t="s">
        <v>228</v>
      </c>
      <c r="BI687" s="7"/>
      <c r="BJ687" s="4">
        <v>82</v>
      </c>
      <c r="BK687" s="8">
        <v>1377.38</v>
      </c>
      <c r="BL687" s="2" t="s">
        <v>1245</v>
      </c>
      <c r="BM687" s="7"/>
      <c r="BN687" s="7"/>
      <c r="BO687" s="4"/>
      <c r="BP687" s="8"/>
      <c r="BQ687" s="4"/>
      <c r="BR687" s="8"/>
      <c r="BS687" s="7"/>
      <c r="BT687" s="7"/>
      <c r="BU687" s="2" t="s">
        <v>4038</v>
      </c>
      <c r="BV687" s="2" t="s">
        <v>228</v>
      </c>
      <c r="BW687" s="2" t="s">
        <v>228</v>
      </c>
      <c r="BX687" s="2" t="s">
        <v>273</v>
      </c>
      <c r="BY687" s="2" t="s">
        <v>274</v>
      </c>
      <c r="BZ687" s="2" t="s">
        <v>240</v>
      </c>
      <c r="CA687" s="2" t="s">
        <v>4039</v>
      </c>
      <c r="CB687" s="2" t="s">
        <v>4040</v>
      </c>
      <c r="CC687" s="2" t="s">
        <v>241</v>
      </c>
      <c r="CD687" s="2" t="s">
        <v>228</v>
      </c>
      <c r="CE687" s="4">
        <v>121</v>
      </c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>
        <v>532</v>
      </c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>
        <v>282</v>
      </c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>
        <v>418</v>
      </c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</row>
    <row r="688">
      <c r="A688" s="2" t="s">
        <v>4041</v>
      </c>
      <c r="B688" s="2" t="s">
        <v>299</v>
      </c>
      <c r="C688" s="2" t="s">
        <v>4000</v>
      </c>
      <c r="D688" s="2" t="s">
        <v>301</v>
      </c>
      <c r="E688" s="2" t="s">
        <v>302</v>
      </c>
      <c r="F688" s="2" t="s">
        <v>4001</v>
      </c>
      <c r="G688" s="2" t="s">
        <v>4001</v>
      </c>
      <c r="H688" s="2" t="s">
        <v>4001</v>
      </c>
      <c r="I688" s="2" t="s">
        <v>4002</v>
      </c>
      <c r="J688" s="2" t="s">
        <v>278</v>
      </c>
      <c r="K688" s="2" t="s">
        <v>4036</v>
      </c>
      <c r="L688" s="3">
        <v>16.16</v>
      </c>
      <c r="M688" s="3">
        <v>16.97</v>
      </c>
      <c r="N688" s="3">
        <v>34.99</v>
      </c>
      <c r="O688" s="2" t="s">
        <v>240</v>
      </c>
      <c r="P688" s="2" t="s">
        <v>266</v>
      </c>
      <c r="Q688" s="2" t="s">
        <v>234</v>
      </c>
      <c r="R688" s="2" t="s">
        <v>228</v>
      </c>
      <c r="S688" s="2" t="s">
        <v>4037</v>
      </c>
      <c r="T688" s="2" t="s">
        <v>3810</v>
      </c>
      <c r="U688" s="2" t="s">
        <v>500</v>
      </c>
      <c r="V688" s="2" t="s">
        <v>1644</v>
      </c>
      <c r="W688" s="2" t="s">
        <v>269</v>
      </c>
      <c r="X688" s="2" t="s">
        <v>463</v>
      </c>
      <c r="Y688" s="2" t="s">
        <v>2778</v>
      </c>
      <c r="Z688" s="4"/>
      <c r="AA688" s="4">
        <f>=ROUNDDOWN({0},0)</f>
      </c>
      <c r="AB688" s="5">
        <v>26</v>
      </c>
      <c r="AC688" s="2" t="s">
        <v>1014</v>
      </c>
      <c r="AD688" s="4">
        <v>376</v>
      </c>
      <c r="AE688" s="4">
        <v>956</v>
      </c>
      <c r="AF688" s="6">
        <v>65</v>
      </c>
      <c r="AG688" s="6"/>
      <c r="AH688" s="7">
        <v>0.7419</v>
      </c>
      <c r="AI688" s="4"/>
      <c r="AJ688" s="4">
        <f>=ROUNDDOWN({0},0)</f>
      </c>
      <c r="AK688" s="5"/>
      <c r="AL688" s="2" t="s">
        <v>228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228</v>
      </c>
      <c r="AW688" s="8" t="s">
        <v>228</v>
      </c>
      <c r="AX688" s="4" t="s">
        <v>228</v>
      </c>
      <c r="AY688" s="8" t="s">
        <v>228</v>
      </c>
      <c r="AZ688" s="7" t="s">
        <v>228</v>
      </c>
      <c r="BA688" s="7" t="s">
        <v>228</v>
      </c>
      <c r="BB688" s="7"/>
      <c r="BC688" s="4" t="s">
        <v>228</v>
      </c>
      <c r="BD688" s="8" t="s">
        <v>228</v>
      </c>
      <c r="BE688" s="4" t="s">
        <v>228</v>
      </c>
      <c r="BF688" s="8" t="s">
        <v>228</v>
      </c>
      <c r="BG688" s="7" t="s">
        <v>228</v>
      </c>
      <c r="BH688" s="7" t="s">
        <v>228</v>
      </c>
      <c r="BI688" s="7"/>
      <c r="BJ688" s="4">
        <v>113</v>
      </c>
      <c r="BK688" s="8">
        <v>2056.56</v>
      </c>
      <c r="BL688" s="2" t="s">
        <v>1363</v>
      </c>
      <c r="BM688" s="7"/>
      <c r="BN688" s="7"/>
      <c r="BO688" s="4"/>
      <c r="BP688" s="8"/>
      <c r="BQ688" s="4"/>
      <c r="BR688" s="8"/>
      <c r="BS688" s="7"/>
      <c r="BT688" s="7"/>
      <c r="BU688" s="2" t="s">
        <v>4042</v>
      </c>
      <c r="BV688" s="2" t="s">
        <v>228</v>
      </c>
      <c r="BW688" s="2" t="s">
        <v>228</v>
      </c>
      <c r="BX688" s="2" t="s">
        <v>273</v>
      </c>
      <c r="BY688" s="2" t="s">
        <v>274</v>
      </c>
      <c r="BZ688" s="2" t="s">
        <v>240</v>
      </c>
      <c r="CA688" s="2" t="s">
        <v>4039</v>
      </c>
      <c r="CB688" s="2" t="s">
        <v>4043</v>
      </c>
      <c r="CC688" s="2" t="s">
        <v>241</v>
      </c>
      <c r="CD688" s="2" t="s">
        <v>228</v>
      </c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>
        <v>376</v>
      </c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>
        <v>144</v>
      </c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>
        <v>345</v>
      </c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>
        <v>91</v>
      </c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</row>
    <row r="689">
      <c r="A689" s="2" t="s">
        <v>4044</v>
      </c>
      <c r="B689" s="2" t="s">
        <v>299</v>
      </c>
      <c r="C689" s="2" t="s">
        <v>4000</v>
      </c>
      <c r="D689" s="2" t="s">
        <v>301</v>
      </c>
      <c r="E689" s="2" t="s">
        <v>302</v>
      </c>
      <c r="F689" s="2" t="s">
        <v>4001</v>
      </c>
      <c r="G689" s="2" t="s">
        <v>4001</v>
      </c>
      <c r="H689" s="2" t="s">
        <v>4001</v>
      </c>
      <c r="I689" s="2" t="s">
        <v>4002</v>
      </c>
      <c r="J689" s="2" t="s">
        <v>284</v>
      </c>
      <c r="K689" s="2" t="s">
        <v>4036</v>
      </c>
      <c r="L689" s="3">
        <v>19.57</v>
      </c>
      <c r="M689" s="3">
        <v>20.55</v>
      </c>
      <c r="N689" s="3">
        <v>42.99</v>
      </c>
      <c r="O689" s="2" t="s">
        <v>240</v>
      </c>
      <c r="P689" s="2" t="s">
        <v>715</v>
      </c>
      <c r="Q689" s="2" t="s">
        <v>234</v>
      </c>
      <c r="R689" s="2" t="s">
        <v>228</v>
      </c>
      <c r="S689" s="2" t="s">
        <v>4037</v>
      </c>
      <c r="T689" s="2" t="s">
        <v>3810</v>
      </c>
      <c r="U689" s="2" t="s">
        <v>308</v>
      </c>
      <c r="V689" s="2" t="s">
        <v>1644</v>
      </c>
      <c r="W689" s="2" t="s">
        <v>269</v>
      </c>
      <c r="X689" s="2" t="s">
        <v>463</v>
      </c>
      <c r="Y689" s="2" t="s">
        <v>2778</v>
      </c>
      <c r="Z689" s="4">
        <v>229</v>
      </c>
      <c r="AA689" s="4">
        <f>=ROUNDDOWN(5.58536585365854,0)</f>
      </c>
      <c r="AB689" s="5">
        <v>41</v>
      </c>
      <c r="AC689" s="2" t="s">
        <v>1014</v>
      </c>
      <c r="AD689" s="4">
        <v>785</v>
      </c>
      <c r="AE689" s="4">
        <v>1548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228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228</v>
      </c>
      <c r="AW689" s="8" t="s">
        <v>228</v>
      </c>
      <c r="AX689" s="4" t="s">
        <v>228</v>
      </c>
      <c r="AY689" s="8" t="s">
        <v>228</v>
      </c>
      <c r="AZ689" s="7" t="s">
        <v>228</v>
      </c>
      <c r="BA689" s="7" t="s">
        <v>228</v>
      </c>
      <c r="BB689" s="7"/>
      <c r="BC689" s="4" t="s">
        <v>228</v>
      </c>
      <c r="BD689" s="8" t="s">
        <v>228</v>
      </c>
      <c r="BE689" s="4" t="s">
        <v>228</v>
      </c>
      <c r="BF689" s="8" t="s">
        <v>228</v>
      </c>
      <c r="BG689" s="7" t="s">
        <v>228</v>
      </c>
      <c r="BH689" s="7" t="s">
        <v>228</v>
      </c>
      <c r="BI689" s="7"/>
      <c r="BJ689" s="4">
        <v>69</v>
      </c>
      <c r="BK689" s="8">
        <v>1455.59</v>
      </c>
      <c r="BL689" s="2" t="s">
        <v>4045</v>
      </c>
      <c r="BM689" s="7"/>
      <c r="BN689" s="7"/>
      <c r="BO689" s="4"/>
      <c r="BP689" s="8"/>
      <c r="BQ689" s="4"/>
      <c r="BR689" s="8"/>
      <c r="BS689" s="7"/>
      <c r="BT689" s="7"/>
      <c r="BU689" s="2" t="s">
        <v>4046</v>
      </c>
      <c r="BV689" s="2" t="s">
        <v>228</v>
      </c>
      <c r="BW689" s="2" t="s">
        <v>228</v>
      </c>
      <c r="BX689" s="2" t="s">
        <v>273</v>
      </c>
      <c r="BY689" s="2" t="s">
        <v>274</v>
      </c>
      <c r="BZ689" s="2" t="s">
        <v>240</v>
      </c>
      <c r="CA689" s="2" t="s">
        <v>4039</v>
      </c>
      <c r="CB689" s="2" t="s">
        <v>2212</v>
      </c>
      <c r="CC689" s="2" t="s">
        <v>241</v>
      </c>
      <c r="CD689" s="2" t="s">
        <v>228</v>
      </c>
      <c r="CE689" s="4">
        <v>229</v>
      </c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>
        <v>785</v>
      </c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>
        <v>323</v>
      </c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>
        <v>440</v>
      </c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</row>
    <row r="690">
      <c r="A690" s="2" t="s">
        <v>4047</v>
      </c>
      <c r="B690" s="2" t="s">
        <v>299</v>
      </c>
      <c r="C690" s="2" t="s">
        <v>4000</v>
      </c>
      <c r="D690" s="2" t="s">
        <v>301</v>
      </c>
      <c r="E690" s="2" t="s">
        <v>302</v>
      </c>
      <c r="F690" s="2" t="s">
        <v>4001</v>
      </c>
      <c r="G690" s="2" t="s">
        <v>4001</v>
      </c>
      <c r="H690" s="2" t="s">
        <v>4001</v>
      </c>
      <c r="I690" s="2" t="s">
        <v>4002</v>
      </c>
      <c r="J690" s="2" t="s">
        <v>284</v>
      </c>
      <c r="K690" s="2" t="s">
        <v>4048</v>
      </c>
      <c r="L690" s="3">
        <v>19.57</v>
      </c>
      <c r="M690" s="3">
        <v>20.55</v>
      </c>
      <c r="N690" s="3">
        <v>42.99</v>
      </c>
      <c r="O690" s="2" t="s">
        <v>461</v>
      </c>
      <c r="P690" s="2" t="s">
        <v>333</v>
      </c>
      <c r="Q690" s="2" t="s">
        <v>234</v>
      </c>
      <c r="R690" s="2" t="s">
        <v>228</v>
      </c>
      <c r="S690" s="2" t="s">
        <v>4049</v>
      </c>
      <c r="T690" s="2" t="s">
        <v>3810</v>
      </c>
      <c r="U690" s="2" t="s">
        <v>308</v>
      </c>
      <c r="V690" s="2" t="s">
        <v>3717</v>
      </c>
      <c r="W690" s="2" t="s">
        <v>269</v>
      </c>
      <c r="X690" s="2" t="s">
        <v>463</v>
      </c>
      <c r="Y690" s="2" t="s">
        <v>3821</v>
      </c>
      <c r="Z690" s="4">
        <v>268</v>
      </c>
      <c r="AA690" s="4">
        <f>=ROUNDDOWN(76.5714285714286,0)</f>
      </c>
      <c r="AB690" s="5">
        <v>3.5</v>
      </c>
      <c r="AC690" s="2" t="s">
        <v>228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228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228</v>
      </c>
      <c r="AW690" s="8" t="s">
        <v>228</v>
      </c>
      <c r="AX690" s="4" t="s">
        <v>228</v>
      </c>
      <c r="AY690" s="8" t="s">
        <v>228</v>
      </c>
      <c r="AZ690" s="7" t="s">
        <v>228</v>
      </c>
      <c r="BA690" s="7" t="s">
        <v>228</v>
      </c>
      <c r="BB690" s="7"/>
      <c r="BC690" s="4" t="s">
        <v>228</v>
      </c>
      <c r="BD690" s="8" t="s">
        <v>228</v>
      </c>
      <c r="BE690" s="4" t="s">
        <v>228</v>
      </c>
      <c r="BF690" s="8" t="s">
        <v>228</v>
      </c>
      <c r="BG690" s="7" t="s">
        <v>228</v>
      </c>
      <c r="BH690" s="7" t="s">
        <v>228</v>
      </c>
      <c r="BI690" s="7"/>
      <c r="BJ690" s="4">
        <v>12</v>
      </c>
      <c r="BK690" s="8">
        <v>234.89</v>
      </c>
      <c r="BL690" s="2" t="s">
        <v>3793</v>
      </c>
      <c r="BM690" s="7"/>
      <c r="BN690" s="7"/>
      <c r="BO690" s="4"/>
      <c r="BP690" s="8"/>
      <c r="BQ690" s="4"/>
      <c r="BR690" s="8"/>
      <c r="BS690" s="7"/>
      <c r="BT690" s="7"/>
      <c r="BU690" s="2" t="s">
        <v>4050</v>
      </c>
      <c r="BV690" s="2" t="s">
        <v>228</v>
      </c>
      <c r="BW690" s="2" t="s">
        <v>228</v>
      </c>
      <c r="BX690" s="2" t="s">
        <v>337</v>
      </c>
      <c r="BY690" s="2" t="s">
        <v>274</v>
      </c>
      <c r="BZ690" s="2" t="s">
        <v>240</v>
      </c>
      <c r="CA690" s="2" t="s">
        <v>4051</v>
      </c>
      <c r="CB690" s="2" t="s">
        <v>3237</v>
      </c>
      <c r="CC690" s="2" t="s">
        <v>241</v>
      </c>
      <c r="CD690" s="2" t="s">
        <v>228</v>
      </c>
      <c r="CE690" s="4">
        <v>268</v>
      </c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</row>
    <row r="691">
      <c r="A691" s="2" t="s">
        <v>4052</v>
      </c>
      <c r="B691" s="2" t="s">
        <v>299</v>
      </c>
      <c r="C691" s="2" t="s">
        <v>4000</v>
      </c>
      <c r="D691" s="2" t="s">
        <v>301</v>
      </c>
      <c r="E691" s="2" t="s">
        <v>302</v>
      </c>
      <c r="F691" s="2" t="s">
        <v>4001</v>
      </c>
      <c r="G691" s="2" t="s">
        <v>4001</v>
      </c>
      <c r="H691" s="2" t="s">
        <v>4001</v>
      </c>
      <c r="I691" s="2" t="s">
        <v>4002</v>
      </c>
      <c r="J691" s="2" t="s">
        <v>289</v>
      </c>
      <c r="K691" s="2" t="s">
        <v>4048</v>
      </c>
      <c r="L691" s="3">
        <v>22.21</v>
      </c>
      <c r="M691" s="3">
        <v>23.32</v>
      </c>
      <c r="N691" s="3">
        <v>47.99</v>
      </c>
      <c r="O691" s="2" t="s">
        <v>461</v>
      </c>
      <c r="P691" s="2" t="s">
        <v>333</v>
      </c>
      <c r="Q691" s="2" t="s">
        <v>234</v>
      </c>
      <c r="R691" s="2" t="s">
        <v>228</v>
      </c>
      <c r="S691" s="2" t="s">
        <v>4049</v>
      </c>
      <c r="T691" s="2" t="s">
        <v>3810</v>
      </c>
      <c r="U691" s="2" t="s">
        <v>308</v>
      </c>
      <c r="V691" s="2" t="s">
        <v>3717</v>
      </c>
      <c r="W691" s="2" t="s">
        <v>269</v>
      </c>
      <c r="X691" s="2" t="s">
        <v>463</v>
      </c>
      <c r="Y691" s="2" t="s">
        <v>3821</v>
      </c>
      <c r="Z691" s="4">
        <v>425</v>
      </c>
      <c r="AA691" s="4">
        <f>=ROUNDDOWN(36.9565217391304,0)</f>
      </c>
      <c r="AB691" s="5">
        <v>11.5</v>
      </c>
      <c r="AC691" s="2" t="s">
        <v>228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228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228</v>
      </c>
      <c r="AW691" s="8" t="s">
        <v>228</v>
      </c>
      <c r="AX691" s="4" t="s">
        <v>228</v>
      </c>
      <c r="AY691" s="8" t="s">
        <v>228</v>
      </c>
      <c r="AZ691" s="7" t="s">
        <v>228</v>
      </c>
      <c r="BA691" s="7" t="s">
        <v>228</v>
      </c>
      <c r="BB691" s="7"/>
      <c r="BC691" s="4" t="s">
        <v>228</v>
      </c>
      <c r="BD691" s="8" t="s">
        <v>228</v>
      </c>
      <c r="BE691" s="4" t="s">
        <v>228</v>
      </c>
      <c r="BF691" s="8" t="s">
        <v>228</v>
      </c>
      <c r="BG691" s="7" t="s">
        <v>228</v>
      </c>
      <c r="BH691" s="7" t="s">
        <v>228</v>
      </c>
      <c r="BI691" s="7"/>
      <c r="BJ691" s="4">
        <v>30</v>
      </c>
      <c r="BK691" s="8">
        <v>671.93</v>
      </c>
      <c r="BL691" s="2" t="s">
        <v>381</v>
      </c>
      <c r="BM691" s="7"/>
      <c r="BN691" s="7"/>
      <c r="BO691" s="4"/>
      <c r="BP691" s="8"/>
      <c r="BQ691" s="4"/>
      <c r="BR691" s="8"/>
      <c r="BS691" s="7"/>
      <c r="BT691" s="7"/>
      <c r="BU691" s="2" t="s">
        <v>4053</v>
      </c>
      <c r="BV691" s="2" t="s">
        <v>228</v>
      </c>
      <c r="BW691" s="2" t="s">
        <v>228</v>
      </c>
      <c r="BX691" s="2" t="s">
        <v>337</v>
      </c>
      <c r="BY691" s="2" t="s">
        <v>274</v>
      </c>
      <c r="BZ691" s="2" t="s">
        <v>240</v>
      </c>
      <c r="CA691" s="2" t="s">
        <v>4051</v>
      </c>
      <c r="CB691" s="2" t="s">
        <v>4054</v>
      </c>
      <c r="CC691" s="2" t="s">
        <v>241</v>
      </c>
      <c r="CD691" s="2" t="s">
        <v>228</v>
      </c>
      <c r="CE691" s="4">
        <v>425</v>
      </c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</row>
    <row r="692">
      <c r="A692" s="2" t="s">
        <v>4055</v>
      </c>
      <c r="B692" s="2" t="s">
        <v>299</v>
      </c>
      <c r="C692" s="2" t="s">
        <v>4000</v>
      </c>
      <c r="D692" s="2" t="s">
        <v>301</v>
      </c>
      <c r="E692" s="2" t="s">
        <v>302</v>
      </c>
      <c r="F692" s="2" t="s">
        <v>4001</v>
      </c>
      <c r="G692" s="2" t="s">
        <v>4001</v>
      </c>
      <c r="H692" s="2" t="s">
        <v>4001</v>
      </c>
      <c r="I692" s="2" t="s">
        <v>4002</v>
      </c>
      <c r="J692" s="2" t="s">
        <v>294</v>
      </c>
      <c r="K692" s="2" t="s">
        <v>4048</v>
      </c>
      <c r="L692" s="3">
        <v>27.39</v>
      </c>
      <c r="M692" s="3">
        <v>28.76</v>
      </c>
      <c r="N692" s="3">
        <v>62.99</v>
      </c>
      <c r="O692" s="2" t="s">
        <v>461</v>
      </c>
      <c r="P692" s="2" t="s">
        <v>333</v>
      </c>
      <c r="Q692" s="2" t="s">
        <v>234</v>
      </c>
      <c r="R692" s="2" t="s">
        <v>228</v>
      </c>
      <c r="S692" s="2" t="s">
        <v>4049</v>
      </c>
      <c r="T692" s="2" t="s">
        <v>3810</v>
      </c>
      <c r="U692" s="2" t="s">
        <v>308</v>
      </c>
      <c r="V692" s="2" t="s">
        <v>3717</v>
      </c>
      <c r="W692" s="2" t="s">
        <v>269</v>
      </c>
      <c r="X692" s="2" t="s">
        <v>463</v>
      </c>
      <c r="Y692" s="2" t="s">
        <v>3821</v>
      </c>
      <c r="Z692" s="4">
        <v>258</v>
      </c>
      <c r="AA692" s="4">
        <f>=ROUNDDOWN(117.272727272727,0)</f>
      </c>
      <c r="AB692" s="5">
        <v>2.2</v>
      </c>
      <c r="AC692" s="2" t="s">
        <v>228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228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228</v>
      </c>
      <c r="AW692" s="8" t="s">
        <v>228</v>
      </c>
      <c r="AX692" s="4" t="s">
        <v>228</v>
      </c>
      <c r="AY692" s="8" t="s">
        <v>228</v>
      </c>
      <c r="AZ692" s="7" t="s">
        <v>228</v>
      </c>
      <c r="BA692" s="7" t="s">
        <v>228</v>
      </c>
      <c r="BB692" s="7"/>
      <c r="BC692" s="4" t="s">
        <v>228</v>
      </c>
      <c r="BD692" s="8" t="s">
        <v>228</v>
      </c>
      <c r="BE692" s="4" t="s">
        <v>228</v>
      </c>
      <c r="BF692" s="8" t="s">
        <v>228</v>
      </c>
      <c r="BG692" s="7" t="s">
        <v>228</v>
      </c>
      <c r="BH692" s="7" t="s">
        <v>228</v>
      </c>
      <c r="BI692" s="7"/>
      <c r="BJ692" s="4">
        <v>4</v>
      </c>
      <c r="BK692" s="8">
        <v>106.76</v>
      </c>
      <c r="BL692" s="2" t="s">
        <v>2606</v>
      </c>
      <c r="BM692" s="7"/>
      <c r="BN692" s="7"/>
      <c r="BO692" s="4"/>
      <c r="BP692" s="8"/>
      <c r="BQ692" s="4"/>
      <c r="BR692" s="8"/>
      <c r="BS692" s="7"/>
      <c r="BT692" s="7"/>
      <c r="BU692" s="2" t="s">
        <v>4056</v>
      </c>
      <c r="BV692" s="2" t="s">
        <v>228</v>
      </c>
      <c r="BW692" s="2" t="s">
        <v>228</v>
      </c>
      <c r="BX692" s="2" t="s">
        <v>337</v>
      </c>
      <c r="BY692" s="2" t="s">
        <v>274</v>
      </c>
      <c r="BZ692" s="2" t="s">
        <v>240</v>
      </c>
      <c r="CA692" s="2" t="s">
        <v>4051</v>
      </c>
      <c r="CB692" s="2" t="s">
        <v>3548</v>
      </c>
      <c r="CC692" s="2" t="s">
        <v>241</v>
      </c>
      <c r="CD692" s="2" t="s">
        <v>228</v>
      </c>
      <c r="CE692" s="4">
        <v>258</v>
      </c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</row>
    <row r="693">
      <c r="A693" s="2" t="s">
        <v>4057</v>
      </c>
      <c r="B693" s="2" t="s">
        <v>299</v>
      </c>
      <c r="C693" s="2" t="s">
        <v>4000</v>
      </c>
      <c r="D693" s="2" t="s">
        <v>301</v>
      </c>
      <c r="E693" s="2" t="s">
        <v>302</v>
      </c>
      <c r="F693" s="2" t="s">
        <v>4001</v>
      </c>
      <c r="G693" s="2" t="s">
        <v>4001</v>
      </c>
      <c r="H693" s="2" t="s">
        <v>4001</v>
      </c>
      <c r="I693" s="2" t="s">
        <v>4002</v>
      </c>
      <c r="J693" s="2" t="s">
        <v>264</v>
      </c>
      <c r="K693" s="2" t="s">
        <v>1418</v>
      </c>
      <c r="L693" s="3">
        <v>14.89</v>
      </c>
      <c r="M693" s="3">
        <v>15.63</v>
      </c>
      <c r="N693" s="3">
        <v>31.99</v>
      </c>
      <c r="O693" s="2" t="s">
        <v>240</v>
      </c>
      <c r="P693" s="2" t="s">
        <v>266</v>
      </c>
      <c r="Q693" s="2" t="s">
        <v>234</v>
      </c>
      <c r="R693" s="2" t="s">
        <v>228</v>
      </c>
      <c r="S693" s="2" t="s">
        <v>4058</v>
      </c>
      <c r="T693" s="2" t="s">
        <v>3810</v>
      </c>
      <c r="U693" s="2" t="s">
        <v>228</v>
      </c>
      <c r="V693" s="2" t="s">
        <v>980</v>
      </c>
      <c r="W693" s="2" t="s">
        <v>269</v>
      </c>
      <c r="X693" s="2" t="s">
        <v>228</v>
      </c>
      <c r="Y693" s="2" t="s">
        <v>3835</v>
      </c>
      <c r="Z693" s="4">
        <v>169</v>
      </c>
      <c r="AA693" s="4">
        <f>=ROUNDDOWN(4.97058823529412,0)</f>
      </c>
      <c r="AB693" s="5">
        <v>34</v>
      </c>
      <c r="AC693" s="2" t="s">
        <v>1014</v>
      </c>
      <c r="AD693" s="4">
        <v>540</v>
      </c>
      <c r="AE693" s="4">
        <v>1277</v>
      </c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228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228</v>
      </c>
      <c r="AW693" s="8" t="s">
        <v>228</v>
      </c>
      <c r="AX693" s="4" t="s">
        <v>228</v>
      </c>
      <c r="AY693" s="8" t="s">
        <v>228</v>
      </c>
      <c r="AZ693" s="7" t="s">
        <v>228</v>
      </c>
      <c r="BA693" s="7" t="s">
        <v>228</v>
      </c>
      <c r="BB693" s="7"/>
      <c r="BC693" s="4" t="s">
        <v>228</v>
      </c>
      <c r="BD693" s="8" t="s">
        <v>228</v>
      </c>
      <c r="BE693" s="4" t="s">
        <v>228</v>
      </c>
      <c r="BF693" s="8" t="s">
        <v>228</v>
      </c>
      <c r="BG693" s="7" t="s">
        <v>228</v>
      </c>
      <c r="BH693" s="7" t="s">
        <v>228</v>
      </c>
      <c r="BI693" s="7"/>
      <c r="BJ693" s="4">
        <v>61</v>
      </c>
      <c r="BK693" s="8">
        <v>1013.83</v>
      </c>
      <c r="BL693" s="2" t="s">
        <v>3971</v>
      </c>
      <c r="BM693" s="7"/>
      <c r="BN693" s="7"/>
      <c r="BO693" s="4"/>
      <c r="BP693" s="8"/>
      <c r="BQ693" s="4"/>
      <c r="BR693" s="8"/>
      <c r="BS693" s="7"/>
      <c r="BT693" s="7"/>
      <c r="BU693" s="2" t="s">
        <v>4059</v>
      </c>
      <c r="BV693" s="2" t="s">
        <v>228</v>
      </c>
      <c r="BW693" s="2" t="s">
        <v>228</v>
      </c>
      <c r="BX693" s="2" t="s">
        <v>273</v>
      </c>
      <c r="BY693" s="2" t="s">
        <v>274</v>
      </c>
      <c r="BZ693" s="2" t="s">
        <v>240</v>
      </c>
      <c r="CA693" s="2" t="s">
        <v>4014</v>
      </c>
      <c r="CB693" s="2" t="s">
        <v>3964</v>
      </c>
      <c r="CC693" s="2" t="s">
        <v>241</v>
      </c>
      <c r="CD693" s="2" t="s">
        <v>228</v>
      </c>
      <c r="CE693" s="4">
        <v>169</v>
      </c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>
        <v>540</v>
      </c>
      <c r="DQ693" s="4"/>
      <c r="DR693" s="4"/>
      <c r="DS693" s="4">
        <v>303</v>
      </c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>
        <v>434</v>
      </c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</row>
    <row r="694">
      <c r="A694" s="2" t="s">
        <v>4060</v>
      </c>
      <c r="B694" s="2" t="s">
        <v>299</v>
      </c>
      <c r="C694" s="2" t="s">
        <v>4000</v>
      </c>
      <c r="D694" s="2" t="s">
        <v>301</v>
      </c>
      <c r="E694" s="2" t="s">
        <v>302</v>
      </c>
      <c r="F694" s="2" t="s">
        <v>4001</v>
      </c>
      <c r="G694" s="2" t="s">
        <v>4001</v>
      </c>
      <c r="H694" s="2" t="s">
        <v>4001</v>
      </c>
      <c r="I694" s="2" t="s">
        <v>4002</v>
      </c>
      <c r="J694" s="2" t="s">
        <v>278</v>
      </c>
      <c r="K694" s="2" t="s">
        <v>1418</v>
      </c>
      <c r="L694" s="3">
        <v>16.16</v>
      </c>
      <c r="M694" s="3">
        <v>16.97</v>
      </c>
      <c r="N694" s="3">
        <v>34.99</v>
      </c>
      <c r="O694" s="2" t="s">
        <v>240</v>
      </c>
      <c r="P694" s="2" t="s">
        <v>266</v>
      </c>
      <c r="Q694" s="2" t="s">
        <v>234</v>
      </c>
      <c r="R694" s="2" t="s">
        <v>228</v>
      </c>
      <c r="S694" s="2" t="s">
        <v>4058</v>
      </c>
      <c r="T694" s="2" t="s">
        <v>3810</v>
      </c>
      <c r="U694" s="2" t="s">
        <v>228</v>
      </c>
      <c r="V694" s="2" t="s">
        <v>980</v>
      </c>
      <c r="W694" s="2" t="s">
        <v>269</v>
      </c>
      <c r="X694" s="2" t="s">
        <v>228</v>
      </c>
      <c r="Y694" s="2" t="s">
        <v>3835</v>
      </c>
      <c r="Z694" s="4"/>
      <c r="AA694" s="4">
        <f>=ROUNDDOWN({0},0)</f>
      </c>
      <c r="AB694" s="5">
        <v>32</v>
      </c>
      <c r="AC694" s="2" t="s">
        <v>1014</v>
      </c>
      <c r="AD694" s="4">
        <v>518</v>
      </c>
      <c r="AE694" s="4">
        <v>1233</v>
      </c>
      <c r="AF694" s="6">
        <v>65</v>
      </c>
      <c r="AG694" s="6"/>
      <c r="AH694" s="7">
        <v>0.5806</v>
      </c>
      <c r="AI694" s="4"/>
      <c r="AJ694" s="4">
        <f>=ROUNDDOWN({0},0)</f>
      </c>
      <c r="AK694" s="5"/>
      <c r="AL694" s="2" t="s">
        <v>228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228</v>
      </c>
      <c r="AW694" s="8" t="s">
        <v>228</v>
      </c>
      <c r="AX694" s="4" t="s">
        <v>228</v>
      </c>
      <c r="AY694" s="8" t="s">
        <v>228</v>
      </c>
      <c r="AZ694" s="7" t="s">
        <v>228</v>
      </c>
      <c r="BA694" s="7" t="s">
        <v>228</v>
      </c>
      <c r="BB694" s="7"/>
      <c r="BC694" s="4" t="s">
        <v>228</v>
      </c>
      <c r="BD694" s="8" t="s">
        <v>228</v>
      </c>
      <c r="BE694" s="4" t="s">
        <v>228</v>
      </c>
      <c r="BF694" s="8" t="s">
        <v>228</v>
      </c>
      <c r="BG694" s="7" t="s">
        <v>228</v>
      </c>
      <c r="BH694" s="7" t="s">
        <v>228</v>
      </c>
      <c r="BI694" s="7"/>
      <c r="BJ694" s="4">
        <v>152</v>
      </c>
      <c r="BK694" s="8">
        <v>2928.06</v>
      </c>
      <c r="BL694" s="2" t="s">
        <v>4061</v>
      </c>
      <c r="BM694" s="7"/>
      <c r="BN694" s="7"/>
      <c r="BO694" s="4"/>
      <c r="BP694" s="8"/>
      <c r="BQ694" s="4"/>
      <c r="BR694" s="8"/>
      <c r="BS694" s="7"/>
      <c r="BT694" s="7"/>
      <c r="BU694" s="2" t="s">
        <v>4062</v>
      </c>
      <c r="BV694" s="2" t="s">
        <v>228</v>
      </c>
      <c r="BW694" s="2" t="s">
        <v>228</v>
      </c>
      <c r="BX694" s="2" t="s">
        <v>273</v>
      </c>
      <c r="BY694" s="2" t="s">
        <v>274</v>
      </c>
      <c r="BZ694" s="2" t="s">
        <v>240</v>
      </c>
      <c r="CA694" s="2" t="s">
        <v>4014</v>
      </c>
      <c r="CB694" s="2" t="s">
        <v>4063</v>
      </c>
      <c r="CC694" s="2" t="s">
        <v>241</v>
      </c>
      <c r="CD694" s="2" t="s">
        <v>228</v>
      </c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>
        <v>518</v>
      </c>
      <c r="DQ694" s="4"/>
      <c r="DR694" s="4"/>
      <c r="DS694" s="4">
        <v>283</v>
      </c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>
        <v>432</v>
      </c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</row>
    <row r="695">
      <c r="A695" s="2" t="s">
        <v>4064</v>
      </c>
      <c r="B695" s="2" t="s">
        <v>299</v>
      </c>
      <c r="C695" s="2" t="s">
        <v>4000</v>
      </c>
      <c r="D695" s="2" t="s">
        <v>301</v>
      </c>
      <c r="E695" s="2" t="s">
        <v>302</v>
      </c>
      <c r="F695" s="2" t="s">
        <v>4001</v>
      </c>
      <c r="G695" s="2" t="s">
        <v>4001</v>
      </c>
      <c r="H695" s="2" t="s">
        <v>4001</v>
      </c>
      <c r="I695" s="2" t="s">
        <v>4002</v>
      </c>
      <c r="J695" s="2" t="s">
        <v>284</v>
      </c>
      <c r="K695" s="2" t="s">
        <v>1418</v>
      </c>
      <c r="L695" s="3">
        <v>19.57</v>
      </c>
      <c r="M695" s="3">
        <v>20.55</v>
      </c>
      <c r="N695" s="3">
        <v>42.99</v>
      </c>
      <c r="O695" s="2" t="s">
        <v>240</v>
      </c>
      <c r="P695" s="2" t="s">
        <v>266</v>
      </c>
      <c r="Q695" s="2" t="s">
        <v>234</v>
      </c>
      <c r="R695" s="2" t="s">
        <v>228</v>
      </c>
      <c r="S695" s="2" t="s">
        <v>4058</v>
      </c>
      <c r="T695" s="2" t="s">
        <v>3810</v>
      </c>
      <c r="U695" s="2" t="s">
        <v>228</v>
      </c>
      <c r="V695" s="2" t="s">
        <v>980</v>
      </c>
      <c r="W695" s="2" t="s">
        <v>269</v>
      </c>
      <c r="X695" s="2" t="s">
        <v>228</v>
      </c>
      <c r="Y695" s="2" t="s">
        <v>3835</v>
      </c>
      <c r="Z695" s="4">
        <v>29</v>
      </c>
      <c r="AA695" s="4">
        <f>=ROUNDDOWN(1.45,0)</f>
      </c>
      <c r="AB695" s="5">
        <v>20</v>
      </c>
      <c r="AC695" s="2" t="s">
        <v>1014</v>
      </c>
      <c r="AD695" s="4">
        <v>368</v>
      </c>
      <c r="AE695" s="4">
        <v>806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228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228</v>
      </c>
      <c r="AW695" s="8" t="s">
        <v>228</v>
      </c>
      <c r="AX695" s="4" t="s">
        <v>228</v>
      </c>
      <c r="AY695" s="8" t="s">
        <v>228</v>
      </c>
      <c r="AZ695" s="7" t="s">
        <v>228</v>
      </c>
      <c r="BA695" s="7" t="s">
        <v>228</v>
      </c>
      <c r="BB695" s="7"/>
      <c r="BC695" s="4" t="s">
        <v>228</v>
      </c>
      <c r="BD695" s="8" t="s">
        <v>228</v>
      </c>
      <c r="BE695" s="4" t="s">
        <v>228</v>
      </c>
      <c r="BF695" s="8" t="s">
        <v>228</v>
      </c>
      <c r="BG695" s="7" t="s">
        <v>228</v>
      </c>
      <c r="BH695" s="7" t="s">
        <v>228</v>
      </c>
      <c r="BI695" s="7"/>
      <c r="BJ695" s="4">
        <v>70</v>
      </c>
      <c r="BK695" s="8">
        <v>1482.59</v>
      </c>
      <c r="BL695" s="2" t="s">
        <v>4065</v>
      </c>
      <c r="BM695" s="7"/>
      <c r="BN695" s="7"/>
      <c r="BO695" s="4"/>
      <c r="BP695" s="8"/>
      <c r="BQ695" s="4"/>
      <c r="BR695" s="8"/>
      <c r="BS695" s="7"/>
      <c r="BT695" s="7"/>
      <c r="BU695" s="2" t="s">
        <v>4066</v>
      </c>
      <c r="BV695" s="2" t="s">
        <v>228</v>
      </c>
      <c r="BW695" s="2" t="s">
        <v>228</v>
      </c>
      <c r="BX695" s="2" t="s">
        <v>273</v>
      </c>
      <c r="BY695" s="2" t="s">
        <v>274</v>
      </c>
      <c r="BZ695" s="2" t="s">
        <v>240</v>
      </c>
      <c r="CA695" s="2" t="s">
        <v>4014</v>
      </c>
      <c r="CB695" s="2" t="s">
        <v>4067</v>
      </c>
      <c r="CC695" s="2" t="s">
        <v>241</v>
      </c>
      <c r="CD695" s="2" t="s">
        <v>228</v>
      </c>
      <c r="CE695" s="4">
        <v>29</v>
      </c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>
        <v>368</v>
      </c>
      <c r="DQ695" s="4"/>
      <c r="DR695" s="4"/>
      <c r="DS695" s="4">
        <v>182</v>
      </c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>
        <v>256</v>
      </c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</row>
    <row r="696">
      <c r="A696" s="2" t="s">
        <v>4068</v>
      </c>
      <c r="B696" s="2" t="s">
        <v>299</v>
      </c>
      <c r="C696" s="2" t="s">
        <v>4000</v>
      </c>
      <c r="D696" s="2" t="s">
        <v>301</v>
      </c>
      <c r="E696" s="2" t="s">
        <v>302</v>
      </c>
      <c r="F696" s="2" t="s">
        <v>4001</v>
      </c>
      <c r="G696" s="2" t="s">
        <v>4001</v>
      </c>
      <c r="H696" s="2" t="s">
        <v>4001</v>
      </c>
      <c r="I696" s="2" t="s">
        <v>4002</v>
      </c>
      <c r="J696" s="2" t="s">
        <v>289</v>
      </c>
      <c r="K696" s="2" t="s">
        <v>1418</v>
      </c>
      <c r="L696" s="3">
        <v>22.21</v>
      </c>
      <c r="M696" s="3">
        <v>23.32</v>
      </c>
      <c r="N696" s="3">
        <v>47.99</v>
      </c>
      <c r="O696" s="2" t="s">
        <v>240</v>
      </c>
      <c r="P696" s="2" t="s">
        <v>715</v>
      </c>
      <c r="Q696" s="2" t="s">
        <v>234</v>
      </c>
      <c r="R696" s="2" t="s">
        <v>228</v>
      </c>
      <c r="S696" s="2" t="s">
        <v>4058</v>
      </c>
      <c r="T696" s="2" t="s">
        <v>3810</v>
      </c>
      <c r="U696" s="2" t="s">
        <v>228</v>
      </c>
      <c r="V696" s="2" t="s">
        <v>980</v>
      </c>
      <c r="W696" s="2" t="s">
        <v>269</v>
      </c>
      <c r="X696" s="2" t="s">
        <v>228</v>
      </c>
      <c r="Y696" s="2" t="s">
        <v>3835</v>
      </c>
      <c r="Z696" s="4">
        <v>204</v>
      </c>
      <c r="AA696" s="4">
        <f>=ROUNDDOWN(6.375,0)</f>
      </c>
      <c r="AB696" s="5">
        <v>32</v>
      </c>
      <c r="AC696" s="2" t="s">
        <v>1014</v>
      </c>
      <c r="AD696" s="4">
        <v>548</v>
      </c>
      <c r="AE696" s="4">
        <v>1242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228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228</v>
      </c>
      <c r="AW696" s="8" t="s">
        <v>228</v>
      </c>
      <c r="AX696" s="4" t="s">
        <v>228</v>
      </c>
      <c r="AY696" s="8" t="s">
        <v>228</v>
      </c>
      <c r="AZ696" s="7" t="s">
        <v>228</v>
      </c>
      <c r="BA696" s="7" t="s">
        <v>228</v>
      </c>
      <c r="BB696" s="7"/>
      <c r="BC696" s="4" t="s">
        <v>228</v>
      </c>
      <c r="BD696" s="8" t="s">
        <v>228</v>
      </c>
      <c r="BE696" s="4" t="s">
        <v>228</v>
      </c>
      <c r="BF696" s="8" t="s">
        <v>228</v>
      </c>
      <c r="BG696" s="7" t="s">
        <v>228</v>
      </c>
      <c r="BH696" s="7" t="s">
        <v>228</v>
      </c>
      <c r="BI696" s="7"/>
      <c r="BJ696" s="4">
        <v>41</v>
      </c>
      <c r="BK696" s="8">
        <v>1020.42</v>
      </c>
      <c r="BL696" s="2" t="s">
        <v>4069</v>
      </c>
      <c r="BM696" s="7"/>
      <c r="BN696" s="7"/>
      <c r="BO696" s="4"/>
      <c r="BP696" s="8"/>
      <c r="BQ696" s="4"/>
      <c r="BR696" s="8"/>
      <c r="BS696" s="7"/>
      <c r="BT696" s="7"/>
      <c r="BU696" s="2" t="s">
        <v>4070</v>
      </c>
      <c r="BV696" s="2" t="s">
        <v>228</v>
      </c>
      <c r="BW696" s="2" t="s">
        <v>228</v>
      </c>
      <c r="BX696" s="2" t="s">
        <v>273</v>
      </c>
      <c r="BY696" s="2" t="s">
        <v>274</v>
      </c>
      <c r="BZ696" s="2" t="s">
        <v>240</v>
      </c>
      <c r="CA696" s="2" t="s">
        <v>4014</v>
      </c>
      <c r="CB696" s="2" t="s">
        <v>3865</v>
      </c>
      <c r="CC696" s="2" t="s">
        <v>241</v>
      </c>
      <c r="CD696" s="2" t="s">
        <v>228</v>
      </c>
      <c r="CE696" s="4">
        <v>204</v>
      </c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>
        <v>548</v>
      </c>
      <c r="DQ696" s="4"/>
      <c r="DR696" s="4"/>
      <c r="DS696" s="4">
        <v>285</v>
      </c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>
        <v>409</v>
      </c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</row>
    <row r="697">
      <c r="A697" s="2" t="s">
        <v>4071</v>
      </c>
      <c r="B697" s="2" t="s">
        <v>299</v>
      </c>
      <c r="C697" s="2" t="s">
        <v>4000</v>
      </c>
      <c r="D697" s="2" t="s">
        <v>301</v>
      </c>
      <c r="E697" s="2" t="s">
        <v>302</v>
      </c>
      <c r="F697" s="2" t="s">
        <v>4001</v>
      </c>
      <c r="G697" s="2" t="s">
        <v>4001</v>
      </c>
      <c r="H697" s="2" t="s">
        <v>4001</v>
      </c>
      <c r="I697" s="2" t="s">
        <v>4002</v>
      </c>
      <c r="J697" s="2" t="s">
        <v>294</v>
      </c>
      <c r="K697" s="2" t="s">
        <v>1418</v>
      </c>
      <c r="L697" s="3">
        <v>27.39</v>
      </c>
      <c r="M697" s="3">
        <v>28.76</v>
      </c>
      <c r="N697" s="3">
        <v>62.99</v>
      </c>
      <c r="O697" s="2" t="s">
        <v>240</v>
      </c>
      <c r="P697" s="2" t="s">
        <v>266</v>
      </c>
      <c r="Q697" s="2" t="s">
        <v>234</v>
      </c>
      <c r="R697" s="2" t="s">
        <v>228</v>
      </c>
      <c r="S697" s="2" t="s">
        <v>4058</v>
      </c>
      <c r="T697" s="2" t="s">
        <v>3810</v>
      </c>
      <c r="U697" s="2" t="s">
        <v>228</v>
      </c>
      <c r="V697" s="2" t="s">
        <v>980</v>
      </c>
      <c r="W697" s="2" t="s">
        <v>269</v>
      </c>
      <c r="X697" s="2" t="s">
        <v>228</v>
      </c>
      <c r="Y697" s="2" t="s">
        <v>3835</v>
      </c>
      <c r="Z697" s="4">
        <v>79</v>
      </c>
      <c r="AA697" s="4">
        <f>=ROUNDDOWN(5.64285714285714,0)</f>
      </c>
      <c r="AB697" s="5">
        <v>14</v>
      </c>
      <c r="AC697" s="2" t="s">
        <v>1014</v>
      </c>
      <c r="AD697" s="4">
        <v>238</v>
      </c>
      <c r="AE697" s="4">
        <v>514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228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228</v>
      </c>
      <c r="AW697" s="8" t="s">
        <v>228</v>
      </c>
      <c r="AX697" s="4" t="s">
        <v>228</v>
      </c>
      <c r="AY697" s="8" t="s">
        <v>228</v>
      </c>
      <c r="AZ697" s="7" t="s">
        <v>228</v>
      </c>
      <c r="BA697" s="7" t="s">
        <v>228</v>
      </c>
      <c r="BB697" s="7"/>
      <c r="BC697" s="4" t="s">
        <v>228</v>
      </c>
      <c r="BD697" s="8" t="s">
        <v>228</v>
      </c>
      <c r="BE697" s="4" t="s">
        <v>228</v>
      </c>
      <c r="BF697" s="8" t="s">
        <v>228</v>
      </c>
      <c r="BG697" s="7" t="s">
        <v>228</v>
      </c>
      <c r="BH697" s="7" t="s">
        <v>228</v>
      </c>
      <c r="BI697" s="7"/>
      <c r="BJ697" s="4">
        <v>25</v>
      </c>
      <c r="BK697" s="8">
        <v>762.86</v>
      </c>
      <c r="BL697" s="2" t="s">
        <v>4072</v>
      </c>
      <c r="BM697" s="7"/>
      <c r="BN697" s="7"/>
      <c r="BO697" s="4"/>
      <c r="BP697" s="8"/>
      <c r="BQ697" s="4"/>
      <c r="BR697" s="8"/>
      <c r="BS697" s="7"/>
      <c r="BT697" s="7"/>
      <c r="BU697" s="2" t="s">
        <v>4073</v>
      </c>
      <c r="BV697" s="2" t="s">
        <v>228</v>
      </c>
      <c r="BW697" s="2" t="s">
        <v>228</v>
      </c>
      <c r="BX697" s="2" t="s">
        <v>273</v>
      </c>
      <c r="BY697" s="2" t="s">
        <v>274</v>
      </c>
      <c r="BZ697" s="2" t="s">
        <v>240</v>
      </c>
      <c r="CA697" s="2" t="s">
        <v>4014</v>
      </c>
      <c r="CB697" s="2" t="s">
        <v>4025</v>
      </c>
      <c r="CC697" s="2" t="s">
        <v>241</v>
      </c>
      <c r="CD697" s="2" t="s">
        <v>228</v>
      </c>
      <c r="CE697" s="4">
        <v>79</v>
      </c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>
        <v>238</v>
      </c>
      <c r="DQ697" s="4"/>
      <c r="DR697" s="4"/>
      <c r="DS697" s="4">
        <v>126</v>
      </c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>
        <v>150</v>
      </c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</row>
    <row r="698">
      <c r="A698" s="2" t="s">
        <v>4074</v>
      </c>
      <c r="B698" s="2" t="s">
        <v>299</v>
      </c>
      <c r="C698" s="2" t="s">
        <v>4000</v>
      </c>
      <c r="D698" s="2" t="s">
        <v>301</v>
      </c>
      <c r="E698" s="2" t="s">
        <v>302</v>
      </c>
      <c r="F698" s="2" t="s">
        <v>4001</v>
      </c>
      <c r="G698" s="2" t="s">
        <v>4001</v>
      </c>
      <c r="H698" s="2" t="s">
        <v>4001</v>
      </c>
      <c r="I698" s="2" t="s">
        <v>4002</v>
      </c>
      <c r="J698" s="2" t="s">
        <v>284</v>
      </c>
      <c r="K698" s="2" t="s">
        <v>3833</v>
      </c>
      <c r="L698" s="3">
        <v>19.57</v>
      </c>
      <c r="M698" s="3">
        <v>20.55</v>
      </c>
      <c r="N698" s="3">
        <v>42.99</v>
      </c>
      <c r="O698" s="2" t="s">
        <v>240</v>
      </c>
      <c r="P698" s="2" t="s">
        <v>815</v>
      </c>
      <c r="Q698" s="2" t="s">
        <v>234</v>
      </c>
      <c r="R698" s="2" t="s">
        <v>228</v>
      </c>
      <c r="S698" s="2" t="s">
        <v>4075</v>
      </c>
      <c r="T698" s="2" t="s">
        <v>3810</v>
      </c>
      <c r="U698" s="2" t="s">
        <v>228</v>
      </c>
      <c r="V698" s="2" t="s">
        <v>1438</v>
      </c>
      <c r="W698" s="2" t="s">
        <v>269</v>
      </c>
      <c r="X698" s="2" t="s">
        <v>228</v>
      </c>
      <c r="Y698" s="2" t="s">
        <v>270</v>
      </c>
      <c r="Z698" s="4">
        <v>749</v>
      </c>
      <c r="AA698" s="4">
        <f>=ROUNDDOWN(16.6444444444444,0)</f>
      </c>
      <c r="AB698" s="5">
        <v>45</v>
      </c>
      <c r="AC698" s="2" t="s">
        <v>1996</v>
      </c>
      <c r="AD698" s="4">
        <v>474</v>
      </c>
      <c r="AE698" s="4">
        <v>1328</v>
      </c>
      <c r="AF698" s="6">
        <v>65</v>
      </c>
      <c r="AG698" s="6"/>
      <c r="AH698" s="7">
        <v>0.3226</v>
      </c>
      <c r="AI698" s="4"/>
      <c r="AJ698" s="4">
        <f>=ROUNDDOWN({0},0)</f>
      </c>
      <c r="AK698" s="5"/>
      <c r="AL698" s="2" t="s">
        <v>228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228</v>
      </c>
      <c r="AW698" s="8" t="s">
        <v>228</v>
      </c>
      <c r="AX698" s="4" t="s">
        <v>228</v>
      </c>
      <c r="AY698" s="8" t="s">
        <v>228</v>
      </c>
      <c r="AZ698" s="7" t="s">
        <v>228</v>
      </c>
      <c r="BA698" s="7" t="s">
        <v>228</v>
      </c>
      <c r="BB698" s="7"/>
      <c r="BC698" s="4" t="s">
        <v>228</v>
      </c>
      <c r="BD698" s="8" t="s">
        <v>228</v>
      </c>
      <c r="BE698" s="4" t="s">
        <v>228</v>
      </c>
      <c r="BF698" s="8" t="s">
        <v>228</v>
      </c>
      <c r="BG698" s="7" t="s">
        <v>228</v>
      </c>
      <c r="BH698" s="7" t="s">
        <v>228</v>
      </c>
      <c r="BI698" s="7"/>
      <c r="BJ698" s="4">
        <v>63</v>
      </c>
      <c r="BK698" s="8">
        <v>1333.79</v>
      </c>
      <c r="BL698" s="2" t="s">
        <v>4076</v>
      </c>
      <c r="BM698" s="7"/>
      <c r="BN698" s="7"/>
      <c r="BO698" s="4"/>
      <c r="BP698" s="8"/>
      <c r="BQ698" s="4"/>
      <c r="BR698" s="8"/>
      <c r="BS698" s="7"/>
      <c r="BT698" s="7"/>
      <c r="BU698" s="2" t="s">
        <v>4077</v>
      </c>
      <c r="BV698" s="2" t="s">
        <v>228</v>
      </c>
      <c r="BW698" s="2" t="s">
        <v>228</v>
      </c>
      <c r="BX698" s="2" t="s">
        <v>273</v>
      </c>
      <c r="BY698" s="2" t="s">
        <v>274</v>
      </c>
      <c r="BZ698" s="2" t="s">
        <v>240</v>
      </c>
      <c r="CA698" s="2" t="s">
        <v>3871</v>
      </c>
      <c r="CB698" s="2" t="s">
        <v>4078</v>
      </c>
      <c r="CC698" s="2" t="s">
        <v>241</v>
      </c>
      <c r="CD698" s="2" t="s">
        <v>228</v>
      </c>
      <c r="CE698" s="4">
        <v>749</v>
      </c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>
        <v>474</v>
      </c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>
        <v>404</v>
      </c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>
        <v>450</v>
      </c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</row>
    <row r="699">
      <c r="A699" s="2" t="s">
        <v>4079</v>
      </c>
      <c r="B699" s="2" t="s">
        <v>299</v>
      </c>
      <c r="C699" s="2" t="s">
        <v>4000</v>
      </c>
      <c r="D699" s="2" t="s">
        <v>301</v>
      </c>
      <c r="E699" s="2" t="s">
        <v>302</v>
      </c>
      <c r="F699" s="2" t="s">
        <v>4001</v>
      </c>
      <c r="G699" s="2" t="s">
        <v>4001</v>
      </c>
      <c r="H699" s="2" t="s">
        <v>4001</v>
      </c>
      <c r="I699" s="2" t="s">
        <v>4002</v>
      </c>
      <c r="J699" s="2" t="s">
        <v>312</v>
      </c>
      <c r="K699" s="2" t="s">
        <v>3833</v>
      </c>
      <c r="L699" s="3">
        <v>27.39</v>
      </c>
      <c r="M699" s="3">
        <v>28.76</v>
      </c>
      <c r="N699" s="3">
        <v>62.99</v>
      </c>
      <c r="O699" s="2" t="s">
        <v>240</v>
      </c>
      <c r="P699" s="2" t="s">
        <v>266</v>
      </c>
      <c r="Q699" s="2" t="s">
        <v>234</v>
      </c>
      <c r="R699" s="2" t="s">
        <v>228</v>
      </c>
      <c r="S699" s="2" t="s">
        <v>4075</v>
      </c>
      <c r="T699" s="2" t="s">
        <v>3810</v>
      </c>
      <c r="U699" s="2" t="s">
        <v>228</v>
      </c>
      <c r="V699" s="2" t="s">
        <v>1438</v>
      </c>
      <c r="W699" s="2" t="s">
        <v>269</v>
      </c>
      <c r="X699" s="2" t="s">
        <v>228</v>
      </c>
      <c r="Y699" s="2" t="s">
        <v>4080</v>
      </c>
      <c r="Z699" s="4">
        <v>453</v>
      </c>
      <c r="AA699" s="4">
        <f>=ROUNDDOWN(18.12,0)</f>
      </c>
      <c r="AB699" s="5">
        <v>25</v>
      </c>
      <c r="AC699" s="2" t="s">
        <v>1996</v>
      </c>
      <c r="AD699" s="4">
        <v>243</v>
      </c>
      <c r="AE699" s="4">
        <v>765</v>
      </c>
      <c r="AF699" s="6">
        <v>65</v>
      </c>
      <c r="AG699" s="6"/>
      <c r="AH699" s="7">
        <v>0.2581</v>
      </c>
      <c r="AI699" s="4"/>
      <c r="AJ699" s="4">
        <f>=ROUNDDOWN({0},0)</f>
      </c>
      <c r="AK699" s="5"/>
      <c r="AL699" s="2" t="s">
        <v>228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228</v>
      </c>
      <c r="AW699" s="8" t="s">
        <v>228</v>
      </c>
      <c r="AX699" s="4" t="s">
        <v>228</v>
      </c>
      <c r="AY699" s="8" t="s">
        <v>228</v>
      </c>
      <c r="AZ699" s="7" t="s">
        <v>228</v>
      </c>
      <c r="BA699" s="7" t="s">
        <v>228</v>
      </c>
      <c r="BB699" s="7"/>
      <c r="BC699" s="4" t="s">
        <v>228</v>
      </c>
      <c r="BD699" s="8" t="s">
        <v>228</v>
      </c>
      <c r="BE699" s="4" t="s">
        <v>228</v>
      </c>
      <c r="BF699" s="8" t="s">
        <v>228</v>
      </c>
      <c r="BG699" s="7" t="s">
        <v>228</v>
      </c>
      <c r="BH699" s="7" t="s">
        <v>228</v>
      </c>
      <c r="BI699" s="7"/>
      <c r="BJ699" s="4">
        <v>11</v>
      </c>
      <c r="BK699" s="8">
        <v>316.55</v>
      </c>
      <c r="BL699" s="2" t="s">
        <v>4081</v>
      </c>
      <c r="BM699" s="7"/>
      <c r="BN699" s="7"/>
      <c r="BO699" s="4"/>
      <c r="BP699" s="8"/>
      <c r="BQ699" s="4"/>
      <c r="BR699" s="8"/>
      <c r="BS699" s="7"/>
      <c r="BT699" s="7"/>
      <c r="BU699" s="2" t="s">
        <v>4082</v>
      </c>
      <c r="BV699" s="2" t="s">
        <v>228</v>
      </c>
      <c r="BW699" s="2" t="s">
        <v>228</v>
      </c>
      <c r="BX699" s="2" t="s">
        <v>273</v>
      </c>
      <c r="BY699" s="2" t="s">
        <v>274</v>
      </c>
      <c r="BZ699" s="2" t="s">
        <v>240</v>
      </c>
      <c r="CA699" s="2" t="s">
        <v>3871</v>
      </c>
      <c r="CB699" s="2" t="s">
        <v>328</v>
      </c>
      <c r="CC699" s="2" t="s">
        <v>241</v>
      </c>
      <c r="CD699" s="2" t="s">
        <v>228</v>
      </c>
      <c r="CE699" s="4">
        <v>453</v>
      </c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>
        <v>243</v>
      </c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>
        <v>217</v>
      </c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>
        <v>305</v>
      </c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</row>
    <row r="700">
      <c r="A700" s="2" t="s">
        <v>4083</v>
      </c>
      <c r="B700" s="2" t="s">
        <v>299</v>
      </c>
      <c r="C700" s="2" t="s">
        <v>4000</v>
      </c>
      <c r="D700" s="2" t="s">
        <v>301</v>
      </c>
      <c r="E700" s="2" t="s">
        <v>302</v>
      </c>
      <c r="F700" s="2" t="s">
        <v>4001</v>
      </c>
      <c r="G700" s="2" t="s">
        <v>4001</v>
      </c>
      <c r="H700" s="2" t="s">
        <v>4001</v>
      </c>
      <c r="I700" s="2" t="s">
        <v>4002</v>
      </c>
      <c r="J700" s="2" t="s">
        <v>278</v>
      </c>
      <c r="K700" s="2" t="s">
        <v>4084</v>
      </c>
      <c r="L700" s="3">
        <v>16.16</v>
      </c>
      <c r="M700" s="3">
        <v>16.97</v>
      </c>
      <c r="N700" s="3">
        <v>34.99</v>
      </c>
      <c r="O700" s="2" t="s">
        <v>240</v>
      </c>
      <c r="P700" s="2" t="s">
        <v>266</v>
      </c>
      <c r="Q700" s="2" t="s">
        <v>234</v>
      </c>
      <c r="R700" s="2" t="s">
        <v>228</v>
      </c>
      <c r="S700" s="2" t="s">
        <v>4085</v>
      </c>
      <c r="T700" s="2" t="s">
        <v>3810</v>
      </c>
      <c r="U700" s="2" t="s">
        <v>228</v>
      </c>
      <c r="V700" s="2" t="s">
        <v>3717</v>
      </c>
      <c r="W700" s="2" t="s">
        <v>269</v>
      </c>
      <c r="X700" s="2" t="s">
        <v>228</v>
      </c>
      <c r="Y700" s="2" t="s">
        <v>3919</v>
      </c>
      <c r="Z700" s="4">
        <v>108</v>
      </c>
      <c r="AA700" s="4">
        <f>=ROUNDDOWN(4.5,0)</f>
      </c>
      <c r="AB700" s="5">
        <v>24</v>
      </c>
      <c r="AC700" s="2" t="s">
        <v>2114</v>
      </c>
      <c r="AD700" s="4">
        <v>421</v>
      </c>
      <c r="AE700" s="4">
        <v>941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228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228</v>
      </c>
      <c r="AW700" s="8" t="s">
        <v>228</v>
      </c>
      <c r="AX700" s="4" t="s">
        <v>228</v>
      </c>
      <c r="AY700" s="8" t="s">
        <v>228</v>
      </c>
      <c r="AZ700" s="7" t="s">
        <v>228</v>
      </c>
      <c r="BA700" s="7" t="s">
        <v>228</v>
      </c>
      <c r="BB700" s="7"/>
      <c r="BC700" s="4" t="s">
        <v>228</v>
      </c>
      <c r="BD700" s="8" t="s">
        <v>228</v>
      </c>
      <c r="BE700" s="4" t="s">
        <v>228</v>
      </c>
      <c r="BF700" s="8" t="s">
        <v>228</v>
      </c>
      <c r="BG700" s="7" t="s">
        <v>228</v>
      </c>
      <c r="BH700" s="7" t="s">
        <v>228</v>
      </c>
      <c r="BI700" s="7"/>
      <c r="BJ700" s="4">
        <v>32</v>
      </c>
      <c r="BK700" s="8">
        <v>612.43</v>
      </c>
      <c r="BL700" s="2" t="s">
        <v>4086</v>
      </c>
      <c r="BM700" s="7"/>
      <c r="BN700" s="7"/>
      <c r="BO700" s="4"/>
      <c r="BP700" s="8"/>
      <c r="BQ700" s="4"/>
      <c r="BR700" s="8"/>
      <c r="BS700" s="7"/>
      <c r="BT700" s="7"/>
      <c r="BU700" s="2" t="s">
        <v>4087</v>
      </c>
      <c r="BV700" s="2" t="s">
        <v>228</v>
      </c>
      <c r="BW700" s="2" t="s">
        <v>228</v>
      </c>
      <c r="BX700" s="2" t="s">
        <v>273</v>
      </c>
      <c r="BY700" s="2" t="s">
        <v>274</v>
      </c>
      <c r="BZ700" s="2" t="s">
        <v>240</v>
      </c>
      <c r="CA700" s="2" t="s">
        <v>4014</v>
      </c>
      <c r="CB700" s="2" t="s">
        <v>4067</v>
      </c>
      <c r="CC700" s="2" t="s">
        <v>241</v>
      </c>
      <c r="CD700" s="2" t="s">
        <v>228</v>
      </c>
      <c r="CE700" s="4">
        <v>108</v>
      </c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>
        <v>421</v>
      </c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>
        <v>212</v>
      </c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>
        <v>308</v>
      </c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</row>
    <row r="701">
      <c r="A701" s="2" t="s">
        <v>4088</v>
      </c>
      <c r="B701" s="2" t="s">
        <v>299</v>
      </c>
      <c r="C701" s="2" t="s">
        <v>4000</v>
      </c>
      <c r="D701" s="2" t="s">
        <v>301</v>
      </c>
      <c r="E701" s="2" t="s">
        <v>302</v>
      </c>
      <c r="F701" s="2" t="s">
        <v>4001</v>
      </c>
      <c r="G701" s="2" t="s">
        <v>4001</v>
      </c>
      <c r="H701" s="2" t="s">
        <v>4001</v>
      </c>
      <c r="I701" s="2" t="s">
        <v>4002</v>
      </c>
      <c r="J701" s="2" t="s">
        <v>284</v>
      </c>
      <c r="K701" s="2" t="s">
        <v>4084</v>
      </c>
      <c r="L701" s="3">
        <v>19.57</v>
      </c>
      <c r="M701" s="3">
        <v>20.55</v>
      </c>
      <c r="N701" s="3">
        <v>42.99</v>
      </c>
      <c r="O701" s="2" t="s">
        <v>240</v>
      </c>
      <c r="P701" s="2" t="s">
        <v>715</v>
      </c>
      <c r="Q701" s="2" t="s">
        <v>234</v>
      </c>
      <c r="R701" s="2" t="s">
        <v>228</v>
      </c>
      <c r="S701" s="2" t="s">
        <v>4085</v>
      </c>
      <c r="T701" s="2" t="s">
        <v>3810</v>
      </c>
      <c r="U701" s="2" t="s">
        <v>228</v>
      </c>
      <c r="V701" s="2" t="s">
        <v>3717</v>
      </c>
      <c r="W701" s="2" t="s">
        <v>269</v>
      </c>
      <c r="X701" s="2" t="s">
        <v>228</v>
      </c>
      <c r="Y701" s="2" t="s">
        <v>3919</v>
      </c>
      <c r="Z701" s="4">
        <v>291</v>
      </c>
      <c r="AA701" s="4">
        <f>=ROUNDDOWN(7.46153846153846,0)</f>
      </c>
      <c r="AB701" s="5">
        <v>39</v>
      </c>
      <c r="AC701" s="2" t="s">
        <v>1014</v>
      </c>
      <c r="AD701" s="4">
        <v>726</v>
      </c>
      <c r="AE701" s="4">
        <v>1461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228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228</v>
      </c>
      <c r="AW701" s="8" t="s">
        <v>228</v>
      </c>
      <c r="AX701" s="4" t="s">
        <v>228</v>
      </c>
      <c r="AY701" s="8" t="s">
        <v>228</v>
      </c>
      <c r="AZ701" s="7" t="s">
        <v>228</v>
      </c>
      <c r="BA701" s="7" t="s">
        <v>228</v>
      </c>
      <c r="BB701" s="7"/>
      <c r="BC701" s="4" t="s">
        <v>228</v>
      </c>
      <c r="BD701" s="8" t="s">
        <v>228</v>
      </c>
      <c r="BE701" s="4" t="s">
        <v>228</v>
      </c>
      <c r="BF701" s="8" t="s">
        <v>228</v>
      </c>
      <c r="BG701" s="7" t="s">
        <v>228</v>
      </c>
      <c r="BH701" s="7" t="s">
        <v>228</v>
      </c>
      <c r="BI701" s="7"/>
      <c r="BJ701" s="4">
        <v>41</v>
      </c>
      <c r="BK701" s="8">
        <v>876.81</v>
      </c>
      <c r="BL701" s="2" t="s">
        <v>3909</v>
      </c>
      <c r="BM701" s="7"/>
      <c r="BN701" s="7"/>
      <c r="BO701" s="4"/>
      <c r="BP701" s="8"/>
      <c r="BQ701" s="4"/>
      <c r="BR701" s="8"/>
      <c r="BS701" s="7"/>
      <c r="BT701" s="7"/>
      <c r="BU701" s="2" t="s">
        <v>4089</v>
      </c>
      <c r="BV701" s="2" t="s">
        <v>228</v>
      </c>
      <c r="BW701" s="2" t="s">
        <v>228</v>
      </c>
      <c r="BX701" s="2" t="s">
        <v>273</v>
      </c>
      <c r="BY701" s="2" t="s">
        <v>274</v>
      </c>
      <c r="BZ701" s="2" t="s">
        <v>240</v>
      </c>
      <c r="CA701" s="2" t="s">
        <v>4014</v>
      </c>
      <c r="CB701" s="2" t="s">
        <v>3861</v>
      </c>
      <c r="CC701" s="2" t="s">
        <v>241</v>
      </c>
      <c r="CD701" s="2" t="s">
        <v>228</v>
      </c>
      <c r="CE701" s="4">
        <v>291</v>
      </c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>
        <v>726</v>
      </c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>
        <v>314</v>
      </c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>
        <v>421</v>
      </c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</row>
    <row r="702">
      <c r="A702" s="2" t="s">
        <v>4090</v>
      </c>
      <c r="B702" s="2" t="s">
        <v>299</v>
      </c>
      <c r="C702" s="2" t="s">
        <v>4000</v>
      </c>
      <c r="D702" s="2" t="s">
        <v>301</v>
      </c>
      <c r="E702" s="2" t="s">
        <v>302</v>
      </c>
      <c r="F702" s="2" t="s">
        <v>4001</v>
      </c>
      <c r="G702" s="2" t="s">
        <v>4001</v>
      </c>
      <c r="H702" s="2" t="s">
        <v>4001</v>
      </c>
      <c r="I702" s="2" t="s">
        <v>4002</v>
      </c>
      <c r="J702" s="2" t="s">
        <v>264</v>
      </c>
      <c r="K702" s="2" t="s">
        <v>4091</v>
      </c>
      <c r="L702" s="3">
        <v>14.89</v>
      </c>
      <c r="M702" s="3">
        <v>15.63</v>
      </c>
      <c r="N702" s="3">
        <v>31.99</v>
      </c>
      <c r="O702" s="2" t="s">
        <v>240</v>
      </c>
      <c r="P702" s="2" t="s">
        <v>266</v>
      </c>
      <c r="Q702" s="2" t="s">
        <v>234</v>
      </c>
      <c r="R702" s="2" t="s">
        <v>228</v>
      </c>
      <c r="S702" s="2" t="s">
        <v>4092</v>
      </c>
      <c r="T702" s="2" t="s">
        <v>3810</v>
      </c>
      <c r="U702" s="2" t="s">
        <v>228</v>
      </c>
      <c r="V702" s="2" t="s">
        <v>236</v>
      </c>
      <c r="W702" s="2" t="s">
        <v>269</v>
      </c>
      <c r="X702" s="2" t="s">
        <v>228</v>
      </c>
      <c r="Y702" s="2" t="s">
        <v>270</v>
      </c>
      <c r="Z702" s="4">
        <v>950</v>
      </c>
      <c r="AA702" s="4">
        <f>=ROUNDDOWN(20.2127659574468,0)</f>
      </c>
      <c r="AB702" s="5">
        <v>47</v>
      </c>
      <c r="AC702" s="2" t="s">
        <v>2799</v>
      </c>
      <c r="AD702" s="4">
        <v>392</v>
      </c>
      <c r="AE702" s="4">
        <v>907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228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/>
      <c r="AW702" s="8"/>
      <c r="AX702" s="4"/>
      <c r="AY702" s="8"/>
      <c r="AZ702" s="7"/>
      <c r="BA702" s="7"/>
      <c r="BB702" s="7"/>
      <c r="BC702" s="4" t="s">
        <v>228</v>
      </c>
      <c r="BD702" s="8" t="s">
        <v>228</v>
      </c>
      <c r="BE702" s="4" t="s">
        <v>228</v>
      </c>
      <c r="BF702" s="8" t="s">
        <v>228</v>
      </c>
      <c r="BG702" s="7" t="s">
        <v>228</v>
      </c>
      <c r="BH702" s="7" t="s">
        <v>228</v>
      </c>
      <c r="BI702" s="7"/>
      <c r="BJ702" s="4">
        <v>86</v>
      </c>
      <c r="BK702" s="8">
        <v>1390.9</v>
      </c>
      <c r="BL702" s="2" t="s">
        <v>4093</v>
      </c>
      <c r="BM702" s="7"/>
      <c r="BN702" s="7"/>
      <c r="BO702" s="4"/>
      <c r="BP702" s="8"/>
      <c r="BQ702" s="4"/>
      <c r="BR702" s="8"/>
      <c r="BS702" s="7"/>
      <c r="BT702" s="7"/>
      <c r="BU702" s="2" t="s">
        <v>4094</v>
      </c>
      <c r="BV702" s="2" t="s">
        <v>228</v>
      </c>
      <c r="BW702" s="2" t="s">
        <v>228</v>
      </c>
      <c r="BX702" s="2" t="s">
        <v>273</v>
      </c>
      <c r="BY702" s="2" t="s">
        <v>274</v>
      </c>
      <c r="BZ702" s="2" t="s">
        <v>240</v>
      </c>
      <c r="CA702" s="2" t="s">
        <v>3871</v>
      </c>
      <c r="CB702" s="2" t="s">
        <v>4095</v>
      </c>
      <c r="CC702" s="2" t="s">
        <v>241</v>
      </c>
      <c r="CD702" s="2" t="s">
        <v>228</v>
      </c>
      <c r="CE702" s="4">
        <v>950</v>
      </c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>
        <v>392</v>
      </c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>
        <v>515</v>
      </c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</row>
    <row r="703">
      <c r="A703" s="2" t="s">
        <v>4096</v>
      </c>
      <c r="B703" s="2" t="s">
        <v>299</v>
      </c>
      <c r="C703" s="2" t="s">
        <v>4000</v>
      </c>
      <c r="D703" s="2" t="s">
        <v>301</v>
      </c>
      <c r="E703" s="2" t="s">
        <v>302</v>
      </c>
      <c r="F703" s="2" t="s">
        <v>4001</v>
      </c>
      <c r="G703" s="2" t="s">
        <v>4001</v>
      </c>
      <c r="H703" s="2" t="s">
        <v>4001</v>
      </c>
      <c r="I703" s="2" t="s">
        <v>4002</v>
      </c>
      <c r="J703" s="2" t="s">
        <v>264</v>
      </c>
      <c r="K703" s="2" t="s">
        <v>4097</v>
      </c>
      <c r="L703" s="3">
        <v>14.89</v>
      </c>
      <c r="M703" s="3">
        <v>15.63</v>
      </c>
      <c r="N703" s="3">
        <v>31.99</v>
      </c>
      <c r="O703" s="2" t="s">
        <v>240</v>
      </c>
      <c r="P703" s="2" t="s">
        <v>815</v>
      </c>
      <c r="Q703" s="2" t="s">
        <v>234</v>
      </c>
      <c r="R703" s="2" t="s">
        <v>228</v>
      </c>
      <c r="S703" s="2" t="s">
        <v>4098</v>
      </c>
      <c r="T703" s="2" t="s">
        <v>3810</v>
      </c>
      <c r="U703" s="2" t="s">
        <v>500</v>
      </c>
      <c r="V703" s="2" t="s">
        <v>1644</v>
      </c>
      <c r="W703" s="2" t="s">
        <v>269</v>
      </c>
      <c r="X703" s="2" t="s">
        <v>463</v>
      </c>
      <c r="Y703" s="2" t="s">
        <v>4099</v>
      </c>
      <c r="Z703" s="4">
        <v>1096</v>
      </c>
      <c r="AA703" s="4">
        <f>=ROUNDDOWN(14.8108108108108,0)</f>
      </c>
      <c r="AB703" s="5">
        <v>74</v>
      </c>
      <c r="AC703" s="2" t="s">
        <v>1996</v>
      </c>
      <c r="AD703" s="4">
        <v>783</v>
      </c>
      <c r="AE703" s="4">
        <v>2370</v>
      </c>
      <c r="AF703" s="6">
        <v>65</v>
      </c>
      <c r="AG703" s="6"/>
      <c r="AH703" s="7">
        <v>0.5161</v>
      </c>
      <c r="AI703" s="4"/>
      <c r="AJ703" s="4">
        <f>=ROUNDDOWN({0},0)</f>
      </c>
      <c r="AK703" s="5"/>
      <c r="AL703" s="2" t="s">
        <v>228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 t="s">
        <v>228</v>
      </c>
      <c r="BD703" s="8" t="s">
        <v>228</v>
      </c>
      <c r="BE703" s="4" t="s">
        <v>228</v>
      </c>
      <c r="BF703" s="8" t="s">
        <v>228</v>
      </c>
      <c r="BG703" s="7" t="s">
        <v>228</v>
      </c>
      <c r="BH703" s="7" t="s">
        <v>228</v>
      </c>
      <c r="BI703" s="7"/>
      <c r="BJ703" s="4">
        <v>91</v>
      </c>
      <c r="BK703" s="8">
        <v>1563.1</v>
      </c>
      <c r="BL703" s="2" t="s">
        <v>4100</v>
      </c>
      <c r="BM703" s="7"/>
      <c r="BN703" s="7"/>
      <c r="BO703" s="4"/>
      <c r="BP703" s="8"/>
      <c r="BQ703" s="4"/>
      <c r="BR703" s="8"/>
      <c r="BS703" s="7"/>
      <c r="BT703" s="7"/>
      <c r="BU703" s="2" t="s">
        <v>4101</v>
      </c>
      <c r="BV703" s="2" t="s">
        <v>228</v>
      </c>
      <c r="BW703" s="2" t="s">
        <v>228</v>
      </c>
      <c r="BX703" s="2" t="s">
        <v>273</v>
      </c>
      <c r="BY703" s="2" t="s">
        <v>274</v>
      </c>
      <c r="BZ703" s="2" t="s">
        <v>240</v>
      </c>
      <c r="CA703" s="2" t="s">
        <v>4102</v>
      </c>
      <c r="CB703" s="2" t="s">
        <v>4103</v>
      </c>
      <c r="CC703" s="2" t="s">
        <v>241</v>
      </c>
      <c r="CD703" s="2" t="s">
        <v>228</v>
      </c>
      <c r="CE703" s="4">
        <v>1096</v>
      </c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>
        <v>783</v>
      </c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>
        <v>635</v>
      </c>
      <c r="ED703" s="4"/>
      <c r="EE703" s="4">
        <v>37</v>
      </c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>
        <v>862</v>
      </c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>
        <v>53</v>
      </c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</row>
    <row r="704">
      <c r="A704" s="2" t="s">
        <v>4104</v>
      </c>
      <c r="B704" s="2" t="s">
        <v>299</v>
      </c>
      <c r="C704" s="2" t="s">
        <v>4000</v>
      </c>
      <c r="D704" s="2" t="s">
        <v>301</v>
      </c>
      <c r="E704" s="2" t="s">
        <v>302</v>
      </c>
      <c r="F704" s="2" t="s">
        <v>4001</v>
      </c>
      <c r="G704" s="2" t="s">
        <v>4001</v>
      </c>
      <c r="H704" s="2" t="s">
        <v>4001</v>
      </c>
      <c r="I704" s="2" t="s">
        <v>4002</v>
      </c>
      <c r="J704" s="2" t="s">
        <v>264</v>
      </c>
      <c r="K704" s="2" t="s">
        <v>4105</v>
      </c>
      <c r="L704" s="3">
        <v>14.89</v>
      </c>
      <c r="M704" s="3">
        <v>15.63</v>
      </c>
      <c r="N704" s="3">
        <v>36.99</v>
      </c>
      <c r="O704" s="2" t="s">
        <v>240</v>
      </c>
      <c r="P704" s="2" t="s">
        <v>233</v>
      </c>
      <c r="Q704" s="2" t="s">
        <v>234</v>
      </c>
      <c r="R704" s="2" t="s">
        <v>228</v>
      </c>
      <c r="S704" s="2" t="s">
        <v>4106</v>
      </c>
      <c r="T704" s="2" t="s">
        <v>3810</v>
      </c>
      <c r="U704" s="2" t="s">
        <v>500</v>
      </c>
      <c r="V704" s="2" t="s">
        <v>4107</v>
      </c>
      <c r="W704" s="2" t="s">
        <v>269</v>
      </c>
      <c r="X704" s="2" t="s">
        <v>1267</v>
      </c>
      <c r="Y704" s="2" t="s">
        <v>228</v>
      </c>
      <c r="Z704" s="4"/>
      <c r="AA704" s="4">
        <f>=ROUNDDOWN({0},0)</f>
      </c>
      <c r="AB704" s="5"/>
      <c r="AC704" s="2" t="s">
        <v>3854</v>
      </c>
      <c r="AD704" s="4">
        <v>767</v>
      </c>
      <c r="AE704" s="4">
        <v>2556</v>
      </c>
      <c r="AF704" s="6">
        <v>69</v>
      </c>
      <c r="AG704" s="6"/>
      <c r="AH704" s="7"/>
      <c r="AI704" s="4"/>
      <c r="AJ704" s="4">
        <f>=ROUNDDOWN({0},0)</f>
      </c>
      <c r="AK704" s="5"/>
      <c r="AL704" s="2" t="s">
        <v>228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228</v>
      </c>
      <c r="AW704" s="8" t="s">
        <v>228</v>
      </c>
      <c r="AX704" s="4" t="s">
        <v>228</v>
      </c>
      <c r="AY704" s="8" t="s">
        <v>228</v>
      </c>
      <c r="AZ704" s="7" t="s">
        <v>228</v>
      </c>
      <c r="BA704" s="7" t="s">
        <v>228</v>
      </c>
      <c r="BB704" s="7"/>
      <c r="BC704" s="4" t="s">
        <v>228</v>
      </c>
      <c r="BD704" s="8" t="s">
        <v>228</v>
      </c>
      <c r="BE704" s="4" t="s">
        <v>228</v>
      </c>
      <c r="BF704" s="8" t="s">
        <v>228</v>
      </c>
      <c r="BG704" s="7" t="s">
        <v>228</v>
      </c>
      <c r="BH704" s="7" t="s">
        <v>228</v>
      </c>
      <c r="BI704" s="7"/>
      <c r="BJ704" s="4"/>
      <c r="BK704" s="8"/>
      <c r="BL704" s="2" t="s">
        <v>228</v>
      </c>
      <c r="BM704" s="7"/>
      <c r="BN704" s="7"/>
      <c r="BO704" s="4"/>
      <c r="BP704" s="8"/>
      <c r="BQ704" s="4"/>
      <c r="BR704" s="8"/>
      <c r="BS704" s="7"/>
      <c r="BT704" s="7"/>
      <c r="BU704" s="2" t="s">
        <v>238</v>
      </c>
      <c r="BV704" s="2" t="s">
        <v>228</v>
      </c>
      <c r="BW704" s="2" t="s">
        <v>228</v>
      </c>
      <c r="BX704" s="2" t="s">
        <v>238</v>
      </c>
      <c r="BY704" s="2" t="s">
        <v>239</v>
      </c>
      <c r="BZ704" s="2" t="s">
        <v>240</v>
      </c>
      <c r="CA704" s="2" t="s">
        <v>228</v>
      </c>
      <c r="CB704" s="2" t="s">
        <v>228</v>
      </c>
      <c r="CC704" s="2" t="s">
        <v>241</v>
      </c>
      <c r="CD704" s="2" t="s">
        <v>228</v>
      </c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>
        <v>767</v>
      </c>
      <c r="DW704" s="4"/>
      <c r="DX704" s="4"/>
      <c r="DY704" s="4"/>
      <c r="DZ704" s="4"/>
      <c r="EA704" s="4">
        <v>1278</v>
      </c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>
        <v>511</v>
      </c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</row>
    <row r="705">
      <c r="A705" s="2" t="s">
        <v>4108</v>
      </c>
      <c r="B705" s="2" t="s">
        <v>299</v>
      </c>
      <c r="C705" s="2" t="s">
        <v>4000</v>
      </c>
      <c r="D705" s="2" t="s">
        <v>301</v>
      </c>
      <c r="E705" s="2" t="s">
        <v>302</v>
      </c>
      <c r="F705" s="2" t="s">
        <v>4001</v>
      </c>
      <c r="G705" s="2" t="s">
        <v>4001</v>
      </c>
      <c r="H705" s="2" t="s">
        <v>4001</v>
      </c>
      <c r="I705" s="2" t="s">
        <v>4002</v>
      </c>
      <c r="J705" s="2" t="s">
        <v>278</v>
      </c>
      <c r="K705" s="2" t="s">
        <v>4105</v>
      </c>
      <c r="L705" s="3">
        <v>16.16</v>
      </c>
      <c r="M705" s="3">
        <v>16.97</v>
      </c>
      <c r="N705" s="3">
        <v>39.99</v>
      </c>
      <c r="O705" s="2" t="s">
        <v>240</v>
      </c>
      <c r="P705" s="2" t="s">
        <v>233</v>
      </c>
      <c r="Q705" s="2" t="s">
        <v>234</v>
      </c>
      <c r="R705" s="2" t="s">
        <v>228</v>
      </c>
      <c r="S705" s="2" t="s">
        <v>4106</v>
      </c>
      <c r="T705" s="2" t="s">
        <v>3810</v>
      </c>
      <c r="U705" s="2" t="s">
        <v>500</v>
      </c>
      <c r="V705" s="2" t="s">
        <v>4107</v>
      </c>
      <c r="W705" s="2" t="s">
        <v>269</v>
      </c>
      <c r="X705" s="2" t="s">
        <v>1267</v>
      </c>
      <c r="Y705" s="2" t="s">
        <v>228</v>
      </c>
      <c r="Z705" s="4"/>
      <c r="AA705" s="4">
        <f>=ROUNDDOWN({0},0)</f>
      </c>
      <c r="AB705" s="5"/>
      <c r="AC705" s="2" t="s">
        <v>3854</v>
      </c>
      <c r="AD705" s="4">
        <v>752</v>
      </c>
      <c r="AE705" s="4">
        <v>2506</v>
      </c>
      <c r="AF705" s="6">
        <v>69</v>
      </c>
      <c r="AG705" s="6"/>
      <c r="AH705" s="7"/>
      <c r="AI705" s="4"/>
      <c r="AJ705" s="4">
        <f>=ROUNDDOWN({0},0)</f>
      </c>
      <c r="AK705" s="5"/>
      <c r="AL705" s="2" t="s">
        <v>228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228</v>
      </c>
      <c r="AW705" s="8" t="s">
        <v>228</v>
      </c>
      <c r="AX705" s="4" t="s">
        <v>228</v>
      </c>
      <c r="AY705" s="8" t="s">
        <v>228</v>
      </c>
      <c r="AZ705" s="7" t="s">
        <v>228</v>
      </c>
      <c r="BA705" s="7" t="s">
        <v>228</v>
      </c>
      <c r="BB705" s="7"/>
      <c r="BC705" s="4" t="s">
        <v>228</v>
      </c>
      <c r="BD705" s="8" t="s">
        <v>228</v>
      </c>
      <c r="BE705" s="4" t="s">
        <v>228</v>
      </c>
      <c r="BF705" s="8" t="s">
        <v>228</v>
      </c>
      <c r="BG705" s="7" t="s">
        <v>228</v>
      </c>
      <c r="BH705" s="7" t="s">
        <v>228</v>
      </c>
      <c r="BI705" s="7"/>
      <c r="BJ705" s="4"/>
      <c r="BK705" s="8"/>
      <c r="BL705" s="2" t="s">
        <v>228</v>
      </c>
      <c r="BM705" s="7"/>
      <c r="BN705" s="7"/>
      <c r="BO705" s="4"/>
      <c r="BP705" s="8"/>
      <c r="BQ705" s="4"/>
      <c r="BR705" s="8"/>
      <c r="BS705" s="7"/>
      <c r="BT705" s="7"/>
      <c r="BU705" s="2" t="s">
        <v>238</v>
      </c>
      <c r="BV705" s="2" t="s">
        <v>228</v>
      </c>
      <c r="BW705" s="2" t="s">
        <v>228</v>
      </c>
      <c r="BX705" s="2" t="s">
        <v>238</v>
      </c>
      <c r="BY705" s="2" t="s">
        <v>239</v>
      </c>
      <c r="BZ705" s="2" t="s">
        <v>240</v>
      </c>
      <c r="CA705" s="2" t="s">
        <v>228</v>
      </c>
      <c r="CB705" s="2" t="s">
        <v>228</v>
      </c>
      <c r="CC705" s="2" t="s">
        <v>241</v>
      </c>
      <c r="CD705" s="2" t="s">
        <v>228</v>
      </c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>
        <v>752</v>
      </c>
      <c r="DW705" s="4"/>
      <c r="DX705" s="4"/>
      <c r="DY705" s="4"/>
      <c r="DZ705" s="4"/>
      <c r="EA705" s="4">
        <v>1253</v>
      </c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>
        <v>501</v>
      </c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</row>
    <row r="706">
      <c r="A706" s="2" t="s">
        <v>4109</v>
      </c>
      <c r="B706" s="2" t="s">
        <v>299</v>
      </c>
      <c r="C706" s="2" t="s">
        <v>4000</v>
      </c>
      <c r="D706" s="2" t="s">
        <v>301</v>
      </c>
      <c r="E706" s="2" t="s">
        <v>302</v>
      </c>
      <c r="F706" s="2" t="s">
        <v>4001</v>
      </c>
      <c r="G706" s="2" t="s">
        <v>4001</v>
      </c>
      <c r="H706" s="2" t="s">
        <v>4001</v>
      </c>
      <c r="I706" s="2" t="s">
        <v>4002</v>
      </c>
      <c r="J706" s="2" t="s">
        <v>284</v>
      </c>
      <c r="K706" s="2" t="s">
        <v>4105</v>
      </c>
      <c r="L706" s="3">
        <v>19.57</v>
      </c>
      <c r="M706" s="3">
        <v>20.55</v>
      </c>
      <c r="N706" s="3">
        <v>47.99</v>
      </c>
      <c r="O706" s="2" t="s">
        <v>240</v>
      </c>
      <c r="P706" s="2" t="s">
        <v>233</v>
      </c>
      <c r="Q706" s="2" t="s">
        <v>234</v>
      </c>
      <c r="R706" s="2" t="s">
        <v>228</v>
      </c>
      <c r="S706" s="2" t="s">
        <v>4106</v>
      </c>
      <c r="T706" s="2" t="s">
        <v>3810</v>
      </c>
      <c r="U706" s="2" t="s">
        <v>308</v>
      </c>
      <c r="V706" s="2" t="s">
        <v>4107</v>
      </c>
      <c r="W706" s="2" t="s">
        <v>269</v>
      </c>
      <c r="X706" s="2" t="s">
        <v>1267</v>
      </c>
      <c r="Y706" s="2" t="s">
        <v>228</v>
      </c>
      <c r="Z706" s="4"/>
      <c r="AA706" s="4">
        <f>=ROUNDDOWN({0},0)</f>
      </c>
      <c r="AB706" s="5"/>
      <c r="AC706" s="2" t="s">
        <v>3854</v>
      </c>
      <c r="AD706" s="4">
        <v>637</v>
      </c>
      <c r="AE706" s="4">
        <v>2123</v>
      </c>
      <c r="AF706" s="6">
        <v>69</v>
      </c>
      <c r="AG706" s="6"/>
      <c r="AH706" s="7"/>
      <c r="AI706" s="4"/>
      <c r="AJ706" s="4">
        <f>=ROUNDDOWN({0},0)</f>
      </c>
      <c r="AK706" s="5"/>
      <c r="AL706" s="2" t="s">
        <v>228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228</v>
      </c>
      <c r="AW706" s="8" t="s">
        <v>228</v>
      </c>
      <c r="AX706" s="4" t="s">
        <v>228</v>
      </c>
      <c r="AY706" s="8" t="s">
        <v>228</v>
      </c>
      <c r="AZ706" s="7" t="s">
        <v>228</v>
      </c>
      <c r="BA706" s="7" t="s">
        <v>228</v>
      </c>
      <c r="BB706" s="7"/>
      <c r="BC706" s="4" t="s">
        <v>228</v>
      </c>
      <c r="BD706" s="8" t="s">
        <v>228</v>
      </c>
      <c r="BE706" s="4" t="s">
        <v>228</v>
      </c>
      <c r="BF706" s="8" t="s">
        <v>228</v>
      </c>
      <c r="BG706" s="7" t="s">
        <v>228</v>
      </c>
      <c r="BH706" s="7" t="s">
        <v>228</v>
      </c>
      <c r="BI706" s="7"/>
      <c r="BJ706" s="4"/>
      <c r="BK706" s="8"/>
      <c r="BL706" s="2" t="s">
        <v>228</v>
      </c>
      <c r="BM706" s="7"/>
      <c r="BN706" s="7"/>
      <c r="BO706" s="4"/>
      <c r="BP706" s="8"/>
      <c r="BQ706" s="4"/>
      <c r="BR706" s="8"/>
      <c r="BS706" s="7"/>
      <c r="BT706" s="7"/>
      <c r="BU706" s="2" t="s">
        <v>238</v>
      </c>
      <c r="BV706" s="2" t="s">
        <v>228</v>
      </c>
      <c r="BW706" s="2" t="s">
        <v>228</v>
      </c>
      <c r="BX706" s="2" t="s">
        <v>238</v>
      </c>
      <c r="BY706" s="2" t="s">
        <v>239</v>
      </c>
      <c r="BZ706" s="2" t="s">
        <v>240</v>
      </c>
      <c r="CA706" s="2" t="s">
        <v>228</v>
      </c>
      <c r="CB706" s="2" t="s">
        <v>228</v>
      </c>
      <c r="CC706" s="2" t="s">
        <v>241</v>
      </c>
      <c r="CD706" s="2" t="s">
        <v>228</v>
      </c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>
        <v>637</v>
      </c>
      <c r="DW706" s="4"/>
      <c r="DX706" s="4"/>
      <c r="DY706" s="4"/>
      <c r="DZ706" s="4"/>
      <c r="EA706" s="4">
        <v>1061</v>
      </c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>
        <v>425</v>
      </c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</row>
    <row r="707">
      <c r="A707" s="2" t="s">
        <v>4110</v>
      </c>
      <c r="B707" s="2" t="s">
        <v>299</v>
      </c>
      <c r="C707" s="2" t="s">
        <v>4000</v>
      </c>
      <c r="D707" s="2" t="s">
        <v>301</v>
      </c>
      <c r="E707" s="2" t="s">
        <v>302</v>
      </c>
      <c r="F707" s="2" t="s">
        <v>4001</v>
      </c>
      <c r="G707" s="2" t="s">
        <v>4001</v>
      </c>
      <c r="H707" s="2" t="s">
        <v>4001</v>
      </c>
      <c r="I707" s="2" t="s">
        <v>4002</v>
      </c>
      <c r="J707" s="2" t="s">
        <v>289</v>
      </c>
      <c r="K707" s="2" t="s">
        <v>4105</v>
      </c>
      <c r="L707" s="3">
        <v>22.21</v>
      </c>
      <c r="M707" s="3">
        <v>23.32</v>
      </c>
      <c r="N707" s="3">
        <v>52.99</v>
      </c>
      <c r="O707" s="2" t="s">
        <v>240</v>
      </c>
      <c r="P707" s="2" t="s">
        <v>233</v>
      </c>
      <c r="Q707" s="2" t="s">
        <v>234</v>
      </c>
      <c r="R707" s="2" t="s">
        <v>228</v>
      </c>
      <c r="S707" s="2" t="s">
        <v>4106</v>
      </c>
      <c r="T707" s="2" t="s">
        <v>3810</v>
      </c>
      <c r="U707" s="2" t="s">
        <v>308</v>
      </c>
      <c r="V707" s="2" t="s">
        <v>4107</v>
      </c>
      <c r="W707" s="2" t="s">
        <v>269</v>
      </c>
      <c r="X707" s="2" t="s">
        <v>1267</v>
      </c>
      <c r="Y707" s="2" t="s">
        <v>228</v>
      </c>
      <c r="Z707" s="4"/>
      <c r="AA707" s="4">
        <f>=ROUNDDOWN({0},0)</f>
      </c>
      <c r="AB707" s="5"/>
      <c r="AC707" s="2" t="s">
        <v>3854</v>
      </c>
      <c r="AD707" s="4">
        <v>884</v>
      </c>
      <c r="AE707" s="4">
        <v>2946</v>
      </c>
      <c r="AF707" s="6">
        <v>69</v>
      </c>
      <c r="AG707" s="6"/>
      <c r="AH707" s="7"/>
      <c r="AI707" s="4"/>
      <c r="AJ707" s="4">
        <f>=ROUNDDOWN({0},0)</f>
      </c>
      <c r="AK707" s="5"/>
      <c r="AL707" s="2" t="s">
        <v>228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228</v>
      </c>
      <c r="AW707" s="8" t="s">
        <v>228</v>
      </c>
      <c r="AX707" s="4" t="s">
        <v>228</v>
      </c>
      <c r="AY707" s="8" t="s">
        <v>228</v>
      </c>
      <c r="AZ707" s="7" t="s">
        <v>228</v>
      </c>
      <c r="BA707" s="7" t="s">
        <v>228</v>
      </c>
      <c r="BB707" s="7"/>
      <c r="BC707" s="4" t="s">
        <v>228</v>
      </c>
      <c r="BD707" s="8" t="s">
        <v>228</v>
      </c>
      <c r="BE707" s="4" t="s">
        <v>228</v>
      </c>
      <c r="BF707" s="8" t="s">
        <v>228</v>
      </c>
      <c r="BG707" s="7" t="s">
        <v>228</v>
      </c>
      <c r="BH707" s="7" t="s">
        <v>228</v>
      </c>
      <c r="BI707" s="7"/>
      <c r="BJ707" s="4"/>
      <c r="BK707" s="8"/>
      <c r="BL707" s="2" t="s">
        <v>228</v>
      </c>
      <c r="BM707" s="7"/>
      <c r="BN707" s="7"/>
      <c r="BO707" s="4"/>
      <c r="BP707" s="8"/>
      <c r="BQ707" s="4"/>
      <c r="BR707" s="8"/>
      <c r="BS707" s="7"/>
      <c r="BT707" s="7"/>
      <c r="BU707" s="2" t="s">
        <v>238</v>
      </c>
      <c r="BV707" s="2" t="s">
        <v>228</v>
      </c>
      <c r="BW707" s="2" t="s">
        <v>228</v>
      </c>
      <c r="BX707" s="2" t="s">
        <v>238</v>
      </c>
      <c r="BY707" s="2" t="s">
        <v>239</v>
      </c>
      <c r="BZ707" s="2" t="s">
        <v>240</v>
      </c>
      <c r="CA707" s="2" t="s">
        <v>228</v>
      </c>
      <c r="CB707" s="2" t="s">
        <v>228</v>
      </c>
      <c r="CC707" s="2" t="s">
        <v>241</v>
      </c>
      <c r="CD707" s="2" t="s">
        <v>228</v>
      </c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>
        <v>884</v>
      </c>
      <c r="DW707" s="4"/>
      <c r="DX707" s="4"/>
      <c r="DY707" s="4"/>
      <c r="DZ707" s="4"/>
      <c r="EA707" s="4">
        <v>1473</v>
      </c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>
        <v>589</v>
      </c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</row>
    <row r="708">
      <c r="A708" s="2" t="s">
        <v>4111</v>
      </c>
      <c r="B708" s="2" t="s">
        <v>299</v>
      </c>
      <c r="C708" s="2" t="s">
        <v>4000</v>
      </c>
      <c r="D708" s="2" t="s">
        <v>301</v>
      </c>
      <c r="E708" s="2" t="s">
        <v>302</v>
      </c>
      <c r="F708" s="2" t="s">
        <v>4001</v>
      </c>
      <c r="G708" s="2" t="s">
        <v>4001</v>
      </c>
      <c r="H708" s="2" t="s">
        <v>4001</v>
      </c>
      <c r="I708" s="2" t="s">
        <v>4002</v>
      </c>
      <c r="J708" s="2" t="s">
        <v>294</v>
      </c>
      <c r="K708" s="2" t="s">
        <v>4105</v>
      </c>
      <c r="L708" s="3">
        <v>27.39</v>
      </c>
      <c r="M708" s="3">
        <v>28.76</v>
      </c>
      <c r="N708" s="3">
        <v>67.99</v>
      </c>
      <c r="O708" s="2" t="s">
        <v>240</v>
      </c>
      <c r="P708" s="2" t="s">
        <v>233</v>
      </c>
      <c r="Q708" s="2" t="s">
        <v>234</v>
      </c>
      <c r="R708" s="2" t="s">
        <v>228</v>
      </c>
      <c r="S708" s="2" t="s">
        <v>4106</v>
      </c>
      <c r="T708" s="2" t="s">
        <v>3810</v>
      </c>
      <c r="U708" s="2" t="s">
        <v>308</v>
      </c>
      <c r="V708" s="2" t="s">
        <v>4107</v>
      </c>
      <c r="W708" s="2" t="s">
        <v>269</v>
      </c>
      <c r="X708" s="2" t="s">
        <v>1267</v>
      </c>
      <c r="Y708" s="2" t="s">
        <v>228</v>
      </c>
      <c r="Z708" s="4"/>
      <c r="AA708" s="4">
        <f>=ROUNDDOWN({0},0)</f>
      </c>
      <c r="AB708" s="5"/>
      <c r="AC708" s="2" t="s">
        <v>3854</v>
      </c>
      <c r="AD708" s="4">
        <v>482</v>
      </c>
      <c r="AE708" s="4">
        <v>1606</v>
      </c>
      <c r="AF708" s="6">
        <v>69</v>
      </c>
      <c r="AG708" s="6"/>
      <c r="AH708" s="7"/>
      <c r="AI708" s="4"/>
      <c r="AJ708" s="4">
        <f>=ROUNDDOWN({0},0)</f>
      </c>
      <c r="AK708" s="5"/>
      <c r="AL708" s="2" t="s">
        <v>228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228</v>
      </c>
      <c r="AW708" s="8" t="s">
        <v>228</v>
      </c>
      <c r="AX708" s="4" t="s">
        <v>228</v>
      </c>
      <c r="AY708" s="8" t="s">
        <v>228</v>
      </c>
      <c r="AZ708" s="7" t="s">
        <v>228</v>
      </c>
      <c r="BA708" s="7" t="s">
        <v>228</v>
      </c>
      <c r="BB708" s="7"/>
      <c r="BC708" s="4" t="s">
        <v>228</v>
      </c>
      <c r="BD708" s="8" t="s">
        <v>228</v>
      </c>
      <c r="BE708" s="4" t="s">
        <v>228</v>
      </c>
      <c r="BF708" s="8" t="s">
        <v>228</v>
      </c>
      <c r="BG708" s="7" t="s">
        <v>228</v>
      </c>
      <c r="BH708" s="7" t="s">
        <v>228</v>
      </c>
      <c r="BI708" s="7"/>
      <c r="BJ708" s="4"/>
      <c r="BK708" s="8"/>
      <c r="BL708" s="2" t="s">
        <v>228</v>
      </c>
      <c r="BM708" s="7"/>
      <c r="BN708" s="7"/>
      <c r="BO708" s="4"/>
      <c r="BP708" s="8"/>
      <c r="BQ708" s="4"/>
      <c r="BR708" s="8"/>
      <c r="BS708" s="7"/>
      <c r="BT708" s="7"/>
      <c r="BU708" s="2" t="s">
        <v>238</v>
      </c>
      <c r="BV708" s="2" t="s">
        <v>228</v>
      </c>
      <c r="BW708" s="2" t="s">
        <v>228</v>
      </c>
      <c r="BX708" s="2" t="s">
        <v>238</v>
      </c>
      <c r="BY708" s="2" t="s">
        <v>239</v>
      </c>
      <c r="BZ708" s="2" t="s">
        <v>240</v>
      </c>
      <c r="CA708" s="2" t="s">
        <v>228</v>
      </c>
      <c r="CB708" s="2" t="s">
        <v>228</v>
      </c>
      <c r="CC708" s="2" t="s">
        <v>241</v>
      </c>
      <c r="CD708" s="2" t="s">
        <v>228</v>
      </c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>
        <v>482</v>
      </c>
      <c r="DW708" s="4"/>
      <c r="DX708" s="4"/>
      <c r="DY708" s="4"/>
      <c r="DZ708" s="4"/>
      <c r="EA708" s="4">
        <v>803</v>
      </c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>
        <v>321</v>
      </c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</row>
    <row r="709">
      <c r="A709" s="2" t="s">
        <v>4112</v>
      </c>
      <c r="B709" s="2" t="s">
        <v>299</v>
      </c>
      <c r="C709" s="2" t="s">
        <v>4000</v>
      </c>
      <c r="D709" s="2" t="s">
        <v>301</v>
      </c>
      <c r="E709" s="2" t="s">
        <v>302</v>
      </c>
      <c r="F709" s="2" t="s">
        <v>4001</v>
      </c>
      <c r="G709" s="2" t="s">
        <v>4001</v>
      </c>
      <c r="H709" s="2" t="s">
        <v>4001</v>
      </c>
      <c r="I709" s="2" t="s">
        <v>4002</v>
      </c>
      <c r="J709" s="2" t="s">
        <v>312</v>
      </c>
      <c r="K709" s="2" t="s">
        <v>4105</v>
      </c>
      <c r="L709" s="3">
        <v>27.39</v>
      </c>
      <c r="M709" s="3">
        <v>28.76</v>
      </c>
      <c r="N709" s="3">
        <v>67.99</v>
      </c>
      <c r="O709" s="2" t="s">
        <v>240</v>
      </c>
      <c r="P709" s="2" t="s">
        <v>233</v>
      </c>
      <c r="Q709" s="2" t="s">
        <v>234</v>
      </c>
      <c r="R709" s="2" t="s">
        <v>228</v>
      </c>
      <c r="S709" s="2" t="s">
        <v>4106</v>
      </c>
      <c r="T709" s="2" t="s">
        <v>3810</v>
      </c>
      <c r="U709" s="2" t="s">
        <v>308</v>
      </c>
      <c r="V709" s="2" t="s">
        <v>4107</v>
      </c>
      <c r="W709" s="2" t="s">
        <v>269</v>
      </c>
      <c r="X709" s="2" t="s">
        <v>1267</v>
      </c>
      <c r="Y709" s="2" t="s">
        <v>228</v>
      </c>
      <c r="Z709" s="4"/>
      <c r="AA709" s="4">
        <f>=ROUNDDOWN({0},0)</f>
      </c>
      <c r="AB709" s="5"/>
      <c r="AC709" s="2" t="s">
        <v>3854</v>
      </c>
      <c r="AD709" s="4">
        <v>258</v>
      </c>
      <c r="AE709" s="4">
        <v>861</v>
      </c>
      <c r="AF709" s="6">
        <v>69</v>
      </c>
      <c r="AG709" s="6"/>
      <c r="AH709" s="7"/>
      <c r="AI709" s="4"/>
      <c r="AJ709" s="4">
        <f>=ROUNDDOWN({0},0)</f>
      </c>
      <c r="AK709" s="5"/>
      <c r="AL709" s="2" t="s">
        <v>228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 t="s">
        <v>228</v>
      </c>
      <c r="AW709" s="8" t="s">
        <v>228</v>
      </c>
      <c r="AX709" s="4" t="s">
        <v>228</v>
      </c>
      <c r="AY709" s="8" t="s">
        <v>228</v>
      </c>
      <c r="AZ709" s="7" t="s">
        <v>228</v>
      </c>
      <c r="BA709" s="7" t="s">
        <v>228</v>
      </c>
      <c r="BB709" s="7"/>
      <c r="BC709" s="4" t="s">
        <v>228</v>
      </c>
      <c r="BD709" s="8" t="s">
        <v>228</v>
      </c>
      <c r="BE709" s="4" t="s">
        <v>228</v>
      </c>
      <c r="BF709" s="8" t="s">
        <v>228</v>
      </c>
      <c r="BG709" s="7" t="s">
        <v>228</v>
      </c>
      <c r="BH709" s="7" t="s">
        <v>228</v>
      </c>
      <c r="BI709" s="7"/>
      <c r="BJ709" s="4"/>
      <c r="BK709" s="8"/>
      <c r="BL709" s="2" t="s">
        <v>228</v>
      </c>
      <c r="BM709" s="7"/>
      <c r="BN709" s="7"/>
      <c r="BO709" s="4"/>
      <c r="BP709" s="8"/>
      <c r="BQ709" s="4"/>
      <c r="BR709" s="8"/>
      <c r="BS709" s="7"/>
      <c r="BT709" s="7"/>
      <c r="BU709" s="2" t="s">
        <v>238</v>
      </c>
      <c r="BV709" s="2" t="s">
        <v>228</v>
      </c>
      <c r="BW709" s="2" t="s">
        <v>228</v>
      </c>
      <c r="BX709" s="2" t="s">
        <v>238</v>
      </c>
      <c r="BY709" s="2" t="s">
        <v>239</v>
      </c>
      <c r="BZ709" s="2" t="s">
        <v>240</v>
      </c>
      <c r="CA709" s="2" t="s">
        <v>228</v>
      </c>
      <c r="CB709" s="2" t="s">
        <v>228</v>
      </c>
      <c r="CC709" s="2" t="s">
        <v>241</v>
      </c>
      <c r="CD709" s="2" t="s">
        <v>228</v>
      </c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>
        <v>258</v>
      </c>
      <c r="DW709" s="4"/>
      <c r="DX709" s="4"/>
      <c r="DY709" s="4"/>
      <c r="DZ709" s="4"/>
      <c r="EA709" s="4">
        <v>431</v>
      </c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>
        <v>172</v>
      </c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</row>
    <row r="710">
      <c r="A710" s="2" t="s">
        <v>4113</v>
      </c>
      <c r="B710" s="2" t="s">
        <v>299</v>
      </c>
      <c r="C710" s="2" t="s">
        <v>4000</v>
      </c>
      <c r="D710" s="2" t="s">
        <v>301</v>
      </c>
      <c r="E710" s="2" t="s">
        <v>302</v>
      </c>
      <c r="F710" s="2" t="s">
        <v>4001</v>
      </c>
      <c r="G710" s="2" t="s">
        <v>4001</v>
      </c>
      <c r="H710" s="2" t="s">
        <v>4001</v>
      </c>
      <c r="I710" s="2" t="s">
        <v>4002</v>
      </c>
      <c r="J710" s="2" t="s">
        <v>264</v>
      </c>
      <c r="K710" s="2" t="s">
        <v>4114</v>
      </c>
      <c r="L710" s="3">
        <v>14.89</v>
      </c>
      <c r="M710" s="3">
        <v>15.63</v>
      </c>
      <c r="N710" s="3">
        <v>31.99</v>
      </c>
      <c r="O710" s="2" t="s">
        <v>240</v>
      </c>
      <c r="P710" s="2" t="s">
        <v>266</v>
      </c>
      <c r="Q710" s="2" t="s">
        <v>234</v>
      </c>
      <c r="R710" s="2" t="s">
        <v>228</v>
      </c>
      <c r="S710" s="2" t="s">
        <v>4115</v>
      </c>
      <c r="T710" s="2" t="s">
        <v>3810</v>
      </c>
      <c r="U710" s="2" t="s">
        <v>500</v>
      </c>
      <c r="V710" s="2" t="s">
        <v>3717</v>
      </c>
      <c r="W710" s="2" t="s">
        <v>1267</v>
      </c>
      <c r="X710" s="2" t="s">
        <v>269</v>
      </c>
      <c r="Y710" s="2" t="s">
        <v>4116</v>
      </c>
      <c r="Z710" s="4">
        <v>287</v>
      </c>
      <c r="AA710" s="4">
        <f>=ROUNDDOWN(23.9166666666667,0)</f>
      </c>
      <c r="AB710" s="5">
        <v>12</v>
      </c>
      <c r="AC710" s="2" t="s">
        <v>2305</v>
      </c>
      <c r="AD710" s="4">
        <v>48</v>
      </c>
      <c r="AE710" s="4">
        <v>192</v>
      </c>
      <c r="AF710" s="6">
        <v>74</v>
      </c>
      <c r="AG710" s="6"/>
      <c r="AH710" s="7">
        <v>1</v>
      </c>
      <c r="AI710" s="4"/>
      <c r="AJ710" s="4">
        <f>=ROUNDDOWN({0},0)</f>
      </c>
      <c r="AK710" s="5"/>
      <c r="AL710" s="2" t="s">
        <v>228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 t="s">
        <v>228</v>
      </c>
      <c r="AW710" s="8" t="s">
        <v>228</v>
      </c>
      <c r="AX710" s="4" t="s">
        <v>228</v>
      </c>
      <c r="AY710" s="8" t="s">
        <v>228</v>
      </c>
      <c r="AZ710" s="7" t="s">
        <v>228</v>
      </c>
      <c r="BA710" s="7" t="s">
        <v>228</v>
      </c>
      <c r="BB710" s="7"/>
      <c r="BC710" s="4" t="s">
        <v>228</v>
      </c>
      <c r="BD710" s="8" t="s">
        <v>228</v>
      </c>
      <c r="BE710" s="4" t="s">
        <v>228</v>
      </c>
      <c r="BF710" s="8" t="s">
        <v>228</v>
      </c>
      <c r="BG710" s="7" t="s">
        <v>228</v>
      </c>
      <c r="BH710" s="7" t="s">
        <v>228</v>
      </c>
      <c r="BI710" s="7"/>
      <c r="BJ710" s="4">
        <v>11</v>
      </c>
      <c r="BK710" s="8">
        <v>188.89</v>
      </c>
      <c r="BL710" s="2" t="s">
        <v>3165</v>
      </c>
      <c r="BM710" s="7"/>
      <c r="BN710" s="7"/>
      <c r="BO710" s="4"/>
      <c r="BP710" s="8"/>
      <c r="BQ710" s="4"/>
      <c r="BR710" s="8"/>
      <c r="BS710" s="7"/>
      <c r="BT710" s="7"/>
      <c r="BU710" s="2" t="s">
        <v>4117</v>
      </c>
      <c r="BV710" s="2" t="s">
        <v>228</v>
      </c>
      <c r="BW710" s="2" t="s">
        <v>228</v>
      </c>
      <c r="BX710" s="2" t="s">
        <v>273</v>
      </c>
      <c r="BY710" s="2" t="s">
        <v>274</v>
      </c>
      <c r="BZ710" s="2" t="s">
        <v>240</v>
      </c>
      <c r="CA710" s="2" t="s">
        <v>2222</v>
      </c>
      <c r="CB710" s="2" t="s">
        <v>846</v>
      </c>
      <c r="CC710" s="2" t="s">
        <v>241</v>
      </c>
      <c r="CD710" s="2" t="s">
        <v>228</v>
      </c>
      <c r="CE710" s="4">
        <v>287</v>
      </c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>
        <v>48</v>
      </c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>
        <v>144</v>
      </c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</row>
    <row r="711">
      <c r="A711" s="2" t="s">
        <v>4118</v>
      </c>
      <c r="B711" s="2" t="s">
        <v>299</v>
      </c>
      <c r="C711" s="2" t="s">
        <v>4000</v>
      </c>
      <c r="D711" s="2" t="s">
        <v>301</v>
      </c>
      <c r="E711" s="2" t="s">
        <v>302</v>
      </c>
      <c r="F711" s="2" t="s">
        <v>4001</v>
      </c>
      <c r="G711" s="2" t="s">
        <v>4001</v>
      </c>
      <c r="H711" s="2" t="s">
        <v>4001</v>
      </c>
      <c r="I711" s="2" t="s">
        <v>4002</v>
      </c>
      <c r="J711" s="2" t="s">
        <v>284</v>
      </c>
      <c r="K711" s="2" t="s">
        <v>4114</v>
      </c>
      <c r="L711" s="3">
        <v>19.57</v>
      </c>
      <c r="M711" s="3">
        <v>20.55</v>
      </c>
      <c r="N711" s="3">
        <v>42.99</v>
      </c>
      <c r="O711" s="2" t="s">
        <v>240</v>
      </c>
      <c r="P711" s="2" t="s">
        <v>266</v>
      </c>
      <c r="Q711" s="2" t="s">
        <v>234</v>
      </c>
      <c r="R711" s="2" t="s">
        <v>228</v>
      </c>
      <c r="S711" s="2" t="s">
        <v>4115</v>
      </c>
      <c r="T711" s="2" t="s">
        <v>3810</v>
      </c>
      <c r="U711" s="2" t="s">
        <v>308</v>
      </c>
      <c r="V711" s="2" t="s">
        <v>3717</v>
      </c>
      <c r="W711" s="2" t="s">
        <v>1267</v>
      </c>
      <c r="X711" s="2" t="s">
        <v>269</v>
      </c>
      <c r="Y711" s="2" t="s">
        <v>4116</v>
      </c>
      <c r="Z711" s="4">
        <v>355</v>
      </c>
      <c r="AA711" s="4">
        <f>=ROUNDDOWN(35.5,0)</f>
      </c>
      <c r="AB711" s="5">
        <v>10</v>
      </c>
      <c r="AC711" s="2" t="s">
        <v>2305</v>
      </c>
      <c r="AD711" s="4">
        <v>22</v>
      </c>
      <c r="AE711" s="4">
        <v>126</v>
      </c>
      <c r="AF711" s="6">
        <v>74</v>
      </c>
      <c r="AG711" s="6"/>
      <c r="AH711" s="7">
        <v>1</v>
      </c>
      <c r="AI711" s="4"/>
      <c r="AJ711" s="4">
        <f>=ROUNDDOWN({0},0)</f>
      </c>
      <c r="AK711" s="5"/>
      <c r="AL711" s="2" t="s">
        <v>228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 t="s">
        <v>228</v>
      </c>
      <c r="AW711" s="8" t="s">
        <v>228</v>
      </c>
      <c r="AX711" s="4" t="s">
        <v>228</v>
      </c>
      <c r="AY711" s="8" t="s">
        <v>228</v>
      </c>
      <c r="AZ711" s="7" t="s">
        <v>228</v>
      </c>
      <c r="BA711" s="7" t="s">
        <v>228</v>
      </c>
      <c r="BB711" s="7"/>
      <c r="BC711" s="4" t="s">
        <v>228</v>
      </c>
      <c r="BD711" s="8" t="s">
        <v>228</v>
      </c>
      <c r="BE711" s="4" t="s">
        <v>228</v>
      </c>
      <c r="BF711" s="8" t="s">
        <v>228</v>
      </c>
      <c r="BG711" s="7" t="s">
        <v>228</v>
      </c>
      <c r="BH711" s="7" t="s">
        <v>228</v>
      </c>
      <c r="BI711" s="7"/>
      <c r="BJ711" s="4">
        <v>58</v>
      </c>
      <c r="BK711" s="8">
        <v>1309.67</v>
      </c>
      <c r="BL711" s="2" t="s">
        <v>3138</v>
      </c>
      <c r="BM711" s="7"/>
      <c r="BN711" s="7"/>
      <c r="BO711" s="4"/>
      <c r="BP711" s="8"/>
      <c r="BQ711" s="4"/>
      <c r="BR711" s="8"/>
      <c r="BS711" s="7"/>
      <c r="BT711" s="7"/>
      <c r="BU711" s="2" t="s">
        <v>4119</v>
      </c>
      <c r="BV711" s="2" t="s">
        <v>228</v>
      </c>
      <c r="BW711" s="2" t="s">
        <v>228</v>
      </c>
      <c r="BX711" s="2" t="s">
        <v>273</v>
      </c>
      <c r="BY711" s="2" t="s">
        <v>274</v>
      </c>
      <c r="BZ711" s="2" t="s">
        <v>240</v>
      </c>
      <c r="CA711" s="2" t="s">
        <v>2222</v>
      </c>
      <c r="CB711" s="2" t="s">
        <v>4120</v>
      </c>
      <c r="CC711" s="2" t="s">
        <v>241</v>
      </c>
      <c r="CD711" s="2" t="s">
        <v>228</v>
      </c>
      <c r="CE711" s="4">
        <v>355</v>
      </c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>
        <v>22</v>
      </c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>
        <v>104</v>
      </c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</row>
    <row r="712">
      <c r="A712" s="2" t="s">
        <v>4121</v>
      </c>
      <c r="B712" s="2" t="s">
        <v>299</v>
      </c>
      <c r="C712" s="2" t="s">
        <v>4000</v>
      </c>
      <c r="D712" s="2" t="s">
        <v>301</v>
      </c>
      <c r="E712" s="2" t="s">
        <v>302</v>
      </c>
      <c r="F712" s="2" t="s">
        <v>4001</v>
      </c>
      <c r="G712" s="2" t="s">
        <v>4001</v>
      </c>
      <c r="H712" s="2" t="s">
        <v>4001</v>
      </c>
      <c r="I712" s="2" t="s">
        <v>4002</v>
      </c>
      <c r="J712" s="2" t="s">
        <v>289</v>
      </c>
      <c r="K712" s="2" t="s">
        <v>4114</v>
      </c>
      <c r="L712" s="3">
        <v>22.21</v>
      </c>
      <c r="M712" s="3">
        <v>23.32</v>
      </c>
      <c r="N712" s="3">
        <v>47.99</v>
      </c>
      <c r="O712" s="2" t="s">
        <v>240</v>
      </c>
      <c r="P712" s="2" t="s">
        <v>715</v>
      </c>
      <c r="Q712" s="2" t="s">
        <v>234</v>
      </c>
      <c r="R712" s="2" t="s">
        <v>228</v>
      </c>
      <c r="S712" s="2" t="s">
        <v>4115</v>
      </c>
      <c r="T712" s="2" t="s">
        <v>3810</v>
      </c>
      <c r="U712" s="2" t="s">
        <v>308</v>
      </c>
      <c r="V712" s="2" t="s">
        <v>3717</v>
      </c>
      <c r="W712" s="2" t="s">
        <v>1267</v>
      </c>
      <c r="X712" s="2" t="s">
        <v>269</v>
      </c>
      <c r="Y712" s="2" t="s">
        <v>4116</v>
      </c>
      <c r="Z712" s="4">
        <v>488</v>
      </c>
      <c r="AA712" s="4">
        <f>=ROUNDDOWN(30.5,0)</f>
      </c>
      <c r="AB712" s="5">
        <v>16</v>
      </c>
      <c r="AC712" s="2" t="s">
        <v>2305</v>
      </c>
      <c r="AD712" s="4">
        <v>143</v>
      </c>
      <c r="AE712" s="4">
        <v>338</v>
      </c>
      <c r="AF712" s="6">
        <v>74</v>
      </c>
      <c r="AG712" s="6"/>
      <c r="AH712" s="7">
        <v>1</v>
      </c>
      <c r="AI712" s="4"/>
      <c r="AJ712" s="4">
        <f>=ROUNDDOWN({0},0)</f>
      </c>
      <c r="AK712" s="5"/>
      <c r="AL712" s="2" t="s">
        <v>228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 t="s">
        <v>228</v>
      </c>
      <c r="AW712" s="8" t="s">
        <v>228</v>
      </c>
      <c r="AX712" s="4" t="s">
        <v>228</v>
      </c>
      <c r="AY712" s="8" t="s">
        <v>228</v>
      </c>
      <c r="AZ712" s="7" t="s">
        <v>228</v>
      </c>
      <c r="BA712" s="7" t="s">
        <v>228</v>
      </c>
      <c r="BB712" s="7"/>
      <c r="BC712" s="4" t="s">
        <v>228</v>
      </c>
      <c r="BD712" s="8" t="s">
        <v>228</v>
      </c>
      <c r="BE712" s="4" t="s">
        <v>228</v>
      </c>
      <c r="BF712" s="8" t="s">
        <v>228</v>
      </c>
      <c r="BG712" s="7" t="s">
        <v>228</v>
      </c>
      <c r="BH712" s="7" t="s">
        <v>228</v>
      </c>
      <c r="BI712" s="7"/>
      <c r="BJ712" s="4">
        <v>9</v>
      </c>
      <c r="BK712" s="8">
        <v>223.79</v>
      </c>
      <c r="BL712" s="2" t="s">
        <v>509</v>
      </c>
      <c r="BM712" s="7"/>
      <c r="BN712" s="7"/>
      <c r="BO712" s="4"/>
      <c r="BP712" s="8"/>
      <c r="BQ712" s="4"/>
      <c r="BR712" s="8"/>
      <c r="BS712" s="7"/>
      <c r="BT712" s="7"/>
      <c r="BU712" s="2" t="s">
        <v>4122</v>
      </c>
      <c r="BV712" s="2" t="s">
        <v>228</v>
      </c>
      <c r="BW712" s="2" t="s">
        <v>228</v>
      </c>
      <c r="BX712" s="2" t="s">
        <v>273</v>
      </c>
      <c r="BY712" s="2" t="s">
        <v>274</v>
      </c>
      <c r="BZ712" s="2" t="s">
        <v>240</v>
      </c>
      <c r="CA712" s="2" t="s">
        <v>2222</v>
      </c>
      <c r="CB712" s="2" t="s">
        <v>932</v>
      </c>
      <c r="CC712" s="2" t="s">
        <v>241</v>
      </c>
      <c r="CD712" s="2" t="s">
        <v>228</v>
      </c>
      <c r="CE712" s="4">
        <v>488</v>
      </c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>
        <v>143</v>
      </c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>
        <v>195</v>
      </c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</row>
    <row r="713">
      <c r="A713" s="2" t="s">
        <v>4123</v>
      </c>
      <c r="B713" s="2" t="s">
        <v>299</v>
      </c>
      <c r="C713" s="2" t="s">
        <v>4000</v>
      </c>
      <c r="D713" s="2" t="s">
        <v>301</v>
      </c>
      <c r="E713" s="2" t="s">
        <v>302</v>
      </c>
      <c r="F713" s="2" t="s">
        <v>4001</v>
      </c>
      <c r="G713" s="2" t="s">
        <v>4001</v>
      </c>
      <c r="H713" s="2" t="s">
        <v>4001</v>
      </c>
      <c r="I713" s="2" t="s">
        <v>4002</v>
      </c>
      <c r="J713" s="2" t="s">
        <v>294</v>
      </c>
      <c r="K713" s="2" t="s">
        <v>4114</v>
      </c>
      <c r="L713" s="3">
        <v>27.39</v>
      </c>
      <c r="M713" s="3">
        <v>28.76</v>
      </c>
      <c r="N713" s="3">
        <v>62.99</v>
      </c>
      <c r="O713" s="2" t="s">
        <v>240</v>
      </c>
      <c r="P713" s="2" t="s">
        <v>266</v>
      </c>
      <c r="Q713" s="2" t="s">
        <v>234</v>
      </c>
      <c r="R713" s="2" t="s">
        <v>228</v>
      </c>
      <c r="S713" s="2" t="s">
        <v>4115</v>
      </c>
      <c r="T713" s="2" t="s">
        <v>3810</v>
      </c>
      <c r="U713" s="2" t="s">
        <v>308</v>
      </c>
      <c r="V713" s="2" t="s">
        <v>3717</v>
      </c>
      <c r="W713" s="2" t="s">
        <v>1267</v>
      </c>
      <c r="X713" s="2" t="s">
        <v>269</v>
      </c>
      <c r="Y713" s="2" t="s">
        <v>4116</v>
      </c>
      <c r="Z713" s="4">
        <v>203</v>
      </c>
      <c r="AA713" s="4">
        <f>=ROUNDDOWN(40.6,0)</f>
      </c>
      <c r="AB713" s="5">
        <v>5</v>
      </c>
      <c r="AC713" s="2" t="s">
        <v>2305</v>
      </c>
      <c r="AD713" s="4">
        <v>48</v>
      </c>
      <c r="AE713" s="4">
        <v>122</v>
      </c>
      <c r="AF713" s="6">
        <v>74</v>
      </c>
      <c r="AG713" s="6"/>
      <c r="AH713" s="7">
        <v>1</v>
      </c>
      <c r="AI713" s="4"/>
      <c r="AJ713" s="4">
        <f>=ROUNDDOWN({0},0)</f>
      </c>
      <c r="AK713" s="5"/>
      <c r="AL713" s="2" t="s">
        <v>228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 t="s">
        <v>228</v>
      </c>
      <c r="AW713" s="8" t="s">
        <v>228</v>
      </c>
      <c r="AX713" s="4" t="s">
        <v>228</v>
      </c>
      <c r="AY713" s="8" t="s">
        <v>228</v>
      </c>
      <c r="AZ713" s="7" t="s">
        <v>228</v>
      </c>
      <c r="BA713" s="7" t="s">
        <v>228</v>
      </c>
      <c r="BB713" s="7"/>
      <c r="BC713" s="4" t="s">
        <v>228</v>
      </c>
      <c r="BD713" s="8" t="s">
        <v>228</v>
      </c>
      <c r="BE713" s="4" t="s">
        <v>228</v>
      </c>
      <c r="BF713" s="8" t="s">
        <v>228</v>
      </c>
      <c r="BG713" s="7" t="s">
        <v>228</v>
      </c>
      <c r="BH713" s="7" t="s">
        <v>228</v>
      </c>
      <c r="BI713" s="7"/>
      <c r="BJ713" s="4">
        <v>15</v>
      </c>
      <c r="BK713" s="8">
        <v>466.79</v>
      </c>
      <c r="BL713" s="2" t="s">
        <v>3138</v>
      </c>
      <c r="BM713" s="7"/>
      <c r="BN713" s="7"/>
      <c r="BO713" s="4"/>
      <c r="BP713" s="8"/>
      <c r="BQ713" s="4"/>
      <c r="BR713" s="8"/>
      <c r="BS713" s="7"/>
      <c r="BT713" s="7"/>
      <c r="BU713" s="2" t="s">
        <v>4124</v>
      </c>
      <c r="BV713" s="2" t="s">
        <v>228</v>
      </c>
      <c r="BW713" s="2" t="s">
        <v>228</v>
      </c>
      <c r="BX713" s="2" t="s">
        <v>273</v>
      </c>
      <c r="BY713" s="2" t="s">
        <v>274</v>
      </c>
      <c r="BZ713" s="2" t="s">
        <v>240</v>
      </c>
      <c r="CA713" s="2" t="s">
        <v>2222</v>
      </c>
      <c r="CB713" s="2" t="s">
        <v>4125</v>
      </c>
      <c r="CC713" s="2" t="s">
        <v>241</v>
      </c>
      <c r="CD713" s="2" t="s">
        <v>228</v>
      </c>
      <c r="CE713" s="4">
        <v>203</v>
      </c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>
        <v>48</v>
      </c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>
        <v>74</v>
      </c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</row>
    <row r="714">
      <c r="A714" s="2" t="s">
        <v>4126</v>
      </c>
      <c r="B714" s="2" t="s">
        <v>299</v>
      </c>
      <c r="C714" s="2" t="s">
        <v>4000</v>
      </c>
      <c r="D714" s="2" t="s">
        <v>301</v>
      </c>
      <c r="E714" s="2" t="s">
        <v>302</v>
      </c>
      <c r="F714" s="2" t="s">
        <v>4001</v>
      </c>
      <c r="G714" s="2" t="s">
        <v>4001</v>
      </c>
      <c r="H714" s="2" t="s">
        <v>4001</v>
      </c>
      <c r="I714" s="2" t="s">
        <v>4002</v>
      </c>
      <c r="J714" s="2" t="s">
        <v>312</v>
      </c>
      <c r="K714" s="2" t="s">
        <v>4114</v>
      </c>
      <c r="L714" s="3">
        <v>27.39</v>
      </c>
      <c r="M714" s="3">
        <v>28.76</v>
      </c>
      <c r="N714" s="3">
        <v>62.99</v>
      </c>
      <c r="O714" s="2" t="s">
        <v>240</v>
      </c>
      <c r="P714" s="2" t="s">
        <v>266</v>
      </c>
      <c r="Q714" s="2" t="s">
        <v>234</v>
      </c>
      <c r="R714" s="2" t="s">
        <v>228</v>
      </c>
      <c r="S714" s="2" t="s">
        <v>4115</v>
      </c>
      <c r="T714" s="2" t="s">
        <v>3810</v>
      </c>
      <c r="U714" s="2" t="s">
        <v>308</v>
      </c>
      <c r="V714" s="2" t="s">
        <v>3717</v>
      </c>
      <c r="W714" s="2" t="s">
        <v>1267</v>
      </c>
      <c r="X714" s="2" t="s">
        <v>269</v>
      </c>
      <c r="Y714" s="2" t="s">
        <v>4116</v>
      </c>
      <c r="Z714" s="4">
        <v>166</v>
      </c>
      <c r="AA714" s="4">
        <f>=ROUNDDOWN(33.2,0)</f>
      </c>
      <c r="AB714" s="5">
        <v>5</v>
      </c>
      <c r="AC714" s="2" t="s">
        <v>2305</v>
      </c>
      <c r="AD714" s="4">
        <v>50</v>
      </c>
      <c r="AE714" s="4">
        <v>120</v>
      </c>
      <c r="AF714" s="6">
        <v>74</v>
      </c>
      <c r="AG714" s="6"/>
      <c r="AH714" s="7">
        <v>1</v>
      </c>
      <c r="AI714" s="4"/>
      <c r="AJ714" s="4">
        <f>=ROUNDDOWN({0},0)</f>
      </c>
      <c r="AK714" s="5"/>
      <c r="AL714" s="2" t="s">
        <v>228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 t="s">
        <v>228</v>
      </c>
      <c r="AW714" s="8" t="s">
        <v>228</v>
      </c>
      <c r="AX714" s="4" t="s">
        <v>228</v>
      </c>
      <c r="AY714" s="8" t="s">
        <v>228</v>
      </c>
      <c r="AZ714" s="7" t="s">
        <v>228</v>
      </c>
      <c r="BA714" s="7" t="s">
        <v>228</v>
      </c>
      <c r="BB714" s="7"/>
      <c r="BC714" s="4" t="s">
        <v>228</v>
      </c>
      <c r="BD714" s="8" t="s">
        <v>228</v>
      </c>
      <c r="BE714" s="4" t="s">
        <v>228</v>
      </c>
      <c r="BF714" s="8" t="s">
        <v>228</v>
      </c>
      <c r="BG714" s="7" t="s">
        <v>228</v>
      </c>
      <c r="BH714" s="7" t="s">
        <v>228</v>
      </c>
      <c r="BI714" s="7"/>
      <c r="BJ714" s="4">
        <v>6</v>
      </c>
      <c r="BK714" s="8">
        <v>192.75</v>
      </c>
      <c r="BL714" s="2" t="s">
        <v>4127</v>
      </c>
      <c r="BM714" s="7"/>
      <c r="BN714" s="7"/>
      <c r="BO714" s="4"/>
      <c r="BP714" s="8"/>
      <c r="BQ714" s="4"/>
      <c r="BR714" s="8"/>
      <c r="BS714" s="7"/>
      <c r="BT714" s="7"/>
      <c r="BU714" s="2" t="s">
        <v>4128</v>
      </c>
      <c r="BV714" s="2" t="s">
        <v>228</v>
      </c>
      <c r="BW714" s="2" t="s">
        <v>228</v>
      </c>
      <c r="BX714" s="2" t="s">
        <v>273</v>
      </c>
      <c r="BY714" s="2" t="s">
        <v>274</v>
      </c>
      <c r="BZ714" s="2" t="s">
        <v>240</v>
      </c>
      <c r="CA714" s="2" t="s">
        <v>2222</v>
      </c>
      <c r="CB714" s="2" t="s">
        <v>4129</v>
      </c>
      <c r="CC714" s="2" t="s">
        <v>241</v>
      </c>
      <c r="CD714" s="2" t="s">
        <v>228</v>
      </c>
      <c r="CE714" s="4">
        <v>166</v>
      </c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>
        <v>50</v>
      </c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>
        <v>70</v>
      </c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</row>
    <row r="715">
      <c r="A715" s="2" t="s">
        <v>4130</v>
      </c>
      <c r="B715" s="2" t="s">
        <v>299</v>
      </c>
      <c r="C715" s="2" t="s">
        <v>4000</v>
      </c>
      <c r="D715" s="2" t="s">
        <v>301</v>
      </c>
      <c r="E715" s="2" t="s">
        <v>302</v>
      </c>
      <c r="F715" s="2" t="s">
        <v>4001</v>
      </c>
      <c r="G715" s="2" t="s">
        <v>4001</v>
      </c>
      <c r="H715" s="2" t="s">
        <v>4001</v>
      </c>
      <c r="I715" s="2" t="s">
        <v>4002</v>
      </c>
      <c r="J715" s="2" t="s">
        <v>264</v>
      </c>
      <c r="K715" s="2" t="s">
        <v>4131</v>
      </c>
      <c r="L715" s="3">
        <v>14.89</v>
      </c>
      <c r="M715" s="3">
        <v>15.63</v>
      </c>
      <c r="N715" s="3">
        <v>31.99</v>
      </c>
      <c r="O715" s="2" t="s">
        <v>240</v>
      </c>
      <c r="P715" s="2" t="s">
        <v>266</v>
      </c>
      <c r="Q715" s="2" t="s">
        <v>234</v>
      </c>
      <c r="R715" s="2" t="s">
        <v>228</v>
      </c>
      <c r="S715" s="2" t="s">
        <v>4132</v>
      </c>
      <c r="T715" s="2" t="s">
        <v>3810</v>
      </c>
      <c r="U715" s="2" t="s">
        <v>500</v>
      </c>
      <c r="V715" s="2" t="s">
        <v>3717</v>
      </c>
      <c r="W715" s="2" t="s">
        <v>1267</v>
      </c>
      <c r="X715" s="2" t="s">
        <v>269</v>
      </c>
      <c r="Y715" s="2" t="s">
        <v>4133</v>
      </c>
      <c r="Z715" s="4">
        <v>466</v>
      </c>
      <c r="AA715" s="4">
        <f>=ROUNDDOWN(31.0666666666667,0)</f>
      </c>
      <c r="AB715" s="5">
        <v>15</v>
      </c>
      <c r="AC715" s="2" t="s">
        <v>2305</v>
      </c>
      <c r="AD715" s="4">
        <v>145</v>
      </c>
      <c r="AE715" s="4">
        <v>353</v>
      </c>
      <c r="AF715" s="6">
        <v>74</v>
      </c>
      <c r="AG715" s="6"/>
      <c r="AH715" s="7">
        <v>1</v>
      </c>
      <c r="AI715" s="4"/>
      <c r="AJ715" s="4">
        <f>=ROUNDDOWN({0},0)</f>
      </c>
      <c r="AK715" s="5"/>
      <c r="AL715" s="2" t="s">
        <v>228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228</v>
      </c>
      <c r="AW715" s="8" t="s">
        <v>228</v>
      </c>
      <c r="AX715" s="4" t="s">
        <v>228</v>
      </c>
      <c r="AY715" s="8" t="s">
        <v>228</v>
      </c>
      <c r="AZ715" s="7" t="s">
        <v>228</v>
      </c>
      <c r="BA715" s="7" t="s">
        <v>228</v>
      </c>
      <c r="BB715" s="7"/>
      <c r="BC715" s="4" t="s">
        <v>228</v>
      </c>
      <c r="BD715" s="8" t="s">
        <v>228</v>
      </c>
      <c r="BE715" s="4" t="s">
        <v>228</v>
      </c>
      <c r="BF715" s="8" t="s">
        <v>228</v>
      </c>
      <c r="BG715" s="7" t="s">
        <v>228</v>
      </c>
      <c r="BH715" s="7" t="s">
        <v>228</v>
      </c>
      <c r="BI715" s="7"/>
      <c r="BJ715" s="4">
        <v>17</v>
      </c>
      <c r="BK715" s="8">
        <v>288.76</v>
      </c>
      <c r="BL715" s="2" t="s">
        <v>4134</v>
      </c>
      <c r="BM715" s="7"/>
      <c r="BN715" s="7"/>
      <c r="BO715" s="4"/>
      <c r="BP715" s="8"/>
      <c r="BQ715" s="4"/>
      <c r="BR715" s="8"/>
      <c r="BS715" s="7"/>
      <c r="BT715" s="7"/>
      <c r="BU715" s="2" t="s">
        <v>4135</v>
      </c>
      <c r="BV715" s="2" t="s">
        <v>228</v>
      </c>
      <c r="BW715" s="2" t="s">
        <v>228</v>
      </c>
      <c r="BX715" s="2" t="s">
        <v>273</v>
      </c>
      <c r="BY715" s="2" t="s">
        <v>274</v>
      </c>
      <c r="BZ715" s="2" t="s">
        <v>240</v>
      </c>
      <c r="CA715" s="2" t="s">
        <v>2222</v>
      </c>
      <c r="CB715" s="2" t="s">
        <v>400</v>
      </c>
      <c r="CC715" s="2" t="s">
        <v>241</v>
      </c>
      <c r="CD715" s="2" t="s">
        <v>228</v>
      </c>
      <c r="CE715" s="4">
        <v>466</v>
      </c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>
        <v>145</v>
      </c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>
        <v>208</v>
      </c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</row>
    <row r="716">
      <c r="A716" s="2" t="s">
        <v>4136</v>
      </c>
      <c r="B716" s="2" t="s">
        <v>299</v>
      </c>
      <c r="C716" s="2" t="s">
        <v>4000</v>
      </c>
      <c r="D716" s="2" t="s">
        <v>301</v>
      </c>
      <c r="E716" s="2" t="s">
        <v>302</v>
      </c>
      <c r="F716" s="2" t="s">
        <v>4001</v>
      </c>
      <c r="G716" s="2" t="s">
        <v>4001</v>
      </c>
      <c r="H716" s="2" t="s">
        <v>4001</v>
      </c>
      <c r="I716" s="2" t="s">
        <v>4002</v>
      </c>
      <c r="J716" s="2" t="s">
        <v>278</v>
      </c>
      <c r="K716" s="2" t="s">
        <v>4131</v>
      </c>
      <c r="L716" s="3">
        <v>16.16</v>
      </c>
      <c r="M716" s="3">
        <v>16.97</v>
      </c>
      <c r="N716" s="3">
        <v>34.99</v>
      </c>
      <c r="O716" s="2" t="s">
        <v>240</v>
      </c>
      <c r="P716" s="2" t="s">
        <v>266</v>
      </c>
      <c r="Q716" s="2" t="s">
        <v>234</v>
      </c>
      <c r="R716" s="2" t="s">
        <v>228</v>
      </c>
      <c r="S716" s="2" t="s">
        <v>4132</v>
      </c>
      <c r="T716" s="2" t="s">
        <v>3810</v>
      </c>
      <c r="U716" s="2" t="s">
        <v>500</v>
      </c>
      <c r="V716" s="2" t="s">
        <v>3717</v>
      </c>
      <c r="W716" s="2" t="s">
        <v>1267</v>
      </c>
      <c r="X716" s="2" t="s">
        <v>269</v>
      </c>
      <c r="Y716" s="2" t="s">
        <v>4133</v>
      </c>
      <c r="Z716" s="4">
        <v>66</v>
      </c>
      <c r="AA716" s="4">
        <f>=ROUNDDOWN(2.35714285714286,0)</f>
      </c>
      <c r="AB716" s="5">
        <v>28</v>
      </c>
      <c r="AC716" s="2" t="s">
        <v>1492</v>
      </c>
      <c r="AD716" s="4">
        <v>66</v>
      </c>
      <c r="AE716" s="4">
        <v>66</v>
      </c>
      <c r="AF716" s="6">
        <v>74</v>
      </c>
      <c r="AG716" s="6"/>
      <c r="AH716" s="7">
        <v>1</v>
      </c>
      <c r="AI716" s="4"/>
      <c r="AJ716" s="4">
        <f>=ROUNDDOWN({0},0)</f>
      </c>
      <c r="AK716" s="5"/>
      <c r="AL716" s="2" t="s">
        <v>228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228</v>
      </c>
      <c r="AW716" s="8" t="s">
        <v>228</v>
      </c>
      <c r="AX716" s="4" t="s">
        <v>228</v>
      </c>
      <c r="AY716" s="8" t="s">
        <v>228</v>
      </c>
      <c r="AZ716" s="7" t="s">
        <v>228</v>
      </c>
      <c r="BA716" s="7" t="s">
        <v>228</v>
      </c>
      <c r="BB716" s="7"/>
      <c r="BC716" s="4" t="s">
        <v>228</v>
      </c>
      <c r="BD716" s="8" t="s">
        <v>228</v>
      </c>
      <c r="BE716" s="4" t="s">
        <v>228</v>
      </c>
      <c r="BF716" s="8" t="s">
        <v>228</v>
      </c>
      <c r="BG716" s="7" t="s">
        <v>228</v>
      </c>
      <c r="BH716" s="7" t="s">
        <v>228</v>
      </c>
      <c r="BI716" s="7"/>
      <c r="BJ716" s="4">
        <v>101</v>
      </c>
      <c r="BK716" s="8">
        <v>1882.86</v>
      </c>
      <c r="BL716" s="2" t="s">
        <v>4137</v>
      </c>
      <c r="BM716" s="7"/>
      <c r="BN716" s="7"/>
      <c r="BO716" s="4"/>
      <c r="BP716" s="8"/>
      <c r="BQ716" s="4"/>
      <c r="BR716" s="8"/>
      <c r="BS716" s="7"/>
      <c r="BT716" s="7"/>
      <c r="BU716" s="2" t="s">
        <v>4138</v>
      </c>
      <c r="BV716" s="2" t="s">
        <v>228</v>
      </c>
      <c r="BW716" s="2" t="s">
        <v>228</v>
      </c>
      <c r="BX716" s="2" t="s">
        <v>273</v>
      </c>
      <c r="BY716" s="2" t="s">
        <v>274</v>
      </c>
      <c r="BZ716" s="2" t="s">
        <v>240</v>
      </c>
      <c r="CA716" s="2" t="s">
        <v>2222</v>
      </c>
      <c r="CB716" s="2" t="s">
        <v>3013</v>
      </c>
      <c r="CC716" s="2" t="s">
        <v>241</v>
      </c>
      <c r="CD716" s="2" t="s">
        <v>228</v>
      </c>
      <c r="CE716" s="4">
        <v>66</v>
      </c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>
        <v>66</v>
      </c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</row>
    <row r="717">
      <c r="A717" s="2" t="s">
        <v>4139</v>
      </c>
      <c r="B717" s="2" t="s">
        <v>299</v>
      </c>
      <c r="C717" s="2" t="s">
        <v>4000</v>
      </c>
      <c r="D717" s="2" t="s">
        <v>301</v>
      </c>
      <c r="E717" s="2" t="s">
        <v>302</v>
      </c>
      <c r="F717" s="2" t="s">
        <v>4001</v>
      </c>
      <c r="G717" s="2" t="s">
        <v>4001</v>
      </c>
      <c r="H717" s="2" t="s">
        <v>4001</v>
      </c>
      <c r="I717" s="2" t="s">
        <v>4002</v>
      </c>
      <c r="J717" s="2" t="s">
        <v>284</v>
      </c>
      <c r="K717" s="2" t="s">
        <v>4131</v>
      </c>
      <c r="L717" s="3">
        <v>19.57</v>
      </c>
      <c r="M717" s="3">
        <v>20.55</v>
      </c>
      <c r="N717" s="3">
        <v>42.99</v>
      </c>
      <c r="O717" s="2" t="s">
        <v>240</v>
      </c>
      <c r="P717" s="2" t="s">
        <v>266</v>
      </c>
      <c r="Q717" s="2" t="s">
        <v>234</v>
      </c>
      <c r="R717" s="2" t="s">
        <v>228</v>
      </c>
      <c r="S717" s="2" t="s">
        <v>4132</v>
      </c>
      <c r="T717" s="2" t="s">
        <v>3810</v>
      </c>
      <c r="U717" s="2" t="s">
        <v>308</v>
      </c>
      <c r="V717" s="2" t="s">
        <v>3717</v>
      </c>
      <c r="W717" s="2" t="s">
        <v>1267</v>
      </c>
      <c r="X717" s="2" t="s">
        <v>269</v>
      </c>
      <c r="Y717" s="2" t="s">
        <v>4133</v>
      </c>
      <c r="Z717" s="4">
        <v>392</v>
      </c>
      <c r="AA717" s="4">
        <f>=ROUNDDOWN(21.7777777777778,0)</f>
      </c>
      <c r="AB717" s="5">
        <v>18</v>
      </c>
      <c r="AC717" s="2" t="s">
        <v>2305</v>
      </c>
      <c r="AD717" s="4">
        <v>160</v>
      </c>
      <c r="AE717" s="4">
        <v>385</v>
      </c>
      <c r="AF717" s="6">
        <v>74</v>
      </c>
      <c r="AG717" s="6"/>
      <c r="AH717" s="7">
        <v>1</v>
      </c>
      <c r="AI717" s="4"/>
      <c r="AJ717" s="4">
        <f>=ROUNDDOWN({0},0)</f>
      </c>
      <c r="AK717" s="5"/>
      <c r="AL717" s="2" t="s">
        <v>228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228</v>
      </c>
      <c r="AW717" s="8" t="s">
        <v>228</v>
      </c>
      <c r="AX717" s="4" t="s">
        <v>228</v>
      </c>
      <c r="AY717" s="8" t="s">
        <v>228</v>
      </c>
      <c r="AZ717" s="7" t="s">
        <v>228</v>
      </c>
      <c r="BA717" s="7" t="s">
        <v>228</v>
      </c>
      <c r="BB717" s="7"/>
      <c r="BC717" s="4" t="s">
        <v>228</v>
      </c>
      <c r="BD717" s="8" t="s">
        <v>228</v>
      </c>
      <c r="BE717" s="4" t="s">
        <v>228</v>
      </c>
      <c r="BF717" s="8" t="s">
        <v>228</v>
      </c>
      <c r="BG717" s="7" t="s">
        <v>228</v>
      </c>
      <c r="BH717" s="7" t="s">
        <v>228</v>
      </c>
      <c r="BI717" s="7"/>
      <c r="BJ717" s="4">
        <v>37</v>
      </c>
      <c r="BK717" s="8">
        <v>854.13</v>
      </c>
      <c r="BL717" s="2" t="s">
        <v>4140</v>
      </c>
      <c r="BM717" s="7"/>
      <c r="BN717" s="7"/>
      <c r="BO717" s="4"/>
      <c r="BP717" s="8"/>
      <c r="BQ717" s="4"/>
      <c r="BR717" s="8"/>
      <c r="BS717" s="7"/>
      <c r="BT717" s="7"/>
      <c r="BU717" s="2" t="s">
        <v>4141</v>
      </c>
      <c r="BV717" s="2" t="s">
        <v>228</v>
      </c>
      <c r="BW717" s="2" t="s">
        <v>228</v>
      </c>
      <c r="BX717" s="2" t="s">
        <v>273</v>
      </c>
      <c r="BY717" s="2" t="s">
        <v>274</v>
      </c>
      <c r="BZ717" s="2" t="s">
        <v>240</v>
      </c>
      <c r="CA717" s="2" t="s">
        <v>2222</v>
      </c>
      <c r="CB717" s="2" t="s">
        <v>3659</v>
      </c>
      <c r="CC717" s="2" t="s">
        <v>241</v>
      </c>
      <c r="CD717" s="2" t="s">
        <v>228</v>
      </c>
      <c r="CE717" s="4">
        <v>392</v>
      </c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>
        <v>160</v>
      </c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>
        <v>225</v>
      </c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</row>
    <row r="718">
      <c r="A718" s="2" t="s">
        <v>4142</v>
      </c>
      <c r="B718" s="2" t="s">
        <v>299</v>
      </c>
      <c r="C718" s="2" t="s">
        <v>4000</v>
      </c>
      <c r="D718" s="2" t="s">
        <v>301</v>
      </c>
      <c r="E718" s="2" t="s">
        <v>302</v>
      </c>
      <c r="F718" s="2" t="s">
        <v>4001</v>
      </c>
      <c r="G718" s="2" t="s">
        <v>4001</v>
      </c>
      <c r="H718" s="2" t="s">
        <v>4001</v>
      </c>
      <c r="I718" s="2" t="s">
        <v>4002</v>
      </c>
      <c r="J718" s="2" t="s">
        <v>289</v>
      </c>
      <c r="K718" s="2" t="s">
        <v>4131</v>
      </c>
      <c r="L718" s="3">
        <v>22.21</v>
      </c>
      <c r="M718" s="3">
        <v>23.32</v>
      </c>
      <c r="N718" s="3">
        <v>47.99</v>
      </c>
      <c r="O718" s="2" t="s">
        <v>240</v>
      </c>
      <c r="P718" s="2" t="s">
        <v>889</v>
      </c>
      <c r="Q718" s="2" t="s">
        <v>234</v>
      </c>
      <c r="R718" s="2" t="s">
        <v>228</v>
      </c>
      <c r="S718" s="2" t="s">
        <v>4132</v>
      </c>
      <c r="T718" s="2" t="s">
        <v>3810</v>
      </c>
      <c r="U718" s="2" t="s">
        <v>308</v>
      </c>
      <c r="V718" s="2" t="s">
        <v>3717</v>
      </c>
      <c r="W718" s="2" t="s">
        <v>1267</v>
      </c>
      <c r="X718" s="2" t="s">
        <v>269</v>
      </c>
      <c r="Y718" s="2" t="s">
        <v>4143</v>
      </c>
      <c r="Z718" s="4">
        <v>4</v>
      </c>
      <c r="AA718" s="4">
        <f>=ROUNDDOWN(0.0930232558139535,0)</f>
      </c>
      <c r="AB718" s="5">
        <v>43</v>
      </c>
      <c r="AC718" s="2" t="s">
        <v>2114</v>
      </c>
      <c r="AD718" s="4">
        <v>70</v>
      </c>
      <c r="AE718" s="4">
        <v>518</v>
      </c>
      <c r="AF718" s="6">
        <v>74</v>
      </c>
      <c r="AG718" s="6"/>
      <c r="AH718" s="7">
        <v>0.2581</v>
      </c>
      <c r="AI718" s="4"/>
      <c r="AJ718" s="4">
        <f>=ROUNDDOWN({0},0)</f>
      </c>
      <c r="AK718" s="5"/>
      <c r="AL718" s="2" t="s">
        <v>228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228</v>
      </c>
      <c r="AW718" s="8" t="s">
        <v>228</v>
      </c>
      <c r="AX718" s="4" t="s">
        <v>228</v>
      </c>
      <c r="AY718" s="8" t="s">
        <v>228</v>
      </c>
      <c r="AZ718" s="7" t="s">
        <v>228</v>
      </c>
      <c r="BA718" s="7" t="s">
        <v>228</v>
      </c>
      <c r="BB718" s="7"/>
      <c r="BC718" s="4" t="s">
        <v>228</v>
      </c>
      <c r="BD718" s="8" t="s">
        <v>228</v>
      </c>
      <c r="BE718" s="4" t="s">
        <v>228</v>
      </c>
      <c r="BF718" s="8" t="s">
        <v>228</v>
      </c>
      <c r="BG718" s="7" t="s">
        <v>228</v>
      </c>
      <c r="BH718" s="7" t="s">
        <v>228</v>
      </c>
      <c r="BI718" s="7"/>
      <c r="BJ718" s="4">
        <v>7</v>
      </c>
      <c r="BK718" s="8">
        <v>178.78</v>
      </c>
      <c r="BL718" s="2" t="s">
        <v>1222</v>
      </c>
      <c r="BM718" s="7"/>
      <c r="BN718" s="7"/>
      <c r="BO718" s="4"/>
      <c r="BP718" s="8"/>
      <c r="BQ718" s="4"/>
      <c r="BR718" s="8"/>
      <c r="BS718" s="7"/>
      <c r="BT718" s="7"/>
      <c r="BU718" s="2" t="s">
        <v>4144</v>
      </c>
      <c r="BV718" s="2" t="s">
        <v>228</v>
      </c>
      <c r="BW718" s="2" t="s">
        <v>228</v>
      </c>
      <c r="BX718" s="2" t="s">
        <v>273</v>
      </c>
      <c r="BY718" s="2" t="s">
        <v>274</v>
      </c>
      <c r="BZ718" s="2" t="s">
        <v>240</v>
      </c>
      <c r="CA718" s="2" t="s">
        <v>2222</v>
      </c>
      <c r="CB718" s="2" t="s">
        <v>1001</v>
      </c>
      <c r="CC718" s="2" t="s">
        <v>241</v>
      </c>
      <c r="CD718" s="2" t="s">
        <v>228</v>
      </c>
      <c r="CE718" s="4">
        <v>4</v>
      </c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>
        <v>70</v>
      </c>
      <c r="DO718" s="4"/>
      <c r="DP718" s="4"/>
      <c r="DQ718" s="4"/>
      <c r="DR718" s="4"/>
      <c r="DS718" s="4">
        <v>188</v>
      </c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>
        <v>260</v>
      </c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</row>
    <row r="719">
      <c r="A719" s="2" t="s">
        <v>4145</v>
      </c>
      <c r="B719" s="2" t="s">
        <v>299</v>
      </c>
      <c r="C719" s="2" t="s">
        <v>4000</v>
      </c>
      <c r="D719" s="2" t="s">
        <v>301</v>
      </c>
      <c r="E719" s="2" t="s">
        <v>302</v>
      </c>
      <c r="F719" s="2" t="s">
        <v>4001</v>
      </c>
      <c r="G719" s="2" t="s">
        <v>4001</v>
      </c>
      <c r="H719" s="2" t="s">
        <v>4001</v>
      </c>
      <c r="I719" s="2" t="s">
        <v>4002</v>
      </c>
      <c r="J719" s="2" t="s">
        <v>294</v>
      </c>
      <c r="K719" s="2" t="s">
        <v>4131</v>
      </c>
      <c r="L719" s="3">
        <v>27.39</v>
      </c>
      <c r="M719" s="3">
        <v>28.76</v>
      </c>
      <c r="N719" s="3">
        <v>62.99</v>
      </c>
      <c r="O719" s="2" t="s">
        <v>240</v>
      </c>
      <c r="P719" s="2" t="s">
        <v>266</v>
      </c>
      <c r="Q719" s="2" t="s">
        <v>234</v>
      </c>
      <c r="R719" s="2" t="s">
        <v>228</v>
      </c>
      <c r="S719" s="2" t="s">
        <v>4132</v>
      </c>
      <c r="T719" s="2" t="s">
        <v>3810</v>
      </c>
      <c r="U719" s="2" t="s">
        <v>308</v>
      </c>
      <c r="V719" s="2" t="s">
        <v>3717</v>
      </c>
      <c r="W719" s="2" t="s">
        <v>1267</v>
      </c>
      <c r="X719" s="2" t="s">
        <v>269</v>
      </c>
      <c r="Y719" s="2" t="s">
        <v>4133</v>
      </c>
      <c r="Z719" s="4">
        <v>198</v>
      </c>
      <c r="AA719" s="4">
        <f>=ROUNDDOWN(22,0)</f>
      </c>
      <c r="AB719" s="5">
        <v>9</v>
      </c>
      <c r="AC719" s="2" t="s">
        <v>2305</v>
      </c>
      <c r="AD719" s="4">
        <v>80</v>
      </c>
      <c r="AE719" s="4">
        <v>187</v>
      </c>
      <c r="AF719" s="6">
        <v>74</v>
      </c>
      <c r="AG719" s="6"/>
      <c r="AH719" s="7">
        <v>1</v>
      </c>
      <c r="AI719" s="4"/>
      <c r="AJ719" s="4">
        <f>=ROUNDDOWN({0},0)</f>
      </c>
      <c r="AK719" s="5"/>
      <c r="AL719" s="2" t="s">
        <v>228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 t="s">
        <v>228</v>
      </c>
      <c r="AW719" s="8" t="s">
        <v>228</v>
      </c>
      <c r="AX719" s="4" t="s">
        <v>228</v>
      </c>
      <c r="AY719" s="8" t="s">
        <v>228</v>
      </c>
      <c r="AZ719" s="7" t="s">
        <v>228</v>
      </c>
      <c r="BA719" s="7" t="s">
        <v>228</v>
      </c>
      <c r="BB719" s="7"/>
      <c r="BC719" s="4" t="s">
        <v>228</v>
      </c>
      <c r="BD719" s="8" t="s">
        <v>228</v>
      </c>
      <c r="BE719" s="4" t="s">
        <v>228</v>
      </c>
      <c r="BF719" s="8" t="s">
        <v>228</v>
      </c>
      <c r="BG719" s="7" t="s">
        <v>228</v>
      </c>
      <c r="BH719" s="7" t="s">
        <v>228</v>
      </c>
      <c r="BI719" s="7"/>
      <c r="BJ719" s="4">
        <v>30</v>
      </c>
      <c r="BK719" s="8">
        <v>969.94</v>
      </c>
      <c r="BL719" s="2" t="s">
        <v>676</v>
      </c>
      <c r="BM719" s="7"/>
      <c r="BN719" s="7"/>
      <c r="BO719" s="4"/>
      <c r="BP719" s="8"/>
      <c r="BQ719" s="4"/>
      <c r="BR719" s="8"/>
      <c r="BS719" s="7"/>
      <c r="BT719" s="7"/>
      <c r="BU719" s="2" t="s">
        <v>4146</v>
      </c>
      <c r="BV719" s="2" t="s">
        <v>228</v>
      </c>
      <c r="BW719" s="2" t="s">
        <v>228</v>
      </c>
      <c r="BX719" s="2" t="s">
        <v>273</v>
      </c>
      <c r="BY719" s="2" t="s">
        <v>274</v>
      </c>
      <c r="BZ719" s="2" t="s">
        <v>240</v>
      </c>
      <c r="CA719" s="2" t="s">
        <v>2222</v>
      </c>
      <c r="CB719" s="2" t="s">
        <v>2428</v>
      </c>
      <c r="CC719" s="2" t="s">
        <v>241</v>
      </c>
      <c r="CD719" s="2" t="s">
        <v>228</v>
      </c>
      <c r="CE719" s="4">
        <v>198</v>
      </c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>
        <v>80</v>
      </c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>
        <v>107</v>
      </c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</row>
    <row r="720">
      <c r="A720" s="2" t="s">
        <v>4147</v>
      </c>
      <c r="B720" s="2" t="s">
        <v>299</v>
      </c>
      <c r="C720" s="2" t="s">
        <v>4000</v>
      </c>
      <c r="D720" s="2" t="s">
        <v>301</v>
      </c>
      <c r="E720" s="2" t="s">
        <v>302</v>
      </c>
      <c r="F720" s="2" t="s">
        <v>4001</v>
      </c>
      <c r="G720" s="2" t="s">
        <v>4001</v>
      </c>
      <c r="H720" s="2" t="s">
        <v>4001</v>
      </c>
      <c r="I720" s="2" t="s">
        <v>4002</v>
      </c>
      <c r="J720" s="2" t="s">
        <v>312</v>
      </c>
      <c r="K720" s="2" t="s">
        <v>4131</v>
      </c>
      <c r="L720" s="3">
        <v>27.39</v>
      </c>
      <c r="M720" s="3">
        <v>28.76</v>
      </c>
      <c r="N720" s="3">
        <v>62.99</v>
      </c>
      <c r="O720" s="2" t="s">
        <v>240</v>
      </c>
      <c r="P720" s="2" t="s">
        <v>266</v>
      </c>
      <c r="Q720" s="2" t="s">
        <v>234</v>
      </c>
      <c r="R720" s="2" t="s">
        <v>228</v>
      </c>
      <c r="S720" s="2" t="s">
        <v>4132</v>
      </c>
      <c r="T720" s="2" t="s">
        <v>3810</v>
      </c>
      <c r="U720" s="2" t="s">
        <v>308</v>
      </c>
      <c r="V720" s="2" t="s">
        <v>3717</v>
      </c>
      <c r="W720" s="2" t="s">
        <v>1267</v>
      </c>
      <c r="X720" s="2" t="s">
        <v>269</v>
      </c>
      <c r="Y720" s="2" t="s">
        <v>4133</v>
      </c>
      <c r="Z720" s="4">
        <v>119</v>
      </c>
      <c r="AA720" s="4">
        <f>=ROUNDDOWN(39.6666666666667,0)</f>
      </c>
      <c r="AB720" s="5">
        <v>3</v>
      </c>
      <c r="AC720" s="2" t="s">
        <v>2305</v>
      </c>
      <c r="AD720" s="4">
        <v>35</v>
      </c>
      <c r="AE720" s="4">
        <v>85</v>
      </c>
      <c r="AF720" s="6">
        <v>74</v>
      </c>
      <c r="AG720" s="6"/>
      <c r="AH720" s="7">
        <v>1</v>
      </c>
      <c r="AI720" s="4"/>
      <c r="AJ720" s="4">
        <f>=ROUNDDOWN({0},0)</f>
      </c>
      <c r="AK720" s="5"/>
      <c r="AL720" s="2" t="s">
        <v>228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228</v>
      </c>
      <c r="AW720" s="8" t="s">
        <v>228</v>
      </c>
      <c r="AX720" s="4" t="s">
        <v>228</v>
      </c>
      <c r="AY720" s="8" t="s">
        <v>228</v>
      </c>
      <c r="AZ720" s="7" t="s">
        <v>228</v>
      </c>
      <c r="BA720" s="7" t="s">
        <v>228</v>
      </c>
      <c r="BB720" s="7"/>
      <c r="BC720" s="4" t="s">
        <v>228</v>
      </c>
      <c r="BD720" s="8" t="s">
        <v>228</v>
      </c>
      <c r="BE720" s="4" t="s">
        <v>228</v>
      </c>
      <c r="BF720" s="8" t="s">
        <v>228</v>
      </c>
      <c r="BG720" s="7" t="s">
        <v>228</v>
      </c>
      <c r="BH720" s="7" t="s">
        <v>228</v>
      </c>
      <c r="BI720" s="7"/>
      <c r="BJ720" s="4">
        <v>5</v>
      </c>
      <c r="BK720" s="8">
        <v>162.49</v>
      </c>
      <c r="BL720" s="2" t="s">
        <v>4148</v>
      </c>
      <c r="BM720" s="7"/>
      <c r="BN720" s="7"/>
      <c r="BO720" s="4"/>
      <c r="BP720" s="8"/>
      <c r="BQ720" s="4"/>
      <c r="BR720" s="8"/>
      <c r="BS720" s="7"/>
      <c r="BT720" s="7"/>
      <c r="BU720" s="2" t="s">
        <v>4149</v>
      </c>
      <c r="BV720" s="2" t="s">
        <v>228</v>
      </c>
      <c r="BW720" s="2" t="s">
        <v>228</v>
      </c>
      <c r="BX720" s="2" t="s">
        <v>273</v>
      </c>
      <c r="BY720" s="2" t="s">
        <v>274</v>
      </c>
      <c r="BZ720" s="2" t="s">
        <v>240</v>
      </c>
      <c r="CA720" s="2" t="s">
        <v>2222</v>
      </c>
      <c r="CB720" s="2" t="s">
        <v>4150</v>
      </c>
      <c r="CC720" s="2" t="s">
        <v>241</v>
      </c>
      <c r="CD720" s="2" t="s">
        <v>228</v>
      </c>
      <c r="CE720" s="4">
        <v>119</v>
      </c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>
        <v>35</v>
      </c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>
        <v>50</v>
      </c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</row>
    <row r="721">
      <c r="A721" s="2" t="s">
        <v>4151</v>
      </c>
      <c r="B721" s="2" t="s">
        <v>299</v>
      </c>
      <c r="C721" s="2" t="s">
        <v>4000</v>
      </c>
      <c r="D721" s="2" t="s">
        <v>301</v>
      </c>
      <c r="E721" s="2" t="s">
        <v>302</v>
      </c>
      <c r="F721" s="2" t="s">
        <v>4001</v>
      </c>
      <c r="G721" s="2" t="s">
        <v>4001</v>
      </c>
      <c r="H721" s="2" t="s">
        <v>4001</v>
      </c>
      <c r="I721" s="2" t="s">
        <v>4002</v>
      </c>
      <c r="J721" s="2" t="s">
        <v>294</v>
      </c>
      <c r="K721" s="2" t="s">
        <v>4152</v>
      </c>
      <c r="L721" s="3">
        <v>27.39</v>
      </c>
      <c r="M721" s="3">
        <v>28.76</v>
      </c>
      <c r="N721" s="3">
        <v>62.99</v>
      </c>
      <c r="O721" s="2" t="s">
        <v>240</v>
      </c>
      <c r="P721" s="2" t="s">
        <v>266</v>
      </c>
      <c r="Q721" s="2" t="s">
        <v>234</v>
      </c>
      <c r="R721" s="2" t="s">
        <v>228</v>
      </c>
      <c r="S721" s="2" t="s">
        <v>4153</v>
      </c>
      <c r="T721" s="2" t="s">
        <v>3810</v>
      </c>
      <c r="U721" s="2" t="s">
        <v>308</v>
      </c>
      <c r="V721" s="2" t="s">
        <v>3717</v>
      </c>
      <c r="W721" s="2" t="s">
        <v>269</v>
      </c>
      <c r="X721" s="2" t="s">
        <v>1267</v>
      </c>
      <c r="Y721" s="2" t="s">
        <v>4005</v>
      </c>
      <c r="Z721" s="4">
        <v>283</v>
      </c>
      <c r="AA721" s="4">
        <f>=ROUNDDOWN(18.8666666666667,0)</f>
      </c>
      <c r="AB721" s="5">
        <v>15</v>
      </c>
      <c r="AC721" s="2" t="s">
        <v>1996</v>
      </c>
      <c r="AD721" s="4">
        <v>160</v>
      </c>
      <c r="AE721" s="4">
        <v>493</v>
      </c>
      <c r="AF721" s="6">
        <v>65</v>
      </c>
      <c r="AG721" s="6"/>
      <c r="AH721" s="7">
        <v>0.3226</v>
      </c>
      <c r="AI721" s="4"/>
      <c r="AJ721" s="4">
        <f>=ROUNDDOWN({0},0)</f>
      </c>
      <c r="AK721" s="5"/>
      <c r="AL721" s="2" t="s">
        <v>228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/>
      <c r="AW721" s="8"/>
      <c r="AX721" s="4"/>
      <c r="AY721" s="8"/>
      <c r="AZ721" s="7"/>
      <c r="BA721" s="7"/>
      <c r="BB721" s="7"/>
      <c r="BC721" s="4" t="s">
        <v>228</v>
      </c>
      <c r="BD721" s="8" t="s">
        <v>228</v>
      </c>
      <c r="BE721" s="4" t="s">
        <v>228</v>
      </c>
      <c r="BF721" s="8" t="s">
        <v>228</v>
      </c>
      <c r="BG721" s="7" t="s">
        <v>228</v>
      </c>
      <c r="BH721" s="7" t="s">
        <v>228</v>
      </c>
      <c r="BI721" s="7"/>
      <c r="BJ721" s="4"/>
      <c r="BK721" s="8"/>
      <c r="BL721" s="2" t="s">
        <v>2636</v>
      </c>
      <c r="BM721" s="7"/>
      <c r="BN721" s="7"/>
      <c r="BO721" s="4"/>
      <c r="BP721" s="8"/>
      <c r="BQ721" s="4"/>
      <c r="BR721" s="8"/>
      <c r="BS721" s="7"/>
      <c r="BT721" s="7"/>
      <c r="BU721" s="2" t="s">
        <v>4154</v>
      </c>
      <c r="BV721" s="2" t="s">
        <v>228</v>
      </c>
      <c r="BW721" s="2" t="s">
        <v>228</v>
      </c>
      <c r="BX721" s="2" t="s">
        <v>273</v>
      </c>
      <c r="BY721" s="2" t="s">
        <v>274</v>
      </c>
      <c r="BZ721" s="2" t="s">
        <v>240</v>
      </c>
      <c r="CA721" s="2" t="s">
        <v>4007</v>
      </c>
      <c r="CB721" s="2" t="s">
        <v>4155</v>
      </c>
      <c r="CC721" s="2" t="s">
        <v>241</v>
      </c>
      <c r="CD721" s="2" t="s">
        <v>228</v>
      </c>
      <c r="CE721" s="4">
        <v>283</v>
      </c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>
        <v>160</v>
      </c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>
        <v>135</v>
      </c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>
        <v>198</v>
      </c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</row>
    <row r="722">
      <c r="A722" s="2" t="s">
        <v>4156</v>
      </c>
      <c r="B722" s="2" t="s">
        <v>299</v>
      </c>
      <c r="C722" s="2" t="s">
        <v>4000</v>
      </c>
      <c r="D722" s="2" t="s">
        <v>301</v>
      </c>
      <c r="E722" s="2" t="s">
        <v>302</v>
      </c>
      <c r="F722" s="2" t="s">
        <v>4001</v>
      </c>
      <c r="G722" s="2" t="s">
        <v>4001</v>
      </c>
      <c r="H722" s="2" t="s">
        <v>4001</v>
      </c>
      <c r="I722" s="2" t="s">
        <v>4002</v>
      </c>
      <c r="J722" s="2" t="s">
        <v>264</v>
      </c>
      <c r="K722" s="2" t="s">
        <v>4157</v>
      </c>
      <c r="L722" s="3">
        <v>14.89</v>
      </c>
      <c r="M722" s="3">
        <v>15.63</v>
      </c>
      <c r="N722" s="3">
        <v>31.99</v>
      </c>
      <c r="O722" s="2" t="s">
        <v>240</v>
      </c>
      <c r="P722" s="2" t="s">
        <v>266</v>
      </c>
      <c r="Q722" s="2" t="s">
        <v>234</v>
      </c>
      <c r="R722" s="2" t="s">
        <v>228</v>
      </c>
      <c r="S722" s="2" t="s">
        <v>4158</v>
      </c>
      <c r="T722" s="2" t="s">
        <v>3810</v>
      </c>
      <c r="U722" s="2" t="s">
        <v>500</v>
      </c>
      <c r="V722" s="2" t="s">
        <v>3625</v>
      </c>
      <c r="W722" s="2" t="s">
        <v>269</v>
      </c>
      <c r="X722" s="2" t="s">
        <v>1267</v>
      </c>
      <c r="Y722" s="2" t="s">
        <v>4005</v>
      </c>
      <c r="Z722" s="4">
        <v>354</v>
      </c>
      <c r="AA722" s="4">
        <f>=ROUNDDOWN(11.8,0)</f>
      </c>
      <c r="AB722" s="5">
        <v>30</v>
      </c>
      <c r="AC722" s="2" t="s">
        <v>1996</v>
      </c>
      <c r="AD722" s="4">
        <v>296</v>
      </c>
      <c r="AE722" s="4">
        <v>943</v>
      </c>
      <c r="AF722" s="6">
        <v>65</v>
      </c>
      <c r="AG722" s="6"/>
      <c r="AH722" s="7">
        <v>0.5161</v>
      </c>
      <c r="AI722" s="4"/>
      <c r="AJ722" s="4">
        <f>=ROUNDDOWN({0},0)</f>
      </c>
      <c r="AK722" s="5"/>
      <c r="AL722" s="2" t="s">
        <v>228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/>
      <c r="AW722" s="8"/>
      <c r="AX722" s="4"/>
      <c r="AY722" s="8"/>
      <c r="AZ722" s="7"/>
      <c r="BA722" s="7"/>
      <c r="BB722" s="7"/>
      <c r="BC722" s="4" t="s">
        <v>228</v>
      </c>
      <c r="BD722" s="8" t="s">
        <v>228</v>
      </c>
      <c r="BE722" s="4" t="s">
        <v>228</v>
      </c>
      <c r="BF722" s="8" t="s">
        <v>228</v>
      </c>
      <c r="BG722" s="7" t="s">
        <v>228</v>
      </c>
      <c r="BH722" s="7" t="s">
        <v>228</v>
      </c>
      <c r="BI722" s="7"/>
      <c r="BJ722" s="4">
        <v>80</v>
      </c>
      <c r="BK722" s="8">
        <v>1328</v>
      </c>
      <c r="BL722" s="2" t="s">
        <v>1222</v>
      </c>
      <c r="BM722" s="7"/>
      <c r="BN722" s="7"/>
      <c r="BO722" s="4"/>
      <c r="BP722" s="8"/>
      <c r="BQ722" s="4"/>
      <c r="BR722" s="8"/>
      <c r="BS722" s="7"/>
      <c r="BT722" s="7"/>
      <c r="BU722" s="2" t="s">
        <v>4159</v>
      </c>
      <c r="BV722" s="2" t="s">
        <v>228</v>
      </c>
      <c r="BW722" s="2" t="s">
        <v>228</v>
      </c>
      <c r="BX722" s="2" t="s">
        <v>273</v>
      </c>
      <c r="BY722" s="2" t="s">
        <v>274</v>
      </c>
      <c r="BZ722" s="2" t="s">
        <v>240</v>
      </c>
      <c r="CA722" s="2" t="s">
        <v>4160</v>
      </c>
      <c r="CB722" s="2" t="s">
        <v>4161</v>
      </c>
      <c r="CC722" s="2" t="s">
        <v>241</v>
      </c>
      <c r="CD722" s="2" t="s">
        <v>228</v>
      </c>
      <c r="CE722" s="4">
        <v>354</v>
      </c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>
        <v>296</v>
      </c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>
        <v>235</v>
      </c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>
        <v>357</v>
      </c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>
        <v>55</v>
      </c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</row>
    <row r="723">
      <c r="A723" s="2" t="s">
        <v>4162</v>
      </c>
      <c r="B723" s="2" t="s">
        <v>299</v>
      </c>
      <c r="C723" s="2" t="s">
        <v>4000</v>
      </c>
      <c r="D723" s="2" t="s">
        <v>301</v>
      </c>
      <c r="E723" s="2" t="s">
        <v>302</v>
      </c>
      <c r="F723" s="2" t="s">
        <v>4001</v>
      </c>
      <c r="G723" s="2" t="s">
        <v>4001</v>
      </c>
      <c r="H723" s="2" t="s">
        <v>4001</v>
      </c>
      <c r="I723" s="2" t="s">
        <v>4002</v>
      </c>
      <c r="J723" s="2" t="s">
        <v>294</v>
      </c>
      <c r="K723" s="2" t="s">
        <v>1429</v>
      </c>
      <c r="L723" s="3">
        <v>27.39</v>
      </c>
      <c r="M723" s="3">
        <v>28.76</v>
      </c>
      <c r="N723" s="3">
        <v>62.99</v>
      </c>
      <c r="O723" s="2" t="s">
        <v>240</v>
      </c>
      <c r="P723" s="2" t="s">
        <v>266</v>
      </c>
      <c r="Q723" s="2" t="s">
        <v>234</v>
      </c>
      <c r="R723" s="2" t="s">
        <v>228</v>
      </c>
      <c r="S723" s="2" t="s">
        <v>4163</v>
      </c>
      <c r="T723" s="2" t="s">
        <v>3810</v>
      </c>
      <c r="U723" s="2" t="s">
        <v>228</v>
      </c>
      <c r="V723" s="2" t="s">
        <v>980</v>
      </c>
      <c r="W723" s="2" t="s">
        <v>269</v>
      </c>
      <c r="X723" s="2" t="s">
        <v>228</v>
      </c>
      <c r="Y723" s="2" t="s">
        <v>3835</v>
      </c>
      <c r="Z723" s="4">
        <v>71</v>
      </c>
      <c r="AA723" s="4">
        <f>=ROUNDDOWN(4.4375,0)</f>
      </c>
      <c r="AB723" s="5">
        <v>16</v>
      </c>
      <c r="AC723" s="2" t="s">
        <v>1014</v>
      </c>
      <c r="AD723" s="4">
        <v>263</v>
      </c>
      <c r="AE723" s="4">
        <v>623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228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228</v>
      </c>
      <c r="AW723" s="8" t="s">
        <v>228</v>
      </c>
      <c r="AX723" s="4" t="s">
        <v>228</v>
      </c>
      <c r="AY723" s="8" t="s">
        <v>228</v>
      </c>
      <c r="AZ723" s="7" t="s">
        <v>228</v>
      </c>
      <c r="BA723" s="7" t="s">
        <v>228</v>
      </c>
      <c r="BB723" s="7"/>
      <c r="BC723" s="4" t="s">
        <v>228</v>
      </c>
      <c r="BD723" s="8" t="s">
        <v>228</v>
      </c>
      <c r="BE723" s="4" t="s">
        <v>228</v>
      </c>
      <c r="BF723" s="8" t="s">
        <v>228</v>
      </c>
      <c r="BG723" s="7" t="s">
        <v>228</v>
      </c>
      <c r="BH723" s="7" t="s">
        <v>228</v>
      </c>
      <c r="BI723" s="7"/>
      <c r="BJ723" s="4">
        <v>61</v>
      </c>
      <c r="BK723" s="8">
        <v>1855.87</v>
      </c>
      <c r="BL723" s="2" t="s">
        <v>3763</v>
      </c>
      <c r="BM723" s="7"/>
      <c r="BN723" s="7"/>
      <c r="BO723" s="4"/>
      <c r="BP723" s="8"/>
      <c r="BQ723" s="4"/>
      <c r="BR723" s="8"/>
      <c r="BS723" s="7"/>
      <c r="BT723" s="7"/>
      <c r="BU723" s="2" t="s">
        <v>4164</v>
      </c>
      <c r="BV723" s="2" t="s">
        <v>228</v>
      </c>
      <c r="BW723" s="2" t="s">
        <v>228</v>
      </c>
      <c r="BX723" s="2" t="s">
        <v>273</v>
      </c>
      <c r="BY723" s="2" t="s">
        <v>274</v>
      </c>
      <c r="BZ723" s="2" t="s">
        <v>240</v>
      </c>
      <c r="CA723" s="2" t="s">
        <v>4014</v>
      </c>
      <c r="CB723" s="2" t="s">
        <v>4165</v>
      </c>
      <c r="CC723" s="2" t="s">
        <v>241</v>
      </c>
      <c r="CD723" s="2" t="s">
        <v>228</v>
      </c>
      <c r="CE723" s="4">
        <v>71</v>
      </c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>
        <v>263</v>
      </c>
      <c r="DQ723" s="4"/>
      <c r="DR723" s="4"/>
      <c r="DS723" s="4">
        <v>149</v>
      </c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>
        <v>211</v>
      </c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</row>
    <row r="724">
      <c r="A724" s="2" t="s">
        <v>4166</v>
      </c>
      <c r="B724" s="2" t="s">
        <v>299</v>
      </c>
      <c r="C724" s="2" t="s">
        <v>4000</v>
      </c>
      <c r="D724" s="2" t="s">
        <v>301</v>
      </c>
      <c r="E724" s="2" t="s">
        <v>302</v>
      </c>
      <c r="F724" s="2" t="s">
        <v>4001</v>
      </c>
      <c r="G724" s="2" t="s">
        <v>4001</v>
      </c>
      <c r="H724" s="2" t="s">
        <v>4001</v>
      </c>
      <c r="I724" s="2" t="s">
        <v>4002</v>
      </c>
      <c r="J724" s="2" t="s">
        <v>312</v>
      </c>
      <c r="K724" s="2" t="s">
        <v>1429</v>
      </c>
      <c r="L724" s="3">
        <v>27.39</v>
      </c>
      <c r="M724" s="3">
        <v>28.76</v>
      </c>
      <c r="N724" s="3">
        <v>62.99</v>
      </c>
      <c r="O724" s="2" t="s">
        <v>240</v>
      </c>
      <c r="P724" s="2" t="s">
        <v>266</v>
      </c>
      <c r="Q724" s="2" t="s">
        <v>234</v>
      </c>
      <c r="R724" s="2" t="s">
        <v>228</v>
      </c>
      <c r="S724" s="2" t="s">
        <v>4163</v>
      </c>
      <c r="T724" s="2" t="s">
        <v>3810</v>
      </c>
      <c r="U724" s="2" t="s">
        <v>228</v>
      </c>
      <c r="V724" s="2" t="s">
        <v>980</v>
      </c>
      <c r="W724" s="2" t="s">
        <v>269</v>
      </c>
      <c r="X724" s="2" t="s">
        <v>228</v>
      </c>
      <c r="Y724" s="2" t="s">
        <v>3835</v>
      </c>
      <c r="Z724" s="4">
        <v>59</v>
      </c>
      <c r="AA724" s="4">
        <f>=ROUNDDOWN(5.36363636363636,0)</f>
      </c>
      <c r="AB724" s="5">
        <v>11</v>
      </c>
      <c r="AC724" s="2" t="s">
        <v>1014</v>
      </c>
      <c r="AD724" s="4">
        <v>206</v>
      </c>
      <c r="AE724" s="4">
        <v>416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228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228</v>
      </c>
      <c r="AW724" s="8" t="s">
        <v>228</v>
      </c>
      <c r="AX724" s="4" t="s">
        <v>228</v>
      </c>
      <c r="AY724" s="8" t="s">
        <v>228</v>
      </c>
      <c r="AZ724" s="7" t="s">
        <v>228</v>
      </c>
      <c r="BA724" s="7" t="s">
        <v>228</v>
      </c>
      <c r="BB724" s="7"/>
      <c r="BC724" s="4" t="s">
        <v>228</v>
      </c>
      <c r="BD724" s="8" t="s">
        <v>228</v>
      </c>
      <c r="BE724" s="4" t="s">
        <v>228</v>
      </c>
      <c r="BF724" s="8" t="s">
        <v>228</v>
      </c>
      <c r="BG724" s="7" t="s">
        <v>228</v>
      </c>
      <c r="BH724" s="7" t="s">
        <v>228</v>
      </c>
      <c r="BI724" s="7"/>
      <c r="BJ724" s="4">
        <v>5</v>
      </c>
      <c r="BK724" s="8">
        <v>146.73</v>
      </c>
      <c r="BL724" s="2" t="s">
        <v>3138</v>
      </c>
      <c r="BM724" s="7"/>
      <c r="BN724" s="7"/>
      <c r="BO724" s="4"/>
      <c r="BP724" s="8"/>
      <c r="BQ724" s="4"/>
      <c r="BR724" s="8"/>
      <c r="BS724" s="7"/>
      <c r="BT724" s="7"/>
      <c r="BU724" s="2" t="s">
        <v>4167</v>
      </c>
      <c r="BV724" s="2" t="s">
        <v>228</v>
      </c>
      <c r="BW724" s="2" t="s">
        <v>228</v>
      </c>
      <c r="BX724" s="2" t="s">
        <v>273</v>
      </c>
      <c r="BY724" s="2" t="s">
        <v>274</v>
      </c>
      <c r="BZ724" s="2" t="s">
        <v>240</v>
      </c>
      <c r="CA724" s="2" t="s">
        <v>4014</v>
      </c>
      <c r="CB724" s="2" t="s">
        <v>4025</v>
      </c>
      <c r="CC724" s="2" t="s">
        <v>241</v>
      </c>
      <c r="CD724" s="2" t="s">
        <v>228</v>
      </c>
      <c r="CE724" s="4">
        <v>59</v>
      </c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>
        <v>206</v>
      </c>
      <c r="DQ724" s="4"/>
      <c r="DR724" s="4"/>
      <c r="DS724" s="4">
        <v>100</v>
      </c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>
        <v>110</v>
      </c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</row>
    <row r="725">
      <c r="A725" s="2" t="s">
        <v>4168</v>
      </c>
      <c r="B725" s="2" t="s">
        <v>299</v>
      </c>
      <c r="C725" s="2" t="s">
        <v>4000</v>
      </c>
      <c r="D725" s="2" t="s">
        <v>301</v>
      </c>
      <c r="E725" s="2" t="s">
        <v>302</v>
      </c>
      <c r="F725" s="2" t="s">
        <v>4001</v>
      </c>
      <c r="G725" s="2" t="s">
        <v>4001</v>
      </c>
      <c r="H725" s="2" t="s">
        <v>4001</v>
      </c>
      <c r="I725" s="2" t="s">
        <v>4002</v>
      </c>
      <c r="J725" s="2" t="s">
        <v>264</v>
      </c>
      <c r="K725" s="2" t="s">
        <v>4169</v>
      </c>
      <c r="L725" s="3">
        <v>14.89</v>
      </c>
      <c r="M725" s="3">
        <v>15.63</v>
      </c>
      <c r="N725" s="3">
        <v>31.99</v>
      </c>
      <c r="O725" s="2" t="s">
        <v>240</v>
      </c>
      <c r="P725" s="2" t="s">
        <v>3731</v>
      </c>
      <c r="Q725" s="2" t="s">
        <v>234</v>
      </c>
      <c r="R725" s="2" t="s">
        <v>228</v>
      </c>
      <c r="S725" s="2" t="s">
        <v>4170</v>
      </c>
      <c r="T725" s="2" t="s">
        <v>3810</v>
      </c>
      <c r="U725" s="2" t="s">
        <v>500</v>
      </c>
      <c r="V725" s="2" t="s">
        <v>3717</v>
      </c>
      <c r="W725" s="2" t="s">
        <v>269</v>
      </c>
      <c r="X725" s="2" t="s">
        <v>1267</v>
      </c>
      <c r="Y725" s="2" t="s">
        <v>4005</v>
      </c>
      <c r="Z725" s="4">
        <v>86</v>
      </c>
      <c r="AA725" s="4">
        <f>=ROUNDDOWN(0.811320754716981,0)</f>
      </c>
      <c r="AB725" s="5">
        <v>106</v>
      </c>
      <c r="AC725" s="2" t="s">
        <v>1014</v>
      </c>
      <c r="AD725" s="4">
        <v>1997</v>
      </c>
      <c r="AE725" s="4">
        <v>4064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228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/>
      <c r="AW725" s="8"/>
      <c r="AX725" s="4"/>
      <c r="AY725" s="8"/>
      <c r="AZ725" s="7"/>
      <c r="BA725" s="7"/>
      <c r="BB725" s="7"/>
      <c r="BC725" s="4" t="s">
        <v>228</v>
      </c>
      <c r="BD725" s="8" t="s">
        <v>228</v>
      </c>
      <c r="BE725" s="4" t="s">
        <v>228</v>
      </c>
      <c r="BF725" s="8" t="s">
        <v>228</v>
      </c>
      <c r="BG725" s="7" t="s">
        <v>228</v>
      </c>
      <c r="BH725" s="7" t="s">
        <v>228</v>
      </c>
      <c r="BI725" s="7"/>
      <c r="BJ725" s="4">
        <v>489</v>
      </c>
      <c r="BK725" s="8">
        <v>8617.09</v>
      </c>
      <c r="BL725" s="2" t="s">
        <v>4171</v>
      </c>
      <c r="BM725" s="7"/>
      <c r="BN725" s="7"/>
      <c r="BO725" s="4"/>
      <c r="BP725" s="8"/>
      <c r="BQ725" s="4"/>
      <c r="BR725" s="8"/>
      <c r="BS725" s="7"/>
      <c r="BT725" s="7"/>
      <c r="BU725" s="2" t="s">
        <v>4172</v>
      </c>
      <c r="BV725" s="2" t="s">
        <v>228</v>
      </c>
      <c r="BW725" s="2" t="s">
        <v>228</v>
      </c>
      <c r="BX725" s="2" t="s">
        <v>273</v>
      </c>
      <c r="BY725" s="2" t="s">
        <v>274</v>
      </c>
      <c r="BZ725" s="2" t="s">
        <v>240</v>
      </c>
      <c r="CA725" s="2" t="s">
        <v>4007</v>
      </c>
      <c r="CB725" s="2" t="s">
        <v>3915</v>
      </c>
      <c r="CC725" s="2" t="s">
        <v>241</v>
      </c>
      <c r="CD725" s="2" t="s">
        <v>228</v>
      </c>
      <c r="CE725" s="4">
        <v>86</v>
      </c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>
        <v>1997</v>
      </c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>
        <v>779</v>
      </c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>
        <v>1200</v>
      </c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>
        <v>88</v>
      </c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</row>
    <row r="726">
      <c r="A726" s="2" t="s">
        <v>4173</v>
      </c>
      <c r="B726" s="2" t="s">
        <v>299</v>
      </c>
      <c r="C726" s="2" t="s">
        <v>4000</v>
      </c>
      <c r="D726" s="2" t="s">
        <v>301</v>
      </c>
      <c r="E726" s="2" t="s">
        <v>302</v>
      </c>
      <c r="F726" s="2" t="s">
        <v>4001</v>
      </c>
      <c r="G726" s="2" t="s">
        <v>4001</v>
      </c>
      <c r="H726" s="2" t="s">
        <v>4001</v>
      </c>
      <c r="I726" s="2" t="s">
        <v>4002</v>
      </c>
      <c r="J726" s="2" t="s">
        <v>264</v>
      </c>
      <c r="K726" s="2" t="s">
        <v>4174</v>
      </c>
      <c r="L726" s="3">
        <v>14.89</v>
      </c>
      <c r="M726" s="3">
        <v>15.63</v>
      </c>
      <c r="N726" s="3">
        <v>31.99</v>
      </c>
      <c r="O726" s="2" t="s">
        <v>240</v>
      </c>
      <c r="P726" s="2" t="s">
        <v>266</v>
      </c>
      <c r="Q726" s="2" t="s">
        <v>234</v>
      </c>
      <c r="R726" s="2" t="s">
        <v>228</v>
      </c>
      <c r="S726" s="2" t="s">
        <v>4175</v>
      </c>
      <c r="T726" s="2" t="s">
        <v>3810</v>
      </c>
      <c r="U726" s="2" t="s">
        <v>228</v>
      </c>
      <c r="V726" s="2" t="s">
        <v>236</v>
      </c>
      <c r="W726" s="2" t="s">
        <v>269</v>
      </c>
      <c r="X726" s="2" t="s">
        <v>228</v>
      </c>
      <c r="Y726" s="2" t="s">
        <v>270</v>
      </c>
      <c r="Z726" s="4">
        <v>390</v>
      </c>
      <c r="AA726" s="4">
        <f>=ROUNDDOWN(7.09090909090909,0)</f>
      </c>
      <c r="AB726" s="5">
        <v>55</v>
      </c>
      <c r="AC726" s="2" t="s">
        <v>2114</v>
      </c>
      <c r="AD726" s="4">
        <v>797</v>
      </c>
      <c r="AE726" s="4">
        <v>2205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228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228</v>
      </c>
      <c r="AW726" s="8" t="s">
        <v>228</v>
      </c>
      <c r="AX726" s="4" t="s">
        <v>228</v>
      </c>
      <c r="AY726" s="8" t="s">
        <v>228</v>
      </c>
      <c r="AZ726" s="7" t="s">
        <v>228</v>
      </c>
      <c r="BA726" s="7" t="s">
        <v>228</v>
      </c>
      <c r="BB726" s="7"/>
      <c r="BC726" s="4" t="s">
        <v>228</v>
      </c>
      <c r="BD726" s="8" t="s">
        <v>228</v>
      </c>
      <c r="BE726" s="4" t="s">
        <v>228</v>
      </c>
      <c r="BF726" s="8" t="s">
        <v>228</v>
      </c>
      <c r="BG726" s="7" t="s">
        <v>228</v>
      </c>
      <c r="BH726" s="7" t="s">
        <v>228</v>
      </c>
      <c r="BI726" s="7"/>
      <c r="BJ726" s="4">
        <v>17</v>
      </c>
      <c r="BK726" s="8">
        <v>281.93</v>
      </c>
      <c r="BL726" s="2" t="s">
        <v>4176</v>
      </c>
      <c r="BM726" s="7"/>
      <c r="BN726" s="7"/>
      <c r="BO726" s="4"/>
      <c r="BP726" s="8"/>
      <c r="BQ726" s="4"/>
      <c r="BR726" s="8"/>
      <c r="BS726" s="7"/>
      <c r="BT726" s="7"/>
      <c r="BU726" s="2" t="s">
        <v>4177</v>
      </c>
      <c r="BV726" s="2" t="s">
        <v>228</v>
      </c>
      <c r="BW726" s="2" t="s">
        <v>228</v>
      </c>
      <c r="BX726" s="2" t="s">
        <v>273</v>
      </c>
      <c r="BY726" s="2" t="s">
        <v>274</v>
      </c>
      <c r="BZ726" s="2" t="s">
        <v>240</v>
      </c>
      <c r="CA726" s="2" t="s">
        <v>3871</v>
      </c>
      <c r="CB726" s="2" t="s">
        <v>1058</v>
      </c>
      <c r="CC726" s="2" t="s">
        <v>241</v>
      </c>
      <c r="CD726" s="2" t="s">
        <v>228</v>
      </c>
      <c r="CE726" s="4">
        <v>390</v>
      </c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>
        <v>797</v>
      </c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>
        <v>399</v>
      </c>
      <c r="ED726" s="4"/>
      <c r="EE726" s="4"/>
      <c r="EF726" s="4"/>
      <c r="EG726" s="4"/>
      <c r="EH726" s="4"/>
      <c r="EI726" s="4"/>
      <c r="EJ726" s="4"/>
      <c r="EK726" s="4"/>
      <c r="EL726" s="4"/>
      <c r="EM726" s="4">
        <v>247</v>
      </c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>
        <v>700</v>
      </c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>
        <v>62</v>
      </c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</row>
    <row r="727">
      <c r="A727" s="2" t="s">
        <v>4178</v>
      </c>
      <c r="B727" s="2" t="s">
        <v>299</v>
      </c>
      <c r="C727" s="2" t="s">
        <v>4000</v>
      </c>
      <c r="D727" s="2" t="s">
        <v>301</v>
      </c>
      <c r="E727" s="2" t="s">
        <v>302</v>
      </c>
      <c r="F727" s="2" t="s">
        <v>4001</v>
      </c>
      <c r="G727" s="2" t="s">
        <v>4001</v>
      </c>
      <c r="H727" s="2" t="s">
        <v>4001</v>
      </c>
      <c r="I727" s="2" t="s">
        <v>4002</v>
      </c>
      <c r="J727" s="2" t="s">
        <v>312</v>
      </c>
      <c r="K727" s="2" t="s">
        <v>4174</v>
      </c>
      <c r="L727" s="3">
        <v>27.39</v>
      </c>
      <c r="M727" s="3">
        <v>28.76</v>
      </c>
      <c r="N727" s="3">
        <v>62.99</v>
      </c>
      <c r="O727" s="2" t="s">
        <v>240</v>
      </c>
      <c r="P727" s="2" t="s">
        <v>266</v>
      </c>
      <c r="Q727" s="2" t="s">
        <v>234</v>
      </c>
      <c r="R727" s="2" t="s">
        <v>228</v>
      </c>
      <c r="S727" s="2" t="s">
        <v>4175</v>
      </c>
      <c r="T727" s="2" t="s">
        <v>3810</v>
      </c>
      <c r="U727" s="2" t="s">
        <v>228</v>
      </c>
      <c r="V727" s="2" t="s">
        <v>236</v>
      </c>
      <c r="W727" s="2" t="s">
        <v>269</v>
      </c>
      <c r="X727" s="2" t="s">
        <v>228</v>
      </c>
      <c r="Y727" s="2" t="s">
        <v>270</v>
      </c>
      <c r="Z727" s="4">
        <v>130</v>
      </c>
      <c r="AA727" s="4">
        <f>=ROUNDDOWN(9.28571428571429,0)</f>
      </c>
      <c r="AB727" s="5">
        <v>14</v>
      </c>
      <c r="AC727" s="2" t="s">
        <v>2114</v>
      </c>
      <c r="AD727" s="4">
        <v>122</v>
      </c>
      <c r="AE727" s="4">
        <v>483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228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228</v>
      </c>
      <c r="AW727" s="8" t="s">
        <v>228</v>
      </c>
      <c r="AX727" s="4" t="s">
        <v>228</v>
      </c>
      <c r="AY727" s="8" t="s">
        <v>228</v>
      </c>
      <c r="AZ727" s="7" t="s">
        <v>228</v>
      </c>
      <c r="BA727" s="7" t="s">
        <v>228</v>
      </c>
      <c r="BB727" s="7"/>
      <c r="BC727" s="4" t="s">
        <v>228</v>
      </c>
      <c r="BD727" s="8" t="s">
        <v>228</v>
      </c>
      <c r="BE727" s="4" t="s">
        <v>228</v>
      </c>
      <c r="BF727" s="8" t="s">
        <v>228</v>
      </c>
      <c r="BG727" s="7" t="s">
        <v>228</v>
      </c>
      <c r="BH727" s="7" t="s">
        <v>228</v>
      </c>
      <c r="BI727" s="7"/>
      <c r="BJ727" s="4">
        <v>9</v>
      </c>
      <c r="BK727" s="8">
        <v>266.35</v>
      </c>
      <c r="BL727" s="2" t="s">
        <v>4179</v>
      </c>
      <c r="BM727" s="7"/>
      <c r="BN727" s="7"/>
      <c r="BO727" s="4"/>
      <c r="BP727" s="8"/>
      <c r="BQ727" s="4"/>
      <c r="BR727" s="8"/>
      <c r="BS727" s="7"/>
      <c r="BT727" s="7"/>
      <c r="BU727" s="2" t="s">
        <v>4180</v>
      </c>
      <c r="BV727" s="2" t="s">
        <v>228</v>
      </c>
      <c r="BW727" s="2" t="s">
        <v>228</v>
      </c>
      <c r="BX727" s="2" t="s">
        <v>273</v>
      </c>
      <c r="BY727" s="2" t="s">
        <v>274</v>
      </c>
      <c r="BZ727" s="2" t="s">
        <v>240</v>
      </c>
      <c r="CA727" s="2" t="s">
        <v>3871</v>
      </c>
      <c r="CB727" s="2" t="s">
        <v>4181</v>
      </c>
      <c r="CC727" s="2" t="s">
        <v>241</v>
      </c>
      <c r="CD727" s="2" t="s">
        <v>228</v>
      </c>
      <c r="CE727" s="4">
        <v>130</v>
      </c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>
        <v>122</v>
      </c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>
        <v>110</v>
      </c>
      <c r="ED727" s="4"/>
      <c r="EE727" s="4"/>
      <c r="EF727" s="4"/>
      <c r="EG727" s="4"/>
      <c r="EH727" s="4"/>
      <c r="EI727" s="4"/>
      <c r="EJ727" s="4"/>
      <c r="EK727" s="4"/>
      <c r="EL727" s="4"/>
      <c r="EM727" s="4">
        <v>121</v>
      </c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>
        <v>130</v>
      </c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</row>
    <row r="728">
      <c r="A728" s="2" t="s">
        <v>4182</v>
      </c>
      <c r="B728" s="2" t="s">
        <v>299</v>
      </c>
      <c r="C728" s="2" t="s">
        <v>4000</v>
      </c>
      <c r="D728" s="2" t="s">
        <v>301</v>
      </c>
      <c r="E728" s="2" t="s">
        <v>302</v>
      </c>
      <c r="F728" s="2" t="s">
        <v>4001</v>
      </c>
      <c r="G728" s="2" t="s">
        <v>4001</v>
      </c>
      <c r="H728" s="2" t="s">
        <v>4001</v>
      </c>
      <c r="I728" s="2" t="s">
        <v>4002</v>
      </c>
      <c r="J728" s="2" t="s">
        <v>264</v>
      </c>
      <c r="K728" s="2" t="s">
        <v>4183</v>
      </c>
      <c r="L728" s="3">
        <v>14.89</v>
      </c>
      <c r="M728" s="3">
        <v>15.63</v>
      </c>
      <c r="N728" s="3">
        <v>31.99</v>
      </c>
      <c r="O728" s="2" t="s">
        <v>240</v>
      </c>
      <c r="P728" s="2" t="s">
        <v>266</v>
      </c>
      <c r="Q728" s="2" t="s">
        <v>234</v>
      </c>
      <c r="R728" s="2" t="s">
        <v>228</v>
      </c>
      <c r="S728" s="2" t="s">
        <v>4184</v>
      </c>
      <c r="T728" s="2" t="s">
        <v>3810</v>
      </c>
      <c r="U728" s="2" t="s">
        <v>228</v>
      </c>
      <c r="V728" s="2" t="s">
        <v>236</v>
      </c>
      <c r="W728" s="2" t="s">
        <v>269</v>
      </c>
      <c r="X728" s="2" t="s">
        <v>228</v>
      </c>
      <c r="Y728" s="2" t="s">
        <v>4185</v>
      </c>
      <c r="Z728" s="4">
        <v>306</v>
      </c>
      <c r="AA728" s="4">
        <f>=ROUNDDOWN(6,0)</f>
      </c>
      <c r="AB728" s="5">
        <v>51</v>
      </c>
      <c r="AC728" s="2" t="s">
        <v>1014</v>
      </c>
      <c r="AD728" s="4">
        <v>885</v>
      </c>
      <c r="AE728" s="4">
        <v>1899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228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/>
      <c r="AW728" s="8"/>
      <c r="AX728" s="4"/>
      <c r="AY728" s="8"/>
      <c r="AZ728" s="7"/>
      <c r="BA728" s="7"/>
      <c r="BB728" s="7"/>
      <c r="BC728" s="4" t="s">
        <v>228</v>
      </c>
      <c r="BD728" s="8" t="s">
        <v>228</v>
      </c>
      <c r="BE728" s="4" t="s">
        <v>228</v>
      </c>
      <c r="BF728" s="8" t="s">
        <v>228</v>
      </c>
      <c r="BG728" s="7" t="s">
        <v>228</v>
      </c>
      <c r="BH728" s="7" t="s">
        <v>228</v>
      </c>
      <c r="BI728" s="7"/>
      <c r="BJ728" s="4">
        <v>42</v>
      </c>
      <c r="BK728" s="8">
        <v>694.17</v>
      </c>
      <c r="BL728" s="2" t="s">
        <v>3971</v>
      </c>
      <c r="BM728" s="7"/>
      <c r="BN728" s="7"/>
      <c r="BO728" s="4"/>
      <c r="BP728" s="8"/>
      <c r="BQ728" s="4"/>
      <c r="BR728" s="8"/>
      <c r="BS728" s="7"/>
      <c r="BT728" s="7"/>
      <c r="BU728" s="2" t="s">
        <v>4186</v>
      </c>
      <c r="BV728" s="2" t="s">
        <v>228</v>
      </c>
      <c r="BW728" s="2" t="s">
        <v>228</v>
      </c>
      <c r="BX728" s="2" t="s">
        <v>273</v>
      </c>
      <c r="BY728" s="2" t="s">
        <v>274</v>
      </c>
      <c r="BZ728" s="2" t="s">
        <v>240</v>
      </c>
      <c r="CA728" s="2" t="s">
        <v>3871</v>
      </c>
      <c r="CB728" s="2" t="s">
        <v>2522</v>
      </c>
      <c r="CC728" s="2" t="s">
        <v>241</v>
      </c>
      <c r="CD728" s="2" t="s">
        <v>228</v>
      </c>
      <c r="CE728" s="4">
        <v>306</v>
      </c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>
        <v>885</v>
      </c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>
        <v>434</v>
      </c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>
        <v>580</v>
      </c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</row>
    <row r="729">
      <c r="A729" s="2" t="s">
        <v>4187</v>
      </c>
      <c r="B729" s="2" t="s">
        <v>299</v>
      </c>
      <c r="C729" s="2" t="s">
        <v>4000</v>
      </c>
      <c r="D729" s="2" t="s">
        <v>301</v>
      </c>
      <c r="E729" s="2" t="s">
        <v>302</v>
      </c>
      <c r="F729" s="2" t="s">
        <v>4001</v>
      </c>
      <c r="G729" s="2" t="s">
        <v>4001</v>
      </c>
      <c r="H729" s="2" t="s">
        <v>4001</v>
      </c>
      <c r="I729" s="2" t="s">
        <v>4002</v>
      </c>
      <c r="J729" s="2" t="s">
        <v>294</v>
      </c>
      <c r="K729" s="2" t="s">
        <v>4188</v>
      </c>
      <c r="L729" s="3">
        <v>27.39</v>
      </c>
      <c r="M729" s="3">
        <v>28.76</v>
      </c>
      <c r="N729" s="3">
        <v>62.99</v>
      </c>
      <c r="O729" s="2" t="s">
        <v>240</v>
      </c>
      <c r="P729" s="2" t="s">
        <v>266</v>
      </c>
      <c r="Q729" s="2" t="s">
        <v>234</v>
      </c>
      <c r="R729" s="2" t="s">
        <v>228</v>
      </c>
      <c r="S729" s="2" t="s">
        <v>4189</v>
      </c>
      <c r="T729" s="2" t="s">
        <v>3810</v>
      </c>
      <c r="U729" s="2" t="s">
        <v>228</v>
      </c>
      <c r="V729" s="2" t="s">
        <v>3717</v>
      </c>
      <c r="W729" s="2" t="s">
        <v>269</v>
      </c>
      <c r="X729" s="2" t="s">
        <v>228</v>
      </c>
      <c r="Y729" s="2" t="s">
        <v>3919</v>
      </c>
      <c r="Z729" s="4">
        <v>1</v>
      </c>
      <c r="AA729" s="4">
        <f>=ROUNDDOWN(0.0666666666666667,0)</f>
      </c>
      <c r="AB729" s="5">
        <v>15</v>
      </c>
      <c r="AC729" s="2" t="s">
        <v>1014</v>
      </c>
      <c r="AD729" s="4">
        <v>285</v>
      </c>
      <c r="AE729" s="4">
        <v>598</v>
      </c>
      <c r="AF729" s="6">
        <v>65</v>
      </c>
      <c r="AG729" s="6"/>
      <c r="AH729" s="7">
        <v>0.7419</v>
      </c>
      <c r="AI729" s="4"/>
      <c r="AJ729" s="4">
        <f>=ROUNDDOWN({0},0)</f>
      </c>
      <c r="AK729" s="5"/>
      <c r="AL729" s="2" t="s">
        <v>228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/>
      <c r="AW729" s="8"/>
      <c r="AX729" s="4"/>
      <c r="AY729" s="8"/>
      <c r="AZ729" s="7"/>
      <c r="BA729" s="7"/>
      <c r="BB729" s="7"/>
      <c r="BC729" s="4" t="s">
        <v>228</v>
      </c>
      <c r="BD729" s="8" t="s">
        <v>228</v>
      </c>
      <c r="BE729" s="4" t="s">
        <v>228</v>
      </c>
      <c r="BF729" s="8" t="s">
        <v>228</v>
      </c>
      <c r="BG729" s="7" t="s">
        <v>228</v>
      </c>
      <c r="BH729" s="7" t="s">
        <v>228</v>
      </c>
      <c r="BI729" s="7"/>
      <c r="BJ729" s="4">
        <v>104</v>
      </c>
      <c r="BK729" s="8">
        <v>3207.95</v>
      </c>
      <c r="BL729" s="2" t="s">
        <v>647</v>
      </c>
      <c r="BM729" s="7"/>
      <c r="BN729" s="7"/>
      <c r="BO729" s="4"/>
      <c r="BP729" s="8"/>
      <c r="BQ729" s="4"/>
      <c r="BR729" s="8"/>
      <c r="BS729" s="7"/>
      <c r="BT729" s="7"/>
      <c r="BU729" s="2" t="s">
        <v>4190</v>
      </c>
      <c r="BV729" s="2" t="s">
        <v>228</v>
      </c>
      <c r="BW729" s="2" t="s">
        <v>228</v>
      </c>
      <c r="BX729" s="2" t="s">
        <v>273</v>
      </c>
      <c r="BY729" s="2" t="s">
        <v>274</v>
      </c>
      <c r="BZ729" s="2" t="s">
        <v>240</v>
      </c>
      <c r="CA729" s="2" t="s">
        <v>4014</v>
      </c>
      <c r="CB729" s="2" t="s">
        <v>4191</v>
      </c>
      <c r="CC729" s="2" t="s">
        <v>241</v>
      </c>
      <c r="CD729" s="2" t="s">
        <v>228</v>
      </c>
      <c r="CE729" s="4"/>
      <c r="CF729" s="4"/>
      <c r="CG729" s="4"/>
      <c r="CH729" s="4"/>
      <c r="CI729" s="4"/>
      <c r="CJ729" s="4"/>
      <c r="CK729" s="4">
        <v>1</v>
      </c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>
        <v>285</v>
      </c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>
        <v>125</v>
      </c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>
        <v>188</v>
      </c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</row>
    <row r="730">
      <c r="A730" s="2" t="s">
        <v>4192</v>
      </c>
      <c r="B730" s="2" t="s">
        <v>299</v>
      </c>
      <c r="C730" s="2" t="s">
        <v>4000</v>
      </c>
      <c r="D730" s="2" t="s">
        <v>301</v>
      </c>
      <c r="E730" s="2" t="s">
        <v>302</v>
      </c>
      <c r="F730" s="2" t="s">
        <v>4001</v>
      </c>
      <c r="G730" s="2" t="s">
        <v>4001</v>
      </c>
      <c r="H730" s="2" t="s">
        <v>4001</v>
      </c>
      <c r="I730" s="2" t="s">
        <v>4002</v>
      </c>
      <c r="J730" s="2" t="s">
        <v>264</v>
      </c>
      <c r="K730" s="2" t="s">
        <v>4193</v>
      </c>
      <c r="L730" s="3">
        <v>14.89</v>
      </c>
      <c r="M730" s="3">
        <v>15.63</v>
      </c>
      <c r="N730" s="3">
        <v>31.99</v>
      </c>
      <c r="O730" s="2" t="s">
        <v>240</v>
      </c>
      <c r="P730" s="2" t="s">
        <v>266</v>
      </c>
      <c r="Q730" s="2" t="s">
        <v>234</v>
      </c>
      <c r="R730" s="2" t="s">
        <v>228</v>
      </c>
      <c r="S730" s="2" t="s">
        <v>4194</v>
      </c>
      <c r="T730" s="2" t="s">
        <v>3810</v>
      </c>
      <c r="U730" s="2" t="s">
        <v>228</v>
      </c>
      <c r="V730" s="2" t="s">
        <v>3717</v>
      </c>
      <c r="W730" s="2" t="s">
        <v>269</v>
      </c>
      <c r="X730" s="2" t="s">
        <v>228</v>
      </c>
      <c r="Y730" s="2" t="s">
        <v>3919</v>
      </c>
      <c r="Z730" s="4">
        <v>81</v>
      </c>
      <c r="AA730" s="4">
        <f>=ROUNDDOWN(1.97560975609756,0)</f>
      </c>
      <c r="AB730" s="5">
        <v>41</v>
      </c>
      <c r="AC730" s="2" t="s">
        <v>1014</v>
      </c>
      <c r="AD730" s="4">
        <v>710</v>
      </c>
      <c r="AE730" s="4">
        <v>1570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228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228</v>
      </c>
      <c r="AW730" s="8" t="s">
        <v>228</v>
      </c>
      <c r="AX730" s="4" t="s">
        <v>228</v>
      </c>
      <c r="AY730" s="8" t="s">
        <v>228</v>
      </c>
      <c r="AZ730" s="7" t="s">
        <v>228</v>
      </c>
      <c r="BA730" s="7" t="s">
        <v>228</v>
      </c>
      <c r="BB730" s="7"/>
      <c r="BC730" s="4" t="s">
        <v>228</v>
      </c>
      <c r="BD730" s="8" t="s">
        <v>228</v>
      </c>
      <c r="BE730" s="4" t="s">
        <v>228</v>
      </c>
      <c r="BF730" s="8" t="s">
        <v>228</v>
      </c>
      <c r="BG730" s="7" t="s">
        <v>228</v>
      </c>
      <c r="BH730" s="7" t="s">
        <v>228</v>
      </c>
      <c r="BI730" s="7"/>
      <c r="BJ730" s="4">
        <v>183</v>
      </c>
      <c r="BK730" s="8">
        <v>3043.82</v>
      </c>
      <c r="BL730" s="2" t="s">
        <v>4195</v>
      </c>
      <c r="BM730" s="7"/>
      <c r="BN730" s="7"/>
      <c r="BO730" s="4"/>
      <c r="BP730" s="8"/>
      <c r="BQ730" s="4"/>
      <c r="BR730" s="8"/>
      <c r="BS730" s="7"/>
      <c r="BT730" s="7"/>
      <c r="BU730" s="2" t="s">
        <v>4196</v>
      </c>
      <c r="BV730" s="2" t="s">
        <v>228</v>
      </c>
      <c r="BW730" s="2" t="s">
        <v>228</v>
      </c>
      <c r="BX730" s="2" t="s">
        <v>273</v>
      </c>
      <c r="BY730" s="2" t="s">
        <v>274</v>
      </c>
      <c r="BZ730" s="2" t="s">
        <v>240</v>
      </c>
      <c r="CA730" s="2" t="s">
        <v>4014</v>
      </c>
      <c r="CB730" s="2" t="s">
        <v>3964</v>
      </c>
      <c r="CC730" s="2" t="s">
        <v>241</v>
      </c>
      <c r="CD730" s="2" t="s">
        <v>228</v>
      </c>
      <c r="CE730" s="4">
        <v>81</v>
      </c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>
        <v>710</v>
      </c>
      <c r="DQ730" s="4"/>
      <c r="DR730" s="4"/>
      <c r="DS730" s="4">
        <v>355</v>
      </c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>
        <v>505</v>
      </c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</row>
    <row r="731">
      <c r="A731" s="2" t="s">
        <v>4197</v>
      </c>
      <c r="B731" s="2" t="s">
        <v>299</v>
      </c>
      <c r="C731" s="2" t="s">
        <v>4000</v>
      </c>
      <c r="D731" s="2" t="s">
        <v>301</v>
      </c>
      <c r="E731" s="2" t="s">
        <v>302</v>
      </c>
      <c r="F731" s="2" t="s">
        <v>4001</v>
      </c>
      <c r="G731" s="2" t="s">
        <v>4001</v>
      </c>
      <c r="H731" s="2" t="s">
        <v>4001</v>
      </c>
      <c r="I731" s="2" t="s">
        <v>4002</v>
      </c>
      <c r="J731" s="2" t="s">
        <v>284</v>
      </c>
      <c r="K731" s="2" t="s">
        <v>4193</v>
      </c>
      <c r="L731" s="3">
        <v>19.57</v>
      </c>
      <c r="M731" s="3">
        <v>20.55</v>
      </c>
      <c r="N731" s="3">
        <v>42.99</v>
      </c>
      <c r="O731" s="2" t="s">
        <v>240</v>
      </c>
      <c r="P731" s="2" t="s">
        <v>715</v>
      </c>
      <c r="Q731" s="2" t="s">
        <v>234</v>
      </c>
      <c r="R731" s="2" t="s">
        <v>228</v>
      </c>
      <c r="S731" s="2" t="s">
        <v>4194</v>
      </c>
      <c r="T731" s="2" t="s">
        <v>3810</v>
      </c>
      <c r="U731" s="2" t="s">
        <v>228</v>
      </c>
      <c r="V731" s="2" t="s">
        <v>3717</v>
      </c>
      <c r="W731" s="2" t="s">
        <v>269</v>
      </c>
      <c r="X731" s="2" t="s">
        <v>228</v>
      </c>
      <c r="Y731" s="2" t="s">
        <v>3919</v>
      </c>
      <c r="Z731" s="4">
        <v>104</v>
      </c>
      <c r="AA731" s="4">
        <f>=ROUNDDOWN(2.08,0)</f>
      </c>
      <c r="AB731" s="5">
        <v>50</v>
      </c>
      <c r="AC731" s="2" t="s">
        <v>1014</v>
      </c>
      <c r="AD731" s="4">
        <v>911</v>
      </c>
      <c r="AE731" s="4">
        <v>1905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228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228</v>
      </c>
      <c r="AW731" s="8" t="s">
        <v>228</v>
      </c>
      <c r="AX731" s="4" t="s">
        <v>228</v>
      </c>
      <c r="AY731" s="8" t="s">
        <v>228</v>
      </c>
      <c r="AZ731" s="7" t="s">
        <v>228</v>
      </c>
      <c r="BA731" s="7" t="s">
        <v>228</v>
      </c>
      <c r="BB731" s="7"/>
      <c r="BC731" s="4" t="s">
        <v>228</v>
      </c>
      <c r="BD731" s="8" t="s">
        <v>228</v>
      </c>
      <c r="BE731" s="4" t="s">
        <v>228</v>
      </c>
      <c r="BF731" s="8" t="s">
        <v>228</v>
      </c>
      <c r="BG731" s="7" t="s">
        <v>228</v>
      </c>
      <c r="BH731" s="7" t="s">
        <v>228</v>
      </c>
      <c r="BI731" s="7"/>
      <c r="BJ731" s="4">
        <v>192</v>
      </c>
      <c r="BK731" s="8">
        <v>4065.11</v>
      </c>
      <c r="BL731" s="2" t="s">
        <v>4198</v>
      </c>
      <c r="BM731" s="7"/>
      <c r="BN731" s="7"/>
      <c r="BO731" s="4"/>
      <c r="BP731" s="8"/>
      <c r="BQ731" s="4"/>
      <c r="BR731" s="8"/>
      <c r="BS731" s="7"/>
      <c r="BT731" s="7"/>
      <c r="BU731" s="2" t="s">
        <v>4199</v>
      </c>
      <c r="BV731" s="2" t="s">
        <v>228</v>
      </c>
      <c r="BW731" s="2" t="s">
        <v>228</v>
      </c>
      <c r="BX731" s="2" t="s">
        <v>273</v>
      </c>
      <c r="BY731" s="2" t="s">
        <v>274</v>
      </c>
      <c r="BZ731" s="2" t="s">
        <v>240</v>
      </c>
      <c r="CA731" s="2" t="s">
        <v>4014</v>
      </c>
      <c r="CB731" s="2" t="s">
        <v>4200</v>
      </c>
      <c r="CC731" s="2" t="s">
        <v>241</v>
      </c>
      <c r="CD731" s="2" t="s">
        <v>228</v>
      </c>
      <c r="CE731" s="4">
        <v>104</v>
      </c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>
        <v>911</v>
      </c>
      <c r="DQ731" s="4"/>
      <c r="DR731" s="4"/>
      <c r="DS731" s="4">
        <v>420</v>
      </c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>
        <v>574</v>
      </c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</row>
    <row r="732">
      <c r="A732" s="2" t="s">
        <v>4201</v>
      </c>
      <c r="B732" s="2" t="s">
        <v>299</v>
      </c>
      <c r="C732" s="2" t="s">
        <v>4000</v>
      </c>
      <c r="D732" s="2" t="s">
        <v>301</v>
      </c>
      <c r="E732" s="2" t="s">
        <v>302</v>
      </c>
      <c r="F732" s="2" t="s">
        <v>4001</v>
      </c>
      <c r="G732" s="2" t="s">
        <v>4001</v>
      </c>
      <c r="H732" s="2" t="s">
        <v>4001</v>
      </c>
      <c r="I732" s="2" t="s">
        <v>4002</v>
      </c>
      <c r="J732" s="2" t="s">
        <v>294</v>
      </c>
      <c r="K732" s="2" t="s">
        <v>4193</v>
      </c>
      <c r="L732" s="3">
        <v>27.39</v>
      </c>
      <c r="M732" s="3">
        <v>28.76</v>
      </c>
      <c r="N732" s="3">
        <v>62.99</v>
      </c>
      <c r="O732" s="2" t="s">
        <v>240</v>
      </c>
      <c r="P732" s="2" t="s">
        <v>266</v>
      </c>
      <c r="Q732" s="2" t="s">
        <v>234</v>
      </c>
      <c r="R732" s="2" t="s">
        <v>228</v>
      </c>
      <c r="S732" s="2" t="s">
        <v>4194</v>
      </c>
      <c r="T732" s="2" t="s">
        <v>3810</v>
      </c>
      <c r="U732" s="2" t="s">
        <v>228</v>
      </c>
      <c r="V732" s="2" t="s">
        <v>3717</v>
      </c>
      <c r="W732" s="2" t="s">
        <v>269</v>
      </c>
      <c r="X732" s="2" t="s">
        <v>228</v>
      </c>
      <c r="Y732" s="2" t="s">
        <v>3919</v>
      </c>
      <c r="Z732" s="4">
        <v>320</v>
      </c>
      <c r="AA732" s="4">
        <f>=ROUNDDOWN(8.42105263157895,0)</f>
      </c>
      <c r="AB732" s="5">
        <v>38</v>
      </c>
      <c r="AC732" s="2" t="s">
        <v>1014</v>
      </c>
      <c r="AD732" s="4">
        <v>605</v>
      </c>
      <c r="AE732" s="4">
        <v>1397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228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228</v>
      </c>
      <c r="AW732" s="8" t="s">
        <v>228</v>
      </c>
      <c r="AX732" s="4" t="s">
        <v>228</v>
      </c>
      <c r="AY732" s="8" t="s">
        <v>228</v>
      </c>
      <c r="AZ732" s="7" t="s">
        <v>228</v>
      </c>
      <c r="BA732" s="7" t="s">
        <v>228</v>
      </c>
      <c r="BB732" s="7"/>
      <c r="BC732" s="4" t="s">
        <v>228</v>
      </c>
      <c r="BD732" s="8" t="s">
        <v>228</v>
      </c>
      <c r="BE732" s="4" t="s">
        <v>228</v>
      </c>
      <c r="BF732" s="8" t="s">
        <v>228</v>
      </c>
      <c r="BG732" s="7" t="s">
        <v>228</v>
      </c>
      <c r="BH732" s="7" t="s">
        <v>228</v>
      </c>
      <c r="BI732" s="7"/>
      <c r="BJ732" s="4">
        <v>66</v>
      </c>
      <c r="BK732" s="8">
        <v>1932.1</v>
      </c>
      <c r="BL732" s="2" t="s">
        <v>4202</v>
      </c>
      <c r="BM732" s="7"/>
      <c r="BN732" s="7"/>
      <c r="BO732" s="4"/>
      <c r="BP732" s="8"/>
      <c r="BQ732" s="4"/>
      <c r="BR732" s="8"/>
      <c r="BS732" s="7"/>
      <c r="BT732" s="7"/>
      <c r="BU732" s="2" t="s">
        <v>4203</v>
      </c>
      <c r="BV732" s="2" t="s">
        <v>228</v>
      </c>
      <c r="BW732" s="2" t="s">
        <v>228</v>
      </c>
      <c r="BX732" s="2" t="s">
        <v>273</v>
      </c>
      <c r="BY732" s="2" t="s">
        <v>274</v>
      </c>
      <c r="BZ732" s="2" t="s">
        <v>240</v>
      </c>
      <c r="CA732" s="2" t="s">
        <v>4014</v>
      </c>
      <c r="CB732" s="2" t="s">
        <v>4204</v>
      </c>
      <c r="CC732" s="2" t="s">
        <v>241</v>
      </c>
      <c r="CD732" s="2" t="s">
        <v>228</v>
      </c>
      <c r="CE732" s="4">
        <v>320</v>
      </c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>
        <v>605</v>
      </c>
      <c r="DQ732" s="4"/>
      <c r="DR732" s="4"/>
      <c r="DS732" s="4">
        <v>330</v>
      </c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>
        <v>462</v>
      </c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</row>
    <row r="733">
      <c r="A733" s="2" t="s">
        <v>4205</v>
      </c>
      <c r="B733" s="2" t="s">
        <v>299</v>
      </c>
      <c r="C733" s="2" t="s">
        <v>4000</v>
      </c>
      <c r="D733" s="2" t="s">
        <v>301</v>
      </c>
      <c r="E733" s="2" t="s">
        <v>302</v>
      </c>
      <c r="F733" s="2" t="s">
        <v>4001</v>
      </c>
      <c r="G733" s="2" t="s">
        <v>4001</v>
      </c>
      <c r="H733" s="2" t="s">
        <v>4001</v>
      </c>
      <c r="I733" s="2" t="s">
        <v>4002</v>
      </c>
      <c r="J733" s="2" t="s">
        <v>312</v>
      </c>
      <c r="K733" s="2" t="s">
        <v>4193</v>
      </c>
      <c r="L733" s="3">
        <v>27.39</v>
      </c>
      <c r="M733" s="3">
        <v>28.76</v>
      </c>
      <c r="N733" s="3">
        <v>62.99</v>
      </c>
      <c r="O733" s="2" t="s">
        <v>240</v>
      </c>
      <c r="P733" s="2" t="s">
        <v>266</v>
      </c>
      <c r="Q733" s="2" t="s">
        <v>234</v>
      </c>
      <c r="R733" s="2" t="s">
        <v>228</v>
      </c>
      <c r="S733" s="2" t="s">
        <v>4194</v>
      </c>
      <c r="T733" s="2" t="s">
        <v>3810</v>
      </c>
      <c r="U733" s="2" t="s">
        <v>228</v>
      </c>
      <c r="V733" s="2" t="s">
        <v>3717</v>
      </c>
      <c r="W733" s="2" t="s">
        <v>269</v>
      </c>
      <c r="X733" s="2" t="s">
        <v>228</v>
      </c>
      <c r="Y733" s="2" t="s">
        <v>3919</v>
      </c>
      <c r="Z733" s="4">
        <v>174</v>
      </c>
      <c r="AA733" s="4">
        <f>=ROUNDDOWN(6.96,0)</f>
      </c>
      <c r="AB733" s="5">
        <v>25</v>
      </c>
      <c r="AC733" s="2" t="s">
        <v>1014</v>
      </c>
      <c r="AD733" s="4">
        <v>375</v>
      </c>
      <c r="AE733" s="4">
        <v>897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228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228</v>
      </c>
      <c r="AW733" s="8" t="s">
        <v>228</v>
      </c>
      <c r="AX733" s="4" t="s">
        <v>228</v>
      </c>
      <c r="AY733" s="8" t="s">
        <v>228</v>
      </c>
      <c r="AZ733" s="7" t="s">
        <v>228</v>
      </c>
      <c r="BA733" s="7" t="s">
        <v>228</v>
      </c>
      <c r="BB733" s="7"/>
      <c r="BC733" s="4" t="s">
        <v>228</v>
      </c>
      <c r="BD733" s="8" t="s">
        <v>228</v>
      </c>
      <c r="BE733" s="4" t="s">
        <v>228</v>
      </c>
      <c r="BF733" s="8" t="s">
        <v>228</v>
      </c>
      <c r="BG733" s="7" t="s">
        <v>228</v>
      </c>
      <c r="BH733" s="7" t="s">
        <v>228</v>
      </c>
      <c r="BI733" s="7"/>
      <c r="BJ733" s="4">
        <v>20</v>
      </c>
      <c r="BK733" s="8">
        <v>589.81</v>
      </c>
      <c r="BL733" s="2" t="s">
        <v>3165</v>
      </c>
      <c r="BM733" s="7"/>
      <c r="BN733" s="7"/>
      <c r="BO733" s="4"/>
      <c r="BP733" s="8"/>
      <c r="BQ733" s="4"/>
      <c r="BR733" s="8"/>
      <c r="BS733" s="7"/>
      <c r="BT733" s="7"/>
      <c r="BU733" s="2" t="s">
        <v>4206</v>
      </c>
      <c r="BV733" s="2" t="s">
        <v>228</v>
      </c>
      <c r="BW733" s="2" t="s">
        <v>228</v>
      </c>
      <c r="BX733" s="2" t="s">
        <v>273</v>
      </c>
      <c r="BY733" s="2" t="s">
        <v>274</v>
      </c>
      <c r="BZ733" s="2" t="s">
        <v>240</v>
      </c>
      <c r="CA733" s="2" t="s">
        <v>4014</v>
      </c>
      <c r="CB733" s="2" t="s">
        <v>3964</v>
      </c>
      <c r="CC733" s="2" t="s">
        <v>241</v>
      </c>
      <c r="CD733" s="2" t="s">
        <v>228</v>
      </c>
      <c r="CE733" s="4">
        <v>174</v>
      </c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>
        <v>375</v>
      </c>
      <c r="DQ733" s="4"/>
      <c r="DR733" s="4"/>
      <c r="DS733" s="4">
        <v>220</v>
      </c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>
        <v>302</v>
      </c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</row>
    <row r="734">
      <c r="A734" s="2" t="s">
        <v>4207</v>
      </c>
      <c r="B734" s="2" t="s">
        <v>299</v>
      </c>
      <c r="C734" s="2" t="s">
        <v>4000</v>
      </c>
      <c r="D734" s="2" t="s">
        <v>301</v>
      </c>
      <c r="E734" s="2" t="s">
        <v>302</v>
      </c>
      <c r="F734" s="2" t="s">
        <v>4001</v>
      </c>
      <c r="G734" s="2" t="s">
        <v>4001</v>
      </c>
      <c r="H734" s="2" t="s">
        <v>4001</v>
      </c>
      <c r="I734" s="2" t="s">
        <v>4002</v>
      </c>
      <c r="J734" s="2" t="s">
        <v>284</v>
      </c>
      <c r="K734" s="2" t="s">
        <v>4208</v>
      </c>
      <c r="L734" s="3">
        <v>19.57</v>
      </c>
      <c r="M734" s="3">
        <v>20.55</v>
      </c>
      <c r="N734" s="3">
        <v>42.99</v>
      </c>
      <c r="O734" s="2" t="s">
        <v>240</v>
      </c>
      <c r="P734" s="2" t="s">
        <v>815</v>
      </c>
      <c r="Q734" s="2" t="s">
        <v>234</v>
      </c>
      <c r="R734" s="2" t="s">
        <v>228</v>
      </c>
      <c r="S734" s="2" t="s">
        <v>4209</v>
      </c>
      <c r="T734" s="2" t="s">
        <v>3810</v>
      </c>
      <c r="U734" s="2" t="s">
        <v>308</v>
      </c>
      <c r="V734" s="2" t="s">
        <v>3717</v>
      </c>
      <c r="W734" s="2" t="s">
        <v>269</v>
      </c>
      <c r="X734" s="2" t="s">
        <v>1267</v>
      </c>
      <c r="Y734" s="2" t="s">
        <v>3843</v>
      </c>
      <c r="Z734" s="4">
        <v>728</v>
      </c>
      <c r="AA734" s="4">
        <f>=ROUNDDOWN(18.6666666666667,0)</f>
      </c>
      <c r="AB734" s="5">
        <v>39</v>
      </c>
      <c r="AC734" s="2" t="s">
        <v>1996</v>
      </c>
      <c r="AD734" s="4">
        <v>370</v>
      </c>
      <c r="AE734" s="4">
        <v>1011</v>
      </c>
      <c r="AF734" s="6">
        <v>65</v>
      </c>
      <c r="AG734" s="6"/>
      <c r="AH734" s="7">
        <v>0.3871</v>
      </c>
      <c r="AI734" s="4"/>
      <c r="AJ734" s="4">
        <f>=ROUNDDOWN({0},0)</f>
      </c>
      <c r="AK734" s="5"/>
      <c r="AL734" s="2" t="s">
        <v>228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 t="s">
        <v>228</v>
      </c>
      <c r="BD734" s="8" t="s">
        <v>228</v>
      </c>
      <c r="BE734" s="4" t="s">
        <v>228</v>
      </c>
      <c r="BF734" s="8" t="s">
        <v>228</v>
      </c>
      <c r="BG734" s="7" t="s">
        <v>228</v>
      </c>
      <c r="BH734" s="7" t="s">
        <v>228</v>
      </c>
      <c r="BI734" s="7"/>
      <c r="BJ734" s="4">
        <v>18</v>
      </c>
      <c r="BK734" s="8">
        <v>383.98</v>
      </c>
      <c r="BL734" s="2" t="s">
        <v>4210</v>
      </c>
      <c r="BM734" s="7"/>
      <c r="BN734" s="7"/>
      <c r="BO734" s="4"/>
      <c r="BP734" s="8"/>
      <c r="BQ734" s="4"/>
      <c r="BR734" s="8"/>
      <c r="BS734" s="7"/>
      <c r="BT734" s="7"/>
      <c r="BU734" s="2" t="s">
        <v>4211</v>
      </c>
      <c r="BV734" s="2" t="s">
        <v>228</v>
      </c>
      <c r="BW734" s="2" t="s">
        <v>228</v>
      </c>
      <c r="BX734" s="2" t="s">
        <v>273</v>
      </c>
      <c r="BY734" s="2" t="s">
        <v>274</v>
      </c>
      <c r="BZ734" s="2" t="s">
        <v>240</v>
      </c>
      <c r="CA734" s="2" t="s">
        <v>2280</v>
      </c>
      <c r="CB734" s="2" t="s">
        <v>3915</v>
      </c>
      <c r="CC734" s="2" t="s">
        <v>241</v>
      </c>
      <c r="CD734" s="2" t="s">
        <v>228</v>
      </c>
      <c r="CE734" s="4">
        <v>728</v>
      </c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>
        <v>370</v>
      </c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>
        <v>321</v>
      </c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>
        <v>320</v>
      </c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</row>
    <row r="735">
      <c r="A735" s="2" t="s">
        <v>4212</v>
      </c>
      <c r="B735" s="2" t="s">
        <v>299</v>
      </c>
      <c r="C735" s="2" t="s">
        <v>4000</v>
      </c>
      <c r="D735" s="2" t="s">
        <v>301</v>
      </c>
      <c r="E735" s="2" t="s">
        <v>302</v>
      </c>
      <c r="F735" s="2" t="s">
        <v>4001</v>
      </c>
      <c r="G735" s="2" t="s">
        <v>4001</v>
      </c>
      <c r="H735" s="2" t="s">
        <v>4001</v>
      </c>
      <c r="I735" s="2" t="s">
        <v>4002</v>
      </c>
      <c r="J735" s="2" t="s">
        <v>278</v>
      </c>
      <c r="K735" s="2" t="s">
        <v>4213</v>
      </c>
      <c r="L735" s="3">
        <v>16.16</v>
      </c>
      <c r="M735" s="3">
        <v>16.97</v>
      </c>
      <c r="N735" s="3">
        <v>34.99</v>
      </c>
      <c r="O735" s="2" t="s">
        <v>240</v>
      </c>
      <c r="P735" s="2" t="s">
        <v>266</v>
      </c>
      <c r="Q735" s="2" t="s">
        <v>234</v>
      </c>
      <c r="R735" s="2" t="s">
        <v>228</v>
      </c>
      <c r="S735" s="2" t="s">
        <v>4214</v>
      </c>
      <c r="T735" s="2" t="s">
        <v>3810</v>
      </c>
      <c r="U735" s="2" t="s">
        <v>228</v>
      </c>
      <c r="V735" s="2" t="s">
        <v>3717</v>
      </c>
      <c r="W735" s="2" t="s">
        <v>269</v>
      </c>
      <c r="X735" s="2" t="s">
        <v>228</v>
      </c>
      <c r="Y735" s="2" t="s">
        <v>3919</v>
      </c>
      <c r="Z735" s="4">
        <v>53</v>
      </c>
      <c r="AA735" s="4">
        <f>=ROUNDDOWN(4.41666666666667,0)</f>
      </c>
      <c r="AB735" s="5">
        <v>12</v>
      </c>
      <c r="AC735" s="2" t="s">
        <v>1014</v>
      </c>
      <c r="AD735" s="4">
        <v>209</v>
      </c>
      <c r="AE735" s="4">
        <v>468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228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/>
      <c r="AW735" s="8"/>
      <c r="AX735" s="4"/>
      <c r="AY735" s="8"/>
      <c r="AZ735" s="7"/>
      <c r="BA735" s="7"/>
      <c r="BB735" s="7"/>
      <c r="BC735" s="4" t="s">
        <v>228</v>
      </c>
      <c r="BD735" s="8" t="s">
        <v>228</v>
      </c>
      <c r="BE735" s="4" t="s">
        <v>228</v>
      </c>
      <c r="BF735" s="8" t="s">
        <v>228</v>
      </c>
      <c r="BG735" s="7" t="s">
        <v>228</v>
      </c>
      <c r="BH735" s="7" t="s">
        <v>228</v>
      </c>
      <c r="BI735" s="7"/>
      <c r="BJ735" s="4">
        <v>33</v>
      </c>
      <c r="BK735" s="8">
        <v>606.58</v>
      </c>
      <c r="BL735" s="2" t="s">
        <v>3138</v>
      </c>
      <c r="BM735" s="7"/>
      <c r="BN735" s="7"/>
      <c r="BO735" s="4"/>
      <c r="BP735" s="8"/>
      <c r="BQ735" s="4"/>
      <c r="BR735" s="8"/>
      <c r="BS735" s="7"/>
      <c r="BT735" s="7"/>
      <c r="BU735" s="2" t="s">
        <v>4215</v>
      </c>
      <c r="BV735" s="2" t="s">
        <v>228</v>
      </c>
      <c r="BW735" s="2" t="s">
        <v>228</v>
      </c>
      <c r="BX735" s="2" t="s">
        <v>273</v>
      </c>
      <c r="BY735" s="2" t="s">
        <v>274</v>
      </c>
      <c r="BZ735" s="2" t="s">
        <v>240</v>
      </c>
      <c r="CA735" s="2" t="s">
        <v>4014</v>
      </c>
      <c r="CB735" s="2" t="s">
        <v>4216</v>
      </c>
      <c r="CC735" s="2" t="s">
        <v>241</v>
      </c>
      <c r="CD735" s="2" t="s">
        <v>228</v>
      </c>
      <c r="CE735" s="4">
        <v>53</v>
      </c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>
        <v>209</v>
      </c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>
        <v>100</v>
      </c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>
        <v>159</v>
      </c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</row>
    <row r="736">
      <c r="A736" s="2" t="s">
        <v>4217</v>
      </c>
      <c r="B736" s="2" t="s">
        <v>299</v>
      </c>
      <c r="C736" s="2" t="s">
        <v>4000</v>
      </c>
      <c r="D736" s="2" t="s">
        <v>301</v>
      </c>
      <c r="E736" s="2" t="s">
        <v>302</v>
      </c>
      <c r="F736" s="2" t="s">
        <v>4001</v>
      </c>
      <c r="G736" s="2" t="s">
        <v>4001</v>
      </c>
      <c r="H736" s="2" t="s">
        <v>4001</v>
      </c>
      <c r="I736" s="2" t="s">
        <v>4002</v>
      </c>
      <c r="J736" s="2" t="s">
        <v>264</v>
      </c>
      <c r="K736" s="2" t="s">
        <v>4218</v>
      </c>
      <c r="L736" s="3">
        <v>14.89</v>
      </c>
      <c r="M736" s="3">
        <v>15.63</v>
      </c>
      <c r="N736" s="3">
        <v>31.99</v>
      </c>
      <c r="O736" s="2" t="s">
        <v>240</v>
      </c>
      <c r="P736" s="2" t="s">
        <v>266</v>
      </c>
      <c r="Q736" s="2" t="s">
        <v>234</v>
      </c>
      <c r="R736" s="2" t="s">
        <v>228</v>
      </c>
      <c r="S736" s="2" t="s">
        <v>4219</v>
      </c>
      <c r="T736" s="2" t="s">
        <v>3810</v>
      </c>
      <c r="U736" s="2" t="s">
        <v>228</v>
      </c>
      <c r="V736" s="2" t="s">
        <v>1438</v>
      </c>
      <c r="W736" s="2" t="s">
        <v>269</v>
      </c>
      <c r="X736" s="2" t="s">
        <v>228</v>
      </c>
      <c r="Y736" s="2" t="s">
        <v>3835</v>
      </c>
      <c r="Z736" s="4">
        <v>263</v>
      </c>
      <c r="AA736" s="4">
        <f>=ROUNDDOWN(4.69642857142857,0)</f>
      </c>
      <c r="AB736" s="5">
        <v>56</v>
      </c>
      <c r="AC736" s="2" t="s">
        <v>1014</v>
      </c>
      <c r="AD736" s="4">
        <v>1099</v>
      </c>
      <c r="AE736" s="4">
        <v>2171</v>
      </c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228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228</v>
      </c>
      <c r="AW736" s="8" t="s">
        <v>228</v>
      </c>
      <c r="AX736" s="4" t="s">
        <v>228</v>
      </c>
      <c r="AY736" s="8" t="s">
        <v>228</v>
      </c>
      <c r="AZ736" s="7" t="s">
        <v>228</v>
      </c>
      <c r="BA736" s="7" t="s">
        <v>228</v>
      </c>
      <c r="BB736" s="7"/>
      <c r="BC736" s="4" t="s">
        <v>228</v>
      </c>
      <c r="BD736" s="8" t="s">
        <v>228</v>
      </c>
      <c r="BE736" s="4" t="s">
        <v>228</v>
      </c>
      <c r="BF736" s="8" t="s">
        <v>228</v>
      </c>
      <c r="BG736" s="7" t="s">
        <v>228</v>
      </c>
      <c r="BH736" s="7" t="s">
        <v>228</v>
      </c>
      <c r="BI736" s="7"/>
      <c r="BJ736" s="4">
        <v>145</v>
      </c>
      <c r="BK736" s="8">
        <v>2330.28</v>
      </c>
      <c r="BL736" s="2" t="s">
        <v>4065</v>
      </c>
      <c r="BM736" s="7"/>
      <c r="BN736" s="7"/>
      <c r="BO736" s="4"/>
      <c r="BP736" s="8"/>
      <c r="BQ736" s="4"/>
      <c r="BR736" s="8"/>
      <c r="BS736" s="7"/>
      <c r="BT736" s="7"/>
      <c r="BU736" s="2" t="s">
        <v>4220</v>
      </c>
      <c r="BV736" s="2" t="s">
        <v>228</v>
      </c>
      <c r="BW736" s="2" t="s">
        <v>228</v>
      </c>
      <c r="BX736" s="2" t="s">
        <v>273</v>
      </c>
      <c r="BY736" s="2" t="s">
        <v>274</v>
      </c>
      <c r="BZ736" s="2" t="s">
        <v>240</v>
      </c>
      <c r="CA736" s="2" t="s">
        <v>4014</v>
      </c>
      <c r="CB736" s="2" t="s">
        <v>4025</v>
      </c>
      <c r="CC736" s="2" t="s">
        <v>241</v>
      </c>
      <c r="CD736" s="2" t="s">
        <v>228</v>
      </c>
      <c r="CE736" s="4">
        <v>263</v>
      </c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>
        <v>1099</v>
      </c>
      <c r="DQ736" s="4"/>
      <c r="DR736" s="4"/>
      <c r="DS736" s="4">
        <v>465</v>
      </c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>
        <v>607</v>
      </c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</row>
    <row r="737">
      <c r="A737" s="2" t="s">
        <v>4221</v>
      </c>
      <c r="B737" s="2" t="s">
        <v>299</v>
      </c>
      <c r="C737" s="2" t="s">
        <v>4000</v>
      </c>
      <c r="D737" s="2" t="s">
        <v>301</v>
      </c>
      <c r="E737" s="2" t="s">
        <v>302</v>
      </c>
      <c r="F737" s="2" t="s">
        <v>4001</v>
      </c>
      <c r="G737" s="2" t="s">
        <v>4001</v>
      </c>
      <c r="H737" s="2" t="s">
        <v>4001</v>
      </c>
      <c r="I737" s="2" t="s">
        <v>4002</v>
      </c>
      <c r="J737" s="2" t="s">
        <v>278</v>
      </c>
      <c r="K737" s="2" t="s">
        <v>4218</v>
      </c>
      <c r="L737" s="3">
        <v>16.16</v>
      </c>
      <c r="M737" s="3">
        <v>16.97</v>
      </c>
      <c r="N737" s="3">
        <v>34.99</v>
      </c>
      <c r="O737" s="2" t="s">
        <v>240</v>
      </c>
      <c r="P737" s="2" t="s">
        <v>266</v>
      </c>
      <c r="Q737" s="2" t="s">
        <v>234</v>
      </c>
      <c r="R737" s="2" t="s">
        <v>228</v>
      </c>
      <c r="S737" s="2" t="s">
        <v>4219</v>
      </c>
      <c r="T737" s="2" t="s">
        <v>3810</v>
      </c>
      <c r="U737" s="2" t="s">
        <v>228</v>
      </c>
      <c r="V737" s="2" t="s">
        <v>1438</v>
      </c>
      <c r="W737" s="2" t="s">
        <v>269</v>
      </c>
      <c r="X737" s="2" t="s">
        <v>228</v>
      </c>
      <c r="Y737" s="2" t="s">
        <v>3835</v>
      </c>
      <c r="Z737" s="4"/>
      <c r="AA737" s="4">
        <f>=ROUNDDOWN({0},0)</f>
      </c>
      <c r="AB737" s="5">
        <v>44</v>
      </c>
      <c r="AC737" s="2" t="s">
        <v>1014</v>
      </c>
      <c r="AD737" s="4">
        <v>782</v>
      </c>
      <c r="AE737" s="4">
        <v>1650</v>
      </c>
      <c r="AF737" s="6">
        <v>65</v>
      </c>
      <c r="AG737" s="6"/>
      <c r="AH737" s="7">
        <v>0.129</v>
      </c>
      <c r="AI737" s="4"/>
      <c r="AJ737" s="4">
        <f>=ROUNDDOWN({0},0)</f>
      </c>
      <c r="AK737" s="5"/>
      <c r="AL737" s="2" t="s">
        <v>228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228</v>
      </c>
      <c r="AW737" s="8" t="s">
        <v>228</v>
      </c>
      <c r="AX737" s="4" t="s">
        <v>228</v>
      </c>
      <c r="AY737" s="8" t="s">
        <v>228</v>
      </c>
      <c r="AZ737" s="7" t="s">
        <v>228</v>
      </c>
      <c r="BA737" s="7" t="s">
        <v>228</v>
      </c>
      <c r="BB737" s="7"/>
      <c r="BC737" s="4" t="s">
        <v>228</v>
      </c>
      <c r="BD737" s="8" t="s">
        <v>228</v>
      </c>
      <c r="BE737" s="4" t="s">
        <v>228</v>
      </c>
      <c r="BF737" s="8" t="s">
        <v>228</v>
      </c>
      <c r="BG737" s="7" t="s">
        <v>228</v>
      </c>
      <c r="BH737" s="7" t="s">
        <v>228</v>
      </c>
      <c r="BI737" s="7"/>
      <c r="BJ737" s="4">
        <v>147</v>
      </c>
      <c r="BK737" s="8">
        <v>2563.7</v>
      </c>
      <c r="BL737" s="2" t="s">
        <v>4222</v>
      </c>
      <c r="BM737" s="7"/>
      <c r="BN737" s="7"/>
      <c r="BO737" s="4"/>
      <c r="BP737" s="8"/>
      <c r="BQ737" s="4"/>
      <c r="BR737" s="8"/>
      <c r="BS737" s="7"/>
      <c r="BT737" s="7"/>
      <c r="BU737" s="2" t="s">
        <v>4223</v>
      </c>
      <c r="BV737" s="2" t="s">
        <v>228</v>
      </c>
      <c r="BW737" s="2" t="s">
        <v>228</v>
      </c>
      <c r="BX737" s="2" t="s">
        <v>273</v>
      </c>
      <c r="BY737" s="2" t="s">
        <v>274</v>
      </c>
      <c r="BZ737" s="2" t="s">
        <v>240</v>
      </c>
      <c r="CA737" s="2" t="s">
        <v>4014</v>
      </c>
      <c r="CB737" s="2" t="s">
        <v>4224</v>
      </c>
      <c r="CC737" s="2" t="s">
        <v>241</v>
      </c>
      <c r="CD737" s="2" t="s">
        <v>228</v>
      </c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>
        <v>782</v>
      </c>
      <c r="DQ737" s="4"/>
      <c r="DR737" s="4"/>
      <c r="DS737" s="4">
        <v>338</v>
      </c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>
        <v>530</v>
      </c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</row>
    <row r="738">
      <c r="A738" s="2" t="s">
        <v>4225</v>
      </c>
      <c r="B738" s="2" t="s">
        <v>299</v>
      </c>
      <c r="C738" s="2" t="s">
        <v>4000</v>
      </c>
      <c r="D738" s="2" t="s">
        <v>301</v>
      </c>
      <c r="E738" s="2" t="s">
        <v>302</v>
      </c>
      <c r="F738" s="2" t="s">
        <v>4001</v>
      </c>
      <c r="G738" s="2" t="s">
        <v>4001</v>
      </c>
      <c r="H738" s="2" t="s">
        <v>4001</v>
      </c>
      <c r="I738" s="2" t="s">
        <v>4002</v>
      </c>
      <c r="J738" s="2" t="s">
        <v>284</v>
      </c>
      <c r="K738" s="2" t="s">
        <v>4218</v>
      </c>
      <c r="L738" s="3">
        <v>19.57</v>
      </c>
      <c r="M738" s="3">
        <v>20.55</v>
      </c>
      <c r="N738" s="3">
        <v>42.99</v>
      </c>
      <c r="O738" s="2" t="s">
        <v>240</v>
      </c>
      <c r="P738" s="2" t="s">
        <v>266</v>
      </c>
      <c r="Q738" s="2" t="s">
        <v>234</v>
      </c>
      <c r="R738" s="2" t="s">
        <v>228</v>
      </c>
      <c r="S738" s="2" t="s">
        <v>4219</v>
      </c>
      <c r="T738" s="2" t="s">
        <v>3810</v>
      </c>
      <c r="U738" s="2" t="s">
        <v>228</v>
      </c>
      <c r="V738" s="2" t="s">
        <v>1438</v>
      </c>
      <c r="W738" s="2" t="s">
        <v>269</v>
      </c>
      <c r="X738" s="2" t="s">
        <v>228</v>
      </c>
      <c r="Y738" s="2" t="s">
        <v>3835</v>
      </c>
      <c r="Z738" s="4">
        <v>310</v>
      </c>
      <c r="AA738" s="4">
        <f>=ROUNDDOWN(7.5609756097561,0)</f>
      </c>
      <c r="AB738" s="5">
        <v>41</v>
      </c>
      <c r="AC738" s="2" t="s">
        <v>1014</v>
      </c>
      <c r="AD738" s="4">
        <v>764</v>
      </c>
      <c r="AE738" s="4">
        <v>1585</v>
      </c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228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228</v>
      </c>
      <c r="AW738" s="8" t="s">
        <v>228</v>
      </c>
      <c r="AX738" s="4" t="s">
        <v>228</v>
      </c>
      <c r="AY738" s="8" t="s">
        <v>228</v>
      </c>
      <c r="AZ738" s="7" t="s">
        <v>228</v>
      </c>
      <c r="BA738" s="7" t="s">
        <v>228</v>
      </c>
      <c r="BB738" s="7"/>
      <c r="BC738" s="4" t="s">
        <v>228</v>
      </c>
      <c r="BD738" s="8" t="s">
        <v>228</v>
      </c>
      <c r="BE738" s="4" t="s">
        <v>228</v>
      </c>
      <c r="BF738" s="8" t="s">
        <v>228</v>
      </c>
      <c r="BG738" s="7" t="s">
        <v>228</v>
      </c>
      <c r="BH738" s="7" t="s">
        <v>228</v>
      </c>
      <c r="BI738" s="7"/>
      <c r="BJ738" s="4">
        <v>93</v>
      </c>
      <c r="BK738" s="8">
        <v>2002.09</v>
      </c>
      <c r="BL738" s="2" t="s">
        <v>4226</v>
      </c>
      <c r="BM738" s="7"/>
      <c r="BN738" s="7"/>
      <c r="BO738" s="4"/>
      <c r="BP738" s="8"/>
      <c r="BQ738" s="4"/>
      <c r="BR738" s="8"/>
      <c r="BS738" s="7"/>
      <c r="BT738" s="7"/>
      <c r="BU738" s="2" t="s">
        <v>4227</v>
      </c>
      <c r="BV738" s="2" t="s">
        <v>228</v>
      </c>
      <c r="BW738" s="2" t="s">
        <v>228</v>
      </c>
      <c r="BX738" s="2" t="s">
        <v>273</v>
      </c>
      <c r="BY738" s="2" t="s">
        <v>274</v>
      </c>
      <c r="BZ738" s="2" t="s">
        <v>240</v>
      </c>
      <c r="CA738" s="2" t="s">
        <v>4014</v>
      </c>
      <c r="CB738" s="2" t="s">
        <v>4025</v>
      </c>
      <c r="CC738" s="2" t="s">
        <v>241</v>
      </c>
      <c r="CD738" s="2" t="s">
        <v>228</v>
      </c>
      <c r="CE738" s="4">
        <v>310</v>
      </c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>
        <v>764</v>
      </c>
      <c r="DQ738" s="4"/>
      <c r="DR738" s="4"/>
      <c r="DS738" s="4">
        <v>345</v>
      </c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>
        <v>476</v>
      </c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</row>
    <row r="739">
      <c r="A739" s="2" t="s">
        <v>4228</v>
      </c>
      <c r="B739" s="2" t="s">
        <v>299</v>
      </c>
      <c r="C739" s="2" t="s">
        <v>4000</v>
      </c>
      <c r="D739" s="2" t="s">
        <v>301</v>
      </c>
      <c r="E739" s="2" t="s">
        <v>302</v>
      </c>
      <c r="F739" s="2" t="s">
        <v>4001</v>
      </c>
      <c r="G739" s="2" t="s">
        <v>4001</v>
      </c>
      <c r="H739" s="2" t="s">
        <v>4001</v>
      </c>
      <c r="I739" s="2" t="s">
        <v>4002</v>
      </c>
      <c r="J739" s="2" t="s">
        <v>289</v>
      </c>
      <c r="K739" s="2" t="s">
        <v>4218</v>
      </c>
      <c r="L739" s="3">
        <v>22.21</v>
      </c>
      <c r="M739" s="3">
        <v>23.32</v>
      </c>
      <c r="N739" s="3">
        <v>47.99</v>
      </c>
      <c r="O739" s="2" t="s">
        <v>240</v>
      </c>
      <c r="P739" s="2" t="s">
        <v>715</v>
      </c>
      <c r="Q739" s="2" t="s">
        <v>234</v>
      </c>
      <c r="R739" s="2" t="s">
        <v>228</v>
      </c>
      <c r="S739" s="2" t="s">
        <v>4219</v>
      </c>
      <c r="T739" s="2" t="s">
        <v>3810</v>
      </c>
      <c r="U739" s="2" t="s">
        <v>228</v>
      </c>
      <c r="V739" s="2" t="s">
        <v>1438</v>
      </c>
      <c r="W739" s="2" t="s">
        <v>269</v>
      </c>
      <c r="X739" s="2" t="s">
        <v>228</v>
      </c>
      <c r="Y739" s="2" t="s">
        <v>3835</v>
      </c>
      <c r="Z739" s="4">
        <v>179</v>
      </c>
      <c r="AA739" s="4">
        <f>=ROUNDDOWN(3.97777777777778,0)</f>
      </c>
      <c r="AB739" s="5">
        <v>45</v>
      </c>
      <c r="AC739" s="2" t="s">
        <v>1014</v>
      </c>
      <c r="AD739" s="4">
        <v>820</v>
      </c>
      <c r="AE739" s="4">
        <v>1725</v>
      </c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228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228</v>
      </c>
      <c r="AW739" s="8" t="s">
        <v>228</v>
      </c>
      <c r="AX739" s="4" t="s">
        <v>228</v>
      </c>
      <c r="AY739" s="8" t="s">
        <v>228</v>
      </c>
      <c r="AZ739" s="7" t="s">
        <v>228</v>
      </c>
      <c r="BA739" s="7" t="s">
        <v>228</v>
      </c>
      <c r="BB739" s="7"/>
      <c r="BC739" s="4" t="s">
        <v>228</v>
      </c>
      <c r="BD739" s="8" t="s">
        <v>228</v>
      </c>
      <c r="BE739" s="4" t="s">
        <v>228</v>
      </c>
      <c r="BF739" s="8" t="s">
        <v>228</v>
      </c>
      <c r="BG739" s="7" t="s">
        <v>228</v>
      </c>
      <c r="BH739" s="7" t="s">
        <v>228</v>
      </c>
      <c r="BI739" s="7"/>
      <c r="BJ739" s="4">
        <v>114</v>
      </c>
      <c r="BK739" s="8">
        <v>2734.83</v>
      </c>
      <c r="BL739" s="2" t="s">
        <v>3763</v>
      </c>
      <c r="BM739" s="7"/>
      <c r="BN739" s="7"/>
      <c r="BO739" s="4"/>
      <c r="BP739" s="8"/>
      <c r="BQ739" s="4"/>
      <c r="BR739" s="8"/>
      <c r="BS739" s="7"/>
      <c r="BT739" s="7"/>
      <c r="BU739" s="2" t="s">
        <v>4229</v>
      </c>
      <c r="BV739" s="2" t="s">
        <v>228</v>
      </c>
      <c r="BW739" s="2" t="s">
        <v>228</v>
      </c>
      <c r="BX739" s="2" t="s">
        <v>273</v>
      </c>
      <c r="BY739" s="2" t="s">
        <v>274</v>
      </c>
      <c r="BZ739" s="2" t="s">
        <v>240</v>
      </c>
      <c r="CA739" s="2" t="s">
        <v>4014</v>
      </c>
      <c r="CB739" s="2" t="s">
        <v>4067</v>
      </c>
      <c r="CC739" s="2" t="s">
        <v>241</v>
      </c>
      <c r="CD739" s="2" t="s">
        <v>228</v>
      </c>
      <c r="CE739" s="4">
        <v>179</v>
      </c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>
        <v>820</v>
      </c>
      <c r="DQ739" s="4"/>
      <c r="DR739" s="4"/>
      <c r="DS739" s="4">
        <v>382</v>
      </c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>
        <v>523</v>
      </c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</row>
    <row r="740">
      <c r="A740" s="2" t="s">
        <v>4230</v>
      </c>
      <c r="B740" s="2" t="s">
        <v>299</v>
      </c>
      <c r="C740" s="2" t="s">
        <v>4000</v>
      </c>
      <c r="D740" s="2" t="s">
        <v>301</v>
      </c>
      <c r="E740" s="2" t="s">
        <v>302</v>
      </c>
      <c r="F740" s="2" t="s">
        <v>4001</v>
      </c>
      <c r="G740" s="2" t="s">
        <v>4001</v>
      </c>
      <c r="H740" s="2" t="s">
        <v>4001</v>
      </c>
      <c r="I740" s="2" t="s">
        <v>4002</v>
      </c>
      <c r="J740" s="2" t="s">
        <v>294</v>
      </c>
      <c r="K740" s="2" t="s">
        <v>4218</v>
      </c>
      <c r="L740" s="3">
        <v>27.39</v>
      </c>
      <c r="M740" s="3">
        <v>28.76</v>
      </c>
      <c r="N740" s="3">
        <v>62.99</v>
      </c>
      <c r="O740" s="2" t="s">
        <v>240</v>
      </c>
      <c r="P740" s="2" t="s">
        <v>266</v>
      </c>
      <c r="Q740" s="2" t="s">
        <v>234</v>
      </c>
      <c r="R740" s="2" t="s">
        <v>228</v>
      </c>
      <c r="S740" s="2" t="s">
        <v>4219</v>
      </c>
      <c r="T740" s="2" t="s">
        <v>3810</v>
      </c>
      <c r="U740" s="2" t="s">
        <v>228</v>
      </c>
      <c r="V740" s="2" t="s">
        <v>1438</v>
      </c>
      <c r="W740" s="2" t="s">
        <v>269</v>
      </c>
      <c r="X740" s="2" t="s">
        <v>228</v>
      </c>
      <c r="Y740" s="2" t="s">
        <v>3835</v>
      </c>
      <c r="Z740" s="4">
        <v>181</v>
      </c>
      <c r="AA740" s="4">
        <f>=ROUNDDOWN(8.22727272727273,0)</f>
      </c>
      <c r="AB740" s="5">
        <v>22</v>
      </c>
      <c r="AC740" s="2" t="s">
        <v>1014</v>
      </c>
      <c r="AD740" s="4">
        <v>375</v>
      </c>
      <c r="AE740" s="4">
        <v>856</v>
      </c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228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228</v>
      </c>
      <c r="AW740" s="8" t="s">
        <v>228</v>
      </c>
      <c r="AX740" s="4" t="s">
        <v>228</v>
      </c>
      <c r="AY740" s="8" t="s">
        <v>228</v>
      </c>
      <c r="AZ740" s="7" t="s">
        <v>228</v>
      </c>
      <c r="BA740" s="7" t="s">
        <v>228</v>
      </c>
      <c r="BB740" s="7"/>
      <c r="BC740" s="4" t="s">
        <v>228</v>
      </c>
      <c r="BD740" s="8" t="s">
        <v>228</v>
      </c>
      <c r="BE740" s="4" t="s">
        <v>228</v>
      </c>
      <c r="BF740" s="8" t="s">
        <v>228</v>
      </c>
      <c r="BG740" s="7" t="s">
        <v>228</v>
      </c>
      <c r="BH740" s="7" t="s">
        <v>228</v>
      </c>
      <c r="BI740" s="7"/>
      <c r="BJ740" s="4">
        <v>10</v>
      </c>
      <c r="BK740" s="8">
        <v>301.2</v>
      </c>
      <c r="BL740" s="2" t="s">
        <v>3793</v>
      </c>
      <c r="BM740" s="7"/>
      <c r="BN740" s="7"/>
      <c r="BO740" s="4"/>
      <c r="BP740" s="8"/>
      <c r="BQ740" s="4"/>
      <c r="BR740" s="8"/>
      <c r="BS740" s="7"/>
      <c r="BT740" s="7"/>
      <c r="BU740" s="2" t="s">
        <v>4231</v>
      </c>
      <c r="BV740" s="2" t="s">
        <v>228</v>
      </c>
      <c r="BW740" s="2" t="s">
        <v>228</v>
      </c>
      <c r="BX740" s="2" t="s">
        <v>273</v>
      </c>
      <c r="BY740" s="2" t="s">
        <v>274</v>
      </c>
      <c r="BZ740" s="2" t="s">
        <v>240</v>
      </c>
      <c r="CA740" s="2" t="s">
        <v>4014</v>
      </c>
      <c r="CB740" s="2" t="s">
        <v>4232</v>
      </c>
      <c r="CC740" s="2" t="s">
        <v>241</v>
      </c>
      <c r="CD740" s="2" t="s">
        <v>228</v>
      </c>
      <c r="CE740" s="4">
        <v>181</v>
      </c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>
        <v>375</v>
      </c>
      <c r="DQ740" s="4"/>
      <c r="DR740" s="4"/>
      <c r="DS740" s="4">
        <v>197</v>
      </c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>
        <v>284</v>
      </c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</row>
    <row r="741">
      <c r="A741" s="2" t="s">
        <v>4233</v>
      </c>
      <c r="B741" s="2" t="s">
        <v>299</v>
      </c>
      <c r="C741" s="2" t="s">
        <v>4000</v>
      </c>
      <c r="D741" s="2" t="s">
        <v>301</v>
      </c>
      <c r="E741" s="2" t="s">
        <v>302</v>
      </c>
      <c r="F741" s="2" t="s">
        <v>4001</v>
      </c>
      <c r="G741" s="2" t="s">
        <v>4001</v>
      </c>
      <c r="H741" s="2" t="s">
        <v>4001</v>
      </c>
      <c r="I741" s="2" t="s">
        <v>4002</v>
      </c>
      <c r="J741" s="2" t="s">
        <v>264</v>
      </c>
      <c r="K741" s="2" t="s">
        <v>4234</v>
      </c>
      <c r="L741" s="3">
        <v>14.89</v>
      </c>
      <c r="M741" s="3">
        <v>15.63</v>
      </c>
      <c r="N741" s="3">
        <v>31.99</v>
      </c>
      <c r="O741" s="2" t="s">
        <v>240</v>
      </c>
      <c r="P741" s="2" t="s">
        <v>815</v>
      </c>
      <c r="Q741" s="2" t="s">
        <v>234</v>
      </c>
      <c r="R741" s="2" t="s">
        <v>228</v>
      </c>
      <c r="S741" s="2" t="s">
        <v>4235</v>
      </c>
      <c r="T741" s="2" t="s">
        <v>3810</v>
      </c>
      <c r="U741" s="2" t="s">
        <v>228</v>
      </c>
      <c r="V741" s="2" t="s">
        <v>3717</v>
      </c>
      <c r="W741" s="2" t="s">
        <v>269</v>
      </c>
      <c r="X741" s="2" t="s">
        <v>228</v>
      </c>
      <c r="Y741" s="2" t="s">
        <v>4080</v>
      </c>
      <c r="Z741" s="4">
        <v>164</v>
      </c>
      <c r="AA741" s="4">
        <f>=ROUNDDOWN(1.88505747126437,0)</f>
      </c>
      <c r="AB741" s="5">
        <v>87</v>
      </c>
      <c r="AC741" s="2" t="s">
        <v>1014</v>
      </c>
      <c r="AD741" s="4">
        <v>1676</v>
      </c>
      <c r="AE741" s="4">
        <v>3337</v>
      </c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228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228</v>
      </c>
      <c r="AW741" s="8" t="s">
        <v>228</v>
      </c>
      <c r="AX741" s="4" t="s">
        <v>228</v>
      </c>
      <c r="AY741" s="8" t="s">
        <v>228</v>
      </c>
      <c r="AZ741" s="7" t="s">
        <v>228</v>
      </c>
      <c r="BA741" s="7" t="s">
        <v>228</v>
      </c>
      <c r="BB741" s="7"/>
      <c r="BC741" s="4" t="s">
        <v>228</v>
      </c>
      <c r="BD741" s="8" t="s">
        <v>228</v>
      </c>
      <c r="BE741" s="4" t="s">
        <v>228</v>
      </c>
      <c r="BF741" s="8" t="s">
        <v>228</v>
      </c>
      <c r="BG741" s="7" t="s">
        <v>228</v>
      </c>
      <c r="BH741" s="7" t="s">
        <v>228</v>
      </c>
      <c r="BI741" s="7"/>
      <c r="BJ741" s="4">
        <v>357</v>
      </c>
      <c r="BK741" s="8">
        <v>5656.86</v>
      </c>
      <c r="BL741" s="2" t="s">
        <v>4093</v>
      </c>
      <c r="BM741" s="7"/>
      <c r="BN741" s="7"/>
      <c r="BO741" s="4"/>
      <c r="BP741" s="8"/>
      <c r="BQ741" s="4"/>
      <c r="BR741" s="8"/>
      <c r="BS741" s="7"/>
      <c r="BT741" s="7"/>
      <c r="BU741" s="2" t="s">
        <v>4236</v>
      </c>
      <c r="BV741" s="2" t="s">
        <v>228</v>
      </c>
      <c r="BW741" s="2" t="s">
        <v>228</v>
      </c>
      <c r="BX741" s="2" t="s">
        <v>273</v>
      </c>
      <c r="BY741" s="2" t="s">
        <v>274</v>
      </c>
      <c r="BZ741" s="2" t="s">
        <v>240</v>
      </c>
      <c r="CA741" s="2" t="s">
        <v>3871</v>
      </c>
      <c r="CB741" s="2" t="s">
        <v>985</v>
      </c>
      <c r="CC741" s="2" t="s">
        <v>241</v>
      </c>
      <c r="CD741" s="2" t="s">
        <v>228</v>
      </c>
      <c r="CE741" s="4">
        <v>164</v>
      </c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>
        <v>1676</v>
      </c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>
        <v>717</v>
      </c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>
        <v>944</v>
      </c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</row>
    <row r="742">
      <c r="A742" s="2" t="s">
        <v>4237</v>
      </c>
      <c r="B742" s="2" t="s">
        <v>299</v>
      </c>
      <c r="C742" s="2" t="s">
        <v>4000</v>
      </c>
      <c r="D742" s="2" t="s">
        <v>301</v>
      </c>
      <c r="E742" s="2" t="s">
        <v>302</v>
      </c>
      <c r="F742" s="2" t="s">
        <v>4001</v>
      </c>
      <c r="G742" s="2" t="s">
        <v>4001</v>
      </c>
      <c r="H742" s="2" t="s">
        <v>4001</v>
      </c>
      <c r="I742" s="2" t="s">
        <v>4002</v>
      </c>
      <c r="J742" s="2" t="s">
        <v>278</v>
      </c>
      <c r="K742" s="2" t="s">
        <v>4234</v>
      </c>
      <c r="L742" s="3">
        <v>16.16</v>
      </c>
      <c r="M742" s="3">
        <v>16.97</v>
      </c>
      <c r="N742" s="3">
        <v>34.99</v>
      </c>
      <c r="O742" s="2" t="s">
        <v>240</v>
      </c>
      <c r="P742" s="2" t="s">
        <v>889</v>
      </c>
      <c r="Q742" s="2" t="s">
        <v>234</v>
      </c>
      <c r="R742" s="2" t="s">
        <v>228</v>
      </c>
      <c r="S742" s="2" t="s">
        <v>4235</v>
      </c>
      <c r="T742" s="2" t="s">
        <v>3810</v>
      </c>
      <c r="U742" s="2" t="s">
        <v>228</v>
      </c>
      <c r="V742" s="2" t="s">
        <v>3717</v>
      </c>
      <c r="W742" s="2" t="s">
        <v>269</v>
      </c>
      <c r="X742" s="2" t="s">
        <v>228</v>
      </c>
      <c r="Y742" s="2" t="s">
        <v>4080</v>
      </c>
      <c r="Z742" s="4"/>
      <c r="AA742" s="4">
        <f>=ROUNDDOWN({0},0)</f>
      </c>
      <c r="AB742" s="5">
        <v>50</v>
      </c>
      <c r="AC742" s="2" t="s">
        <v>1014</v>
      </c>
      <c r="AD742" s="4">
        <v>890</v>
      </c>
      <c r="AE742" s="4">
        <v>1921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228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228</v>
      </c>
      <c r="AW742" s="8" t="s">
        <v>228</v>
      </c>
      <c r="AX742" s="4" t="s">
        <v>228</v>
      </c>
      <c r="AY742" s="8" t="s">
        <v>228</v>
      </c>
      <c r="AZ742" s="7" t="s">
        <v>228</v>
      </c>
      <c r="BA742" s="7" t="s">
        <v>228</v>
      </c>
      <c r="BB742" s="7"/>
      <c r="BC742" s="4" t="s">
        <v>228</v>
      </c>
      <c r="BD742" s="8" t="s">
        <v>228</v>
      </c>
      <c r="BE742" s="4" t="s">
        <v>228</v>
      </c>
      <c r="BF742" s="8" t="s">
        <v>228</v>
      </c>
      <c r="BG742" s="7" t="s">
        <v>228</v>
      </c>
      <c r="BH742" s="7" t="s">
        <v>228</v>
      </c>
      <c r="BI742" s="7"/>
      <c r="BJ742" s="4">
        <v>269</v>
      </c>
      <c r="BK742" s="8">
        <v>4770.76</v>
      </c>
      <c r="BL742" s="2" t="s">
        <v>4238</v>
      </c>
      <c r="BM742" s="7"/>
      <c r="BN742" s="7"/>
      <c r="BO742" s="4"/>
      <c r="BP742" s="8"/>
      <c r="BQ742" s="4"/>
      <c r="BR742" s="8"/>
      <c r="BS742" s="7"/>
      <c r="BT742" s="7"/>
      <c r="BU742" s="2" t="s">
        <v>4239</v>
      </c>
      <c r="BV742" s="2" t="s">
        <v>228</v>
      </c>
      <c r="BW742" s="2" t="s">
        <v>228</v>
      </c>
      <c r="BX742" s="2" t="s">
        <v>273</v>
      </c>
      <c r="BY742" s="2" t="s">
        <v>274</v>
      </c>
      <c r="BZ742" s="2" t="s">
        <v>240</v>
      </c>
      <c r="CA742" s="2" t="s">
        <v>4240</v>
      </c>
      <c r="CB742" s="2" t="s">
        <v>3948</v>
      </c>
      <c r="CC742" s="2" t="s">
        <v>241</v>
      </c>
      <c r="CD742" s="2" t="s">
        <v>228</v>
      </c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>
        <v>890</v>
      </c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>
        <v>430</v>
      </c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>
        <v>601</v>
      </c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</row>
    <row r="743">
      <c r="A743" s="2" t="s">
        <v>4241</v>
      </c>
      <c r="B743" s="2" t="s">
        <v>299</v>
      </c>
      <c r="C743" s="2" t="s">
        <v>4000</v>
      </c>
      <c r="D743" s="2" t="s">
        <v>301</v>
      </c>
      <c r="E743" s="2" t="s">
        <v>302</v>
      </c>
      <c r="F743" s="2" t="s">
        <v>4001</v>
      </c>
      <c r="G743" s="2" t="s">
        <v>4001</v>
      </c>
      <c r="H743" s="2" t="s">
        <v>4001</v>
      </c>
      <c r="I743" s="2" t="s">
        <v>4002</v>
      </c>
      <c r="J743" s="2" t="s">
        <v>284</v>
      </c>
      <c r="K743" s="2" t="s">
        <v>4234</v>
      </c>
      <c r="L743" s="3">
        <v>19.57</v>
      </c>
      <c r="M743" s="3">
        <v>20.55</v>
      </c>
      <c r="N743" s="3">
        <v>42.99</v>
      </c>
      <c r="O743" s="2" t="s">
        <v>240</v>
      </c>
      <c r="P743" s="2" t="s">
        <v>266</v>
      </c>
      <c r="Q743" s="2" t="s">
        <v>234</v>
      </c>
      <c r="R743" s="2" t="s">
        <v>228</v>
      </c>
      <c r="S743" s="2" t="s">
        <v>4235</v>
      </c>
      <c r="T743" s="2" t="s">
        <v>3810</v>
      </c>
      <c r="U743" s="2" t="s">
        <v>228</v>
      </c>
      <c r="V743" s="2" t="s">
        <v>3717</v>
      </c>
      <c r="W743" s="2" t="s">
        <v>269</v>
      </c>
      <c r="X743" s="2" t="s">
        <v>228</v>
      </c>
      <c r="Y743" s="2" t="s">
        <v>4080</v>
      </c>
      <c r="Z743" s="4">
        <v>250</v>
      </c>
      <c r="AA743" s="4">
        <f>=ROUNDDOWN(5.95238095238095,0)</f>
      </c>
      <c r="AB743" s="5">
        <v>42</v>
      </c>
      <c r="AC743" s="2" t="s">
        <v>1014</v>
      </c>
      <c r="AD743" s="4">
        <v>723</v>
      </c>
      <c r="AE743" s="4">
        <v>1611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228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228</v>
      </c>
      <c r="AW743" s="8" t="s">
        <v>228</v>
      </c>
      <c r="AX743" s="4" t="s">
        <v>228</v>
      </c>
      <c r="AY743" s="8" t="s">
        <v>228</v>
      </c>
      <c r="AZ743" s="7" t="s">
        <v>228</v>
      </c>
      <c r="BA743" s="7" t="s">
        <v>228</v>
      </c>
      <c r="BB743" s="7"/>
      <c r="BC743" s="4" t="s">
        <v>228</v>
      </c>
      <c r="BD743" s="8" t="s">
        <v>228</v>
      </c>
      <c r="BE743" s="4" t="s">
        <v>228</v>
      </c>
      <c r="BF743" s="8" t="s">
        <v>228</v>
      </c>
      <c r="BG743" s="7" t="s">
        <v>228</v>
      </c>
      <c r="BH743" s="7" t="s">
        <v>228</v>
      </c>
      <c r="BI743" s="7"/>
      <c r="BJ743" s="4">
        <v>71</v>
      </c>
      <c r="BK743" s="8">
        <v>1519.68</v>
      </c>
      <c r="BL743" s="2" t="s">
        <v>3763</v>
      </c>
      <c r="BM743" s="7"/>
      <c r="BN743" s="7"/>
      <c r="BO743" s="4"/>
      <c r="BP743" s="8"/>
      <c r="BQ743" s="4"/>
      <c r="BR743" s="8"/>
      <c r="BS743" s="7"/>
      <c r="BT743" s="7"/>
      <c r="BU743" s="2" t="s">
        <v>4242</v>
      </c>
      <c r="BV743" s="2" t="s">
        <v>228</v>
      </c>
      <c r="BW743" s="2" t="s">
        <v>228</v>
      </c>
      <c r="BX743" s="2" t="s">
        <v>273</v>
      </c>
      <c r="BY743" s="2" t="s">
        <v>274</v>
      </c>
      <c r="BZ743" s="2" t="s">
        <v>240</v>
      </c>
      <c r="CA743" s="2" t="s">
        <v>3871</v>
      </c>
      <c r="CB743" s="2" t="s">
        <v>433</v>
      </c>
      <c r="CC743" s="2" t="s">
        <v>241</v>
      </c>
      <c r="CD743" s="2" t="s">
        <v>228</v>
      </c>
      <c r="CE743" s="4">
        <v>250</v>
      </c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>
        <v>723</v>
      </c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>
        <v>366</v>
      </c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>
        <v>522</v>
      </c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</row>
    <row r="744">
      <c r="A744" s="2" t="s">
        <v>4243</v>
      </c>
      <c r="B744" s="2" t="s">
        <v>299</v>
      </c>
      <c r="C744" s="2" t="s">
        <v>4000</v>
      </c>
      <c r="D744" s="2" t="s">
        <v>301</v>
      </c>
      <c r="E744" s="2" t="s">
        <v>302</v>
      </c>
      <c r="F744" s="2" t="s">
        <v>4001</v>
      </c>
      <c r="G744" s="2" t="s">
        <v>4001</v>
      </c>
      <c r="H744" s="2" t="s">
        <v>4001</v>
      </c>
      <c r="I744" s="2" t="s">
        <v>4002</v>
      </c>
      <c r="J744" s="2" t="s">
        <v>289</v>
      </c>
      <c r="K744" s="2" t="s">
        <v>4234</v>
      </c>
      <c r="L744" s="3">
        <v>22.21</v>
      </c>
      <c r="M744" s="3">
        <v>23.32</v>
      </c>
      <c r="N744" s="3">
        <v>47.99</v>
      </c>
      <c r="O744" s="2" t="s">
        <v>240</v>
      </c>
      <c r="P744" s="2" t="s">
        <v>815</v>
      </c>
      <c r="Q744" s="2" t="s">
        <v>234</v>
      </c>
      <c r="R744" s="2" t="s">
        <v>228</v>
      </c>
      <c r="S744" s="2" t="s">
        <v>4235</v>
      </c>
      <c r="T744" s="2" t="s">
        <v>3810</v>
      </c>
      <c r="U744" s="2" t="s">
        <v>228</v>
      </c>
      <c r="V744" s="2" t="s">
        <v>3717</v>
      </c>
      <c r="W744" s="2" t="s">
        <v>269</v>
      </c>
      <c r="X744" s="2" t="s">
        <v>228</v>
      </c>
      <c r="Y744" s="2" t="s">
        <v>4080</v>
      </c>
      <c r="Z744" s="4">
        <v>307</v>
      </c>
      <c r="AA744" s="4">
        <f>=ROUNDDOWN(3.69879518072289,0)</f>
      </c>
      <c r="AB744" s="5">
        <v>83</v>
      </c>
      <c r="AC744" s="2" t="s">
        <v>1014</v>
      </c>
      <c r="AD744" s="4">
        <v>1529</v>
      </c>
      <c r="AE744" s="4">
        <v>3164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228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228</v>
      </c>
      <c r="AW744" s="8" t="s">
        <v>228</v>
      </c>
      <c r="AX744" s="4" t="s">
        <v>228</v>
      </c>
      <c r="AY744" s="8" t="s">
        <v>228</v>
      </c>
      <c r="AZ744" s="7" t="s">
        <v>228</v>
      </c>
      <c r="BA744" s="7" t="s">
        <v>228</v>
      </c>
      <c r="BB744" s="7"/>
      <c r="BC744" s="4" t="s">
        <v>228</v>
      </c>
      <c r="BD744" s="8" t="s">
        <v>228</v>
      </c>
      <c r="BE744" s="4" t="s">
        <v>228</v>
      </c>
      <c r="BF744" s="8" t="s">
        <v>228</v>
      </c>
      <c r="BG744" s="7" t="s">
        <v>228</v>
      </c>
      <c r="BH744" s="7" t="s">
        <v>228</v>
      </c>
      <c r="BI744" s="7"/>
      <c r="BJ744" s="4">
        <v>249</v>
      </c>
      <c r="BK744" s="8">
        <v>6051.63</v>
      </c>
      <c r="BL744" s="2" t="s">
        <v>4244</v>
      </c>
      <c r="BM744" s="7"/>
      <c r="BN744" s="7"/>
      <c r="BO744" s="4"/>
      <c r="BP744" s="8"/>
      <c r="BQ744" s="4"/>
      <c r="BR744" s="8"/>
      <c r="BS744" s="7"/>
      <c r="BT744" s="7"/>
      <c r="BU744" s="2" t="s">
        <v>4245</v>
      </c>
      <c r="BV744" s="2" t="s">
        <v>228</v>
      </c>
      <c r="BW744" s="2" t="s">
        <v>228</v>
      </c>
      <c r="BX744" s="2" t="s">
        <v>273</v>
      </c>
      <c r="BY744" s="2" t="s">
        <v>274</v>
      </c>
      <c r="BZ744" s="2" t="s">
        <v>240</v>
      </c>
      <c r="CA744" s="2" t="s">
        <v>3871</v>
      </c>
      <c r="CB744" s="2" t="s">
        <v>1955</v>
      </c>
      <c r="CC744" s="2" t="s">
        <v>241</v>
      </c>
      <c r="CD744" s="2" t="s">
        <v>228</v>
      </c>
      <c r="CE744" s="4">
        <v>307</v>
      </c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>
        <v>1529</v>
      </c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>
        <v>694</v>
      </c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>
        <v>941</v>
      </c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</row>
    <row r="745">
      <c r="A745" s="2" t="s">
        <v>4246</v>
      </c>
      <c r="B745" s="2" t="s">
        <v>299</v>
      </c>
      <c r="C745" s="2" t="s">
        <v>4000</v>
      </c>
      <c r="D745" s="2" t="s">
        <v>301</v>
      </c>
      <c r="E745" s="2" t="s">
        <v>302</v>
      </c>
      <c r="F745" s="2" t="s">
        <v>4001</v>
      </c>
      <c r="G745" s="2" t="s">
        <v>4001</v>
      </c>
      <c r="H745" s="2" t="s">
        <v>4001</v>
      </c>
      <c r="I745" s="2" t="s">
        <v>4002</v>
      </c>
      <c r="J745" s="2" t="s">
        <v>294</v>
      </c>
      <c r="K745" s="2" t="s">
        <v>4234</v>
      </c>
      <c r="L745" s="3">
        <v>27.39</v>
      </c>
      <c r="M745" s="3">
        <v>28.76</v>
      </c>
      <c r="N745" s="3">
        <v>62.99</v>
      </c>
      <c r="O745" s="2" t="s">
        <v>240</v>
      </c>
      <c r="P745" s="2" t="s">
        <v>715</v>
      </c>
      <c r="Q745" s="2" t="s">
        <v>234</v>
      </c>
      <c r="R745" s="2" t="s">
        <v>228</v>
      </c>
      <c r="S745" s="2" t="s">
        <v>4235</v>
      </c>
      <c r="T745" s="2" t="s">
        <v>3810</v>
      </c>
      <c r="U745" s="2" t="s">
        <v>228</v>
      </c>
      <c r="V745" s="2" t="s">
        <v>3717</v>
      </c>
      <c r="W745" s="2" t="s">
        <v>269</v>
      </c>
      <c r="X745" s="2" t="s">
        <v>228</v>
      </c>
      <c r="Y745" s="2" t="s">
        <v>4247</v>
      </c>
      <c r="Z745" s="4">
        <v>298</v>
      </c>
      <c r="AA745" s="4">
        <f>=ROUNDDOWN(7.0952380952381,0)</f>
      </c>
      <c r="AB745" s="5">
        <v>42</v>
      </c>
      <c r="AC745" s="2" t="s">
        <v>1014</v>
      </c>
      <c r="AD745" s="4">
        <v>739</v>
      </c>
      <c r="AE745" s="4">
        <v>1616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228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228</v>
      </c>
      <c r="AW745" s="8" t="s">
        <v>228</v>
      </c>
      <c r="AX745" s="4" t="s">
        <v>228</v>
      </c>
      <c r="AY745" s="8" t="s">
        <v>228</v>
      </c>
      <c r="AZ745" s="7" t="s">
        <v>228</v>
      </c>
      <c r="BA745" s="7" t="s">
        <v>228</v>
      </c>
      <c r="BB745" s="7"/>
      <c r="BC745" s="4" t="s">
        <v>228</v>
      </c>
      <c r="BD745" s="8" t="s">
        <v>228</v>
      </c>
      <c r="BE745" s="4" t="s">
        <v>228</v>
      </c>
      <c r="BF745" s="8" t="s">
        <v>228</v>
      </c>
      <c r="BG745" s="7" t="s">
        <v>228</v>
      </c>
      <c r="BH745" s="7" t="s">
        <v>228</v>
      </c>
      <c r="BI745" s="7"/>
      <c r="BJ745" s="4">
        <v>47</v>
      </c>
      <c r="BK745" s="8">
        <v>1371.86</v>
      </c>
      <c r="BL745" s="2" t="s">
        <v>4100</v>
      </c>
      <c r="BM745" s="7"/>
      <c r="BN745" s="7"/>
      <c r="BO745" s="4"/>
      <c r="BP745" s="8"/>
      <c r="BQ745" s="4"/>
      <c r="BR745" s="8"/>
      <c r="BS745" s="7"/>
      <c r="BT745" s="7"/>
      <c r="BU745" s="2" t="s">
        <v>4248</v>
      </c>
      <c r="BV745" s="2" t="s">
        <v>228</v>
      </c>
      <c r="BW745" s="2" t="s">
        <v>228</v>
      </c>
      <c r="BX745" s="2" t="s">
        <v>273</v>
      </c>
      <c r="BY745" s="2" t="s">
        <v>274</v>
      </c>
      <c r="BZ745" s="2" t="s">
        <v>240</v>
      </c>
      <c r="CA745" s="2" t="s">
        <v>3871</v>
      </c>
      <c r="CB745" s="2" t="s">
        <v>1951</v>
      </c>
      <c r="CC745" s="2" t="s">
        <v>241</v>
      </c>
      <c r="CD745" s="2" t="s">
        <v>228</v>
      </c>
      <c r="CE745" s="4">
        <v>298</v>
      </c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>
        <v>739</v>
      </c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>
        <v>364</v>
      </c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>
        <v>513</v>
      </c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</row>
    <row r="746">
      <c r="A746" s="2" t="s">
        <v>4249</v>
      </c>
      <c r="B746" s="2" t="s">
        <v>299</v>
      </c>
      <c r="C746" s="2" t="s">
        <v>4000</v>
      </c>
      <c r="D746" s="2" t="s">
        <v>301</v>
      </c>
      <c r="E746" s="2" t="s">
        <v>302</v>
      </c>
      <c r="F746" s="2" t="s">
        <v>4001</v>
      </c>
      <c r="G746" s="2" t="s">
        <v>4001</v>
      </c>
      <c r="H746" s="2" t="s">
        <v>4001</v>
      </c>
      <c r="I746" s="2" t="s">
        <v>4002</v>
      </c>
      <c r="J746" s="2" t="s">
        <v>284</v>
      </c>
      <c r="K746" s="2" t="s">
        <v>3934</v>
      </c>
      <c r="L746" s="3">
        <v>19.57</v>
      </c>
      <c r="M746" s="3">
        <v>20.55</v>
      </c>
      <c r="N746" s="3">
        <v>42.99</v>
      </c>
      <c r="O746" s="2" t="s">
        <v>240</v>
      </c>
      <c r="P746" s="2" t="s">
        <v>715</v>
      </c>
      <c r="Q746" s="2" t="s">
        <v>234</v>
      </c>
      <c r="R746" s="2" t="s">
        <v>228</v>
      </c>
      <c r="S746" s="2" t="s">
        <v>4250</v>
      </c>
      <c r="T746" s="2" t="s">
        <v>3810</v>
      </c>
      <c r="U746" s="2" t="s">
        <v>228</v>
      </c>
      <c r="V746" s="2" t="s">
        <v>1438</v>
      </c>
      <c r="W746" s="2" t="s">
        <v>269</v>
      </c>
      <c r="X746" s="2" t="s">
        <v>228</v>
      </c>
      <c r="Y746" s="2" t="s">
        <v>270</v>
      </c>
      <c r="Z746" s="4">
        <v>238</v>
      </c>
      <c r="AA746" s="4">
        <f>=ROUNDDOWN(7.67741935483871,0)</f>
      </c>
      <c r="AB746" s="5">
        <v>31</v>
      </c>
      <c r="AC746" s="2" t="s">
        <v>1439</v>
      </c>
      <c r="AD746" s="4">
        <v>539</v>
      </c>
      <c r="AE746" s="4">
        <v>1207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228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228</v>
      </c>
      <c r="AW746" s="8" t="s">
        <v>228</v>
      </c>
      <c r="AX746" s="4" t="s">
        <v>228</v>
      </c>
      <c r="AY746" s="8" t="s">
        <v>228</v>
      </c>
      <c r="AZ746" s="7" t="s">
        <v>228</v>
      </c>
      <c r="BA746" s="7" t="s">
        <v>228</v>
      </c>
      <c r="BB746" s="7"/>
      <c r="BC746" s="4" t="s">
        <v>228</v>
      </c>
      <c r="BD746" s="8" t="s">
        <v>228</v>
      </c>
      <c r="BE746" s="4" t="s">
        <v>228</v>
      </c>
      <c r="BF746" s="8" t="s">
        <v>228</v>
      </c>
      <c r="BG746" s="7" t="s">
        <v>228</v>
      </c>
      <c r="BH746" s="7" t="s">
        <v>228</v>
      </c>
      <c r="BI746" s="7"/>
      <c r="BJ746" s="4">
        <v>26</v>
      </c>
      <c r="BK746" s="8">
        <v>570.05</v>
      </c>
      <c r="BL746" s="2" t="s">
        <v>4251</v>
      </c>
      <c r="BM746" s="7"/>
      <c r="BN746" s="7"/>
      <c r="BO746" s="4"/>
      <c r="BP746" s="8"/>
      <c r="BQ746" s="4"/>
      <c r="BR746" s="8"/>
      <c r="BS746" s="7"/>
      <c r="BT746" s="7"/>
      <c r="BU746" s="2" t="s">
        <v>4252</v>
      </c>
      <c r="BV746" s="2" t="s">
        <v>228</v>
      </c>
      <c r="BW746" s="2" t="s">
        <v>228</v>
      </c>
      <c r="BX746" s="2" t="s">
        <v>273</v>
      </c>
      <c r="BY746" s="2" t="s">
        <v>274</v>
      </c>
      <c r="BZ746" s="2" t="s">
        <v>240</v>
      </c>
      <c r="CA746" s="2" t="s">
        <v>3871</v>
      </c>
      <c r="CB746" s="2" t="s">
        <v>433</v>
      </c>
      <c r="CC746" s="2" t="s">
        <v>241</v>
      </c>
      <c r="CD746" s="2" t="s">
        <v>228</v>
      </c>
      <c r="CE746" s="4">
        <v>238</v>
      </c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>
        <v>539</v>
      </c>
      <c r="DV746" s="4"/>
      <c r="DW746" s="4"/>
      <c r="DX746" s="4"/>
      <c r="DY746" s="4"/>
      <c r="DZ746" s="4"/>
      <c r="EA746" s="4"/>
      <c r="EB746" s="4"/>
      <c r="EC746" s="4"/>
      <c r="ED746" s="4"/>
      <c r="EE746" s="4">
        <v>275</v>
      </c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>
        <v>393</v>
      </c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</row>
    <row r="747">
      <c r="A747" s="2" t="s">
        <v>4253</v>
      </c>
      <c r="B747" s="2" t="s">
        <v>299</v>
      </c>
      <c r="C747" s="2" t="s">
        <v>4000</v>
      </c>
      <c r="D747" s="2" t="s">
        <v>301</v>
      </c>
      <c r="E747" s="2" t="s">
        <v>302</v>
      </c>
      <c r="F747" s="2" t="s">
        <v>4001</v>
      </c>
      <c r="G747" s="2" t="s">
        <v>4001</v>
      </c>
      <c r="H747" s="2" t="s">
        <v>4001</v>
      </c>
      <c r="I747" s="2" t="s">
        <v>4002</v>
      </c>
      <c r="J747" s="2" t="s">
        <v>289</v>
      </c>
      <c r="K747" s="2" t="s">
        <v>3934</v>
      </c>
      <c r="L747" s="3">
        <v>22.21</v>
      </c>
      <c r="M747" s="3">
        <v>23.32</v>
      </c>
      <c r="N747" s="3">
        <v>47.99</v>
      </c>
      <c r="O747" s="2" t="s">
        <v>240</v>
      </c>
      <c r="P747" s="2" t="s">
        <v>715</v>
      </c>
      <c r="Q747" s="2" t="s">
        <v>234</v>
      </c>
      <c r="R747" s="2" t="s">
        <v>228</v>
      </c>
      <c r="S747" s="2" t="s">
        <v>4250</v>
      </c>
      <c r="T747" s="2" t="s">
        <v>3810</v>
      </c>
      <c r="U747" s="2" t="s">
        <v>228</v>
      </c>
      <c r="V747" s="2" t="s">
        <v>1438</v>
      </c>
      <c r="W747" s="2" t="s">
        <v>269</v>
      </c>
      <c r="X747" s="2" t="s">
        <v>228</v>
      </c>
      <c r="Y747" s="2" t="s">
        <v>270</v>
      </c>
      <c r="Z747" s="4">
        <v>349</v>
      </c>
      <c r="AA747" s="4">
        <f>=ROUNDDOWN(7.12244897959184,0)</f>
      </c>
      <c r="AB747" s="5">
        <v>49</v>
      </c>
      <c r="AC747" s="2" t="s">
        <v>1439</v>
      </c>
      <c r="AD747" s="4">
        <v>851</v>
      </c>
      <c r="AE747" s="4">
        <v>1910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228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228</v>
      </c>
      <c r="AW747" s="8" t="s">
        <v>228</v>
      </c>
      <c r="AX747" s="4" t="s">
        <v>228</v>
      </c>
      <c r="AY747" s="8" t="s">
        <v>228</v>
      </c>
      <c r="AZ747" s="7" t="s">
        <v>228</v>
      </c>
      <c r="BA747" s="7" t="s">
        <v>228</v>
      </c>
      <c r="BB747" s="7"/>
      <c r="BC747" s="4" t="s">
        <v>228</v>
      </c>
      <c r="BD747" s="8" t="s">
        <v>228</v>
      </c>
      <c r="BE747" s="4" t="s">
        <v>228</v>
      </c>
      <c r="BF747" s="8" t="s">
        <v>228</v>
      </c>
      <c r="BG747" s="7" t="s">
        <v>228</v>
      </c>
      <c r="BH747" s="7" t="s">
        <v>228</v>
      </c>
      <c r="BI747" s="7"/>
      <c r="BJ747" s="4">
        <v>40</v>
      </c>
      <c r="BK747" s="8">
        <v>986.18</v>
      </c>
      <c r="BL747" s="2" t="s">
        <v>3767</v>
      </c>
      <c r="BM747" s="7"/>
      <c r="BN747" s="7"/>
      <c r="BO747" s="4"/>
      <c r="BP747" s="8"/>
      <c r="BQ747" s="4"/>
      <c r="BR747" s="8"/>
      <c r="BS747" s="7"/>
      <c r="BT747" s="7"/>
      <c r="BU747" s="2" t="s">
        <v>4254</v>
      </c>
      <c r="BV747" s="2" t="s">
        <v>228</v>
      </c>
      <c r="BW747" s="2" t="s">
        <v>228</v>
      </c>
      <c r="BX747" s="2" t="s">
        <v>273</v>
      </c>
      <c r="BY747" s="2" t="s">
        <v>274</v>
      </c>
      <c r="BZ747" s="2" t="s">
        <v>240</v>
      </c>
      <c r="CA747" s="2" t="s">
        <v>3871</v>
      </c>
      <c r="CB747" s="2" t="s">
        <v>4255</v>
      </c>
      <c r="CC747" s="2" t="s">
        <v>241</v>
      </c>
      <c r="CD747" s="2" t="s">
        <v>228</v>
      </c>
      <c r="CE747" s="4">
        <v>349</v>
      </c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>
        <v>851</v>
      </c>
      <c r="DV747" s="4"/>
      <c r="DW747" s="4"/>
      <c r="DX747" s="4"/>
      <c r="DY747" s="4"/>
      <c r="DZ747" s="4"/>
      <c r="EA747" s="4"/>
      <c r="EB747" s="4"/>
      <c r="EC747" s="4"/>
      <c r="ED747" s="4"/>
      <c r="EE747" s="4">
        <v>435</v>
      </c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>
        <v>624</v>
      </c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</row>
    <row r="748">
      <c r="A748" s="2" t="s">
        <v>4256</v>
      </c>
      <c r="B748" s="2" t="s">
        <v>299</v>
      </c>
      <c r="C748" s="2" t="s">
        <v>4000</v>
      </c>
      <c r="D748" s="2" t="s">
        <v>301</v>
      </c>
      <c r="E748" s="2" t="s">
        <v>302</v>
      </c>
      <c r="F748" s="2" t="s">
        <v>4001</v>
      </c>
      <c r="G748" s="2" t="s">
        <v>4001</v>
      </c>
      <c r="H748" s="2" t="s">
        <v>4001</v>
      </c>
      <c r="I748" s="2" t="s">
        <v>4002</v>
      </c>
      <c r="J748" s="2" t="s">
        <v>289</v>
      </c>
      <c r="K748" s="2" t="s">
        <v>4257</v>
      </c>
      <c r="L748" s="3">
        <v>22.21</v>
      </c>
      <c r="M748" s="3">
        <v>23.32</v>
      </c>
      <c r="N748" s="3">
        <v>47.99</v>
      </c>
      <c r="O748" s="2" t="s">
        <v>240</v>
      </c>
      <c r="P748" s="2" t="s">
        <v>3731</v>
      </c>
      <c r="Q748" s="2" t="s">
        <v>234</v>
      </c>
      <c r="R748" s="2" t="s">
        <v>228</v>
      </c>
      <c r="S748" s="2" t="s">
        <v>4258</v>
      </c>
      <c r="T748" s="2" t="s">
        <v>3810</v>
      </c>
      <c r="U748" s="2" t="s">
        <v>308</v>
      </c>
      <c r="V748" s="2" t="s">
        <v>1644</v>
      </c>
      <c r="W748" s="2" t="s">
        <v>269</v>
      </c>
      <c r="X748" s="2" t="s">
        <v>463</v>
      </c>
      <c r="Y748" s="2" t="s">
        <v>2778</v>
      </c>
      <c r="Z748" s="4">
        <v>1</v>
      </c>
      <c r="AA748" s="4">
        <f>=ROUNDDOWN(0.00925925925925926,0)</f>
      </c>
      <c r="AB748" s="5">
        <v>108</v>
      </c>
      <c r="AC748" s="2" t="s">
        <v>1014</v>
      </c>
      <c r="AD748" s="4">
        <v>1962</v>
      </c>
      <c r="AE748" s="4">
        <v>4117</v>
      </c>
      <c r="AF748" s="6">
        <v>65</v>
      </c>
      <c r="AG748" s="6"/>
      <c r="AH748" s="7">
        <v>0.8065</v>
      </c>
      <c r="AI748" s="4"/>
      <c r="AJ748" s="4">
        <f>=ROUNDDOWN({0},0)</f>
      </c>
      <c r="AK748" s="5"/>
      <c r="AL748" s="2" t="s">
        <v>228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228</v>
      </c>
      <c r="AW748" s="8" t="s">
        <v>228</v>
      </c>
      <c r="AX748" s="4" t="s">
        <v>228</v>
      </c>
      <c r="AY748" s="8" t="s">
        <v>228</v>
      </c>
      <c r="AZ748" s="7" t="s">
        <v>228</v>
      </c>
      <c r="BA748" s="7" t="s">
        <v>228</v>
      </c>
      <c r="BB748" s="7"/>
      <c r="BC748" s="4" t="s">
        <v>228</v>
      </c>
      <c r="BD748" s="8" t="s">
        <v>228</v>
      </c>
      <c r="BE748" s="4" t="s">
        <v>228</v>
      </c>
      <c r="BF748" s="8" t="s">
        <v>228</v>
      </c>
      <c r="BG748" s="7" t="s">
        <v>228</v>
      </c>
      <c r="BH748" s="7" t="s">
        <v>228</v>
      </c>
      <c r="BI748" s="7"/>
      <c r="BJ748" s="4">
        <v>312</v>
      </c>
      <c r="BK748" s="8">
        <v>7868.69</v>
      </c>
      <c r="BL748" s="2" t="s">
        <v>4259</v>
      </c>
      <c r="BM748" s="7"/>
      <c r="BN748" s="7"/>
      <c r="BO748" s="4"/>
      <c r="BP748" s="8"/>
      <c r="BQ748" s="4"/>
      <c r="BR748" s="8"/>
      <c r="BS748" s="7"/>
      <c r="BT748" s="7"/>
      <c r="BU748" s="2" t="s">
        <v>4260</v>
      </c>
      <c r="BV748" s="2" t="s">
        <v>228</v>
      </c>
      <c r="BW748" s="2" t="s">
        <v>228</v>
      </c>
      <c r="BX748" s="2" t="s">
        <v>273</v>
      </c>
      <c r="BY748" s="2" t="s">
        <v>274</v>
      </c>
      <c r="BZ748" s="2" t="s">
        <v>240</v>
      </c>
      <c r="CA748" s="2" t="s">
        <v>4039</v>
      </c>
      <c r="CB748" s="2" t="s">
        <v>4261</v>
      </c>
      <c r="CC748" s="2" t="s">
        <v>241</v>
      </c>
      <c r="CD748" s="2" t="s">
        <v>228</v>
      </c>
      <c r="CE748" s="4">
        <v>1</v>
      </c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>
        <v>1962</v>
      </c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>
        <v>909</v>
      </c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>
        <v>1246</v>
      </c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</row>
    <row r="749">
      <c r="A749" s="2" t="s">
        <v>4262</v>
      </c>
      <c r="B749" s="2" t="s">
        <v>299</v>
      </c>
      <c r="C749" s="2" t="s">
        <v>4000</v>
      </c>
      <c r="D749" s="2" t="s">
        <v>301</v>
      </c>
      <c r="E749" s="2" t="s">
        <v>302</v>
      </c>
      <c r="F749" s="2" t="s">
        <v>4001</v>
      </c>
      <c r="G749" s="2" t="s">
        <v>4001</v>
      </c>
      <c r="H749" s="2" t="s">
        <v>4001</v>
      </c>
      <c r="I749" s="2" t="s">
        <v>4002</v>
      </c>
      <c r="J749" s="2" t="s">
        <v>294</v>
      </c>
      <c r="K749" s="2" t="s">
        <v>4257</v>
      </c>
      <c r="L749" s="3">
        <v>27.39</v>
      </c>
      <c r="M749" s="3">
        <v>28.76</v>
      </c>
      <c r="N749" s="3">
        <v>62.99</v>
      </c>
      <c r="O749" s="2" t="s">
        <v>240</v>
      </c>
      <c r="P749" s="2" t="s">
        <v>266</v>
      </c>
      <c r="Q749" s="2" t="s">
        <v>234</v>
      </c>
      <c r="R749" s="2" t="s">
        <v>228</v>
      </c>
      <c r="S749" s="2" t="s">
        <v>4258</v>
      </c>
      <c r="T749" s="2" t="s">
        <v>3810</v>
      </c>
      <c r="U749" s="2" t="s">
        <v>308</v>
      </c>
      <c r="V749" s="2" t="s">
        <v>1644</v>
      </c>
      <c r="W749" s="2" t="s">
        <v>269</v>
      </c>
      <c r="X749" s="2" t="s">
        <v>463</v>
      </c>
      <c r="Y749" s="2" t="s">
        <v>2778</v>
      </c>
      <c r="Z749" s="4">
        <v>175</v>
      </c>
      <c r="AA749" s="4">
        <f>=ROUNDDOWN(7,0)</f>
      </c>
      <c r="AB749" s="5">
        <v>25</v>
      </c>
      <c r="AC749" s="2" t="s">
        <v>1014</v>
      </c>
      <c r="AD749" s="4">
        <v>449</v>
      </c>
      <c r="AE749" s="4">
        <v>991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228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228</v>
      </c>
      <c r="AW749" s="8" t="s">
        <v>228</v>
      </c>
      <c r="AX749" s="4" t="s">
        <v>228</v>
      </c>
      <c r="AY749" s="8" t="s">
        <v>228</v>
      </c>
      <c r="AZ749" s="7" t="s">
        <v>228</v>
      </c>
      <c r="BA749" s="7" t="s">
        <v>228</v>
      </c>
      <c r="BB749" s="7"/>
      <c r="BC749" s="4" t="s">
        <v>228</v>
      </c>
      <c r="BD749" s="8" t="s">
        <v>228</v>
      </c>
      <c r="BE749" s="4" t="s">
        <v>228</v>
      </c>
      <c r="BF749" s="8" t="s">
        <v>228</v>
      </c>
      <c r="BG749" s="7" t="s">
        <v>228</v>
      </c>
      <c r="BH749" s="7" t="s">
        <v>228</v>
      </c>
      <c r="BI749" s="7"/>
      <c r="BJ749" s="4">
        <v>40</v>
      </c>
      <c r="BK749" s="8">
        <v>1176.24</v>
      </c>
      <c r="BL749" s="2" t="s">
        <v>4263</v>
      </c>
      <c r="BM749" s="7"/>
      <c r="BN749" s="7"/>
      <c r="BO749" s="4"/>
      <c r="BP749" s="8"/>
      <c r="BQ749" s="4"/>
      <c r="BR749" s="8"/>
      <c r="BS749" s="7"/>
      <c r="BT749" s="7"/>
      <c r="BU749" s="2" t="s">
        <v>4264</v>
      </c>
      <c r="BV749" s="2" t="s">
        <v>228</v>
      </c>
      <c r="BW749" s="2" t="s">
        <v>228</v>
      </c>
      <c r="BX749" s="2" t="s">
        <v>273</v>
      </c>
      <c r="BY749" s="2" t="s">
        <v>274</v>
      </c>
      <c r="BZ749" s="2" t="s">
        <v>240</v>
      </c>
      <c r="CA749" s="2" t="s">
        <v>4039</v>
      </c>
      <c r="CB749" s="2" t="s">
        <v>4265</v>
      </c>
      <c r="CC749" s="2" t="s">
        <v>241</v>
      </c>
      <c r="CD749" s="2" t="s">
        <v>228</v>
      </c>
      <c r="CE749" s="4">
        <v>175</v>
      </c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>
        <v>449</v>
      </c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>
        <v>224</v>
      </c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>
        <v>318</v>
      </c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</row>
    <row r="750">
      <c r="A750" s="2" t="s">
        <v>4266</v>
      </c>
      <c r="B750" s="2" t="s">
        <v>299</v>
      </c>
      <c r="C750" s="2" t="s">
        <v>4000</v>
      </c>
      <c r="D750" s="2" t="s">
        <v>301</v>
      </c>
      <c r="E750" s="2" t="s">
        <v>302</v>
      </c>
      <c r="F750" s="2" t="s">
        <v>4001</v>
      </c>
      <c r="G750" s="2" t="s">
        <v>4001</v>
      </c>
      <c r="H750" s="2" t="s">
        <v>4001</v>
      </c>
      <c r="I750" s="2" t="s">
        <v>4002</v>
      </c>
      <c r="J750" s="2" t="s">
        <v>284</v>
      </c>
      <c r="K750" s="2" t="s">
        <v>3974</v>
      </c>
      <c r="L750" s="3">
        <v>19.57</v>
      </c>
      <c r="M750" s="3">
        <v>20.55</v>
      </c>
      <c r="N750" s="3">
        <v>42.99</v>
      </c>
      <c r="O750" s="2" t="s">
        <v>240</v>
      </c>
      <c r="P750" s="2" t="s">
        <v>266</v>
      </c>
      <c r="Q750" s="2" t="s">
        <v>234</v>
      </c>
      <c r="R750" s="2" t="s">
        <v>228</v>
      </c>
      <c r="S750" s="2" t="s">
        <v>4267</v>
      </c>
      <c r="T750" s="2" t="s">
        <v>3810</v>
      </c>
      <c r="U750" s="2" t="s">
        <v>228</v>
      </c>
      <c r="V750" s="2" t="s">
        <v>1438</v>
      </c>
      <c r="W750" s="2" t="s">
        <v>269</v>
      </c>
      <c r="X750" s="2" t="s">
        <v>228</v>
      </c>
      <c r="Y750" s="2" t="s">
        <v>270</v>
      </c>
      <c r="Z750" s="4">
        <v>204</v>
      </c>
      <c r="AA750" s="4">
        <f>=ROUNDDOWN(8.16,0)</f>
      </c>
      <c r="AB750" s="5">
        <v>25</v>
      </c>
      <c r="AC750" s="2" t="s">
        <v>1439</v>
      </c>
      <c r="AD750" s="4">
        <v>444</v>
      </c>
      <c r="AE750" s="4">
        <v>978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228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 t="s">
        <v>228</v>
      </c>
      <c r="BD750" s="8" t="s">
        <v>228</v>
      </c>
      <c r="BE750" s="4" t="s">
        <v>228</v>
      </c>
      <c r="BF750" s="8" t="s">
        <v>228</v>
      </c>
      <c r="BG750" s="7" t="s">
        <v>228</v>
      </c>
      <c r="BH750" s="7" t="s">
        <v>228</v>
      </c>
      <c r="BI750" s="7"/>
      <c r="BJ750" s="4">
        <v>22</v>
      </c>
      <c r="BK750" s="8">
        <v>480</v>
      </c>
      <c r="BL750" s="2" t="s">
        <v>4268</v>
      </c>
      <c r="BM750" s="7"/>
      <c r="BN750" s="7"/>
      <c r="BO750" s="4"/>
      <c r="BP750" s="8"/>
      <c r="BQ750" s="4"/>
      <c r="BR750" s="8"/>
      <c r="BS750" s="7"/>
      <c r="BT750" s="7"/>
      <c r="BU750" s="2" t="s">
        <v>4269</v>
      </c>
      <c r="BV750" s="2" t="s">
        <v>228</v>
      </c>
      <c r="BW750" s="2" t="s">
        <v>228</v>
      </c>
      <c r="BX750" s="2" t="s">
        <v>273</v>
      </c>
      <c r="BY750" s="2" t="s">
        <v>274</v>
      </c>
      <c r="BZ750" s="2" t="s">
        <v>240</v>
      </c>
      <c r="CA750" s="2" t="s">
        <v>3871</v>
      </c>
      <c r="CB750" s="2" t="s">
        <v>338</v>
      </c>
      <c r="CC750" s="2" t="s">
        <v>241</v>
      </c>
      <c r="CD750" s="2" t="s">
        <v>228</v>
      </c>
      <c r="CE750" s="4">
        <v>204</v>
      </c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>
        <v>444</v>
      </c>
      <c r="DV750" s="4"/>
      <c r="DW750" s="4"/>
      <c r="DX750" s="4"/>
      <c r="DY750" s="4"/>
      <c r="DZ750" s="4"/>
      <c r="EA750" s="4"/>
      <c r="EB750" s="4"/>
      <c r="EC750" s="4"/>
      <c r="ED750" s="4"/>
      <c r="EE750" s="4">
        <v>221</v>
      </c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>
        <v>313</v>
      </c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</row>
    <row r="751">
      <c r="A751" s="2" t="s">
        <v>4270</v>
      </c>
      <c r="B751" s="2" t="s">
        <v>299</v>
      </c>
      <c r="C751" s="2" t="s">
        <v>4000</v>
      </c>
      <c r="D751" s="2" t="s">
        <v>301</v>
      </c>
      <c r="E751" s="2" t="s">
        <v>302</v>
      </c>
      <c r="F751" s="2" t="s">
        <v>4001</v>
      </c>
      <c r="G751" s="2" t="s">
        <v>4001</v>
      </c>
      <c r="H751" s="2" t="s">
        <v>4001</v>
      </c>
      <c r="I751" s="2" t="s">
        <v>4002</v>
      </c>
      <c r="J751" s="2" t="s">
        <v>312</v>
      </c>
      <c r="K751" s="2" t="s">
        <v>4271</v>
      </c>
      <c r="L751" s="3">
        <v>27.39</v>
      </c>
      <c r="M751" s="3">
        <v>28.76</v>
      </c>
      <c r="N751" s="3">
        <v>62.99</v>
      </c>
      <c r="O751" s="2" t="s">
        <v>240</v>
      </c>
      <c r="P751" s="2" t="s">
        <v>266</v>
      </c>
      <c r="Q751" s="2" t="s">
        <v>234</v>
      </c>
      <c r="R751" s="2" t="s">
        <v>228</v>
      </c>
      <c r="S751" s="2" t="s">
        <v>4272</v>
      </c>
      <c r="T751" s="2" t="s">
        <v>3810</v>
      </c>
      <c r="U751" s="2" t="s">
        <v>228</v>
      </c>
      <c r="V751" s="2" t="s">
        <v>236</v>
      </c>
      <c r="W751" s="2" t="s">
        <v>269</v>
      </c>
      <c r="X751" s="2" t="s">
        <v>228</v>
      </c>
      <c r="Y751" s="2" t="s">
        <v>270</v>
      </c>
      <c r="Z751" s="4">
        <v>53</v>
      </c>
      <c r="AA751" s="4">
        <f>=ROUNDDOWN(7.57142857142857,0)</f>
      </c>
      <c r="AB751" s="5">
        <v>7</v>
      </c>
      <c r="AC751" s="2" t="s">
        <v>1590</v>
      </c>
      <c r="AD751" s="4">
        <v>146</v>
      </c>
      <c r="AE751" s="4">
        <v>312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228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 t="s">
        <v>228</v>
      </c>
      <c r="BD751" s="8" t="s">
        <v>228</v>
      </c>
      <c r="BE751" s="4" t="s">
        <v>228</v>
      </c>
      <c r="BF751" s="8" t="s">
        <v>228</v>
      </c>
      <c r="BG751" s="7" t="s">
        <v>228</v>
      </c>
      <c r="BH751" s="7" t="s">
        <v>228</v>
      </c>
      <c r="BI751" s="7"/>
      <c r="BJ751" s="4">
        <v>6</v>
      </c>
      <c r="BK751" s="8">
        <v>176.28</v>
      </c>
      <c r="BL751" s="2" t="s">
        <v>4226</v>
      </c>
      <c r="BM751" s="7"/>
      <c r="BN751" s="7"/>
      <c r="BO751" s="4"/>
      <c r="BP751" s="8"/>
      <c r="BQ751" s="4"/>
      <c r="BR751" s="8"/>
      <c r="BS751" s="7"/>
      <c r="BT751" s="7"/>
      <c r="BU751" s="2" t="s">
        <v>4273</v>
      </c>
      <c r="BV751" s="2" t="s">
        <v>228</v>
      </c>
      <c r="BW751" s="2" t="s">
        <v>228</v>
      </c>
      <c r="BX751" s="2" t="s">
        <v>273</v>
      </c>
      <c r="BY751" s="2" t="s">
        <v>274</v>
      </c>
      <c r="BZ751" s="2" t="s">
        <v>240</v>
      </c>
      <c r="CA751" s="2" t="s">
        <v>3871</v>
      </c>
      <c r="CB751" s="2" t="s">
        <v>328</v>
      </c>
      <c r="CC751" s="2" t="s">
        <v>241</v>
      </c>
      <c r="CD751" s="2" t="s">
        <v>228</v>
      </c>
      <c r="CE751" s="4">
        <v>53</v>
      </c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>
        <v>146</v>
      </c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>
        <v>73</v>
      </c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>
        <v>93</v>
      </c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</row>
    <row r="752">
      <c r="A752" s="2" t="s">
        <v>4274</v>
      </c>
      <c r="B752" s="2" t="s">
        <v>299</v>
      </c>
      <c r="C752" s="2" t="s">
        <v>4000</v>
      </c>
      <c r="D752" s="2" t="s">
        <v>301</v>
      </c>
      <c r="E752" s="2" t="s">
        <v>302</v>
      </c>
      <c r="F752" s="2" t="s">
        <v>4001</v>
      </c>
      <c r="G752" s="2" t="s">
        <v>4001</v>
      </c>
      <c r="H752" s="2" t="s">
        <v>4001</v>
      </c>
      <c r="I752" s="2" t="s">
        <v>4002</v>
      </c>
      <c r="J752" s="2" t="s">
        <v>264</v>
      </c>
      <c r="K752" s="2" t="s">
        <v>4275</v>
      </c>
      <c r="L752" s="3">
        <v>14.89</v>
      </c>
      <c r="M752" s="3">
        <v>15.63</v>
      </c>
      <c r="N752" s="3">
        <v>36.99</v>
      </c>
      <c r="O752" s="2" t="s">
        <v>240</v>
      </c>
      <c r="P752" s="2" t="s">
        <v>233</v>
      </c>
      <c r="Q752" s="2" t="s">
        <v>234</v>
      </c>
      <c r="R752" s="2" t="s">
        <v>228</v>
      </c>
      <c r="S752" s="2" t="s">
        <v>4276</v>
      </c>
      <c r="T752" s="2" t="s">
        <v>3810</v>
      </c>
      <c r="U752" s="2" t="s">
        <v>500</v>
      </c>
      <c r="V752" s="2" t="s">
        <v>2042</v>
      </c>
      <c r="W752" s="2" t="s">
        <v>269</v>
      </c>
      <c r="X752" s="2" t="s">
        <v>1267</v>
      </c>
      <c r="Y752" s="2" t="s">
        <v>228</v>
      </c>
      <c r="Z752" s="4"/>
      <c r="AA752" s="4">
        <f>=ROUNDDOWN({0},0)</f>
      </c>
      <c r="AB752" s="5"/>
      <c r="AC752" s="2" t="s">
        <v>3854</v>
      </c>
      <c r="AD752" s="4">
        <v>620</v>
      </c>
      <c r="AE752" s="4">
        <v>2067</v>
      </c>
      <c r="AF752" s="6">
        <v>69</v>
      </c>
      <c r="AG752" s="6"/>
      <c r="AH752" s="7"/>
      <c r="AI752" s="4"/>
      <c r="AJ752" s="4">
        <f>=ROUNDDOWN({0},0)</f>
      </c>
      <c r="AK752" s="5"/>
      <c r="AL752" s="2" t="s">
        <v>228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228</v>
      </c>
      <c r="AW752" s="8" t="s">
        <v>228</v>
      </c>
      <c r="AX752" s="4" t="s">
        <v>228</v>
      </c>
      <c r="AY752" s="8" t="s">
        <v>228</v>
      </c>
      <c r="AZ752" s="7" t="s">
        <v>228</v>
      </c>
      <c r="BA752" s="7" t="s">
        <v>228</v>
      </c>
      <c r="BB752" s="7"/>
      <c r="BC752" s="4" t="s">
        <v>228</v>
      </c>
      <c r="BD752" s="8" t="s">
        <v>228</v>
      </c>
      <c r="BE752" s="4" t="s">
        <v>228</v>
      </c>
      <c r="BF752" s="8" t="s">
        <v>228</v>
      </c>
      <c r="BG752" s="7" t="s">
        <v>228</v>
      </c>
      <c r="BH752" s="7" t="s">
        <v>228</v>
      </c>
      <c r="BI752" s="7"/>
      <c r="BJ752" s="4"/>
      <c r="BK752" s="8"/>
      <c r="BL752" s="2" t="s">
        <v>228</v>
      </c>
      <c r="BM752" s="7"/>
      <c r="BN752" s="7"/>
      <c r="BO752" s="4"/>
      <c r="BP752" s="8"/>
      <c r="BQ752" s="4"/>
      <c r="BR752" s="8"/>
      <c r="BS752" s="7"/>
      <c r="BT752" s="7"/>
      <c r="BU752" s="2" t="s">
        <v>238</v>
      </c>
      <c r="BV752" s="2" t="s">
        <v>228</v>
      </c>
      <c r="BW752" s="2" t="s">
        <v>228</v>
      </c>
      <c r="BX752" s="2" t="s">
        <v>238</v>
      </c>
      <c r="BY752" s="2" t="s">
        <v>239</v>
      </c>
      <c r="BZ752" s="2" t="s">
        <v>240</v>
      </c>
      <c r="CA752" s="2" t="s">
        <v>228</v>
      </c>
      <c r="CB752" s="2" t="s">
        <v>228</v>
      </c>
      <c r="CC752" s="2" t="s">
        <v>241</v>
      </c>
      <c r="CD752" s="2" t="s">
        <v>228</v>
      </c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>
        <v>620</v>
      </c>
      <c r="DW752" s="4"/>
      <c r="DX752" s="4"/>
      <c r="DY752" s="4"/>
      <c r="DZ752" s="4">
        <v>1034</v>
      </c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>
        <v>413</v>
      </c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</row>
    <row r="753">
      <c r="A753" s="2" t="s">
        <v>4277</v>
      </c>
      <c r="B753" s="2" t="s">
        <v>299</v>
      </c>
      <c r="C753" s="2" t="s">
        <v>4000</v>
      </c>
      <c r="D753" s="2" t="s">
        <v>301</v>
      </c>
      <c r="E753" s="2" t="s">
        <v>302</v>
      </c>
      <c r="F753" s="2" t="s">
        <v>4001</v>
      </c>
      <c r="G753" s="2" t="s">
        <v>4001</v>
      </c>
      <c r="H753" s="2" t="s">
        <v>4001</v>
      </c>
      <c r="I753" s="2" t="s">
        <v>4002</v>
      </c>
      <c r="J753" s="2" t="s">
        <v>278</v>
      </c>
      <c r="K753" s="2" t="s">
        <v>4275</v>
      </c>
      <c r="L753" s="3">
        <v>16.16</v>
      </c>
      <c r="M753" s="3">
        <v>16.97</v>
      </c>
      <c r="N753" s="3">
        <v>39.99</v>
      </c>
      <c r="O753" s="2" t="s">
        <v>240</v>
      </c>
      <c r="P753" s="2" t="s">
        <v>233</v>
      </c>
      <c r="Q753" s="2" t="s">
        <v>234</v>
      </c>
      <c r="R753" s="2" t="s">
        <v>228</v>
      </c>
      <c r="S753" s="2" t="s">
        <v>4276</v>
      </c>
      <c r="T753" s="2" t="s">
        <v>3810</v>
      </c>
      <c r="U753" s="2" t="s">
        <v>500</v>
      </c>
      <c r="V753" s="2" t="s">
        <v>2042</v>
      </c>
      <c r="W753" s="2" t="s">
        <v>269</v>
      </c>
      <c r="X753" s="2" t="s">
        <v>1267</v>
      </c>
      <c r="Y753" s="2" t="s">
        <v>228</v>
      </c>
      <c r="Z753" s="4"/>
      <c r="AA753" s="4">
        <f>=ROUNDDOWN({0},0)</f>
      </c>
      <c r="AB753" s="5"/>
      <c r="AC753" s="2" t="s">
        <v>3854</v>
      </c>
      <c r="AD753" s="4">
        <v>313</v>
      </c>
      <c r="AE753" s="4">
        <v>1044</v>
      </c>
      <c r="AF753" s="6">
        <v>69</v>
      </c>
      <c r="AG753" s="6"/>
      <c r="AH753" s="7"/>
      <c r="AI753" s="4"/>
      <c r="AJ753" s="4">
        <f>=ROUNDDOWN({0},0)</f>
      </c>
      <c r="AK753" s="5"/>
      <c r="AL753" s="2" t="s">
        <v>228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228</v>
      </c>
      <c r="AW753" s="8" t="s">
        <v>228</v>
      </c>
      <c r="AX753" s="4" t="s">
        <v>228</v>
      </c>
      <c r="AY753" s="8" t="s">
        <v>228</v>
      </c>
      <c r="AZ753" s="7" t="s">
        <v>228</v>
      </c>
      <c r="BA753" s="7" t="s">
        <v>228</v>
      </c>
      <c r="BB753" s="7"/>
      <c r="BC753" s="4" t="s">
        <v>228</v>
      </c>
      <c r="BD753" s="8" t="s">
        <v>228</v>
      </c>
      <c r="BE753" s="4" t="s">
        <v>228</v>
      </c>
      <c r="BF753" s="8" t="s">
        <v>228</v>
      </c>
      <c r="BG753" s="7" t="s">
        <v>228</v>
      </c>
      <c r="BH753" s="7" t="s">
        <v>228</v>
      </c>
      <c r="BI753" s="7"/>
      <c r="BJ753" s="4"/>
      <c r="BK753" s="8"/>
      <c r="BL753" s="2" t="s">
        <v>228</v>
      </c>
      <c r="BM753" s="7"/>
      <c r="BN753" s="7"/>
      <c r="BO753" s="4"/>
      <c r="BP753" s="8"/>
      <c r="BQ753" s="4"/>
      <c r="BR753" s="8"/>
      <c r="BS753" s="7"/>
      <c r="BT753" s="7"/>
      <c r="BU753" s="2" t="s">
        <v>238</v>
      </c>
      <c r="BV753" s="2" t="s">
        <v>228</v>
      </c>
      <c r="BW753" s="2" t="s">
        <v>228</v>
      </c>
      <c r="BX753" s="2" t="s">
        <v>238</v>
      </c>
      <c r="BY753" s="2" t="s">
        <v>239</v>
      </c>
      <c r="BZ753" s="2" t="s">
        <v>240</v>
      </c>
      <c r="CA753" s="2" t="s">
        <v>228</v>
      </c>
      <c r="CB753" s="2" t="s">
        <v>228</v>
      </c>
      <c r="CC753" s="2" t="s">
        <v>241</v>
      </c>
      <c r="CD753" s="2" t="s">
        <v>228</v>
      </c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>
        <v>313</v>
      </c>
      <c r="DW753" s="4"/>
      <c r="DX753" s="4"/>
      <c r="DY753" s="4"/>
      <c r="DZ753" s="4">
        <v>522</v>
      </c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>
        <v>209</v>
      </c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</row>
    <row r="754">
      <c r="A754" s="2" t="s">
        <v>4278</v>
      </c>
      <c r="B754" s="2" t="s">
        <v>299</v>
      </c>
      <c r="C754" s="2" t="s">
        <v>4000</v>
      </c>
      <c r="D754" s="2" t="s">
        <v>301</v>
      </c>
      <c r="E754" s="2" t="s">
        <v>302</v>
      </c>
      <c r="F754" s="2" t="s">
        <v>4001</v>
      </c>
      <c r="G754" s="2" t="s">
        <v>4001</v>
      </c>
      <c r="H754" s="2" t="s">
        <v>4001</v>
      </c>
      <c r="I754" s="2" t="s">
        <v>4002</v>
      </c>
      <c r="J754" s="2" t="s">
        <v>284</v>
      </c>
      <c r="K754" s="2" t="s">
        <v>4275</v>
      </c>
      <c r="L754" s="3">
        <v>19.57</v>
      </c>
      <c r="M754" s="3">
        <v>20.55</v>
      </c>
      <c r="N754" s="3">
        <v>47.99</v>
      </c>
      <c r="O754" s="2" t="s">
        <v>240</v>
      </c>
      <c r="P754" s="2" t="s">
        <v>233</v>
      </c>
      <c r="Q754" s="2" t="s">
        <v>234</v>
      </c>
      <c r="R754" s="2" t="s">
        <v>228</v>
      </c>
      <c r="S754" s="2" t="s">
        <v>4276</v>
      </c>
      <c r="T754" s="2" t="s">
        <v>3810</v>
      </c>
      <c r="U754" s="2" t="s">
        <v>308</v>
      </c>
      <c r="V754" s="2" t="s">
        <v>2042</v>
      </c>
      <c r="W754" s="2" t="s">
        <v>269</v>
      </c>
      <c r="X754" s="2" t="s">
        <v>1267</v>
      </c>
      <c r="Y754" s="2" t="s">
        <v>228</v>
      </c>
      <c r="Z754" s="4"/>
      <c r="AA754" s="4">
        <f>=ROUNDDOWN({0},0)</f>
      </c>
      <c r="AB754" s="5"/>
      <c r="AC754" s="2" t="s">
        <v>3854</v>
      </c>
      <c r="AD754" s="4">
        <v>313</v>
      </c>
      <c r="AE754" s="4">
        <v>1044</v>
      </c>
      <c r="AF754" s="6">
        <v>69</v>
      </c>
      <c r="AG754" s="6"/>
      <c r="AH754" s="7"/>
      <c r="AI754" s="4"/>
      <c r="AJ754" s="4">
        <f>=ROUNDDOWN({0},0)</f>
      </c>
      <c r="AK754" s="5"/>
      <c r="AL754" s="2" t="s">
        <v>228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228</v>
      </c>
      <c r="AW754" s="8" t="s">
        <v>228</v>
      </c>
      <c r="AX754" s="4" t="s">
        <v>228</v>
      </c>
      <c r="AY754" s="8" t="s">
        <v>228</v>
      </c>
      <c r="AZ754" s="7" t="s">
        <v>228</v>
      </c>
      <c r="BA754" s="7" t="s">
        <v>228</v>
      </c>
      <c r="BB754" s="7"/>
      <c r="BC754" s="4" t="s">
        <v>228</v>
      </c>
      <c r="BD754" s="8" t="s">
        <v>228</v>
      </c>
      <c r="BE754" s="4" t="s">
        <v>228</v>
      </c>
      <c r="BF754" s="8" t="s">
        <v>228</v>
      </c>
      <c r="BG754" s="7" t="s">
        <v>228</v>
      </c>
      <c r="BH754" s="7" t="s">
        <v>228</v>
      </c>
      <c r="BI754" s="7"/>
      <c r="BJ754" s="4"/>
      <c r="BK754" s="8"/>
      <c r="BL754" s="2" t="s">
        <v>228</v>
      </c>
      <c r="BM754" s="7"/>
      <c r="BN754" s="7"/>
      <c r="BO754" s="4"/>
      <c r="BP754" s="8"/>
      <c r="BQ754" s="4"/>
      <c r="BR754" s="8"/>
      <c r="BS754" s="7"/>
      <c r="BT754" s="7"/>
      <c r="BU754" s="2" t="s">
        <v>238</v>
      </c>
      <c r="BV754" s="2" t="s">
        <v>228</v>
      </c>
      <c r="BW754" s="2" t="s">
        <v>228</v>
      </c>
      <c r="BX754" s="2" t="s">
        <v>238</v>
      </c>
      <c r="BY754" s="2" t="s">
        <v>239</v>
      </c>
      <c r="BZ754" s="2" t="s">
        <v>240</v>
      </c>
      <c r="CA754" s="2" t="s">
        <v>228</v>
      </c>
      <c r="CB754" s="2" t="s">
        <v>228</v>
      </c>
      <c r="CC754" s="2" t="s">
        <v>241</v>
      </c>
      <c r="CD754" s="2" t="s">
        <v>228</v>
      </c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>
        <v>313</v>
      </c>
      <c r="DW754" s="4"/>
      <c r="DX754" s="4"/>
      <c r="DY754" s="4"/>
      <c r="DZ754" s="4">
        <v>522</v>
      </c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>
        <v>209</v>
      </c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</row>
    <row r="755">
      <c r="A755" s="2" t="s">
        <v>4279</v>
      </c>
      <c r="B755" s="2" t="s">
        <v>299</v>
      </c>
      <c r="C755" s="2" t="s">
        <v>4000</v>
      </c>
      <c r="D755" s="2" t="s">
        <v>301</v>
      </c>
      <c r="E755" s="2" t="s">
        <v>302</v>
      </c>
      <c r="F755" s="2" t="s">
        <v>4001</v>
      </c>
      <c r="G755" s="2" t="s">
        <v>4001</v>
      </c>
      <c r="H755" s="2" t="s">
        <v>4001</v>
      </c>
      <c r="I755" s="2" t="s">
        <v>4002</v>
      </c>
      <c r="J755" s="2" t="s">
        <v>289</v>
      </c>
      <c r="K755" s="2" t="s">
        <v>4275</v>
      </c>
      <c r="L755" s="3">
        <v>22.21</v>
      </c>
      <c r="M755" s="3">
        <v>23.32</v>
      </c>
      <c r="N755" s="3">
        <v>52.99</v>
      </c>
      <c r="O755" s="2" t="s">
        <v>240</v>
      </c>
      <c r="P755" s="2" t="s">
        <v>233</v>
      </c>
      <c r="Q755" s="2" t="s">
        <v>234</v>
      </c>
      <c r="R755" s="2" t="s">
        <v>228</v>
      </c>
      <c r="S755" s="2" t="s">
        <v>4276</v>
      </c>
      <c r="T755" s="2" t="s">
        <v>3810</v>
      </c>
      <c r="U755" s="2" t="s">
        <v>308</v>
      </c>
      <c r="V755" s="2" t="s">
        <v>2042</v>
      </c>
      <c r="W755" s="2" t="s">
        <v>269</v>
      </c>
      <c r="X755" s="2" t="s">
        <v>1267</v>
      </c>
      <c r="Y755" s="2" t="s">
        <v>228</v>
      </c>
      <c r="Z755" s="4"/>
      <c r="AA755" s="4">
        <f>=ROUNDDOWN({0},0)</f>
      </c>
      <c r="AB755" s="5"/>
      <c r="AC755" s="2" t="s">
        <v>3854</v>
      </c>
      <c r="AD755" s="4">
        <v>504</v>
      </c>
      <c r="AE755" s="4">
        <v>1681</v>
      </c>
      <c r="AF755" s="6">
        <v>69</v>
      </c>
      <c r="AG755" s="6"/>
      <c r="AH755" s="7"/>
      <c r="AI755" s="4"/>
      <c r="AJ755" s="4">
        <f>=ROUNDDOWN({0},0)</f>
      </c>
      <c r="AK755" s="5"/>
      <c r="AL755" s="2" t="s">
        <v>228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228</v>
      </c>
      <c r="AW755" s="8" t="s">
        <v>228</v>
      </c>
      <c r="AX755" s="4" t="s">
        <v>228</v>
      </c>
      <c r="AY755" s="8" t="s">
        <v>228</v>
      </c>
      <c r="AZ755" s="7" t="s">
        <v>228</v>
      </c>
      <c r="BA755" s="7" t="s">
        <v>228</v>
      </c>
      <c r="BB755" s="7"/>
      <c r="BC755" s="4" t="s">
        <v>228</v>
      </c>
      <c r="BD755" s="8" t="s">
        <v>228</v>
      </c>
      <c r="BE755" s="4" t="s">
        <v>228</v>
      </c>
      <c r="BF755" s="8" t="s">
        <v>228</v>
      </c>
      <c r="BG755" s="7" t="s">
        <v>228</v>
      </c>
      <c r="BH755" s="7" t="s">
        <v>228</v>
      </c>
      <c r="BI755" s="7"/>
      <c r="BJ755" s="4"/>
      <c r="BK755" s="8"/>
      <c r="BL755" s="2" t="s">
        <v>228</v>
      </c>
      <c r="BM755" s="7"/>
      <c r="BN755" s="7"/>
      <c r="BO755" s="4"/>
      <c r="BP755" s="8"/>
      <c r="BQ755" s="4"/>
      <c r="BR755" s="8"/>
      <c r="BS755" s="7"/>
      <c r="BT755" s="7"/>
      <c r="BU755" s="2" t="s">
        <v>238</v>
      </c>
      <c r="BV755" s="2" t="s">
        <v>228</v>
      </c>
      <c r="BW755" s="2" t="s">
        <v>228</v>
      </c>
      <c r="BX755" s="2" t="s">
        <v>238</v>
      </c>
      <c r="BY755" s="2" t="s">
        <v>239</v>
      </c>
      <c r="BZ755" s="2" t="s">
        <v>240</v>
      </c>
      <c r="CA755" s="2" t="s">
        <v>228</v>
      </c>
      <c r="CB755" s="2" t="s">
        <v>228</v>
      </c>
      <c r="CC755" s="2" t="s">
        <v>241</v>
      </c>
      <c r="CD755" s="2" t="s">
        <v>228</v>
      </c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>
        <v>504</v>
      </c>
      <c r="DW755" s="4"/>
      <c r="DX755" s="4"/>
      <c r="DY755" s="4"/>
      <c r="DZ755" s="4">
        <v>841</v>
      </c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>
        <v>336</v>
      </c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</row>
    <row r="756">
      <c r="A756" s="2" t="s">
        <v>4280</v>
      </c>
      <c r="B756" s="2" t="s">
        <v>299</v>
      </c>
      <c r="C756" s="2" t="s">
        <v>4000</v>
      </c>
      <c r="D756" s="2" t="s">
        <v>301</v>
      </c>
      <c r="E756" s="2" t="s">
        <v>302</v>
      </c>
      <c r="F756" s="2" t="s">
        <v>4001</v>
      </c>
      <c r="G756" s="2" t="s">
        <v>4001</v>
      </c>
      <c r="H756" s="2" t="s">
        <v>4001</v>
      </c>
      <c r="I756" s="2" t="s">
        <v>4002</v>
      </c>
      <c r="J756" s="2" t="s">
        <v>294</v>
      </c>
      <c r="K756" s="2" t="s">
        <v>4275</v>
      </c>
      <c r="L756" s="3">
        <v>27.39</v>
      </c>
      <c r="M756" s="3">
        <v>28.76</v>
      </c>
      <c r="N756" s="3">
        <v>67.99</v>
      </c>
      <c r="O756" s="2" t="s">
        <v>240</v>
      </c>
      <c r="P756" s="2" t="s">
        <v>233</v>
      </c>
      <c r="Q756" s="2" t="s">
        <v>234</v>
      </c>
      <c r="R756" s="2" t="s">
        <v>228</v>
      </c>
      <c r="S756" s="2" t="s">
        <v>4276</v>
      </c>
      <c r="T756" s="2" t="s">
        <v>3810</v>
      </c>
      <c r="U756" s="2" t="s">
        <v>308</v>
      </c>
      <c r="V756" s="2" t="s">
        <v>2042</v>
      </c>
      <c r="W756" s="2" t="s">
        <v>269</v>
      </c>
      <c r="X756" s="2" t="s">
        <v>1267</v>
      </c>
      <c r="Y756" s="2" t="s">
        <v>228</v>
      </c>
      <c r="Z756" s="4"/>
      <c r="AA756" s="4">
        <f>=ROUNDDOWN({0},0)</f>
      </c>
      <c r="AB756" s="5"/>
      <c r="AC756" s="2" t="s">
        <v>3854</v>
      </c>
      <c r="AD756" s="4">
        <v>219</v>
      </c>
      <c r="AE756" s="4">
        <v>730</v>
      </c>
      <c r="AF756" s="6">
        <v>69</v>
      </c>
      <c r="AG756" s="6"/>
      <c r="AH756" s="7"/>
      <c r="AI756" s="4"/>
      <c r="AJ756" s="4">
        <f>=ROUNDDOWN({0},0)</f>
      </c>
      <c r="AK756" s="5"/>
      <c r="AL756" s="2" t="s">
        <v>228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228</v>
      </c>
      <c r="AW756" s="8" t="s">
        <v>228</v>
      </c>
      <c r="AX756" s="4" t="s">
        <v>228</v>
      </c>
      <c r="AY756" s="8" t="s">
        <v>228</v>
      </c>
      <c r="AZ756" s="7" t="s">
        <v>228</v>
      </c>
      <c r="BA756" s="7" t="s">
        <v>228</v>
      </c>
      <c r="BB756" s="7"/>
      <c r="BC756" s="4" t="s">
        <v>228</v>
      </c>
      <c r="BD756" s="8" t="s">
        <v>228</v>
      </c>
      <c r="BE756" s="4" t="s">
        <v>228</v>
      </c>
      <c r="BF756" s="8" t="s">
        <v>228</v>
      </c>
      <c r="BG756" s="7" t="s">
        <v>228</v>
      </c>
      <c r="BH756" s="7" t="s">
        <v>228</v>
      </c>
      <c r="BI756" s="7"/>
      <c r="BJ756" s="4"/>
      <c r="BK756" s="8"/>
      <c r="BL756" s="2" t="s">
        <v>228</v>
      </c>
      <c r="BM756" s="7"/>
      <c r="BN756" s="7"/>
      <c r="BO756" s="4"/>
      <c r="BP756" s="8"/>
      <c r="BQ756" s="4"/>
      <c r="BR756" s="8"/>
      <c r="BS756" s="7"/>
      <c r="BT756" s="7"/>
      <c r="BU756" s="2" t="s">
        <v>238</v>
      </c>
      <c r="BV756" s="2" t="s">
        <v>228</v>
      </c>
      <c r="BW756" s="2" t="s">
        <v>228</v>
      </c>
      <c r="BX756" s="2" t="s">
        <v>238</v>
      </c>
      <c r="BY756" s="2" t="s">
        <v>239</v>
      </c>
      <c r="BZ756" s="2" t="s">
        <v>240</v>
      </c>
      <c r="CA756" s="2" t="s">
        <v>228</v>
      </c>
      <c r="CB756" s="2" t="s">
        <v>228</v>
      </c>
      <c r="CC756" s="2" t="s">
        <v>241</v>
      </c>
      <c r="CD756" s="2" t="s">
        <v>228</v>
      </c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>
        <v>219</v>
      </c>
      <c r="DW756" s="4"/>
      <c r="DX756" s="4"/>
      <c r="DY756" s="4"/>
      <c r="DZ756" s="4">
        <v>365</v>
      </c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>
        <v>146</v>
      </c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</row>
    <row r="757">
      <c r="A757" s="2" t="s">
        <v>4281</v>
      </c>
      <c r="B757" s="2" t="s">
        <v>299</v>
      </c>
      <c r="C757" s="2" t="s">
        <v>4000</v>
      </c>
      <c r="D757" s="2" t="s">
        <v>301</v>
      </c>
      <c r="E757" s="2" t="s">
        <v>302</v>
      </c>
      <c r="F757" s="2" t="s">
        <v>4001</v>
      </c>
      <c r="G757" s="2" t="s">
        <v>4001</v>
      </c>
      <c r="H757" s="2" t="s">
        <v>4001</v>
      </c>
      <c r="I757" s="2" t="s">
        <v>4002</v>
      </c>
      <c r="J757" s="2" t="s">
        <v>312</v>
      </c>
      <c r="K757" s="2" t="s">
        <v>4275</v>
      </c>
      <c r="L757" s="3">
        <v>27.39</v>
      </c>
      <c r="M757" s="3">
        <v>28.76</v>
      </c>
      <c r="N757" s="3">
        <v>67.99</v>
      </c>
      <c r="O757" s="2" t="s">
        <v>240</v>
      </c>
      <c r="P757" s="2" t="s">
        <v>233</v>
      </c>
      <c r="Q757" s="2" t="s">
        <v>234</v>
      </c>
      <c r="R757" s="2" t="s">
        <v>228</v>
      </c>
      <c r="S757" s="2" t="s">
        <v>4276</v>
      </c>
      <c r="T757" s="2" t="s">
        <v>3810</v>
      </c>
      <c r="U757" s="2" t="s">
        <v>308</v>
      </c>
      <c r="V757" s="2" t="s">
        <v>2042</v>
      </c>
      <c r="W757" s="2" t="s">
        <v>269</v>
      </c>
      <c r="X757" s="2" t="s">
        <v>1267</v>
      </c>
      <c r="Y757" s="2" t="s">
        <v>228</v>
      </c>
      <c r="Z757" s="4"/>
      <c r="AA757" s="4">
        <f>=ROUNDDOWN({0},0)</f>
      </c>
      <c r="AB757" s="5"/>
      <c r="AC757" s="2" t="s">
        <v>3854</v>
      </c>
      <c r="AD757" s="4">
        <v>208</v>
      </c>
      <c r="AE757" s="4">
        <v>693</v>
      </c>
      <c r="AF757" s="6">
        <v>69</v>
      </c>
      <c r="AG757" s="6"/>
      <c r="AH757" s="7"/>
      <c r="AI757" s="4"/>
      <c r="AJ757" s="4">
        <f>=ROUNDDOWN({0},0)</f>
      </c>
      <c r="AK757" s="5"/>
      <c r="AL757" s="2" t="s">
        <v>228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228</v>
      </c>
      <c r="AW757" s="8" t="s">
        <v>228</v>
      </c>
      <c r="AX757" s="4" t="s">
        <v>228</v>
      </c>
      <c r="AY757" s="8" t="s">
        <v>228</v>
      </c>
      <c r="AZ757" s="7" t="s">
        <v>228</v>
      </c>
      <c r="BA757" s="7" t="s">
        <v>228</v>
      </c>
      <c r="BB757" s="7"/>
      <c r="BC757" s="4" t="s">
        <v>228</v>
      </c>
      <c r="BD757" s="8" t="s">
        <v>228</v>
      </c>
      <c r="BE757" s="4" t="s">
        <v>228</v>
      </c>
      <c r="BF757" s="8" t="s">
        <v>228</v>
      </c>
      <c r="BG757" s="7" t="s">
        <v>228</v>
      </c>
      <c r="BH757" s="7" t="s">
        <v>228</v>
      </c>
      <c r="BI757" s="7"/>
      <c r="BJ757" s="4"/>
      <c r="BK757" s="8"/>
      <c r="BL757" s="2" t="s">
        <v>228</v>
      </c>
      <c r="BM757" s="7"/>
      <c r="BN757" s="7"/>
      <c r="BO757" s="4"/>
      <c r="BP757" s="8"/>
      <c r="BQ757" s="4"/>
      <c r="BR757" s="8"/>
      <c r="BS757" s="7"/>
      <c r="BT757" s="7"/>
      <c r="BU757" s="2" t="s">
        <v>238</v>
      </c>
      <c r="BV757" s="2" t="s">
        <v>228</v>
      </c>
      <c r="BW757" s="2" t="s">
        <v>228</v>
      </c>
      <c r="BX757" s="2" t="s">
        <v>238</v>
      </c>
      <c r="BY757" s="2" t="s">
        <v>239</v>
      </c>
      <c r="BZ757" s="2" t="s">
        <v>240</v>
      </c>
      <c r="CA757" s="2" t="s">
        <v>228</v>
      </c>
      <c r="CB757" s="2" t="s">
        <v>228</v>
      </c>
      <c r="CC757" s="2" t="s">
        <v>241</v>
      </c>
      <c r="CD757" s="2" t="s">
        <v>228</v>
      </c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>
        <v>208</v>
      </c>
      <c r="DW757" s="4"/>
      <c r="DX757" s="4"/>
      <c r="DY757" s="4"/>
      <c r="DZ757" s="4"/>
      <c r="EA757" s="4">
        <v>346</v>
      </c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>
        <v>139</v>
      </c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</row>
    <row r="758">
      <c r="A758" s="2" t="s">
        <v>4282</v>
      </c>
      <c r="B758" s="2" t="s">
        <v>299</v>
      </c>
      <c r="C758" s="2" t="s">
        <v>4000</v>
      </c>
      <c r="D758" s="2" t="s">
        <v>301</v>
      </c>
      <c r="E758" s="2" t="s">
        <v>302</v>
      </c>
      <c r="F758" s="2" t="s">
        <v>4001</v>
      </c>
      <c r="G758" s="2" t="s">
        <v>4001</v>
      </c>
      <c r="H758" s="2" t="s">
        <v>4001</v>
      </c>
      <c r="I758" s="2" t="s">
        <v>4002</v>
      </c>
      <c r="J758" s="2" t="s">
        <v>264</v>
      </c>
      <c r="K758" s="2" t="s">
        <v>4283</v>
      </c>
      <c r="L758" s="3">
        <v>14.89</v>
      </c>
      <c r="M758" s="3">
        <v>15.63</v>
      </c>
      <c r="N758" s="3">
        <v>31.99</v>
      </c>
      <c r="O758" s="2" t="s">
        <v>240</v>
      </c>
      <c r="P758" s="2" t="s">
        <v>266</v>
      </c>
      <c r="Q758" s="2" t="s">
        <v>234</v>
      </c>
      <c r="R758" s="2" t="s">
        <v>228</v>
      </c>
      <c r="S758" s="2" t="s">
        <v>4284</v>
      </c>
      <c r="T758" s="2" t="s">
        <v>3810</v>
      </c>
      <c r="U758" s="2" t="s">
        <v>228</v>
      </c>
      <c r="V758" s="2" t="s">
        <v>3717</v>
      </c>
      <c r="W758" s="2" t="s">
        <v>269</v>
      </c>
      <c r="X758" s="2" t="s">
        <v>228</v>
      </c>
      <c r="Y758" s="2" t="s">
        <v>270</v>
      </c>
      <c r="Z758" s="4">
        <v>335</v>
      </c>
      <c r="AA758" s="4">
        <f>=ROUNDDOWN(8.375,0)</f>
      </c>
      <c r="AB758" s="5">
        <v>40</v>
      </c>
      <c r="AC758" s="2" t="s">
        <v>2114</v>
      </c>
      <c r="AD758" s="4">
        <v>689</v>
      </c>
      <c r="AE758" s="4">
        <v>1543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228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228</v>
      </c>
      <c r="AW758" s="8" t="s">
        <v>228</v>
      </c>
      <c r="AX758" s="4" t="s">
        <v>228</v>
      </c>
      <c r="AY758" s="8" t="s">
        <v>228</v>
      </c>
      <c r="AZ758" s="7" t="s">
        <v>228</v>
      </c>
      <c r="BA758" s="7" t="s">
        <v>228</v>
      </c>
      <c r="BB758" s="7"/>
      <c r="BC758" s="4" t="s">
        <v>228</v>
      </c>
      <c r="BD758" s="8" t="s">
        <v>228</v>
      </c>
      <c r="BE758" s="4" t="s">
        <v>228</v>
      </c>
      <c r="BF758" s="8" t="s">
        <v>228</v>
      </c>
      <c r="BG758" s="7" t="s">
        <v>228</v>
      </c>
      <c r="BH758" s="7" t="s">
        <v>228</v>
      </c>
      <c r="BI758" s="7"/>
      <c r="BJ758" s="4">
        <v>19</v>
      </c>
      <c r="BK758" s="8">
        <v>307.62</v>
      </c>
      <c r="BL758" s="2" t="s">
        <v>4137</v>
      </c>
      <c r="BM758" s="7"/>
      <c r="BN758" s="7"/>
      <c r="BO758" s="4"/>
      <c r="BP758" s="8"/>
      <c r="BQ758" s="4"/>
      <c r="BR758" s="8"/>
      <c r="BS758" s="7"/>
      <c r="BT758" s="7"/>
      <c r="BU758" s="2" t="s">
        <v>4285</v>
      </c>
      <c r="BV758" s="2" t="s">
        <v>228</v>
      </c>
      <c r="BW758" s="2" t="s">
        <v>228</v>
      </c>
      <c r="BX758" s="2" t="s">
        <v>273</v>
      </c>
      <c r="BY758" s="2" t="s">
        <v>274</v>
      </c>
      <c r="BZ758" s="2" t="s">
        <v>240</v>
      </c>
      <c r="CA758" s="2" t="s">
        <v>3871</v>
      </c>
      <c r="CB758" s="2" t="s">
        <v>4286</v>
      </c>
      <c r="CC758" s="2" t="s">
        <v>241</v>
      </c>
      <c r="CD758" s="2" t="s">
        <v>228</v>
      </c>
      <c r="CE758" s="4">
        <v>335</v>
      </c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>
        <v>689</v>
      </c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>
        <v>351</v>
      </c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>
        <v>503</v>
      </c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</row>
    <row r="759">
      <c r="A759" s="2" t="s">
        <v>4287</v>
      </c>
      <c r="B759" s="2" t="s">
        <v>299</v>
      </c>
      <c r="C759" s="2" t="s">
        <v>4000</v>
      </c>
      <c r="D759" s="2" t="s">
        <v>301</v>
      </c>
      <c r="E759" s="2" t="s">
        <v>302</v>
      </c>
      <c r="F759" s="2" t="s">
        <v>4001</v>
      </c>
      <c r="G759" s="2" t="s">
        <v>4001</v>
      </c>
      <c r="H759" s="2" t="s">
        <v>4001</v>
      </c>
      <c r="I759" s="2" t="s">
        <v>4002</v>
      </c>
      <c r="J759" s="2" t="s">
        <v>289</v>
      </c>
      <c r="K759" s="2" t="s">
        <v>4283</v>
      </c>
      <c r="L759" s="3">
        <v>22.21</v>
      </c>
      <c r="M759" s="3">
        <v>23.32</v>
      </c>
      <c r="N759" s="3">
        <v>47.99</v>
      </c>
      <c r="O759" s="2" t="s">
        <v>240</v>
      </c>
      <c r="P759" s="2" t="s">
        <v>266</v>
      </c>
      <c r="Q759" s="2" t="s">
        <v>234</v>
      </c>
      <c r="R759" s="2" t="s">
        <v>228</v>
      </c>
      <c r="S759" s="2" t="s">
        <v>4284</v>
      </c>
      <c r="T759" s="2" t="s">
        <v>3810</v>
      </c>
      <c r="U759" s="2" t="s">
        <v>228</v>
      </c>
      <c r="V759" s="2" t="s">
        <v>3717</v>
      </c>
      <c r="W759" s="2" t="s">
        <v>269</v>
      </c>
      <c r="X759" s="2" t="s">
        <v>228</v>
      </c>
      <c r="Y759" s="2" t="s">
        <v>270</v>
      </c>
      <c r="Z759" s="4">
        <v>277</v>
      </c>
      <c r="AA759" s="4">
        <f>=ROUNDDOWN(7.1025641025641,0)</f>
      </c>
      <c r="AB759" s="5">
        <v>39</v>
      </c>
      <c r="AC759" s="2" t="s">
        <v>2114</v>
      </c>
      <c r="AD759" s="4">
        <v>622</v>
      </c>
      <c r="AE759" s="4">
        <v>1504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228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228</v>
      </c>
      <c r="AW759" s="8" t="s">
        <v>228</v>
      </c>
      <c r="AX759" s="4" t="s">
        <v>228</v>
      </c>
      <c r="AY759" s="8" t="s">
        <v>228</v>
      </c>
      <c r="AZ759" s="7" t="s">
        <v>228</v>
      </c>
      <c r="BA759" s="7" t="s">
        <v>228</v>
      </c>
      <c r="BB759" s="7"/>
      <c r="BC759" s="4" t="s">
        <v>228</v>
      </c>
      <c r="BD759" s="8" t="s">
        <v>228</v>
      </c>
      <c r="BE759" s="4" t="s">
        <v>228</v>
      </c>
      <c r="BF759" s="8" t="s">
        <v>228</v>
      </c>
      <c r="BG759" s="7" t="s">
        <v>228</v>
      </c>
      <c r="BH759" s="7" t="s">
        <v>228</v>
      </c>
      <c r="BI759" s="7"/>
      <c r="BJ759" s="4">
        <v>61</v>
      </c>
      <c r="BK759" s="8">
        <v>1474.56</v>
      </c>
      <c r="BL759" s="2" t="s">
        <v>3816</v>
      </c>
      <c r="BM759" s="7"/>
      <c r="BN759" s="7"/>
      <c r="BO759" s="4"/>
      <c r="BP759" s="8"/>
      <c r="BQ759" s="4"/>
      <c r="BR759" s="8"/>
      <c r="BS759" s="7"/>
      <c r="BT759" s="7"/>
      <c r="BU759" s="2" t="s">
        <v>4288</v>
      </c>
      <c r="BV759" s="2" t="s">
        <v>228</v>
      </c>
      <c r="BW759" s="2" t="s">
        <v>228</v>
      </c>
      <c r="BX759" s="2" t="s">
        <v>273</v>
      </c>
      <c r="BY759" s="2" t="s">
        <v>274</v>
      </c>
      <c r="BZ759" s="2" t="s">
        <v>240</v>
      </c>
      <c r="CA759" s="2" t="s">
        <v>3871</v>
      </c>
      <c r="CB759" s="2" t="s">
        <v>437</v>
      </c>
      <c r="CC759" s="2" t="s">
        <v>241</v>
      </c>
      <c r="CD759" s="2" t="s">
        <v>228</v>
      </c>
      <c r="CE759" s="4">
        <v>277</v>
      </c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>
        <v>622</v>
      </c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>
        <v>353</v>
      </c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>
        <v>529</v>
      </c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</row>
    <row r="760">
      <c r="A760" s="2" t="s">
        <v>4289</v>
      </c>
      <c r="B760" s="2" t="s">
        <v>299</v>
      </c>
      <c r="C760" s="2" t="s">
        <v>4000</v>
      </c>
      <c r="D760" s="2" t="s">
        <v>301</v>
      </c>
      <c r="E760" s="2" t="s">
        <v>302</v>
      </c>
      <c r="F760" s="2" t="s">
        <v>4001</v>
      </c>
      <c r="G760" s="2" t="s">
        <v>4001</v>
      </c>
      <c r="H760" s="2" t="s">
        <v>4001</v>
      </c>
      <c r="I760" s="2" t="s">
        <v>4002</v>
      </c>
      <c r="J760" s="2" t="s">
        <v>264</v>
      </c>
      <c r="K760" s="2" t="s">
        <v>4290</v>
      </c>
      <c r="L760" s="3">
        <v>14.89</v>
      </c>
      <c r="M760" s="3">
        <v>15.63</v>
      </c>
      <c r="N760" s="3">
        <v>36.99</v>
      </c>
      <c r="O760" s="2" t="s">
        <v>240</v>
      </c>
      <c r="P760" s="2" t="s">
        <v>233</v>
      </c>
      <c r="Q760" s="2" t="s">
        <v>234</v>
      </c>
      <c r="R760" s="2" t="s">
        <v>228</v>
      </c>
      <c r="S760" s="2" t="s">
        <v>4291</v>
      </c>
      <c r="T760" s="2" t="s">
        <v>3810</v>
      </c>
      <c r="U760" s="2" t="s">
        <v>500</v>
      </c>
      <c r="V760" s="2" t="s">
        <v>3717</v>
      </c>
      <c r="W760" s="2" t="s">
        <v>269</v>
      </c>
      <c r="X760" s="2" t="s">
        <v>1267</v>
      </c>
      <c r="Y760" s="2" t="s">
        <v>228</v>
      </c>
      <c r="Z760" s="4"/>
      <c r="AA760" s="4">
        <f>=ROUNDDOWN({0},0)</f>
      </c>
      <c r="AB760" s="5"/>
      <c r="AC760" s="2" t="s">
        <v>3854</v>
      </c>
      <c r="AD760" s="4">
        <v>552</v>
      </c>
      <c r="AE760" s="4">
        <v>1840</v>
      </c>
      <c r="AF760" s="6">
        <v>69</v>
      </c>
      <c r="AG760" s="6"/>
      <c r="AH760" s="7"/>
      <c r="AI760" s="4"/>
      <c r="AJ760" s="4">
        <f>=ROUNDDOWN({0},0)</f>
      </c>
      <c r="AK760" s="5"/>
      <c r="AL760" s="2" t="s">
        <v>228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228</v>
      </c>
      <c r="AW760" s="8" t="s">
        <v>228</v>
      </c>
      <c r="AX760" s="4" t="s">
        <v>228</v>
      </c>
      <c r="AY760" s="8" t="s">
        <v>228</v>
      </c>
      <c r="AZ760" s="7" t="s">
        <v>228</v>
      </c>
      <c r="BA760" s="7" t="s">
        <v>228</v>
      </c>
      <c r="BB760" s="7"/>
      <c r="BC760" s="4" t="s">
        <v>228</v>
      </c>
      <c r="BD760" s="8" t="s">
        <v>228</v>
      </c>
      <c r="BE760" s="4" t="s">
        <v>228</v>
      </c>
      <c r="BF760" s="8" t="s">
        <v>228</v>
      </c>
      <c r="BG760" s="7" t="s">
        <v>228</v>
      </c>
      <c r="BH760" s="7" t="s">
        <v>228</v>
      </c>
      <c r="BI760" s="7"/>
      <c r="BJ760" s="4"/>
      <c r="BK760" s="8"/>
      <c r="BL760" s="2" t="s">
        <v>228</v>
      </c>
      <c r="BM760" s="7"/>
      <c r="BN760" s="7"/>
      <c r="BO760" s="4"/>
      <c r="BP760" s="8"/>
      <c r="BQ760" s="4"/>
      <c r="BR760" s="8"/>
      <c r="BS760" s="7"/>
      <c r="BT760" s="7"/>
      <c r="BU760" s="2" t="s">
        <v>238</v>
      </c>
      <c r="BV760" s="2" t="s">
        <v>228</v>
      </c>
      <c r="BW760" s="2" t="s">
        <v>228</v>
      </c>
      <c r="BX760" s="2" t="s">
        <v>238</v>
      </c>
      <c r="BY760" s="2" t="s">
        <v>239</v>
      </c>
      <c r="BZ760" s="2" t="s">
        <v>240</v>
      </c>
      <c r="CA760" s="2" t="s">
        <v>228</v>
      </c>
      <c r="CB760" s="2" t="s">
        <v>228</v>
      </c>
      <c r="CC760" s="2" t="s">
        <v>241</v>
      </c>
      <c r="CD760" s="2" t="s">
        <v>228</v>
      </c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>
        <v>552</v>
      </c>
      <c r="DW760" s="4"/>
      <c r="DX760" s="4"/>
      <c r="DY760" s="4"/>
      <c r="DZ760" s="4"/>
      <c r="EA760" s="4">
        <v>920</v>
      </c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>
        <v>368</v>
      </c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</row>
    <row r="761">
      <c r="A761" s="2" t="s">
        <v>4292</v>
      </c>
      <c r="B761" s="2" t="s">
        <v>299</v>
      </c>
      <c r="C761" s="2" t="s">
        <v>4000</v>
      </c>
      <c r="D761" s="2" t="s">
        <v>301</v>
      </c>
      <c r="E761" s="2" t="s">
        <v>302</v>
      </c>
      <c r="F761" s="2" t="s">
        <v>4001</v>
      </c>
      <c r="G761" s="2" t="s">
        <v>4001</v>
      </c>
      <c r="H761" s="2" t="s">
        <v>4001</v>
      </c>
      <c r="I761" s="2" t="s">
        <v>4002</v>
      </c>
      <c r="J761" s="2" t="s">
        <v>278</v>
      </c>
      <c r="K761" s="2" t="s">
        <v>4290</v>
      </c>
      <c r="L761" s="3">
        <v>16.16</v>
      </c>
      <c r="M761" s="3">
        <v>16.97</v>
      </c>
      <c r="N761" s="3">
        <v>39.99</v>
      </c>
      <c r="O761" s="2" t="s">
        <v>240</v>
      </c>
      <c r="P761" s="2" t="s">
        <v>233</v>
      </c>
      <c r="Q761" s="2" t="s">
        <v>234</v>
      </c>
      <c r="R761" s="2" t="s">
        <v>228</v>
      </c>
      <c r="S761" s="2" t="s">
        <v>4291</v>
      </c>
      <c r="T761" s="2" t="s">
        <v>3810</v>
      </c>
      <c r="U761" s="2" t="s">
        <v>500</v>
      </c>
      <c r="V761" s="2" t="s">
        <v>3717</v>
      </c>
      <c r="W761" s="2" t="s">
        <v>269</v>
      </c>
      <c r="X761" s="2" t="s">
        <v>1267</v>
      </c>
      <c r="Y761" s="2" t="s">
        <v>228</v>
      </c>
      <c r="Z761" s="4"/>
      <c r="AA761" s="4">
        <f>=ROUNDDOWN({0},0)</f>
      </c>
      <c r="AB761" s="5"/>
      <c r="AC761" s="2" t="s">
        <v>3854</v>
      </c>
      <c r="AD761" s="4">
        <v>567</v>
      </c>
      <c r="AE761" s="4">
        <v>1889</v>
      </c>
      <c r="AF761" s="6">
        <v>69</v>
      </c>
      <c r="AG761" s="6"/>
      <c r="AH761" s="7"/>
      <c r="AI761" s="4"/>
      <c r="AJ761" s="4">
        <f>=ROUNDDOWN({0},0)</f>
      </c>
      <c r="AK761" s="5"/>
      <c r="AL761" s="2" t="s">
        <v>228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228</v>
      </c>
      <c r="AW761" s="8" t="s">
        <v>228</v>
      </c>
      <c r="AX761" s="4" t="s">
        <v>228</v>
      </c>
      <c r="AY761" s="8" t="s">
        <v>228</v>
      </c>
      <c r="AZ761" s="7" t="s">
        <v>228</v>
      </c>
      <c r="BA761" s="7" t="s">
        <v>228</v>
      </c>
      <c r="BB761" s="7"/>
      <c r="BC761" s="4" t="s">
        <v>228</v>
      </c>
      <c r="BD761" s="8" t="s">
        <v>228</v>
      </c>
      <c r="BE761" s="4" t="s">
        <v>228</v>
      </c>
      <c r="BF761" s="8" t="s">
        <v>228</v>
      </c>
      <c r="BG761" s="7" t="s">
        <v>228</v>
      </c>
      <c r="BH761" s="7" t="s">
        <v>228</v>
      </c>
      <c r="BI761" s="7"/>
      <c r="BJ761" s="4"/>
      <c r="BK761" s="8"/>
      <c r="BL761" s="2" t="s">
        <v>228</v>
      </c>
      <c r="BM761" s="7"/>
      <c r="BN761" s="7"/>
      <c r="BO761" s="4"/>
      <c r="BP761" s="8"/>
      <c r="BQ761" s="4"/>
      <c r="BR761" s="8"/>
      <c r="BS761" s="7"/>
      <c r="BT761" s="7"/>
      <c r="BU761" s="2" t="s">
        <v>238</v>
      </c>
      <c r="BV761" s="2" t="s">
        <v>228</v>
      </c>
      <c r="BW761" s="2" t="s">
        <v>228</v>
      </c>
      <c r="BX761" s="2" t="s">
        <v>238</v>
      </c>
      <c r="BY761" s="2" t="s">
        <v>239</v>
      </c>
      <c r="BZ761" s="2" t="s">
        <v>240</v>
      </c>
      <c r="CA761" s="2" t="s">
        <v>228</v>
      </c>
      <c r="CB761" s="2" t="s">
        <v>228</v>
      </c>
      <c r="CC761" s="2" t="s">
        <v>241</v>
      </c>
      <c r="CD761" s="2" t="s">
        <v>228</v>
      </c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>
        <v>567</v>
      </c>
      <c r="DW761" s="4"/>
      <c r="DX761" s="4"/>
      <c r="DY761" s="4"/>
      <c r="DZ761" s="4"/>
      <c r="EA761" s="4">
        <v>944</v>
      </c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>
        <v>378</v>
      </c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</row>
    <row r="762">
      <c r="A762" s="2" t="s">
        <v>4293</v>
      </c>
      <c r="B762" s="2" t="s">
        <v>299</v>
      </c>
      <c r="C762" s="2" t="s">
        <v>4000</v>
      </c>
      <c r="D762" s="2" t="s">
        <v>301</v>
      </c>
      <c r="E762" s="2" t="s">
        <v>302</v>
      </c>
      <c r="F762" s="2" t="s">
        <v>4001</v>
      </c>
      <c r="G762" s="2" t="s">
        <v>4001</v>
      </c>
      <c r="H762" s="2" t="s">
        <v>4001</v>
      </c>
      <c r="I762" s="2" t="s">
        <v>4002</v>
      </c>
      <c r="J762" s="2" t="s">
        <v>284</v>
      </c>
      <c r="K762" s="2" t="s">
        <v>4290</v>
      </c>
      <c r="L762" s="3">
        <v>19.57</v>
      </c>
      <c r="M762" s="3">
        <v>20.55</v>
      </c>
      <c r="N762" s="3">
        <v>47.99</v>
      </c>
      <c r="O762" s="2" t="s">
        <v>240</v>
      </c>
      <c r="P762" s="2" t="s">
        <v>233</v>
      </c>
      <c r="Q762" s="2" t="s">
        <v>234</v>
      </c>
      <c r="R762" s="2" t="s">
        <v>228</v>
      </c>
      <c r="S762" s="2" t="s">
        <v>4291</v>
      </c>
      <c r="T762" s="2" t="s">
        <v>3810</v>
      </c>
      <c r="U762" s="2" t="s">
        <v>308</v>
      </c>
      <c r="V762" s="2" t="s">
        <v>3717</v>
      </c>
      <c r="W762" s="2" t="s">
        <v>269</v>
      </c>
      <c r="X762" s="2" t="s">
        <v>1267</v>
      </c>
      <c r="Y762" s="2" t="s">
        <v>228</v>
      </c>
      <c r="Z762" s="4"/>
      <c r="AA762" s="4">
        <f>=ROUNDDOWN({0},0)</f>
      </c>
      <c r="AB762" s="5"/>
      <c r="AC762" s="2" t="s">
        <v>3854</v>
      </c>
      <c r="AD762" s="4">
        <v>632</v>
      </c>
      <c r="AE762" s="4">
        <v>2106</v>
      </c>
      <c r="AF762" s="6">
        <v>69</v>
      </c>
      <c r="AG762" s="6"/>
      <c r="AH762" s="7"/>
      <c r="AI762" s="4"/>
      <c r="AJ762" s="4">
        <f>=ROUNDDOWN({0},0)</f>
      </c>
      <c r="AK762" s="5"/>
      <c r="AL762" s="2" t="s">
        <v>228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228</v>
      </c>
      <c r="AW762" s="8" t="s">
        <v>228</v>
      </c>
      <c r="AX762" s="4" t="s">
        <v>228</v>
      </c>
      <c r="AY762" s="8" t="s">
        <v>228</v>
      </c>
      <c r="AZ762" s="7" t="s">
        <v>228</v>
      </c>
      <c r="BA762" s="7" t="s">
        <v>228</v>
      </c>
      <c r="BB762" s="7"/>
      <c r="BC762" s="4" t="s">
        <v>228</v>
      </c>
      <c r="BD762" s="8" t="s">
        <v>228</v>
      </c>
      <c r="BE762" s="4" t="s">
        <v>228</v>
      </c>
      <c r="BF762" s="8" t="s">
        <v>228</v>
      </c>
      <c r="BG762" s="7" t="s">
        <v>228</v>
      </c>
      <c r="BH762" s="7" t="s">
        <v>228</v>
      </c>
      <c r="BI762" s="7"/>
      <c r="BJ762" s="4"/>
      <c r="BK762" s="8"/>
      <c r="BL762" s="2" t="s">
        <v>228</v>
      </c>
      <c r="BM762" s="7"/>
      <c r="BN762" s="7"/>
      <c r="BO762" s="4"/>
      <c r="BP762" s="8"/>
      <c r="BQ762" s="4"/>
      <c r="BR762" s="8"/>
      <c r="BS762" s="7"/>
      <c r="BT762" s="7"/>
      <c r="BU762" s="2" t="s">
        <v>238</v>
      </c>
      <c r="BV762" s="2" t="s">
        <v>228</v>
      </c>
      <c r="BW762" s="2" t="s">
        <v>228</v>
      </c>
      <c r="BX762" s="2" t="s">
        <v>238</v>
      </c>
      <c r="BY762" s="2" t="s">
        <v>239</v>
      </c>
      <c r="BZ762" s="2" t="s">
        <v>240</v>
      </c>
      <c r="CA762" s="2" t="s">
        <v>228</v>
      </c>
      <c r="CB762" s="2" t="s">
        <v>228</v>
      </c>
      <c r="CC762" s="2" t="s">
        <v>241</v>
      </c>
      <c r="CD762" s="2" t="s">
        <v>228</v>
      </c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>
        <v>632</v>
      </c>
      <c r="DW762" s="4"/>
      <c r="DX762" s="4"/>
      <c r="DY762" s="4"/>
      <c r="DZ762" s="4"/>
      <c r="EA762" s="4">
        <v>1053</v>
      </c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>
        <v>421</v>
      </c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</row>
    <row r="763">
      <c r="A763" s="2" t="s">
        <v>4294</v>
      </c>
      <c r="B763" s="2" t="s">
        <v>299</v>
      </c>
      <c r="C763" s="2" t="s">
        <v>4000</v>
      </c>
      <c r="D763" s="2" t="s">
        <v>301</v>
      </c>
      <c r="E763" s="2" t="s">
        <v>302</v>
      </c>
      <c r="F763" s="2" t="s">
        <v>4001</v>
      </c>
      <c r="G763" s="2" t="s">
        <v>4001</v>
      </c>
      <c r="H763" s="2" t="s">
        <v>4001</v>
      </c>
      <c r="I763" s="2" t="s">
        <v>4002</v>
      </c>
      <c r="J763" s="2" t="s">
        <v>289</v>
      </c>
      <c r="K763" s="2" t="s">
        <v>4290</v>
      </c>
      <c r="L763" s="3">
        <v>22.21</v>
      </c>
      <c r="M763" s="3">
        <v>23.32</v>
      </c>
      <c r="N763" s="3">
        <v>52.99</v>
      </c>
      <c r="O763" s="2" t="s">
        <v>240</v>
      </c>
      <c r="P763" s="2" t="s">
        <v>233</v>
      </c>
      <c r="Q763" s="2" t="s">
        <v>234</v>
      </c>
      <c r="R763" s="2" t="s">
        <v>228</v>
      </c>
      <c r="S763" s="2" t="s">
        <v>4291</v>
      </c>
      <c r="T763" s="2" t="s">
        <v>3810</v>
      </c>
      <c r="U763" s="2" t="s">
        <v>308</v>
      </c>
      <c r="V763" s="2" t="s">
        <v>3717</v>
      </c>
      <c r="W763" s="2" t="s">
        <v>269</v>
      </c>
      <c r="X763" s="2" t="s">
        <v>1267</v>
      </c>
      <c r="Y763" s="2" t="s">
        <v>228</v>
      </c>
      <c r="Z763" s="4"/>
      <c r="AA763" s="4">
        <f>=ROUNDDOWN({0},0)</f>
      </c>
      <c r="AB763" s="5"/>
      <c r="AC763" s="2" t="s">
        <v>3854</v>
      </c>
      <c r="AD763" s="4">
        <v>1535</v>
      </c>
      <c r="AE763" s="4">
        <v>5116</v>
      </c>
      <c r="AF763" s="6">
        <v>69</v>
      </c>
      <c r="AG763" s="6"/>
      <c r="AH763" s="7"/>
      <c r="AI763" s="4"/>
      <c r="AJ763" s="4">
        <f>=ROUNDDOWN({0},0)</f>
      </c>
      <c r="AK763" s="5"/>
      <c r="AL763" s="2" t="s">
        <v>228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228</v>
      </c>
      <c r="AW763" s="8" t="s">
        <v>228</v>
      </c>
      <c r="AX763" s="4" t="s">
        <v>228</v>
      </c>
      <c r="AY763" s="8" t="s">
        <v>228</v>
      </c>
      <c r="AZ763" s="7" t="s">
        <v>228</v>
      </c>
      <c r="BA763" s="7" t="s">
        <v>228</v>
      </c>
      <c r="BB763" s="7"/>
      <c r="BC763" s="4" t="s">
        <v>228</v>
      </c>
      <c r="BD763" s="8" t="s">
        <v>228</v>
      </c>
      <c r="BE763" s="4" t="s">
        <v>228</v>
      </c>
      <c r="BF763" s="8" t="s">
        <v>228</v>
      </c>
      <c r="BG763" s="7" t="s">
        <v>228</v>
      </c>
      <c r="BH763" s="7" t="s">
        <v>228</v>
      </c>
      <c r="BI763" s="7"/>
      <c r="BJ763" s="4"/>
      <c r="BK763" s="8"/>
      <c r="BL763" s="2" t="s">
        <v>228</v>
      </c>
      <c r="BM763" s="7"/>
      <c r="BN763" s="7"/>
      <c r="BO763" s="4"/>
      <c r="BP763" s="8"/>
      <c r="BQ763" s="4"/>
      <c r="BR763" s="8"/>
      <c r="BS763" s="7"/>
      <c r="BT763" s="7"/>
      <c r="BU763" s="2" t="s">
        <v>238</v>
      </c>
      <c r="BV763" s="2" t="s">
        <v>228</v>
      </c>
      <c r="BW763" s="2" t="s">
        <v>228</v>
      </c>
      <c r="BX763" s="2" t="s">
        <v>238</v>
      </c>
      <c r="BY763" s="2" t="s">
        <v>239</v>
      </c>
      <c r="BZ763" s="2" t="s">
        <v>240</v>
      </c>
      <c r="CA763" s="2" t="s">
        <v>228</v>
      </c>
      <c r="CB763" s="2" t="s">
        <v>228</v>
      </c>
      <c r="CC763" s="2" t="s">
        <v>241</v>
      </c>
      <c r="CD763" s="2" t="s">
        <v>228</v>
      </c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>
        <v>1535</v>
      </c>
      <c r="DW763" s="4"/>
      <c r="DX763" s="4"/>
      <c r="DY763" s="4"/>
      <c r="DZ763" s="4"/>
      <c r="EA763" s="4">
        <v>2558</v>
      </c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>
        <v>1023</v>
      </c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</row>
    <row r="764">
      <c r="A764" s="2" t="s">
        <v>4295</v>
      </c>
      <c r="B764" s="2" t="s">
        <v>299</v>
      </c>
      <c r="C764" s="2" t="s">
        <v>4000</v>
      </c>
      <c r="D764" s="2" t="s">
        <v>301</v>
      </c>
      <c r="E764" s="2" t="s">
        <v>302</v>
      </c>
      <c r="F764" s="2" t="s">
        <v>4001</v>
      </c>
      <c r="G764" s="2" t="s">
        <v>4001</v>
      </c>
      <c r="H764" s="2" t="s">
        <v>4001</v>
      </c>
      <c r="I764" s="2" t="s">
        <v>4002</v>
      </c>
      <c r="J764" s="2" t="s">
        <v>294</v>
      </c>
      <c r="K764" s="2" t="s">
        <v>4290</v>
      </c>
      <c r="L764" s="3">
        <v>27.39</v>
      </c>
      <c r="M764" s="3">
        <v>28.76</v>
      </c>
      <c r="N764" s="3">
        <v>67.99</v>
      </c>
      <c r="O764" s="2" t="s">
        <v>240</v>
      </c>
      <c r="P764" s="2" t="s">
        <v>233</v>
      </c>
      <c r="Q764" s="2" t="s">
        <v>234</v>
      </c>
      <c r="R764" s="2" t="s">
        <v>228</v>
      </c>
      <c r="S764" s="2" t="s">
        <v>4291</v>
      </c>
      <c r="T764" s="2" t="s">
        <v>3810</v>
      </c>
      <c r="U764" s="2" t="s">
        <v>308</v>
      </c>
      <c r="V764" s="2" t="s">
        <v>3717</v>
      </c>
      <c r="W764" s="2" t="s">
        <v>269</v>
      </c>
      <c r="X764" s="2" t="s">
        <v>1267</v>
      </c>
      <c r="Y764" s="2" t="s">
        <v>228</v>
      </c>
      <c r="Z764" s="4"/>
      <c r="AA764" s="4">
        <f>=ROUNDDOWN({0},0)</f>
      </c>
      <c r="AB764" s="5"/>
      <c r="AC764" s="2" t="s">
        <v>3854</v>
      </c>
      <c r="AD764" s="4">
        <v>484</v>
      </c>
      <c r="AE764" s="4">
        <v>1614</v>
      </c>
      <c r="AF764" s="6">
        <v>69</v>
      </c>
      <c r="AG764" s="6"/>
      <c r="AH764" s="7"/>
      <c r="AI764" s="4"/>
      <c r="AJ764" s="4">
        <f>=ROUNDDOWN({0},0)</f>
      </c>
      <c r="AK764" s="5"/>
      <c r="AL764" s="2" t="s">
        <v>228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 t="s">
        <v>228</v>
      </c>
      <c r="AW764" s="8" t="s">
        <v>228</v>
      </c>
      <c r="AX764" s="4" t="s">
        <v>228</v>
      </c>
      <c r="AY764" s="8" t="s">
        <v>228</v>
      </c>
      <c r="AZ764" s="7" t="s">
        <v>228</v>
      </c>
      <c r="BA764" s="7" t="s">
        <v>228</v>
      </c>
      <c r="BB764" s="7"/>
      <c r="BC764" s="4" t="s">
        <v>228</v>
      </c>
      <c r="BD764" s="8" t="s">
        <v>228</v>
      </c>
      <c r="BE764" s="4" t="s">
        <v>228</v>
      </c>
      <c r="BF764" s="8" t="s">
        <v>228</v>
      </c>
      <c r="BG764" s="7" t="s">
        <v>228</v>
      </c>
      <c r="BH764" s="7" t="s">
        <v>228</v>
      </c>
      <c r="BI764" s="7"/>
      <c r="BJ764" s="4"/>
      <c r="BK764" s="8"/>
      <c r="BL764" s="2" t="s">
        <v>228</v>
      </c>
      <c r="BM764" s="7"/>
      <c r="BN764" s="7"/>
      <c r="BO764" s="4"/>
      <c r="BP764" s="8"/>
      <c r="BQ764" s="4"/>
      <c r="BR764" s="8"/>
      <c r="BS764" s="7"/>
      <c r="BT764" s="7"/>
      <c r="BU764" s="2" t="s">
        <v>238</v>
      </c>
      <c r="BV764" s="2" t="s">
        <v>228</v>
      </c>
      <c r="BW764" s="2" t="s">
        <v>228</v>
      </c>
      <c r="BX764" s="2" t="s">
        <v>238</v>
      </c>
      <c r="BY764" s="2" t="s">
        <v>239</v>
      </c>
      <c r="BZ764" s="2" t="s">
        <v>240</v>
      </c>
      <c r="CA764" s="2" t="s">
        <v>228</v>
      </c>
      <c r="CB764" s="2" t="s">
        <v>228</v>
      </c>
      <c r="CC764" s="2" t="s">
        <v>241</v>
      </c>
      <c r="CD764" s="2" t="s">
        <v>228</v>
      </c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>
        <v>484</v>
      </c>
      <c r="DW764" s="4"/>
      <c r="DX764" s="4"/>
      <c r="DY764" s="4"/>
      <c r="DZ764" s="4"/>
      <c r="EA764" s="4">
        <v>807</v>
      </c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>
        <v>323</v>
      </c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</row>
    <row r="765">
      <c r="A765" s="2" t="s">
        <v>4296</v>
      </c>
      <c r="B765" s="2" t="s">
        <v>299</v>
      </c>
      <c r="C765" s="2" t="s">
        <v>4000</v>
      </c>
      <c r="D765" s="2" t="s">
        <v>301</v>
      </c>
      <c r="E765" s="2" t="s">
        <v>302</v>
      </c>
      <c r="F765" s="2" t="s">
        <v>4001</v>
      </c>
      <c r="G765" s="2" t="s">
        <v>4001</v>
      </c>
      <c r="H765" s="2" t="s">
        <v>4001</v>
      </c>
      <c r="I765" s="2" t="s">
        <v>4002</v>
      </c>
      <c r="J765" s="2" t="s">
        <v>312</v>
      </c>
      <c r="K765" s="2" t="s">
        <v>4290</v>
      </c>
      <c r="L765" s="3">
        <v>27.39</v>
      </c>
      <c r="M765" s="3">
        <v>28.76</v>
      </c>
      <c r="N765" s="3">
        <v>67.99</v>
      </c>
      <c r="O765" s="2" t="s">
        <v>240</v>
      </c>
      <c r="P765" s="2" t="s">
        <v>233</v>
      </c>
      <c r="Q765" s="2" t="s">
        <v>234</v>
      </c>
      <c r="R765" s="2" t="s">
        <v>228</v>
      </c>
      <c r="S765" s="2" t="s">
        <v>4291</v>
      </c>
      <c r="T765" s="2" t="s">
        <v>3810</v>
      </c>
      <c r="U765" s="2" t="s">
        <v>308</v>
      </c>
      <c r="V765" s="2" t="s">
        <v>3717</v>
      </c>
      <c r="W765" s="2" t="s">
        <v>269</v>
      </c>
      <c r="X765" s="2" t="s">
        <v>1267</v>
      </c>
      <c r="Y765" s="2" t="s">
        <v>228</v>
      </c>
      <c r="Z765" s="4"/>
      <c r="AA765" s="4">
        <f>=ROUNDDOWN({0},0)</f>
      </c>
      <c r="AB765" s="5"/>
      <c r="AC765" s="2" t="s">
        <v>3854</v>
      </c>
      <c r="AD765" s="4">
        <v>284</v>
      </c>
      <c r="AE765" s="4">
        <v>948</v>
      </c>
      <c r="AF765" s="6">
        <v>69</v>
      </c>
      <c r="AG765" s="6"/>
      <c r="AH765" s="7"/>
      <c r="AI765" s="4"/>
      <c r="AJ765" s="4">
        <f>=ROUNDDOWN({0},0)</f>
      </c>
      <c r="AK765" s="5"/>
      <c r="AL765" s="2" t="s">
        <v>228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 t="s">
        <v>228</v>
      </c>
      <c r="AW765" s="8" t="s">
        <v>228</v>
      </c>
      <c r="AX765" s="4" t="s">
        <v>228</v>
      </c>
      <c r="AY765" s="8" t="s">
        <v>228</v>
      </c>
      <c r="AZ765" s="7" t="s">
        <v>228</v>
      </c>
      <c r="BA765" s="7" t="s">
        <v>228</v>
      </c>
      <c r="BB765" s="7"/>
      <c r="BC765" s="4" t="s">
        <v>228</v>
      </c>
      <c r="BD765" s="8" t="s">
        <v>228</v>
      </c>
      <c r="BE765" s="4" t="s">
        <v>228</v>
      </c>
      <c r="BF765" s="8" t="s">
        <v>228</v>
      </c>
      <c r="BG765" s="7" t="s">
        <v>228</v>
      </c>
      <c r="BH765" s="7" t="s">
        <v>228</v>
      </c>
      <c r="BI765" s="7"/>
      <c r="BJ765" s="4"/>
      <c r="BK765" s="8"/>
      <c r="BL765" s="2" t="s">
        <v>228</v>
      </c>
      <c r="BM765" s="7"/>
      <c r="BN765" s="7"/>
      <c r="BO765" s="4"/>
      <c r="BP765" s="8"/>
      <c r="BQ765" s="4"/>
      <c r="BR765" s="8"/>
      <c r="BS765" s="7"/>
      <c r="BT765" s="7"/>
      <c r="BU765" s="2" t="s">
        <v>238</v>
      </c>
      <c r="BV765" s="2" t="s">
        <v>228</v>
      </c>
      <c r="BW765" s="2" t="s">
        <v>228</v>
      </c>
      <c r="BX765" s="2" t="s">
        <v>238</v>
      </c>
      <c r="BY765" s="2" t="s">
        <v>239</v>
      </c>
      <c r="BZ765" s="2" t="s">
        <v>240</v>
      </c>
      <c r="CA765" s="2" t="s">
        <v>228</v>
      </c>
      <c r="CB765" s="2" t="s">
        <v>228</v>
      </c>
      <c r="CC765" s="2" t="s">
        <v>241</v>
      </c>
      <c r="CD765" s="2" t="s">
        <v>228</v>
      </c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>
        <v>284</v>
      </c>
      <c r="DW765" s="4"/>
      <c r="DX765" s="4"/>
      <c r="DY765" s="4"/>
      <c r="DZ765" s="4"/>
      <c r="EA765" s="4">
        <v>474</v>
      </c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>
        <v>190</v>
      </c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</row>
    <row r="766">
      <c r="A766" s="2" t="s">
        <v>4297</v>
      </c>
      <c r="B766" s="2" t="s">
        <v>299</v>
      </c>
      <c r="C766" s="2" t="s">
        <v>4000</v>
      </c>
      <c r="D766" s="2" t="s">
        <v>850</v>
      </c>
      <c r="E766" s="2" t="s">
        <v>1038</v>
      </c>
      <c r="F766" s="2" t="s">
        <v>4298</v>
      </c>
      <c r="G766" s="2" t="s">
        <v>4298</v>
      </c>
      <c r="H766" s="2" t="s">
        <v>4298</v>
      </c>
      <c r="I766" s="2" t="s">
        <v>4299</v>
      </c>
      <c r="J766" s="2" t="s">
        <v>856</v>
      </c>
      <c r="K766" s="2" t="s">
        <v>4300</v>
      </c>
      <c r="L766" s="3">
        <v>23.1</v>
      </c>
      <c r="M766" s="3">
        <v>24.26</v>
      </c>
      <c r="N766" s="3">
        <v>54.99</v>
      </c>
      <c r="O766" s="2" t="s">
        <v>491</v>
      </c>
      <c r="P766" s="2" t="s">
        <v>333</v>
      </c>
      <c r="Q766" s="2" t="s">
        <v>234</v>
      </c>
      <c r="R766" s="2" t="s">
        <v>228</v>
      </c>
      <c r="S766" s="2" t="s">
        <v>4301</v>
      </c>
      <c r="T766" s="2" t="s">
        <v>3810</v>
      </c>
      <c r="U766" s="2" t="s">
        <v>520</v>
      </c>
      <c r="V766" s="2" t="s">
        <v>1644</v>
      </c>
      <c r="W766" s="2" t="s">
        <v>269</v>
      </c>
      <c r="X766" s="2" t="s">
        <v>463</v>
      </c>
      <c r="Y766" s="2" t="s">
        <v>4099</v>
      </c>
      <c r="Z766" s="4">
        <v>198</v>
      </c>
      <c r="AA766" s="4">
        <f>=ROUNDDOWN(28.695652173913,0)</f>
      </c>
      <c r="AB766" s="5">
        <v>6.9</v>
      </c>
      <c r="AC766" s="2" t="s">
        <v>228</v>
      </c>
      <c r="AD766" s="4"/>
      <c r="AE766" s="4"/>
      <c r="AF766" s="6">
        <v>65</v>
      </c>
      <c r="AG766" s="6"/>
      <c r="AH766" s="7">
        <v>0.6452</v>
      </c>
      <c r="AI766" s="4"/>
      <c r="AJ766" s="4">
        <f>=ROUNDDOWN({0},0)</f>
      </c>
      <c r="AK766" s="5"/>
      <c r="AL766" s="2" t="s">
        <v>228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/>
      <c r="AW766" s="8"/>
      <c r="AX766" s="4"/>
      <c r="AY766" s="8"/>
      <c r="AZ766" s="7"/>
      <c r="BA766" s="7"/>
      <c r="BB766" s="7"/>
      <c r="BC766" s="4"/>
      <c r="BD766" s="8"/>
      <c r="BE766" s="4"/>
      <c r="BF766" s="8"/>
      <c r="BG766" s="7"/>
      <c r="BH766" s="7"/>
      <c r="BI766" s="7"/>
      <c r="BJ766" s="4">
        <v>3</v>
      </c>
      <c r="BK766" s="8">
        <v>56.97</v>
      </c>
      <c r="BL766" s="2" t="s">
        <v>4302</v>
      </c>
      <c r="BM766" s="7"/>
      <c r="BN766" s="7"/>
      <c r="BO766" s="4"/>
      <c r="BP766" s="8"/>
      <c r="BQ766" s="4"/>
      <c r="BR766" s="8"/>
      <c r="BS766" s="7"/>
      <c r="BT766" s="7"/>
      <c r="BU766" s="2" t="s">
        <v>4303</v>
      </c>
      <c r="BV766" s="2" t="s">
        <v>228</v>
      </c>
      <c r="BW766" s="2" t="s">
        <v>228</v>
      </c>
      <c r="BX766" s="2" t="s">
        <v>337</v>
      </c>
      <c r="BY766" s="2" t="s">
        <v>274</v>
      </c>
      <c r="BZ766" s="2" t="s">
        <v>240</v>
      </c>
      <c r="CA766" s="2" t="s">
        <v>4099</v>
      </c>
      <c r="CB766" s="2" t="s">
        <v>893</v>
      </c>
      <c r="CC766" s="2" t="s">
        <v>241</v>
      </c>
      <c r="CD766" s="2" t="s">
        <v>228</v>
      </c>
      <c r="CE766" s="4">
        <v>198</v>
      </c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</row>
    <row r="767">
      <c r="A767" s="2" t="s">
        <v>4304</v>
      </c>
      <c r="B767" s="2" t="s">
        <v>299</v>
      </c>
      <c r="C767" s="2" t="s">
        <v>849</v>
      </c>
      <c r="D767" s="2" t="s">
        <v>301</v>
      </c>
      <c r="E767" s="2" t="s">
        <v>302</v>
      </c>
      <c r="F767" s="2" t="s">
        <v>4305</v>
      </c>
      <c r="G767" s="2" t="s">
        <v>4305</v>
      </c>
      <c r="H767" s="2" t="s">
        <v>4305</v>
      </c>
      <c r="I767" s="2" t="s">
        <v>4306</v>
      </c>
      <c r="J767" s="2" t="s">
        <v>284</v>
      </c>
      <c r="K767" s="2" t="s">
        <v>4307</v>
      </c>
      <c r="L767" s="3">
        <v>19.13</v>
      </c>
      <c r="M767" s="3">
        <v>20.09</v>
      </c>
      <c r="N767" s="3">
        <v>42.99</v>
      </c>
      <c r="O767" s="2" t="s">
        <v>240</v>
      </c>
      <c r="P767" s="2" t="s">
        <v>715</v>
      </c>
      <c r="Q767" s="2" t="s">
        <v>234</v>
      </c>
      <c r="R767" s="2" t="s">
        <v>228</v>
      </c>
      <c r="S767" s="2" t="s">
        <v>4308</v>
      </c>
      <c r="T767" s="2" t="s">
        <v>3810</v>
      </c>
      <c r="U767" s="2" t="s">
        <v>308</v>
      </c>
      <c r="V767" s="2" t="s">
        <v>3717</v>
      </c>
      <c r="W767" s="2" t="s">
        <v>269</v>
      </c>
      <c r="X767" s="2" t="s">
        <v>463</v>
      </c>
      <c r="Y767" s="2" t="s">
        <v>4309</v>
      </c>
      <c r="Z767" s="4">
        <v>254</v>
      </c>
      <c r="AA767" s="4">
        <f>=ROUNDDOWN(14.1111111111111,0)</f>
      </c>
      <c r="AB767" s="5">
        <v>18</v>
      </c>
      <c r="AC767" s="2" t="s">
        <v>162</v>
      </c>
      <c r="AD767" s="4">
        <v>147</v>
      </c>
      <c r="AE767" s="4">
        <v>297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228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/>
      <c r="AW767" s="8"/>
      <c r="AX767" s="4"/>
      <c r="AY767" s="8"/>
      <c r="AZ767" s="7"/>
      <c r="BA767" s="7"/>
      <c r="BB767" s="7"/>
      <c r="BC767" s="4" t="s">
        <v>228</v>
      </c>
      <c r="BD767" s="8" t="s">
        <v>228</v>
      </c>
      <c r="BE767" s="4" t="s">
        <v>228</v>
      </c>
      <c r="BF767" s="8" t="s">
        <v>228</v>
      </c>
      <c r="BG767" s="7" t="s">
        <v>228</v>
      </c>
      <c r="BH767" s="7" t="s">
        <v>228</v>
      </c>
      <c r="BI767" s="7"/>
      <c r="BJ767" s="4">
        <v>204</v>
      </c>
      <c r="BK767" s="8">
        <v>4602.52</v>
      </c>
      <c r="BL767" s="2" t="s">
        <v>4310</v>
      </c>
      <c r="BM767" s="7"/>
      <c r="BN767" s="7"/>
      <c r="BO767" s="4"/>
      <c r="BP767" s="8"/>
      <c r="BQ767" s="4"/>
      <c r="BR767" s="8"/>
      <c r="BS767" s="7"/>
      <c r="BT767" s="7"/>
      <c r="BU767" s="2" t="s">
        <v>4311</v>
      </c>
      <c r="BV767" s="2" t="s">
        <v>228</v>
      </c>
      <c r="BW767" s="2" t="s">
        <v>228</v>
      </c>
      <c r="BX767" s="2" t="s">
        <v>273</v>
      </c>
      <c r="BY767" s="2" t="s">
        <v>274</v>
      </c>
      <c r="BZ767" s="2" t="s">
        <v>240</v>
      </c>
      <c r="CA767" s="2" t="s">
        <v>4312</v>
      </c>
      <c r="CB767" s="2" t="s">
        <v>4313</v>
      </c>
      <c r="CC767" s="2" t="s">
        <v>241</v>
      </c>
      <c r="CD767" s="2" t="s">
        <v>228</v>
      </c>
      <c r="CE767" s="4">
        <v>254</v>
      </c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>
        <v>147</v>
      </c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>
        <v>150</v>
      </c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</row>
    <row r="768">
      <c r="A768" s="2" t="s">
        <v>4314</v>
      </c>
      <c r="B768" s="2" t="s">
        <v>299</v>
      </c>
      <c r="C768" s="2" t="s">
        <v>849</v>
      </c>
      <c r="D768" s="2" t="s">
        <v>301</v>
      </c>
      <c r="E768" s="2" t="s">
        <v>302</v>
      </c>
      <c r="F768" s="2" t="s">
        <v>4305</v>
      </c>
      <c r="G768" s="2" t="s">
        <v>4305</v>
      </c>
      <c r="H768" s="2" t="s">
        <v>4305</v>
      </c>
      <c r="I768" s="2" t="s">
        <v>4306</v>
      </c>
      <c r="J768" s="2" t="s">
        <v>264</v>
      </c>
      <c r="K768" s="2" t="s">
        <v>4315</v>
      </c>
      <c r="L768" s="3">
        <v>14.89</v>
      </c>
      <c r="M768" s="3">
        <v>15.63</v>
      </c>
      <c r="N768" s="3">
        <v>31.99</v>
      </c>
      <c r="O768" s="2" t="s">
        <v>240</v>
      </c>
      <c r="P768" s="2" t="s">
        <v>266</v>
      </c>
      <c r="Q768" s="2" t="s">
        <v>234</v>
      </c>
      <c r="R768" s="2" t="s">
        <v>228</v>
      </c>
      <c r="S768" s="2" t="s">
        <v>4316</v>
      </c>
      <c r="T768" s="2" t="s">
        <v>3810</v>
      </c>
      <c r="U768" s="2" t="s">
        <v>500</v>
      </c>
      <c r="V768" s="2" t="s">
        <v>2042</v>
      </c>
      <c r="W768" s="2" t="s">
        <v>269</v>
      </c>
      <c r="X768" s="2" t="s">
        <v>463</v>
      </c>
      <c r="Y768" s="2" t="s">
        <v>4317</v>
      </c>
      <c r="Z768" s="4">
        <v>585</v>
      </c>
      <c r="AA768" s="4">
        <f>=ROUNDDOWN(25.4347826086956,0)</f>
      </c>
      <c r="AB768" s="5">
        <v>23</v>
      </c>
      <c r="AC768" s="2" t="s">
        <v>162</v>
      </c>
      <c r="AD768" s="4">
        <v>189</v>
      </c>
      <c r="AE768" s="4">
        <v>454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228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/>
      <c r="AW768" s="8"/>
      <c r="AX768" s="4"/>
      <c r="AY768" s="8"/>
      <c r="AZ768" s="7"/>
      <c r="BA768" s="7"/>
      <c r="BB768" s="7"/>
      <c r="BC768" s="4" t="s">
        <v>228</v>
      </c>
      <c r="BD768" s="8" t="s">
        <v>228</v>
      </c>
      <c r="BE768" s="4" t="s">
        <v>228</v>
      </c>
      <c r="BF768" s="8" t="s">
        <v>228</v>
      </c>
      <c r="BG768" s="7" t="s">
        <v>228</v>
      </c>
      <c r="BH768" s="7" t="s">
        <v>228</v>
      </c>
      <c r="BI768" s="7"/>
      <c r="BJ768" s="4">
        <v>48</v>
      </c>
      <c r="BK768" s="8">
        <v>817.31</v>
      </c>
      <c r="BL768" s="2" t="s">
        <v>1688</v>
      </c>
      <c r="BM768" s="7"/>
      <c r="BN768" s="7"/>
      <c r="BO768" s="4"/>
      <c r="BP768" s="8"/>
      <c r="BQ768" s="4"/>
      <c r="BR768" s="8"/>
      <c r="BS768" s="7"/>
      <c r="BT768" s="7"/>
      <c r="BU768" s="2" t="s">
        <v>4318</v>
      </c>
      <c r="BV768" s="2" t="s">
        <v>228</v>
      </c>
      <c r="BW768" s="2" t="s">
        <v>228</v>
      </c>
      <c r="BX768" s="2" t="s">
        <v>273</v>
      </c>
      <c r="BY768" s="2" t="s">
        <v>274</v>
      </c>
      <c r="BZ768" s="2" t="s">
        <v>240</v>
      </c>
      <c r="CA768" s="2" t="s">
        <v>4319</v>
      </c>
      <c r="CB768" s="2" t="s">
        <v>4320</v>
      </c>
      <c r="CC768" s="2" t="s">
        <v>241</v>
      </c>
      <c r="CD768" s="2" t="s">
        <v>228</v>
      </c>
      <c r="CE768" s="4">
        <v>585</v>
      </c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>
        <v>189</v>
      </c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>
        <v>265</v>
      </c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</row>
    <row r="769">
      <c r="A769" s="2" t="s">
        <v>4321</v>
      </c>
      <c r="B769" s="2" t="s">
        <v>299</v>
      </c>
      <c r="C769" s="2" t="s">
        <v>849</v>
      </c>
      <c r="D769" s="2" t="s">
        <v>301</v>
      </c>
      <c r="E769" s="2" t="s">
        <v>302</v>
      </c>
      <c r="F769" s="2" t="s">
        <v>4305</v>
      </c>
      <c r="G769" s="2" t="s">
        <v>4305</v>
      </c>
      <c r="H769" s="2" t="s">
        <v>4305</v>
      </c>
      <c r="I769" s="2" t="s">
        <v>4306</v>
      </c>
      <c r="J769" s="2" t="s">
        <v>278</v>
      </c>
      <c r="K769" s="2" t="s">
        <v>4322</v>
      </c>
      <c r="L769" s="3">
        <v>15.22</v>
      </c>
      <c r="M769" s="3">
        <v>15.98</v>
      </c>
      <c r="N769" s="3">
        <v>32.99</v>
      </c>
      <c r="O769" s="2" t="s">
        <v>240</v>
      </c>
      <c r="P769" s="2" t="s">
        <v>715</v>
      </c>
      <c r="Q769" s="2" t="s">
        <v>234</v>
      </c>
      <c r="R769" s="2" t="s">
        <v>228</v>
      </c>
      <c r="S769" s="2" t="s">
        <v>4323</v>
      </c>
      <c r="T769" s="2" t="s">
        <v>3810</v>
      </c>
      <c r="U769" s="2" t="s">
        <v>500</v>
      </c>
      <c r="V769" s="2" t="s">
        <v>3717</v>
      </c>
      <c r="W769" s="2" t="s">
        <v>269</v>
      </c>
      <c r="X769" s="2" t="s">
        <v>463</v>
      </c>
      <c r="Y769" s="2" t="s">
        <v>4309</v>
      </c>
      <c r="Z769" s="4">
        <v>204</v>
      </c>
      <c r="AA769" s="4">
        <f>=ROUNDDOWN(8.5,0)</f>
      </c>
      <c r="AB769" s="5">
        <v>24</v>
      </c>
      <c r="AC769" s="2" t="s">
        <v>162</v>
      </c>
      <c r="AD769" s="4">
        <v>193</v>
      </c>
      <c r="AE769" s="4">
        <v>439</v>
      </c>
      <c r="AF769" s="6">
        <v>65</v>
      </c>
      <c r="AG769" s="6"/>
      <c r="AH769" s="7">
        <v>0.6452</v>
      </c>
      <c r="AI769" s="4"/>
      <c r="AJ769" s="4">
        <f>=ROUNDDOWN({0},0)</f>
      </c>
      <c r="AK769" s="5"/>
      <c r="AL769" s="2" t="s">
        <v>228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228</v>
      </c>
      <c r="AW769" s="8" t="s">
        <v>228</v>
      </c>
      <c r="AX769" s="4" t="s">
        <v>228</v>
      </c>
      <c r="AY769" s="8" t="s">
        <v>228</v>
      </c>
      <c r="AZ769" s="7" t="s">
        <v>228</v>
      </c>
      <c r="BA769" s="7" t="s">
        <v>228</v>
      </c>
      <c r="BB769" s="7"/>
      <c r="BC769" s="4" t="s">
        <v>228</v>
      </c>
      <c r="BD769" s="8" t="s">
        <v>228</v>
      </c>
      <c r="BE769" s="4" t="s">
        <v>228</v>
      </c>
      <c r="BF769" s="8" t="s">
        <v>228</v>
      </c>
      <c r="BG769" s="7" t="s">
        <v>228</v>
      </c>
      <c r="BH769" s="7" t="s">
        <v>228</v>
      </c>
      <c r="BI769" s="7"/>
      <c r="BJ769" s="4">
        <v>338</v>
      </c>
      <c r="BK769" s="8">
        <v>6179.62</v>
      </c>
      <c r="BL769" s="2" t="s">
        <v>4324</v>
      </c>
      <c r="BM769" s="7"/>
      <c r="BN769" s="7"/>
      <c r="BO769" s="4"/>
      <c r="BP769" s="8"/>
      <c r="BQ769" s="4"/>
      <c r="BR769" s="8"/>
      <c r="BS769" s="7"/>
      <c r="BT769" s="7"/>
      <c r="BU769" s="2" t="s">
        <v>4325</v>
      </c>
      <c r="BV769" s="2" t="s">
        <v>228</v>
      </c>
      <c r="BW769" s="2" t="s">
        <v>228</v>
      </c>
      <c r="BX769" s="2" t="s">
        <v>273</v>
      </c>
      <c r="BY769" s="2" t="s">
        <v>274</v>
      </c>
      <c r="BZ769" s="2" t="s">
        <v>240</v>
      </c>
      <c r="CA769" s="2" t="s">
        <v>4312</v>
      </c>
      <c r="CB769" s="2" t="s">
        <v>4326</v>
      </c>
      <c r="CC769" s="2" t="s">
        <v>241</v>
      </c>
      <c r="CD769" s="2" t="s">
        <v>228</v>
      </c>
      <c r="CE769" s="4">
        <v>204</v>
      </c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>
        <v>193</v>
      </c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>
        <v>246</v>
      </c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</row>
    <row r="770">
      <c r="A770" s="2" t="s">
        <v>4327</v>
      </c>
      <c r="B770" s="2" t="s">
        <v>299</v>
      </c>
      <c r="C770" s="2" t="s">
        <v>849</v>
      </c>
      <c r="D770" s="2" t="s">
        <v>301</v>
      </c>
      <c r="E770" s="2" t="s">
        <v>302</v>
      </c>
      <c r="F770" s="2" t="s">
        <v>4305</v>
      </c>
      <c r="G770" s="2" t="s">
        <v>4305</v>
      </c>
      <c r="H770" s="2" t="s">
        <v>4305</v>
      </c>
      <c r="I770" s="2" t="s">
        <v>4306</v>
      </c>
      <c r="J770" s="2" t="s">
        <v>284</v>
      </c>
      <c r="K770" s="2" t="s">
        <v>4322</v>
      </c>
      <c r="L770" s="3">
        <v>19.13</v>
      </c>
      <c r="M770" s="3">
        <v>20.09</v>
      </c>
      <c r="N770" s="3">
        <v>42.99</v>
      </c>
      <c r="O770" s="2" t="s">
        <v>240</v>
      </c>
      <c r="P770" s="2" t="s">
        <v>266</v>
      </c>
      <c r="Q770" s="2" t="s">
        <v>234</v>
      </c>
      <c r="R770" s="2" t="s">
        <v>228</v>
      </c>
      <c r="S770" s="2" t="s">
        <v>4323</v>
      </c>
      <c r="T770" s="2" t="s">
        <v>3810</v>
      </c>
      <c r="U770" s="2" t="s">
        <v>308</v>
      </c>
      <c r="V770" s="2" t="s">
        <v>3717</v>
      </c>
      <c r="W770" s="2" t="s">
        <v>269</v>
      </c>
      <c r="X770" s="2" t="s">
        <v>463</v>
      </c>
      <c r="Y770" s="2" t="s">
        <v>4309</v>
      </c>
      <c r="Z770" s="4">
        <v>430</v>
      </c>
      <c r="AA770" s="4">
        <f>=ROUNDDOWN(28.6666666666667,0)</f>
      </c>
      <c r="AB770" s="5">
        <v>15</v>
      </c>
      <c r="AC770" s="2" t="s">
        <v>162</v>
      </c>
      <c r="AD770" s="4">
        <v>129</v>
      </c>
      <c r="AE770" s="4">
        <v>299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228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228</v>
      </c>
      <c r="AW770" s="8" t="s">
        <v>228</v>
      </c>
      <c r="AX770" s="4" t="s">
        <v>228</v>
      </c>
      <c r="AY770" s="8" t="s">
        <v>228</v>
      </c>
      <c r="AZ770" s="7" t="s">
        <v>228</v>
      </c>
      <c r="BA770" s="7" t="s">
        <v>228</v>
      </c>
      <c r="BB770" s="7"/>
      <c r="BC770" s="4" t="s">
        <v>228</v>
      </c>
      <c r="BD770" s="8" t="s">
        <v>228</v>
      </c>
      <c r="BE770" s="4" t="s">
        <v>228</v>
      </c>
      <c r="BF770" s="8" t="s">
        <v>228</v>
      </c>
      <c r="BG770" s="7" t="s">
        <v>228</v>
      </c>
      <c r="BH770" s="7" t="s">
        <v>228</v>
      </c>
      <c r="BI770" s="7"/>
      <c r="BJ770" s="4">
        <v>31</v>
      </c>
      <c r="BK770" s="8">
        <v>734.4</v>
      </c>
      <c r="BL770" s="2" t="s">
        <v>4328</v>
      </c>
      <c r="BM770" s="7"/>
      <c r="BN770" s="7"/>
      <c r="BO770" s="4"/>
      <c r="BP770" s="8"/>
      <c r="BQ770" s="4"/>
      <c r="BR770" s="8"/>
      <c r="BS770" s="7"/>
      <c r="BT770" s="7"/>
      <c r="BU770" s="2" t="s">
        <v>4329</v>
      </c>
      <c r="BV770" s="2" t="s">
        <v>228</v>
      </c>
      <c r="BW770" s="2" t="s">
        <v>228</v>
      </c>
      <c r="BX770" s="2" t="s">
        <v>273</v>
      </c>
      <c r="BY770" s="2" t="s">
        <v>274</v>
      </c>
      <c r="BZ770" s="2" t="s">
        <v>240</v>
      </c>
      <c r="CA770" s="2" t="s">
        <v>4312</v>
      </c>
      <c r="CB770" s="2" t="s">
        <v>4330</v>
      </c>
      <c r="CC770" s="2" t="s">
        <v>241</v>
      </c>
      <c r="CD770" s="2" t="s">
        <v>228</v>
      </c>
      <c r="CE770" s="4">
        <v>430</v>
      </c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>
        <v>129</v>
      </c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>
        <v>170</v>
      </c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</row>
    <row r="771">
      <c r="A771" s="2" t="s">
        <v>4331</v>
      </c>
      <c r="B771" s="2" t="s">
        <v>299</v>
      </c>
      <c r="C771" s="2" t="s">
        <v>849</v>
      </c>
      <c r="D771" s="2" t="s">
        <v>301</v>
      </c>
      <c r="E771" s="2" t="s">
        <v>302</v>
      </c>
      <c r="F771" s="2" t="s">
        <v>4305</v>
      </c>
      <c r="G771" s="2" t="s">
        <v>4305</v>
      </c>
      <c r="H771" s="2" t="s">
        <v>4305</v>
      </c>
      <c r="I771" s="2" t="s">
        <v>4306</v>
      </c>
      <c r="J771" s="2" t="s">
        <v>289</v>
      </c>
      <c r="K771" s="2" t="s">
        <v>4322</v>
      </c>
      <c r="L771" s="3">
        <v>21.27</v>
      </c>
      <c r="M771" s="3">
        <v>22.33</v>
      </c>
      <c r="N771" s="3">
        <v>47.99</v>
      </c>
      <c r="O771" s="2" t="s">
        <v>240</v>
      </c>
      <c r="P771" s="2" t="s">
        <v>715</v>
      </c>
      <c r="Q771" s="2" t="s">
        <v>234</v>
      </c>
      <c r="R771" s="2" t="s">
        <v>228</v>
      </c>
      <c r="S771" s="2" t="s">
        <v>4323</v>
      </c>
      <c r="T771" s="2" t="s">
        <v>3810</v>
      </c>
      <c r="U771" s="2" t="s">
        <v>308</v>
      </c>
      <c r="V771" s="2" t="s">
        <v>3717</v>
      </c>
      <c r="W771" s="2" t="s">
        <v>269</v>
      </c>
      <c r="X771" s="2" t="s">
        <v>463</v>
      </c>
      <c r="Y771" s="2" t="s">
        <v>4309</v>
      </c>
      <c r="Z771" s="4">
        <v>724</v>
      </c>
      <c r="AA771" s="4">
        <f>=ROUNDDOWN(26.8148148148148,0)</f>
      </c>
      <c r="AB771" s="5">
        <v>27</v>
      </c>
      <c r="AC771" s="2" t="s">
        <v>162</v>
      </c>
      <c r="AD771" s="4">
        <v>214</v>
      </c>
      <c r="AE771" s="4">
        <v>498</v>
      </c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228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228</v>
      </c>
      <c r="AW771" s="8" t="s">
        <v>228</v>
      </c>
      <c r="AX771" s="4" t="s">
        <v>228</v>
      </c>
      <c r="AY771" s="8" t="s">
        <v>228</v>
      </c>
      <c r="AZ771" s="7" t="s">
        <v>228</v>
      </c>
      <c r="BA771" s="7" t="s">
        <v>228</v>
      </c>
      <c r="BB771" s="7"/>
      <c r="BC771" s="4" t="s">
        <v>228</v>
      </c>
      <c r="BD771" s="8" t="s">
        <v>228</v>
      </c>
      <c r="BE771" s="4" t="s">
        <v>228</v>
      </c>
      <c r="BF771" s="8" t="s">
        <v>228</v>
      </c>
      <c r="BG771" s="7" t="s">
        <v>228</v>
      </c>
      <c r="BH771" s="7" t="s">
        <v>228</v>
      </c>
      <c r="BI771" s="7"/>
      <c r="BJ771" s="4">
        <v>45</v>
      </c>
      <c r="BK771" s="8">
        <v>1111.77</v>
      </c>
      <c r="BL771" s="2" t="s">
        <v>3517</v>
      </c>
      <c r="BM771" s="7"/>
      <c r="BN771" s="7"/>
      <c r="BO771" s="4"/>
      <c r="BP771" s="8"/>
      <c r="BQ771" s="4"/>
      <c r="BR771" s="8"/>
      <c r="BS771" s="7"/>
      <c r="BT771" s="7"/>
      <c r="BU771" s="2" t="s">
        <v>4332</v>
      </c>
      <c r="BV771" s="2" t="s">
        <v>228</v>
      </c>
      <c r="BW771" s="2" t="s">
        <v>228</v>
      </c>
      <c r="BX771" s="2" t="s">
        <v>273</v>
      </c>
      <c r="BY771" s="2" t="s">
        <v>274</v>
      </c>
      <c r="BZ771" s="2" t="s">
        <v>240</v>
      </c>
      <c r="CA771" s="2" t="s">
        <v>4312</v>
      </c>
      <c r="CB771" s="2" t="s">
        <v>4155</v>
      </c>
      <c r="CC771" s="2" t="s">
        <v>241</v>
      </c>
      <c r="CD771" s="2" t="s">
        <v>228</v>
      </c>
      <c r="CE771" s="4">
        <v>724</v>
      </c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>
        <v>214</v>
      </c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>
        <v>284</v>
      </c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</row>
    <row r="772">
      <c r="A772" s="2" t="s">
        <v>4333</v>
      </c>
      <c r="B772" s="2" t="s">
        <v>299</v>
      </c>
      <c r="C772" s="2" t="s">
        <v>849</v>
      </c>
      <c r="D772" s="2" t="s">
        <v>301</v>
      </c>
      <c r="E772" s="2" t="s">
        <v>302</v>
      </c>
      <c r="F772" s="2" t="s">
        <v>4305</v>
      </c>
      <c r="G772" s="2" t="s">
        <v>4305</v>
      </c>
      <c r="H772" s="2" t="s">
        <v>4305</v>
      </c>
      <c r="I772" s="2" t="s">
        <v>4306</v>
      </c>
      <c r="J772" s="2" t="s">
        <v>264</v>
      </c>
      <c r="K772" s="2" t="s">
        <v>4334</v>
      </c>
      <c r="L772" s="3">
        <v>14.89</v>
      </c>
      <c r="M772" s="3">
        <v>15.63</v>
      </c>
      <c r="N772" s="3">
        <v>31.99</v>
      </c>
      <c r="O772" s="2" t="s">
        <v>240</v>
      </c>
      <c r="P772" s="2" t="s">
        <v>266</v>
      </c>
      <c r="Q772" s="2" t="s">
        <v>234</v>
      </c>
      <c r="R772" s="2" t="s">
        <v>228</v>
      </c>
      <c r="S772" s="2" t="s">
        <v>4335</v>
      </c>
      <c r="T772" s="2" t="s">
        <v>3810</v>
      </c>
      <c r="U772" s="2" t="s">
        <v>500</v>
      </c>
      <c r="V772" s="2" t="s">
        <v>3717</v>
      </c>
      <c r="W772" s="2" t="s">
        <v>269</v>
      </c>
      <c r="X772" s="2" t="s">
        <v>463</v>
      </c>
      <c r="Y772" s="2" t="s">
        <v>4309</v>
      </c>
      <c r="Z772" s="4"/>
      <c r="AA772" s="4">
        <f>=ROUNDDOWN({0},0)</f>
      </c>
      <c r="AB772" s="5">
        <v>28</v>
      </c>
      <c r="AC772" s="2" t="s">
        <v>1439</v>
      </c>
      <c r="AD772" s="4">
        <v>576</v>
      </c>
      <c r="AE772" s="4">
        <v>1119</v>
      </c>
      <c r="AF772" s="6">
        <v>65</v>
      </c>
      <c r="AG772" s="6"/>
      <c r="AH772" s="7">
        <v>0.5806</v>
      </c>
      <c r="AI772" s="4"/>
      <c r="AJ772" s="4">
        <f>=ROUNDDOWN({0},0)</f>
      </c>
      <c r="AK772" s="5"/>
      <c r="AL772" s="2" t="s">
        <v>228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 t="s">
        <v>228</v>
      </c>
      <c r="AW772" s="8" t="s">
        <v>228</v>
      </c>
      <c r="AX772" s="4" t="s">
        <v>228</v>
      </c>
      <c r="AY772" s="8" t="s">
        <v>228</v>
      </c>
      <c r="AZ772" s="7" t="s">
        <v>228</v>
      </c>
      <c r="BA772" s="7" t="s">
        <v>228</v>
      </c>
      <c r="BB772" s="7"/>
      <c r="BC772" s="4" t="s">
        <v>228</v>
      </c>
      <c r="BD772" s="8" t="s">
        <v>228</v>
      </c>
      <c r="BE772" s="4" t="s">
        <v>228</v>
      </c>
      <c r="BF772" s="8" t="s">
        <v>228</v>
      </c>
      <c r="BG772" s="7" t="s">
        <v>228</v>
      </c>
      <c r="BH772" s="7" t="s">
        <v>228</v>
      </c>
      <c r="BI772" s="7"/>
      <c r="BJ772" s="4">
        <v>148</v>
      </c>
      <c r="BK772" s="8">
        <v>2642.49</v>
      </c>
      <c r="BL772" s="2" t="s">
        <v>4336</v>
      </c>
      <c r="BM772" s="7"/>
      <c r="BN772" s="7"/>
      <c r="BO772" s="4"/>
      <c r="BP772" s="8"/>
      <c r="BQ772" s="4"/>
      <c r="BR772" s="8"/>
      <c r="BS772" s="7"/>
      <c r="BT772" s="7"/>
      <c r="BU772" s="2" t="s">
        <v>4337</v>
      </c>
      <c r="BV772" s="2" t="s">
        <v>228</v>
      </c>
      <c r="BW772" s="2" t="s">
        <v>228</v>
      </c>
      <c r="BX772" s="2" t="s">
        <v>273</v>
      </c>
      <c r="BY772" s="2" t="s">
        <v>274</v>
      </c>
      <c r="BZ772" s="2" t="s">
        <v>240</v>
      </c>
      <c r="CA772" s="2" t="s">
        <v>4312</v>
      </c>
      <c r="CB772" s="2" t="s">
        <v>4338</v>
      </c>
      <c r="CC772" s="2" t="s">
        <v>241</v>
      </c>
      <c r="CD772" s="2" t="s">
        <v>228</v>
      </c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>
        <v>576</v>
      </c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>
        <v>232</v>
      </c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>
        <v>311</v>
      </c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</row>
    <row r="773">
      <c r="A773" s="2" t="s">
        <v>4339</v>
      </c>
      <c r="B773" s="2" t="s">
        <v>299</v>
      </c>
      <c r="C773" s="2" t="s">
        <v>849</v>
      </c>
      <c r="D773" s="2" t="s">
        <v>301</v>
      </c>
      <c r="E773" s="2" t="s">
        <v>302</v>
      </c>
      <c r="F773" s="2" t="s">
        <v>4305</v>
      </c>
      <c r="G773" s="2" t="s">
        <v>4305</v>
      </c>
      <c r="H773" s="2" t="s">
        <v>4305</v>
      </c>
      <c r="I773" s="2" t="s">
        <v>4306</v>
      </c>
      <c r="J773" s="2" t="s">
        <v>278</v>
      </c>
      <c r="K773" s="2" t="s">
        <v>4334</v>
      </c>
      <c r="L773" s="3">
        <v>15.22</v>
      </c>
      <c r="M773" s="3">
        <v>15.98</v>
      </c>
      <c r="N773" s="3">
        <v>32.99</v>
      </c>
      <c r="O773" s="2" t="s">
        <v>240</v>
      </c>
      <c r="P773" s="2" t="s">
        <v>266</v>
      </c>
      <c r="Q773" s="2" t="s">
        <v>234</v>
      </c>
      <c r="R773" s="2" t="s">
        <v>228</v>
      </c>
      <c r="S773" s="2" t="s">
        <v>4335</v>
      </c>
      <c r="T773" s="2" t="s">
        <v>3810</v>
      </c>
      <c r="U773" s="2" t="s">
        <v>500</v>
      </c>
      <c r="V773" s="2" t="s">
        <v>3717</v>
      </c>
      <c r="W773" s="2" t="s">
        <v>269</v>
      </c>
      <c r="X773" s="2" t="s">
        <v>463</v>
      </c>
      <c r="Y773" s="2" t="s">
        <v>4309</v>
      </c>
      <c r="Z773" s="4">
        <v>78</v>
      </c>
      <c r="AA773" s="4">
        <f>=ROUNDDOWN(6,0)</f>
      </c>
      <c r="AB773" s="5">
        <v>13</v>
      </c>
      <c r="AC773" s="2" t="s">
        <v>1014</v>
      </c>
      <c r="AD773" s="4">
        <v>248</v>
      </c>
      <c r="AE773" s="4">
        <v>531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228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228</v>
      </c>
      <c r="AW773" s="8" t="s">
        <v>228</v>
      </c>
      <c r="AX773" s="4" t="s">
        <v>228</v>
      </c>
      <c r="AY773" s="8" t="s">
        <v>228</v>
      </c>
      <c r="AZ773" s="7" t="s">
        <v>228</v>
      </c>
      <c r="BA773" s="7" t="s">
        <v>228</v>
      </c>
      <c r="BB773" s="7"/>
      <c r="BC773" s="4" t="s">
        <v>228</v>
      </c>
      <c r="BD773" s="8" t="s">
        <v>228</v>
      </c>
      <c r="BE773" s="4" t="s">
        <v>228</v>
      </c>
      <c r="BF773" s="8" t="s">
        <v>228</v>
      </c>
      <c r="BG773" s="7" t="s">
        <v>228</v>
      </c>
      <c r="BH773" s="7" t="s">
        <v>228</v>
      </c>
      <c r="BI773" s="7"/>
      <c r="BJ773" s="4">
        <v>33</v>
      </c>
      <c r="BK773" s="8">
        <v>754.05</v>
      </c>
      <c r="BL773" s="2" t="s">
        <v>4340</v>
      </c>
      <c r="BM773" s="7"/>
      <c r="BN773" s="7"/>
      <c r="BO773" s="4"/>
      <c r="BP773" s="8"/>
      <c r="BQ773" s="4"/>
      <c r="BR773" s="8"/>
      <c r="BS773" s="7"/>
      <c r="BT773" s="7"/>
      <c r="BU773" s="2" t="s">
        <v>4341</v>
      </c>
      <c r="BV773" s="2" t="s">
        <v>228</v>
      </c>
      <c r="BW773" s="2" t="s">
        <v>228</v>
      </c>
      <c r="BX773" s="2" t="s">
        <v>273</v>
      </c>
      <c r="BY773" s="2" t="s">
        <v>274</v>
      </c>
      <c r="BZ773" s="2" t="s">
        <v>240</v>
      </c>
      <c r="CA773" s="2" t="s">
        <v>4312</v>
      </c>
      <c r="CB773" s="2" t="s">
        <v>4342</v>
      </c>
      <c r="CC773" s="2" t="s">
        <v>241</v>
      </c>
      <c r="CD773" s="2" t="s">
        <v>228</v>
      </c>
      <c r="CE773" s="4">
        <v>78</v>
      </c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>
        <v>248</v>
      </c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>
        <v>115</v>
      </c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>
        <v>168</v>
      </c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</row>
    <row r="774">
      <c r="A774" s="2" t="s">
        <v>4343</v>
      </c>
      <c r="B774" s="2" t="s">
        <v>299</v>
      </c>
      <c r="C774" s="2" t="s">
        <v>849</v>
      </c>
      <c r="D774" s="2" t="s">
        <v>301</v>
      </c>
      <c r="E774" s="2" t="s">
        <v>302</v>
      </c>
      <c r="F774" s="2" t="s">
        <v>4305</v>
      </c>
      <c r="G774" s="2" t="s">
        <v>4305</v>
      </c>
      <c r="H774" s="2" t="s">
        <v>4305</v>
      </c>
      <c r="I774" s="2" t="s">
        <v>4306</v>
      </c>
      <c r="J774" s="2" t="s">
        <v>289</v>
      </c>
      <c r="K774" s="2" t="s">
        <v>4334</v>
      </c>
      <c r="L774" s="3">
        <v>21.27</v>
      </c>
      <c r="M774" s="3">
        <v>22.33</v>
      </c>
      <c r="N774" s="3">
        <v>47.99</v>
      </c>
      <c r="O774" s="2" t="s">
        <v>240</v>
      </c>
      <c r="P774" s="2" t="s">
        <v>715</v>
      </c>
      <c r="Q774" s="2" t="s">
        <v>234</v>
      </c>
      <c r="R774" s="2" t="s">
        <v>228</v>
      </c>
      <c r="S774" s="2" t="s">
        <v>4335</v>
      </c>
      <c r="T774" s="2" t="s">
        <v>3810</v>
      </c>
      <c r="U774" s="2" t="s">
        <v>308</v>
      </c>
      <c r="V774" s="2" t="s">
        <v>3717</v>
      </c>
      <c r="W774" s="2" t="s">
        <v>269</v>
      </c>
      <c r="X774" s="2" t="s">
        <v>463</v>
      </c>
      <c r="Y774" s="2" t="s">
        <v>4309</v>
      </c>
      <c r="Z774" s="4"/>
      <c r="AA774" s="4">
        <f>=ROUNDDOWN({0},0)</f>
      </c>
      <c r="AB774" s="5">
        <v>25</v>
      </c>
      <c r="AC774" s="2" t="s">
        <v>1014</v>
      </c>
      <c r="AD774" s="4">
        <v>451</v>
      </c>
      <c r="AE774" s="4">
        <v>992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228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228</v>
      </c>
      <c r="AW774" s="8" t="s">
        <v>228</v>
      </c>
      <c r="AX774" s="4" t="s">
        <v>228</v>
      </c>
      <c r="AY774" s="8" t="s">
        <v>228</v>
      </c>
      <c r="AZ774" s="7" t="s">
        <v>228</v>
      </c>
      <c r="BA774" s="7" t="s">
        <v>228</v>
      </c>
      <c r="BB774" s="7"/>
      <c r="BC774" s="4" t="s">
        <v>228</v>
      </c>
      <c r="BD774" s="8" t="s">
        <v>228</v>
      </c>
      <c r="BE774" s="4" t="s">
        <v>228</v>
      </c>
      <c r="BF774" s="8" t="s">
        <v>228</v>
      </c>
      <c r="BG774" s="7" t="s">
        <v>228</v>
      </c>
      <c r="BH774" s="7" t="s">
        <v>228</v>
      </c>
      <c r="BI774" s="7"/>
      <c r="BJ774" s="4">
        <v>134</v>
      </c>
      <c r="BK774" s="8">
        <v>3452.92</v>
      </c>
      <c r="BL774" s="2" t="s">
        <v>4344</v>
      </c>
      <c r="BM774" s="7"/>
      <c r="BN774" s="7"/>
      <c r="BO774" s="4"/>
      <c r="BP774" s="8"/>
      <c r="BQ774" s="4"/>
      <c r="BR774" s="8"/>
      <c r="BS774" s="7"/>
      <c r="BT774" s="7"/>
      <c r="BU774" s="2" t="s">
        <v>4345</v>
      </c>
      <c r="BV774" s="2" t="s">
        <v>228</v>
      </c>
      <c r="BW774" s="2" t="s">
        <v>228</v>
      </c>
      <c r="BX774" s="2" t="s">
        <v>273</v>
      </c>
      <c r="BY774" s="2" t="s">
        <v>274</v>
      </c>
      <c r="BZ774" s="2" t="s">
        <v>240</v>
      </c>
      <c r="CA774" s="2" t="s">
        <v>4312</v>
      </c>
      <c r="CB774" s="2" t="s">
        <v>4346</v>
      </c>
      <c r="CC774" s="2" t="s">
        <v>241</v>
      </c>
      <c r="CD774" s="2" t="s">
        <v>228</v>
      </c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>
        <v>451</v>
      </c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>
        <v>217</v>
      </c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>
        <v>324</v>
      </c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</row>
    <row r="775">
      <c r="A775" s="2" t="s">
        <v>4347</v>
      </c>
      <c r="B775" s="2" t="s">
        <v>299</v>
      </c>
      <c r="C775" s="2" t="s">
        <v>849</v>
      </c>
      <c r="D775" s="2" t="s">
        <v>301</v>
      </c>
      <c r="E775" s="2" t="s">
        <v>302</v>
      </c>
      <c r="F775" s="2" t="s">
        <v>4305</v>
      </c>
      <c r="G775" s="2" t="s">
        <v>4305</v>
      </c>
      <c r="H775" s="2" t="s">
        <v>4305</v>
      </c>
      <c r="I775" s="2" t="s">
        <v>4306</v>
      </c>
      <c r="J775" s="2" t="s">
        <v>264</v>
      </c>
      <c r="K775" s="2" t="s">
        <v>4348</v>
      </c>
      <c r="L775" s="3">
        <v>14.89</v>
      </c>
      <c r="M775" s="3">
        <v>15.63</v>
      </c>
      <c r="N775" s="3">
        <v>31.99</v>
      </c>
      <c r="O775" s="2" t="s">
        <v>240</v>
      </c>
      <c r="P775" s="2" t="s">
        <v>715</v>
      </c>
      <c r="Q775" s="2" t="s">
        <v>234</v>
      </c>
      <c r="R775" s="2" t="s">
        <v>228</v>
      </c>
      <c r="S775" s="2" t="s">
        <v>4349</v>
      </c>
      <c r="T775" s="2" t="s">
        <v>3810</v>
      </c>
      <c r="U775" s="2" t="s">
        <v>500</v>
      </c>
      <c r="V775" s="2" t="s">
        <v>3717</v>
      </c>
      <c r="W775" s="2" t="s">
        <v>269</v>
      </c>
      <c r="X775" s="2" t="s">
        <v>463</v>
      </c>
      <c r="Y775" s="2" t="s">
        <v>4309</v>
      </c>
      <c r="Z775" s="4">
        <v>239</v>
      </c>
      <c r="AA775" s="4">
        <f>=ROUNDDOWN(11.3809523809524,0)</f>
      </c>
      <c r="AB775" s="5">
        <v>21</v>
      </c>
      <c r="AC775" s="2" t="s">
        <v>1014</v>
      </c>
      <c r="AD775" s="4">
        <v>129</v>
      </c>
      <c r="AE775" s="4">
        <v>698</v>
      </c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228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228</v>
      </c>
      <c r="AW775" s="8" t="s">
        <v>228</v>
      </c>
      <c r="AX775" s="4" t="s">
        <v>228</v>
      </c>
      <c r="AY775" s="8" t="s">
        <v>228</v>
      </c>
      <c r="AZ775" s="7" t="s">
        <v>228</v>
      </c>
      <c r="BA775" s="7" t="s">
        <v>228</v>
      </c>
      <c r="BB775" s="7"/>
      <c r="BC775" s="4" t="s">
        <v>228</v>
      </c>
      <c r="BD775" s="8" t="s">
        <v>228</v>
      </c>
      <c r="BE775" s="4" t="s">
        <v>228</v>
      </c>
      <c r="BF775" s="8" t="s">
        <v>228</v>
      </c>
      <c r="BG775" s="7" t="s">
        <v>228</v>
      </c>
      <c r="BH775" s="7" t="s">
        <v>228</v>
      </c>
      <c r="BI775" s="7"/>
      <c r="BJ775" s="4">
        <v>79</v>
      </c>
      <c r="BK775" s="8">
        <v>1376.5</v>
      </c>
      <c r="BL775" s="2" t="s">
        <v>4195</v>
      </c>
      <c r="BM775" s="7"/>
      <c r="BN775" s="7"/>
      <c r="BO775" s="4"/>
      <c r="BP775" s="8"/>
      <c r="BQ775" s="4"/>
      <c r="BR775" s="8"/>
      <c r="BS775" s="7"/>
      <c r="BT775" s="7"/>
      <c r="BU775" s="2" t="s">
        <v>4350</v>
      </c>
      <c r="BV775" s="2" t="s">
        <v>228</v>
      </c>
      <c r="BW775" s="2" t="s">
        <v>228</v>
      </c>
      <c r="BX775" s="2" t="s">
        <v>273</v>
      </c>
      <c r="BY775" s="2" t="s">
        <v>274</v>
      </c>
      <c r="BZ775" s="2" t="s">
        <v>240</v>
      </c>
      <c r="CA775" s="2" t="s">
        <v>4312</v>
      </c>
      <c r="CB775" s="2" t="s">
        <v>4351</v>
      </c>
      <c r="CC775" s="2" t="s">
        <v>241</v>
      </c>
      <c r="CD775" s="2" t="s">
        <v>228</v>
      </c>
      <c r="CE775" s="4">
        <v>239</v>
      </c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>
        <v>129</v>
      </c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>
        <v>169</v>
      </c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>
        <v>400</v>
      </c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</row>
    <row r="776">
      <c r="A776" s="2" t="s">
        <v>4352</v>
      </c>
      <c r="B776" s="2" t="s">
        <v>299</v>
      </c>
      <c r="C776" s="2" t="s">
        <v>849</v>
      </c>
      <c r="D776" s="2" t="s">
        <v>301</v>
      </c>
      <c r="E776" s="2" t="s">
        <v>302</v>
      </c>
      <c r="F776" s="2" t="s">
        <v>4305</v>
      </c>
      <c r="G776" s="2" t="s">
        <v>4305</v>
      </c>
      <c r="H776" s="2" t="s">
        <v>4305</v>
      </c>
      <c r="I776" s="2" t="s">
        <v>4306</v>
      </c>
      <c r="J776" s="2" t="s">
        <v>278</v>
      </c>
      <c r="K776" s="2" t="s">
        <v>4348</v>
      </c>
      <c r="L776" s="3">
        <v>15.22</v>
      </c>
      <c r="M776" s="3">
        <v>15.98</v>
      </c>
      <c r="N776" s="3">
        <v>32.99</v>
      </c>
      <c r="O776" s="2" t="s">
        <v>240</v>
      </c>
      <c r="P776" s="2" t="s">
        <v>266</v>
      </c>
      <c r="Q776" s="2" t="s">
        <v>234</v>
      </c>
      <c r="R776" s="2" t="s">
        <v>228</v>
      </c>
      <c r="S776" s="2" t="s">
        <v>4349</v>
      </c>
      <c r="T776" s="2" t="s">
        <v>3810</v>
      </c>
      <c r="U776" s="2" t="s">
        <v>500</v>
      </c>
      <c r="V776" s="2" t="s">
        <v>3717</v>
      </c>
      <c r="W776" s="2" t="s">
        <v>269</v>
      </c>
      <c r="X776" s="2" t="s">
        <v>463</v>
      </c>
      <c r="Y776" s="2" t="s">
        <v>4309</v>
      </c>
      <c r="Z776" s="4">
        <v>122</v>
      </c>
      <c r="AA776" s="4">
        <f>=ROUNDDOWN(11.0909090909091,0)</f>
      </c>
      <c r="AB776" s="5">
        <v>11</v>
      </c>
      <c r="AC776" s="2" t="s">
        <v>1014</v>
      </c>
      <c r="AD776" s="4">
        <v>28</v>
      </c>
      <c r="AE776" s="4">
        <v>222</v>
      </c>
      <c r="AF776" s="6">
        <v>65</v>
      </c>
      <c r="AG776" s="6"/>
      <c r="AH776" s="7">
        <v>0.4839</v>
      </c>
      <c r="AI776" s="4"/>
      <c r="AJ776" s="4">
        <f>=ROUNDDOWN({0},0)</f>
      </c>
      <c r="AK776" s="5"/>
      <c r="AL776" s="2" t="s">
        <v>228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228</v>
      </c>
      <c r="AW776" s="8" t="s">
        <v>228</v>
      </c>
      <c r="AX776" s="4" t="s">
        <v>228</v>
      </c>
      <c r="AY776" s="8" t="s">
        <v>228</v>
      </c>
      <c r="AZ776" s="7" t="s">
        <v>228</v>
      </c>
      <c r="BA776" s="7" t="s">
        <v>228</v>
      </c>
      <c r="BB776" s="7"/>
      <c r="BC776" s="4" t="s">
        <v>228</v>
      </c>
      <c r="BD776" s="8" t="s">
        <v>228</v>
      </c>
      <c r="BE776" s="4" t="s">
        <v>228</v>
      </c>
      <c r="BF776" s="8" t="s">
        <v>228</v>
      </c>
      <c r="BG776" s="7" t="s">
        <v>228</v>
      </c>
      <c r="BH776" s="7" t="s">
        <v>228</v>
      </c>
      <c r="BI776" s="7"/>
      <c r="BJ776" s="4">
        <v>80</v>
      </c>
      <c r="BK776" s="8">
        <v>1444.8</v>
      </c>
      <c r="BL776" s="2" t="s">
        <v>4353</v>
      </c>
      <c r="BM776" s="7"/>
      <c r="BN776" s="7"/>
      <c r="BO776" s="4"/>
      <c r="BP776" s="8"/>
      <c r="BQ776" s="4"/>
      <c r="BR776" s="8"/>
      <c r="BS776" s="7"/>
      <c r="BT776" s="7"/>
      <c r="BU776" s="2" t="s">
        <v>4354</v>
      </c>
      <c r="BV776" s="2" t="s">
        <v>228</v>
      </c>
      <c r="BW776" s="2" t="s">
        <v>228</v>
      </c>
      <c r="BX776" s="2" t="s">
        <v>273</v>
      </c>
      <c r="BY776" s="2" t="s">
        <v>274</v>
      </c>
      <c r="BZ776" s="2" t="s">
        <v>240</v>
      </c>
      <c r="CA776" s="2" t="s">
        <v>4312</v>
      </c>
      <c r="CB776" s="2" t="s">
        <v>4355</v>
      </c>
      <c r="CC776" s="2" t="s">
        <v>241</v>
      </c>
      <c r="CD776" s="2" t="s">
        <v>228</v>
      </c>
      <c r="CE776" s="4">
        <v>122</v>
      </c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>
        <v>28</v>
      </c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>
        <v>94</v>
      </c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>
        <v>100</v>
      </c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</row>
    <row r="777">
      <c r="A777" s="2" t="s">
        <v>4356</v>
      </c>
      <c r="B777" s="2" t="s">
        <v>299</v>
      </c>
      <c r="C777" s="2" t="s">
        <v>849</v>
      </c>
      <c r="D777" s="2" t="s">
        <v>301</v>
      </c>
      <c r="E777" s="2" t="s">
        <v>302</v>
      </c>
      <c r="F777" s="2" t="s">
        <v>4305</v>
      </c>
      <c r="G777" s="2" t="s">
        <v>4305</v>
      </c>
      <c r="H777" s="2" t="s">
        <v>4305</v>
      </c>
      <c r="I777" s="2" t="s">
        <v>4306</v>
      </c>
      <c r="J777" s="2" t="s">
        <v>284</v>
      </c>
      <c r="K777" s="2" t="s">
        <v>4348</v>
      </c>
      <c r="L777" s="3">
        <v>19.13</v>
      </c>
      <c r="M777" s="3">
        <v>20.09</v>
      </c>
      <c r="N777" s="3">
        <v>42.99</v>
      </c>
      <c r="O777" s="2" t="s">
        <v>240</v>
      </c>
      <c r="P777" s="2" t="s">
        <v>266</v>
      </c>
      <c r="Q777" s="2" t="s">
        <v>234</v>
      </c>
      <c r="R777" s="2" t="s">
        <v>228</v>
      </c>
      <c r="S777" s="2" t="s">
        <v>4349</v>
      </c>
      <c r="T777" s="2" t="s">
        <v>3810</v>
      </c>
      <c r="U777" s="2" t="s">
        <v>308</v>
      </c>
      <c r="V777" s="2" t="s">
        <v>3717</v>
      </c>
      <c r="W777" s="2" t="s">
        <v>269</v>
      </c>
      <c r="X777" s="2" t="s">
        <v>463</v>
      </c>
      <c r="Y777" s="2" t="s">
        <v>4309</v>
      </c>
      <c r="Z777" s="4">
        <v>341</v>
      </c>
      <c r="AA777" s="4">
        <f>=ROUNDDOWN(28.4166666666667,0)</f>
      </c>
      <c r="AB777" s="5">
        <v>12</v>
      </c>
      <c r="AC777" s="2" t="s">
        <v>162</v>
      </c>
      <c r="AD777" s="4">
        <v>107</v>
      </c>
      <c r="AE777" s="4">
        <v>187</v>
      </c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228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228</v>
      </c>
      <c r="AW777" s="8" t="s">
        <v>228</v>
      </c>
      <c r="AX777" s="4" t="s">
        <v>228</v>
      </c>
      <c r="AY777" s="8" t="s">
        <v>228</v>
      </c>
      <c r="AZ777" s="7" t="s">
        <v>228</v>
      </c>
      <c r="BA777" s="7" t="s">
        <v>228</v>
      </c>
      <c r="BB777" s="7"/>
      <c r="BC777" s="4" t="s">
        <v>228</v>
      </c>
      <c r="BD777" s="8" t="s">
        <v>228</v>
      </c>
      <c r="BE777" s="4" t="s">
        <v>228</v>
      </c>
      <c r="BF777" s="8" t="s">
        <v>228</v>
      </c>
      <c r="BG777" s="7" t="s">
        <v>228</v>
      </c>
      <c r="BH777" s="7" t="s">
        <v>228</v>
      </c>
      <c r="BI777" s="7"/>
      <c r="BJ777" s="4">
        <v>20</v>
      </c>
      <c r="BK777" s="8">
        <v>475.78</v>
      </c>
      <c r="BL777" s="2" t="s">
        <v>4357</v>
      </c>
      <c r="BM777" s="7"/>
      <c r="BN777" s="7"/>
      <c r="BO777" s="4"/>
      <c r="BP777" s="8"/>
      <c r="BQ777" s="4"/>
      <c r="BR777" s="8"/>
      <c r="BS777" s="7"/>
      <c r="BT777" s="7"/>
      <c r="BU777" s="2" t="s">
        <v>4358</v>
      </c>
      <c r="BV777" s="2" t="s">
        <v>228</v>
      </c>
      <c r="BW777" s="2" t="s">
        <v>228</v>
      </c>
      <c r="BX777" s="2" t="s">
        <v>273</v>
      </c>
      <c r="BY777" s="2" t="s">
        <v>274</v>
      </c>
      <c r="BZ777" s="2" t="s">
        <v>240</v>
      </c>
      <c r="CA777" s="2" t="s">
        <v>4312</v>
      </c>
      <c r="CB777" s="2" t="s">
        <v>2264</v>
      </c>
      <c r="CC777" s="2" t="s">
        <v>241</v>
      </c>
      <c r="CD777" s="2" t="s">
        <v>228</v>
      </c>
      <c r="CE777" s="4">
        <v>341</v>
      </c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>
        <v>107</v>
      </c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>
        <v>80</v>
      </c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</row>
    <row r="778">
      <c r="A778" s="2" t="s">
        <v>4359</v>
      </c>
      <c r="B778" s="2" t="s">
        <v>299</v>
      </c>
      <c r="C778" s="2" t="s">
        <v>849</v>
      </c>
      <c r="D778" s="2" t="s">
        <v>301</v>
      </c>
      <c r="E778" s="2" t="s">
        <v>302</v>
      </c>
      <c r="F778" s="2" t="s">
        <v>4305</v>
      </c>
      <c r="G778" s="2" t="s">
        <v>4305</v>
      </c>
      <c r="H778" s="2" t="s">
        <v>4305</v>
      </c>
      <c r="I778" s="2" t="s">
        <v>4306</v>
      </c>
      <c r="J778" s="2" t="s">
        <v>289</v>
      </c>
      <c r="K778" s="2" t="s">
        <v>4348</v>
      </c>
      <c r="L778" s="3">
        <v>21.27</v>
      </c>
      <c r="M778" s="3">
        <v>22.33</v>
      </c>
      <c r="N778" s="3">
        <v>47.99</v>
      </c>
      <c r="O778" s="2" t="s">
        <v>240</v>
      </c>
      <c r="P778" s="2" t="s">
        <v>266</v>
      </c>
      <c r="Q778" s="2" t="s">
        <v>234</v>
      </c>
      <c r="R778" s="2" t="s">
        <v>228</v>
      </c>
      <c r="S778" s="2" t="s">
        <v>4349</v>
      </c>
      <c r="T778" s="2" t="s">
        <v>3810</v>
      </c>
      <c r="U778" s="2" t="s">
        <v>308</v>
      </c>
      <c r="V778" s="2" t="s">
        <v>3717</v>
      </c>
      <c r="W778" s="2" t="s">
        <v>269</v>
      </c>
      <c r="X778" s="2" t="s">
        <v>463</v>
      </c>
      <c r="Y778" s="2" t="s">
        <v>4309</v>
      </c>
      <c r="Z778" s="4">
        <v>153</v>
      </c>
      <c r="AA778" s="4">
        <f>=ROUNDDOWN(13.9090909090909,0)</f>
      </c>
      <c r="AB778" s="5">
        <v>11</v>
      </c>
      <c r="AC778" s="2" t="s">
        <v>162</v>
      </c>
      <c r="AD778" s="4">
        <v>96</v>
      </c>
      <c r="AE778" s="4">
        <v>176</v>
      </c>
      <c r="AF778" s="6">
        <v>65</v>
      </c>
      <c r="AG778" s="6"/>
      <c r="AH778" s="7">
        <v>0.9355</v>
      </c>
      <c r="AI778" s="4"/>
      <c r="AJ778" s="4">
        <f>=ROUNDDOWN({0},0)</f>
      </c>
      <c r="AK778" s="5"/>
      <c r="AL778" s="2" t="s">
        <v>228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228</v>
      </c>
      <c r="AW778" s="8" t="s">
        <v>228</v>
      </c>
      <c r="AX778" s="4" t="s">
        <v>228</v>
      </c>
      <c r="AY778" s="8" t="s">
        <v>228</v>
      </c>
      <c r="AZ778" s="7" t="s">
        <v>228</v>
      </c>
      <c r="BA778" s="7" t="s">
        <v>228</v>
      </c>
      <c r="BB778" s="7"/>
      <c r="BC778" s="4" t="s">
        <v>228</v>
      </c>
      <c r="BD778" s="8" t="s">
        <v>228</v>
      </c>
      <c r="BE778" s="4" t="s">
        <v>228</v>
      </c>
      <c r="BF778" s="8" t="s">
        <v>228</v>
      </c>
      <c r="BG778" s="7" t="s">
        <v>228</v>
      </c>
      <c r="BH778" s="7" t="s">
        <v>228</v>
      </c>
      <c r="BI778" s="7"/>
      <c r="BJ778" s="4">
        <v>126</v>
      </c>
      <c r="BK778" s="8">
        <v>3211.51</v>
      </c>
      <c r="BL778" s="2" t="s">
        <v>4360</v>
      </c>
      <c r="BM778" s="7"/>
      <c r="BN778" s="7"/>
      <c r="BO778" s="4"/>
      <c r="BP778" s="8"/>
      <c r="BQ778" s="4"/>
      <c r="BR778" s="8"/>
      <c r="BS778" s="7"/>
      <c r="BT778" s="7"/>
      <c r="BU778" s="2" t="s">
        <v>4361</v>
      </c>
      <c r="BV778" s="2" t="s">
        <v>228</v>
      </c>
      <c r="BW778" s="2" t="s">
        <v>228</v>
      </c>
      <c r="BX778" s="2" t="s">
        <v>273</v>
      </c>
      <c r="BY778" s="2" t="s">
        <v>274</v>
      </c>
      <c r="BZ778" s="2" t="s">
        <v>240</v>
      </c>
      <c r="CA778" s="2" t="s">
        <v>4312</v>
      </c>
      <c r="CB778" s="2" t="s">
        <v>4362</v>
      </c>
      <c r="CC778" s="2" t="s">
        <v>241</v>
      </c>
      <c r="CD778" s="2" t="s">
        <v>228</v>
      </c>
      <c r="CE778" s="4">
        <v>153</v>
      </c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>
        <v>96</v>
      </c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>
        <v>80</v>
      </c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</row>
    <row r="779">
      <c r="A779" s="2" t="s">
        <v>4363</v>
      </c>
      <c r="B779" s="2" t="s">
        <v>299</v>
      </c>
      <c r="C779" s="2" t="s">
        <v>849</v>
      </c>
      <c r="D779" s="2" t="s">
        <v>301</v>
      </c>
      <c r="E779" s="2" t="s">
        <v>302</v>
      </c>
      <c r="F779" s="2" t="s">
        <v>4305</v>
      </c>
      <c r="G779" s="2" t="s">
        <v>4305</v>
      </c>
      <c r="H779" s="2" t="s">
        <v>4305</v>
      </c>
      <c r="I779" s="2" t="s">
        <v>4306</v>
      </c>
      <c r="J779" s="2" t="s">
        <v>278</v>
      </c>
      <c r="K779" s="2" t="s">
        <v>4364</v>
      </c>
      <c r="L779" s="3">
        <v>15.22</v>
      </c>
      <c r="M779" s="3">
        <v>15.98</v>
      </c>
      <c r="N779" s="3">
        <v>32.99</v>
      </c>
      <c r="O779" s="2" t="s">
        <v>240</v>
      </c>
      <c r="P779" s="2" t="s">
        <v>266</v>
      </c>
      <c r="Q779" s="2" t="s">
        <v>234</v>
      </c>
      <c r="R779" s="2" t="s">
        <v>228</v>
      </c>
      <c r="S779" s="2" t="s">
        <v>4365</v>
      </c>
      <c r="T779" s="2" t="s">
        <v>3810</v>
      </c>
      <c r="U779" s="2" t="s">
        <v>500</v>
      </c>
      <c r="V779" s="2" t="s">
        <v>3717</v>
      </c>
      <c r="W779" s="2" t="s">
        <v>269</v>
      </c>
      <c r="X779" s="2" t="s">
        <v>463</v>
      </c>
      <c r="Y779" s="2" t="s">
        <v>4309</v>
      </c>
      <c r="Z779" s="4">
        <v>49</v>
      </c>
      <c r="AA779" s="4">
        <f>=ROUNDDOWN(5.44444444444444,0)</f>
      </c>
      <c r="AB779" s="5">
        <v>9</v>
      </c>
      <c r="AC779" s="2" t="s">
        <v>1014</v>
      </c>
      <c r="AD779" s="4">
        <v>84</v>
      </c>
      <c r="AE779" s="4">
        <v>278</v>
      </c>
      <c r="AF779" s="6">
        <v>65</v>
      </c>
      <c r="AG779" s="6"/>
      <c r="AH779" s="7">
        <v>0.6774</v>
      </c>
      <c r="AI779" s="4"/>
      <c r="AJ779" s="4">
        <f>=ROUNDDOWN({0},0)</f>
      </c>
      <c r="AK779" s="5"/>
      <c r="AL779" s="2" t="s">
        <v>228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228</v>
      </c>
      <c r="AW779" s="8" t="s">
        <v>228</v>
      </c>
      <c r="AX779" s="4" t="s">
        <v>228</v>
      </c>
      <c r="AY779" s="8" t="s">
        <v>228</v>
      </c>
      <c r="AZ779" s="7" t="s">
        <v>228</v>
      </c>
      <c r="BA779" s="7" t="s">
        <v>228</v>
      </c>
      <c r="BB779" s="7"/>
      <c r="BC779" s="4" t="s">
        <v>228</v>
      </c>
      <c r="BD779" s="8" t="s">
        <v>228</v>
      </c>
      <c r="BE779" s="4" t="s">
        <v>228</v>
      </c>
      <c r="BF779" s="8" t="s">
        <v>228</v>
      </c>
      <c r="BG779" s="7" t="s">
        <v>228</v>
      </c>
      <c r="BH779" s="7" t="s">
        <v>228</v>
      </c>
      <c r="BI779" s="7"/>
      <c r="BJ779" s="4">
        <v>51</v>
      </c>
      <c r="BK779" s="8">
        <v>917.68</v>
      </c>
      <c r="BL779" s="2" t="s">
        <v>3909</v>
      </c>
      <c r="BM779" s="7"/>
      <c r="BN779" s="7"/>
      <c r="BO779" s="4"/>
      <c r="BP779" s="8"/>
      <c r="BQ779" s="4"/>
      <c r="BR779" s="8"/>
      <c r="BS779" s="7"/>
      <c r="BT779" s="7"/>
      <c r="BU779" s="2" t="s">
        <v>4366</v>
      </c>
      <c r="BV779" s="2" t="s">
        <v>228</v>
      </c>
      <c r="BW779" s="2" t="s">
        <v>228</v>
      </c>
      <c r="BX779" s="2" t="s">
        <v>273</v>
      </c>
      <c r="BY779" s="2" t="s">
        <v>274</v>
      </c>
      <c r="BZ779" s="2" t="s">
        <v>240</v>
      </c>
      <c r="CA779" s="2" t="s">
        <v>4312</v>
      </c>
      <c r="CB779" s="2" t="s">
        <v>3427</v>
      </c>
      <c r="CC779" s="2" t="s">
        <v>241</v>
      </c>
      <c r="CD779" s="2" t="s">
        <v>228</v>
      </c>
      <c r="CE779" s="4">
        <v>49</v>
      </c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>
        <v>84</v>
      </c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>
        <v>78</v>
      </c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>
        <v>116</v>
      </c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</row>
    <row r="780">
      <c r="A780" s="2" t="s">
        <v>4367</v>
      </c>
      <c r="B780" s="2" t="s">
        <v>299</v>
      </c>
      <c r="C780" s="2" t="s">
        <v>849</v>
      </c>
      <c r="D780" s="2" t="s">
        <v>301</v>
      </c>
      <c r="E780" s="2" t="s">
        <v>302</v>
      </c>
      <c r="F780" s="2" t="s">
        <v>4305</v>
      </c>
      <c r="G780" s="2" t="s">
        <v>4305</v>
      </c>
      <c r="H780" s="2" t="s">
        <v>4305</v>
      </c>
      <c r="I780" s="2" t="s">
        <v>4306</v>
      </c>
      <c r="J780" s="2" t="s">
        <v>289</v>
      </c>
      <c r="K780" s="2" t="s">
        <v>4364</v>
      </c>
      <c r="L780" s="3">
        <v>21.27</v>
      </c>
      <c r="M780" s="3">
        <v>22.33</v>
      </c>
      <c r="N780" s="3">
        <v>47.99</v>
      </c>
      <c r="O780" s="2" t="s">
        <v>240</v>
      </c>
      <c r="P780" s="2" t="s">
        <v>266</v>
      </c>
      <c r="Q780" s="2" t="s">
        <v>234</v>
      </c>
      <c r="R780" s="2" t="s">
        <v>228</v>
      </c>
      <c r="S780" s="2" t="s">
        <v>4365</v>
      </c>
      <c r="T780" s="2" t="s">
        <v>3810</v>
      </c>
      <c r="U780" s="2" t="s">
        <v>308</v>
      </c>
      <c r="V780" s="2" t="s">
        <v>3717</v>
      </c>
      <c r="W780" s="2" t="s">
        <v>269</v>
      </c>
      <c r="X780" s="2" t="s">
        <v>463</v>
      </c>
      <c r="Y780" s="2" t="s">
        <v>4309</v>
      </c>
      <c r="Z780" s="4">
        <v>316</v>
      </c>
      <c r="AA780" s="4">
        <f>=ROUNDDOWN(19.75,0)</f>
      </c>
      <c r="AB780" s="5">
        <v>16</v>
      </c>
      <c r="AC780" s="2" t="s">
        <v>162</v>
      </c>
      <c r="AD780" s="4">
        <v>137</v>
      </c>
      <c r="AE780" s="4">
        <v>331</v>
      </c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228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228</v>
      </c>
      <c r="AW780" s="8" t="s">
        <v>228</v>
      </c>
      <c r="AX780" s="4" t="s">
        <v>228</v>
      </c>
      <c r="AY780" s="8" t="s">
        <v>228</v>
      </c>
      <c r="AZ780" s="7" t="s">
        <v>228</v>
      </c>
      <c r="BA780" s="7" t="s">
        <v>228</v>
      </c>
      <c r="BB780" s="7"/>
      <c r="BC780" s="4" t="s">
        <v>228</v>
      </c>
      <c r="BD780" s="8" t="s">
        <v>228</v>
      </c>
      <c r="BE780" s="4" t="s">
        <v>228</v>
      </c>
      <c r="BF780" s="8" t="s">
        <v>228</v>
      </c>
      <c r="BG780" s="7" t="s">
        <v>228</v>
      </c>
      <c r="BH780" s="7" t="s">
        <v>228</v>
      </c>
      <c r="BI780" s="7"/>
      <c r="BJ780" s="4">
        <v>113</v>
      </c>
      <c r="BK780" s="8">
        <v>2890.46</v>
      </c>
      <c r="BL780" s="2" t="s">
        <v>4368</v>
      </c>
      <c r="BM780" s="7"/>
      <c r="BN780" s="7"/>
      <c r="BO780" s="4"/>
      <c r="BP780" s="8"/>
      <c r="BQ780" s="4"/>
      <c r="BR780" s="8"/>
      <c r="BS780" s="7"/>
      <c r="BT780" s="7"/>
      <c r="BU780" s="2" t="s">
        <v>4369</v>
      </c>
      <c r="BV780" s="2" t="s">
        <v>228</v>
      </c>
      <c r="BW780" s="2" t="s">
        <v>228</v>
      </c>
      <c r="BX780" s="2" t="s">
        <v>273</v>
      </c>
      <c r="BY780" s="2" t="s">
        <v>274</v>
      </c>
      <c r="BZ780" s="2" t="s">
        <v>240</v>
      </c>
      <c r="CA780" s="2" t="s">
        <v>4312</v>
      </c>
      <c r="CB780" s="2" t="s">
        <v>4370</v>
      </c>
      <c r="CC780" s="2" t="s">
        <v>241</v>
      </c>
      <c r="CD780" s="2" t="s">
        <v>228</v>
      </c>
      <c r="CE780" s="4">
        <v>316</v>
      </c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>
        <v>137</v>
      </c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>
        <v>194</v>
      </c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</row>
    <row r="781">
      <c r="A781" s="2" t="s">
        <v>4371</v>
      </c>
      <c r="B781" s="2" t="s">
        <v>299</v>
      </c>
      <c r="C781" s="2" t="s">
        <v>849</v>
      </c>
      <c r="D781" s="2" t="s">
        <v>301</v>
      </c>
      <c r="E781" s="2" t="s">
        <v>302</v>
      </c>
      <c r="F781" s="2" t="s">
        <v>4305</v>
      </c>
      <c r="G781" s="2" t="s">
        <v>4305</v>
      </c>
      <c r="H781" s="2" t="s">
        <v>4305</v>
      </c>
      <c r="I781" s="2" t="s">
        <v>4306</v>
      </c>
      <c r="J781" s="2" t="s">
        <v>278</v>
      </c>
      <c r="K781" s="2" t="s">
        <v>4372</v>
      </c>
      <c r="L781" s="3">
        <v>15.22</v>
      </c>
      <c r="M781" s="3">
        <v>15.98</v>
      </c>
      <c r="N781" s="3">
        <v>32.99</v>
      </c>
      <c r="O781" s="2" t="s">
        <v>240</v>
      </c>
      <c r="P781" s="2" t="s">
        <v>266</v>
      </c>
      <c r="Q781" s="2" t="s">
        <v>234</v>
      </c>
      <c r="R781" s="2" t="s">
        <v>228</v>
      </c>
      <c r="S781" s="2" t="s">
        <v>4373</v>
      </c>
      <c r="T781" s="2" t="s">
        <v>3810</v>
      </c>
      <c r="U781" s="2" t="s">
        <v>500</v>
      </c>
      <c r="V781" s="2" t="s">
        <v>1644</v>
      </c>
      <c r="W781" s="2" t="s">
        <v>269</v>
      </c>
      <c r="X781" s="2" t="s">
        <v>463</v>
      </c>
      <c r="Y781" s="2" t="s">
        <v>2778</v>
      </c>
      <c r="Z781" s="4">
        <v>94</v>
      </c>
      <c r="AA781" s="4">
        <f>=ROUNDDOWN(13.4285714285714,0)</f>
      </c>
      <c r="AB781" s="5">
        <v>7</v>
      </c>
      <c r="AC781" s="2" t="s">
        <v>1014</v>
      </c>
      <c r="AD781" s="4">
        <v>61</v>
      </c>
      <c r="AE781" s="4">
        <v>242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228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228</v>
      </c>
      <c r="AW781" s="8" t="s">
        <v>228</v>
      </c>
      <c r="AX781" s="4" t="s">
        <v>228</v>
      </c>
      <c r="AY781" s="8" t="s">
        <v>228</v>
      </c>
      <c r="AZ781" s="7" t="s">
        <v>228</v>
      </c>
      <c r="BA781" s="7" t="s">
        <v>228</v>
      </c>
      <c r="BB781" s="7"/>
      <c r="BC781" s="4" t="s">
        <v>228</v>
      </c>
      <c r="BD781" s="8" t="s">
        <v>228</v>
      </c>
      <c r="BE781" s="4" t="s">
        <v>228</v>
      </c>
      <c r="BF781" s="8" t="s">
        <v>228</v>
      </c>
      <c r="BG781" s="7" t="s">
        <v>228</v>
      </c>
      <c r="BH781" s="7" t="s">
        <v>228</v>
      </c>
      <c r="BI781" s="7"/>
      <c r="BJ781" s="4">
        <v>39</v>
      </c>
      <c r="BK781" s="8">
        <v>688.22</v>
      </c>
      <c r="BL781" s="2" t="s">
        <v>4374</v>
      </c>
      <c r="BM781" s="7"/>
      <c r="BN781" s="7"/>
      <c r="BO781" s="4"/>
      <c r="BP781" s="8"/>
      <c r="BQ781" s="4"/>
      <c r="BR781" s="8"/>
      <c r="BS781" s="7"/>
      <c r="BT781" s="7"/>
      <c r="BU781" s="2" t="s">
        <v>4375</v>
      </c>
      <c r="BV781" s="2" t="s">
        <v>228</v>
      </c>
      <c r="BW781" s="2" t="s">
        <v>228</v>
      </c>
      <c r="BX781" s="2" t="s">
        <v>273</v>
      </c>
      <c r="BY781" s="2" t="s">
        <v>274</v>
      </c>
      <c r="BZ781" s="2" t="s">
        <v>240</v>
      </c>
      <c r="CA781" s="2" t="s">
        <v>2778</v>
      </c>
      <c r="CB781" s="2" t="s">
        <v>4376</v>
      </c>
      <c r="CC781" s="2" t="s">
        <v>241</v>
      </c>
      <c r="CD781" s="2" t="s">
        <v>228</v>
      </c>
      <c r="CE781" s="4">
        <v>94</v>
      </c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>
        <v>61</v>
      </c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>
        <v>71</v>
      </c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>
        <v>110</v>
      </c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</row>
    <row r="782">
      <c r="A782" s="2" t="s">
        <v>4377</v>
      </c>
      <c r="B782" s="2" t="s">
        <v>299</v>
      </c>
      <c r="C782" s="2" t="s">
        <v>849</v>
      </c>
      <c r="D782" s="2" t="s">
        <v>301</v>
      </c>
      <c r="E782" s="2" t="s">
        <v>302</v>
      </c>
      <c r="F782" s="2" t="s">
        <v>4305</v>
      </c>
      <c r="G782" s="2" t="s">
        <v>4305</v>
      </c>
      <c r="H782" s="2" t="s">
        <v>4305</v>
      </c>
      <c r="I782" s="2" t="s">
        <v>4306</v>
      </c>
      <c r="J782" s="2" t="s">
        <v>289</v>
      </c>
      <c r="K782" s="2" t="s">
        <v>4372</v>
      </c>
      <c r="L782" s="3">
        <v>21.27</v>
      </c>
      <c r="M782" s="3">
        <v>22.33</v>
      </c>
      <c r="N782" s="3">
        <v>47.99</v>
      </c>
      <c r="O782" s="2" t="s">
        <v>240</v>
      </c>
      <c r="P782" s="2" t="s">
        <v>266</v>
      </c>
      <c r="Q782" s="2" t="s">
        <v>234</v>
      </c>
      <c r="R782" s="2" t="s">
        <v>228</v>
      </c>
      <c r="S782" s="2" t="s">
        <v>4373</v>
      </c>
      <c r="T782" s="2" t="s">
        <v>3810</v>
      </c>
      <c r="U782" s="2" t="s">
        <v>308</v>
      </c>
      <c r="V782" s="2" t="s">
        <v>1644</v>
      </c>
      <c r="W782" s="2" t="s">
        <v>269</v>
      </c>
      <c r="X782" s="2" t="s">
        <v>463</v>
      </c>
      <c r="Y782" s="2" t="s">
        <v>2778</v>
      </c>
      <c r="Z782" s="4">
        <v>274</v>
      </c>
      <c r="AA782" s="4">
        <f>=ROUNDDOWN(24.9090909090909,0)</f>
      </c>
      <c r="AB782" s="5">
        <v>11</v>
      </c>
      <c r="AC782" s="2" t="s">
        <v>162</v>
      </c>
      <c r="AD782" s="4">
        <v>96</v>
      </c>
      <c r="AE782" s="4">
        <v>232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228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228</v>
      </c>
      <c r="AW782" s="8" t="s">
        <v>228</v>
      </c>
      <c r="AX782" s="4" t="s">
        <v>228</v>
      </c>
      <c r="AY782" s="8" t="s">
        <v>228</v>
      </c>
      <c r="AZ782" s="7" t="s">
        <v>228</v>
      </c>
      <c r="BA782" s="7" t="s">
        <v>228</v>
      </c>
      <c r="BB782" s="7"/>
      <c r="BC782" s="4" t="s">
        <v>228</v>
      </c>
      <c r="BD782" s="8" t="s">
        <v>228</v>
      </c>
      <c r="BE782" s="4" t="s">
        <v>228</v>
      </c>
      <c r="BF782" s="8" t="s">
        <v>228</v>
      </c>
      <c r="BG782" s="7" t="s">
        <v>228</v>
      </c>
      <c r="BH782" s="7" t="s">
        <v>228</v>
      </c>
      <c r="BI782" s="7"/>
      <c r="BJ782" s="4">
        <v>28</v>
      </c>
      <c r="BK782" s="8">
        <v>688.46</v>
      </c>
      <c r="BL782" s="2" t="s">
        <v>4378</v>
      </c>
      <c r="BM782" s="7"/>
      <c r="BN782" s="7"/>
      <c r="BO782" s="4"/>
      <c r="BP782" s="8"/>
      <c r="BQ782" s="4"/>
      <c r="BR782" s="8"/>
      <c r="BS782" s="7"/>
      <c r="BT782" s="7"/>
      <c r="BU782" s="2" t="s">
        <v>4379</v>
      </c>
      <c r="BV782" s="2" t="s">
        <v>228</v>
      </c>
      <c r="BW782" s="2" t="s">
        <v>228</v>
      </c>
      <c r="BX782" s="2" t="s">
        <v>273</v>
      </c>
      <c r="BY782" s="2" t="s">
        <v>274</v>
      </c>
      <c r="BZ782" s="2" t="s">
        <v>240</v>
      </c>
      <c r="CA782" s="2" t="s">
        <v>2778</v>
      </c>
      <c r="CB782" s="2" t="s">
        <v>4380</v>
      </c>
      <c r="CC782" s="2" t="s">
        <v>241</v>
      </c>
      <c r="CD782" s="2" t="s">
        <v>228</v>
      </c>
      <c r="CE782" s="4">
        <v>274</v>
      </c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>
        <v>96</v>
      </c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>
        <v>136</v>
      </c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</row>
    <row r="783">
      <c r="A783" s="2" t="s">
        <v>4381</v>
      </c>
      <c r="B783" s="2" t="s">
        <v>299</v>
      </c>
      <c r="C783" s="2" t="s">
        <v>849</v>
      </c>
      <c r="D783" s="2" t="s">
        <v>301</v>
      </c>
      <c r="E783" s="2" t="s">
        <v>302</v>
      </c>
      <c r="F783" s="2" t="s">
        <v>4305</v>
      </c>
      <c r="G783" s="2" t="s">
        <v>4305</v>
      </c>
      <c r="H783" s="2" t="s">
        <v>4305</v>
      </c>
      <c r="I783" s="2" t="s">
        <v>4306</v>
      </c>
      <c r="J783" s="2" t="s">
        <v>284</v>
      </c>
      <c r="K783" s="2" t="s">
        <v>4382</v>
      </c>
      <c r="L783" s="3">
        <v>19.13</v>
      </c>
      <c r="M783" s="3">
        <v>20.09</v>
      </c>
      <c r="N783" s="3">
        <v>42.99</v>
      </c>
      <c r="O783" s="2" t="s">
        <v>240</v>
      </c>
      <c r="P783" s="2" t="s">
        <v>266</v>
      </c>
      <c r="Q783" s="2" t="s">
        <v>234</v>
      </c>
      <c r="R783" s="2" t="s">
        <v>228</v>
      </c>
      <c r="S783" s="2" t="s">
        <v>4383</v>
      </c>
      <c r="T783" s="2" t="s">
        <v>3810</v>
      </c>
      <c r="U783" s="2" t="s">
        <v>308</v>
      </c>
      <c r="V783" s="2" t="s">
        <v>3717</v>
      </c>
      <c r="W783" s="2" t="s">
        <v>269</v>
      </c>
      <c r="X783" s="2" t="s">
        <v>463</v>
      </c>
      <c r="Y783" s="2" t="s">
        <v>4309</v>
      </c>
      <c r="Z783" s="4">
        <v>352</v>
      </c>
      <c r="AA783" s="4">
        <f>=ROUNDDOWN(22,0)</f>
      </c>
      <c r="AB783" s="5">
        <v>16</v>
      </c>
      <c r="AC783" s="2" t="s">
        <v>162</v>
      </c>
      <c r="AD783" s="4">
        <v>135</v>
      </c>
      <c r="AE783" s="4">
        <v>327</v>
      </c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228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/>
      <c r="AW783" s="8"/>
      <c r="AX783" s="4"/>
      <c r="AY783" s="8"/>
      <c r="AZ783" s="7"/>
      <c r="BA783" s="7"/>
      <c r="BB783" s="7"/>
      <c r="BC783" s="4" t="s">
        <v>228</v>
      </c>
      <c r="BD783" s="8" t="s">
        <v>228</v>
      </c>
      <c r="BE783" s="4" t="s">
        <v>228</v>
      </c>
      <c r="BF783" s="8" t="s">
        <v>228</v>
      </c>
      <c r="BG783" s="7" t="s">
        <v>228</v>
      </c>
      <c r="BH783" s="7" t="s">
        <v>228</v>
      </c>
      <c r="BI783" s="7"/>
      <c r="BJ783" s="4">
        <v>55</v>
      </c>
      <c r="BK783" s="8">
        <v>1316.92</v>
      </c>
      <c r="BL783" s="2" t="s">
        <v>4384</v>
      </c>
      <c r="BM783" s="7"/>
      <c r="BN783" s="7"/>
      <c r="BO783" s="4"/>
      <c r="BP783" s="8"/>
      <c r="BQ783" s="4"/>
      <c r="BR783" s="8"/>
      <c r="BS783" s="7"/>
      <c r="BT783" s="7"/>
      <c r="BU783" s="2" t="s">
        <v>4385</v>
      </c>
      <c r="BV783" s="2" t="s">
        <v>228</v>
      </c>
      <c r="BW783" s="2" t="s">
        <v>228</v>
      </c>
      <c r="BX783" s="2" t="s">
        <v>273</v>
      </c>
      <c r="BY783" s="2" t="s">
        <v>274</v>
      </c>
      <c r="BZ783" s="2" t="s">
        <v>240</v>
      </c>
      <c r="CA783" s="2" t="s">
        <v>4312</v>
      </c>
      <c r="CB783" s="2" t="s">
        <v>4386</v>
      </c>
      <c r="CC783" s="2" t="s">
        <v>241</v>
      </c>
      <c r="CD783" s="2" t="s">
        <v>228</v>
      </c>
      <c r="CE783" s="4">
        <v>352</v>
      </c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>
        <v>135</v>
      </c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>
        <v>192</v>
      </c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</row>
    <row r="784">
      <c r="A784" s="2" t="s">
        <v>4387</v>
      </c>
      <c r="B784" s="2" t="s">
        <v>299</v>
      </c>
      <c r="C784" s="2" t="s">
        <v>849</v>
      </c>
      <c r="D784" s="2" t="s">
        <v>301</v>
      </c>
      <c r="E784" s="2" t="s">
        <v>302</v>
      </c>
      <c r="F784" s="2" t="s">
        <v>4305</v>
      </c>
      <c r="G784" s="2" t="s">
        <v>4305</v>
      </c>
      <c r="H784" s="2" t="s">
        <v>4305</v>
      </c>
      <c r="I784" s="2" t="s">
        <v>4306</v>
      </c>
      <c r="J784" s="2" t="s">
        <v>264</v>
      </c>
      <c r="K784" s="2" t="s">
        <v>4388</v>
      </c>
      <c r="L784" s="3">
        <v>14.89</v>
      </c>
      <c r="M784" s="3">
        <v>15.63</v>
      </c>
      <c r="N784" s="3">
        <v>31.99</v>
      </c>
      <c r="O784" s="2" t="s">
        <v>240</v>
      </c>
      <c r="P784" s="2" t="s">
        <v>715</v>
      </c>
      <c r="Q784" s="2" t="s">
        <v>234</v>
      </c>
      <c r="R784" s="2" t="s">
        <v>228</v>
      </c>
      <c r="S784" s="2" t="s">
        <v>4389</v>
      </c>
      <c r="T784" s="2" t="s">
        <v>3810</v>
      </c>
      <c r="U784" s="2" t="s">
        <v>500</v>
      </c>
      <c r="V784" s="2" t="s">
        <v>1644</v>
      </c>
      <c r="W784" s="2" t="s">
        <v>269</v>
      </c>
      <c r="X784" s="2" t="s">
        <v>463</v>
      </c>
      <c r="Y784" s="2" t="s">
        <v>2778</v>
      </c>
      <c r="Z784" s="4"/>
      <c r="AA784" s="4">
        <f>=ROUNDDOWN({0},0)</f>
      </c>
      <c r="AB784" s="5">
        <v>39</v>
      </c>
      <c r="AC784" s="2" t="s">
        <v>1439</v>
      </c>
      <c r="AD784" s="4">
        <v>726</v>
      </c>
      <c r="AE784" s="4">
        <v>1484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228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228</v>
      </c>
      <c r="AW784" s="8" t="s">
        <v>228</v>
      </c>
      <c r="AX784" s="4" t="s">
        <v>228</v>
      </c>
      <c r="AY784" s="8" t="s">
        <v>228</v>
      </c>
      <c r="AZ784" s="7" t="s">
        <v>228</v>
      </c>
      <c r="BA784" s="7" t="s">
        <v>228</v>
      </c>
      <c r="BB784" s="7"/>
      <c r="BC784" s="4" t="s">
        <v>228</v>
      </c>
      <c r="BD784" s="8" t="s">
        <v>228</v>
      </c>
      <c r="BE784" s="4" t="s">
        <v>228</v>
      </c>
      <c r="BF784" s="8" t="s">
        <v>228</v>
      </c>
      <c r="BG784" s="7" t="s">
        <v>228</v>
      </c>
      <c r="BH784" s="7" t="s">
        <v>228</v>
      </c>
      <c r="BI784" s="7"/>
      <c r="BJ784" s="4">
        <v>149</v>
      </c>
      <c r="BK784" s="8">
        <v>2581.98</v>
      </c>
      <c r="BL784" s="2" t="s">
        <v>4390</v>
      </c>
      <c r="BM784" s="7"/>
      <c r="BN784" s="7"/>
      <c r="BO784" s="4"/>
      <c r="BP784" s="8"/>
      <c r="BQ784" s="4"/>
      <c r="BR784" s="8"/>
      <c r="BS784" s="7"/>
      <c r="BT784" s="7"/>
      <c r="BU784" s="2" t="s">
        <v>4391</v>
      </c>
      <c r="BV784" s="2" t="s">
        <v>228</v>
      </c>
      <c r="BW784" s="2" t="s">
        <v>228</v>
      </c>
      <c r="BX784" s="2" t="s">
        <v>273</v>
      </c>
      <c r="BY784" s="2" t="s">
        <v>274</v>
      </c>
      <c r="BZ784" s="2" t="s">
        <v>240</v>
      </c>
      <c r="CA784" s="2" t="s">
        <v>2778</v>
      </c>
      <c r="CB784" s="2" t="s">
        <v>4099</v>
      </c>
      <c r="CC784" s="2" t="s">
        <v>241</v>
      </c>
      <c r="CD784" s="2" t="s">
        <v>228</v>
      </c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>
        <v>726</v>
      </c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>
        <v>315</v>
      </c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>
        <v>443</v>
      </c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</row>
    <row r="785">
      <c r="A785" s="2" t="s">
        <v>4392</v>
      </c>
      <c r="B785" s="2" t="s">
        <v>299</v>
      </c>
      <c r="C785" s="2" t="s">
        <v>849</v>
      </c>
      <c r="D785" s="2" t="s">
        <v>301</v>
      </c>
      <c r="E785" s="2" t="s">
        <v>302</v>
      </c>
      <c r="F785" s="2" t="s">
        <v>4305</v>
      </c>
      <c r="G785" s="2" t="s">
        <v>4305</v>
      </c>
      <c r="H785" s="2" t="s">
        <v>4305</v>
      </c>
      <c r="I785" s="2" t="s">
        <v>4306</v>
      </c>
      <c r="J785" s="2" t="s">
        <v>284</v>
      </c>
      <c r="K785" s="2" t="s">
        <v>4388</v>
      </c>
      <c r="L785" s="3">
        <v>19.13</v>
      </c>
      <c r="M785" s="3">
        <v>20.09</v>
      </c>
      <c r="N785" s="3">
        <v>42.99</v>
      </c>
      <c r="O785" s="2" t="s">
        <v>240</v>
      </c>
      <c r="P785" s="2" t="s">
        <v>266</v>
      </c>
      <c r="Q785" s="2" t="s">
        <v>234</v>
      </c>
      <c r="R785" s="2" t="s">
        <v>228</v>
      </c>
      <c r="S785" s="2" t="s">
        <v>4389</v>
      </c>
      <c r="T785" s="2" t="s">
        <v>3810</v>
      </c>
      <c r="U785" s="2" t="s">
        <v>308</v>
      </c>
      <c r="V785" s="2" t="s">
        <v>1644</v>
      </c>
      <c r="W785" s="2" t="s">
        <v>269</v>
      </c>
      <c r="X785" s="2" t="s">
        <v>463</v>
      </c>
      <c r="Y785" s="2" t="s">
        <v>2778</v>
      </c>
      <c r="Z785" s="4">
        <v>44</v>
      </c>
      <c r="AA785" s="4">
        <f>=ROUNDDOWN(2.2,0)</f>
      </c>
      <c r="AB785" s="5">
        <v>20</v>
      </c>
      <c r="AC785" s="2" t="s">
        <v>1439</v>
      </c>
      <c r="AD785" s="4">
        <v>403</v>
      </c>
      <c r="AE785" s="4">
        <v>805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228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228</v>
      </c>
      <c r="AW785" s="8" t="s">
        <v>228</v>
      </c>
      <c r="AX785" s="4" t="s">
        <v>228</v>
      </c>
      <c r="AY785" s="8" t="s">
        <v>228</v>
      </c>
      <c r="AZ785" s="7" t="s">
        <v>228</v>
      </c>
      <c r="BA785" s="7" t="s">
        <v>228</v>
      </c>
      <c r="BB785" s="7"/>
      <c r="BC785" s="4" t="s">
        <v>228</v>
      </c>
      <c r="BD785" s="8" t="s">
        <v>228</v>
      </c>
      <c r="BE785" s="4" t="s">
        <v>228</v>
      </c>
      <c r="BF785" s="8" t="s">
        <v>228</v>
      </c>
      <c r="BG785" s="7" t="s">
        <v>228</v>
      </c>
      <c r="BH785" s="7" t="s">
        <v>228</v>
      </c>
      <c r="BI785" s="7"/>
      <c r="BJ785" s="4">
        <v>77</v>
      </c>
      <c r="BK785" s="8">
        <v>1698.48</v>
      </c>
      <c r="BL785" s="2" t="s">
        <v>4393</v>
      </c>
      <c r="BM785" s="7"/>
      <c r="BN785" s="7"/>
      <c r="BO785" s="4"/>
      <c r="BP785" s="8"/>
      <c r="BQ785" s="4"/>
      <c r="BR785" s="8"/>
      <c r="BS785" s="7"/>
      <c r="BT785" s="7"/>
      <c r="BU785" s="2" t="s">
        <v>4394</v>
      </c>
      <c r="BV785" s="2" t="s">
        <v>228</v>
      </c>
      <c r="BW785" s="2" t="s">
        <v>228</v>
      </c>
      <c r="BX785" s="2" t="s">
        <v>273</v>
      </c>
      <c r="BY785" s="2" t="s">
        <v>274</v>
      </c>
      <c r="BZ785" s="2" t="s">
        <v>240</v>
      </c>
      <c r="CA785" s="2" t="s">
        <v>2778</v>
      </c>
      <c r="CB785" s="2" t="s">
        <v>4395</v>
      </c>
      <c r="CC785" s="2" t="s">
        <v>241</v>
      </c>
      <c r="CD785" s="2" t="s">
        <v>228</v>
      </c>
      <c r="CE785" s="4">
        <v>44</v>
      </c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>
        <v>403</v>
      </c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>
        <v>169</v>
      </c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>
        <v>233</v>
      </c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</row>
    <row r="786">
      <c r="A786" s="2" t="s">
        <v>4396</v>
      </c>
      <c r="B786" s="2" t="s">
        <v>299</v>
      </c>
      <c r="C786" s="2" t="s">
        <v>849</v>
      </c>
      <c r="D786" s="2" t="s">
        <v>301</v>
      </c>
      <c r="E786" s="2" t="s">
        <v>302</v>
      </c>
      <c r="F786" s="2" t="s">
        <v>4305</v>
      </c>
      <c r="G786" s="2" t="s">
        <v>4305</v>
      </c>
      <c r="H786" s="2" t="s">
        <v>4305</v>
      </c>
      <c r="I786" s="2" t="s">
        <v>4306</v>
      </c>
      <c r="J786" s="2" t="s">
        <v>264</v>
      </c>
      <c r="K786" s="2" t="s">
        <v>4397</v>
      </c>
      <c r="L786" s="3">
        <v>14.89</v>
      </c>
      <c r="M786" s="3">
        <v>15.63</v>
      </c>
      <c r="N786" s="3">
        <v>31.99</v>
      </c>
      <c r="O786" s="2" t="s">
        <v>240</v>
      </c>
      <c r="P786" s="2" t="s">
        <v>233</v>
      </c>
      <c r="Q786" s="2" t="s">
        <v>234</v>
      </c>
      <c r="R786" s="2" t="s">
        <v>228</v>
      </c>
      <c r="S786" s="2" t="s">
        <v>4398</v>
      </c>
      <c r="T786" s="2" t="s">
        <v>3810</v>
      </c>
      <c r="U786" s="2" t="s">
        <v>500</v>
      </c>
      <c r="V786" s="2" t="s">
        <v>3717</v>
      </c>
      <c r="W786" s="2" t="s">
        <v>269</v>
      </c>
      <c r="X786" s="2" t="s">
        <v>463</v>
      </c>
      <c r="Y786" s="2" t="s">
        <v>1270</v>
      </c>
      <c r="Z786" s="4">
        <v>715</v>
      </c>
      <c r="AA786" s="4">
        <f>=ROUNDDOWN({0},0)</f>
      </c>
      <c r="AB786" s="5"/>
      <c r="AC786" s="2" t="s">
        <v>1439</v>
      </c>
      <c r="AD786" s="4">
        <v>334</v>
      </c>
      <c r="AE786" s="4">
        <v>714</v>
      </c>
      <c r="AF786" s="6">
        <v>70</v>
      </c>
      <c r="AG786" s="6"/>
      <c r="AH786" s="7">
        <v>1</v>
      </c>
      <c r="AI786" s="4"/>
      <c r="AJ786" s="4">
        <f>=ROUNDDOWN({0},0)</f>
      </c>
      <c r="AK786" s="5"/>
      <c r="AL786" s="2" t="s">
        <v>228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228</v>
      </c>
      <c r="AW786" s="8" t="s">
        <v>228</v>
      </c>
      <c r="AX786" s="4" t="s">
        <v>228</v>
      </c>
      <c r="AY786" s="8" t="s">
        <v>228</v>
      </c>
      <c r="AZ786" s="7" t="s">
        <v>228</v>
      </c>
      <c r="BA786" s="7" t="s">
        <v>228</v>
      </c>
      <c r="BB786" s="7"/>
      <c r="BC786" s="4" t="s">
        <v>228</v>
      </c>
      <c r="BD786" s="8" t="s">
        <v>228</v>
      </c>
      <c r="BE786" s="4" t="s">
        <v>228</v>
      </c>
      <c r="BF786" s="8" t="s">
        <v>228</v>
      </c>
      <c r="BG786" s="7" t="s">
        <v>228</v>
      </c>
      <c r="BH786" s="7" t="s">
        <v>228</v>
      </c>
      <c r="BI786" s="7"/>
      <c r="BJ786" s="4"/>
      <c r="BK786" s="8"/>
      <c r="BL786" s="2" t="s">
        <v>228</v>
      </c>
      <c r="BM786" s="7"/>
      <c r="BN786" s="7"/>
      <c r="BO786" s="4"/>
      <c r="BP786" s="8"/>
      <c r="BQ786" s="4"/>
      <c r="BR786" s="8"/>
      <c r="BS786" s="7"/>
      <c r="BT786" s="7"/>
      <c r="BU786" s="2" t="s">
        <v>4399</v>
      </c>
      <c r="BV786" s="2" t="s">
        <v>228</v>
      </c>
      <c r="BW786" s="2" t="s">
        <v>228</v>
      </c>
      <c r="BX786" s="2" t="s">
        <v>238</v>
      </c>
      <c r="BY786" s="2" t="s">
        <v>274</v>
      </c>
      <c r="BZ786" s="2" t="s">
        <v>240</v>
      </c>
      <c r="CA786" s="2" t="s">
        <v>1590</v>
      </c>
      <c r="CB786" s="2" t="s">
        <v>228</v>
      </c>
      <c r="CC786" s="2" t="s">
        <v>241</v>
      </c>
      <c r="CD786" s="2" t="s">
        <v>228</v>
      </c>
      <c r="CE786" s="4">
        <v>715</v>
      </c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>
        <v>334</v>
      </c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>
        <v>214</v>
      </c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>
        <v>166</v>
      </c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</row>
    <row r="787">
      <c r="A787" s="2" t="s">
        <v>4400</v>
      </c>
      <c r="B787" s="2" t="s">
        <v>299</v>
      </c>
      <c r="C787" s="2" t="s">
        <v>849</v>
      </c>
      <c r="D787" s="2" t="s">
        <v>301</v>
      </c>
      <c r="E787" s="2" t="s">
        <v>302</v>
      </c>
      <c r="F787" s="2" t="s">
        <v>4305</v>
      </c>
      <c r="G787" s="2" t="s">
        <v>4305</v>
      </c>
      <c r="H787" s="2" t="s">
        <v>4305</v>
      </c>
      <c r="I787" s="2" t="s">
        <v>4306</v>
      </c>
      <c r="J787" s="2" t="s">
        <v>278</v>
      </c>
      <c r="K787" s="2" t="s">
        <v>4397</v>
      </c>
      <c r="L787" s="3">
        <v>15.22</v>
      </c>
      <c r="M787" s="3">
        <v>15.98</v>
      </c>
      <c r="N787" s="3">
        <v>31.99</v>
      </c>
      <c r="O787" s="2" t="s">
        <v>240</v>
      </c>
      <c r="P787" s="2" t="s">
        <v>233</v>
      </c>
      <c r="Q787" s="2" t="s">
        <v>234</v>
      </c>
      <c r="R787" s="2" t="s">
        <v>228</v>
      </c>
      <c r="S787" s="2" t="s">
        <v>4398</v>
      </c>
      <c r="T787" s="2" t="s">
        <v>3810</v>
      </c>
      <c r="U787" s="2" t="s">
        <v>500</v>
      </c>
      <c r="V787" s="2" t="s">
        <v>3717</v>
      </c>
      <c r="W787" s="2" t="s">
        <v>269</v>
      </c>
      <c r="X787" s="2" t="s">
        <v>463</v>
      </c>
      <c r="Y787" s="2" t="s">
        <v>1270</v>
      </c>
      <c r="Z787" s="4">
        <v>446</v>
      </c>
      <c r="AA787" s="4">
        <f>=ROUNDDOWN({0},0)</f>
      </c>
      <c r="AB787" s="5"/>
      <c r="AC787" s="2" t="s">
        <v>1439</v>
      </c>
      <c r="AD787" s="4">
        <v>312</v>
      </c>
      <c r="AE787" s="4">
        <v>446</v>
      </c>
      <c r="AF787" s="6">
        <v>70</v>
      </c>
      <c r="AG787" s="6"/>
      <c r="AH787" s="7">
        <v>1</v>
      </c>
      <c r="AI787" s="4"/>
      <c r="AJ787" s="4">
        <f>=ROUNDDOWN({0},0)</f>
      </c>
      <c r="AK787" s="5"/>
      <c r="AL787" s="2" t="s">
        <v>228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228</v>
      </c>
      <c r="AW787" s="8" t="s">
        <v>228</v>
      </c>
      <c r="AX787" s="4" t="s">
        <v>228</v>
      </c>
      <c r="AY787" s="8" t="s">
        <v>228</v>
      </c>
      <c r="AZ787" s="7" t="s">
        <v>228</v>
      </c>
      <c r="BA787" s="7" t="s">
        <v>228</v>
      </c>
      <c r="BB787" s="7"/>
      <c r="BC787" s="4" t="s">
        <v>228</v>
      </c>
      <c r="BD787" s="8" t="s">
        <v>228</v>
      </c>
      <c r="BE787" s="4" t="s">
        <v>228</v>
      </c>
      <c r="BF787" s="8" t="s">
        <v>228</v>
      </c>
      <c r="BG787" s="7" t="s">
        <v>228</v>
      </c>
      <c r="BH787" s="7" t="s">
        <v>228</v>
      </c>
      <c r="BI787" s="7"/>
      <c r="BJ787" s="4"/>
      <c r="BK787" s="8"/>
      <c r="BL787" s="2" t="s">
        <v>228</v>
      </c>
      <c r="BM787" s="7"/>
      <c r="BN787" s="7"/>
      <c r="BO787" s="4"/>
      <c r="BP787" s="8"/>
      <c r="BQ787" s="4"/>
      <c r="BR787" s="8"/>
      <c r="BS787" s="7"/>
      <c r="BT787" s="7"/>
      <c r="BU787" s="2" t="s">
        <v>4401</v>
      </c>
      <c r="BV787" s="2" t="s">
        <v>228</v>
      </c>
      <c r="BW787" s="2" t="s">
        <v>228</v>
      </c>
      <c r="BX787" s="2" t="s">
        <v>238</v>
      </c>
      <c r="BY787" s="2" t="s">
        <v>274</v>
      </c>
      <c r="BZ787" s="2" t="s">
        <v>240</v>
      </c>
      <c r="CA787" s="2" t="s">
        <v>1590</v>
      </c>
      <c r="CB787" s="2" t="s">
        <v>228</v>
      </c>
      <c r="CC787" s="2" t="s">
        <v>241</v>
      </c>
      <c r="CD787" s="2" t="s">
        <v>228</v>
      </c>
      <c r="CE787" s="4">
        <v>446</v>
      </c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>
        <v>312</v>
      </c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>
        <v>134</v>
      </c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</row>
    <row r="788">
      <c r="A788" s="2" t="s">
        <v>4402</v>
      </c>
      <c r="B788" s="2" t="s">
        <v>299</v>
      </c>
      <c r="C788" s="2" t="s">
        <v>849</v>
      </c>
      <c r="D788" s="2" t="s">
        <v>301</v>
      </c>
      <c r="E788" s="2" t="s">
        <v>302</v>
      </c>
      <c r="F788" s="2" t="s">
        <v>4305</v>
      </c>
      <c r="G788" s="2" t="s">
        <v>4305</v>
      </c>
      <c r="H788" s="2" t="s">
        <v>4305</v>
      </c>
      <c r="I788" s="2" t="s">
        <v>4306</v>
      </c>
      <c r="J788" s="2" t="s">
        <v>284</v>
      </c>
      <c r="K788" s="2" t="s">
        <v>4397</v>
      </c>
      <c r="L788" s="3">
        <v>19.13</v>
      </c>
      <c r="M788" s="3">
        <v>20.09</v>
      </c>
      <c r="N788" s="3">
        <v>42.99</v>
      </c>
      <c r="O788" s="2" t="s">
        <v>240</v>
      </c>
      <c r="P788" s="2" t="s">
        <v>233</v>
      </c>
      <c r="Q788" s="2" t="s">
        <v>234</v>
      </c>
      <c r="R788" s="2" t="s">
        <v>228</v>
      </c>
      <c r="S788" s="2" t="s">
        <v>4398</v>
      </c>
      <c r="T788" s="2" t="s">
        <v>3810</v>
      </c>
      <c r="U788" s="2" t="s">
        <v>308</v>
      </c>
      <c r="V788" s="2" t="s">
        <v>3717</v>
      </c>
      <c r="W788" s="2" t="s">
        <v>269</v>
      </c>
      <c r="X788" s="2" t="s">
        <v>463</v>
      </c>
      <c r="Y788" s="2" t="s">
        <v>1270</v>
      </c>
      <c r="Z788" s="4">
        <v>541</v>
      </c>
      <c r="AA788" s="4">
        <f>=ROUNDDOWN(270.5,0)</f>
      </c>
      <c r="AB788" s="5">
        <v>2</v>
      </c>
      <c r="AC788" s="2" t="s">
        <v>1439</v>
      </c>
      <c r="AD788" s="4">
        <v>380</v>
      </c>
      <c r="AE788" s="4">
        <v>543</v>
      </c>
      <c r="AF788" s="6">
        <v>70</v>
      </c>
      <c r="AG788" s="6"/>
      <c r="AH788" s="7">
        <v>1</v>
      </c>
      <c r="AI788" s="4"/>
      <c r="AJ788" s="4">
        <f>=ROUNDDOWN({0},0)</f>
      </c>
      <c r="AK788" s="5"/>
      <c r="AL788" s="2" t="s">
        <v>228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228</v>
      </c>
      <c r="AW788" s="8" t="s">
        <v>228</v>
      </c>
      <c r="AX788" s="4" t="s">
        <v>228</v>
      </c>
      <c r="AY788" s="8" t="s">
        <v>228</v>
      </c>
      <c r="AZ788" s="7" t="s">
        <v>228</v>
      </c>
      <c r="BA788" s="7" t="s">
        <v>228</v>
      </c>
      <c r="BB788" s="7"/>
      <c r="BC788" s="4" t="s">
        <v>228</v>
      </c>
      <c r="BD788" s="8" t="s">
        <v>228</v>
      </c>
      <c r="BE788" s="4" t="s">
        <v>228</v>
      </c>
      <c r="BF788" s="8" t="s">
        <v>228</v>
      </c>
      <c r="BG788" s="7" t="s">
        <v>228</v>
      </c>
      <c r="BH788" s="7" t="s">
        <v>228</v>
      </c>
      <c r="BI788" s="7"/>
      <c r="BJ788" s="4">
        <v>1</v>
      </c>
      <c r="BK788" s="8">
        <v>20.01</v>
      </c>
      <c r="BL788" s="2" t="s">
        <v>622</v>
      </c>
      <c r="BM788" s="7"/>
      <c r="BN788" s="7"/>
      <c r="BO788" s="4"/>
      <c r="BP788" s="8"/>
      <c r="BQ788" s="4"/>
      <c r="BR788" s="8"/>
      <c r="BS788" s="7"/>
      <c r="BT788" s="7"/>
      <c r="BU788" s="2" t="s">
        <v>4403</v>
      </c>
      <c r="BV788" s="2" t="s">
        <v>228</v>
      </c>
      <c r="BW788" s="2" t="s">
        <v>228</v>
      </c>
      <c r="BX788" s="2" t="s">
        <v>238</v>
      </c>
      <c r="BY788" s="2" t="s">
        <v>274</v>
      </c>
      <c r="BZ788" s="2" t="s">
        <v>240</v>
      </c>
      <c r="CA788" s="2" t="s">
        <v>1590</v>
      </c>
      <c r="CB788" s="2" t="s">
        <v>228</v>
      </c>
      <c r="CC788" s="2" t="s">
        <v>241</v>
      </c>
      <c r="CD788" s="2" t="s">
        <v>228</v>
      </c>
      <c r="CE788" s="4">
        <v>541</v>
      </c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>
        <v>380</v>
      </c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>
        <v>163</v>
      </c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</row>
    <row r="789">
      <c r="A789" s="2" t="s">
        <v>4404</v>
      </c>
      <c r="B789" s="2" t="s">
        <v>299</v>
      </c>
      <c r="C789" s="2" t="s">
        <v>849</v>
      </c>
      <c r="D789" s="2" t="s">
        <v>301</v>
      </c>
      <c r="E789" s="2" t="s">
        <v>302</v>
      </c>
      <c r="F789" s="2" t="s">
        <v>4305</v>
      </c>
      <c r="G789" s="2" t="s">
        <v>4305</v>
      </c>
      <c r="H789" s="2" t="s">
        <v>4305</v>
      </c>
      <c r="I789" s="2" t="s">
        <v>4306</v>
      </c>
      <c r="J789" s="2" t="s">
        <v>289</v>
      </c>
      <c r="K789" s="2" t="s">
        <v>4397</v>
      </c>
      <c r="L789" s="3">
        <v>21.27</v>
      </c>
      <c r="M789" s="3">
        <v>22.33</v>
      </c>
      <c r="N789" s="3">
        <v>47.99</v>
      </c>
      <c r="O789" s="2" t="s">
        <v>240</v>
      </c>
      <c r="P789" s="2" t="s">
        <v>233</v>
      </c>
      <c r="Q789" s="2" t="s">
        <v>234</v>
      </c>
      <c r="R789" s="2" t="s">
        <v>228</v>
      </c>
      <c r="S789" s="2" t="s">
        <v>4398</v>
      </c>
      <c r="T789" s="2" t="s">
        <v>3810</v>
      </c>
      <c r="U789" s="2" t="s">
        <v>308</v>
      </c>
      <c r="V789" s="2" t="s">
        <v>3717</v>
      </c>
      <c r="W789" s="2" t="s">
        <v>269</v>
      </c>
      <c r="X789" s="2" t="s">
        <v>463</v>
      </c>
      <c r="Y789" s="2" t="s">
        <v>1270</v>
      </c>
      <c r="Z789" s="4">
        <v>432</v>
      </c>
      <c r="AA789" s="4">
        <f>=ROUNDDOWN({0},0)</f>
      </c>
      <c r="AB789" s="5"/>
      <c r="AC789" s="2" t="s">
        <v>1439</v>
      </c>
      <c r="AD789" s="4">
        <v>303</v>
      </c>
      <c r="AE789" s="4">
        <v>433</v>
      </c>
      <c r="AF789" s="6">
        <v>70</v>
      </c>
      <c r="AG789" s="6"/>
      <c r="AH789" s="7">
        <v>1</v>
      </c>
      <c r="AI789" s="4"/>
      <c r="AJ789" s="4">
        <f>=ROUNDDOWN({0},0)</f>
      </c>
      <c r="AK789" s="5"/>
      <c r="AL789" s="2" t="s">
        <v>228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228</v>
      </c>
      <c r="AW789" s="8" t="s">
        <v>228</v>
      </c>
      <c r="AX789" s="4" t="s">
        <v>228</v>
      </c>
      <c r="AY789" s="8" t="s">
        <v>228</v>
      </c>
      <c r="AZ789" s="7" t="s">
        <v>228</v>
      </c>
      <c r="BA789" s="7" t="s">
        <v>228</v>
      </c>
      <c r="BB789" s="7"/>
      <c r="BC789" s="4" t="s">
        <v>228</v>
      </c>
      <c r="BD789" s="8" t="s">
        <v>228</v>
      </c>
      <c r="BE789" s="4" t="s">
        <v>228</v>
      </c>
      <c r="BF789" s="8" t="s">
        <v>228</v>
      </c>
      <c r="BG789" s="7" t="s">
        <v>228</v>
      </c>
      <c r="BH789" s="7" t="s">
        <v>228</v>
      </c>
      <c r="BI789" s="7"/>
      <c r="BJ789" s="4"/>
      <c r="BK789" s="8"/>
      <c r="BL789" s="2" t="s">
        <v>228</v>
      </c>
      <c r="BM789" s="7"/>
      <c r="BN789" s="7"/>
      <c r="BO789" s="4"/>
      <c r="BP789" s="8"/>
      <c r="BQ789" s="4"/>
      <c r="BR789" s="8"/>
      <c r="BS789" s="7"/>
      <c r="BT789" s="7"/>
      <c r="BU789" s="2" t="s">
        <v>4405</v>
      </c>
      <c r="BV789" s="2" t="s">
        <v>228</v>
      </c>
      <c r="BW789" s="2" t="s">
        <v>228</v>
      </c>
      <c r="BX789" s="2" t="s">
        <v>238</v>
      </c>
      <c r="BY789" s="2" t="s">
        <v>274</v>
      </c>
      <c r="BZ789" s="2" t="s">
        <v>240</v>
      </c>
      <c r="CA789" s="2" t="s">
        <v>1590</v>
      </c>
      <c r="CB789" s="2" t="s">
        <v>228</v>
      </c>
      <c r="CC789" s="2" t="s">
        <v>241</v>
      </c>
      <c r="CD789" s="2" t="s">
        <v>228</v>
      </c>
      <c r="CE789" s="4">
        <v>432</v>
      </c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>
        <v>303</v>
      </c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>
        <v>130</v>
      </c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</row>
    <row r="790">
      <c r="A790" s="2" t="s">
        <v>4406</v>
      </c>
      <c r="B790" s="2" t="s">
        <v>958</v>
      </c>
      <c r="C790" s="2" t="s">
        <v>835</v>
      </c>
      <c r="D790" s="2" t="s">
        <v>959</v>
      </c>
      <c r="E790" s="2" t="s">
        <v>960</v>
      </c>
      <c r="F790" s="2" t="s">
        <v>4407</v>
      </c>
      <c r="G790" s="2" t="s">
        <v>4407</v>
      </c>
      <c r="H790" s="2" t="s">
        <v>4407</v>
      </c>
      <c r="I790" s="2" t="s">
        <v>2560</v>
      </c>
      <c r="J790" s="2" t="s">
        <v>840</v>
      </c>
      <c r="K790" s="2" t="s">
        <v>265</v>
      </c>
      <c r="L790" s="3">
        <v>261</v>
      </c>
      <c r="M790" s="3">
        <v>274.05</v>
      </c>
      <c r="N790" s="3">
        <v>549</v>
      </c>
      <c r="O790" s="2" t="s">
        <v>240</v>
      </c>
      <c r="P790" s="2" t="s">
        <v>1012</v>
      </c>
      <c r="Q790" s="2" t="s">
        <v>234</v>
      </c>
      <c r="R790" s="2" t="s">
        <v>228</v>
      </c>
      <c r="S790" s="2" t="s">
        <v>4408</v>
      </c>
      <c r="T790" s="2" t="s">
        <v>228</v>
      </c>
      <c r="U790" s="2" t="s">
        <v>228</v>
      </c>
      <c r="V790" s="2" t="s">
        <v>236</v>
      </c>
      <c r="W790" s="2" t="s">
        <v>843</v>
      </c>
      <c r="X790" s="2" t="s">
        <v>228</v>
      </c>
      <c r="Y790" s="2" t="s">
        <v>680</v>
      </c>
      <c r="Z790" s="4">
        <v>108</v>
      </c>
      <c r="AA790" s="4">
        <f>=ROUNDDOWN(54,0)</f>
      </c>
      <c r="AB790" s="5">
        <v>2</v>
      </c>
      <c r="AC790" s="2" t="s">
        <v>228</v>
      </c>
      <c r="AD790" s="4"/>
      <c r="AE790" s="4"/>
      <c r="AF790" s="6">
        <v>66</v>
      </c>
      <c r="AG790" s="6"/>
      <c r="AH790" s="7">
        <v>1</v>
      </c>
      <c r="AI790" s="4"/>
      <c r="AJ790" s="4">
        <f>=ROUNDDOWN({0},0)</f>
      </c>
      <c r="AK790" s="5"/>
      <c r="AL790" s="2" t="s">
        <v>228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/>
      <c r="AW790" s="8"/>
      <c r="AX790" s="4"/>
      <c r="AY790" s="8"/>
      <c r="AZ790" s="7"/>
      <c r="BA790" s="7"/>
      <c r="BB790" s="7"/>
      <c r="BC790" s="4"/>
      <c r="BD790" s="8"/>
      <c r="BE790" s="4"/>
      <c r="BF790" s="8"/>
      <c r="BG790" s="7"/>
      <c r="BH790" s="7"/>
      <c r="BI790" s="7"/>
      <c r="BJ790" s="4">
        <v>1</v>
      </c>
      <c r="BK790" s="8">
        <v>210.71</v>
      </c>
      <c r="BL790" s="2" t="s">
        <v>4409</v>
      </c>
      <c r="BM790" s="7"/>
      <c r="BN790" s="7"/>
      <c r="BO790" s="4"/>
      <c r="BP790" s="8"/>
      <c r="BQ790" s="4"/>
      <c r="BR790" s="8"/>
      <c r="BS790" s="7"/>
      <c r="BT790" s="7"/>
      <c r="BU790" s="2" t="s">
        <v>4410</v>
      </c>
      <c r="BV790" s="2" t="s">
        <v>228</v>
      </c>
      <c r="BW790" s="2" t="s">
        <v>228</v>
      </c>
      <c r="BX790" s="2" t="s">
        <v>273</v>
      </c>
      <c r="BY790" s="2" t="s">
        <v>274</v>
      </c>
      <c r="BZ790" s="2" t="s">
        <v>240</v>
      </c>
      <c r="CA790" s="2" t="s">
        <v>2522</v>
      </c>
      <c r="CB790" s="2" t="s">
        <v>429</v>
      </c>
      <c r="CC790" s="2" t="s">
        <v>241</v>
      </c>
      <c r="CD790" s="2" t="s">
        <v>228</v>
      </c>
      <c r="CE790" s="4"/>
      <c r="CF790" s="4">
        <v>108</v>
      </c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</row>
    <row r="791">
      <c r="A791" s="2" t="s">
        <v>4411</v>
      </c>
      <c r="B791" s="2" t="s">
        <v>834</v>
      </c>
      <c r="C791" s="2" t="s">
        <v>1743</v>
      </c>
      <c r="D791" s="2" t="s">
        <v>1101</v>
      </c>
      <c r="E791" s="2" t="s">
        <v>1102</v>
      </c>
      <c r="F791" s="2" t="s">
        <v>4412</v>
      </c>
      <c r="G791" s="2" t="s">
        <v>4412</v>
      </c>
      <c r="H791" s="2" t="s">
        <v>4412</v>
      </c>
      <c r="I791" s="2" t="s">
        <v>4413</v>
      </c>
      <c r="J791" s="2" t="s">
        <v>840</v>
      </c>
      <c r="K791" s="2" t="s">
        <v>316</v>
      </c>
      <c r="L791" s="3">
        <v>43.2</v>
      </c>
      <c r="M791" s="3">
        <v>45.36</v>
      </c>
      <c r="N791" s="3">
        <v>99.99</v>
      </c>
      <c r="O791" s="2" t="s">
        <v>240</v>
      </c>
      <c r="P791" s="2" t="s">
        <v>333</v>
      </c>
      <c r="Q791" s="2" t="s">
        <v>234</v>
      </c>
      <c r="R791" s="2" t="s">
        <v>228</v>
      </c>
      <c r="S791" s="2" t="s">
        <v>228</v>
      </c>
      <c r="T791" s="2" t="s">
        <v>228</v>
      </c>
      <c r="U791" s="2" t="s">
        <v>416</v>
      </c>
      <c r="V791" s="2" t="s">
        <v>842</v>
      </c>
      <c r="W791" s="2" t="s">
        <v>269</v>
      </c>
      <c r="X791" s="2" t="s">
        <v>463</v>
      </c>
      <c r="Y791" s="2" t="s">
        <v>4414</v>
      </c>
      <c r="Z791" s="4">
        <v>46</v>
      </c>
      <c r="AA791" s="4">
        <f>=ROUNDDOWN(92,0)</f>
      </c>
      <c r="AB791" s="5">
        <v>0.5</v>
      </c>
      <c r="AC791" s="2" t="s">
        <v>228</v>
      </c>
      <c r="AD791" s="4"/>
      <c r="AE791" s="4"/>
      <c r="AF791" s="6">
        <v>63</v>
      </c>
      <c r="AG791" s="6"/>
      <c r="AH791" s="7">
        <v>1</v>
      </c>
      <c r="AI791" s="4"/>
      <c r="AJ791" s="4">
        <f>=ROUNDDOWN({0},0)</f>
      </c>
      <c r="AK791" s="5"/>
      <c r="AL791" s="2" t="s">
        <v>228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/>
      <c r="BD791" s="8"/>
      <c r="BE791" s="4"/>
      <c r="BF791" s="8"/>
      <c r="BG791" s="7"/>
      <c r="BH791" s="7"/>
      <c r="BI791" s="7"/>
      <c r="BJ791" s="4">
        <v>2</v>
      </c>
      <c r="BK791" s="8">
        <v>134.56</v>
      </c>
      <c r="BL791" s="2" t="s">
        <v>1033</v>
      </c>
      <c r="BM791" s="7"/>
      <c r="BN791" s="7"/>
      <c r="BO791" s="4"/>
      <c r="BP791" s="8"/>
      <c r="BQ791" s="4"/>
      <c r="BR791" s="8"/>
      <c r="BS791" s="7"/>
      <c r="BT791" s="7"/>
      <c r="BU791" s="2" t="s">
        <v>4415</v>
      </c>
      <c r="BV791" s="2" t="s">
        <v>228</v>
      </c>
      <c r="BW791" s="2" t="s">
        <v>228</v>
      </c>
      <c r="BX791" s="2" t="s">
        <v>337</v>
      </c>
      <c r="BY791" s="2" t="s">
        <v>274</v>
      </c>
      <c r="BZ791" s="2" t="s">
        <v>240</v>
      </c>
      <c r="CA791" s="2" t="s">
        <v>4416</v>
      </c>
      <c r="CB791" s="2" t="s">
        <v>4417</v>
      </c>
      <c r="CC791" s="2" t="s">
        <v>241</v>
      </c>
      <c r="CD791" s="2" t="s">
        <v>228</v>
      </c>
      <c r="CE791" s="4"/>
      <c r="CF791" s="4">
        <v>46</v>
      </c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</row>
    <row r="792">
      <c r="A792" s="2" t="s">
        <v>4418</v>
      </c>
      <c r="B792" s="2" t="s">
        <v>834</v>
      </c>
      <c r="C792" s="2" t="s">
        <v>835</v>
      </c>
      <c r="D792" s="2" t="s">
        <v>836</v>
      </c>
      <c r="E792" s="2" t="s">
        <v>837</v>
      </c>
      <c r="F792" s="2" t="s">
        <v>4419</v>
      </c>
      <c r="G792" s="2" t="s">
        <v>4419</v>
      </c>
      <c r="H792" s="2" t="s">
        <v>4419</v>
      </c>
      <c r="I792" s="2" t="s">
        <v>4420</v>
      </c>
      <c r="J792" s="2" t="s">
        <v>840</v>
      </c>
      <c r="K792" s="2" t="s">
        <v>2964</v>
      </c>
      <c r="L792" s="3">
        <v>136</v>
      </c>
      <c r="M792" s="3">
        <v>142.8</v>
      </c>
      <c r="N792" s="3">
        <v>279.99</v>
      </c>
      <c r="O792" s="2" t="s">
        <v>240</v>
      </c>
      <c r="P792" s="2" t="s">
        <v>233</v>
      </c>
      <c r="Q792" s="2" t="s">
        <v>234</v>
      </c>
      <c r="R792" s="2" t="s">
        <v>228</v>
      </c>
      <c r="S792" s="2" t="s">
        <v>228</v>
      </c>
      <c r="T792" s="2" t="s">
        <v>228</v>
      </c>
      <c r="U792" s="2" t="s">
        <v>416</v>
      </c>
      <c r="V792" s="2" t="s">
        <v>842</v>
      </c>
      <c r="W792" s="2" t="s">
        <v>463</v>
      </c>
      <c r="X792" s="2" t="s">
        <v>417</v>
      </c>
      <c r="Y792" s="2" t="s">
        <v>228</v>
      </c>
      <c r="Z792" s="4"/>
      <c r="AA792" s="4">
        <f>=ROUNDDOWN({0},0)</f>
      </c>
      <c r="AB792" s="5"/>
      <c r="AC792" s="2" t="s">
        <v>1416</v>
      </c>
      <c r="AD792" s="4">
        <v>137</v>
      </c>
      <c r="AE792" s="4">
        <v>137</v>
      </c>
      <c r="AF792" s="6">
        <v>72</v>
      </c>
      <c r="AG792" s="6"/>
      <c r="AH792" s="7"/>
      <c r="AI792" s="4"/>
      <c r="AJ792" s="4">
        <f>=ROUNDDOWN({0},0)</f>
      </c>
      <c r="AK792" s="5"/>
      <c r="AL792" s="2" t="s">
        <v>228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/>
      <c r="BD792" s="8"/>
      <c r="BE792" s="4"/>
      <c r="BF792" s="8"/>
      <c r="BG792" s="7"/>
      <c r="BH792" s="7"/>
      <c r="BI792" s="7"/>
      <c r="BJ792" s="4"/>
      <c r="BK792" s="8"/>
      <c r="BL792" s="2" t="s">
        <v>228</v>
      </c>
      <c r="BM792" s="7"/>
      <c r="BN792" s="7"/>
      <c r="BO792" s="4"/>
      <c r="BP792" s="8"/>
      <c r="BQ792" s="4"/>
      <c r="BR792" s="8"/>
      <c r="BS792" s="7"/>
      <c r="BT792" s="7"/>
      <c r="BU792" s="2" t="s">
        <v>238</v>
      </c>
      <c r="BV792" s="2" t="s">
        <v>228</v>
      </c>
      <c r="BW792" s="2" t="s">
        <v>228</v>
      </c>
      <c r="BX792" s="2" t="s">
        <v>238</v>
      </c>
      <c r="BY792" s="2" t="s">
        <v>239</v>
      </c>
      <c r="BZ792" s="2" t="s">
        <v>240</v>
      </c>
      <c r="CA792" s="2" t="s">
        <v>228</v>
      </c>
      <c r="CB792" s="2" t="s">
        <v>228</v>
      </c>
      <c r="CC792" s="2" t="s">
        <v>241</v>
      </c>
      <c r="CD792" s="2" t="s">
        <v>228</v>
      </c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>
        <v>137</v>
      </c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</row>
    <row r="793">
      <c r="A793" s="2" t="s">
        <v>4421</v>
      </c>
      <c r="B793" s="2" t="s">
        <v>834</v>
      </c>
      <c r="C793" s="2" t="s">
        <v>835</v>
      </c>
      <c r="D793" s="2" t="s">
        <v>836</v>
      </c>
      <c r="E793" s="2" t="s">
        <v>837</v>
      </c>
      <c r="F793" s="2" t="s">
        <v>4422</v>
      </c>
      <c r="G793" s="2" t="s">
        <v>4422</v>
      </c>
      <c r="H793" s="2" t="s">
        <v>4422</v>
      </c>
      <c r="I793" s="2" t="s">
        <v>4423</v>
      </c>
      <c r="J793" s="2" t="s">
        <v>840</v>
      </c>
      <c r="K793" s="2" t="s">
        <v>912</v>
      </c>
      <c r="L793" s="3">
        <v>128.6</v>
      </c>
      <c r="M793" s="3">
        <v>135.03</v>
      </c>
      <c r="N793" s="3">
        <v>319.99</v>
      </c>
      <c r="O793" s="2" t="s">
        <v>240</v>
      </c>
      <c r="P793" s="2" t="s">
        <v>1012</v>
      </c>
      <c r="Q793" s="2" t="s">
        <v>234</v>
      </c>
      <c r="R793" s="2" t="s">
        <v>228</v>
      </c>
      <c r="S793" s="2" t="s">
        <v>4424</v>
      </c>
      <c r="T793" s="2" t="s">
        <v>228</v>
      </c>
      <c r="U793" s="2" t="s">
        <v>228</v>
      </c>
      <c r="V793" s="2" t="s">
        <v>859</v>
      </c>
      <c r="W793" s="2" t="s">
        <v>417</v>
      </c>
      <c r="X793" s="2" t="s">
        <v>228</v>
      </c>
      <c r="Y793" s="2" t="s">
        <v>270</v>
      </c>
      <c r="Z793" s="4">
        <v>144</v>
      </c>
      <c r="AA793" s="4">
        <f>=ROUNDDOWN(130.909090909091,0)</f>
      </c>
      <c r="AB793" s="5">
        <v>1.1</v>
      </c>
      <c r="AC793" s="2" t="s">
        <v>228</v>
      </c>
      <c r="AD793" s="4"/>
      <c r="AE793" s="4"/>
      <c r="AF793" s="6">
        <v>63</v>
      </c>
      <c r="AG793" s="6"/>
      <c r="AH793" s="7">
        <v>1</v>
      </c>
      <c r="AI793" s="4"/>
      <c r="AJ793" s="4">
        <f>=ROUNDDOWN({0},0)</f>
      </c>
      <c r="AK793" s="5"/>
      <c r="AL793" s="2" t="s">
        <v>228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/>
      <c r="BD793" s="8"/>
      <c r="BE793" s="4"/>
      <c r="BF793" s="8"/>
      <c r="BG793" s="7"/>
      <c r="BH793" s="7"/>
      <c r="BI793" s="7"/>
      <c r="BJ793" s="4"/>
      <c r="BK793" s="8"/>
      <c r="BL793" s="2" t="s">
        <v>4425</v>
      </c>
      <c r="BM793" s="7"/>
      <c r="BN793" s="7"/>
      <c r="BO793" s="4"/>
      <c r="BP793" s="8"/>
      <c r="BQ793" s="4"/>
      <c r="BR793" s="8"/>
      <c r="BS793" s="7"/>
      <c r="BT793" s="7"/>
      <c r="BU793" s="2" t="s">
        <v>4426</v>
      </c>
      <c r="BV793" s="2" t="s">
        <v>228</v>
      </c>
      <c r="BW793" s="2" t="s">
        <v>228</v>
      </c>
      <c r="BX793" s="2" t="s">
        <v>273</v>
      </c>
      <c r="BY793" s="2" t="s">
        <v>274</v>
      </c>
      <c r="BZ793" s="2" t="s">
        <v>240</v>
      </c>
      <c r="CA793" s="2" t="s">
        <v>1950</v>
      </c>
      <c r="CB793" s="2" t="s">
        <v>4427</v>
      </c>
      <c r="CC793" s="2" t="s">
        <v>241</v>
      </c>
      <c r="CD793" s="2" t="s">
        <v>228</v>
      </c>
      <c r="CE793" s="4"/>
      <c r="CF793" s="4">
        <v>144</v>
      </c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</row>
    <row r="794">
      <c r="A794" s="2" t="s">
        <v>4428</v>
      </c>
      <c r="B794" s="2" t="s">
        <v>1150</v>
      </c>
      <c r="C794" s="2" t="s">
        <v>300</v>
      </c>
      <c r="D794" s="2" t="s">
        <v>1112</v>
      </c>
      <c r="E794" s="2" t="s">
        <v>1113</v>
      </c>
      <c r="F794" s="2" t="s">
        <v>4429</v>
      </c>
      <c r="G794" s="2" t="s">
        <v>4430</v>
      </c>
      <c r="H794" s="2" t="s">
        <v>4431</v>
      </c>
      <c r="I794" s="2" t="s">
        <v>4432</v>
      </c>
      <c r="J794" s="2" t="s">
        <v>1189</v>
      </c>
      <c r="K794" s="2" t="s">
        <v>4433</v>
      </c>
      <c r="L794" s="3">
        <v>41.14</v>
      </c>
      <c r="M794" s="3">
        <v>43.2</v>
      </c>
      <c r="N794" s="3">
        <v>89.99</v>
      </c>
      <c r="O794" s="2" t="s">
        <v>240</v>
      </c>
      <c r="P794" s="2" t="s">
        <v>233</v>
      </c>
      <c r="Q794" s="2" t="s">
        <v>234</v>
      </c>
      <c r="R794" s="2" t="s">
        <v>228</v>
      </c>
      <c r="S794" s="2" t="s">
        <v>4434</v>
      </c>
      <c r="T794" s="2" t="s">
        <v>350</v>
      </c>
      <c r="U794" s="2" t="s">
        <v>500</v>
      </c>
      <c r="V794" s="2" t="s">
        <v>1156</v>
      </c>
      <c r="W794" s="2" t="s">
        <v>843</v>
      </c>
      <c r="X794" s="2" t="s">
        <v>417</v>
      </c>
      <c r="Y794" s="2" t="s">
        <v>2798</v>
      </c>
      <c r="Z794" s="4">
        <v>160</v>
      </c>
      <c r="AA794" s="4">
        <f>=ROUNDDOWN(40,0)</f>
      </c>
      <c r="AB794" s="5">
        <v>4</v>
      </c>
      <c r="AC794" s="2" t="s">
        <v>228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228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228</v>
      </c>
      <c r="AW794" s="8" t="s">
        <v>228</v>
      </c>
      <c r="AX794" s="4" t="s">
        <v>228</v>
      </c>
      <c r="AY794" s="8" t="s">
        <v>228</v>
      </c>
      <c r="AZ794" s="7" t="s">
        <v>228</v>
      </c>
      <c r="BA794" s="7" t="s">
        <v>228</v>
      </c>
      <c r="BB794" s="7" t="s">
        <v>228</v>
      </c>
      <c r="BC794" s="4" t="s">
        <v>228</v>
      </c>
      <c r="BD794" s="8" t="s">
        <v>228</v>
      </c>
      <c r="BE794" s="4" t="s">
        <v>228</v>
      </c>
      <c r="BF794" s="8" t="s">
        <v>228</v>
      </c>
      <c r="BG794" s="7" t="s">
        <v>228</v>
      </c>
      <c r="BH794" s="7" t="s">
        <v>228</v>
      </c>
      <c r="BI794" s="7"/>
      <c r="BJ794" s="4">
        <v>14</v>
      </c>
      <c r="BK794" s="8">
        <v>617.1</v>
      </c>
      <c r="BL794" s="2" t="s">
        <v>4435</v>
      </c>
      <c r="BM794" s="7"/>
      <c r="BN794" s="7"/>
      <c r="BO794" s="4"/>
      <c r="BP794" s="8"/>
      <c r="BQ794" s="4"/>
      <c r="BR794" s="8"/>
      <c r="BS794" s="7"/>
      <c r="BT794" s="7"/>
      <c r="BU794" s="2" t="s">
        <v>4436</v>
      </c>
      <c r="BV794" s="2" t="s">
        <v>228</v>
      </c>
      <c r="BW794" s="2" t="s">
        <v>228</v>
      </c>
      <c r="BX794" s="2" t="s">
        <v>273</v>
      </c>
      <c r="BY794" s="2" t="s">
        <v>274</v>
      </c>
      <c r="BZ794" s="2" t="s">
        <v>240</v>
      </c>
      <c r="CA794" s="2" t="s">
        <v>2811</v>
      </c>
      <c r="CB794" s="2" t="s">
        <v>4437</v>
      </c>
      <c r="CC794" s="2" t="s">
        <v>241</v>
      </c>
      <c r="CD794" s="2" t="s">
        <v>228</v>
      </c>
      <c r="CE794" s="4">
        <v>160</v>
      </c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</row>
    <row r="795">
      <c r="A795" s="2" t="s">
        <v>4438</v>
      </c>
      <c r="B795" s="2" t="s">
        <v>1150</v>
      </c>
      <c r="C795" s="2" t="s">
        <v>300</v>
      </c>
      <c r="D795" s="2" t="s">
        <v>850</v>
      </c>
      <c r="E795" s="2" t="s">
        <v>1038</v>
      </c>
      <c r="F795" s="2" t="s">
        <v>4429</v>
      </c>
      <c r="G795" s="2" t="s">
        <v>4430</v>
      </c>
      <c r="H795" s="2" t="s">
        <v>4431</v>
      </c>
      <c r="I795" s="2" t="s">
        <v>4439</v>
      </c>
      <c r="J795" s="2" t="s">
        <v>1189</v>
      </c>
      <c r="K795" s="2" t="s">
        <v>4433</v>
      </c>
      <c r="L795" s="3">
        <v>32</v>
      </c>
      <c r="M795" s="3">
        <v>33.6</v>
      </c>
      <c r="N795" s="3">
        <v>69.99</v>
      </c>
      <c r="O795" s="2" t="s">
        <v>240</v>
      </c>
      <c r="P795" s="2" t="s">
        <v>233</v>
      </c>
      <c r="Q795" s="2" t="s">
        <v>234</v>
      </c>
      <c r="R795" s="2" t="s">
        <v>228</v>
      </c>
      <c r="S795" s="2" t="s">
        <v>4434</v>
      </c>
      <c r="T795" s="2" t="s">
        <v>350</v>
      </c>
      <c r="U795" s="2" t="s">
        <v>500</v>
      </c>
      <c r="V795" s="2" t="s">
        <v>1156</v>
      </c>
      <c r="W795" s="2" t="s">
        <v>843</v>
      </c>
      <c r="X795" s="2" t="s">
        <v>417</v>
      </c>
      <c r="Y795" s="2" t="s">
        <v>2798</v>
      </c>
      <c r="Z795" s="4">
        <v>145</v>
      </c>
      <c r="AA795" s="4">
        <f>=ROUNDDOWN(36.25,0)</f>
      </c>
      <c r="AB795" s="5">
        <v>4</v>
      </c>
      <c r="AC795" s="2" t="s">
        <v>228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228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228</v>
      </c>
      <c r="AW795" s="8" t="s">
        <v>228</v>
      </c>
      <c r="AX795" s="4" t="s">
        <v>228</v>
      </c>
      <c r="AY795" s="8" t="s">
        <v>228</v>
      </c>
      <c r="AZ795" s="7" t="s">
        <v>228</v>
      </c>
      <c r="BA795" s="7" t="s">
        <v>228</v>
      </c>
      <c r="BB795" s="7" t="s">
        <v>228</v>
      </c>
      <c r="BC795" s="4" t="s">
        <v>228</v>
      </c>
      <c r="BD795" s="8" t="s">
        <v>228</v>
      </c>
      <c r="BE795" s="4" t="s">
        <v>228</v>
      </c>
      <c r="BF795" s="8" t="s">
        <v>228</v>
      </c>
      <c r="BG795" s="7" t="s">
        <v>228</v>
      </c>
      <c r="BH795" s="7" t="s">
        <v>228</v>
      </c>
      <c r="BI795" s="7"/>
      <c r="BJ795" s="4">
        <v>14</v>
      </c>
      <c r="BK795" s="8">
        <v>499.7</v>
      </c>
      <c r="BL795" s="2" t="s">
        <v>4440</v>
      </c>
      <c r="BM795" s="7"/>
      <c r="BN795" s="7"/>
      <c r="BO795" s="4"/>
      <c r="BP795" s="8"/>
      <c r="BQ795" s="4"/>
      <c r="BR795" s="8"/>
      <c r="BS795" s="7"/>
      <c r="BT795" s="7"/>
      <c r="BU795" s="2" t="s">
        <v>4441</v>
      </c>
      <c r="BV795" s="2" t="s">
        <v>228</v>
      </c>
      <c r="BW795" s="2" t="s">
        <v>228</v>
      </c>
      <c r="BX795" s="2" t="s">
        <v>273</v>
      </c>
      <c r="BY795" s="2" t="s">
        <v>274</v>
      </c>
      <c r="BZ795" s="2" t="s">
        <v>240</v>
      </c>
      <c r="CA795" s="2" t="s">
        <v>4442</v>
      </c>
      <c r="CB795" s="2" t="s">
        <v>4443</v>
      </c>
      <c r="CC795" s="2" t="s">
        <v>241</v>
      </c>
      <c r="CD795" s="2" t="s">
        <v>228</v>
      </c>
      <c r="CE795" s="4">
        <v>145</v>
      </c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</row>
    <row r="796">
      <c r="A796" s="2" t="s">
        <v>4444</v>
      </c>
      <c r="B796" s="2" t="s">
        <v>1150</v>
      </c>
      <c r="C796" s="2" t="s">
        <v>300</v>
      </c>
      <c r="D796" s="2" t="s">
        <v>1112</v>
      </c>
      <c r="E796" s="2" t="s">
        <v>1113</v>
      </c>
      <c r="F796" s="2" t="s">
        <v>4429</v>
      </c>
      <c r="G796" s="2" t="s">
        <v>4430</v>
      </c>
      <c r="H796" s="2" t="s">
        <v>4431</v>
      </c>
      <c r="I796" s="2" t="s">
        <v>4432</v>
      </c>
      <c r="J796" s="2" t="s">
        <v>1043</v>
      </c>
      <c r="K796" s="2" t="s">
        <v>4433</v>
      </c>
      <c r="L796" s="3">
        <v>45.71</v>
      </c>
      <c r="M796" s="3">
        <v>48</v>
      </c>
      <c r="N796" s="3">
        <v>99.99</v>
      </c>
      <c r="O796" s="2" t="s">
        <v>240</v>
      </c>
      <c r="P796" s="2" t="s">
        <v>233</v>
      </c>
      <c r="Q796" s="2" t="s">
        <v>234</v>
      </c>
      <c r="R796" s="2" t="s">
        <v>228</v>
      </c>
      <c r="S796" s="2" t="s">
        <v>4434</v>
      </c>
      <c r="T796" s="2" t="s">
        <v>350</v>
      </c>
      <c r="U796" s="2" t="s">
        <v>500</v>
      </c>
      <c r="V796" s="2" t="s">
        <v>1156</v>
      </c>
      <c r="W796" s="2" t="s">
        <v>843</v>
      </c>
      <c r="X796" s="2" t="s">
        <v>417</v>
      </c>
      <c r="Y796" s="2" t="s">
        <v>2798</v>
      </c>
      <c r="Z796" s="4">
        <v>148</v>
      </c>
      <c r="AA796" s="4">
        <f>=ROUNDDOWN(37,0)</f>
      </c>
      <c r="AB796" s="5">
        <v>4</v>
      </c>
      <c r="AC796" s="2" t="s">
        <v>228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228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228</v>
      </c>
      <c r="AW796" s="8" t="s">
        <v>228</v>
      </c>
      <c r="AX796" s="4" t="s">
        <v>228</v>
      </c>
      <c r="AY796" s="8" t="s">
        <v>228</v>
      </c>
      <c r="AZ796" s="7" t="s">
        <v>228</v>
      </c>
      <c r="BA796" s="7" t="s">
        <v>228</v>
      </c>
      <c r="BB796" s="7" t="s">
        <v>228</v>
      </c>
      <c r="BC796" s="4" t="s">
        <v>228</v>
      </c>
      <c r="BD796" s="8" t="s">
        <v>228</v>
      </c>
      <c r="BE796" s="4" t="s">
        <v>228</v>
      </c>
      <c r="BF796" s="8" t="s">
        <v>228</v>
      </c>
      <c r="BG796" s="7" t="s">
        <v>228</v>
      </c>
      <c r="BH796" s="7" t="s">
        <v>228</v>
      </c>
      <c r="BI796" s="7"/>
      <c r="BJ796" s="4">
        <v>13</v>
      </c>
      <c r="BK796" s="8">
        <v>636.98</v>
      </c>
      <c r="BL796" s="2" t="s">
        <v>3632</v>
      </c>
      <c r="BM796" s="7"/>
      <c r="BN796" s="7"/>
      <c r="BO796" s="4"/>
      <c r="BP796" s="8"/>
      <c r="BQ796" s="4"/>
      <c r="BR796" s="8"/>
      <c r="BS796" s="7"/>
      <c r="BT796" s="7"/>
      <c r="BU796" s="2" t="s">
        <v>4445</v>
      </c>
      <c r="BV796" s="2" t="s">
        <v>228</v>
      </c>
      <c r="BW796" s="2" t="s">
        <v>228</v>
      </c>
      <c r="BX796" s="2" t="s">
        <v>273</v>
      </c>
      <c r="BY796" s="2" t="s">
        <v>274</v>
      </c>
      <c r="BZ796" s="2" t="s">
        <v>240</v>
      </c>
      <c r="CA796" s="2" t="s">
        <v>2802</v>
      </c>
      <c r="CB796" s="2" t="s">
        <v>2490</v>
      </c>
      <c r="CC796" s="2" t="s">
        <v>241</v>
      </c>
      <c r="CD796" s="2" t="s">
        <v>228</v>
      </c>
      <c r="CE796" s="4">
        <v>148</v>
      </c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</row>
    <row r="797">
      <c r="A797" s="2" t="s">
        <v>4446</v>
      </c>
      <c r="B797" s="2" t="s">
        <v>1150</v>
      </c>
      <c r="C797" s="2" t="s">
        <v>300</v>
      </c>
      <c r="D797" s="2" t="s">
        <v>850</v>
      </c>
      <c r="E797" s="2" t="s">
        <v>1038</v>
      </c>
      <c r="F797" s="2" t="s">
        <v>4429</v>
      </c>
      <c r="G797" s="2" t="s">
        <v>4430</v>
      </c>
      <c r="H797" s="2" t="s">
        <v>4431</v>
      </c>
      <c r="I797" s="2" t="s">
        <v>4439</v>
      </c>
      <c r="J797" s="2" t="s">
        <v>1043</v>
      </c>
      <c r="K797" s="2" t="s">
        <v>4433</v>
      </c>
      <c r="L797" s="3">
        <v>36.57</v>
      </c>
      <c r="M797" s="3">
        <v>38.4</v>
      </c>
      <c r="N797" s="3">
        <v>79.99</v>
      </c>
      <c r="O797" s="2" t="s">
        <v>240</v>
      </c>
      <c r="P797" s="2" t="s">
        <v>233</v>
      </c>
      <c r="Q797" s="2" t="s">
        <v>234</v>
      </c>
      <c r="R797" s="2" t="s">
        <v>228</v>
      </c>
      <c r="S797" s="2" t="s">
        <v>4434</v>
      </c>
      <c r="T797" s="2" t="s">
        <v>350</v>
      </c>
      <c r="U797" s="2" t="s">
        <v>500</v>
      </c>
      <c r="V797" s="2" t="s">
        <v>1156</v>
      </c>
      <c r="W797" s="2" t="s">
        <v>843</v>
      </c>
      <c r="X797" s="2" t="s">
        <v>417</v>
      </c>
      <c r="Y797" s="2" t="s">
        <v>2798</v>
      </c>
      <c r="Z797" s="4">
        <v>166</v>
      </c>
      <c r="AA797" s="4">
        <f>=ROUNDDOWN(41.5,0)</f>
      </c>
      <c r="AB797" s="5">
        <v>4</v>
      </c>
      <c r="AC797" s="2" t="s">
        <v>228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228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228</v>
      </c>
      <c r="AW797" s="8" t="s">
        <v>228</v>
      </c>
      <c r="AX797" s="4" t="s">
        <v>228</v>
      </c>
      <c r="AY797" s="8" t="s">
        <v>228</v>
      </c>
      <c r="AZ797" s="7" t="s">
        <v>228</v>
      </c>
      <c r="BA797" s="7" t="s">
        <v>228</v>
      </c>
      <c r="BB797" s="7" t="s">
        <v>228</v>
      </c>
      <c r="BC797" s="4" t="s">
        <v>228</v>
      </c>
      <c r="BD797" s="8" t="s">
        <v>228</v>
      </c>
      <c r="BE797" s="4" t="s">
        <v>228</v>
      </c>
      <c r="BF797" s="8" t="s">
        <v>228</v>
      </c>
      <c r="BG797" s="7" t="s">
        <v>228</v>
      </c>
      <c r="BH797" s="7" t="s">
        <v>228</v>
      </c>
      <c r="BI797" s="7"/>
      <c r="BJ797" s="4">
        <v>11</v>
      </c>
      <c r="BK797" s="8">
        <v>447.81</v>
      </c>
      <c r="BL797" s="2" t="s">
        <v>1448</v>
      </c>
      <c r="BM797" s="7"/>
      <c r="BN797" s="7"/>
      <c r="BO797" s="4"/>
      <c r="BP797" s="8"/>
      <c r="BQ797" s="4"/>
      <c r="BR797" s="8"/>
      <c r="BS797" s="7"/>
      <c r="BT797" s="7"/>
      <c r="BU797" s="2" t="s">
        <v>4447</v>
      </c>
      <c r="BV797" s="2" t="s">
        <v>228</v>
      </c>
      <c r="BW797" s="2" t="s">
        <v>228</v>
      </c>
      <c r="BX797" s="2" t="s">
        <v>273</v>
      </c>
      <c r="BY797" s="2" t="s">
        <v>274</v>
      </c>
      <c r="BZ797" s="2" t="s">
        <v>240</v>
      </c>
      <c r="CA797" s="2" t="s">
        <v>4442</v>
      </c>
      <c r="CB797" s="2" t="s">
        <v>3522</v>
      </c>
      <c r="CC797" s="2" t="s">
        <v>241</v>
      </c>
      <c r="CD797" s="2" t="s">
        <v>228</v>
      </c>
      <c r="CE797" s="4">
        <v>166</v>
      </c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</row>
    <row r="798">
      <c r="A798" s="2" t="s">
        <v>4448</v>
      </c>
      <c r="B798" s="2" t="s">
        <v>1276</v>
      </c>
      <c r="C798" s="2" t="s">
        <v>300</v>
      </c>
      <c r="D798" s="2" t="s">
        <v>1276</v>
      </c>
      <c r="E798" s="2" t="s">
        <v>1276</v>
      </c>
      <c r="F798" s="2" t="s">
        <v>2331</v>
      </c>
      <c r="G798" s="2" t="s">
        <v>4449</v>
      </c>
      <c r="H798" s="2" t="s">
        <v>4450</v>
      </c>
      <c r="I798" s="2" t="s">
        <v>4451</v>
      </c>
      <c r="J798" s="2" t="s">
        <v>1711</v>
      </c>
      <c r="K798" s="2" t="s">
        <v>4452</v>
      </c>
      <c r="L798" s="3">
        <v>50.36</v>
      </c>
      <c r="M798" s="3">
        <v>52.88</v>
      </c>
      <c r="N798" s="3">
        <v>114.99</v>
      </c>
      <c r="O798" s="2" t="s">
        <v>491</v>
      </c>
      <c r="P798" s="2" t="s">
        <v>333</v>
      </c>
      <c r="Q798" s="2" t="s">
        <v>234</v>
      </c>
      <c r="R798" s="2" t="s">
        <v>228</v>
      </c>
      <c r="S798" s="2" t="s">
        <v>228</v>
      </c>
      <c r="T798" s="2" t="s">
        <v>228</v>
      </c>
      <c r="U798" s="2" t="s">
        <v>416</v>
      </c>
      <c r="V798" s="2" t="s">
        <v>980</v>
      </c>
      <c r="W798" s="2" t="s">
        <v>743</v>
      </c>
      <c r="X798" s="2" t="s">
        <v>228</v>
      </c>
      <c r="Y798" s="2" t="s">
        <v>4453</v>
      </c>
      <c r="Z798" s="4">
        <v>40</v>
      </c>
      <c r="AA798" s="4">
        <f>=ROUNDDOWN(57.1428571428571,0)</f>
      </c>
      <c r="AB798" s="5">
        <v>0.7</v>
      </c>
      <c r="AC798" s="2" t="s">
        <v>228</v>
      </c>
      <c r="AD798" s="4"/>
      <c r="AE798" s="4"/>
      <c r="AF798" s="6">
        <v>63</v>
      </c>
      <c r="AG798" s="6"/>
      <c r="AH798" s="7">
        <v>1</v>
      </c>
      <c r="AI798" s="4"/>
      <c r="AJ798" s="4">
        <f>=ROUNDDOWN({0},0)</f>
      </c>
      <c r="AK798" s="5"/>
      <c r="AL798" s="2" t="s">
        <v>228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228</v>
      </c>
      <c r="AW798" s="8" t="s">
        <v>228</v>
      </c>
      <c r="AX798" s="4" t="s">
        <v>228</v>
      </c>
      <c r="AY798" s="8" t="s">
        <v>228</v>
      </c>
      <c r="AZ798" s="7" t="s">
        <v>228</v>
      </c>
      <c r="BA798" s="7" t="s">
        <v>228</v>
      </c>
      <c r="BB798" s="7"/>
      <c r="BC798" s="4" t="s">
        <v>228</v>
      </c>
      <c r="BD798" s="8" t="s">
        <v>228</v>
      </c>
      <c r="BE798" s="4" t="s">
        <v>228</v>
      </c>
      <c r="BF798" s="8" t="s">
        <v>228</v>
      </c>
      <c r="BG798" s="7" t="s">
        <v>228</v>
      </c>
      <c r="BH798" s="7" t="s">
        <v>228</v>
      </c>
      <c r="BI798" s="7"/>
      <c r="BJ798" s="4">
        <v>2</v>
      </c>
      <c r="BK798" s="8">
        <v>111.04</v>
      </c>
      <c r="BL798" s="2" t="s">
        <v>3408</v>
      </c>
      <c r="BM798" s="7"/>
      <c r="BN798" s="7"/>
      <c r="BO798" s="4"/>
      <c r="BP798" s="8"/>
      <c r="BQ798" s="4"/>
      <c r="BR798" s="8"/>
      <c r="BS798" s="7"/>
      <c r="BT798" s="7"/>
      <c r="BU798" s="2" t="s">
        <v>4454</v>
      </c>
      <c r="BV798" s="2" t="s">
        <v>228</v>
      </c>
      <c r="BW798" s="2" t="s">
        <v>228</v>
      </c>
      <c r="BX798" s="2" t="s">
        <v>337</v>
      </c>
      <c r="BY798" s="2" t="s">
        <v>274</v>
      </c>
      <c r="BZ798" s="2" t="s">
        <v>240</v>
      </c>
      <c r="CA798" s="2" t="s">
        <v>4455</v>
      </c>
      <c r="CB798" s="2" t="s">
        <v>1026</v>
      </c>
      <c r="CC798" s="2" t="s">
        <v>241</v>
      </c>
      <c r="CD798" s="2" t="s">
        <v>228</v>
      </c>
      <c r="CE798" s="4"/>
      <c r="CF798" s="4">
        <v>40</v>
      </c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</row>
    <row r="799">
      <c r="A799" s="2" t="s">
        <v>4456</v>
      </c>
      <c r="B799" s="2" t="s">
        <v>1276</v>
      </c>
      <c r="C799" s="2" t="s">
        <v>300</v>
      </c>
      <c r="D799" s="2" t="s">
        <v>1276</v>
      </c>
      <c r="E799" s="2" t="s">
        <v>1276</v>
      </c>
      <c r="F799" s="2" t="s">
        <v>2331</v>
      </c>
      <c r="G799" s="2" t="s">
        <v>4449</v>
      </c>
      <c r="H799" s="2" t="s">
        <v>4450</v>
      </c>
      <c r="I799" s="2" t="s">
        <v>4451</v>
      </c>
      <c r="J799" s="2" t="s">
        <v>1280</v>
      </c>
      <c r="K799" s="2" t="s">
        <v>4452</v>
      </c>
      <c r="L799" s="3">
        <v>77.01</v>
      </c>
      <c r="M799" s="3">
        <v>80.86</v>
      </c>
      <c r="N799" s="3">
        <v>174.99</v>
      </c>
      <c r="O799" s="2" t="s">
        <v>461</v>
      </c>
      <c r="P799" s="2" t="s">
        <v>333</v>
      </c>
      <c r="Q799" s="2" t="s">
        <v>234</v>
      </c>
      <c r="R799" s="2" t="s">
        <v>228</v>
      </c>
      <c r="S799" s="2" t="s">
        <v>228</v>
      </c>
      <c r="T799" s="2" t="s">
        <v>228</v>
      </c>
      <c r="U799" s="2" t="s">
        <v>416</v>
      </c>
      <c r="V799" s="2" t="s">
        <v>980</v>
      </c>
      <c r="W799" s="2" t="s">
        <v>463</v>
      </c>
      <c r="X799" s="2" t="s">
        <v>228</v>
      </c>
      <c r="Y799" s="2" t="s">
        <v>2973</v>
      </c>
      <c r="Z799" s="4">
        <v>64</v>
      </c>
      <c r="AA799" s="4">
        <f>=ROUNDDOWN(58.1818181818182,0)</f>
      </c>
      <c r="AB799" s="5">
        <v>1.1</v>
      </c>
      <c r="AC799" s="2" t="s">
        <v>228</v>
      </c>
      <c r="AD799" s="4"/>
      <c r="AE799" s="4"/>
      <c r="AF799" s="6">
        <v>63</v>
      </c>
      <c r="AG799" s="6"/>
      <c r="AH799" s="7">
        <v>1</v>
      </c>
      <c r="AI799" s="4"/>
      <c r="AJ799" s="4">
        <f>=ROUNDDOWN({0},0)</f>
      </c>
      <c r="AK799" s="5"/>
      <c r="AL799" s="2" t="s">
        <v>228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228</v>
      </c>
      <c r="AW799" s="8" t="s">
        <v>228</v>
      </c>
      <c r="AX799" s="4" t="s">
        <v>228</v>
      </c>
      <c r="AY799" s="8" t="s">
        <v>228</v>
      </c>
      <c r="AZ799" s="7" t="s">
        <v>228</v>
      </c>
      <c r="BA799" s="7" t="s">
        <v>228</v>
      </c>
      <c r="BB799" s="7"/>
      <c r="BC799" s="4" t="s">
        <v>228</v>
      </c>
      <c r="BD799" s="8" t="s">
        <v>228</v>
      </c>
      <c r="BE799" s="4" t="s">
        <v>228</v>
      </c>
      <c r="BF799" s="8" t="s">
        <v>228</v>
      </c>
      <c r="BG799" s="7" t="s">
        <v>228</v>
      </c>
      <c r="BH799" s="7" t="s">
        <v>228</v>
      </c>
      <c r="BI799" s="7"/>
      <c r="BJ799" s="4">
        <v>4</v>
      </c>
      <c r="BK799" s="8">
        <v>339.6</v>
      </c>
      <c r="BL799" s="2" t="s">
        <v>1933</v>
      </c>
      <c r="BM799" s="7"/>
      <c r="BN799" s="7"/>
      <c r="BO799" s="4"/>
      <c r="BP799" s="8"/>
      <c r="BQ799" s="4"/>
      <c r="BR799" s="8"/>
      <c r="BS799" s="7"/>
      <c r="BT799" s="7"/>
      <c r="BU799" s="2" t="s">
        <v>4457</v>
      </c>
      <c r="BV799" s="2" t="s">
        <v>228</v>
      </c>
      <c r="BW799" s="2" t="s">
        <v>228</v>
      </c>
      <c r="BX799" s="2" t="s">
        <v>337</v>
      </c>
      <c r="BY799" s="2" t="s">
        <v>274</v>
      </c>
      <c r="BZ799" s="2" t="s">
        <v>240</v>
      </c>
      <c r="CA799" s="2" t="s">
        <v>2948</v>
      </c>
      <c r="CB799" s="2" t="s">
        <v>2824</v>
      </c>
      <c r="CC799" s="2" t="s">
        <v>241</v>
      </c>
      <c r="CD799" s="2" t="s">
        <v>228</v>
      </c>
      <c r="CE799" s="4"/>
      <c r="CF799" s="4">
        <v>64</v>
      </c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</row>
    <row r="800">
      <c r="A800" s="2" t="s">
        <v>4458</v>
      </c>
      <c r="B800" s="2" t="s">
        <v>1276</v>
      </c>
      <c r="C800" s="2" t="s">
        <v>300</v>
      </c>
      <c r="D800" s="2" t="s">
        <v>1276</v>
      </c>
      <c r="E800" s="2" t="s">
        <v>1276</v>
      </c>
      <c r="F800" s="2" t="s">
        <v>2331</v>
      </c>
      <c r="G800" s="2" t="s">
        <v>4449</v>
      </c>
      <c r="H800" s="2" t="s">
        <v>4450</v>
      </c>
      <c r="I800" s="2" t="s">
        <v>4451</v>
      </c>
      <c r="J800" s="2" t="s">
        <v>1937</v>
      </c>
      <c r="K800" s="2" t="s">
        <v>4452</v>
      </c>
      <c r="L800" s="3">
        <v>107.72</v>
      </c>
      <c r="M800" s="3">
        <v>113.11</v>
      </c>
      <c r="N800" s="3">
        <v>239.99</v>
      </c>
      <c r="O800" s="2" t="s">
        <v>461</v>
      </c>
      <c r="P800" s="2" t="s">
        <v>333</v>
      </c>
      <c r="Q800" s="2" t="s">
        <v>234</v>
      </c>
      <c r="R800" s="2" t="s">
        <v>228</v>
      </c>
      <c r="S800" s="2" t="s">
        <v>228</v>
      </c>
      <c r="T800" s="2" t="s">
        <v>228</v>
      </c>
      <c r="U800" s="2" t="s">
        <v>416</v>
      </c>
      <c r="V800" s="2" t="s">
        <v>980</v>
      </c>
      <c r="W800" s="2" t="s">
        <v>743</v>
      </c>
      <c r="X800" s="2" t="s">
        <v>228</v>
      </c>
      <c r="Y800" s="2" t="s">
        <v>4453</v>
      </c>
      <c r="Z800" s="4">
        <v>465</v>
      </c>
      <c r="AA800" s="4">
        <f>=ROUNDDOWN(221.428571428571,0)</f>
      </c>
      <c r="AB800" s="5">
        <v>2.1</v>
      </c>
      <c r="AC800" s="2" t="s">
        <v>228</v>
      </c>
      <c r="AD800" s="4"/>
      <c r="AE800" s="4"/>
      <c r="AF800" s="6">
        <v>63</v>
      </c>
      <c r="AG800" s="6"/>
      <c r="AH800" s="7">
        <v>1</v>
      </c>
      <c r="AI800" s="4"/>
      <c r="AJ800" s="4">
        <f>=ROUNDDOWN({0},0)</f>
      </c>
      <c r="AK800" s="5"/>
      <c r="AL800" s="2" t="s">
        <v>228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228</v>
      </c>
      <c r="AW800" s="8" t="s">
        <v>228</v>
      </c>
      <c r="AX800" s="4" t="s">
        <v>228</v>
      </c>
      <c r="AY800" s="8" t="s">
        <v>228</v>
      </c>
      <c r="AZ800" s="7" t="s">
        <v>228</v>
      </c>
      <c r="BA800" s="7" t="s">
        <v>228</v>
      </c>
      <c r="BB800" s="7"/>
      <c r="BC800" s="4" t="s">
        <v>228</v>
      </c>
      <c r="BD800" s="8" t="s">
        <v>228</v>
      </c>
      <c r="BE800" s="4" t="s">
        <v>228</v>
      </c>
      <c r="BF800" s="8" t="s">
        <v>228</v>
      </c>
      <c r="BG800" s="7" t="s">
        <v>228</v>
      </c>
      <c r="BH800" s="7" t="s">
        <v>228</v>
      </c>
      <c r="BI800" s="7"/>
      <c r="BJ800" s="4">
        <v>9</v>
      </c>
      <c r="BK800" s="8">
        <v>1082.34</v>
      </c>
      <c r="BL800" s="2" t="s">
        <v>995</v>
      </c>
      <c r="BM800" s="7"/>
      <c r="BN800" s="7"/>
      <c r="BO800" s="4"/>
      <c r="BP800" s="8"/>
      <c r="BQ800" s="4"/>
      <c r="BR800" s="8"/>
      <c r="BS800" s="7"/>
      <c r="BT800" s="7"/>
      <c r="BU800" s="2" t="s">
        <v>4459</v>
      </c>
      <c r="BV800" s="2" t="s">
        <v>228</v>
      </c>
      <c r="BW800" s="2" t="s">
        <v>228</v>
      </c>
      <c r="BX800" s="2" t="s">
        <v>337</v>
      </c>
      <c r="BY800" s="2" t="s">
        <v>274</v>
      </c>
      <c r="BZ800" s="2" t="s">
        <v>240</v>
      </c>
      <c r="CA800" s="2" t="s">
        <v>4455</v>
      </c>
      <c r="CB800" s="2" t="s">
        <v>4460</v>
      </c>
      <c r="CC800" s="2" t="s">
        <v>241</v>
      </c>
      <c r="CD800" s="2" t="s">
        <v>228</v>
      </c>
      <c r="CE800" s="4"/>
      <c r="CF800" s="4">
        <v>465</v>
      </c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</row>
    <row r="801">
      <c r="A801" s="2" t="s">
        <v>4461</v>
      </c>
      <c r="B801" s="2" t="s">
        <v>1276</v>
      </c>
      <c r="C801" s="2" t="s">
        <v>300</v>
      </c>
      <c r="D801" s="2" t="s">
        <v>1276</v>
      </c>
      <c r="E801" s="2" t="s">
        <v>1276</v>
      </c>
      <c r="F801" s="2" t="s">
        <v>2331</v>
      </c>
      <c r="G801" s="2" t="s">
        <v>4449</v>
      </c>
      <c r="H801" s="2" t="s">
        <v>4450</v>
      </c>
      <c r="I801" s="2" t="s">
        <v>4451</v>
      </c>
      <c r="J801" s="2" t="s">
        <v>1711</v>
      </c>
      <c r="K801" s="2" t="s">
        <v>4462</v>
      </c>
      <c r="L801" s="3">
        <v>50.36</v>
      </c>
      <c r="M801" s="3">
        <v>52.88</v>
      </c>
      <c r="N801" s="3">
        <v>114.99</v>
      </c>
      <c r="O801" s="2" t="s">
        <v>461</v>
      </c>
      <c r="P801" s="2" t="s">
        <v>333</v>
      </c>
      <c r="Q801" s="2" t="s">
        <v>234</v>
      </c>
      <c r="R801" s="2" t="s">
        <v>228</v>
      </c>
      <c r="S801" s="2" t="s">
        <v>228</v>
      </c>
      <c r="T801" s="2" t="s">
        <v>228</v>
      </c>
      <c r="U801" s="2" t="s">
        <v>416</v>
      </c>
      <c r="V801" s="2" t="s">
        <v>980</v>
      </c>
      <c r="W801" s="2" t="s">
        <v>463</v>
      </c>
      <c r="X801" s="2" t="s">
        <v>228</v>
      </c>
      <c r="Y801" s="2" t="s">
        <v>2973</v>
      </c>
      <c r="Z801" s="4">
        <v>39</v>
      </c>
      <c r="AA801" s="4">
        <f>=ROUNDDOWN(43.3333333333333,0)</f>
      </c>
      <c r="AB801" s="5">
        <v>0.9</v>
      </c>
      <c r="AC801" s="2" t="s">
        <v>228</v>
      </c>
      <c r="AD801" s="4"/>
      <c r="AE801" s="4"/>
      <c r="AF801" s="6">
        <v>63</v>
      </c>
      <c r="AG801" s="6"/>
      <c r="AH801" s="7">
        <v>1</v>
      </c>
      <c r="AI801" s="4"/>
      <c r="AJ801" s="4">
        <f>=ROUNDDOWN({0},0)</f>
      </c>
      <c r="AK801" s="5"/>
      <c r="AL801" s="2" t="s">
        <v>228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228</v>
      </c>
      <c r="AW801" s="8" t="s">
        <v>228</v>
      </c>
      <c r="AX801" s="4" t="s">
        <v>228</v>
      </c>
      <c r="AY801" s="8" t="s">
        <v>228</v>
      </c>
      <c r="AZ801" s="7" t="s">
        <v>228</v>
      </c>
      <c r="BA801" s="7" t="s">
        <v>228</v>
      </c>
      <c r="BB801" s="7"/>
      <c r="BC801" s="4" t="s">
        <v>228</v>
      </c>
      <c r="BD801" s="8" t="s">
        <v>228</v>
      </c>
      <c r="BE801" s="4" t="s">
        <v>228</v>
      </c>
      <c r="BF801" s="8" t="s">
        <v>228</v>
      </c>
      <c r="BG801" s="7" t="s">
        <v>228</v>
      </c>
      <c r="BH801" s="7" t="s">
        <v>228</v>
      </c>
      <c r="BI801" s="7"/>
      <c r="BJ801" s="4">
        <v>4</v>
      </c>
      <c r="BK801" s="8">
        <v>222.08</v>
      </c>
      <c r="BL801" s="2" t="s">
        <v>1933</v>
      </c>
      <c r="BM801" s="7"/>
      <c r="BN801" s="7"/>
      <c r="BO801" s="4"/>
      <c r="BP801" s="8"/>
      <c r="BQ801" s="4"/>
      <c r="BR801" s="8"/>
      <c r="BS801" s="7"/>
      <c r="BT801" s="7"/>
      <c r="BU801" s="2" t="s">
        <v>4463</v>
      </c>
      <c r="BV801" s="2" t="s">
        <v>228</v>
      </c>
      <c r="BW801" s="2" t="s">
        <v>228</v>
      </c>
      <c r="BX801" s="2" t="s">
        <v>337</v>
      </c>
      <c r="BY801" s="2" t="s">
        <v>274</v>
      </c>
      <c r="BZ801" s="2" t="s">
        <v>240</v>
      </c>
      <c r="CA801" s="2" t="s">
        <v>2948</v>
      </c>
      <c r="CB801" s="2" t="s">
        <v>2997</v>
      </c>
      <c r="CC801" s="2" t="s">
        <v>241</v>
      </c>
      <c r="CD801" s="2" t="s">
        <v>228</v>
      </c>
      <c r="CE801" s="4"/>
      <c r="CF801" s="4">
        <v>39</v>
      </c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</row>
    <row r="802">
      <c r="A802" s="2" t="s">
        <v>4464</v>
      </c>
      <c r="B802" s="2" t="s">
        <v>1276</v>
      </c>
      <c r="C802" s="2" t="s">
        <v>300</v>
      </c>
      <c r="D802" s="2" t="s">
        <v>1276</v>
      </c>
      <c r="E802" s="2" t="s">
        <v>1276</v>
      </c>
      <c r="F802" s="2" t="s">
        <v>2331</v>
      </c>
      <c r="G802" s="2" t="s">
        <v>4449</v>
      </c>
      <c r="H802" s="2" t="s">
        <v>4450</v>
      </c>
      <c r="I802" s="2" t="s">
        <v>4451</v>
      </c>
      <c r="J802" s="2" t="s">
        <v>1937</v>
      </c>
      <c r="K802" s="2" t="s">
        <v>4462</v>
      </c>
      <c r="L802" s="3">
        <v>107.72</v>
      </c>
      <c r="M802" s="3">
        <v>113.11</v>
      </c>
      <c r="N802" s="3">
        <v>239.99</v>
      </c>
      <c r="O802" s="2" t="s">
        <v>461</v>
      </c>
      <c r="P802" s="2" t="s">
        <v>333</v>
      </c>
      <c r="Q802" s="2" t="s">
        <v>234</v>
      </c>
      <c r="R802" s="2" t="s">
        <v>228</v>
      </c>
      <c r="S802" s="2" t="s">
        <v>228</v>
      </c>
      <c r="T802" s="2" t="s">
        <v>228</v>
      </c>
      <c r="U802" s="2" t="s">
        <v>416</v>
      </c>
      <c r="V802" s="2" t="s">
        <v>980</v>
      </c>
      <c r="W802" s="2" t="s">
        <v>463</v>
      </c>
      <c r="X802" s="2" t="s">
        <v>228</v>
      </c>
      <c r="Y802" s="2" t="s">
        <v>2973</v>
      </c>
      <c r="Z802" s="4">
        <v>445</v>
      </c>
      <c r="AA802" s="4">
        <f>=ROUNDDOWN(556.25,0)</f>
      </c>
      <c r="AB802" s="5">
        <v>0.8</v>
      </c>
      <c r="AC802" s="2" t="s">
        <v>228</v>
      </c>
      <c r="AD802" s="4"/>
      <c r="AE802" s="4"/>
      <c r="AF802" s="6">
        <v>63</v>
      </c>
      <c r="AG802" s="6"/>
      <c r="AH802" s="7">
        <v>1</v>
      </c>
      <c r="AI802" s="4"/>
      <c r="AJ802" s="4">
        <f>=ROUNDDOWN({0},0)</f>
      </c>
      <c r="AK802" s="5"/>
      <c r="AL802" s="2" t="s">
        <v>228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228</v>
      </c>
      <c r="AW802" s="8" t="s">
        <v>228</v>
      </c>
      <c r="AX802" s="4" t="s">
        <v>228</v>
      </c>
      <c r="AY802" s="8" t="s">
        <v>228</v>
      </c>
      <c r="AZ802" s="7" t="s">
        <v>228</v>
      </c>
      <c r="BA802" s="7" t="s">
        <v>228</v>
      </c>
      <c r="BB802" s="7"/>
      <c r="BC802" s="4" t="s">
        <v>228</v>
      </c>
      <c r="BD802" s="8" t="s">
        <v>228</v>
      </c>
      <c r="BE802" s="4" t="s">
        <v>228</v>
      </c>
      <c r="BF802" s="8" t="s">
        <v>228</v>
      </c>
      <c r="BG802" s="7" t="s">
        <v>228</v>
      </c>
      <c r="BH802" s="7" t="s">
        <v>228</v>
      </c>
      <c r="BI802" s="7"/>
      <c r="BJ802" s="4">
        <v>3</v>
      </c>
      <c r="BK802" s="8">
        <v>356.28</v>
      </c>
      <c r="BL802" s="2" t="s">
        <v>4465</v>
      </c>
      <c r="BM802" s="7"/>
      <c r="BN802" s="7"/>
      <c r="BO802" s="4"/>
      <c r="BP802" s="8"/>
      <c r="BQ802" s="4"/>
      <c r="BR802" s="8"/>
      <c r="BS802" s="7"/>
      <c r="BT802" s="7"/>
      <c r="BU802" s="2" t="s">
        <v>4466</v>
      </c>
      <c r="BV802" s="2" t="s">
        <v>228</v>
      </c>
      <c r="BW802" s="2" t="s">
        <v>228</v>
      </c>
      <c r="BX802" s="2" t="s">
        <v>337</v>
      </c>
      <c r="BY802" s="2" t="s">
        <v>274</v>
      </c>
      <c r="BZ802" s="2" t="s">
        <v>240</v>
      </c>
      <c r="CA802" s="2" t="s">
        <v>2948</v>
      </c>
      <c r="CB802" s="2" t="s">
        <v>4467</v>
      </c>
      <c r="CC802" s="2" t="s">
        <v>241</v>
      </c>
      <c r="CD802" s="2" t="s">
        <v>228</v>
      </c>
      <c r="CE802" s="4"/>
      <c r="CF802" s="4">
        <v>445</v>
      </c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</row>
    <row r="803">
      <c r="A803" s="2" t="s">
        <v>4468</v>
      </c>
      <c r="B803" s="2" t="s">
        <v>1150</v>
      </c>
      <c r="C803" s="2" t="s">
        <v>300</v>
      </c>
      <c r="D803" s="2" t="s">
        <v>1112</v>
      </c>
      <c r="E803" s="2" t="s">
        <v>1165</v>
      </c>
      <c r="F803" s="2" t="s">
        <v>1476</v>
      </c>
      <c r="G803" s="2" t="s">
        <v>4469</v>
      </c>
      <c r="H803" s="2" t="s">
        <v>4470</v>
      </c>
      <c r="I803" s="2" t="s">
        <v>4471</v>
      </c>
      <c r="J803" s="2" t="s">
        <v>289</v>
      </c>
      <c r="K803" s="2" t="s">
        <v>1421</v>
      </c>
      <c r="L803" s="3">
        <v>64.4</v>
      </c>
      <c r="M803" s="3">
        <v>67.62</v>
      </c>
      <c r="N803" s="3">
        <v>139.99</v>
      </c>
      <c r="O803" s="2" t="s">
        <v>240</v>
      </c>
      <c r="P803" s="2" t="s">
        <v>233</v>
      </c>
      <c r="Q803" s="2" t="s">
        <v>234</v>
      </c>
      <c r="R803" s="2" t="s">
        <v>228</v>
      </c>
      <c r="S803" s="2" t="s">
        <v>4472</v>
      </c>
      <c r="T803" s="2" t="s">
        <v>228</v>
      </c>
      <c r="U803" s="2" t="s">
        <v>1331</v>
      </c>
      <c r="V803" s="2" t="s">
        <v>1344</v>
      </c>
      <c r="W803" s="2" t="s">
        <v>463</v>
      </c>
      <c r="X803" s="2" t="s">
        <v>4473</v>
      </c>
      <c r="Y803" s="2" t="s">
        <v>4474</v>
      </c>
      <c r="Z803" s="4"/>
      <c r="AA803" s="4">
        <f>=ROUNDDOWN({0},0)</f>
      </c>
      <c r="AB803" s="5"/>
      <c r="AC803" s="2" t="s">
        <v>1788</v>
      </c>
      <c r="AD803" s="4">
        <v>160</v>
      </c>
      <c r="AE803" s="4">
        <v>500</v>
      </c>
      <c r="AF803" s="6">
        <v>65</v>
      </c>
      <c r="AG803" s="6"/>
      <c r="AH803" s="7"/>
      <c r="AI803" s="4"/>
      <c r="AJ803" s="4">
        <f>=ROUNDDOWN({0},0)</f>
      </c>
      <c r="AK803" s="5"/>
      <c r="AL803" s="2" t="s">
        <v>228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228</v>
      </c>
      <c r="AW803" s="8" t="s">
        <v>228</v>
      </c>
      <c r="AX803" s="4" t="s">
        <v>228</v>
      </c>
      <c r="AY803" s="8" t="s">
        <v>228</v>
      </c>
      <c r="AZ803" s="7" t="s">
        <v>228</v>
      </c>
      <c r="BA803" s="7" t="s">
        <v>228</v>
      </c>
      <c r="BB803" s="7"/>
      <c r="BC803" s="4" t="s">
        <v>228</v>
      </c>
      <c r="BD803" s="8" t="s">
        <v>228</v>
      </c>
      <c r="BE803" s="4" t="s">
        <v>228</v>
      </c>
      <c r="BF803" s="8" t="s">
        <v>228</v>
      </c>
      <c r="BG803" s="7" t="s">
        <v>228</v>
      </c>
      <c r="BH803" s="7" t="s">
        <v>228</v>
      </c>
      <c r="BI803" s="7"/>
      <c r="BJ803" s="4"/>
      <c r="BK803" s="8"/>
      <c r="BL803" s="2" t="s">
        <v>228</v>
      </c>
      <c r="BM803" s="7"/>
      <c r="BN803" s="7"/>
      <c r="BO803" s="4"/>
      <c r="BP803" s="8"/>
      <c r="BQ803" s="4"/>
      <c r="BR803" s="8"/>
      <c r="BS803" s="7"/>
      <c r="BT803" s="7"/>
      <c r="BU803" s="2" t="s">
        <v>238</v>
      </c>
      <c r="BV803" s="2" t="s">
        <v>228</v>
      </c>
      <c r="BW803" s="2" t="s">
        <v>228</v>
      </c>
      <c r="BX803" s="2" t="s">
        <v>238</v>
      </c>
      <c r="BY803" s="2" t="s">
        <v>239</v>
      </c>
      <c r="BZ803" s="2" t="s">
        <v>240</v>
      </c>
      <c r="CA803" s="2" t="s">
        <v>228</v>
      </c>
      <c r="CB803" s="2" t="s">
        <v>228</v>
      </c>
      <c r="CC803" s="2" t="s">
        <v>241</v>
      </c>
      <c r="CD803" s="2" t="s">
        <v>228</v>
      </c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>
        <v>160</v>
      </c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>
        <v>180</v>
      </c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>
        <v>160</v>
      </c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</row>
    <row r="804">
      <c r="A804" s="2" t="s">
        <v>4475</v>
      </c>
      <c r="B804" s="2" t="s">
        <v>1150</v>
      </c>
      <c r="C804" s="2" t="s">
        <v>300</v>
      </c>
      <c r="D804" s="2" t="s">
        <v>1112</v>
      </c>
      <c r="E804" s="2" t="s">
        <v>1165</v>
      </c>
      <c r="F804" s="2" t="s">
        <v>1476</v>
      </c>
      <c r="G804" s="2" t="s">
        <v>4469</v>
      </c>
      <c r="H804" s="2" t="s">
        <v>4470</v>
      </c>
      <c r="I804" s="2" t="s">
        <v>4471</v>
      </c>
      <c r="J804" s="2" t="s">
        <v>294</v>
      </c>
      <c r="K804" s="2" t="s">
        <v>1421</v>
      </c>
      <c r="L804" s="3">
        <v>75.2</v>
      </c>
      <c r="M804" s="3">
        <v>78.96</v>
      </c>
      <c r="N804" s="3">
        <v>159.99</v>
      </c>
      <c r="O804" s="2" t="s">
        <v>240</v>
      </c>
      <c r="P804" s="2" t="s">
        <v>233</v>
      </c>
      <c r="Q804" s="2" t="s">
        <v>234</v>
      </c>
      <c r="R804" s="2" t="s">
        <v>228</v>
      </c>
      <c r="S804" s="2" t="s">
        <v>4472</v>
      </c>
      <c r="T804" s="2" t="s">
        <v>228</v>
      </c>
      <c r="U804" s="2" t="s">
        <v>1331</v>
      </c>
      <c r="V804" s="2" t="s">
        <v>1344</v>
      </c>
      <c r="W804" s="2" t="s">
        <v>463</v>
      </c>
      <c r="X804" s="2" t="s">
        <v>4473</v>
      </c>
      <c r="Y804" s="2" t="s">
        <v>4474</v>
      </c>
      <c r="Z804" s="4"/>
      <c r="AA804" s="4">
        <f>=ROUNDDOWN({0},0)</f>
      </c>
      <c r="AB804" s="5"/>
      <c r="AC804" s="2" t="s">
        <v>1788</v>
      </c>
      <c r="AD804" s="4">
        <v>120</v>
      </c>
      <c r="AE804" s="4">
        <v>380</v>
      </c>
      <c r="AF804" s="6">
        <v>65</v>
      </c>
      <c r="AG804" s="6"/>
      <c r="AH804" s="7"/>
      <c r="AI804" s="4"/>
      <c r="AJ804" s="4">
        <f>=ROUNDDOWN({0},0)</f>
      </c>
      <c r="AK804" s="5"/>
      <c r="AL804" s="2" t="s">
        <v>228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228</v>
      </c>
      <c r="AW804" s="8" t="s">
        <v>228</v>
      </c>
      <c r="AX804" s="4" t="s">
        <v>228</v>
      </c>
      <c r="AY804" s="8" t="s">
        <v>228</v>
      </c>
      <c r="AZ804" s="7" t="s">
        <v>228</v>
      </c>
      <c r="BA804" s="7" t="s">
        <v>228</v>
      </c>
      <c r="BB804" s="7"/>
      <c r="BC804" s="4" t="s">
        <v>228</v>
      </c>
      <c r="BD804" s="8" t="s">
        <v>228</v>
      </c>
      <c r="BE804" s="4" t="s">
        <v>228</v>
      </c>
      <c r="BF804" s="8" t="s">
        <v>228</v>
      </c>
      <c r="BG804" s="7" t="s">
        <v>228</v>
      </c>
      <c r="BH804" s="7" t="s">
        <v>228</v>
      </c>
      <c r="BI804" s="7"/>
      <c r="BJ804" s="4"/>
      <c r="BK804" s="8"/>
      <c r="BL804" s="2" t="s">
        <v>228</v>
      </c>
      <c r="BM804" s="7"/>
      <c r="BN804" s="7"/>
      <c r="BO804" s="4"/>
      <c r="BP804" s="8"/>
      <c r="BQ804" s="4"/>
      <c r="BR804" s="8"/>
      <c r="BS804" s="7"/>
      <c r="BT804" s="7"/>
      <c r="BU804" s="2" t="s">
        <v>238</v>
      </c>
      <c r="BV804" s="2" t="s">
        <v>228</v>
      </c>
      <c r="BW804" s="2" t="s">
        <v>228</v>
      </c>
      <c r="BX804" s="2" t="s">
        <v>238</v>
      </c>
      <c r="BY804" s="2" t="s">
        <v>239</v>
      </c>
      <c r="BZ804" s="2" t="s">
        <v>240</v>
      </c>
      <c r="CA804" s="2" t="s">
        <v>228</v>
      </c>
      <c r="CB804" s="2" t="s">
        <v>228</v>
      </c>
      <c r="CC804" s="2" t="s">
        <v>241</v>
      </c>
      <c r="CD804" s="2" t="s">
        <v>228</v>
      </c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>
        <v>120</v>
      </c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>
        <v>140</v>
      </c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>
        <v>120</v>
      </c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</row>
    <row r="805">
      <c r="A805" s="2" t="s">
        <v>4476</v>
      </c>
      <c r="B805" s="2" t="s">
        <v>1150</v>
      </c>
      <c r="C805" s="2" t="s">
        <v>300</v>
      </c>
      <c r="D805" s="2" t="s">
        <v>1112</v>
      </c>
      <c r="E805" s="2" t="s">
        <v>1165</v>
      </c>
      <c r="F805" s="2" t="s">
        <v>1476</v>
      </c>
      <c r="G805" s="2" t="s">
        <v>4469</v>
      </c>
      <c r="H805" s="2" t="s">
        <v>4470</v>
      </c>
      <c r="I805" s="2" t="s">
        <v>4471</v>
      </c>
      <c r="J805" s="2" t="s">
        <v>312</v>
      </c>
      <c r="K805" s="2" t="s">
        <v>1421</v>
      </c>
      <c r="L805" s="3">
        <v>75.2</v>
      </c>
      <c r="M805" s="3">
        <v>78.96</v>
      </c>
      <c r="N805" s="3">
        <v>159.99</v>
      </c>
      <c r="O805" s="2" t="s">
        <v>240</v>
      </c>
      <c r="P805" s="2" t="s">
        <v>233</v>
      </c>
      <c r="Q805" s="2" t="s">
        <v>234</v>
      </c>
      <c r="R805" s="2" t="s">
        <v>228</v>
      </c>
      <c r="S805" s="2" t="s">
        <v>4472</v>
      </c>
      <c r="T805" s="2" t="s">
        <v>228</v>
      </c>
      <c r="U805" s="2" t="s">
        <v>1331</v>
      </c>
      <c r="V805" s="2" t="s">
        <v>1344</v>
      </c>
      <c r="W805" s="2" t="s">
        <v>463</v>
      </c>
      <c r="X805" s="2" t="s">
        <v>4473</v>
      </c>
      <c r="Y805" s="2" t="s">
        <v>4474</v>
      </c>
      <c r="Z805" s="4"/>
      <c r="AA805" s="4">
        <f>=ROUNDDOWN({0},0)</f>
      </c>
      <c r="AB805" s="5"/>
      <c r="AC805" s="2" t="s">
        <v>1788</v>
      </c>
      <c r="AD805" s="4">
        <v>70</v>
      </c>
      <c r="AE805" s="4">
        <v>220</v>
      </c>
      <c r="AF805" s="6">
        <v>65</v>
      </c>
      <c r="AG805" s="6"/>
      <c r="AH805" s="7"/>
      <c r="AI805" s="4"/>
      <c r="AJ805" s="4">
        <f>=ROUNDDOWN({0},0)</f>
      </c>
      <c r="AK805" s="5"/>
      <c r="AL805" s="2" t="s">
        <v>228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228</v>
      </c>
      <c r="AW805" s="8" t="s">
        <v>228</v>
      </c>
      <c r="AX805" s="4" t="s">
        <v>228</v>
      </c>
      <c r="AY805" s="8" t="s">
        <v>228</v>
      </c>
      <c r="AZ805" s="7" t="s">
        <v>228</v>
      </c>
      <c r="BA805" s="7" t="s">
        <v>228</v>
      </c>
      <c r="BB805" s="7"/>
      <c r="BC805" s="4" t="s">
        <v>228</v>
      </c>
      <c r="BD805" s="8" t="s">
        <v>228</v>
      </c>
      <c r="BE805" s="4" t="s">
        <v>228</v>
      </c>
      <c r="BF805" s="8" t="s">
        <v>228</v>
      </c>
      <c r="BG805" s="7" t="s">
        <v>228</v>
      </c>
      <c r="BH805" s="7" t="s">
        <v>228</v>
      </c>
      <c r="BI805" s="7"/>
      <c r="BJ805" s="4"/>
      <c r="BK805" s="8"/>
      <c r="BL805" s="2" t="s">
        <v>228</v>
      </c>
      <c r="BM805" s="7"/>
      <c r="BN805" s="7"/>
      <c r="BO805" s="4"/>
      <c r="BP805" s="8"/>
      <c r="BQ805" s="4"/>
      <c r="BR805" s="8"/>
      <c r="BS805" s="7"/>
      <c r="BT805" s="7"/>
      <c r="BU805" s="2" t="s">
        <v>238</v>
      </c>
      <c r="BV805" s="2" t="s">
        <v>228</v>
      </c>
      <c r="BW805" s="2" t="s">
        <v>228</v>
      </c>
      <c r="BX805" s="2" t="s">
        <v>238</v>
      </c>
      <c r="BY805" s="2" t="s">
        <v>239</v>
      </c>
      <c r="BZ805" s="2" t="s">
        <v>240</v>
      </c>
      <c r="CA805" s="2" t="s">
        <v>228</v>
      </c>
      <c r="CB805" s="2" t="s">
        <v>228</v>
      </c>
      <c r="CC805" s="2" t="s">
        <v>241</v>
      </c>
      <c r="CD805" s="2" t="s">
        <v>228</v>
      </c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>
        <v>70</v>
      </c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>
        <v>80</v>
      </c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>
        <v>70</v>
      </c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</row>
    <row r="806">
      <c r="A806" s="2" t="s">
        <v>4477</v>
      </c>
      <c r="B806" s="2" t="s">
        <v>1150</v>
      </c>
      <c r="C806" s="2" t="s">
        <v>300</v>
      </c>
      <c r="D806" s="2" t="s">
        <v>1112</v>
      </c>
      <c r="E806" s="2" t="s">
        <v>1165</v>
      </c>
      <c r="F806" s="2" t="s">
        <v>1476</v>
      </c>
      <c r="G806" s="2" t="s">
        <v>4469</v>
      </c>
      <c r="H806" s="2" t="s">
        <v>4470</v>
      </c>
      <c r="I806" s="2" t="s">
        <v>4471</v>
      </c>
      <c r="J806" s="2" t="s">
        <v>289</v>
      </c>
      <c r="K806" s="2" t="s">
        <v>249</v>
      </c>
      <c r="L806" s="3">
        <v>64.4</v>
      </c>
      <c r="M806" s="3">
        <v>67.62</v>
      </c>
      <c r="N806" s="3">
        <v>139.99</v>
      </c>
      <c r="O806" s="2" t="s">
        <v>240</v>
      </c>
      <c r="P806" s="2" t="s">
        <v>233</v>
      </c>
      <c r="Q806" s="2" t="s">
        <v>234</v>
      </c>
      <c r="R806" s="2" t="s">
        <v>228</v>
      </c>
      <c r="S806" s="2" t="s">
        <v>4478</v>
      </c>
      <c r="T806" s="2" t="s">
        <v>228</v>
      </c>
      <c r="U806" s="2" t="s">
        <v>1331</v>
      </c>
      <c r="V806" s="2" t="s">
        <v>1344</v>
      </c>
      <c r="W806" s="2" t="s">
        <v>463</v>
      </c>
      <c r="X806" s="2" t="s">
        <v>4473</v>
      </c>
      <c r="Y806" s="2" t="s">
        <v>1996</v>
      </c>
      <c r="Z806" s="4">
        <v>160</v>
      </c>
      <c r="AA806" s="4">
        <f>=ROUNDDOWN({0},0)</f>
      </c>
      <c r="AB806" s="5"/>
      <c r="AC806" s="2" t="s">
        <v>155</v>
      </c>
      <c r="AD806" s="4">
        <v>180</v>
      </c>
      <c r="AE806" s="4">
        <v>340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228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228</v>
      </c>
      <c r="AW806" s="8" t="s">
        <v>228</v>
      </c>
      <c r="AX806" s="4" t="s">
        <v>228</v>
      </c>
      <c r="AY806" s="8" t="s">
        <v>228</v>
      </c>
      <c r="AZ806" s="7" t="s">
        <v>228</v>
      </c>
      <c r="BA806" s="7" t="s">
        <v>228</v>
      </c>
      <c r="BB806" s="7"/>
      <c r="BC806" s="4" t="s">
        <v>228</v>
      </c>
      <c r="BD806" s="8" t="s">
        <v>228</v>
      </c>
      <c r="BE806" s="4" t="s">
        <v>228</v>
      </c>
      <c r="BF806" s="8" t="s">
        <v>228</v>
      </c>
      <c r="BG806" s="7" t="s">
        <v>228</v>
      </c>
      <c r="BH806" s="7" t="s">
        <v>228</v>
      </c>
      <c r="BI806" s="7"/>
      <c r="BJ806" s="4"/>
      <c r="BK806" s="8"/>
      <c r="BL806" s="2" t="s">
        <v>228</v>
      </c>
      <c r="BM806" s="7"/>
      <c r="BN806" s="7"/>
      <c r="BO806" s="4"/>
      <c r="BP806" s="8"/>
      <c r="BQ806" s="4"/>
      <c r="BR806" s="8"/>
      <c r="BS806" s="7"/>
      <c r="BT806" s="7"/>
      <c r="BU806" s="2" t="s">
        <v>4479</v>
      </c>
      <c r="BV806" s="2" t="s">
        <v>228</v>
      </c>
      <c r="BW806" s="2" t="s">
        <v>228</v>
      </c>
      <c r="BX806" s="2" t="s">
        <v>238</v>
      </c>
      <c r="BY806" s="2" t="s">
        <v>274</v>
      </c>
      <c r="BZ806" s="2" t="s">
        <v>240</v>
      </c>
      <c r="CA806" s="2" t="s">
        <v>228</v>
      </c>
      <c r="CB806" s="2" t="s">
        <v>228</v>
      </c>
      <c r="CC806" s="2" t="s">
        <v>241</v>
      </c>
      <c r="CD806" s="2" t="s">
        <v>228</v>
      </c>
      <c r="CE806" s="4">
        <v>160</v>
      </c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>
        <v>180</v>
      </c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>
        <v>160</v>
      </c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</row>
    <row r="807">
      <c r="A807" s="2" t="s">
        <v>4480</v>
      </c>
      <c r="B807" s="2" t="s">
        <v>1150</v>
      </c>
      <c r="C807" s="2" t="s">
        <v>300</v>
      </c>
      <c r="D807" s="2" t="s">
        <v>1112</v>
      </c>
      <c r="E807" s="2" t="s">
        <v>1165</v>
      </c>
      <c r="F807" s="2" t="s">
        <v>1476</v>
      </c>
      <c r="G807" s="2" t="s">
        <v>4469</v>
      </c>
      <c r="H807" s="2" t="s">
        <v>4470</v>
      </c>
      <c r="I807" s="2" t="s">
        <v>4471</v>
      </c>
      <c r="J807" s="2" t="s">
        <v>294</v>
      </c>
      <c r="K807" s="2" t="s">
        <v>249</v>
      </c>
      <c r="L807" s="3">
        <v>75.2</v>
      </c>
      <c r="M807" s="3">
        <v>78.96</v>
      </c>
      <c r="N807" s="3">
        <v>159.99</v>
      </c>
      <c r="O807" s="2" t="s">
        <v>240</v>
      </c>
      <c r="P807" s="2" t="s">
        <v>233</v>
      </c>
      <c r="Q807" s="2" t="s">
        <v>234</v>
      </c>
      <c r="R807" s="2" t="s">
        <v>228</v>
      </c>
      <c r="S807" s="2" t="s">
        <v>4478</v>
      </c>
      <c r="T807" s="2" t="s">
        <v>228</v>
      </c>
      <c r="U807" s="2" t="s">
        <v>1331</v>
      </c>
      <c r="V807" s="2" t="s">
        <v>1344</v>
      </c>
      <c r="W807" s="2" t="s">
        <v>463</v>
      </c>
      <c r="X807" s="2" t="s">
        <v>4473</v>
      </c>
      <c r="Y807" s="2" t="s">
        <v>1996</v>
      </c>
      <c r="Z807" s="4">
        <v>120</v>
      </c>
      <c r="AA807" s="4">
        <f>=ROUNDDOWN({0},0)</f>
      </c>
      <c r="AB807" s="5"/>
      <c r="AC807" s="2" t="s">
        <v>155</v>
      </c>
      <c r="AD807" s="4">
        <v>140</v>
      </c>
      <c r="AE807" s="4">
        <v>260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228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228</v>
      </c>
      <c r="AW807" s="8" t="s">
        <v>228</v>
      </c>
      <c r="AX807" s="4" t="s">
        <v>228</v>
      </c>
      <c r="AY807" s="8" t="s">
        <v>228</v>
      </c>
      <c r="AZ807" s="7" t="s">
        <v>228</v>
      </c>
      <c r="BA807" s="7" t="s">
        <v>228</v>
      </c>
      <c r="BB807" s="7"/>
      <c r="BC807" s="4" t="s">
        <v>228</v>
      </c>
      <c r="BD807" s="8" t="s">
        <v>228</v>
      </c>
      <c r="BE807" s="4" t="s">
        <v>228</v>
      </c>
      <c r="BF807" s="8" t="s">
        <v>228</v>
      </c>
      <c r="BG807" s="7" t="s">
        <v>228</v>
      </c>
      <c r="BH807" s="7" t="s">
        <v>228</v>
      </c>
      <c r="BI807" s="7"/>
      <c r="BJ807" s="4"/>
      <c r="BK807" s="8"/>
      <c r="BL807" s="2" t="s">
        <v>228</v>
      </c>
      <c r="BM807" s="7"/>
      <c r="BN807" s="7"/>
      <c r="BO807" s="4"/>
      <c r="BP807" s="8"/>
      <c r="BQ807" s="4"/>
      <c r="BR807" s="8"/>
      <c r="BS807" s="7"/>
      <c r="BT807" s="7"/>
      <c r="BU807" s="2" t="s">
        <v>4481</v>
      </c>
      <c r="BV807" s="2" t="s">
        <v>228</v>
      </c>
      <c r="BW807" s="2" t="s">
        <v>228</v>
      </c>
      <c r="BX807" s="2" t="s">
        <v>238</v>
      </c>
      <c r="BY807" s="2" t="s">
        <v>274</v>
      </c>
      <c r="BZ807" s="2" t="s">
        <v>240</v>
      </c>
      <c r="CA807" s="2" t="s">
        <v>228</v>
      </c>
      <c r="CB807" s="2" t="s">
        <v>228</v>
      </c>
      <c r="CC807" s="2" t="s">
        <v>241</v>
      </c>
      <c r="CD807" s="2" t="s">
        <v>228</v>
      </c>
      <c r="CE807" s="4">
        <v>120</v>
      </c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>
        <v>140</v>
      </c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>
        <v>120</v>
      </c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</row>
    <row r="808">
      <c r="A808" s="2" t="s">
        <v>4482</v>
      </c>
      <c r="B808" s="2" t="s">
        <v>1150</v>
      </c>
      <c r="C808" s="2" t="s">
        <v>300</v>
      </c>
      <c r="D808" s="2" t="s">
        <v>1112</v>
      </c>
      <c r="E808" s="2" t="s">
        <v>1165</v>
      </c>
      <c r="F808" s="2" t="s">
        <v>1476</v>
      </c>
      <c r="G808" s="2" t="s">
        <v>4469</v>
      </c>
      <c r="H808" s="2" t="s">
        <v>4470</v>
      </c>
      <c r="I808" s="2" t="s">
        <v>4471</v>
      </c>
      <c r="J808" s="2" t="s">
        <v>312</v>
      </c>
      <c r="K808" s="2" t="s">
        <v>249</v>
      </c>
      <c r="L808" s="3">
        <v>75.2</v>
      </c>
      <c r="M808" s="3">
        <v>78.96</v>
      </c>
      <c r="N808" s="3">
        <v>159.99</v>
      </c>
      <c r="O808" s="2" t="s">
        <v>240</v>
      </c>
      <c r="P808" s="2" t="s">
        <v>233</v>
      </c>
      <c r="Q808" s="2" t="s">
        <v>234</v>
      </c>
      <c r="R808" s="2" t="s">
        <v>228</v>
      </c>
      <c r="S808" s="2" t="s">
        <v>4478</v>
      </c>
      <c r="T808" s="2" t="s">
        <v>228</v>
      </c>
      <c r="U808" s="2" t="s">
        <v>1331</v>
      </c>
      <c r="V808" s="2" t="s">
        <v>1344</v>
      </c>
      <c r="W808" s="2" t="s">
        <v>463</v>
      </c>
      <c r="X808" s="2" t="s">
        <v>4473</v>
      </c>
      <c r="Y808" s="2" t="s">
        <v>1996</v>
      </c>
      <c r="Z808" s="4">
        <v>70</v>
      </c>
      <c r="AA808" s="4">
        <f>=ROUNDDOWN({0},0)</f>
      </c>
      <c r="AB808" s="5"/>
      <c r="AC808" s="2" t="s">
        <v>155</v>
      </c>
      <c r="AD808" s="4">
        <v>80</v>
      </c>
      <c r="AE808" s="4">
        <v>150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228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228</v>
      </c>
      <c r="AW808" s="8" t="s">
        <v>228</v>
      </c>
      <c r="AX808" s="4" t="s">
        <v>228</v>
      </c>
      <c r="AY808" s="8" t="s">
        <v>228</v>
      </c>
      <c r="AZ808" s="7" t="s">
        <v>228</v>
      </c>
      <c r="BA808" s="7" t="s">
        <v>228</v>
      </c>
      <c r="BB808" s="7"/>
      <c r="BC808" s="4" t="s">
        <v>228</v>
      </c>
      <c r="BD808" s="8" t="s">
        <v>228</v>
      </c>
      <c r="BE808" s="4" t="s">
        <v>228</v>
      </c>
      <c r="BF808" s="8" t="s">
        <v>228</v>
      </c>
      <c r="BG808" s="7" t="s">
        <v>228</v>
      </c>
      <c r="BH808" s="7" t="s">
        <v>228</v>
      </c>
      <c r="BI808" s="7"/>
      <c r="BJ808" s="4"/>
      <c r="BK808" s="8"/>
      <c r="BL808" s="2" t="s">
        <v>228</v>
      </c>
      <c r="BM808" s="7"/>
      <c r="BN808" s="7"/>
      <c r="BO808" s="4"/>
      <c r="BP808" s="8"/>
      <c r="BQ808" s="4"/>
      <c r="BR808" s="8"/>
      <c r="BS808" s="7"/>
      <c r="BT808" s="7"/>
      <c r="BU808" s="2" t="s">
        <v>4483</v>
      </c>
      <c r="BV808" s="2" t="s">
        <v>228</v>
      </c>
      <c r="BW808" s="2" t="s">
        <v>228</v>
      </c>
      <c r="BX808" s="2" t="s">
        <v>238</v>
      </c>
      <c r="BY808" s="2" t="s">
        <v>274</v>
      </c>
      <c r="BZ808" s="2" t="s">
        <v>240</v>
      </c>
      <c r="CA808" s="2" t="s">
        <v>228</v>
      </c>
      <c r="CB808" s="2" t="s">
        <v>228</v>
      </c>
      <c r="CC808" s="2" t="s">
        <v>241</v>
      </c>
      <c r="CD808" s="2" t="s">
        <v>228</v>
      </c>
      <c r="CE808" s="4">
        <v>70</v>
      </c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>
        <v>80</v>
      </c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>
        <v>70</v>
      </c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</row>
    <row r="809">
      <c r="A809" s="2" t="s">
        <v>4484</v>
      </c>
      <c r="B809" s="2" t="s">
        <v>958</v>
      </c>
      <c r="C809" s="2" t="s">
        <v>1743</v>
      </c>
      <c r="D809" s="2" t="s">
        <v>959</v>
      </c>
      <c r="E809" s="2" t="s">
        <v>3094</v>
      </c>
      <c r="F809" s="2" t="s">
        <v>4485</v>
      </c>
      <c r="G809" s="2" t="s">
        <v>4485</v>
      </c>
      <c r="H809" s="2" t="s">
        <v>4485</v>
      </c>
      <c r="I809" s="2" t="s">
        <v>4486</v>
      </c>
      <c r="J809" s="2" t="s">
        <v>840</v>
      </c>
      <c r="K809" s="2" t="s">
        <v>1105</v>
      </c>
      <c r="L809" s="3">
        <v>112.1</v>
      </c>
      <c r="M809" s="3">
        <v>117.7</v>
      </c>
      <c r="N809" s="3">
        <v>239</v>
      </c>
      <c r="O809" s="2" t="s">
        <v>240</v>
      </c>
      <c r="P809" s="2" t="s">
        <v>233</v>
      </c>
      <c r="Q809" s="2" t="s">
        <v>234</v>
      </c>
      <c r="R809" s="2" t="s">
        <v>228</v>
      </c>
      <c r="S809" s="2" t="s">
        <v>228</v>
      </c>
      <c r="T809" s="2" t="s">
        <v>228</v>
      </c>
      <c r="U809" s="2" t="s">
        <v>416</v>
      </c>
      <c r="V809" s="2" t="s">
        <v>842</v>
      </c>
      <c r="W809" s="2" t="s">
        <v>463</v>
      </c>
      <c r="X809" s="2" t="s">
        <v>417</v>
      </c>
      <c r="Y809" s="2" t="s">
        <v>2295</v>
      </c>
      <c r="Z809" s="4">
        <v>86</v>
      </c>
      <c r="AA809" s="4">
        <f>=ROUNDDOWN(43,0)</f>
      </c>
      <c r="AB809" s="5">
        <v>2</v>
      </c>
      <c r="AC809" s="2" t="s">
        <v>228</v>
      </c>
      <c r="AD809" s="4"/>
      <c r="AE809" s="4"/>
      <c r="AF809" s="6">
        <v>74</v>
      </c>
      <c r="AG809" s="6"/>
      <c r="AH809" s="7">
        <v>1</v>
      </c>
      <c r="AI809" s="4"/>
      <c r="AJ809" s="4">
        <f>=ROUNDDOWN({0},0)</f>
      </c>
      <c r="AK809" s="5"/>
      <c r="AL809" s="2" t="s">
        <v>228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/>
      <c r="AW809" s="8"/>
      <c r="AX809" s="4"/>
      <c r="AY809" s="8"/>
      <c r="AZ809" s="7"/>
      <c r="BA809" s="7"/>
      <c r="BB809" s="7"/>
      <c r="BC809" s="4" t="s">
        <v>228</v>
      </c>
      <c r="BD809" s="8" t="s">
        <v>228</v>
      </c>
      <c r="BE809" s="4" t="s">
        <v>228</v>
      </c>
      <c r="BF809" s="8" t="s">
        <v>228</v>
      </c>
      <c r="BG809" s="7" t="s">
        <v>228</v>
      </c>
      <c r="BH809" s="7" t="s">
        <v>228</v>
      </c>
      <c r="BI809" s="7"/>
      <c r="BJ809" s="4">
        <v>3</v>
      </c>
      <c r="BK809" s="8">
        <v>382.55</v>
      </c>
      <c r="BL809" s="2" t="s">
        <v>4487</v>
      </c>
      <c r="BM809" s="7"/>
      <c r="BN809" s="7"/>
      <c r="BO809" s="4"/>
      <c r="BP809" s="8"/>
      <c r="BQ809" s="4"/>
      <c r="BR809" s="8"/>
      <c r="BS809" s="7"/>
      <c r="BT809" s="7"/>
      <c r="BU809" s="2" t="s">
        <v>238</v>
      </c>
      <c r="BV809" s="2" t="s">
        <v>228</v>
      </c>
      <c r="BW809" s="2" t="s">
        <v>228</v>
      </c>
      <c r="BX809" s="2" t="s">
        <v>238</v>
      </c>
      <c r="BY809" s="2" t="s">
        <v>2353</v>
      </c>
      <c r="BZ809" s="2" t="s">
        <v>240</v>
      </c>
      <c r="CA809" s="2" t="s">
        <v>228</v>
      </c>
      <c r="CB809" s="2" t="s">
        <v>228</v>
      </c>
      <c r="CC809" s="2" t="s">
        <v>241</v>
      </c>
      <c r="CD809" s="2" t="s">
        <v>228</v>
      </c>
      <c r="CE809" s="4"/>
      <c r="CF809" s="4">
        <v>86</v>
      </c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</row>
    <row r="810">
      <c r="A810" s="2" t="s">
        <v>4488</v>
      </c>
      <c r="B810" s="2" t="s">
        <v>958</v>
      </c>
      <c r="C810" s="2" t="s">
        <v>1743</v>
      </c>
      <c r="D810" s="2" t="s">
        <v>959</v>
      </c>
      <c r="E810" s="2" t="s">
        <v>3094</v>
      </c>
      <c r="F810" s="2" t="s">
        <v>4485</v>
      </c>
      <c r="G810" s="2" t="s">
        <v>4485</v>
      </c>
      <c r="H810" s="2" t="s">
        <v>4485</v>
      </c>
      <c r="I810" s="2" t="s">
        <v>4486</v>
      </c>
      <c r="J810" s="2" t="s">
        <v>840</v>
      </c>
      <c r="K810" s="2" t="s">
        <v>4489</v>
      </c>
      <c r="L810" s="3">
        <v>112.1</v>
      </c>
      <c r="M810" s="3">
        <v>117.7</v>
      </c>
      <c r="N810" s="3">
        <v>239</v>
      </c>
      <c r="O810" s="2" t="s">
        <v>240</v>
      </c>
      <c r="P810" s="2" t="s">
        <v>233</v>
      </c>
      <c r="Q810" s="2" t="s">
        <v>234</v>
      </c>
      <c r="R810" s="2" t="s">
        <v>228</v>
      </c>
      <c r="S810" s="2" t="s">
        <v>228</v>
      </c>
      <c r="T810" s="2" t="s">
        <v>228</v>
      </c>
      <c r="U810" s="2" t="s">
        <v>416</v>
      </c>
      <c r="V810" s="2" t="s">
        <v>842</v>
      </c>
      <c r="W810" s="2" t="s">
        <v>463</v>
      </c>
      <c r="X810" s="2" t="s">
        <v>417</v>
      </c>
      <c r="Y810" s="2" t="s">
        <v>2807</v>
      </c>
      <c r="Z810" s="4">
        <v>199</v>
      </c>
      <c r="AA810" s="4">
        <f>=ROUNDDOWN(33.1666666666667,0)</f>
      </c>
      <c r="AB810" s="5">
        <v>6</v>
      </c>
      <c r="AC810" s="2" t="s">
        <v>228</v>
      </c>
      <c r="AD810" s="4"/>
      <c r="AE810" s="4"/>
      <c r="AF810" s="6">
        <v>74</v>
      </c>
      <c r="AG810" s="6"/>
      <c r="AH810" s="7">
        <v>1</v>
      </c>
      <c r="AI810" s="4"/>
      <c r="AJ810" s="4">
        <f>=ROUNDDOWN({0},0)</f>
      </c>
      <c r="AK810" s="5"/>
      <c r="AL810" s="2" t="s">
        <v>228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/>
      <c r="AW810" s="8"/>
      <c r="AX810" s="4"/>
      <c r="AY810" s="8"/>
      <c r="AZ810" s="7"/>
      <c r="BA810" s="7"/>
      <c r="BB810" s="7"/>
      <c r="BC810" s="4" t="s">
        <v>228</v>
      </c>
      <c r="BD810" s="8" t="s">
        <v>228</v>
      </c>
      <c r="BE810" s="4" t="s">
        <v>228</v>
      </c>
      <c r="BF810" s="8" t="s">
        <v>228</v>
      </c>
      <c r="BG810" s="7" t="s">
        <v>228</v>
      </c>
      <c r="BH810" s="7" t="s">
        <v>228</v>
      </c>
      <c r="BI810" s="7"/>
      <c r="BJ810" s="4"/>
      <c r="BK810" s="8"/>
      <c r="BL810" s="2" t="s">
        <v>228</v>
      </c>
      <c r="BM810" s="7"/>
      <c r="BN810" s="7"/>
      <c r="BO810" s="4"/>
      <c r="BP810" s="8"/>
      <c r="BQ810" s="4"/>
      <c r="BR810" s="8"/>
      <c r="BS810" s="7"/>
      <c r="BT810" s="7"/>
      <c r="BU810" s="2" t="s">
        <v>4490</v>
      </c>
      <c r="BV810" s="2" t="s">
        <v>228</v>
      </c>
      <c r="BW810" s="2" t="s">
        <v>228</v>
      </c>
      <c r="BX810" s="2" t="s">
        <v>273</v>
      </c>
      <c r="BY810" s="2" t="s">
        <v>274</v>
      </c>
      <c r="BZ810" s="2" t="s">
        <v>240</v>
      </c>
      <c r="CA810" s="2" t="s">
        <v>2490</v>
      </c>
      <c r="CB810" s="2" t="s">
        <v>228</v>
      </c>
      <c r="CC810" s="2" t="s">
        <v>241</v>
      </c>
      <c r="CD810" s="2" t="s">
        <v>228</v>
      </c>
      <c r="CE810" s="4"/>
      <c r="CF810" s="4">
        <v>199</v>
      </c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</row>
    <row r="811">
      <c r="A811" s="2" t="s">
        <v>4491</v>
      </c>
      <c r="B811" s="2" t="s">
        <v>958</v>
      </c>
      <c r="C811" s="2" t="s">
        <v>1743</v>
      </c>
      <c r="D811" s="2" t="s">
        <v>959</v>
      </c>
      <c r="E811" s="2" t="s">
        <v>3094</v>
      </c>
      <c r="F811" s="2" t="s">
        <v>4485</v>
      </c>
      <c r="G811" s="2" t="s">
        <v>4485</v>
      </c>
      <c r="H811" s="2" t="s">
        <v>4485</v>
      </c>
      <c r="I811" s="2" t="s">
        <v>4486</v>
      </c>
      <c r="J811" s="2" t="s">
        <v>840</v>
      </c>
      <c r="K811" s="2" t="s">
        <v>249</v>
      </c>
      <c r="L811" s="3">
        <v>112.1</v>
      </c>
      <c r="M811" s="3">
        <v>117.7</v>
      </c>
      <c r="N811" s="3">
        <v>239</v>
      </c>
      <c r="O811" s="2" t="s">
        <v>240</v>
      </c>
      <c r="P811" s="2" t="s">
        <v>333</v>
      </c>
      <c r="Q811" s="2" t="s">
        <v>234</v>
      </c>
      <c r="R811" s="2" t="s">
        <v>228</v>
      </c>
      <c r="S811" s="2" t="s">
        <v>228</v>
      </c>
      <c r="T811" s="2" t="s">
        <v>228</v>
      </c>
      <c r="U811" s="2" t="s">
        <v>416</v>
      </c>
      <c r="V811" s="2" t="s">
        <v>842</v>
      </c>
      <c r="W811" s="2" t="s">
        <v>463</v>
      </c>
      <c r="X811" s="2" t="s">
        <v>417</v>
      </c>
      <c r="Y811" s="2" t="s">
        <v>1849</v>
      </c>
      <c r="Z811" s="4">
        <v>28</v>
      </c>
      <c r="AA811" s="4">
        <f>=ROUNDDOWN(14,0)</f>
      </c>
      <c r="AB811" s="5">
        <v>2</v>
      </c>
      <c r="AC811" s="2" t="s">
        <v>228</v>
      </c>
      <c r="AD811" s="4"/>
      <c r="AE811" s="4"/>
      <c r="AF811" s="6">
        <v>74</v>
      </c>
      <c r="AG811" s="6"/>
      <c r="AH811" s="7">
        <v>1</v>
      </c>
      <c r="AI811" s="4"/>
      <c r="AJ811" s="4">
        <f>=ROUNDDOWN({0},0)</f>
      </c>
      <c r="AK811" s="5"/>
      <c r="AL811" s="2" t="s">
        <v>228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/>
      <c r="AW811" s="8"/>
      <c r="AX811" s="4"/>
      <c r="AY811" s="8"/>
      <c r="AZ811" s="7"/>
      <c r="BA811" s="7"/>
      <c r="BB811" s="7"/>
      <c r="BC811" s="4" t="s">
        <v>228</v>
      </c>
      <c r="BD811" s="8" t="s">
        <v>228</v>
      </c>
      <c r="BE811" s="4" t="s">
        <v>228</v>
      </c>
      <c r="BF811" s="8" t="s">
        <v>228</v>
      </c>
      <c r="BG811" s="7" t="s">
        <v>228</v>
      </c>
      <c r="BH811" s="7" t="s">
        <v>228</v>
      </c>
      <c r="BI811" s="7"/>
      <c r="BJ811" s="4">
        <v>4</v>
      </c>
      <c r="BK811" s="8">
        <v>349.93</v>
      </c>
      <c r="BL811" s="2" t="s">
        <v>4492</v>
      </c>
      <c r="BM811" s="7"/>
      <c r="BN811" s="7"/>
      <c r="BO811" s="4"/>
      <c r="BP811" s="8"/>
      <c r="BQ811" s="4"/>
      <c r="BR811" s="8"/>
      <c r="BS811" s="7"/>
      <c r="BT811" s="7"/>
      <c r="BU811" s="2" t="s">
        <v>4493</v>
      </c>
      <c r="BV811" s="2" t="s">
        <v>228</v>
      </c>
      <c r="BW811" s="2" t="s">
        <v>228</v>
      </c>
      <c r="BX811" s="2" t="s">
        <v>337</v>
      </c>
      <c r="BY811" s="2" t="s">
        <v>274</v>
      </c>
      <c r="BZ811" s="2" t="s">
        <v>240</v>
      </c>
      <c r="CA811" s="2" t="s">
        <v>4494</v>
      </c>
      <c r="CB811" s="2" t="s">
        <v>4495</v>
      </c>
      <c r="CC811" s="2" t="s">
        <v>241</v>
      </c>
      <c r="CD811" s="2" t="s">
        <v>228</v>
      </c>
      <c r="CE811" s="4"/>
      <c r="CF811" s="4">
        <v>28</v>
      </c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</row>
    <row r="812">
      <c r="A812" s="2" t="s">
        <v>4496</v>
      </c>
      <c r="B812" s="2" t="s">
        <v>958</v>
      </c>
      <c r="C812" s="2" t="s">
        <v>1743</v>
      </c>
      <c r="D812" s="2" t="s">
        <v>959</v>
      </c>
      <c r="E812" s="2" t="s">
        <v>3094</v>
      </c>
      <c r="F812" s="2" t="s">
        <v>4485</v>
      </c>
      <c r="G812" s="2" t="s">
        <v>4485</v>
      </c>
      <c r="H812" s="2" t="s">
        <v>4485</v>
      </c>
      <c r="I812" s="2" t="s">
        <v>4486</v>
      </c>
      <c r="J812" s="2" t="s">
        <v>840</v>
      </c>
      <c r="K812" s="2" t="s">
        <v>4497</v>
      </c>
      <c r="L812" s="3">
        <v>112.1</v>
      </c>
      <c r="M812" s="3">
        <v>117.7</v>
      </c>
      <c r="N812" s="3">
        <v>239</v>
      </c>
      <c r="O812" s="2" t="s">
        <v>240</v>
      </c>
      <c r="P812" s="2" t="s">
        <v>233</v>
      </c>
      <c r="Q812" s="2" t="s">
        <v>234</v>
      </c>
      <c r="R812" s="2" t="s">
        <v>228</v>
      </c>
      <c r="S812" s="2" t="s">
        <v>228</v>
      </c>
      <c r="T812" s="2" t="s">
        <v>228</v>
      </c>
      <c r="U812" s="2" t="s">
        <v>416</v>
      </c>
      <c r="V812" s="2" t="s">
        <v>842</v>
      </c>
      <c r="W812" s="2" t="s">
        <v>463</v>
      </c>
      <c r="X812" s="2" t="s">
        <v>417</v>
      </c>
      <c r="Y812" s="2" t="s">
        <v>4498</v>
      </c>
      <c r="Z812" s="4">
        <v>75</v>
      </c>
      <c r="AA812" s="4">
        <f>=ROUNDDOWN(37.5,0)</f>
      </c>
      <c r="AB812" s="5">
        <v>2</v>
      </c>
      <c r="AC812" s="2" t="s">
        <v>228</v>
      </c>
      <c r="AD812" s="4"/>
      <c r="AE812" s="4"/>
      <c r="AF812" s="6">
        <v>74</v>
      </c>
      <c r="AG812" s="6"/>
      <c r="AH812" s="7">
        <v>1</v>
      </c>
      <c r="AI812" s="4"/>
      <c r="AJ812" s="4">
        <f>=ROUNDDOWN({0},0)</f>
      </c>
      <c r="AK812" s="5"/>
      <c r="AL812" s="2" t="s">
        <v>228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 t="s">
        <v>228</v>
      </c>
      <c r="BD812" s="8" t="s">
        <v>228</v>
      </c>
      <c r="BE812" s="4" t="s">
        <v>228</v>
      </c>
      <c r="BF812" s="8" t="s">
        <v>228</v>
      </c>
      <c r="BG812" s="7" t="s">
        <v>228</v>
      </c>
      <c r="BH812" s="7" t="s">
        <v>228</v>
      </c>
      <c r="BI812" s="7"/>
      <c r="BJ812" s="4">
        <v>2</v>
      </c>
      <c r="BK812" s="8">
        <v>277.54</v>
      </c>
      <c r="BL812" s="2" t="s">
        <v>622</v>
      </c>
      <c r="BM812" s="7"/>
      <c r="BN812" s="7"/>
      <c r="BO812" s="4"/>
      <c r="BP812" s="8"/>
      <c r="BQ812" s="4"/>
      <c r="BR812" s="8"/>
      <c r="BS812" s="7"/>
      <c r="BT812" s="7"/>
      <c r="BU812" s="2" t="s">
        <v>4499</v>
      </c>
      <c r="BV812" s="2" t="s">
        <v>228</v>
      </c>
      <c r="BW812" s="2" t="s">
        <v>228</v>
      </c>
      <c r="BX812" s="2" t="s">
        <v>273</v>
      </c>
      <c r="BY812" s="2" t="s">
        <v>274</v>
      </c>
      <c r="BZ812" s="2" t="s">
        <v>240</v>
      </c>
      <c r="CA812" s="2" t="s">
        <v>2490</v>
      </c>
      <c r="CB812" s="2" t="s">
        <v>4500</v>
      </c>
      <c r="CC812" s="2" t="s">
        <v>241</v>
      </c>
      <c r="CD812" s="2" t="s">
        <v>228</v>
      </c>
      <c r="CE812" s="4"/>
      <c r="CF812" s="4">
        <v>75</v>
      </c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</row>
    <row r="813">
      <c r="A813" s="2" t="s">
        <v>4501</v>
      </c>
      <c r="B813" s="2" t="s">
        <v>1150</v>
      </c>
      <c r="C813" s="2" t="s">
        <v>835</v>
      </c>
      <c r="D813" s="2" t="s">
        <v>1862</v>
      </c>
      <c r="E813" s="2" t="s">
        <v>2767</v>
      </c>
      <c r="F813" s="2" t="s">
        <v>4502</v>
      </c>
      <c r="G813" s="2" t="s">
        <v>4502</v>
      </c>
      <c r="H813" s="2" t="s">
        <v>4502</v>
      </c>
      <c r="I813" s="2" t="s">
        <v>4503</v>
      </c>
      <c r="J813" s="2" t="s">
        <v>4504</v>
      </c>
      <c r="K813" s="2" t="s">
        <v>480</v>
      </c>
      <c r="L813" s="3">
        <v>11.88</v>
      </c>
      <c r="M813" s="3">
        <v>12.47</v>
      </c>
      <c r="N813" s="3">
        <v>26.99</v>
      </c>
      <c r="O813" s="2" t="s">
        <v>240</v>
      </c>
      <c r="P813" s="2" t="s">
        <v>333</v>
      </c>
      <c r="Q813" s="2" t="s">
        <v>234</v>
      </c>
      <c r="R813" s="2" t="s">
        <v>228</v>
      </c>
      <c r="S813" s="2" t="s">
        <v>4505</v>
      </c>
      <c r="T813" s="2" t="s">
        <v>350</v>
      </c>
      <c r="U813" s="2" t="s">
        <v>416</v>
      </c>
      <c r="V813" s="2" t="s">
        <v>236</v>
      </c>
      <c r="W813" s="2" t="s">
        <v>1761</v>
      </c>
      <c r="X813" s="2" t="s">
        <v>269</v>
      </c>
      <c r="Y813" s="2" t="s">
        <v>4506</v>
      </c>
      <c r="Z813" s="4">
        <v>547</v>
      </c>
      <c r="AA813" s="4">
        <f>=ROUNDDOWN(47.9824561403509,0)</f>
      </c>
      <c r="AB813" s="5">
        <v>11.4</v>
      </c>
      <c r="AC813" s="2" t="s">
        <v>228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228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/>
      <c r="AW813" s="8"/>
      <c r="AX813" s="4"/>
      <c r="AY813" s="8"/>
      <c r="AZ813" s="7"/>
      <c r="BA813" s="7"/>
      <c r="BB813" s="7"/>
      <c r="BC813" s="4"/>
      <c r="BD813" s="8"/>
      <c r="BE813" s="4"/>
      <c r="BF813" s="8"/>
      <c r="BG813" s="7"/>
      <c r="BH813" s="7"/>
      <c r="BI813" s="7"/>
      <c r="BJ813" s="4">
        <v>52</v>
      </c>
      <c r="BK813" s="8">
        <v>688.56</v>
      </c>
      <c r="BL813" s="2" t="s">
        <v>817</v>
      </c>
      <c r="BM813" s="7"/>
      <c r="BN813" s="7"/>
      <c r="BO813" s="4"/>
      <c r="BP813" s="8"/>
      <c r="BQ813" s="4"/>
      <c r="BR813" s="8"/>
      <c r="BS813" s="7"/>
      <c r="BT813" s="7"/>
      <c r="BU813" s="2" t="s">
        <v>4507</v>
      </c>
      <c r="BV813" s="2" t="s">
        <v>228</v>
      </c>
      <c r="BW813" s="2" t="s">
        <v>228</v>
      </c>
      <c r="BX813" s="2" t="s">
        <v>337</v>
      </c>
      <c r="BY813" s="2" t="s">
        <v>274</v>
      </c>
      <c r="BZ813" s="2" t="s">
        <v>240</v>
      </c>
      <c r="CA813" s="2" t="s">
        <v>4508</v>
      </c>
      <c r="CB813" s="2" t="s">
        <v>4509</v>
      </c>
      <c r="CC813" s="2" t="s">
        <v>241</v>
      </c>
      <c r="CD813" s="2" t="s">
        <v>228</v>
      </c>
      <c r="CE813" s="4">
        <v>547</v>
      </c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</row>
    <row r="814">
      <c r="A814" s="2" t="s">
        <v>4510</v>
      </c>
      <c r="B814" s="2" t="s">
        <v>958</v>
      </c>
      <c r="C814" s="2" t="s">
        <v>300</v>
      </c>
      <c r="D814" s="2" t="s">
        <v>4511</v>
      </c>
      <c r="E814" s="2" t="s">
        <v>4512</v>
      </c>
      <c r="F814" s="2" t="s">
        <v>4513</v>
      </c>
      <c r="G814" s="2" t="s">
        <v>4514</v>
      </c>
      <c r="H814" s="2" t="s">
        <v>4515</v>
      </c>
      <c r="I814" s="2" t="s">
        <v>4516</v>
      </c>
      <c r="J814" s="2" t="s">
        <v>840</v>
      </c>
      <c r="K814" s="2" t="s">
        <v>249</v>
      </c>
      <c r="L814" s="3">
        <v>239</v>
      </c>
      <c r="M814" s="3">
        <v>250.95</v>
      </c>
      <c r="N814" s="3">
        <v>499</v>
      </c>
      <c r="O814" s="2" t="s">
        <v>461</v>
      </c>
      <c r="P814" s="2" t="s">
        <v>333</v>
      </c>
      <c r="Q814" s="2" t="s">
        <v>234</v>
      </c>
      <c r="R814" s="2" t="s">
        <v>228</v>
      </c>
      <c r="S814" s="2" t="s">
        <v>228</v>
      </c>
      <c r="T814" s="2" t="s">
        <v>228</v>
      </c>
      <c r="U814" s="2" t="s">
        <v>228</v>
      </c>
      <c r="V814" s="2" t="s">
        <v>842</v>
      </c>
      <c r="W814" s="2" t="s">
        <v>463</v>
      </c>
      <c r="X814" s="2" t="s">
        <v>3057</v>
      </c>
      <c r="Y814" s="2" t="s">
        <v>4517</v>
      </c>
      <c r="Z814" s="4">
        <v>47</v>
      </c>
      <c r="AA814" s="4">
        <f>=ROUNDDOWN(235,0)</f>
      </c>
      <c r="AB814" s="5">
        <v>0.2</v>
      </c>
      <c r="AC814" s="2" t="s">
        <v>228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228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/>
      <c r="AW814" s="8"/>
      <c r="AX814" s="4"/>
      <c r="AY814" s="8"/>
      <c r="AZ814" s="7"/>
      <c r="BA814" s="7"/>
      <c r="BB814" s="7"/>
      <c r="BC814" s="4"/>
      <c r="BD814" s="8"/>
      <c r="BE814" s="4"/>
      <c r="BF814" s="8"/>
      <c r="BG814" s="7"/>
      <c r="BH814" s="7"/>
      <c r="BI814" s="7"/>
      <c r="BJ814" s="4">
        <v>3</v>
      </c>
      <c r="BK814" s="8">
        <v>823.11</v>
      </c>
      <c r="BL814" s="2" t="s">
        <v>995</v>
      </c>
      <c r="BM814" s="7"/>
      <c r="BN814" s="7"/>
      <c r="BO814" s="4"/>
      <c r="BP814" s="8"/>
      <c r="BQ814" s="4"/>
      <c r="BR814" s="8"/>
      <c r="BS814" s="7"/>
      <c r="BT814" s="7"/>
      <c r="BU814" s="2" t="s">
        <v>4518</v>
      </c>
      <c r="BV814" s="2" t="s">
        <v>228</v>
      </c>
      <c r="BW814" s="2" t="s">
        <v>228</v>
      </c>
      <c r="BX814" s="2" t="s">
        <v>337</v>
      </c>
      <c r="BY814" s="2" t="s">
        <v>274</v>
      </c>
      <c r="BZ814" s="2" t="s">
        <v>240</v>
      </c>
      <c r="CA814" s="2" t="s">
        <v>4519</v>
      </c>
      <c r="CB814" s="2" t="s">
        <v>4520</v>
      </c>
      <c r="CC814" s="2" t="s">
        <v>241</v>
      </c>
      <c r="CD814" s="2" t="s">
        <v>228</v>
      </c>
      <c r="CE814" s="4"/>
      <c r="CF814" s="4">
        <v>47</v>
      </c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</row>
    <row r="815">
      <c r="A815" s="2" t="s">
        <v>4521</v>
      </c>
      <c r="B815" s="2" t="s">
        <v>1276</v>
      </c>
      <c r="C815" s="2" t="s">
        <v>300</v>
      </c>
      <c r="D815" s="2" t="s">
        <v>1276</v>
      </c>
      <c r="E815" s="2" t="s">
        <v>1276</v>
      </c>
      <c r="F815" s="2" t="s">
        <v>4522</v>
      </c>
      <c r="G815" s="2" t="s">
        <v>4523</v>
      </c>
      <c r="H815" s="2" t="s">
        <v>4524</v>
      </c>
      <c r="I815" s="2" t="s">
        <v>4525</v>
      </c>
      <c r="J815" s="2" t="s">
        <v>4526</v>
      </c>
      <c r="K815" s="2" t="s">
        <v>1642</v>
      </c>
      <c r="L815" s="3">
        <v>24.44</v>
      </c>
      <c r="M815" s="3">
        <v>25.66</v>
      </c>
      <c r="N815" s="3">
        <v>54.99</v>
      </c>
      <c r="O815" s="2" t="s">
        <v>461</v>
      </c>
      <c r="P815" s="2" t="s">
        <v>333</v>
      </c>
      <c r="Q815" s="2" t="s">
        <v>234</v>
      </c>
      <c r="R815" s="2" t="s">
        <v>228</v>
      </c>
      <c r="S815" s="2" t="s">
        <v>228</v>
      </c>
      <c r="T815" s="2" t="s">
        <v>228</v>
      </c>
      <c r="U815" s="2" t="s">
        <v>416</v>
      </c>
      <c r="V815" s="2" t="s">
        <v>980</v>
      </c>
      <c r="W815" s="2" t="s">
        <v>2472</v>
      </c>
      <c r="X815" s="2" t="s">
        <v>228</v>
      </c>
      <c r="Y815" s="2" t="s">
        <v>4527</v>
      </c>
      <c r="Z815" s="4">
        <v>144</v>
      </c>
      <c r="AA815" s="4">
        <f>=ROUNDDOWN(1440,0)</f>
      </c>
      <c r="AB815" s="5">
        <v>0.1</v>
      </c>
      <c r="AC815" s="2" t="s">
        <v>228</v>
      </c>
      <c r="AD815" s="4"/>
      <c r="AE815" s="4"/>
      <c r="AF815" s="6">
        <v>63</v>
      </c>
      <c r="AG815" s="6"/>
      <c r="AH815" s="7">
        <v>1</v>
      </c>
      <c r="AI815" s="4"/>
      <c r="AJ815" s="4">
        <f>=ROUNDDOWN({0},0)</f>
      </c>
      <c r="AK815" s="5"/>
      <c r="AL815" s="2" t="s">
        <v>228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 t="s">
        <v>228</v>
      </c>
      <c r="AW815" s="8" t="s">
        <v>228</v>
      </c>
      <c r="AX815" s="4" t="s">
        <v>228</v>
      </c>
      <c r="AY815" s="8" t="s">
        <v>228</v>
      </c>
      <c r="AZ815" s="7" t="s">
        <v>228</v>
      </c>
      <c r="BA815" s="7" t="s">
        <v>228</v>
      </c>
      <c r="BB815" s="7"/>
      <c r="BC815" s="4" t="s">
        <v>228</v>
      </c>
      <c r="BD815" s="8" t="s">
        <v>228</v>
      </c>
      <c r="BE815" s="4" t="s">
        <v>228</v>
      </c>
      <c r="BF815" s="8" t="s">
        <v>228</v>
      </c>
      <c r="BG815" s="7" t="s">
        <v>228</v>
      </c>
      <c r="BH815" s="7" t="s">
        <v>228</v>
      </c>
      <c r="BI815" s="7"/>
      <c r="BJ815" s="4"/>
      <c r="BK815" s="8"/>
      <c r="BL815" s="2" t="s">
        <v>228</v>
      </c>
      <c r="BM815" s="7"/>
      <c r="BN815" s="7"/>
      <c r="BO815" s="4"/>
      <c r="BP815" s="8"/>
      <c r="BQ815" s="4"/>
      <c r="BR815" s="8"/>
      <c r="BS815" s="7"/>
      <c r="BT815" s="7"/>
      <c r="BU815" s="2" t="s">
        <v>4528</v>
      </c>
      <c r="BV815" s="2" t="s">
        <v>228</v>
      </c>
      <c r="BW815" s="2" t="s">
        <v>228</v>
      </c>
      <c r="BX815" s="2" t="s">
        <v>337</v>
      </c>
      <c r="BY815" s="2" t="s">
        <v>274</v>
      </c>
      <c r="BZ815" s="2" t="s">
        <v>240</v>
      </c>
      <c r="CA815" s="2" t="s">
        <v>997</v>
      </c>
      <c r="CB815" s="2" t="s">
        <v>897</v>
      </c>
      <c r="CC815" s="2" t="s">
        <v>241</v>
      </c>
      <c r="CD815" s="2" t="s">
        <v>228</v>
      </c>
      <c r="CE815" s="4"/>
      <c r="CF815" s="4">
        <v>144</v>
      </c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</row>
    <row r="816">
      <c r="A816" s="2" t="s">
        <v>4529</v>
      </c>
      <c r="B816" s="2" t="s">
        <v>1276</v>
      </c>
      <c r="C816" s="2" t="s">
        <v>300</v>
      </c>
      <c r="D816" s="2" t="s">
        <v>1276</v>
      </c>
      <c r="E816" s="2" t="s">
        <v>1276</v>
      </c>
      <c r="F816" s="2" t="s">
        <v>4522</v>
      </c>
      <c r="G816" s="2" t="s">
        <v>4523</v>
      </c>
      <c r="H816" s="2" t="s">
        <v>4524</v>
      </c>
      <c r="I816" s="2" t="s">
        <v>4525</v>
      </c>
      <c r="J816" s="2" t="s">
        <v>1937</v>
      </c>
      <c r="K816" s="2" t="s">
        <v>1642</v>
      </c>
      <c r="L816" s="3">
        <v>90.01</v>
      </c>
      <c r="M816" s="3">
        <v>94.51</v>
      </c>
      <c r="N816" s="3">
        <v>204.99</v>
      </c>
      <c r="O816" s="2" t="s">
        <v>461</v>
      </c>
      <c r="P816" s="2" t="s">
        <v>333</v>
      </c>
      <c r="Q816" s="2" t="s">
        <v>234</v>
      </c>
      <c r="R816" s="2" t="s">
        <v>228</v>
      </c>
      <c r="S816" s="2" t="s">
        <v>228</v>
      </c>
      <c r="T816" s="2" t="s">
        <v>228</v>
      </c>
      <c r="U816" s="2" t="s">
        <v>416</v>
      </c>
      <c r="V816" s="2" t="s">
        <v>980</v>
      </c>
      <c r="W816" s="2" t="s">
        <v>2472</v>
      </c>
      <c r="X816" s="2" t="s">
        <v>228</v>
      </c>
      <c r="Y816" s="2" t="s">
        <v>4527</v>
      </c>
      <c r="Z816" s="4">
        <v>110</v>
      </c>
      <c r="AA816" s="4">
        <f>=ROUNDDOWN(137.5,0)</f>
      </c>
      <c r="AB816" s="5">
        <v>0.8</v>
      </c>
      <c r="AC816" s="2" t="s">
        <v>228</v>
      </c>
      <c r="AD816" s="4"/>
      <c r="AE816" s="4"/>
      <c r="AF816" s="6">
        <v>63</v>
      </c>
      <c r="AG816" s="6"/>
      <c r="AH816" s="7">
        <v>1</v>
      </c>
      <c r="AI816" s="4"/>
      <c r="AJ816" s="4">
        <f>=ROUNDDOWN({0},0)</f>
      </c>
      <c r="AK816" s="5"/>
      <c r="AL816" s="2" t="s">
        <v>228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228</v>
      </c>
      <c r="AW816" s="8" t="s">
        <v>228</v>
      </c>
      <c r="AX816" s="4" t="s">
        <v>228</v>
      </c>
      <c r="AY816" s="8" t="s">
        <v>228</v>
      </c>
      <c r="AZ816" s="7" t="s">
        <v>228</v>
      </c>
      <c r="BA816" s="7" t="s">
        <v>228</v>
      </c>
      <c r="BB816" s="7"/>
      <c r="BC816" s="4" t="s">
        <v>228</v>
      </c>
      <c r="BD816" s="8" t="s">
        <v>228</v>
      </c>
      <c r="BE816" s="4" t="s">
        <v>228</v>
      </c>
      <c r="BF816" s="8" t="s">
        <v>228</v>
      </c>
      <c r="BG816" s="7" t="s">
        <v>228</v>
      </c>
      <c r="BH816" s="7" t="s">
        <v>228</v>
      </c>
      <c r="BI816" s="7"/>
      <c r="BJ816" s="4">
        <v>3</v>
      </c>
      <c r="BK816" s="8">
        <v>223.04</v>
      </c>
      <c r="BL816" s="2" t="s">
        <v>4465</v>
      </c>
      <c r="BM816" s="7"/>
      <c r="BN816" s="7"/>
      <c r="BO816" s="4"/>
      <c r="BP816" s="8"/>
      <c r="BQ816" s="4"/>
      <c r="BR816" s="8"/>
      <c r="BS816" s="7"/>
      <c r="BT816" s="7"/>
      <c r="BU816" s="2" t="s">
        <v>4530</v>
      </c>
      <c r="BV816" s="2" t="s">
        <v>228</v>
      </c>
      <c r="BW816" s="2" t="s">
        <v>228</v>
      </c>
      <c r="BX816" s="2" t="s">
        <v>337</v>
      </c>
      <c r="BY816" s="2" t="s">
        <v>274</v>
      </c>
      <c r="BZ816" s="2" t="s">
        <v>240</v>
      </c>
      <c r="CA816" s="2" t="s">
        <v>997</v>
      </c>
      <c r="CB816" s="2" t="s">
        <v>4509</v>
      </c>
      <c r="CC816" s="2" t="s">
        <v>241</v>
      </c>
      <c r="CD816" s="2" t="s">
        <v>228</v>
      </c>
      <c r="CE816" s="4"/>
      <c r="CF816" s="4">
        <v>110</v>
      </c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</row>
    <row r="817">
      <c r="A817" s="2" t="s">
        <v>4531</v>
      </c>
      <c r="B817" s="2" t="s">
        <v>1150</v>
      </c>
      <c r="C817" s="2" t="s">
        <v>300</v>
      </c>
      <c r="D817" s="2" t="s">
        <v>850</v>
      </c>
      <c r="E817" s="2" t="s">
        <v>851</v>
      </c>
      <c r="F817" s="2" t="s">
        <v>4532</v>
      </c>
      <c r="G817" s="2" t="s">
        <v>4533</v>
      </c>
      <c r="H817" s="2" t="s">
        <v>4534</v>
      </c>
      <c r="I817" s="2" t="s">
        <v>4535</v>
      </c>
      <c r="J817" s="2" t="s">
        <v>312</v>
      </c>
      <c r="K817" s="2" t="s">
        <v>978</v>
      </c>
      <c r="L817" s="3">
        <v>81.59</v>
      </c>
      <c r="M817" s="3">
        <v>85.67</v>
      </c>
      <c r="N817" s="3">
        <v>159.99</v>
      </c>
      <c r="O817" s="2" t="s">
        <v>240</v>
      </c>
      <c r="P817" s="2" t="s">
        <v>266</v>
      </c>
      <c r="Q817" s="2" t="s">
        <v>234</v>
      </c>
      <c r="R817" s="2" t="s">
        <v>228</v>
      </c>
      <c r="S817" s="2" t="s">
        <v>4536</v>
      </c>
      <c r="T817" s="2" t="s">
        <v>228</v>
      </c>
      <c r="U817" s="2" t="s">
        <v>1162</v>
      </c>
      <c r="V817" s="2" t="s">
        <v>1344</v>
      </c>
      <c r="W817" s="2" t="s">
        <v>1268</v>
      </c>
      <c r="X817" s="2" t="s">
        <v>4537</v>
      </c>
      <c r="Y817" s="2" t="s">
        <v>270</v>
      </c>
      <c r="Z817" s="4">
        <v>126</v>
      </c>
      <c r="AA817" s="4">
        <f>=ROUNDDOWN(63,0)</f>
      </c>
      <c r="AB817" s="5">
        <v>2</v>
      </c>
      <c r="AC817" s="2" t="s">
        <v>153</v>
      </c>
      <c r="AD817" s="4">
        <v>30</v>
      </c>
      <c r="AE817" s="4">
        <v>30</v>
      </c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228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/>
      <c r="AW817" s="8"/>
      <c r="AX817" s="4"/>
      <c r="AY817" s="8"/>
      <c r="AZ817" s="7"/>
      <c r="BA817" s="7"/>
      <c r="BB817" s="7"/>
      <c r="BC817" s="4"/>
      <c r="BD817" s="8"/>
      <c r="BE817" s="4"/>
      <c r="BF817" s="8"/>
      <c r="BG817" s="7"/>
      <c r="BH817" s="7"/>
      <c r="BI817" s="7"/>
      <c r="BJ817" s="4">
        <v>5</v>
      </c>
      <c r="BK817" s="8">
        <v>448.47</v>
      </c>
      <c r="BL817" s="2" t="s">
        <v>398</v>
      </c>
      <c r="BM817" s="7"/>
      <c r="BN817" s="7"/>
      <c r="BO817" s="4"/>
      <c r="BP817" s="8"/>
      <c r="BQ817" s="4"/>
      <c r="BR817" s="8"/>
      <c r="BS817" s="7"/>
      <c r="BT817" s="7"/>
      <c r="BU817" s="2" t="s">
        <v>4538</v>
      </c>
      <c r="BV817" s="2" t="s">
        <v>228</v>
      </c>
      <c r="BW817" s="2" t="s">
        <v>228</v>
      </c>
      <c r="BX817" s="2" t="s">
        <v>273</v>
      </c>
      <c r="BY817" s="2" t="s">
        <v>274</v>
      </c>
      <c r="BZ817" s="2" t="s">
        <v>240</v>
      </c>
      <c r="CA817" s="2" t="s">
        <v>275</v>
      </c>
      <c r="CB817" s="2" t="s">
        <v>1365</v>
      </c>
      <c r="CC817" s="2" t="s">
        <v>241</v>
      </c>
      <c r="CD817" s="2" t="s">
        <v>228</v>
      </c>
      <c r="CE817" s="4">
        <v>126</v>
      </c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>
        <v>30</v>
      </c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</row>
    <row r="818">
      <c r="A818" s="2" t="s">
        <v>4539</v>
      </c>
      <c r="B818" s="2" t="s">
        <v>958</v>
      </c>
      <c r="C818" s="2" t="s">
        <v>300</v>
      </c>
      <c r="D818" s="2" t="s">
        <v>1006</v>
      </c>
      <c r="E818" s="2" t="s">
        <v>1007</v>
      </c>
      <c r="F818" s="2" t="s">
        <v>4540</v>
      </c>
      <c r="G818" s="2" t="s">
        <v>4541</v>
      </c>
      <c r="H818" s="2" t="s">
        <v>4542</v>
      </c>
      <c r="I818" s="2" t="s">
        <v>4543</v>
      </c>
      <c r="J818" s="2" t="s">
        <v>840</v>
      </c>
      <c r="K818" s="2" t="s">
        <v>265</v>
      </c>
      <c r="L818" s="3">
        <v>190.4</v>
      </c>
      <c r="M818" s="3">
        <v>199.92</v>
      </c>
      <c r="N818" s="3">
        <v>399</v>
      </c>
      <c r="O818" s="2" t="s">
        <v>240</v>
      </c>
      <c r="P818" s="2" t="s">
        <v>266</v>
      </c>
      <c r="Q818" s="2" t="s">
        <v>234</v>
      </c>
      <c r="R818" s="2" t="s">
        <v>228</v>
      </c>
      <c r="S818" s="2" t="s">
        <v>4544</v>
      </c>
      <c r="T818" s="2" t="s">
        <v>228</v>
      </c>
      <c r="U818" s="2" t="s">
        <v>228</v>
      </c>
      <c r="V818" s="2" t="s">
        <v>236</v>
      </c>
      <c r="W818" s="2" t="s">
        <v>463</v>
      </c>
      <c r="X818" s="2" t="s">
        <v>228</v>
      </c>
      <c r="Y818" s="2" t="s">
        <v>3031</v>
      </c>
      <c r="Z818" s="4">
        <v>221</v>
      </c>
      <c r="AA818" s="4">
        <f>=ROUNDDOWN(36.8333333333333,0)</f>
      </c>
      <c r="AB818" s="5">
        <v>6</v>
      </c>
      <c r="AC818" s="2" t="s">
        <v>212</v>
      </c>
      <c r="AD818" s="4">
        <v>126</v>
      </c>
      <c r="AE818" s="4">
        <v>126</v>
      </c>
      <c r="AF818" s="6">
        <v>74</v>
      </c>
      <c r="AG818" s="6"/>
      <c r="AH818" s="7">
        <v>1</v>
      </c>
      <c r="AI818" s="4"/>
      <c r="AJ818" s="4">
        <f>=ROUNDDOWN({0},0)</f>
      </c>
      <c r="AK818" s="5"/>
      <c r="AL818" s="2" t="s">
        <v>228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/>
      <c r="AW818" s="8"/>
      <c r="AX818" s="4"/>
      <c r="AY818" s="8"/>
      <c r="AZ818" s="7"/>
      <c r="BA818" s="7"/>
      <c r="BB818" s="7"/>
      <c r="BC818" s="4" t="s">
        <v>228</v>
      </c>
      <c r="BD818" s="8" t="s">
        <v>228</v>
      </c>
      <c r="BE818" s="4" t="s">
        <v>228</v>
      </c>
      <c r="BF818" s="8" t="s">
        <v>228</v>
      </c>
      <c r="BG818" s="7" t="s">
        <v>228</v>
      </c>
      <c r="BH818" s="7" t="s">
        <v>228</v>
      </c>
      <c r="BI818" s="7"/>
      <c r="BJ818" s="4">
        <v>30</v>
      </c>
      <c r="BK818" s="8">
        <v>5780.56</v>
      </c>
      <c r="BL818" s="2" t="s">
        <v>4545</v>
      </c>
      <c r="BM818" s="7"/>
      <c r="BN818" s="7"/>
      <c r="BO818" s="4"/>
      <c r="BP818" s="8"/>
      <c r="BQ818" s="4"/>
      <c r="BR818" s="8"/>
      <c r="BS818" s="7"/>
      <c r="BT818" s="7"/>
      <c r="BU818" s="2" t="s">
        <v>4546</v>
      </c>
      <c r="BV818" s="2" t="s">
        <v>228</v>
      </c>
      <c r="BW818" s="2" t="s">
        <v>228</v>
      </c>
      <c r="BX818" s="2" t="s">
        <v>273</v>
      </c>
      <c r="BY818" s="2" t="s">
        <v>274</v>
      </c>
      <c r="BZ818" s="2" t="s">
        <v>240</v>
      </c>
      <c r="CA818" s="2" t="s">
        <v>3034</v>
      </c>
      <c r="CB818" s="2" t="s">
        <v>4547</v>
      </c>
      <c r="CC818" s="2" t="s">
        <v>241</v>
      </c>
      <c r="CD818" s="2" t="s">
        <v>228</v>
      </c>
      <c r="CE818" s="4"/>
      <c r="CF818" s="4">
        <v>221</v>
      </c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>
        <v>126</v>
      </c>
      <c r="GW818" s="4"/>
      <c r="GX818" s="4"/>
      <c r="GY818" s="4"/>
      <c r="GZ818" s="4"/>
      <c r="HA818" s="4"/>
      <c r="HB818" s="4"/>
      <c r="HC818" s="4"/>
      <c r="HD818" s="4"/>
      <c r="HE818" s="4"/>
    </row>
    <row r="819">
      <c r="A819" s="2" t="s">
        <v>4548</v>
      </c>
      <c r="B819" s="2" t="s">
        <v>958</v>
      </c>
      <c r="C819" s="2" t="s">
        <v>300</v>
      </c>
      <c r="D819" s="2" t="s">
        <v>1006</v>
      </c>
      <c r="E819" s="2" t="s">
        <v>1007</v>
      </c>
      <c r="F819" s="2" t="s">
        <v>4540</v>
      </c>
      <c r="G819" s="2" t="s">
        <v>4541</v>
      </c>
      <c r="H819" s="2" t="s">
        <v>4542</v>
      </c>
      <c r="I819" s="2" t="s">
        <v>4543</v>
      </c>
      <c r="J819" s="2" t="s">
        <v>840</v>
      </c>
      <c r="K819" s="2" t="s">
        <v>249</v>
      </c>
      <c r="L819" s="3">
        <v>190.4</v>
      </c>
      <c r="M819" s="3">
        <v>199.92</v>
      </c>
      <c r="N819" s="3">
        <v>399</v>
      </c>
      <c r="O819" s="2" t="s">
        <v>461</v>
      </c>
      <c r="P819" s="2" t="s">
        <v>333</v>
      </c>
      <c r="Q819" s="2" t="s">
        <v>234</v>
      </c>
      <c r="R819" s="2" t="s">
        <v>228</v>
      </c>
      <c r="S819" s="2" t="s">
        <v>228</v>
      </c>
      <c r="T819" s="2" t="s">
        <v>228</v>
      </c>
      <c r="U819" s="2" t="s">
        <v>228</v>
      </c>
      <c r="V819" s="2" t="s">
        <v>236</v>
      </c>
      <c r="W819" s="2" t="s">
        <v>463</v>
      </c>
      <c r="X819" s="2" t="s">
        <v>228</v>
      </c>
      <c r="Y819" s="2" t="s">
        <v>1055</v>
      </c>
      <c r="Z819" s="4">
        <v>79</v>
      </c>
      <c r="AA819" s="4">
        <f>=ROUNDDOWN(60.7692307692308,0)</f>
      </c>
      <c r="AB819" s="5">
        <v>1.3</v>
      </c>
      <c r="AC819" s="2" t="s">
        <v>228</v>
      </c>
      <c r="AD819" s="4"/>
      <c r="AE819" s="4"/>
      <c r="AF819" s="6">
        <v>74</v>
      </c>
      <c r="AG819" s="6"/>
      <c r="AH819" s="7">
        <v>1</v>
      </c>
      <c r="AI819" s="4"/>
      <c r="AJ819" s="4">
        <f>=ROUNDDOWN({0},0)</f>
      </c>
      <c r="AK819" s="5"/>
      <c r="AL819" s="2" t="s">
        <v>228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/>
      <c r="AW819" s="8"/>
      <c r="AX819" s="4"/>
      <c r="AY819" s="8"/>
      <c r="AZ819" s="7"/>
      <c r="BA819" s="7"/>
      <c r="BB819" s="7"/>
      <c r="BC819" s="4" t="s">
        <v>228</v>
      </c>
      <c r="BD819" s="8" t="s">
        <v>228</v>
      </c>
      <c r="BE819" s="4" t="s">
        <v>228</v>
      </c>
      <c r="BF819" s="8" t="s">
        <v>228</v>
      </c>
      <c r="BG819" s="7" t="s">
        <v>228</v>
      </c>
      <c r="BH819" s="7" t="s">
        <v>228</v>
      </c>
      <c r="BI819" s="7"/>
      <c r="BJ819" s="4">
        <v>6</v>
      </c>
      <c r="BK819" s="8">
        <v>818.22</v>
      </c>
      <c r="BL819" s="2" t="s">
        <v>1921</v>
      </c>
      <c r="BM819" s="7"/>
      <c r="BN819" s="7"/>
      <c r="BO819" s="4"/>
      <c r="BP819" s="8"/>
      <c r="BQ819" s="4"/>
      <c r="BR819" s="8"/>
      <c r="BS819" s="7"/>
      <c r="BT819" s="7"/>
      <c r="BU819" s="2" t="s">
        <v>4549</v>
      </c>
      <c r="BV819" s="2" t="s">
        <v>228</v>
      </c>
      <c r="BW819" s="2" t="s">
        <v>228</v>
      </c>
      <c r="BX819" s="2" t="s">
        <v>337</v>
      </c>
      <c r="BY819" s="2" t="s">
        <v>274</v>
      </c>
      <c r="BZ819" s="2" t="s">
        <v>240</v>
      </c>
      <c r="CA819" s="2" t="s">
        <v>4550</v>
      </c>
      <c r="CB819" s="2" t="s">
        <v>4551</v>
      </c>
      <c r="CC819" s="2" t="s">
        <v>241</v>
      </c>
      <c r="CD819" s="2" t="s">
        <v>228</v>
      </c>
      <c r="CE819" s="4"/>
      <c r="CF819" s="4">
        <v>79</v>
      </c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</row>
    <row r="820">
      <c r="A820" s="2" t="s">
        <v>4552</v>
      </c>
      <c r="B820" s="2" t="s">
        <v>958</v>
      </c>
      <c r="C820" s="2" t="s">
        <v>885</v>
      </c>
      <c r="D820" s="2" t="s">
        <v>959</v>
      </c>
      <c r="E820" s="2" t="s">
        <v>960</v>
      </c>
      <c r="F820" s="2" t="s">
        <v>4553</v>
      </c>
      <c r="G820" s="2" t="s">
        <v>4553</v>
      </c>
      <c r="H820" s="2" t="s">
        <v>4553</v>
      </c>
      <c r="I820" s="2" t="s">
        <v>2560</v>
      </c>
      <c r="J820" s="2" t="s">
        <v>840</v>
      </c>
      <c r="K820" s="2" t="s">
        <v>1466</v>
      </c>
      <c r="L820" s="3">
        <v>286.69</v>
      </c>
      <c r="M820" s="3">
        <v>301.02</v>
      </c>
      <c r="N820" s="3">
        <v>599</v>
      </c>
      <c r="O820" s="2" t="s">
        <v>240</v>
      </c>
      <c r="P820" s="2" t="s">
        <v>266</v>
      </c>
      <c r="Q820" s="2" t="s">
        <v>234</v>
      </c>
      <c r="R820" s="2" t="s">
        <v>228</v>
      </c>
      <c r="S820" s="2" t="s">
        <v>228</v>
      </c>
      <c r="T820" s="2" t="s">
        <v>228</v>
      </c>
      <c r="U820" s="2" t="s">
        <v>416</v>
      </c>
      <c r="V820" s="2" t="s">
        <v>980</v>
      </c>
      <c r="W820" s="2" t="s">
        <v>463</v>
      </c>
      <c r="X820" s="2" t="s">
        <v>892</v>
      </c>
      <c r="Y820" s="2" t="s">
        <v>4554</v>
      </c>
      <c r="Z820" s="4">
        <v>76</v>
      </c>
      <c r="AA820" s="4">
        <f>=ROUNDDOWN(6.33333333333333,0)</f>
      </c>
      <c r="AB820" s="5">
        <v>12</v>
      </c>
      <c r="AC820" s="2" t="s">
        <v>162</v>
      </c>
      <c r="AD820" s="4">
        <v>165</v>
      </c>
      <c r="AE820" s="4">
        <v>183</v>
      </c>
      <c r="AF820" s="6">
        <v>66</v>
      </c>
      <c r="AG820" s="6">
        <v>49</v>
      </c>
      <c r="AH820" s="7">
        <v>1</v>
      </c>
      <c r="AI820" s="4"/>
      <c r="AJ820" s="4">
        <f>=ROUNDDOWN({0},0)</f>
      </c>
      <c r="AK820" s="5"/>
      <c r="AL820" s="2" t="s">
        <v>228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/>
      <c r="AW820" s="8"/>
      <c r="AX820" s="4"/>
      <c r="AY820" s="8"/>
      <c r="AZ820" s="7"/>
      <c r="BA820" s="7"/>
      <c r="BB820" s="7"/>
      <c r="BC820" s="4"/>
      <c r="BD820" s="8"/>
      <c r="BE820" s="4"/>
      <c r="BF820" s="8"/>
      <c r="BG820" s="7"/>
      <c r="BH820" s="7"/>
      <c r="BI820" s="7"/>
      <c r="BJ820" s="4">
        <v>57</v>
      </c>
      <c r="BK820" s="8">
        <v>15116.37</v>
      </c>
      <c r="BL820" s="2" t="s">
        <v>4555</v>
      </c>
      <c r="BM820" s="7"/>
      <c r="BN820" s="7"/>
      <c r="BO820" s="4"/>
      <c r="BP820" s="8"/>
      <c r="BQ820" s="4"/>
      <c r="BR820" s="8"/>
      <c r="BS820" s="7"/>
      <c r="BT820" s="7"/>
      <c r="BU820" s="2" t="s">
        <v>4556</v>
      </c>
      <c r="BV820" s="2" t="s">
        <v>228</v>
      </c>
      <c r="BW820" s="2" t="s">
        <v>228</v>
      </c>
      <c r="BX820" s="2" t="s">
        <v>273</v>
      </c>
      <c r="BY820" s="2" t="s">
        <v>274</v>
      </c>
      <c r="BZ820" s="2" t="s">
        <v>240</v>
      </c>
      <c r="CA820" s="2" t="s">
        <v>4557</v>
      </c>
      <c r="CB820" s="2" t="s">
        <v>2095</v>
      </c>
      <c r="CC820" s="2" t="s">
        <v>241</v>
      </c>
      <c r="CD820" s="2" t="s">
        <v>228</v>
      </c>
      <c r="CE820" s="4"/>
      <c r="CF820" s="4">
        <v>76</v>
      </c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>
        <v>165</v>
      </c>
      <c r="EY820" s="4"/>
      <c r="EZ820" s="4"/>
      <c r="FA820" s="4"/>
      <c r="FB820" s="4">
        <v>18</v>
      </c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</row>
    <row r="821">
      <c r="A821" s="2" t="s">
        <v>4558</v>
      </c>
      <c r="B821" s="2" t="s">
        <v>866</v>
      </c>
      <c r="C821" s="2" t="s">
        <v>835</v>
      </c>
      <c r="D821" s="2" t="s">
        <v>899</v>
      </c>
      <c r="E821" s="2" t="s">
        <v>877</v>
      </c>
      <c r="F821" s="2" t="s">
        <v>4559</v>
      </c>
      <c r="G821" s="2" t="s">
        <v>4559</v>
      </c>
      <c r="H821" s="2" t="s">
        <v>4559</v>
      </c>
      <c r="I821" s="2" t="s">
        <v>4560</v>
      </c>
      <c r="J821" s="2" t="s">
        <v>840</v>
      </c>
      <c r="K821" s="2" t="s">
        <v>265</v>
      </c>
      <c r="L821" s="3">
        <v>45.71</v>
      </c>
      <c r="M821" s="3">
        <v>48</v>
      </c>
      <c r="N821" s="3">
        <v>99.99</v>
      </c>
      <c r="O821" s="2" t="s">
        <v>240</v>
      </c>
      <c r="P821" s="2" t="s">
        <v>1012</v>
      </c>
      <c r="Q821" s="2" t="s">
        <v>234</v>
      </c>
      <c r="R821" s="2" t="s">
        <v>228</v>
      </c>
      <c r="S821" s="2" t="s">
        <v>228</v>
      </c>
      <c r="T821" s="2" t="s">
        <v>228</v>
      </c>
      <c r="U821" s="2" t="s">
        <v>416</v>
      </c>
      <c r="V821" s="2" t="s">
        <v>842</v>
      </c>
      <c r="W821" s="2" t="s">
        <v>1267</v>
      </c>
      <c r="X821" s="2" t="s">
        <v>1761</v>
      </c>
      <c r="Y821" s="2" t="s">
        <v>2049</v>
      </c>
      <c r="Z821" s="4">
        <v>54</v>
      </c>
      <c r="AA821" s="4">
        <f>=ROUNDDOWN(54,0)</f>
      </c>
      <c r="AB821" s="5">
        <v>1</v>
      </c>
      <c r="AC821" s="2" t="s">
        <v>228</v>
      </c>
      <c r="AD821" s="4"/>
      <c r="AE821" s="4"/>
      <c r="AF821" s="6">
        <v>63</v>
      </c>
      <c r="AG821" s="6"/>
      <c r="AH821" s="7">
        <v>1</v>
      </c>
      <c r="AI821" s="4"/>
      <c r="AJ821" s="4">
        <f>=ROUNDDOWN({0},0)</f>
      </c>
      <c r="AK821" s="5"/>
      <c r="AL821" s="2" t="s">
        <v>228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/>
      <c r="AW821" s="8"/>
      <c r="AX821" s="4"/>
      <c r="AY821" s="8"/>
      <c r="AZ821" s="7"/>
      <c r="BA821" s="7"/>
      <c r="BB821" s="7"/>
      <c r="BC821" s="4"/>
      <c r="BD821" s="8"/>
      <c r="BE821" s="4"/>
      <c r="BF821" s="8"/>
      <c r="BG821" s="7"/>
      <c r="BH821" s="7"/>
      <c r="BI821" s="7"/>
      <c r="BJ821" s="4">
        <v>3</v>
      </c>
      <c r="BK821" s="8">
        <v>169.59</v>
      </c>
      <c r="BL821" s="2" t="s">
        <v>807</v>
      </c>
      <c r="BM821" s="7"/>
      <c r="BN821" s="7"/>
      <c r="BO821" s="4"/>
      <c r="BP821" s="8"/>
      <c r="BQ821" s="4"/>
      <c r="BR821" s="8"/>
      <c r="BS821" s="7"/>
      <c r="BT821" s="7"/>
      <c r="BU821" s="2" t="s">
        <v>4561</v>
      </c>
      <c r="BV821" s="2" t="s">
        <v>228</v>
      </c>
      <c r="BW821" s="2" t="s">
        <v>228</v>
      </c>
      <c r="BX821" s="2" t="s">
        <v>273</v>
      </c>
      <c r="BY821" s="2" t="s">
        <v>274</v>
      </c>
      <c r="BZ821" s="2" t="s">
        <v>240</v>
      </c>
      <c r="CA821" s="2" t="s">
        <v>2045</v>
      </c>
      <c r="CB821" s="2" t="s">
        <v>2812</v>
      </c>
      <c r="CC821" s="2" t="s">
        <v>241</v>
      </c>
      <c r="CD821" s="2" t="s">
        <v>228</v>
      </c>
      <c r="CE821" s="4"/>
      <c r="CF821" s="4">
        <v>54</v>
      </c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</row>
    <row r="822">
      <c r="A822" s="2" t="s">
        <v>4562</v>
      </c>
      <c r="B822" s="2" t="s">
        <v>834</v>
      </c>
      <c r="C822" s="2" t="s">
        <v>1743</v>
      </c>
      <c r="D822" s="2" t="s">
        <v>836</v>
      </c>
      <c r="E822" s="2" t="s">
        <v>837</v>
      </c>
      <c r="F822" s="2" t="s">
        <v>4563</v>
      </c>
      <c r="G822" s="2" t="s">
        <v>4563</v>
      </c>
      <c r="H822" s="2" t="s">
        <v>4563</v>
      </c>
      <c r="I822" s="2" t="s">
        <v>4564</v>
      </c>
      <c r="J822" s="2" t="s">
        <v>840</v>
      </c>
      <c r="K822" s="2" t="s">
        <v>305</v>
      </c>
      <c r="L822" s="3">
        <v>117.76</v>
      </c>
      <c r="M822" s="3">
        <v>123.65</v>
      </c>
      <c r="N822" s="3">
        <v>279.99</v>
      </c>
      <c r="O822" s="2" t="s">
        <v>461</v>
      </c>
      <c r="P822" s="2" t="s">
        <v>333</v>
      </c>
      <c r="Q822" s="2" t="s">
        <v>234</v>
      </c>
      <c r="R822" s="2" t="s">
        <v>228</v>
      </c>
      <c r="S822" s="2" t="s">
        <v>228</v>
      </c>
      <c r="T822" s="2" t="s">
        <v>228</v>
      </c>
      <c r="U822" s="2" t="s">
        <v>416</v>
      </c>
      <c r="V822" s="2" t="s">
        <v>842</v>
      </c>
      <c r="W822" s="2" t="s">
        <v>417</v>
      </c>
      <c r="X822" s="2" t="s">
        <v>463</v>
      </c>
      <c r="Y822" s="2" t="s">
        <v>472</v>
      </c>
      <c r="Z822" s="4">
        <v>64</v>
      </c>
      <c r="AA822" s="4">
        <f>=ROUNDDOWN(91.4285714285714,0)</f>
      </c>
      <c r="AB822" s="5">
        <v>0.7</v>
      </c>
      <c r="AC822" s="2" t="s">
        <v>228</v>
      </c>
      <c r="AD822" s="4"/>
      <c r="AE822" s="4"/>
      <c r="AF822" s="6">
        <v>63</v>
      </c>
      <c r="AG822" s="6"/>
      <c r="AH822" s="7">
        <v>1</v>
      </c>
      <c r="AI822" s="4"/>
      <c r="AJ822" s="4">
        <f>=ROUNDDOWN({0},0)</f>
      </c>
      <c r="AK822" s="5"/>
      <c r="AL822" s="2" t="s">
        <v>228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/>
      <c r="AW822" s="8"/>
      <c r="AX822" s="4"/>
      <c r="AY822" s="8"/>
      <c r="AZ822" s="7"/>
      <c r="BA822" s="7"/>
      <c r="BB822" s="7"/>
      <c r="BC822" s="4"/>
      <c r="BD822" s="8"/>
      <c r="BE822" s="4"/>
      <c r="BF822" s="8"/>
      <c r="BG822" s="7"/>
      <c r="BH822" s="7"/>
      <c r="BI822" s="7"/>
      <c r="BJ822" s="4"/>
      <c r="BK822" s="8"/>
      <c r="BL822" s="2" t="s">
        <v>4565</v>
      </c>
      <c r="BM822" s="7"/>
      <c r="BN822" s="7"/>
      <c r="BO822" s="4"/>
      <c r="BP822" s="8"/>
      <c r="BQ822" s="4"/>
      <c r="BR822" s="8"/>
      <c r="BS822" s="7"/>
      <c r="BT822" s="7"/>
      <c r="BU822" s="2" t="s">
        <v>4566</v>
      </c>
      <c r="BV822" s="2" t="s">
        <v>228</v>
      </c>
      <c r="BW822" s="2" t="s">
        <v>228</v>
      </c>
      <c r="BX822" s="2" t="s">
        <v>337</v>
      </c>
      <c r="BY822" s="2" t="s">
        <v>274</v>
      </c>
      <c r="BZ822" s="2" t="s">
        <v>240</v>
      </c>
      <c r="CA822" s="2" t="s">
        <v>845</v>
      </c>
      <c r="CB822" s="2" t="s">
        <v>812</v>
      </c>
      <c r="CC822" s="2" t="s">
        <v>241</v>
      </c>
      <c r="CD822" s="2" t="s">
        <v>228</v>
      </c>
      <c r="CE822" s="4"/>
      <c r="CF822" s="4">
        <v>64</v>
      </c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</row>
    <row r="823">
      <c r="A823" s="2" t="s">
        <v>4567</v>
      </c>
      <c r="B823" s="2" t="s">
        <v>958</v>
      </c>
      <c r="C823" s="2" t="s">
        <v>300</v>
      </c>
      <c r="D823" s="2" t="s">
        <v>959</v>
      </c>
      <c r="E823" s="2" t="s">
        <v>960</v>
      </c>
      <c r="F823" s="2" t="s">
        <v>4568</v>
      </c>
      <c r="G823" s="2" t="s">
        <v>4569</v>
      </c>
      <c r="H823" s="2" t="s">
        <v>4570</v>
      </c>
      <c r="I823" s="2" t="s">
        <v>4571</v>
      </c>
      <c r="J823" s="2" t="s">
        <v>840</v>
      </c>
      <c r="K823" s="2" t="s">
        <v>888</v>
      </c>
      <c r="L823" s="3">
        <v>202.5</v>
      </c>
      <c r="M823" s="3">
        <v>212.62</v>
      </c>
      <c r="N823" s="3">
        <v>429</v>
      </c>
      <c r="O823" s="2" t="s">
        <v>240</v>
      </c>
      <c r="P823" s="2" t="s">
        <v>1012</v>
      </c>
      <c r="Q823" s="2" t="s">
        <v>234</v>
      </c>
      <c r="R823" s="2" t="s">
        <v>228</v>
      </c>
      <c r="S823" s="2" t="s">
        <v>4572</v>
      </c>
      <c r="T823" s="2" t="s">
        <v>228</v>
      </c>
      <c r="U823" s="2" t="s">
        <v>228</v>
      </c>
      <c r="V823" s="2" t="s">
        <v>1644</v>
      </c>
      <c r="W823" s="2" t="s">
        <v>417</v>
      </c>
      <c r="X823" s="2" t="s">
        <v>228</v>
      </c>
      <c r="Y823" s="2" t="s">
        <v>270</v>
      </c>
      <c r="Z823" s="4">
        <v>92</v>
      </c>
      <c r="AA823" s="4">
        <f>=ROUNDDOWN(23,0)</f>
      </c>
      <c r="AB823" s="5">
        <v>4</v>
      </c>
      <c r="AC823" s="2" t="s">
        <v>187</v>
      </c>
      <c r="AD823" s="4">
        <v>63</v>
      </c>
      <c r="AE823" s="4">
        <v>63</v>
      </c>
      <c r="AF823" s="6">
        <v>66</v>
      </c>
      <c r="AG823" s="6">
        <v>49</v>
      </c>
      <c r="AH823" s="7">
        <v>1</v>
      </c>
      <c r="AI823" s="4"/>
      <c r="AJ823" s="4">
        <f>=ROUNDDOWN({0},0)</f>
      </c>
      <c r="AK823" s="5"/>
      <c r="AL823" s="2" t="s">
        <v>228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/>
      <c r="AW823" s="8"/>
      <c r="AX823" s="4"/>
      <c r="AY823" s="8"/>
      <c r="AZ823" s="7"/>
      <c r="BA823" s="7"/>
      <c r="BB823" s="7"/>
      <c r="BC823" s="4"/>
      <c r="BD823" s="8"/>
      <c r="BE823" s="4"/>
      <c r="BF823" s="8"/>
      <c r="BG823" s="7"/>
      <c r="BH823" s="7"/>
      <c r="BI823" s="7"/>
      <c r="BJ823" s="4">
        <v>10</v>
      </c>
      <c r="BK823" s="8">
        <v>1738.36</v>
      </c>
      <c r="BL823" s="2" t="s">
        <v>4573</v>
      </c>
      <c r="BM823" s="7"/>
      <c r="BN823" s="7"/>
      <c r="BO823" s="4"/>
      <c r="BP823" s="8"/>
      <c r="BQ823" s="4"/>
      <c r="BR823" s="8"/>
      <c r="BS823" s="7"/>
      <c r="BT823" s="7"/>
      <c r="BU823" s="2" t="s">
        <v>4574</v>
      </c>
      <c r="BV823" s="2" t="s">
        <v>228</v>
      </c>
      <c r="BW823" s="2" t="s">
        <v>228</v>
      </c>
      <c r="BX823" s="2" t="s">
        <v>273</v>
      </c>
      <c r="BY823" s="2" t="s">
        <v>274</v>
      </c>
      <c r="BZ823" s="2" t="s">
        <v>240</v>
      </c>
      <c r="CA823" s="2" t="s">
        <v>275</v>
      </c>
      <c r="CB823" s="2" t="s">
        <v>4575</v>
      </c>
      <c r="CC823" s="2" t="s">
        <v>241</v>
      </c>
      <c r="CD823" s="2" t="s">
        <v>228</v>
      </c>
      <c r="CE823" s="4"/>
      <c r="CF823" s="4">
        <v>90</v>
      </c>
      <c r="CG823" s="4"/>
      <c r="CH823" s="4">
        <v>2</v>
      </c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>
        <v>63</v>
      </c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</row>
    <row r="824">
      <c r="A824" s="2" t="s">
        <v>4576</v>
      </c>
      <c r="B824" s="2" t="s">
        <v>958</v>
      </c>
      <c r="C824" s="2" t="s">
        <v>300</v>
      </c>
      <c r="D824" s="2" t="s">
        <v>959</v>
      </c>
      <c r="E824" s="2" t="s">
        <v>960</v>
      </c>
      <c r="F824" s="2" t="s">
        <v>4577</v>
      </c>
      <c r="G824" s="2" t="s">
        <v>4578</v>
      </c>
      <c r="H824" s="2" t="s">
        <v>4579</v>
      </c>
      <c r="I824" s="2" t="s">
        <v>4580</v>
      </c>
      <c r="J824" s="2" t="s">
        <v>840</v>
      </c>
      <c r="K824" s="2" t="s">
        <v>4581</v>
      </c>
      <c r="L824" s="3">
        <v>560.44</v>
      </c>
      <c r="M824" s="3">
        <v>588.46</v>
      </c>
      <c r="N824" s="3">
        <v>1179</v>
      </c>
      <c r="O824" s="2" t="s">
        <v>240</v>
      </c>
      <c r="P824" s="2" t="s">
        <v>1022</v>
      </c>
      <c r="Q824" s="2" t="s">
        <v>234</v>
      </c>
      <c r="R824" s="2" t="s">
        <v>16</v>
      </c>
      <c r="S824" s="2" t="s">
        <v>4582</v>
      </c>
      <c r="T824" s="2" t="s">
        <v>228</v>
      </c>
      <c r="U824" s="2" t="s">
        <v>520</v>
      </c>
      <c r="V824" s="2" t="s">
        <v>236</v>
      </c>
      <c r="W824" s="2" t="s">
        <v>463</v>
      </c>
      <c r="X824" s="2" t="s">
        <v>417</v>
      </c>
      <c r="Y824" s="2" t="s">
        <v>4583</v>
      </c>
      <c r="Z824" s="4">
        <v>178</v>
      </c>
      <c r="AA824" s="4">
        <f>=ROUNDDOWN({0},0)</f>
      </c>
      <c r="AB824" s="5"/>
      <c r="AC824" s="2" t="s">
        <v>3106</v>
      </c>
      <c r="AD824" s="4">
        <v>141</v>
      </c>
      <c r="AE824" s="4">
        <v>149</v>
      </c>
      <c r="AF824" s="6"/>
      <c r="AG824" s="6"/>
      <c r="AH824" s="7">
        <v>1</v>
      </c>
      <c r="AI824" s="4"/>
      <c r="AJ824" s="4">
        <f>=ROUNDDOWN({0},0)</f>
      </c>
      <c r="AK824" s="5"/>
      <c r="AL824" s="2" t="s">
        <v>228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228</v>
      </c>
      <c r="AW824" s="8" t="s">
        <v>228</v>
      </c>
      <c r="AX824" s="4" t="s">
        <v>228</v>
      </c>
      <c r="AY824" s="8" t="s">
        <v>228</v>
      </c>
      <c r="AZ824" s="7" t="s">
        <v>228</v>
      </c>
      <c r="BA824" s="7" t="s">
        <v>228</v>
      </c>
      <c r="BB824" s="7" t="s">
        <v>228</v>
      </c>
      <c r="BC824" s="4" t="s">
        <v>228</v>
      </c>
      <c r="BD824" s="8" t="s">
        <v>228</v>
      </c>
      <c r="BE824" s="4" t="s">
        <v>228</v>
      </c>
      <c r="BF824" s="8" t="s">
        <v>228</v>
      </c>
      <c r="BG824" s="7" t="s">
        <v>228</v>
      </c>
      <c r="BH824" s="7" t="s">
        <v>228</v>
      </c>
      <c r="BI824" s="7"/>
      <c r="BJ824" s="4"/>
      <c r="BK824" s="8"/>
      <c r="BL824" s="2" t="s">
        <v>228</v>
      </c>
      <c r="BM824" s="7"/>
      <c r="BN824" s="7"/>
      <c r="BO824" s="4"/>
      <c r="BP824" s="8"/>
      <c r="BQ824" s="4"/>
      <c r="BR824" s="8"/>
      <c r="BS824" s="7"/>
      <c r="BT824" s="7"/>
      <c r="BU824" s="2" t="s">
        <v>4584</v>
      </c>
      <c r="BV824" s="2" t="s">
        <v>228</v>
      </c>
      <c r="BW824" s="2" t="s">
        <v>228</v>
      </c>
      <c r="BX824" s="2" t="s">
        <v>273</v>
      </c>
      <c r="BY824" s="2" t="s">
        <v>274</v>
      </c>
      <c r="BZ824" s="2" t="s">
        <v>240</v>
      </c>
      <c r="CA824" s="2" t="s">
        <v>1026</v>
      </c>
      <c r="CB824" s="2" t="s">
        <v>228</v>
      </c>
      <c r="CC824" s="2" t="s">
        <v>241</v>
      </c>
      <c r="CD824" s="2" t="s">
        <v>228</v>
      </c>
      <c r="CE824" s="4"/>
      <c r="CF824" s="4">
        <v>178</v>
      </c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>
        <v>141</v>
      </c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>
        <v>8</v>
      </c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</row>
    <row r="825">
      <c r="A825" s="2" t="s">
        <v>4585</v>
      </c>
      <c r="B825" s="2" t="s">
        <v>958</v>
      </c>
      <c r="C825" s="2" t="s">
        <v>300</v>
      </c>
      <c r="D825" s="2" t="s">
        <v>1790</v>
      </c>
      <c r="E825" s="2" t="s">
        <v>1791</v>
      </c>
      <c r="F825" s="2" t="s">
        <v>4577</v>
      </c>
      <c r="G825" s="2" t="s">
        <v>4578</v>
      </c>
      <c r="H825" s="2" t="s">
        <v>4579</v>
      </c>
      <c r="I825" s="2" t="s">
        <v>4586</v>
      </c>
      <c r="J825" s="2" t="s">
        <v>840</v>
      </c>
      <c r="K825" s="2" t="s">
        <v>4581</v>
      </c>
      <c r="L825" s="3">
        <v>144</v>
      </c>
      <c r="M825" s="3">
        <v>151.2</v>
      </c>
      <c r="N825" s="3">
        <v>299</v>
      </c>
      <c r="O825" s="2" t="s">
        <v>240</v>
      </c>
      <c r="P825" s="2" t="s">
        <v>815</v>
      </c>
      <c r="Q825" s="2" t="s">
        <v>234</v>
      </c>
      <c r="R825" s="2" t="s">
        <v>228</v>
      </c>
      <c r="S825" s="2" t="s">
        <v>228</v>
      </c>
      <c r="T825" s="2" t="s">
        <v>228</v>
      </c>
      <c r="U825" s="2" t="s">
        <v>416</v>
      </c>
      <c r="V825" s="2" t="s">
        <v>842</v>
      </c>
      <c r="W825" s="2" t="s">
        <v>463</v>
      </c>
      <c r="X825" s="2" t="s">
        <v>417</v>
      </c>
      <c r="Y825" s="2" t="s">
        <v>2923</v>
      </c>
      <c r="Z825" s="4"/>
      <c r="AA825" s="4">
        <f>=ROUNDDOWN({0},0)</f>
      </c>
      <c r="AB825" s="5">
        <v>65</v>
      </c>
      <c r="AC825" s="2" t="s">
        <v>3106</v>
      </c>
      <c r="AD825" s="4">
        <v>210</v>
      </c>
      <c r="AE825" s="4">
        <v>1870</v>
      </c>
      <c r="AF825" s="6">
        <v>66</v>
      </c>
      <c r="AG825" s="6">
        <v>49</v>
      </c>
      <c r="AH825" s="7">
        <v>0</v>
      </c>
      <c r="AI825" s="4"/>
      <c r="AJ825" s="4">
        <f>=ROUNDDOWN({0},0)</f>
      </c>
      <c r="AK825" s="5"/>
      <c r="AL825" s="2" t="s">
        <v>228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228</v>
      </c>
      <c r="AW825" s="8" t="s">
        <v>228</v>
      </c>
      <c r="AX825" s="4" t="s">
        <v>228</v>
      </c>
      <c r="AY825" s="8" t="s">
        <v>228</v>
      </c>
      <c r="AZ825" s="7" t="s">
        <v>228</v>
      </c>
      <c r="BA825" s="7" t="s">
        <v>228</v>
      </c>
      <c r="BB825" s="7" t="s">
        <v>228</v>
      </c>
      <c r="BC825" s="4" t="s">
        <v>228</v>
      </c>
      <c r="BD825" s="8" t="s">
        <v>228</v>
      </c>
      <c r="BE825" s="4" t="s">
        <v>228</v>
      </c>
      <c r="BF825" s="8" t="s">
        <v>228</v>
      </c>
      <c r="BG825" s="7" t="s">
        <v>228</v>
      </c>
      <c r="BH825" s="7" t="s">
        <v>228</v>
      </c>
      <c r="BI825" s="7"/>
      <c r="BJ825" s="4">
        <v>1</v>
      </c>
      <c r="BK825" s="8">
        <v>151.2</v>
      </c>
      <c r="BL825" s="2" t="s">
        <v>1033</v>
      </c>
      <c r="BM825" s="7"/>
      <c r="BN825" s="7"/>
      <c r="BO825" s="4"/>
      <c r="BP825" s="8"/>
      <c r="BQ825" s="4"/>
      <c r="BR825" s="8"/>
      <c r="BS825" s="7"/>
      <c r="BT825" s="7"/>
      <c r="BU825" s="2" t="s">
        <v>4587</v>
      </c>
      <c r="BV825" s="2" t="s">
        <v>228</v>
      </c>
      <c r="BW825" s="2" t="s">
        <v>228</v>
      </c>
      <c r="BX825" s="2" t="s">
        <v>273</v>
      </c>
      <c r="BY825" s="2" t="s">
        <v>274</v>
      </c>
      <c r="BZ825" s="2" t="s">
        <v>240</v>
      </c>
      <c r="CA825" s="2" t="s">
        <v>3013</v>
      </c>
      <c r="CB825" s="2" t="s">
        <v>4588</v>
      </c>
      <c r="CC825" s="2" t="s">
        <v>241</v>
      </c>
      <c r="CD825" s="2" t="s">
        <v>228</v>
      </c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>
        <v>210</v>
      </c>
      <c r="EB825" s="4"/>
      <c r="EC825" s="4"/>
      <c r="ED825" s="4">
        <v>190</v>
      </c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>
        <v>220</v>
      </c>
      <c r="EQ825" s="4"/>
      <c r="ER825" s="4"/>
      <c r="ES825" s="4"/>
      <c r="ET825" s="4"/>
      <c r="EU825" s="4"/>
      <c r="EV825" s="4"/>
      <c r="EW825" s="4"/>
      <c r="EX825" s="4"/>
      <c r="EY825" s="4">
        <v>700</v>
      </c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>
        <v>30</v>
      </c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>
        <v>520</v>
      </c>
      <c r="GV825" s="4"/>
      <c r="GW825" s="4"/>
      <c r="GX825" s="4"/>
      <c r="GY825" s="4"/>
      <c r="GZ825" s="4"/>
      <c r="HA825" s="4"/>
      <c r="HB825" s="4"/>
      <c r="HC825" s="4"/>
      <c r="HD825" s="4"/>
      <c r="HE825" s="4"/>
    </row>
    <row r="826">
      <c r="A826" s="2" t="s">
        <v>4589</v>
      </c>
      <c r="B826" s="2" t="s">
        <v>958</v>
      </c>
      <c r="C826" s="2" t="s">
        <v>300</v>
      </c>
      <c r="D826" s="2" t="s">
        <v>959</v>
      </c>
      <c r="E826" s="2" t="s">
        <v>960</v>
      </c>
      <c r="F826" s="2" t="s">
        <v>4590</v>
      </c>
      <c r="G826" s="2" t="s">
        <v>4591</v>
      </c>
      <c r="H826" s="2" t="s">
        <v>4592</v>
      </c>
      <c r="I826" s="2" t="s">
        <v>4593</v>
      </c>
      <c r="J826" s="2" t="s">
        <v>840</v>
      </c>
      <c r="K826" s="2" t="s">
        <v>2350</v>
      </c>
      <c r="L826" s="3">
        <v>492.12</v>
      </c>
      <c r="M826" s="3">
        <v>516.73</v>
      </c>
      <c r="N826" s="3">
        <v>1039</v>
      </c>
      <c r="O826" s="2" t="s">
        <v>240</v>
      </c>
      <c r="P826" s="2" t="s">
        <v>1022</v>
      </c>
      <c r="Q826" s="2" t="s">
        <v>234</v>
      </c>
      <c r="R826" s="2" t="s">
        <v>16</v>
      </c>
      <c r="S826" s="2" t="s">
        <v>228</v>
      </c>
      <c r="T826" s="2" t="s">
        <v>228</v>
      </c>
      <c r="U826" s="2" t="s">
        <v>520</v>
      </c>
      <c r="V826" s="2" t="s">
        <v>236</v>
      </c>
      <c r="W826" s="2" t="s">
        <v>417</v>
      </c>
      <c r="X826" s="2" t="s">
        <v>228</v>
      </c>
      <c r="Y826" s="2" t="s">
        <v>1303</v>
      </c>
      <c r="Z826" s="4">
        <v>112</v>
      </c>
      <c r="AA826" s="4">
        <f>=ROUNDDOWN({0},0)</f>
      </c>
      <c r="AB826" s="5"/>
      <c r="AC826" s="2" t="s">
        <v>1416</v>
      </c>
      <c r="AD826" s="4">
        <v>75</v>
      </c>
      <c r="AE826" s="4">
        <v>125</v>
      </c>
      <c r="AF826" s="6"/>
      <c r="AG826" s="6"/>
      <c r="AH826" s="7">
        <v>1</v>
      </c>
      <c r="AI826" s="4"/>
      <c r="AJ826" s="4">
        <f>=ROUNDDOWN({0},0)</f>
      </c>
      <c r="AK826" s="5"/>
      <c r="AL826" s="2" t="s">
        <v>228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/>
      <c r="AW826" s="8"/>
      <c r="AX826" s="4"/>
      <c r="AY826" s="8"/>
      <c r="AZ826" s="7"/>
      <c r="BA826" s="7"/>
      <c r="BB826" s="7"/>
      <c r="BC826" s="4" t="s">
        <v>228</v>
      </c>
      <c r="BD826" s="8" t="s">
        <v>228</v>
      </c>
      <c r="BE826" s="4" t="s">
        <v>228</v>
      </c>
      <c r="BF826" s="8" t="s">
        <v>228</v>
      </c>
      <c r="BG826" s="7" t="s">
        <v>228</v>
      </c>
      <c r="BH826" s="7" t="s">
        <v>228</v>
      </c>
      <c r="BI826" s="7"/>
      <c r="BJ826" s="4"/>
      <c r="BK826" s="8"/>
      <c r="BL826" s="2" t="s">
        <v>228</v>
      </c>
      <c r="BM826" s="7"/>
      <c r="BN826" s="7"/>
      <c r="BO826" s="4"/>
      <c r="BP826" s="8"/>
      <c r="BQ826" s="4"/>
      <c r="BR826" s="8"/>
      <c r="BS826" s="7"/>
      <c r="BT826" s="7"/>
      <c r="BU826" s="2" t="s">
        <v>4594</v>
      </c>
      <c r="BV826" s="2" t="s">
        <v>228</v>
      </c>
      <c r="BW826" s="2" t="s">
        <v>228</v>
      </c>
      <c r="BX826" s="2" t="s">
        <v>735</v>
      </c>
      <c r="BY826" s="2" t="s">
        <v>274</v>
      </c>
      <c r="BZ826" s="2" t="s">
        <v>240</v>
      </c>
      <c r="CA826" s="2" t="s">
        <v>1026</v>
      </c>
      <c r="CB826" s="2" t="s">
        <v>228</v>
      </c>
      <c r="CC826" s="2" t="s">
        <v>241</v>
      </c>
      <c r="CD826" s="2" t="s">
        <v>228</v>
      </c>
      <c r="CE826" s="4"/>
      <c r="CF826" s="4">
        <v>112</v>
      </c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>
        <v>75</v>
      </c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>
        <v>50</v>
      </c>
      <c r="HD826" s="4"/>
      <c r="HE826" s="4"/>
    </row>
    <row r="827">
      <c r="A827" s="2" t="s">
        <v>4595</v>
      </c>
      <c r="B827" s="2" t="s">
        <v>958</v>
      </c>
      <c r="C827" s="2" t="s">
        <v>300</v>
      </c>
      <c r="D827" s="2" t="s">
        <v>959</v>
      </c>
      <c r="E827" s="2" t="s">
        <v>960</v>
      </c>
      <c r="F827" s="2" t="s">
        <v>4590</v>
      </c>
      <c r="G827" s="2" t="s">
        <v>4591</v>
      </c>
      <c r="H827" s="2" t="s">
        <v>4592</v>
      </c>
      <c r="I827" s="2" t="s">
        <v>4596</v>
      </c>
      <c r="J827" s="2" t="s">
        <v>840</v>
      </c>
      <c r="K827" s="2" t="s">
        <v>4597</v>
      </c>
      <c r="L827" s="3">
        <v>251.08</v>
      </c>
      <c r="M827" s="3">
        <v>263.63</v>
      </c>
      <c r="N827" s="3">
        <v>529</v>
      </c>
      <c r="O827" s="2" t="s">
        <v>240</v>
      </c>
      <c r="P827" s="2" t="s">
        <v>1012</v>
      </c>
      <c r="Q827" s="2" t="s">
        <v>234</v>
      </c>
      <c r="R827" s="2" t="s">
        <v>228</v>
      </c>
      <c r="S827" s="2" t="s">
        <v>228</v>
      </c>
      <c r="T827" s="2" t="s">
        <v>228</v>
      </c>
      <c r="U827" s="2" t="s">
        <v>416</v>
      </c>
      <c r="V827" s="2" t="s">
        <v>236</v>
      </c>
      <c r="W827" s="2" t="s">
        <v>743</v>
      </c>
      <c r="X827" s="2" t="s">
        <v>351</v>
      </c>
      <c r="Y827" s="2" t="s">
        <v>4598</v>
      </c>
      <c r="Z827" s="4">
        <v>159</v>
      </c>
      <c r="AA827" s="4">
        <f>=ROUNDDOWN(79.5,0)</f>
      </c>
      <c r="AB827" s="5">
        <v>2</v>
      </c>
      <c r="AC827" s="2" t="s">
        <v>228</v>
      </c>
      <c r="AD827" s="4"/>
      <c r="AE827" s="4"/>
      <c r="AF827" s="6">
        <v>74</v>
      </c>
      <c r="AG827" s="6"/>
      <c r="AH827" s="7">
        <v>1</v>
      </c>
      <c r="AI827" s="4"/>
      <c r="AJ827" s="4">
        <f>=ROUNDDOWN({0},0)</f>
      </c>
      <c r="AK827" s="5"/>
      <c r="AL827" s="2" t="s">
        <v>228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/>
      <c r="AW827" s="8"/>
      <c r="AX827" s="4"/>
      <c r="AY827" s="8"/>
      <c r="AZ827" s="7"/>
      <c r="BA827" s="7"/>
      <c r="BB827" s="7"/>
      <c r="BC827" s="4" t="s">
        <v>228</v>
      </c>
      <c r="BD827" s="8" t="s">
        <v>228</v>
      </c>
      <c r="BE827" s="4" t="s">
        <v>228</v>
      </c>
      <c r="BF827" s="8" t="s">
        <v>228</v>
      </c>
      <c r="BG827" s="7" t="s">
        <v>228</v>
      </c>
      <c r="BH827" s="7" t="s">
        <v>228</v>
      </c>
      <c r="BI827" s="7"/>
      <c r="BJ827" s="4">
        <v>3</v>
      </c>
      <c r="BK827" s="8">
        <v>719.87</v>
      </c>
      <c r="BL827" s="2" t="s">
        <v>995</v>
      </c>
      <c r="BM827" s="7"/>
      <c r="BN827" s="7"/>
      <c r="BO827" s="4"/>
      <c r="BP827" s="8"/>
      <c r="BQ827" s="4"/>
      <c r="BR827" s="8"/>
      <c r="BS827" s="7"/>
      <c r="BT827" s="7"/>
      <c r="BU827" s="2" t="s">
        <v>4599</v>
      </c>
      <c r="BV827" s="2" t="s">
        <v>228</v>
      </c>
      <c r="BW827" s="2" t="s">
        <v>228</v>
      </c>
      <c r="BX827" s="2" t="s">
        <v>735</v>
      </c>
      <c r="BY827" s="2" t="s">
        <v>274</v>
      </c>
      <c r="BZ827" s="2" t="s">
        <v>240</v>
      </c>
      <c r="CA827" s="2" t="s">
        <v>2169</v>
      </c>
      <c r="CB827" s="2" t="s">
        <v>4600</v>
      </c>
      <c r="CC827" s="2" t="s">
        <v>241</v>
      </c>
      <c r="CD827" s="2" t="s">
        <v>228</v>
      </c>
      <c r="CE827" s="4"/>
      <c r="CF827" s="4">
        <v>159</v>
      </c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</row>
    <row r="828">
      <c r="A828" s="2" t="s">
        <v>4601</v>
      </c>
      <c r="B828" s="2" t="s">
        <v>848</v>
      </c>
      <c r="C828" s="2" t="s">
        <v>849</v>
      </c>
      <c r="D828" s="2" t="s">
        <v>850</v>
      </c>
      <c r="E828" s="2" t="s">
        <v>851</v>
      </c>
      <c r="F828" s="2" t="s">
        <v>4602</v>
      </c>
      <c r="G828" s="2" t="s">
        <v>4603</v>
      </c>
      <c r="H828" s="2" t="s">
        <v>1709</v>
      </c>
      <c r="I828" s="2" t="s">
        <v>4604</v>
      </c>
      <c r="J828" s="2" t="s">
        <v>1189</v>
      </c>
      <c r="K828" s="2" t="s">
        <v>3005</v>
      </c>
      <c r="L828" s="3">
        <v>29.9</v>
      </c>
      <c r="M828" s="3">
        <v>31.4</v>
      </c>
      <c r="N828" s="3">
        <v>64.99</v>
      </c>
      <c r="O828" s="2" t="s">
        <v>240</v>
      </c>
      <c r="P828" s="2" t="s">
        <v>1012</v>
      </c>
      <c r="Q828" s="2" t="s">
        <v>234</v>
      </c>
      <c r="R828" s="2" t="s">
        <v>228</v>
      </c>
      <c r="S828" s="2" t="s">
        <v>4605</v>
      </c>
      <c r="T828" s="2" t="s">
        <v>415</v>
      </c>
      <c r="U828" s="2" t="s">
        <v>1170</v>
      </c>
      <c r="V828" s="2" t="s">
        <v>1156</v>
      </c>
      <c r="W828" s="2" t="s">
        <v>463</v>
      </c>
      <c r="X828" s="2" t="s">
        <v>1229</v>
      </c>
      <c r="Y828" s="2" t="s">
        <v>4606</v>
      </c>
      <c r="Z828" s="4">
        <v>296</v>
      </c>
      <c r="AA828" s="4">
        <f>=ROUNDDOWN(74,0)</f>
      </c>
      <c r="AB828" s="5">
        <v>4</v>
      </c>
      <c r="AC828" s="2" t="s">
        <v>228</v>
      </c>
      <c r="AD828" s="4"/>
      <c r="AE828" s="4"/>
      <c r="AF828" s="6">
        <v>64</v>
      </c>
      <c r="AG828" s="6"/>
      <c r="AH828" s="7">
        <v>1</v>
      </c>
      <c r="AI828" s="4"/>
      <c r="AJ828" s="4">
        <f>=ROUNDDOWN({0},0)</f>
      </c>
      <c r="AK828" s="5"/>
      <c r="AL828" s="2" t="s">
        <v>228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/>
      <c r="AW828" s="8"/>
      <c r="AX828" s="4"/>
      <c r="AY828" s="8"/>
      <c r="AZ828" s="7"/>
      <c r="BA828" s="7"/>
      <c r="BB828" s="7"/>
      <c r="BC828" s="4"/>
      <c r="BD828" s="8"/>
      <c r="BE828" s="4"/>
      <c r="BF828" s="8"/>
      <c r="BG828" s="7"/>
      <c r="BH828" s="7"/>
      <c r="BI828" s="7"/>
      <c r="BJ828" s="4">
        <v>15</v>
      </c>
      <c r="BK828" s="8">
        <v>484.38</v>
      </c>
      <c r="BL828" s="2" t="s">
        <v>4607</v>
      </c>
      <c r="BM828" s="7"/>
      <c r="BN828" s="7"/>
      <c r="BO828" s="4"/>
      <c r="BP828" s="8"/>
      <c r="BQ828" s="4"/>
      <c r="BR828" s="8"/>
      <c r="BS828" s="7"/>
      <c r="BT828" s="7"/>
      <c r="BU828" s="2" t="s">
        <v>4608</v>
      </c>
      <c r="BV828" s="2" t="s">
        <v>228</v>
      </c>
      <c r="BW828" s="2" t="s">
        <v>228</v>
      </c>
      <c r="BX828" s="2" t="s">
        <v>273</v>
      </c>
      <c r="BY828" s="2" t="s">
        <v>274</v>
      </c>
      <c r="BZ828" s="2" t="s">
        <v>240</v>
      </c>
      <c r="CA828" s="2" t="s">
        <v>4609</v>
      </c>
      <c r="CB828" s="2" t="s">
        <v>4063</v>
      </c>
      <c r="CC828" s="2" t="s">
        <v>241</v>
      </c>
      <c r="CD828" s="2" t="s">
        <v>228</v>
      </c>
      <c r="CE828" s="4">
        <v>296</v>
      </c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</row>
    <row r="829">
      <c r="A829" s="2" t="s">
        <v>4610</v>
      </c>
      <c r="B829" s="2" t="s">
        <v>834</v>
      </c>
      <c r="C829" s="2" t="s">
        <v>835</v>
      </c>
      <c r="D829" s="2" t="s">
        <v>3553</v>
      </c>
      <c r="E829" s="2" t="s">
        <v>3554</v>
      </c>
      <c r="F829" s="2" t="s">
        <v>4611</v>
      </c>
      <c r="G829" s="2" t="s">
        <v>4611</v>
      </c>
      <c r="H829" s="2" t="s">
        <v>4611</v>
      </c>
      <c r="I829" s="2" t="s">
        <v>4612</v>
      </c>
      <c r="J829" s="2" t="s">
        <v>840</v>
      </c>
      <c r="K829" s="2" t="s">
        <v>4613</v>
      </c>
      <c r="L829" s="3">
        <v>48</v>
      </c>
      <c r="M829" s="3">
        <v>50.4</v>
      </c>
      <c r="N829" s="3">
        <v>99.99</v>
      </c>
      <c r="O829" s="2" t="s">
        <v>240</v>
      </c>
      <c r="P829" s="2" t="s">
        <v>266</v>
      </c>
      <c r="Q829" s="2" t="s">
        <v>234</v>
      </c>
      <c r="R829" s="2" t="s">
        <v>228</v>
      </c>
      <c r="S829" s="2" t="s">
        <v>228</v>
      </c>
      <c r="T829" s="2" t="s">
        <v>228</v>
      </c>
      <c r="U829" s="2" t="s">
        <v>416</v>
      </c>
      <c r="V829" s="2" t="s">
        <v>842</v>
      </c>
      <c r="W829" s="2" t="s">
        <v>309</v>
      </c>
      <c r="X829" s="2" t="s">
        <v>228</v>
      </c>
      <c r="Y829" s="2" t="s">
        <v>3686</v>
      </c>
      <c r="Z829" s="4">
        <v>56</v>
      </c>
      <c r="AA829" s="4">
        <f>=ROUNDDOWN(28,0)</f>
      </c>
      <c r="AB829" s="5">
        <v>2</v>
      </c>
      <c r="AC829" s="2" t="s">
        <v>228</v>
      </c>
      <c r="AD829" s="4"/>
      <c r="AE829" s="4"/>
      <c r="AF829" s="6">
        <v>63</v>
      </c>
      <c r="AG829" s="6"/>
      <c r="AH829" s="7">
        <v>1</v>
      </c>
      <c r="AI829" s="4"/>
      <c r="AJ829" s="4">
        <f>=ROUNDDOWN({0},0)</f>
      </c>
      <c r="AK829" s="5"/>
      <c r="AL829" s="2" t="s">
        <v>228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/>
      <c r="AW829" s="8"/>
      <c r="AX829" s="4"/>
      <c r="AY829" s="8"/>
      <c r="AZ829" s="7"/>
      <c r="BA829" s="7"/>
      <c r="BB829" s="7"/>
      <c r="BC829" s="4"/>
      <c r="BD829" s="8"/>
      <c r="BE829" s="4"/>
      <c r="BF829" s="8"/>
      <c r="BG829" s="7"/>
      <c r="BH829" s="7"/>
      <c r="BI829" s="7"/>
      <c r="BJ829" s="4">
        <v>4</v>
      </c>
      <c r="BK829" s="8">
        <v>181.44</v>
      </c>
      <c r="BL829" s="2" t="s">
        <v>1933</v>
      </c>
      <c r="BM829" s="7"/>
      <c r="BN829" s="7"/>
      <c r="BO829" s="4"/>
      <c r="BP829" s="8"/>
      <c r="BQ829" s="4"/>
      <c r="BR829" s="8"/>
      <c r="BS829" s="7"/>
      <c r="BT829" s="7"/>
      <c r="BU829" s="2" t="s">
        <v>4614</v>
      </c>
      <c r="BV829" s="2" t="s">
        <v>228</v>
      </c>
      <c r="BW829" s="2" t="s">
        <v>228</v>
      </c>
      <c r="BX829" s="2" t="s">
        <v>273</v>
      </c>
      <c r="BY829" s="2" t="s">
        <v>274</v>
      </c>
      <c r="BZ829" s="2" t="s">
        <v>240</v>
      </c>
      <c r="CA829" s="2" t="s">
        <v>4615</v>
      </c>
      <c r="CB829" s="2" t="s">
        <v>1443</v>
      </c>
      <c r="CC829" s="2" t="s">
        <v>241</v>
      </c>
      <c r="CD829" s="2" t="s">
        <v>228</v>
      </c>
      <c r="CE829" s="4"/>
      <c r="CF829" s="4">
        <v>56</v>
      </c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</row>
    <row r="830">
      <c r="A830" s="2" t="s">
        <v>4616</v>
      </c>
      <c r="B830" s="2" t="s">
        <v>1150</v>
      </c>
      <c r="C830" s="2" t="s">
        <v>457</v>
      </c>
      <c r="D830" s="2" t="s">
        <v>850</v>
      </c>
      <c r="E830" s="2" t="s">
        <v>1038</v>
      </c>
      <c r="F830" s="2" t="s">
        <v>4617</v>
      </c>
      <c r="G830" s="2" t="s">
        <v>4618</v>
      </c>
      <c r="H830" s="2" t="s">
        <v>4619</v>
      </c>
      <c r="I830" s="2" t="s">
        <v>4620</v>
      </c>
      <c r="J830" s="2" t="s">
        <v>1189</v>
      </c>
      <c r="K830" s="2" t="s">
        <v>1357</v>
      </c>
      <c r="L830" s="3">
        <v>55.78</v>
      </c>
      <c r="M830" s="3">
        <v>58.57</v>
      </c>
      <c r="N830" s="3">
        <v>129.99</v>
      </c>
      <c r="O830" s="2" t="s">
        <v>240</v>
      </c>
      <c r="P830" s="2" t="s">
        <v>266</v>
      </c>
      <c r="Q830" s="2" t="s">
        <v>234</v>
      </c>
      <c r="R830" s="2" t="s">
        <v>228</v>
      </c>
      <c r="S830" s="2" t="s">
        <v>4621</v>
      </c>
      <c r="T830" s="2" t="s">
        <v>350</v>
      </c>
      <c r="U830" s="2" t="s">
        <v>500</v>
      </c>
      <c r="V830" s="2" t="s">
        <v>236</v>
      </c>
      <c r="W830" s="2" t="s">
        <v>269</v>
      </c>
      <c r="X830" s="2" t="s">
        <v>4622</v>
      </c>
      <c r="Y830" s="2" t="s">
        <v>4623</v>
      </c>
      <c r="Z830" s="4">
        <v>214</v>
      </c>
      <c r="AA830" s="4">
        <f>=ROUNDDOWN(42.8,0)</f>
      </c>
      <c r="AB830" s="5">
        <v>5</v>
      </c>
      <c r="AC830" s="2" t="s">
        <v>228</v>
      </c>
      <c r="AD830" s="4"/>
      <c r="AE830" s="4"/>
      <c r="AF830" s="6">
        <v>67</v>
      </c>
      <c r="AG830" s="6"/>
      <c r="AH830" s="7">
        <v>1</v>
      </c>
      <c r="AI830" s="4"/>
      <c r="AJ830" s="4">
        <f>=ROUNDDOWN({0},0)</f>
      </c>
      <c r="AK830" s="5"/>
      <c r="AL830" s="2" t="s">
        <v>228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/>
      <c r="AW830" s="8"/>
      <c r="AX830" s="4"/>
      <c r="AY830" s="8"/>
      <c r="AZ830" s="7"/>
      <c r="BA830" s="7"/>
      <c r="BB830" s="7"/>
      <c r="BC830" s="4"/>
      <c r="BD830" s="8"/>
      <c r="BE830" s="4"/>
      <c r="BF830" s="8"/>
      <c r="BG830" s="7"/>
      <c r="BH830" s="7"/>
      <c r="BI830" s="7"/>
      <c r="BJ830" s="4">
        <v>22</v>
      </c>
      <c r="BK830" s="8">
        <v>1347.23</v>
      </c>
      <c r="BL830" s="2" t="s">
        <v>4624</v>
      </c>
      <c r="BM830" s="7"/>
      <c r="BN830" s="7"/>
      <c r="BO830" s="4"/>
      <c r="BP830" s="8"/>
      <c r="BQ830" s="4"/>
      <c r="BR830" s="8"/>
      <c r="BS830" s="7"/>
      <c r="BT830" s="7"/>
      <c r="BU830" s="2" t="s">
        <v>4625</v>
      </c>
      <c r="BV830" s="2" t="s">
        <v>228</v>
      </c>
      <c r="BW830" s="2" t="s">
        <v>228</v>
      </c>
      <c r="BX830" s="2" t="s">
        <v>273</v>
      </c>
      <c r="BY830" s="2" t="s">
        <v>274</v>
      </c>
      <c r="BZ830" s="2" t="s">
        <v>240</v>
      </c>
      <c r="CA830" s="2" t="s">
        <v>4623</v>
      </c>
      <c r="CB830" s="2" t="s">
        <v>4626</v>
      </c>
      <c r="CC830" s="2" t="s">
        <v>241</v>
      </c>
      <c r="CD830" s="2" t="s">
        <v>228</v>
      </c>
      <c r="CE830" s="4">
        <v>214</v>
      </c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</row>
    <row r="831">
      <c r="A831" s="2" t="s">
        <v>4627</v>
      </c>
      <c r="B831" s="2" t="s">
        <v>834</v>
      </c>
      <c r="C831" s="2" t="s">
        <v>885</v>
      </c>
      <c r="D831" s="2" t="s">
        <v>1101</v>
      </c>
      <c r="E831" s="2" t="s">
        <v>1102</v>
      </c>
      <c r="F831" s="2" t="s">
        <v>4628</v>
      </c>
      <c r="G831" s="2" t="s">
        <v>4628</v>
      </c>
      <c r="H831" s="2" t="s">
        <v>4628</v>
      </c>
      <c r="I831" s="2" t="s">
        <v>4629</v>
      </c>
      <c r="J831" s="2" t="s">
        <v>840</v>
      </c>
      <c r="K831" s="2" t="s">
        <v>4630</v>
      </c>
      <c r="L831" s="3">
        <v>82.8</v>
      </c>
      <c r="M831" s="3">
        <v>86.94</v>
      </c>
      <c r="N831" s="3">
        <v>189.99</v>
      </c>
      <c r="O831" s="2" t="s">
        <v>461</v>
      </c>
      <c r="P831" s="2" t="s">
        <v>333</v>
      </c>
      <c r="Q831" s="2" t="s">
        <v>234</v>
      </c>
      <c r="R831" s="2" t="s">
        <v>228</v>
      </c>
      <c r="S831" s="2" t="s">
        <v>228</v>
      </c>
      <c r="T831" s="2" t="s">
        <v>228</v>
      </c>
      <c r="U831" s="2" t="s">
        <v>416</v>
      </c>
      <c r="V831" s="2" t="s">
        <v>842</v>
      </c>
      <c r="W831" s="2" t="s">
        <v>417</v>
      </c>
      <c r="X831" s="2" t="s">
        <v>1514</v>
      </c>
      <c r="Y831" s="2" t="s">
        <v>1291</v>
      </c>
      <c r="Z831" s="4">
        <v>51</v>
      </c>
      <c r="AA831" s="4">
        <f>=ROUNDDOWN(51,0)</f>
      </c>
      <c r="AB831" s="5">
        <v>1</v>
      </c>
      <c r="AC831" s="2" t="s">
        <v>228</v>
      </c>
      <c r="AD831" s="4"/>
      <c r="AE831" s="4"/>
      <c r="AF831" s="6">
        <v>63</v>
      </c>
      <c r="AG831" s="6"/>
      <c r="AH831" s="7">
        <v>1</v>
      </c>
      <c r="AI831" s="4"/>
      <c r="AJ831" s="4">
        <f>=ROUNDDOWN({0},0)</f>
      </c>
      <c r="AK831" s="5"/>
      <c r="AL831" s="2" t="s">
        <v>228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/>
      <c r="AW831" s="8"/>
      <c r="AX831" s="4"/>
      <c r="AY831" s="8"/>
      <c r="AZ831" s="7"/>
      <c r="BA831" s="7"/>
      <c r="BB831" s="7"/>
      <c r="BC831" s="4"/>
      <c r="BD831" s="8"/>
      <c r="BE831" s="4"/>
      <c r="BF831" s="8"/>
      <c r="BG831" s="7"/>
      <c r="BH831" s="7"/>
      <c r="BI831" s="7"/>
      <c r="BJ831" s="4">
        <v>2</v>
      </c>
      <c r="BK831" s="8">
        <v>86.94</v>
      </c>
      <c r="BL831" s="2" t="s">
        <v>2974</v>
      </c>
      <c r="BM831" s="7"/>
      <c r="BN831" s="7"/>
      <c r="BO831" s="4"/>
      <c r="BP831" s="8"/>
      <c r="BQ831" s="4"/>
      <c r="BR831" s="8"/>
      <c r="BS831" s="7"/>
      <c r="BT831" s="7"/>
      <c r="BU831" s="2" t="s">
        <v>4631</v>
      </c>
      <c r="BV831" s="2" t="s">
        <v>228</v>
      </c>
      <c r="BW831" s="2" t="s">
        <v>228</v>
      </c>
      <c r="BX831" s="2" t="s">
        <v>337</v>
      </c>
      <c r="BY831" s="2" t="s">
        <v>274</v>
      </c>
      <c r="BZ831" s="2" t="s">
        <v>240</v>
      </c>
      <c r="CA831" s="2" t="s">
        <v>1293</v>
      </c>
      <c r="CB831" s="2" t="s">
        <v>4632</v>
      </c>
      <c r="CC831" s="2" t="s">
        <v>241</v>
      </c>
      <c r="CD831" s="2" t="s">
        <v>228</v>
      </c>
      <c r="CE831" s="4"/>
      <c r="CF831" s="4">
        <v>51</v>
      </c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</row>
    <row r="832">
      <c r="A832" s="2" t="s">
        <v>4633</v>
      </c>
      <c r="B832" s="2" t="s">
        <v>258</v>
      </c>
      <c r="C832" s="2" t="s">
        <v>849</v>
      </c>
      <c r="D832" s="2" t="s">
        <v>1112</v>
      </c>
      <c r="E832" s="2" t="s">
        <v>1113</v>
      </c>
      <c r="F832" s="2" t="s">
        <v>4634</v>
      </c>
      <c r="G832" s="2" t="s">
        <v>4634</v>
      </c>
      <c r="H832" s="2" t="s">
        <v>4634</v>
      </c>
      <c r="I832" s="2" t="s">
        <v>4635</v>
      </c>
      <c r="J832" s="2" t="s">
        <v>264</v>
      </c>
      <c r="K832" s="2" t="s">
        <v>249</v>
      </c>
      <c r="L832" s="3">
        <v>33.33</v>
      </c>
      <c r="M832" s="3">
        <v>35</v>
      </c>
      <c r="N832" s="3">
        <v>69.99</v>
      </c>
      <c r="O832" s="2" t="s">
        <v>240</v>
      </c>
      <c r="P832" s="2" t="s">
        <v>233</v>
      </c>
      <c r="Q832" s="2" t="s">
        <v>234</v>
      </c>
      <c r="R832" s="2" t="s">
        <v>228</v>
      </c>
      <c r="S832" s="2" t="s">
        <v>4636</v>
      </c>
      <c r="T832" s="2" t="s">
        <v>415</v>
      </c>
      <c r="U832" s="2" t="s">
        <v>520</v>
      </c>
      <c r="V832" s="2" t="s">
        <v>236</v>
      </c>
      <c r="W832" s="2" t="s">
        <v>269</v>
      </c>
      <c r="X832" s="2" t="s">
        <v>228</v>
      </c>
      <c r="Y832" s="2" t="s">
        <v>3125</v>
      </c>
      <c r="Z832" s="4">
        <v>434</v>
      </c>
      <c r="AA832" s="4">
        <f>=ROUNDDOWN(43.4,0)</f>
      </c>
      <c r="AB832" s="5">
        <v>10</v>
      </c>
      <c r="AC832" s="2" t="s">
        <v>228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228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228</v>
      </c>
      <c r="AW832" s="8" t="s">
        <v>228</v>
      </c>
      <c r="AX832" s="4" t="s">
        <v>228</v>
      </c>
      <c r="AY832" s="8" t="s">
        <v>228</v>
      </c>
      <c r="AZ832" s="7" t="s">
        <v>228</v>
      </c>
      <c r="BA832" s="7" t="s">
        <v>228</v>
      </c>
      <c r="BB832" s="7"/>
      <c r="BC832" s="4" t="s">
        <v>228</v>
      </c>
      <c r="BD832" s="8" t="s">
        <v>228</v>
      </c>
      <c r="BE832" s="4" t="s">
        <v>228</v>
      </c>
      <c r="BF832" s="8" t="s">
        <v>228</v>
      </c>
      <c r="BG832" s="7" t="s">
        <v>228</v>
      </c>
      <c r="BH832" s="7" t="s">
        <v>228</v>
      </c>
      <c r="BI832" s="7"/>
      <c r="BJ832" s="4">
        <v>2</v>
      </c>
      <c r="BK832" s="8">
        <v>75.08</v>
      </c>
      <c r="BL832" s="2" t="s">
        <v>2894</v>
      </c>
      <c r="BM832" s="7"/>
      <c r="BN832" s="7"/>
      <c r="BO832" s="4"/>
      <c r="BP832" s="8"/>
      <c r="BQ832" s="4"/>
      <c r="BR832" s="8"/>
      <c r="BS832" s="7"/>
      <c r="BT832" s="7"/>
      <c r="BU832" s="2" t="s">
        <v>4637</v>
      </c>
      <c r="BV832" s="2" t="s">
        <v>228</v>
      </c>
      <c r="BW832" s="2" t="s">
        <v>228</v>
      </c>
      <c r="BX832" s="2" t="s">
        <v>273</v>
      </c>
      <c r="BY832" s="2" t="s">
        <v>274</v>
      </c>
      <c r="BZ832" s="2" t="s">
        <v>240</v>
      </c>
      <c r="CA832" s="2" t="s">
        <v>4638</v>
      </c>
      <c r="CB832" s="2" t="s">
        <v>1160</v>
      </c>
      <c r="CC832" s="2" t="s">
        <v>241</v>
      </c>
      <c r="CD832" s="2" t="s">
        <v>228</v>
      </c>
      <c r="CE832" s="4">
        <v>434</v>
      </c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</row>
    <row r="833">
      <c r="A833" s="2" t="s">
        <v>4639</v>
      </c>
      <c r="B833" s="2" t="s">
        <v>258</v>
      </c>
      <c r="C833" s="2" t="s">
        <v>849</v>
      </c>
      <c r="D833" s="2" t="s">
        <v>1112</v>
      </c>
      <c r="E833" s="2" t="s">
        <v>1113</v>
      </c>
      <c r="F833" s="2" t="s">
        <v>4634</v>
      </c>
      <c r="G833" s="2" t="s">
        <v>4634</v>
      </c>
      <c r="H833" s="2" t="s">
        <v>4634</v>
      </c>
      <c r="I833" s="2" t="s">
        <v>4635</v>
      </c>
      <c r="J833" s="2" t="s">
        <v>1189</v>
      </c>
      <c r="K833" s="2" t="s">
        <v>249</v>
      </c>
      <c r="L833" s="3">
        <v>38.09</v>
      </c>
      <c r="M833" s="3">
        <v>39.99</v>
      </c>
      <c r="N833" s="3">
        <v>79.99</v>
      </c>
      <c r="O833" s="2" t="s">
        <v>240</v>
      </c>
      <c r="P833" s="2" t="s">
        <v>233</v>
      </c>
      <c r="Q833" s="2" t="s">
        <v>234</v>
      </c>
      <c r="R833" s="2" t="s">
        <v>228</v>
      </c>
      <c r="S833" s="2" t="s">
        <v>4636</v>
      </c>
      <c r="T833" s="2" t="s">
        <v>415</v>
      </c>
      <c r="U833" s="2" t="s">
        <v>500</v>
      </c>
      <c r="V833" s="2" t="s">
        <v>236</v>
      </c>
      <c r="W833" s="2" t="s">
        <v>269</v>
      </c>
      <c r="X833" s="2" t="s">
        <v>228</v>
      </c>
      <c r="Y833" s="2" t="s">
        <v>4640</v>
      </c>
      <c r="Z833" s="4">
        <v>763</v>
      </c>
      <c r="AA833" s="4">
        <f>=ROUNDDOWN(44.8823529411765,0)</f>
      </c>
      <c r="AB833" s="5">
        <v>17</v>
      </c>
      <c r="AC833" s="2" t="s">
        <v>228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228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228</v>
      </c>
      <c r="AW833" s="8" t="s">
        <v>228</v>
      </c>
      <c r="AX833" s="4" t="s">
        <v>228</v>
      </c>
      <c r="AY833" s="8" t="s">
        <v>228</v>
      </c>
      <c r="AZ833" s="7" t="s">
        <v>228</v>
      </c>
      <c r="BA833" s="7" t="s">
        <v>228</v>
      </c>
      <c r="BB833" s="7"/>
      <c r="BC833" s="4" t="s">
        <v>228</v>
      </c>
      <c r="BD833" s="8" t="s">
        <v>228</v>
      </c>
      <c r="BE833" s="4" t="s">
        <v>228</v>
      </c>
      <c r="BF833" s="8" t="s">
        <v>228</v>
      </c>
      <c r="BG833" s="7" t="s">
        <v>228</v>
      </c>
      <c r="BH833" s="7" t="s">
        <v>228</v>
      </c>
      <c r="BI833" s="7"/>
      <c r="BJ833" s="4">
        <v>9</v>
      </c>
      <c r="BK833" s="8">
        <v>385.74</v>
      </c>
      <c r="BL833" s="2" t="s">
        <v>2804</v>
      </c>
      <c r="BM833" s="7"/>
      <c r="BN833" s="7"/>
      <c r="BO833" s="4"/>
      <c r="BP833" s="8"/>
      <c r="BQ833" s="4"/>
      <c r="BR833" s="8"/>
      <c r="BS833" s="7"/>
      <c r="BT833" s="7"/>
      <c r="BU833" s="2" t="s">
        <v>4641</v>
      </c>
      <c r="BV833" s="2" t="s">
        <v>228</v>
      </c>
      <c r="BW833" s="2" t="s">
        <v>228</v>
      </c>
      <c r="BX833" s="2" t="s">
        <v>273</v>
      </c>
      <c r="BY833" s="2" t="s">
        <v>274</v>
      </c>
      <c r="BZ833" s="2" t="s">
        <v>240</v>
      </c>
      <c r="CA833" s="2" t="s">
        <v>4638</v>
      </c>
      <c r="CB833" s="2" t="s">
        <v>228</v>
      </c>
      <c r="CC833" s="2" t="s">
        <v>241</v>
      </c>
      <c r="CD833" s="2" t="s">
        <v>228</v>
      </c>
      <c r="CE833" s="4">
        <v>763</v>
      </c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</row>
    <row r="834">
      <c r="A834" s="2" t="s">
        <v>4642</v>
      </c>
      <c r="B834" s="2" t="s">
        <v>258</v>
      </c>
      <c r="C834" s="2" t="s">
        <v>849</v>
      </c>
      <c r="D834" s="2" t="s">
        <v>1112</v>
      </c>
      <c r="E834" s="2" t="s">
        <v>1113</v>
      </c>
      <c r="F834" s="2" t="s">
        <v>4634</v>
      </c>
      <c r="G834" s="2" t="s">
        <v>4634</v>
      </c>
      <c r="H834" s="2" t="s">
        <v>4634</v>
      </c>
      <c r="I834" s="2" t="s">
        <v>4635</v>
      </c>
      <c r="J834" s="2" t="s">
        <v>1043</v>
      </c>
      <c r="K834" s="2" t="s">
        <v>249</v>
      </c>
      <c r="L834" s="3">
        <v>42.85</v>
      </c>
      <c r="M834" s="3">
        <v>44.99</v>
      </c>
      <c r="N834" s="3">
        <v>89.99</v>
      </c>
      <c r="O834" s="2" t="s">
        <v>240</v>
      </c>
      <c r="P834" s="2" t="s">
        <v>233</v>
      </c>
      <c r="Q834" s="2" t="s">
        <v>234</v>
      </c>
      <c r="R834" s="2" t="s">
        <v>228</v>
      </c>
      <c r="S834" s="2" t="s">
        <v>4636</v>
      </c>
      <c r="T834" s="2" t="s">
        <v>415</v>
      </c>
      <c r="U834" s="2" t="s">
        <v>500</v>
      </c>
      <c r="V834" s="2" t="s">
        <v>236</v>
      </c>
      <c r="W834" s="2" t="s">
        <v>269</v>
      </c>
      <c r="X834" s="2" t="s">
        <v>228</v>
      </c>
      <c r="Y834" s="2" t="s">
        <v>3125</v>
      </c>
      <c r="Z834" s="4">
        <v>408</v>
      </c>
      <c r="AA834" s="4">
        <f>=ROUNDDOWN(37.0909090909091,0)</f>
      </c>
      <c r="AB834" s="5">
        <v>11</v>
      </c>
      <c r="AC834" s="2" t="s">
        <v>228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228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228</v>
      </c>
      <c r="AW834" s="8" t="s">
        <v>228</v>
      </c>
      <c r="AX834" s="4" t="s">
        <v>228</v>
      </c>
      <c r="AY834" s="8" t="s">
        <v>228</v>
      </c>
      <c r="AZ834" s="7" t="s">
        <v>228</v>
      </c>
      <c r="BA834" s="7" t="s">
        <v>228</v>
      </c>
      <c r="BB834" s="7"/>
      <c r="BC834" s="4" t="s">
        <v>228</v>
      </c>
      <c r="BD834" s="8" t="s">
        <v>228</v>
      </c>
      <c r="BE834" s="4" t="s">
        <v>228</v>
      </c>
      <c r="BF834" s="8" t="s">
        <v>228</v>
      </c>
      <c r="BG834" s="7" t="s">
        <v>228</v>
      </c>
      <c r="BH834" s="7" t="s">
        <v>228</v>
      </c>
      <c r="BI834" s="7"/>
      <c r="BJ834" s="4">
        <v>2</v>
      </c>
      <c r="BK834" s="8">
        <v>96.52</v>
      </c>
      <c r="BL834" s="2" t="s">
        <v>2894</v>
      </c>
      <c r="BM834" s="7"/>
      <c r="BN834" s="7"/>
      <c r="BO834" s="4"/>
      <c r="BP834" s="8"/>
      <c r="BQ834" s="4"/>
      <c r="BR834" s="8"/>
      <c r="BS834" s="7"/>
      <c r="BT834" s="7"/>
      <c r="BU834" s="2" t="s">
        <v>4643</v>
      </c>
      <c r="BV834" s="2" t="s">
        <v>228</v>
      </c>
      <c r="BW834" s="2" t="s">
        <v>228</v>
      </c>
      <c r="BX834" s="2" t="s">
        <v>273</v>
      </c>
      <c r="BY834" s="2" t="s">
        <v>274</v>
      </c>
      <c r="BZ834" s="2" t="s">
        <v>240</v>
      </c>
      <c r="CA834" s="2" t="s">
        <v>4644</v>
      </c>
      <c r="CB834" s="2" t="s">
        <v>2113</v>
      </c>
      <c r="CC834" s="2" t="s">
        <v>241</v>
      </c>
      <c r="CD834" s="2" t="s">
        <v>228</v>
      </c>
      <c r="CE834" s="4">
        <v>408</v>
      </c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</row>
    <row r="835">
      <c r="A835" s="2" t="s">
        <v>4645</v>
      </c>
      <c r="B835" s="2" t="s">
        <v>258</v>
      </c>
      <c r="C835" s="2" t="s">
        <v>849</v>
      </c>
      <c r="D835" s="2" t="s">
        <v>1112</v>
      </c>
      <c r="E835" s="2" t="s">
        <v>1113</v>
      </c>
      <c r="F835" s="2" t="s">
        <v>4634</v>
      </c>
      <c r="G835" s="2" t="s">
        <v>4634</v>
      </c>
      <c r="H835" s="2" t="s">
        <v>4634</v>
      </c>
      <c r="I835" s="2" t="s">
        <v>4635</v>
      </c>
      <c r="J835" s="2" t="s">
        <v>264</v>
      </c>
      <c r="K835" s="2" t="s">
        <v>251</v>
      </c>
      <c r="L835" s="3">
        <v>33.33</v>
      </c>
      <c r="M835" s="3">
        <v>35</v>
      </c>
      <c r="N835" s="3">
        <v>69.99</v>
      </c>
      <c r="O835" s="2" t="s">
        <v>240</v>
      </c>
      <c r="P835" s="2" t="s">
        <v>233</v>
      </c>
      <c r="Q835" s="2" t="s">
        <v>234</v>
      </c>
      <c r="R835" s="2" t="s">
        <v>228</v>
      </c>
      <c r="S835" s="2" t="s">
        <v>4646</v>
      </c>
      <c r="T835" s="2" t="s">
        <v>415</v>
      </c>
      <c r="U835" s="2" t="s">
        <v>520</v>
      </c>
      <c r="V835" s="2" t="s">
        <v>236</v>
      </c>
      <c r="W835" s="2" t="s">
        <v>269</v>
      </c>
      <c r="X835" s="2" t="s">
        <v>228</v>
      </c>
      <c r="Y835" s="2" t="s">
        <v>3125</v>
      </c>
      <c r="Z835" s="4">
        <v>401</v>
      </c>
      <c r="AA835" s="4">
        <f>=ROUNDDOWN(40.1,0)</f>
      </c>
      <c r="AB835" s="5">
        <v>10</v>
      </c>
      <c r="AC835" s="2" t="s">
        <v>228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228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228</v>
      </c>
      <c r="AW835" s="8" t="s">
        <v>228</v>
      </c>
      <c r="AX835" s="4" t="s">
        <v>228</v>
      </c>
      <c r="AY835" s="8" t="s">
        <v>228</v>
      </c>
      <c r="AZ835" s="7" t="s">
        <v>228</v>
      </c>
      <c r="BA835" s="7" t="s">
        <v>228</v>
      </c>
      <c r="BB835" s="7"/>
      <c r="BC835" s="4" t="s">
        <v>228</v>
      </c>
      <c r="BD835" s="8" t="s">
        <v>228</v>
      </c>
      <c r="BE835" s="4" t="s">
        <v>228</v>
      </c>
      <c r="BF835" s="8" t="s">
        <v>228</v>
      </c>
      <c r="BG835" s="7" t="s">
        <v>228</v>
      </c>
      <c r="BH835" s="7" t="s">
        <v>228</v>
      </c>
      <c r="BI835" s="7"/>
      <c r="BJ835" s="4">
        <v>4</v>
      </c>
      <c r="BK835" s="8">
        <v>148.58</v>
      </c>
      <c r="BL835" s="2" t="s">
        <v>1822</v>
      </c>
      <c r="BM835" s="7"/>
      <c r="BN835" s="7"/>
      <c r="BO835" s="4"/>
      <c r="BP835" s="8"/>
      <c r="BQ835" s="4"/>
      <c r="BR835" s="8"/>
      <c r="BS835" s="7"/>
      <c r="BT835" s="7"/>
      <c r="BU835" s="2" t="s">
        <v>4647</v>
      </c>
      <c r="BV835" s="2" t="s">
        <v>228</v>
      </c>
      <c r="BW835" s="2" t="s">
        <v>228</v>
      </c>
      <c r="BX835" s="2" t="s">
        <v>273</v>
      </c>
      <c r="BY835" s="2" t="s">
        <v>274</v>
      </c>
      <c r="BZ835" s="2" t="s">
        <v>240</v>
      </c>
      <c r="CA835" s="2" t="s">
        <v>4638</v>
      </c>
      <c r="CB835" s="2" t="s">
        <v>228</v>
      </c>
      <c r="CC835" s="2" t="s">
        <v>241</v>
      </c>
      <c r="CD835" s="2" t="s">
        <v>228</v>
      </c>
      <c r="CE835" s="4">
        <v>401</v>
      </c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</row>
    <row r="836">
      <c r="A836" s="2" t="s">
        <v>4648</v>
      </c>
      <c r="B836" s="2" t="s">
        <v>258</v>
      </c>
      <c r="C836" s="2" t="s">
        <v>849</v>
      </c>
      <c r="D836" s="2" t="s">
        <v>1112</v>
      </c>
      <c r="E836" s="2" t="s">
        <v>1113</v>
      </c>
      <c r="F836" s="2" t="s">
        <v>4634</v>
      </c>
      <c r="G836" s="2" t="s">
        <v>4634</v>
      </c>
      <c r="H836" s="2" t="s">
        <v>4634</v>
      </c>
      <c r="I836" s="2" t="s">
        <v>4635</v>
      </c>
      <c r="J836" s="2" t="s">
        <v>1189</v>
      </c>
      <c r="K836" s="2" t="s">
        <v>251</v>
      </c>
      <c r="L836" s="3">
        <v>38.09</v>
      </c>
      <c r="M836" s="3">
        <v>39.99</v>
      </c>
      <c r="N836" s="3">
        <v>79.99</v>
      </c>
      <c r="O836" s="2" t="s">
        <v>240</v>
      </c>
      <c r="P836" s="2" t="s">
        <v>233</v>
      </c>
      <c r="Q836" s="2" t="s">
        <v>234</v>
      </c>
      <c r="R836" s="2" t="s">
        <v>228</v>
      </c>
      <c r="S836" s="2" t="s">
        <v>4646</v>
      </c>
      <c r="T836" s="2" t="s">
        <v>415</v>
      </c>
      <c r="U836" s="2" t="s">
        <v>500</v>
      </c>
      <c r="V836" s="2" t="s">
        <v>236</v>
      </c>
      <c r="W836" s="2" t="s">
        <v>269</v>
      </c>
      <c r="X836" s="2" t="s">
        <v>228</v>
      </c>
      <c r="Y836" s="2" t="s">
        <v>4640</v>
      </c>
      <c r="Z836" s="4">
        <v>757</v>
      </c>
      <c r="AA836" s="4">
        <f>=ROUNDDOWN(44.5294117647059,0)</f>
      </c>
      <c r="AB836" s="5">
        <v>17</v>
      </c>
      <c r="AC836" s="2" t="s">
        <v>228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228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228</v>
      </c>
      <c r="AW836" s="8" t="s">
        <v>228</v>
      </c>
      <c r="AX836" s="4" t="s">
        <v>228</v>
      </c>
      <c r="AY836" s="8" t="s">
        <v>228</v>
      </c>
      <c r="AZ836" s="7" t="s">
        <v>228</v>
      </c>
      <c r="BA836" s="7" t="s">
        <v>228</v>
      </c>
      <c r="BB836" s="7"/>
      <c r="BC836" s="4" t="s">
        <v>228</v>
      </c>
      <c r="BD836" s="8" t="s">
        <v>228</v>
      </c>
      <c r="BE836" s="4" t="s">
        <v>228</v>
      </c>
      <c r="BF836" s="8" t="s">
        <v>228</v>
      </c>
      <c r="BG836" s="7" t="s">
        <v>228</v>
      </c>
      <c r="BH836" s="7" t="s">
        <v>228</v>
      </c>
      <c r="BI836" s="7"/>
      <c r="BJ836" s="4">
        <v>5</v>
      </c>
      <c r="BK836" s="8">
        <v>212.96</v>
      </c>
      <c r="BL836" s="2" t="s">
        <v>2804</v>
      </c>
      <c r="BM836" s="7"/>
      <c r="BN836" s="7"/>
      <c r="BO836" s="4"/>
      <c r="BP836" s="8"/>
      <c r="BQ836" s="4"/>
      <c r="BR836" s="8"/>
      <c r="BS836" s="7"/>
      <c r="BT836" s="7"/>
      <c r="BU836" s="2" t="s">
        <v>4649</v>
      </c>
      <c r="BV836" s="2" t="s">
        <v>228</v>
      </c>
      <c r="BW836" s="2" t="s">
        <v>228</v>
      </c>
      <c r="BX836" s="2" t="s">
        <v>273</v>
      </c>
      <c r="BY836" s="2" t="s">
        <v>274</v>
      </c>
      <c r="BZ836" s="2" t="s">
        <v>240</v>
      </c>
      <c r="CA836" s="2" t="s">
        <v>4638</v>
      </c>
      <c r="CB836" s="2" t="s">
        <v>228</v>
      </c>
      <c r="CC836" s="2" t="s">
        <v>241</v>
      </c>
      <c r="CD836" s="2" t="s">
        <v>228</v>
      </c>
      <c r="CE836" s="4">
        <v>757</v>
      </c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</row>
    <row r="837">
      <c r="A837" s="2" t="s">
        <v>4650</v>
      </c>
      <c r="B837" s="2" t="s">
        <v>258</v>
      </c>
      <c r="C837" s="2" t="s">
        <v>849</v>
      </c>
      <c r="D837" s="2" t="s">
        <v>1112</v>
      </c>
      <c r="E837" s="2" t="s">
        <v>1113</v>
      </c>
      <c r="F837" s="2" t="s">
        <v>4634</v>
      </c>
      <c r="G837" s="2" t="s">
        <v>4634</v>
      </c>
      <c r="H837" s="2" t="s">
        <v>4634</v>
      </c>
      <c r="I837" s="2" t="s">
        <v>4635</v>
      </c>
      <c r="J837" s="2" t="s">
        <v>1043</v>
      </c>
      <c r="K837" s="2" t="s">
        <v>251</v>
      </c>
      <c r="L837" s="3">
        <v>42.85</v>
      </c>
      <c r="M837" s="3">
        <v>44.99</v>
      </c>
      <c r="N837" s="3">
        <v>89.99</v>
      </c>
      <c r="O837" s="2" t="s">
        <v>240</v>
      </c>
      <c r="P837" s="2" t="s">
        <v>233</v>
      </c>
      <c r="Q837" s="2" t="s">
        <v>234</v>
      </c>
      <c r="R837" s="2" t="s">
        <v>228</v>
      </c>
      <c r="S837" s="2" t="s">
        <v>4646</v>
      </c>
      <c r="T837" s="2" t="s">
        <v>415</v>
      </c>
      <c r="U837" s="2" t="s">
        <v>500</v>
      </c>
      <c r="V837" s="2" t="s">
        <v>236</v>
      </c>
      <c r="W837" s="2" t="s">
        <v>269</v>
      </c>
      <c r="X837" s="2" t="s">
        <v>228</v>
      </c>
      <c r="Y837" s="2" t="s">
        <v>3125</v>
      </c>
      <c r="Z837" s="4">
        <v>409</v>
      </c>
      <c r="AA837" s="4">
        <f>=ROUNDDOWN(40.9,0)</f>
      </c>
      <c r="AB837" s="5">
        <v>10</v>
      </c>
      <c r="AC837" s="2" t="s">
        <v>228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228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228</v>
      </c>
      <c r="AW837" s="8" t="s">
        <v>228</v>
      </c>
      <c r="AX837" s="4" t="s">
        <v>228</v>
      </c>
      <c r="AY837" s="8" t="s">
        <v>228</v>
      </c>
      <c r="AZ837" s="7" t="s">
        <v>228</v>
      </c>
      <c r="BA837" s="7" t="s">
        <v>228</v>
      </c>
      <c r="BB837" s="7"/>
      <c r="BC837" s="4" t="s">
        <v>228</v>
      </c>
      <c r="BD837" s="8" t="s">
        <v>228</v>
      </c>
      <c r="BE837" s="4" t="s">
        <v>228</v>
      </c>
      <c r="BF837" s="8" t="s">
        <v>228</v>
      </c>
      <c r="BG837" s="7" t="s">
        <v>228</v>
      </c>
      <c r="BH837" s="7" t="s">
        <v>228</v>
      </c>
      <c r="BI837" s="7"/>
      <c r="BJ837" s="4">
        <v>2</v>
      </c>
      <c r="BK837" s="8">
        <v>96.52</v>
      </c>
      <c r="BL837" s="2" t="s">
        <v>2894</v>
      </c>
      <c r="BM837" s="7"/>
      <c r="BN837" s="7"/>
      <c r="BO837" s="4"/>
      <c r="BP837" s="8"/>
      <c r="BQ837" s="4"/>
      <c r="BR837" s="8"/>
      <c r="BS837" s="7"/>
      <c r="BT837" s="7"/>
      <c r="BU837" s="2" t="s">
        <v>4651</v>
      </c>
      <c r="BV837" s="2" t="s">
        <v>228</v>
      </c>
      <c r="BW837" s="2" t="s">
        <v>228</v>
      </c>
      <c r="BX837" s="2" t="s">
        <v>273</v>
      </c>
      <c r="BY837" s="2" t="s">
        <v>274</v>
      </c>
      <c r="BZ837" s="2" t="s">
        <v>240</v>
      </c>
      <c r="CA837" s="2" t="s">
        <v>4644</v>
      </c>
      <c r="CB837" s="2" t="s">
        <v>228</v>
      </c>
      <c r="CC837" s="2" t="s">
        <v>241</v>
      </c>
      <c r="CD837" s="2" t="s">
        <v>228</v>
      </c>
      <c r="CE837" s="4">
        <v>409</v>
      </c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</row>
    <row r="838">
      <c r="A838" s="2" t="s">
        <v>4652</v>
      </c>
      <c r="B838" s="2" t="s">
        <v>258</v>
      </c>
      <c r="C838" s="2" t="s">
        <v>849</v>
      </c>
      <c r="D838" s="2" t="s">
        <v>1112</v>
      </c>
      <c r="E838" s="2" t="s">
        <v>1113</v>
      </c>
      <c r="F838" s="2" t="s">
        <v>4634</v>
      </c>
      <c r="G838" s="2" t="s">
        <v>4634</v>
      </c>
      <c r="H838" s="2" t="s">
        <v>4634</v>
      </c>
      <c r="I838" s="2" t="s">
        <v>4635</v>
      </c>
      <c r="J838" s="2" t="s">
        <v>264</v>
      </c>
      <c r="K838" s="2" t="s">
        <v>4653</v>
      </c>
      <c r="L838" s="3">
        <v>33.33</v>
      </c>
      <c r="M838" s="3">
        <v>35</v>
      </c>
      <c r="N838" s="3">
        <v>69.99</v>
      </c>
      <c r="O838" s="2" t="s">
        <v>240</v>
      </c>
      <c r="P838" s="2" t="s">
        <v>233</v>
      </c>
      <c r="Q838" s="2" t="s">
        <v>234</v>
      </c>
      <c r="R838" s="2" t="s">
        <v>228</v>
      </c>
      <c r="S838" s="2" t="s">
        <v>4654</v>
      </c>
      <c r="T838" s="2" t="s">
        <v>415</v>
      </c>
      <c r="U838" s="2" t="s">
        <v>520</v>
      </c>
      <c r="V838" s="2" t="s">
        <v>236</v>
      </c>
      <c r="W838" s="2" t="s">
        <v>269</v>
      </c>
      <c r="X838" s="2" t="s">
        <v>228</v>
      </c>
      <c r="Y838" s="2" t="s">
        <v>3125</v>
      </c>
      <c r="Z838" s="4">
        <v>383</v>
      </c>
      <c r="AA838" s="4">
        <f>=ROUNDDOWN(38.3,0)</f>
      </c>
      <c r="AB838" s="5">
        <v>10</v>
      </c>
      <c r="AC838" s="2" t="s">
        <v>228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228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228</v>
      </c>
      <c r="AW838" s="8" t="s">
        <v>228</v>
      </c>
      <c r="AX838" s="4" t="s">
        <v>228</v>
      </c>
      <c r="AY838" s="8" t="s">
        <v>228</v>
      </c>
      <c r="AZ838" s="7" t="s">
        <v>228</v>
      </c>
      <c r="BA838" s="7" t="s">
        <v>228</v>
      </c>
      <c r="BB838" s="7"/>
      <c r="BC838" s="4" t="s">
        <v>228</v>
      </c>
      <c r="BD838" s="8" t="s">
        <v>228</v>
      </c>
      <c r="BE838" s="4" t="s">
        <v>228</v>
      </c>
      <c r="BF838" s="8" t="s">
        <v>228</v>
      </c>
      <c r="BG838" s="7" t="s">
        <v>228</v>
      </c>
      <c r="BH838" s="7" t="s">
        <v>228</v>
      </c>
      <c r="BI838" s="7"/>
      <c r="BJ838" s="4">
        <v>3</v>
      </c>
      <c r="BK838" s="8">
        <v>114.99</v>
      </c>
      <c r="BL838" s="2" t="s">
        <v>727</v>
      </c>
      <c r="BM838" s="7"/>
      <c r="BN838" s="7"/>
      <c r="BO838" s="4"/>
      <c r="BP838" s="8"/>
      <c r="BQ838" s="4"/>
      <c r="BR838" s="8"/>
      <c r="BS838" s="7"/>
      <c r="BT838" s="7"/>
      <c r="BU838" s="2" t="s">
        <v>4655</v>
      </c>
      <c r="BV838" s="2" t="s">
        <v>228</v>
      </c>
      <c r="BW838" s="2" t="s">
        <v>228</v>
      </c>
      <c r="BX838" s="2" t="s">
        <v>273</v>
      </c>
      <c r="BY838" s="2" t="s">
        <v>274</v>
      </c>
      <c r="BZ838" s="2" t="s">
        <v>240</v>
      </c>
      <c r="CA838" s="2" t="s">
        <v>3125</v>
      </c>
      <c r="CB838" s="2" t="s">
        <v>228</v>
      </c>
      <c r="CC838" s="2" t="s">
        <v>241</v>
      </c>
      <c r="CD838" s="2" t="s">
        <v>228</v>
      </c>
      <c r="CE838" s="4">
        <v>383</v>
      </c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</row>
    <row r="839">
      <c r="A839" s="2" t="s">
        <v>4656</v>
      </c>
      <c r="B839" s="2" t="s">
        <v>258</v>
      </c>
      <c r="C839" s="2" t="s">
        <v>849</v>
      </c>
      <c r="D839" s="2" t="s">
        <v>1112</v>
      </c>
      <c r="E839" s="2" t="s">
        <v>1113</v>
      </c>
      <c r="F839" s="2" t="s">
        <v>4634</v>
      </c>
      <c r="G839" s="2" t="s">
        <v>4634</v>
      </c>
      <c r="H839" s="2" t="s">
        <v>4634</v>
      </c>
      <c r="I839" s="2" t="s">
        <v>4635</v>
      </c>
      <c r="J839" s="2" t="s">
        <v>1043</v>
      </c>
      <c r="K839" s="2" t="s">
        <v>4653</v>
      </c>
      <c r="L839" s="3">
        <v>42.85</v>
      </c>
      <c r="M839" s="3">
        <v>44.99</v>
      </c>
      <c r="N839" s="3">
        <v>89.99</v>
      </c>
      <c r="O839" s="2" t="s">
        <v>240</v>
      </c>
      <c r="P839" s="2" t="s">
        <v>233</v>
      </c>
      <c r="Q839" s="2" t="s">
        <v>234</v>
      </c>
      <c r="R839" s="2" t="s">
        <v>228</v>
      </c>
      <c r="S839" s="2" t="s">
        <v>4654</v>
      </c>
      <c r="T839" s="2" t="s">
        <v>415</v>
      </c>
      <c r="U839" s="2" t="s">
        <v>500</v>
      </c>
      <c r="V839" s="2" t="s">
        <v>236</v>
      </c>
      <c r="W839" s="2" t="s">
        <v>269</v>
      </c>
      <c r="X839" s="2" t="s">
        <v>228</v>
      </c>
      <c r="Y839" s="2" t="s">
        <v>3125</v>
      </c>
      <c r="Z839" s="4">
        <v>386</v>
      </c>
      <c r="AA839" s="4">
        <f>=ROUNDDOWN(35.0909090909091,0)</f>
      </c>
      <c r="AB839" s="5">
        <v>11</v>
      </c>
      <c r="AC839" s="2" t="s">
        <v>228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228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228</v>
      </c>
      <c r="AW839" s="8" t="s">
        <v>228</v>
      </c>
      <c r="AX839" s="4" t="s">
        <v>228</v>
      </c>
      <c r="AY839" s="8" t="s">
        <v>228</v>
      </c>
      <c r="AZ839" s="7" t="s">
        <v>228</v>
      </c>
      <c r="BA839" s="7" t="s">
        <v>228</v>
      </c>
      <c r="BB839" s="7"/>
      <c r="BC839" s="4" t="s">
        <v>228</v>
      </c>
      <c r="BD839" s="8" t="s">
        <v>228</v>
      </c>
      <c r="BE839" s="4" t="s">
        <v>228</v>
      </c>
      <c r="BF839" s="8" t="s">
        <v>228</v>
      </c>
      <c r="BG839" s="7" t="s">
        <v>228</v>
      </c>
      <c r="BH839" s="7" t="s">
        <v>228</v>
      </c>
      <c r="BI839" s="7"/>
      <c r="BJ839" s="4">
        <v>8</v>
      </c>
      <c r="BK839" s="8">
        <v>384.04</v>
      </c>
      <c r="BL839" s="2" t="s">
        <v>1822</v>
      </c>
      <c r="BM839" s="7"/>
      <c r="BN839" s="7"/>
      <c r="BO839" s="4"/>
      <c r="BP839" s="8"/>
      <c r="BQ839" s="4"/>
      <c r="BR839" s="8"/>
      <c r="BS839" s="7"/>
      <c r="BT839" s="7"/>
      <c r="BU839" s="2" t="s">
        <v>4657</v>
      </c>
      <c r="BV839" s="2" t="s">
        <v>228</v>
      </c>
      <c r="BW839" s="2" t="s">
        <v>228</v>
      </c>
      <c r="BX839" s="2" t="s">
        <v>273</v>
      </c>
      <c r="BY839" s="2" t="s">
        <v>274</v>
      </c>
      <c r="BZ839" s="2" t="s">
        <v>240</v>
      </c>
      <c r="CA839" s="2" t="s">
        <v>3125</v>
      </c>
      <c r="CB839" s="2" t="s">
        <v>228</v>
      </c>
      <c r="CC839" s="2" t="s">
        <v>241</v>
      </c>
      <c r="CD839" s="2" t="s">
        <v>228</v>
      </c>
      <c r="CE839" s="4">
        <v>386</v>
      </c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</row>
    <row r="840">
      <c r="A840" s="2" t="s">
        <v>4658</v>
      </c>
      <c r="B840" s="2" t="s">
        <v>258</v>
      </c>
      <c r="C840" s="2" t="s">
        <v>849</v>
      </c>
      <c r="D840" s="2" t="s">
        <v>1112</v>
      </c>
      <c r="E840" s="2" t="s">
        <v>1113</v>
      </c>
      <c r="F840" s="2" t="s">
        <v>4634</v>
      </c>
      <c r="G840" s="2" t="s">
        <v>4634</v>
      </c>
      <c r="H840" s="2" t="s">
        <v>4634</v>
      </c>
      <c r="I840" s="2" t="s">
        <v>4635</v>
      </c>
      <c r="J840" s="2" t="s">
        <v>264</v>
      </c>
      <c r="K840" s="2" t="s">
        <v>4659</v>
      </c>
      <c r="L840" s="3">
        <v>33.33</v>
      </c>
      <c r="M840" s="3">
        <v>35</v>
      </c>
      <c r="N840" s="3">
        <v>69.99</v>
      </c>
      <c r="O840" s="2" t="s">
        <v>240</v>
      </c>
      <c r="P840" s="2" t="s">
        <v>233</v>
      </c>
      <c r="Q840" s="2" t="s">
        <v>234</v>
      </c>
      <c r="R840" s="2" t="s">
        <v>228</v>
      </c>
      <c r="S840" s="2" t="s">
        <v>4660</v>
      </c>
      <c r="T840" s="2" t="s">
        <v>415</v>
      </c>
      <c r="U840" s="2" t="s">
        <v>520</v>
      </c>
      <c r="V840" s="2" t="s">
        <v>236</v>
      </c>
      <c r="W840" s="2" t="s">
        <v>269</v>
      </c>
      <c r="X840" s="2" t="s">
        <v>228</v>
      </c>
      <c r="Y840" s="2" t="s">
        <v>3125</v>
      </c>
      <c r="Z840" s="4">
        <v>354</v>
      </c>
      <c r="AA840" s="4">
        <f>=ROUNDDOWN(39.3333333333333,0)</f>
      </c>
      <c r="AB840" s="5">
        <v>9</v>
      </c>
      <c r="AC840" s="2" t="s">
        <v>228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228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228</v>
      </c>
      <c r="AW840" s="8" t="s">
        <v>228</v>
      </c>
      <c r="AX840" s="4" t="s">
        <v>228</v>
      </c>
      <c r="AY840" s="8" t="s">
        <v>228</v>
      </c>
      <c r="AZ840" s="7" t="s">
        <v>228</v>
      </c>
      <c r="BA840" s="7" t="s">
        <v>228</v>
      </c>
      <c r="BB840" s="7"/>
      <c r="BC840" s="4" t="s">
        <v>228</v>
      </c>
      <c r="BD840" s="8" t="s">
        <v>228</v>
      </c>
      <c r="BE840" s="4" t="s">
        <v>228</v>
      </c>
      <c r="BF840" s="8" t="s">
        <v>228</v>
      </c>
      <c r="BG840" s="7" t="s">
        <v>228</v>
      </c>
      <c r="BH840" s="7" t="s">
        <v>228</v>
      </c>
      <c r="BI840" s="7"/>
      <c r="BJ840" s="4">
        <v>7</v>
      </c>
      <c r="BK840" s="8">
        <v>260.41</v>
      </c>
      <c r="BL840" s="2" t="s">
        <v>1822</v>
      </c>
      <c r="BM840" s="7"/>
      <c r="BN840" s="7"/>
      <c r="BO840" s="4"/>
      <c r="BP840" s="8"/>
      <c r="BQ840" s="4"/>
      <c r="BR840" s="8"/>
      <c r="BS840" s="7"/>
      <c r="BT840" s="7"/>
      <c r="BU840" s="2" t="s">
        <v>4661</v>
      </c>
      <c r="BV840" s="2" t="s">
        <v>228</v>
      </c>
      <c r="BW840" s="2" t="s">
        <v>228</v>
      </c>
      <c r="BX840" s="2" t="s">
        <v>273</v>
      </c>
      <c r="BY840" s="2" t="s">
        <v>274</v>
      </c>
      <c r="BZ840" s="2" t="s">
        <v>240</v>
      </c>
      <c r="CA840" s="2" t="s">
        <v>4638</v>
      </c>
      <c r="CB840" s="2" t="s">
        <v>228</v>
      </c>
      <c r="CC840" s="2" t="s">
        <v>241</v>
      </c>
      <c r="CD840" s="2" t="s">
        <v>228</v>
      </c>
      <c r="CE840" s="4">
        <v>354</v>
      </c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</row>
    <row r="841">
      <c r="A841" s="2" t="s">
        <v>4662</v>
      </c>
      <c r="B841" s="2" t="s">
        <v>258</v>
      </c>
      <c r="C841" s="2" t="s">
        <v>849</v>
      </c>
      <c r="D841" s="2" t="s">
        <v>1112</v>
      </c>
      <c r="E841" s="2" t="s">
        <v>1113</v>
      </c>
      <c r="F841" s="2" t="s">
        <v>4634</v>
      </c>
      <c r="G841" s="2" t="s">
        <v>4634</v>
      </c>
      <c r="H841" s="2" t="s">
        <v>4634</v>
      </c>
      <c r="I841" s="2" t="s">
        <v>4635</v>
      </c>
      <c r="J841" s="2" t="s">
        <v>1189</v>
      </c>
      <c r="K841" s="2" t="s">
        <v>4659</v>
      </c>
      <c r="L841" s="3">
        <v>38.09</v>
      </c>
      <c r="M841" s="3">
        <v>39.99</v>
      </c>
      <c r="N841" s="3">
        <v>79.99</v>
      </c>
      <c r="O841" s="2" t="s">
        <v>240</v>
      </c>
      <c r="P841" s="2" t="s">
        <v>233</v>
      </c>
      <c r="Q841" s="2" t="s">
        <v>234</v>
      </c>
      <c r="R841" s="2" t="s">
        <v>228</v>
      </c>
      <c r="S841" s="2" t="s">
        <v>4660</v>
      </c>
      <c r="T841" s="2" t="s">
        <v>415</v>
      </c>
      <c r="U841" s="2" t="s">
        <v>500</v>
      </c>
      <c r="V841" s="2" t="s">
        <v>236</v>
      </c>
      <c r="W841" s="2" t="s">
        <v>269</v>
      </c>
      <c r="X841" s="2" t="s">
        <v>228</v>
      </c>
      <c r="Y841" s="2" t="s">
        <v>4640</v>
      </c>
      <c r="Z841" s="4">
        <v>752</v>
      </c>
      <c r="AA841" s="4">
        <f>=ROUNDDOWN(47,0)</f>
      </c>
      <c r="AB841" s="5">
        <v>16</v>
      </c>
      <c r="AC841" s="2" t="s">
        <v>228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228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228</v>
      </c>
      <c r="AW841" s="8" t="s">
        <v>228</v>
      </c>
      <c r="AX841" s="4" t="s">
        <v>228</v>
      </c>
      <c r="AY841" s="8" t="s">
        <v>228</v>
      </c>
      <c r="AZ841" s="7" t="s">
        <v>228</v>
      </c>
      <c r="BA841" s="7" t="s">
        <v>228</v>
      </c>
      <c r="BB841" s="7"/>
      <c r="BC841" s="4" t="s">
        <v>228</v>
      </c>
      <c r="BD841" s="8" t="s">
        <v>228</v>
      </c>
      <c r="BE841" s="4" t="s">
        <v>228</v>
      </c>
      <c r="BF841" s="8" t="s">
        <v>228</v>
      </c>
      <c r="BG841" s="7" t="s">
        <v>228</v>
      </c>
      <c r="BH841" s="7" t="s">
        <v>228</v>
      </c>
      <c r="BI841" s="7"/>
      <c r="BJ841" s="4">
        <v>12</v>
      </c>
      <c r="BK841" s="8">
        <v>510.51</v>
      </c>
      <c r="BL841" s="2" t="s">
        <v>4663</v>
      </c>
      <c r="BM841" s="7"/>
      <c r="BN841" s="7"/>
      <c r="BO841" s="4"/>
      <c r="BP841" s="8"/>
      <c r="BQ841" s="4"/>
      <c r="BR841" s="8"/>
      <c r="BS841" s="7"/>
      <c r="BT841" s="7"/>
      <c r="BU841" s="2" t="s">
        <v>4664</v>
      </c>
      <c r="BV841" s="2" t="s">
        <v>228</v>
      </c>
      <c r="BW841" s="2" t="s">
        <v>228</v>
      </c>
      <c r="BX841" s="2" t="s">
        <v>273</v>
      </c>
      <c r="BY841" s="2" t="s">
        <v>274</v>
      </c>
      <c r="BZ841" s="2" t="s">
        <v>240</v>
      </c>
      <c r="CA841" s="2" t="s">
        <v>3125</v>
      </c>
      <c r="CB841" s="2" t="s">
        <v>3573</v>
      </c>
      <c r="CC841" s="2" t="s">
        <v>241</v>
      </c>
      <c r="CD841" s="2" t="s">
        <v>228</v>
      </c>
      <c r="CE841" s="4">
        <v>752</v>
      </c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</row>
    <row r="842">
      <c r="A842" s="2" t="s">
        <v>4665</v>
      </c>
      <c r="B842" s="2" t="s">
        <v>258</v>
      </c>
      <c r="C842" s="2" t="s">
        <v>849</v>
      </c>
      <c r="D842" s="2" t="s">
        <v>1112</v>
      </c>
      <c r="E842" s="2" t="s">
        <v>1113</v>
      </c>
      <c r="F842" s="2" t="s">
        <v>4634</v>
      </c>
      <c r="G842" s="2" t="s">
        <v>4634</v>
      </c>
      <c r="H842" s="2" t="s">
        <v>4634</v>
      </c>
      <c r="I842" s="2" t="s">
        <v>4635</v>
      </c>
      <c r="J842" s="2" t="s">
        <v>1043</v>
      </c>
      <c r="K842" s="2" t="s">
        <v>4659</v>
      </c>
      <c r="L842" s="3">
        <v>42.85</v>
      </c>
      <c r="M842" s="3">
        <v>44.99</v>
      </c>
      <c r="N842" s="3">
        <v>89.99</v>
      </c>
      <c r="O842" s="2" t="s">
        <v>240</v>
      </c>
      <c r="P842" s="2" t="s">
        <v>233</v>
      </c>
      <c r="Q842" s="2" t="s">
        <v>234</v>
      </c>
      <c r="R842" s="2" t="s">
        <v>228</v>
      </c>
      <c r="S842" s="2" t="s">
        <v>4660</v>
      </c>
      <c r="T842" s="2" t="s">
        <v>415</v>
      </c>
      <c r="U842" s="2" t="s">
        <v>500</v>
      </c>
      <c r="V842" s="2" t="s">
        <v>236</v>
      </c>
      <c r="W842" s="2" t="s">
        <v>269</v>
      </c>
      <c r="X842" s="2" t="s">
        <v>228</v>
      </c>
      <c r="Y842" s="2" t="s">
        <v>3125</v>
      </c>
      <c r="Z842" s="4">
        <v>366</v>
      </c>
      <c r="AA842" s="4">
        <f>=ROUNDDOWN(40.6666666666667,0)</f>
      </c>
      <c r="AB842" s="5">
        <v>9</v>
      </c>
      <c r="AC842" s="2" t="s">
        <v>228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228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228</v>
      </c>
      <c r="AW842" s="8" t="s">
        <v>228</v>
      </c>
      <c r="AX842" s="4" t="s">
        <v>228</v>
      </c>
      <c r="AY842" s="8" t="s">
        <v>228</v>
      </c>
      <c r="AZ842" s="7" t="s">
        <v>228</v>
      </c>
      <c r="BA842" s="7" t="s">
        <v>228</v>
      </c>
      <c r="BB842" s="7"/>
      <c r="BC842" s="4" t="s">
        <v>228</v>
      </c>
      <c r="BD842" s="8" t="s">
        <v>228</v>
      </c>
      <c r="BE842" s="4" t="s">
        <v>228</v>
      </c>
      <c r="BF842" s="8" t="s">
        <v>228</v>
      </c>
      <c r="BG842" s="7" t="s">
        <v>228</v>
      </c>
      <c r="BH842" s="7" t="s">
        <v>228</v>
      </c>
      <c r="BI842" s="7"/>
      <c r="BJ842" s="4">
        <v>7</v>
      </c>
      <c r="BK842" s="8">
        <v>340.88</v>
      </c>
      <c r="BL842" s="2" t="s">
        <v>4666</v>
      </c>
      <c r="BM842" s="7"/>
      <c r="BN842" s="7"/>
      <c r="BO842" s="4"/>
      <c r="BP842" s="8"/>
      <c r="BQ842" s="4"/>
      <c r="BR842" s="8"/>
      <c r="BS842" s="7"/>
      <c r="BT842" s="7"/>
      <c r="BU842" s="2" t="s">
        <v>4667</v>
      </c>
      <c r="BV842" s="2" t="s">
        <v>228</v>
      </c>
      <c r="BW842" s="2" t="s">
        <v>228</v>
      </c>
      <c r="BX842" s="2" t="s">
        <v>273</v>
      </c>
      <c r="BY842" s="2" t="s">
        <v>274</v>
      </c>
      <c r="BZ842" s="2" t="s">
        <v>240</v>
      </c>
      <c r="CA842" s="2" t="s">
        <v>3125</v>
      </c>
      <c r="CB842" s="2" t="s">
        <v>228</v>
      </c>
      <c r="CC842" s="2" t="s">
        <v>241</v>
      </c>
      <c r="CD842" s="2" t="s">
        <v>228</v>
      </c>
      <c r="CE842" s="4">
        <v>366</v>
      </c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</row>
    <row r="843">
      <c r="A843" s="2" t="s">
        <v>4668</v>
      </c>
      <c r="B843" s="2" t="s">
        <v>258</v>
      </c>
      <c r="C843" s="2" t="s">
        <v>849</v>
      </c>
      <c r="D843" s="2" t="s">
        <v>260</v>
      </c>
      <c r="E843" s="2" t="s">
        <v>411</v>
      </c>
      <c r="F843" s="2" t="s">
        <v>4634</v>
      </c>
      <c r="G843" s="2" t="s">
        <v>4634</v>
      </c>
      <c r="H843" s="2" t="s">
        <v>4634</v>
      </c>
      <c r="I843" s="2" t="s">
        <v>4669</v>
      </c>
      <c r="J843" s="2" t="s">
        <v>264</v>
      </c>
      <c r="K843" s="2" t="s">
        <v>316</v>
      </c>
      <c r="L843" s="3">
        <v>20.57</v>
      </c>
      <c r="M843" s="3">
        <v>21.6</v>
      </c>
      <c r="N843" s="3">
        <v>44.99</v>
      </c>
      <c r="O843" s="2" t="s">
        <v>240</v>
      </c>
      <c r="P843" s="2" t="s">
        <v>233</v>
      </c>
      <c r="Q843" s="2" t="s">
        <v>234</v>
      </c>
      <c r="R843" s="2" t="s">
        <v>228</v>
      </c>
      <c r="S843" s="2" t="s">
        <v>4670</v>
      </c>
      <c r="T843" s="2" t="s">
        <v>1414</v>
      </c>
      <c r="U843" s="2" t="s">
        <v>416</v>
      </c>
      <c r="V843" s="2" t="s">
        <v>236</v>
      </c>
      <c r="W843" s="2" t="s">
        <v>269</v>
      </c>
      <c r="X843" s="2" t="s">
        <v>228</v>
      </c>
      <c r="Y843" s="2" t="s">
        <v>2490</v>
      </c>
      <c r="Z843" s="4">
        <v>184</v>
      </c>
      <c r="AA843" s="4">
        <f>=ROUNDDOWN(14.1538461538462,0)</f>
      </c>
      <c r="AB843" s="5">
        <v>13</v>
      </c>
      <c r="AC843" s="2" t="s">
        <v>168</v>
      </c>
      <c r="AD843" s="4">
        <v>200</v>
      </c>
      <c r="AE843" s="4">
        <v>200</v>
      </c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228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228</v>
      </c>
      <c r="AW843" s="8" t="s">
        <v>228</v>
      </c>
      <c r="AX843" s="4" t="s">
        <v>228</v>
      </c>
      <c r="AY843" s="8" t="s">
        <v>228</v>
      </c>
      <c r="AZ843" s="7" t="s">
        <v>228</v>
      </c>
      <c r="BA843" s="7" t="s">
        <v>228</v>
      </c>
      <c r="BB843" s="7"/>
      <c r="BC843" s="4" t="s">
        <v>228</v>
      </c>
      <c r="BD843" s="8" t="s">
        <v>228</v>
      </c>
      <c r="BE843" s="4" t="s">
        <v>228</v>
      </c>
      <c r="BF843" s="8" t="s">
        <v>228</v>
      </c>
      <c r="BG843" s="7" t="s">
        <v>228</v>
      </c>
      <c r="BH843" s="7" t="s">
        <v>228</v>
      </c>
      <c r="BI843" s="7"/>
      <c r="BJ843" s="4">
        <v>39</v>
      </c>
      <c r="BK843" s="8">
        <v>967.97</v>
      </c>
      <c r="BL843" s="2" t="s">
        <v>4671</v>
      </c>
      <c r="BM843" s="7"/>
      <c r="BN843" s="7"/>
      <c r="BO843" s="4"/>
      <c r="BP843" s="8"/>
      <c r="BQ843" s="4"/>
      <c r="BR843" s="8"/>
      <c r="BS843" s="7"/>
      <c r="BT843" s="7"/>
      <c r="BU843" s="2" t="s">
        <v>4672</v>
      </c>
      <c r="BV843" s="2" t="s">
        <v>228</v>
      </c>
      <c r="BW843" s="2" t="s">
        <v>228</v>
      </c>
      <c r="BX843" s="2" t="s">
        <v>273</v>
      </c>
      <c r="BY843" s="2" t="s">
        <v>274</v>
      </c>
      <c r="BZ843" s="2" t="s">
        <v>240</v>
      </c>
      <c r="CA843" s="2" t="s">
        <v>1205</v>
      </c>
      <c r="CB843" s="2" t="s">
        <v>228</v>
      </c>
      <c r="CC843" s="2" t="s">
        <v>241</v>
      </c>
      <c r="CD843" s="2" t="s">
        <v>228</v>
      </c>
      <c r="CE843" s="4">
        <v>184</v>
      </c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>
        <v>200</v>
      </c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</row>
    <row r="844">
      <c r="A844" s="2" t="s">
        <v>4673</v>
      </c>
      <c r="B844" s="2" t="s">
        <v>258</v>
      </c>
      <c r="C844" s="2" t="s">
        <v>849</v>
      </c>
      <c r="D844" s="2" t="s">
        <v>260</v>
      </c>
      <c r="E844" s="2" t="s">
        <v>411</v>
      </c>
      <c r="F844" s="2" t="s">
        <v>4634</v>
      </c>
      <c r="G844" s="2" t="s">
        <v>4634</v>
      </c>
      <c r="H844" s="2" t="s">
        <v>4634</v>
      </c>
      <c r="I844" s="2" t="s">
        <v>4669</v>
      </c>
      <c r="J844" s="2" t="s">
        <v>284</v>
      </c>
      <c r="K844" s="2" t="s">
        <v>316</v>
      </c>
      <c r="L844" s="3">
        <v>23.8</v>
      </c>
      <c r="M844" s="3">
        <v>24.99</v>
      </c>
      <c r="N844" s="3">
        <v>49.99</v>
      </c>
      <c r="O844" s="2" t="s">
        <v>240</v>
      </c>
      <c r="P844" s="2" t="s">
        <v>233</v>
      </c>
      <c r="Q844" s="2" t="s">
        <v>234</v>
      </c>
      <c r="R844" s="2" t="s">
        <v>228</v>
      </c>
      <c r="S844" s="2" t="s">
        <v>4670</v>
      </c>
      <c r="T844" s="2" t="s">
        <v>1414</v>
      </c>
      <c r="U844" s="2" t="s">
        <v>416</v>
      </c>
      <c r="V844" s="2" t="s">
        <v>236</v>
      </c>
      <c r="W844" s="2" t="s">
        <v>269</v>
      </c>
      <c r="X844" s="2" t="s">
        <v>228</v>
      </c>
      <c r="Y844" s="2" t="s">
        <v>2490</v>
      </c>
      <c r="Z844" s="4">
        <v>300</v>
      </c>
      <c r="AA844" s="4">
        <f>=ROUNDDOWN(23.0769230769231,0)</f>
      </c>
      <c r="AB844" s="5">
        <v>13</v>
      </c>
      <c r="AC844" s="2" t="s">
        <v>168</v>
      </c>
      <c r="AD844" s="4">
        <v>200</v>
      </c>
      <c r="AE844" s="4">
        <v>200</v>
      </c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228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228</v>
      </c>
      <c r="AW844" s="8" t="s">
        <v>228</v>
      </c>
      <c r="AX844" s="4" t="s">
        <v>228</v>
      </c>
      <c r="AY844" s="8" t="s">
        <v>228</v>
      </c>
      <c r="AZ844" s="7" t="s">
        <v>228</v>
      </c>
      <c r="BA844" s="7" t="s">
        <v>228</v>
      </c>
      <c r="BB844" s="7"/>
      <c r="BC844" s="4" t="s">
        <v>228</v>
      </c>
      <c r="BD844" s="8" t="s">
        <v>228</v>
      </c>
      <c r="BE844" s="4" t="s">
        <v>228</v>
      </c>
      <c r="BF844" s="8" t="s">
        <v>228</v>
      </c>
      <c r="BG844" s="7" t="s">
        <v>228</v>
      </c>
      <c r="BH844" s="7" t="s">
        <v>228</v>
      </c>
      <c r="BI844" s="7"/>
      <c r="BJ844" s="4">
        <v>23</v>
      </c>
      <c r="BK844" s="8">
        <v>840.26</v>
      </c>
      <c r="BL844" s="2" t="s">
        <v>4674</v>
      </c>
      <c r="BM844" s="7"/>
      <c r="BN844" s="7"/>
      <c r="BO844" s="4"/>
      <c r="BP844" s="8"/>
      <c r="BQ844" s="4"/>
      <c r="BR844" s="8"/>
      <c r="BS844" s="7"/>
      <c r="BT844" s="7"/>
      <c r="BU844" s="2" t="s">
        <v>4675</v>
      </c>
      <c r="BV844" s="2" t="s">
        <v>228</v>
      </c>
      <c r="BW844" s="2" t="s">
        <v>228</v>
      </c>
      <c r="BX844" s="2" t="s">
        <v>273</v>
      </c>
      <c r="BY844" s="2" t="s">
        <v>274</v>
      </c>
      <c r="BZ844" s="2" t="s">
        <v>240</v>
      </c>
      <c r="CA844" s="2" t="s">
        <v>1205</v>
      </c>
      <c r="CB844" s="2" t="s">
        <v>228</v>
      </c>
      <c r="CC844" s="2" t="s">
        <v>241</v>
      </c>
      <c r="CD844" s="2" t="s">
        <v>228</v>
      </c>
      <c r="CE844" s="4">
        <v>300</v>
      </c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>
        <v>200</v>
      </c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</row>
    <row r="845">
      <c r="A845" s="2" t="s">
        <v>4676</v>
      </c>
      <c r="B845" s="2" t="s">
        <v>258</v>
      </c>
      <c r="C845" s="2" t="s">
        <v>849</v>
      </c>
      <c r="D845" s="2" t="s">
        <v>260</v>
      </c>
      <c r="E845" s="2" t="s">
        <v>411</v>
      </c>
      <c r="F845" s="2" t="s">
        <v>4634</v>
      </c>
      <c r="G845" s="2" t="s">
        <v>4634</v>
      </c>
      <c r="H845" s="2" t="s">
        <v>4634</v>
      </c>
      <c r="I845" s="2" t="s">
        <v>4669</v>
      </c>
      <c r="J845" s="2" t="s">
        <v>289</v>
      </c>
      <c r="K845" s="2" t="s">
        <v>316</v>
      </c>
      <c r="L845" s="3">
        <v>26.19</v>
      </c>
      <c r="M845" s="3">
        <v>27.5</v>
      </c>
      <c r="N845" s="3">
        <v>54.99</v>
      </c>
      <c r="O845" s="2" t="s">
        <v>240</v>
      </c>
      <c r="P845" s="2" t="s">
        <v>233</v>
      </c>
      <c r="Q845" s="2" t="s">
        <v>234</v>
      </c>
      <c r="R845" s="2" t="s">
        <v>228</v>
      </c>
      <c r="S845" s="2" t="s">
        <v>4670</v>
      </c>
      <c r="T845" s="2" t="s">
        <v>1414</v>
      </c>
      <c r="U845" s="2" t="s">
        <v>416</v>
      </c>
      <c r="V845" s="2" t="s">
        <v>236</v>
      </c>
      <c r="W845" s="2" t="s">
        <v>269</v>
      </c>
      <c r="X845" s="2" t="s">
        <v>228</v>
      </c>
      <c r="Y845" s="2" t="s">
        <v>2490</v>
      </c>
      <c r="Z845" s="4">
        <v>563</v>
      </c>
      <c r="AA845" s="4">
        <f>=ROUNDDOWN(28.15,0)</f>
      </c>
      <c r="AB845" s="5">
        <v>20</v>
      </c>
      <c r="AC845" s="2" t="s">
        <v>168</v>
      </c>
      <c r="AD845" s="4">
        <v>200</v>
      </c>
      <c r="AE845" s="4">
        <v>200</v>
      </c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228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228</v>
      </c>
      <c r="AW845" s="8" t="s">
        <v>228</v>
      </c>
      <c r="AX845" s="4" t="s">
        <v>228</v>
      </c>
      <c r="AY845" s="8" t="s">
        <v>228</v>
      </c>
      <c r="AZ845" s="7" t="s">
        <v>228</v>
      </c>
      <c r="BA845" s="7" t="s">
        <v>228</v>
      </c>
      <c r="BB845" s="7"/>
      <c r="BC845" s="4" t="s">
        <v>228</v>
      </c>
      <c r="BD845" s="8" t="s">
        <v>228</v>
      </c>
      <c r="BE845" s="4" t="s">
        <v>228</v>
      </c>
      <c r="BF845" s="8" t="s">
        <v>228</v>
      </c>
      <c r="BG845" s="7" t="s">
        <v>228</v>
      </c>
      <c r="BH845" s="7" t="s">
        <v>228</v>
      </c>
      <c r="BI845" s="7"/>
      <c r="BJ845" s="4">
        <v>63</v>
      </c>
      <c r="BK845" s="8">
        <v>1975.76</v>
      </c>
      <c r="BL845" s="2" t="s">
        <v>4677</v>
      </c>
      <c r="BM845" s="7"/>
      <c r="BN845" s="7"/>
      <c r="BO845" s="4"/>
      <c r="BP845" s="8"/>
      <c r="BQ845" s="4"/>
      <c r="BR845" s="8"/>
      <c r="BS845" s="7"/>
      <c r="BT845" s="7"/>
      <c r="BU845" s="2" t="s">
        <v>4678</v>
      </c>
      <c r="BV845" s="2" t="s">
        <v>228</v>
      </c>
      <c r="BW845" s="2" t="s">
        <v>228</v>
      </c>
      <c r="BX845" s="2" t="s">
        <v>273</v>
      </c>
      <c r="BY845" s="2" t="s">
        <v>274</v>
      </c>
      <c r="BZ845" s="2" t="s">
        <v>240</v>
      </c>
      <c r="CA845" s="2" t="s">
        <v>1205</v>
      </c>
      <c r="CB845" s="2" t="s">
        <v>228</v>
      </c>
      <c r="CC845" s="2" t="s">
        <v>241</v>
      </c>
      <c r="CD845" s="2" t="s">
        <v>228</v>
      </c>
      <c r="CE845" s="4">
        <v>563</v>
      </c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>
        <v>200</v>
      </c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</row>
    <row r="846">
      <c r="A846" s="2" t="s">
        <v>4679</v>
      </c>
      <c r="B846" s="2" t="s">
        <v>258</v>
      </c>
      <c r="C846" s="2" t="s">
        <v>849</v>
      </c>
      <c r="D846" s="2" t="s">
        <v>260</v>
      </c>
      <c r="E846" s="2" t="s">
        <v>411</v>
      </c>
      <c r="F846" s="2" t="s">
        <v>4634</v>
      </c>
      <c r="G846" s="2" t="s">
        <v>4634</v>
      </c>
      <c r="H846" s="2" t="s">
        <v>4634</v>
      </c>
      <c r="I846" s="2" t="s">
        <v>4669</v>
      </c>
      <c r="J846" s="2" t="s">
        <v>294</v>
      </c>
      <c r="K846" s="2" t="s">
        <v>316</v>
      </c>
      <c r="L846" s="3">
        <v>28.57</v>
      </c>
      <c r="M846" s="3">
        <v>30</v>
      </c>
      <c r="N846" s="3">
        <v>59.99</v>
      </c>
      <c r="O846" s="2" t="s">
        <v>240</v>
      </c>
      <c r="P846" s="2" t="s">
        <v>233</v>
      </c>
      <c r="Q846" s="2" t="s">
        <v>234</v>
      </c>
      <c r="R846" s="2" t="s">
        <v>228</v>
      </c>
      <c r="S846" s="2" t="s">
        <v>4670</v>
      </c>
      <c r="T846" s="2" t="s">
        <v>1414</v>
      </c>
      <c r="U846" s="2" t="s">
        <v>416</v>
      </c>
      <c r="V846" s="2" t="s">
        <v>236</v>
      </c>
      <c r="W846" s="2" t="s">
        <v>269</v>
      </c>
      <c r="X846" s="2" t="s">
        <v>228</v>
      </c>
      <c r="Y846" s="2" t="s">
        <v>2490</v>
      </c>
      <c r="Z846" s="4">
        <v>399</v>
      </c>
      <c r="AA846" s="4">
        <f>=ROUNDDOWN(28.5,0)</f>
      </c>
      <c r="AB846" s="5">
        <v>14</v>
      </c>
      <c r="AC846" s="2" t="s">
        <v>168</v>
      </c>
      <c r="AD846" s="4">
        <v>200</v>
      </c>
      <c r="AE846" s="4">
        <v>200</v>
      </c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228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228</v>
      </c>
      <c r="AW846" s="8" t="s">
        <v>228</v>
      </c>
      <c r="AX846" s="4" t="s">
        <v>228</v>
      </c>
      <c r="AY846" s="8" t="s">
        <v>228</v>
      </c>
      <c r="AZ846" s="7" t="s">
        <v>228</v>
      </c>
      <c r="BA846" s="7" t="s">
        <v>228</v>
      </c>
      <c r="BB846" s="7"/>
      <c r="BC846" s="4" t="s">
        <v>228</v>
      </c>
      <c r="BD846" s="8" t="s">
        <v>228</v>
      </c>
      <c r="BE846" s="4" t="s">
        <v>228</v>
      </c>
      <c r="BF846" s="8" t="s">
        <v>228</v>
      </c>
      <c r="BG846" s="7" t="s">
        <v>228</v>
      </c>
      <c r="BH846" s="7" t="s">
        <v>228</v>
      </c>
      <c r="BI846" s="7"/>
      <c r="BJ846" s="4">
        <v>15</v>
      </c>
      <c r="BK846" s="8">
        <v>485.12</v>
      </c>
      <c r="BL846" s="2" t="s">
        <v>4680</v>
      </c>
      <c r="BM846" s="7"/>
      <c r="BN846" s="7"/>
      <c r="BO846" s="4"/>
      <c r="BP846" s="8"/>
      <c r="BQ846" s="4"/>
      <c r="BR846" s="8"/>
      <c r="BS846" s="7"/>
      <c r="BT846" s="7"/>
      <c r="BU846" s="2" t="s">
        <v>4681</v>
      </c>
      <c r="BV846" s="2" t="s">
        <v>228</v>
      </c>
      <c r="BW846" s="2" t="s">
        <v>228</v>
      </c>
      <c r="BX846" s="2" t="s">
        <v>273</v>
      </c>
      <c r="BY846" s="2" t="s">
        <v>274</v>
      </c>
      <c r="BZ846" s="2" t="s">
        <v>240</v>
      </c>
      <c r="CA846" s="2" t="s">
        <v>1205</v>
      </c>
      <c r="CB846" s="2" t="s">
        <v>228</v>
      </c>
      <c r="CC846" s="2" t="s">
        <v>241</v>
      </c>
      <c r="CD846" s="2" t="s">
        <v>228</v>
      </c>
      <c r="CE846" s="4">
        <v>399</v>
      </c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>
        <v>200</v>
      </c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</row>
    <row r="847">
      <c r="A847" s="2" t="s">
        <v>4682</v>
      </c>
      <c r="B847" s="2" t="s">
        <v>223</v>
      </c>
      <c r="C847" s="2" t="s">
        <v>731</v>
      </c>
      <c r="D847" s="2" t="s">
        <v>225</v>
      </c>
      <c r="E847" s="2" t="s">
        <v>226</v>
      </c>
      <c r="F847" s="2" t="s">
        <v>4683</v>
      </c>
      <c r="G847" s="2" t="s">
        <v>4683</v>
      </c>
      <c r="H847" s="2" t="s">
        <v>4683</v>
      </c>
      <c r="I847" s="2" t="s">
        <v>226</v>
      </c>
      <c r="J847" s="2" t="s">
        <v>264</v>
      </c>
      <c r="K847" s="2" t="s">
        <v>249</v>
      </c>
      <c r="L847" s="3">
        <v>16.56</v>
      </c>
      <c r="M847" s="3">
        <v>17.39</v>
      </c>
      <c r="N847" s="3">
        <v>36.99</v>
      </c>
      <c r="O847" s="2" t="s">
        <v>240</v>
      </c>
      <c r="P847" s="2" t="s">
        <v>266</v>
      </c>
      <c r="Q847" s="2" t="s">
        <v>234</v>
      </c>
      <c r="R847" s="2" t="s">
        <v>228</v>
      </c>
      <c r="S847" s="2" t="s">
        <v>4684</v>
      </c>
      <c r="T847" s="2" t="s">
        <v>1414</v>
      </c>
      <c r="U847" s="2" t="s">
        <v>416</v>
      </c>
      <c r="V847" s="2" t="s">
        <v>236</v>
      </c>
      <c r="W847" s="2" t="s">
        <v>269</v>
      </c>
      <c r="X847" s="2" t="s">
        <v>228</v>
      </c>
      <c r="Y847" s="2" t="s">
        <v>2807</v>
      </c>
      <c r="Z847" s="4">
        <v>313</v>
      </c>
      <c r="AA847" s="4">
        <f>=ROUNDDOWN(44.7142857142857,0)</f>
      </c>
      <c r="AB847" s="5">
        <v>7</v>
      </c>
      <c r="AC847" s="2" t="s">
        <v>228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228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228</v>
      </c>
      <c r="AW847" s="8" t="s">
        <v>228</v>
      </c>
      <c r="AX847" s="4" t="s">
        <v>228</v>
      </c>
      <c r="AY847" s="8" t="s">
        <v>228</v>
      </c>
      <c r="AZ847" s="7" t="s">
        <v>228</v>
      </c>
      <c r="BA847" s="7" t="s">
        <v>228</v>
      </c>
      <c r="BB847" s="7"/>
      <c r="BC847" s="4" t="s">
        <v>228</v>
      </c>
      <c r="BD847" s="8" t="s">
        <v>228</v>
      </c>
      <c r="BE847" s="4" t="s">
        <v>228</v>
      </c>
      <c r="BF847" s="8" t="s">
        <v>228</v>
      </c>
      <c r="BG847" s="7" t="s">
        <v>228</v>
      </c>
      <c r="BH847" s="7" t="s">
        <v>228</v>
      </c>
      <c r="BI847" s="7"/>
      <c r="BJ847" s="4">
        <v>11</v>
      </c>
      <c r="BK847" s="8">
        <v>206.06</v>
      </c>
      <c r="BL847" s="2" t="s">
        <v>3145</v>
      </c>
      <c r="BM847" s="7"/>
      <c r="BN847" s="7"/>
      <c r="BO847" s="4"/>
      <c r="BP847" s="8"/>
      <c r="BQ847" s="4"/>
      <c r="BR847" s="8"/>
      <c r="BS847" s="7"/>
      <c r="BT847" s="7"/>
      <c r="BU847" s="2" t="s">
        <v>4685</v>
      </c>
      <c r="BV847" s="2" t="s">
        <v>228</v>
      </c>
      <c r="BW847" s="2" t="s">
        <v>228</v>
      </c>
      <c r="BX847" s="2" t="s">
        <v>273</v>
      </c>
      <c r="BY847" s="2" t="s">
        <v>274</v>
      </c>
      <c r="BZ847" s="2" t="s">
        <v>240</v>
      </c>
      <c r="CA847" s="2" t="s">
        <v>2370</v>
      </c>
      <c r="CB847" s="2" t="s">
        <v>228</v>
      </c>
      <c r="CC847" s="2" t="s">
        <v>241</v>
      </c>
      <c r="CD847" s="2" t="s">
        <v>228</v>
      </c>
      <c r="CE847" s="4">
        <v>287</v>
      </c>
      <c r="CF847" s="4"/>
      <c r="CG847" s="4"/>
      <c r="CH847" s="4"/>
      <c r="CI847" s="4"/>
      <c r="CJ847" s="4"/>
      <c r="CK847" s="4">
        <v>26</v>
      </c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</row>
    <row r="848">
      <c r="A848" s="2" t="s">
        <v>4686</v>
      </c>
      <c r="B848" s="2" t="s">
        <v>223</v>
      </c>
      <c r="C848" s="2" t="s">
        <v>731</v>
      </c>
      <c r="D848" s="2" t="s">
        <v>225</v>
      </c>
      <c r="E848" s="2" t="s">
        <v>226</v>
      </c>
      <c r="F848" s="2" t="s">
        <v>4683</v>
      </c>
      <c r="G848" s="2" t="s">
        <v>4683</v>
      </c>
      <c r="H848" s="2" t="s">
        <v>4683</v>
      </c>
      <c r="I848" s="2" t="s">
        <v>226</v>
      </c>
      <c r="J848" s="2" t="s">
        <v>1189</v>
      </c>
      <c r="K848" s="2" t="s">
        <v>249</v>
      </c>
      <c r="L848" s="3">
        <v>19.6</v>
      </c>
      <c r="M848" s="3">
        <v>20.58</v>
      </c>
      <c r="N848" s="3">
        <v>41.99</v>
      </c>
      <c r="O848" s="2" t="s">
        <v>240</v>
      </c>
      <c r="P848" s="2" t="s">
        <v>266</v>
      </c>
      <c r="Q848" s="2" t="s">
        <v>234</v>
      </c>
      <c r="R848" s="2" t="s">
        <v>228</v>
      </c>
      <c r="S848" s="2" t="s">
        <v>4684</v>
      </c>
      <c r="T848" s="2" t="s">
        <v>1414</v>
      </c>
      <c r="U848" s="2" t="s">
        <v>416</v>
      </c>
      <c r="V848" s="2" t="s">
        <v>236</v>
      </c>
      <c r="W848" s="2" t="s">
        <v>269</v>
      </c>
      <c r="X848" s="2" t="s">
        <v>228</v>
      </c>
      <c r="Y848" s="2" t="s">
        <v>2807</v>
      </c>
      <c r="Z848" s="4">
        <v>410</v>
      </c>
      <c r="AA848" s="4">
        <f>=ROUNDDOWN(31.5384615384615,0)</f>
      </c>
      <c r="AB848" s="5">
        <v>13</v>
      </c>
      <c r="AC848" s="2" t="s">
        <v>173</v>
      </c>
      <c r="AD848" s="4">
        <v>240</v>
      </c>
      <c r="AE848" s="4">
        <v>240</v>
      </c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228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228</v>
      </c>
      <c r="AW848" s="8" t="s">
        <v>228</v>
      </c>
      <c r="AX848" s="4" t="s">
        <v>228</v>
      </c>
      <c r="AY848" s="8" t="s">
        <v>228</v>
      </c>
      <c r="AZ848" s="7" t="s">
        <v>228</v>
      </c>
      <c r="BA848" s="7" t="s">
        <v>228</v>
      </c>
      <c r="BB848" s="7"/>
      <c r="BC848" s="4" t="s">
        <v>228</v>
      </c>
      <c r="BD848" s="8" t="s">
        <v>228</v>
      </c>
      <c r="BE848" s="4" t="s">
        <v>228</v>
      </c>
      <c r="BF848" s="8" t="s">
        <v>228</v>
      </c>
      <c r="BG848" s="7" t="s">
        <v>228</v>
      </c>
      <c r="BH848" s="7" t="s">
        <v>228</v>
      </c>
      <c r="BI848" s="7"/>
      <c r="BJ848" s="4">
        <v>54</v>
      </c>
      <c r="BK848" s="8">
        <v>1200.73</v>
      </c>
      <c r="BL848" s="2" t="s">
        <v>4134</v>
      </c>
      <c r="BM848" s="7"/>
      <c r="BN848" s="7"/>
      <c r="BO848" s="4"/>
      <c r="BP848" s="8"/>
      <c r="BQ848" s="4"/>
      <c r="BR848" s="8"/>
      <c r="BS848" s="7"/>
      <c r="BT848" s="7"/>
      <c r="BU848" s="2" t="s">
        <v>4687</v>
      </c>
      <c r="BV848" s="2" t="s">
        <v>228</v>
      </c>
      <c r="BW848" s="2" t="s">
        <v>228</v>
      </c>
      <c r="BX848" s="2" t="s">
        <v>273</v>
      </c>
      <c r="BY848" s="2" t="s">
        <v>274</v>
      </c>
      <c r="BZ848" s="2" t="s">
        <v>240</v>
      </c>
      <c r="CA848" s="2" t="s">
        <v>2370</v>
      </c>
      <c r="CB848" s="2" t="s">
        <v>4688</v>
      </c>
      <c r="CC848" s="2" t="s">
        <v>241</v>
      </c>
      <c r="CD848" s="2" t="s">
        <v>228</v>
      </c>
      <c r="CE848" s="4">
        <v>379</v>
      </c>
      <c r="CF848" s="4"/>
      <c r="CG848" s="4"/>
      <c r="CH848" s="4"/>
      <c r="CI848" s="4"/>
      <c r="CJ848" s="4"/>
      <c r="CK848" s="4">
        <v>31</v>
      </c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>
        <v>240</v>
      </c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</row>
    <row r="849">
      <c r="A849" s="2" t="s">
        <v>4689</v>
      </c>
      <c r="B849" s="2" t="s">
        <v>223</v>
      </c>
      <c r="C849" s="2" t="s">
        <v>731</v>
      </c>
      <c r="D849" s="2" t="s">
        <v>225</v>
      </c>
      <c r="E849" s="2" t="s">
        <v>226</v>
      </c>
      <c r="F849" s="2" t="s">
        <v>4683</v>
      </c>
      <c r="G849" s="2" t="s">
        <v>4683</v>
      </c>
      <c r="H849" s="2" t="s">
        <v>4683</v>
      </c>
      <c r="I849" s="2" t="s">
        <v>226</v>
      </c>
      <c r="J849" s="2" t="s">
        <v>294</v>
      </c>
      <c r="K849" s="2" t="s">
        <v>249</v>
      </c>
      <c r="L849" s="3">
        <v>22.38</v>
      </c>
      <c r="M849" s="3">
        <v>23.5</v>
      </c>
      <c r="N849" s="3">
        <v>46.99</v>
      </c>
      <c r="O849" s="2" t="s">
        <v>240</v>
      </c>
      <c r="P849" s="2" t="s">
        <v>266</v>
      </c>
      <c r="Q849" s="2" t="s">
        <v>234</v>
      </c>
      <c r="R849" s="2" t="s">
        <v>228</v>
      </c>
      <c r="S849" s="2" t="s">
        <v>4684</v>
      </c>
      <c r="T849" s="2" t="s">
        <v>1414</v>
      </c>
      <c r="U849" s="2" t="s">
        <v>416</v>
      </c>
      <c r="V849" s="2" t="s">
        <v>236</v>
      </c>
      <c r="W849" s="2" t="s">
        <v>269</v>
      </c>
      <c r="X849" s="2" t="s">
        <v>228</v>
      </c>
      <c r="Y849" s="2" t="s">
        <v>2807</v>
      </c>
      <c r="Z849" s="4">
        <v>357</v>
      </c>
      <c r="AA849" s="4">
        <f>=ROUNDDOWN(32.4545454545455,0)</f>
      </c>
      <c r="AB849" s="5">
        <v>11</v>
      </c>
      <c r="AC849" s="2" t="s">
        <v>173</v>
      </c>
      <c r="AD849" s="4">
        <v>140</v>
      </c>
      <c r="AE849" s="4">
        <v>140</v>
      </c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228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228</v>
      </c>
      <c r="AW849" s="8" t="s">
        <v>228</v>
      </c>
      <c r="AX849" s="4" t="s">
        <v>228</v>
      </c>
      <c r="AY849" s="8" t="s">
        <v>228</v>
      </c>
      <c r="AZ849" s="7" t="s">
        <v>228</v>
      </c>
      <c r="BA849" s="7" t="s">
        <v>228</v>
      </c>
      <c r="BB849" s="7"/>
      <c r="BC849" s="4" t="s">
        <v>228</v>
      </c>
      <c r="BD849" s="8" t="s">
        <v>228</v>
      </c>
      <c r="BE849" s="4" t="s">
        <v>228</v>
      </c>
      <c r="BF849" s="8" t="s">
        <v>228</v>
      </c>
      <c r="BG849" s="7" t="s">
        <v>228</v>
      </c>
      <c r="BH849" s="7" t="s">
        <v>228</v>
      </c>
      <c r="BI849" s="7"/>
      <c r="BJ849" s="4">
        <v>33</v>
      </c>
      <c r="BK849" s="8">
        <v>837.9</v>
      </c>
      <c r="BL849" s="2" t="s">
        <v>4134</v>
      </c>
      <c r="BM849" s="7"/>
      <c r="BN849" s="7"/>
      <c r="BO849" s="4"/>
      <c r="BP849" s="8"/>
      <c r="BQ849" s="4"/>
      <c r="BR849" s="8"/>
      <c r="BS849" s="7"/>
      <c r="BT849" s="7"/>
      <c r="BU849" s="2" t="s">
        <v>4690</v>
      </c>
      <c r="BV849" s="2" t="s">
        <v>228</v>
      </c>
      <c r="BW849" s="2" t="s">
        <v>228</v>
      </c>
      <c r="BX849" s="2" t="s">
        <v>273</v>
      </c>
      <c r="BY849" s="2" t="s">
        <v>274</v>
      </c>
      <c r="BZ849" s="2" t="s">
        <v>240</v>
      </c>
      <c r="CA849" s="2" t="s">
        <v>2370</v>
      </c>
      <c r="CB849" s="2" t="s">
        <v>4691</v>
      </c>
      <c r="CC849" s="2" t="s">
        <v>241</v>
      </c>
      <c r="CD849" s="2" t="s">
        <v>228</v>
      </c>
      <c r="CE849" s="4">
        <v>219</v>
      </c>
      <c r="CF849" s="4"/>
      <c r="CG849" s="4"/>
      <c r="CH849" s="4"/>
      <c r="CI849" s="4"/>
      <c r="CJ849" s="4"/>
      <c r="CK849" s="4">
        <v>138</v>
      </c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>
        <v>140</v>
      </c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</row>
    <row r="850">
      <c r="A850" s="2" t="s">
        <v>4692</v>
      </c>
      <c r="B850" s="2" t="s">
        <v>223</v>
      </c>
      <c r="C850" s="2" t="s">
        <v>731</v>
      </c>
      <c r="D850" s="2" t="s">
        <v>225</v>
      </c>
      <c r="E850" s="2" t="s">
        <v>226</v>
      </c>
      <c r="F850" s="2" t="s">
        <v>4683</v>
      </c>
      <c r="G850" s="2" t="s">
        <v>4683</v>
      </c>
      <c r="H850" s="2" t="s">
        <v>4683</v>
      </c>
      <c r="I850" s="2" t="s">
        <v>226</v>
      </c>
      <c r="J850" s="2" t="s">
        <v>264</v>
      </c>
      <c r="K850" s="2" t="s">
        <v>4693</v>
      </c>
      <c r="L850" s="3">
        <v>16.56</v>
      </c>
      <c r="M850" s="3">
        <v>17.39</v>
      </c>
      <c r="N850" s="3">
        <v>36.99</v>
      </c>
      <c r="O850" s="2" t="s">
        <v>240</v>
      </c>
      <c r="P850" s="2" t="s">
        <v>266</v>
      </c>
      <c r="Q850" s="2" t="s">
        <v>234</v>
      </c>
      <c r="R850" s="2" t="s">
        <v>228</v>
      </c>
      <c r="S850" s="2" t="s">
        <v>4694</v>
      </c>
      <c r="T850" s="2" t="s">
        <v>1414</v>
      </c>
      <c r="U850" s="2" t="s">
        <v>416</v>
      </c>
      <c r="V850" s="2" t="s">
        <v>236</v>
      </c>
      <c r="W850" s="2" t="s">
        <v>269</v>
      </c>
      <c r="X850" s="2" t="s">
        <v>228</v>
      </c>
      <c r="Y850" s="2" t="s">
        <v>2807</v>
      </c>
      <c r="Z850" s="4">
        <v>246</v>
      </c>
      <c r="AA850" s="4">
        <f>=ROUNDDOWN(30.75,0)</f>
      </c>
      <c r="AB850" s="5">
        <v>8</v>
      </c>
      <c r="AC850" s="2" t="s">
        <v>173</v>
      </c>
      <c r="AD850" s="4">
        <v>70</v>
      </c>
      <c r="AE850" s="4">
        <v>120</v>
      </c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228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228</v>
      </c>
      <c r="AW850" s="8" t="s">
        <v>228</v>
      </c>
      <c r="AX850" s="4" t="s">
        <v>228</v>
      </c>
      <c r="AY850" s="8" t="s">
        <v>228</v>
      </c>
      <c r="AZ850" s="7" t="s">
        <v>228</v>
      </c>
      <c r="BA850" s="7" t="s">
        <v>228</v>
      </c>
      <c r="BB850" s="7"/>
      <c r="BC850" s="4" t="s">
        <v>228</v>
      </c>
      <c r="BD850" s="8" t="s">
        <v>228</v>
      </c>
      <c r="BE850" s="4" t="s">
        <v>228</v>
      </c>
      <c r="BF850" s="8" t="s">
        <v>228</v>
      </c>
      <c r="BG850" s="7" t="s">
        <v>228</v>
      </c>
      <c r="BH850" s="7" t="s">
        <v>228</v>
      </c>
      <c r="BI850" s="7"/>
      <c r="BJ850" s="4">
        <v>34</v>
      </c>
      <c r="BK850" s="8">
        <v>637.13</v>
      </c>
      <c r="BL850" s="2" t="s">
        <v>2056</v>
      </c>
      <c r="BM850" s="7"/>
      <c r="BN850" s="7"/>
      <c r="BO850" s="4"/>
      <c r="BP850" s="8"/>
      <c r="BQ850" s="4"/>
      <c r="BR850" s="8"/>
      <c r="BS850" s="7"/>
      <c r="BT850" s="7"/>
      <c r="BU850" s="2" t="s">
        <v>4695</v>
      </c>
      <c r="BV850" s="2" t="s">
        <v>228</v>
      </c>
      <c r="BW850" s="2" t="s">
        <v>228</v>
      </c>
      <c r="BX850" s="2" t="s">
        <v>273</v>
      </c>
      <c r="BY850" s="2" t="s">
        <v>274</v>
      </c>
      <c r="BZ850" s="2" t="s">
        <v>240</v>
      </c>
      <c r="CA850" s="2" t="s">
        <v>2370</v>
      </c>
      <c r="CB850" s="2" t="s">
        <v>228</v>
      </c>
      <c r="CC850" s="2" t="s">
        <v>241</v>
      </c>
      <c r="CD850" s="2" t="s">
        <v>228</v>
      </c>
      <c r="CE850" s="4">
        <v>214</v>
      </c>
      <c r="CF850" s="4"/>
      <c r="CG850" s="4"/>
      <c r="CH850" s="4"/>
      <c r="CI850" s="4"/>
      <c r="CJ850" s="4"/>
      <c r="CK850" s="4">
        <v>32</v>
      </c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>
        <v>70</v>
      </c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>
        <v>50</v>
      </c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</row>
    <row r="851">
      <c r="A851" s="2" t="s">
        <v>4696</v>
      </c>
      <c r="B851" s="2" t="s">
        <v>223</v>
      </c>
      <c r="C851" s="2" t="s">
        <v>731</v>
      </c>
      <c r="D851" s="2" t="s">
        <v>225</v>
      </c>
      <c r="E851" s="2" t="s">
        <v>226</v>
      </c>
      <c r="F851" s="2" t="s">
        <v>4683</v>
      </c>
      <c r="G851" s="2" t="s">
        <v>4683</v>
      </c>
      <c r="H851" s="2" t="s">
        <v>4683</v>
      </c>
      <c r="I851" s="2" t="s">
        <v>226</v>
      </c>
      <c r="J851" s="2" t="s">
        <v>1189</v>
      </c>
      <c r="K851" s="2" t="s">
        <v>4693</v>
      </c>
      <c r="L851" s="3">
        <v>19.6</v>
      </c>
      <c r="M851" s="3">
        <v>20.58</v>
      </c>
      <c r="N851" s="3">
        <v>41.99</v>
      </c>
      <c r="O851" s="2" t="s">
        <v>240</v>
      </c>
      <c r="P851" s="2" t="s">
        <v>266</v>
      </c>
      <c r="Q851" s="2" t="s">
        <v>234</v>
      </c>
      <c r="R851" s="2" t="s">
        <v>228</v>
      </c>
      <c r="S851" s="2" t="s">
        <v>4694</v>
      </c>
      <c r="T851" s="2" t="s">
        <v>1414</v>
      </c>
      <c r="U851" s="2" t="s">
        <v>416</v>
      </c>
      <c r="V851" s="2" t="s">
        <v>236</v>
      </c>
      <c r="W851" s="2" t="s">
        <v>269</v>
      </c>
      <c r="X851" s="2" t="s">
        <v>228</v>
      </c>
      <c r="Y851" s="2" t="s">
        <v>2807</v>
      </c>
      <c r="Z851" s="4">
        <v>303</v>
      </c>
      <c r="AA851" s="4">
        <f>=ROUNDDOWN(17.8235294117647,0)</f>
      </c>
      <c r="AB851" s="5">
        <v>17</v>
      </c>
      <c r="AC851" s="2" t="s">
        <v>173</v>
      </c>
      <c r="AD851" s="4">
        <v>390</v>
      </c>
      <c r="AE851" s="4">
        <v>590</v>
      </c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228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228</v>
      </c>
      <c r="AW851" s="8" t="s">
        <v>228</v>
      </c>
      <c r="AX851" s="4" t="s">
        <v>228</v>
      </c>
      <c r="AY851" s="8" t="s">
        <v>228</v>
      </c>
      <c r="AZ851" s="7" t="s">
        <v>228</v>
      </c>
      <c r="BA851" s="7" t="s">
        <v>228</v>
      </c>
      <c r="BB851" s="7"/>
      <c r="BC851" s="4" t="s">
        <v>228</v>
      </c>
      <c r="BD851" s="8" t="s">
        <v>228</v>
      </c>
      <c r="BE851" s="4" t="s">
        <v>228</v>
      </c>
      <c r="BF851" s="8" t="s">
        <v>228</v>
      </c>
      <c r="BG851" s="7" t="s">
        <v>228</v>
      </c>
      <c r="BH851" s="7" t="s">
        <v>228</v>
      </c>
      <c r="BI851" s="7"/>
      <c r="BJ851" s="4">
        <v>67</v>
      </c>
      <c r="BK851" s="8">
        <v>1489.1</v>
      </c>
      <c r="BL851" s="2" t="s">
        <v>1245</v>
      </c>
      <c r="BM851" s="7"/>
      <c r="BN851" s="7"/>
      <c r="BO851" s="4"/>
      <c r="BP851" s="8"/>
      <c r="BQ851" s="4"/>
      <c r="BR851" s="8"/>
      <c r="BS851" s="7"/>
      <c r="BT851" s="7"/>
      <c r="BU851" s="2" t="s">
        <v>4697</v>
      </c>
      <c r="BV851" s="2" t="s">
        <v>228</v>
      </c>
      <c r="BW851" s="2" t="s">
        <v>228</v>
      </c>
      <c r="BX851" s="2" t="s">
        <v>273</v>
      </c>
      <c r="BY851" s="2" t="s">
        <v>274</v>
      </c>
      <c r="BZ851" s="2" t="s">
        <v>240</v>
      </c>
      <c r="CA851" s="2" t="s">
        <v>2370</v>
      </c>
      <c r="CB851" s="2" t="s">
        <v>4691</v>
      </c>
      <c r="CC851" s="2" t="s">
        <v>241</v>
      </c>
      <c r="CD851" s="2" t="s">
        <v>228</v>
      </c>
      <c r="CE851" s="4">
        <v>279</v>
      </c>
      <c r="CF851" s="4"/>
      <c r="CG851" s="4"/>
      <c r="CH851" s="4"/>
      <c r="CI851" s="4"/>
      <c r="CJ851" s="4"/>
      <c r="CK851" s="4">
        <v>24</v>
      </c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>
        <v>390</v>
      </c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>
        <v>200</v>
      </c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</row>
    <row r="852">
      <c r="A852" s="2" t="s">
        <v>4698</v>
      </c>
      <c r="B852" s="2" t="s">
        <v>223</v>
      </c>
      <c r="C852" s="2" t="s">
        <v>731</v>
      </c>
      <c r="D852" s="2" t="s">
        <v>225</v>
      </c>
      <c r="E852" s="2" t="s">
        <v>226</v>
      </c>
      <c r="F852" s="2" t="s">
        <v>4683</v>
      </c>
      <c r="G852" s="2" t="s">
        <v>4683</v>
      </c>
      <c r="H852" s="2" t="s">
        <v>4683</v>
      </c>
      <c r="I852" s="2" t="s">
        <v>226</v>
      </c>
      <c r="J852" s="2" t="s">
        <v>294</v>
      </c>
      <c r="K852" s="2" t="s">
        <v>4693</v>
      </c>
      <c r="L852" s="3">
        <v>22.38</v>
      </c>
      <c r="M852" s="3">
        <v>23.5</v>
      </c>
      <c r="N852" s="3">
        <v>46.99</v>
      </c>
      <c r="O852" s="2" t="s">
        <v>240</v>
      </c>
      <c r="P852" s="2" t="s">
        <v>266</v>
      </c>
      <c r="Q852" s="2" t="s">
        <v>234</v>
      </c>
      <c r="R852" s="2" t="s">
        <v>228</v>
      </c>
      <c r="S852" s="2" t="s">
        <v>4694</v>
      </c>
      <c r="T852" s="2" t="s">
        <v>1414</v>
      </c>
      <c r="U852" s="2" t="s">
        <v>416</v>
      </c>
      <c r="V852" s="2" t="s">
        <v>236</v>
      </c>
      <c r="W852" s="2" t="s">
        <v>269</v>
      </c>
      <c r="X852" s="2" t="s">
        <v>228</v>
      </c>
      <c r="Y852" s="2" t="s">
        <v>2807</v>
      </c>
      <c r="Z852" s="4">
        <v>243</v>
      </c>
      <c r="AA852" s="4">
        <f>=ROUNDDOWN(27,0)</f>
      </c>
      <c r="AB852" s="5">
        <v>9</v>
      </c>
      <c r="AC852" s="2" t="s">
        <v>173</v>
      </c>
      <c r="AD852" s="4">
        <v>160</v>
      </c>
      <c r="AE852" s="4">
        <v>190</v>
      </c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228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228</v>
      </c>
      <c r="AW852" s="8" t="s">
        <v>228</v>
      </c>
      <c r="AX852" s="4" t="s">
        <v>228</v>
      </c>
      <c r="AY852" s="8" t="s">
        <v>228</v>
      </c>
      <c r="AZ852" s="7" t="s">
        <v>228</v>
      </c>
      <c r="BA852" s="7" t="s">
        <v>228</v>
      </c>
      <c r="BB852" s="7"/>
      <c r="BC852" s="4" t="s">
        <v>228</v>
      </c>
      <c r="BD852" s="8" t="s">
        <v>228</v>
      </c>
      <c r="BE852" s="4" t="s">
        <v>228</v>
      </c>
      <c r="BF852" s="8" t="s">
        <v>228</v>
      </c>
      <c r="BG852" s="7" t="s">
        <v>228</v>
      </c>
      <c r="BH852" s="7" t="s">
        <v>228</v>
      </c>
      <c r="BI852" s="7"/>
      <c r="BJ852" s="4">
        <v>27</v>
      </c>
      <c r="BK852" s="8">
        <v>685.63</v>
      </c>
      <c r="BL852" s="2" t="s">
        <v>1245</v>
      </c>
      <c r="BM852" s="7"/>
      <c r="BN852" s="7"/>
      <c r="BO852" s="4"/>
      <c r="BP852" s="8"/>
      <c r="BQ852" s="4"/>
      <c r="BR852" s="8"/>
      <c r="BS852" s="7"/>
      <c r="BT852" s="7"/>
      <c r="BU852" s="2" t="s">
        <v>4699</v>
      </c>
      <c r="BV852" s="2" t="s">
        <v>228</v>
      </c>
      <c r="BW852" s="2" t="s">
        <v>228</v>
      </c>
      <c r="BX852" s="2" t="s">
        <v>273</v>
      </c>
      <c r="BY852" s="2" t="s">
        <v>274</v>
      </c>
      <c r="BZ852" s="2" t="s">
        <v>240</v>
      </c>
      <c r="CA852" s="2" t="s">
        <v>2370</v>
      </c>
      <c r="CB852" s="2" t="s">
        <v>3101</v>
      </c>
      <c r="CC852" s="2" t="s">
        <v>241</v>
      </c>
      <c r="CD852" s="2" t="s">
        <v>228</v>
      </c>
      <c r="CE852" s="4">
        <v>237</v>
      </c>
      <c r="CF852" s="4"/>
      <c r="CG852" s="4"/>
      <c r="CH852" s="4"/>
      <c r="CI852" s="4"/>
      <c r="CJ852" s="4"/>
      <c r="CK852" s="4">
        <v>6</v>
      </c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>
        <v>160</v>
      </c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>
        <v>30</v>
      </c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</row>
    <row r="853">
      <c r="A853" s="2" t="s">
        <v>4700</v>
      </c>
      <c r="B853" s="2" t="s">
        <v>223</v>
      </c>
      <c r="C853" s="2" t="s">
        <v>731</v>
      </c>
      <c r="D853" s="2" t="s">
        <v>225</v>
      </c>
      <c r="E853" s="2" t="s">
        <v>226</v>
      </c>
      <c r="F853" s="2" t="s">
        <v>4683</v>
      </c>
      <c r="G853" s="2" t="s">
        <v>4683</v>
      </c>
      <c r="H853" s="2" t="s">
        <v>4683</v>
      </c>
      <c r="I853" s="2" t="s">
        <v>226</v>
      </c>
      <c r="J853" s="2" t="s">
        <v>264</v>
      </c>
      <c r="K853" s="2" t="s">
        <v>316</v>
      </c>
      <c r="L853" s="3">
        <v>16.56</v>
      </c>
      <c r="M853" s="3">
        <v>17.39</v>
      </c>
      <c r="N853" s="3">
        <v>36.99</v>
      </c>
      <c r="O853" s="2" t="s">
        <v>240</v>
      </c>
      <c r="P853" s="2" t="s">
        <v>266</v>
      </c>
      <c r="Q853" s="2" t="s">
        <v>234</v>
      </c>
      <c r="R853" s="2" t="s">
        <v>228</v>
      </c>
      <c r="S853" s="2" t="s">
        <v>4701</v>
      </c>
      <c r="T853" s="2" t="s">
        <v>1414</v>
      </c>
      <c r="U853" s="2" t="s">
        <v>416</v>
      </c>
      <c r="V853" s="2" t="s">
        <v>236</v>
      </c>
      <c r="W853" s="2" t="s">
        <v>269</v>
      </c>
      <c r="X853" s="2" t="s">
        <v>228</v>
      </c>
      <c r="Y853" s="2" t="s">
        <v>2540</v>
      </c>
      <c r="Z853" s="4">
        <v>167</v>
      </c>
      <c r="AA853" s="4">
        <f>=ROUNDDOWN(33.4,0)</f>
      </c>
      <c r="AB853" s="5">
        <v>5</v>
      </c>
      <c r="AC853" s="2" t="s">
        <v>171</v>
      </c>
      <c r="AD853" s="4">
        <v>80</v>
      </c>
      <c r="AE853" s="4">
        <v>160</v>
      </c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228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228</v>
      </c>
      <c r="AW853" s="8" t="s">
        <v>228</v>
      </c>
      <c r="AX853" s="4" t="s">
        <v>228</v>
      </c>
      <c r="AY853" s="8" t="s">
        <v>228</v>
      </c>
      <c r="AZ853" s="7" t="s">
        <v>228</v>
      </c>
      <c r="BA853" s="7" t="s">
        <v>228</v>
      </c>
      <c r="BB853" s="7"/>
      <c r="BC853" s="4" t="s">
        <v>228</v>
      </c>
      <c r="BD853" s="8" t="s">
        <v>228</v>
      </c>
      <c r="BE853" s="4" t="s">
        <v>228</v>
      </c>
      <c r="BF853" s="8" t="s">
        <v>228</v>
      </c>
      <c r="BG853" s="7" t="s">
        <v>228</v>
      </c>
      <c r="BH853" s="7" t="s">
        <v>228</v>
      </c>
      <c r="BI853" s="7"/>
      <c r="BJ853" s="4">
        <v>12</v>
      </c>
      <c r="BK853" s="8">
        <v>226.66</v>
      </c>
      <c r="BL853" s="2" t="s">
        <v>4134</v>
      </c>
      <c r="BM853" s="7"/>
      <c r="BN853" s="7"/>
      <c r="BO853" s="4"/>
      <c r="BP853" s="8"/>
      <c r="BQ853" s="4"/>
      <c r="BR853" s="8"/>
      <c r="BS853" s="7"/>
      <c r="BT853" s="7"/>
      <c r="BU853" s="2" t="s">
        <v>4702</v>
      </c>
      <c r="BV853" s="2" t="s">
        <v>228</v>
      </c>
      <c r="BW853" s="2" t="s">
        <v>228</v>
      </c>
      <c r="BX853" s="2" t="s">
        <v>273</v>
      </c>
      <c r="BY853" s="2" t="s">
        <v>274</v>
      </c>
      <c r="BZ853" s="2" t="s">
        <v>240</v>
      </c>
      <c r="CA853" s="2" t="s">
        <v>2370</v>
      </c>
      <c r="CB853" s="2" t="s">
        <v>228</v>
      </c>
      <c r="CC853" s="2" t="s">
        <v>241</v>
      </c>
      <c r="CD853" s="2" t="s">
        <v>228</v>
      </c>
      <c r="CE853" s="4">
        <v>167</v>
      </c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>
        <v>80</v>
      </c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>
        <v>80</v>
      </c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</row>
    <row r="854">
      <c r="A854" s="2" t="s">
        <v>4703</v>
      </c>
      <c r="B854" s="2" t="s">
        <v>223</v>
      </c>
      <c r="C854" s="2" t="s">
        <v>731</v>
      </c>
      <c r="D854" s="2" t="s">
        <v>225</v>
      </c>
      <c r="E854" s="2" t="s">
        <v>226</v>
      </c>
      <c r="F854" s="2" t="s">
        <v>4683</v>
      </c>
      <c r="G854" s="2" t="s">
        <v>4683</v>
      </c>
      <c r="H854" s="2" t="s">
        <v>4683</v>
      </c>
      <c r="I854" s="2" t="s">
        <v>226</v>
      </c>
      <c r="J854" s="2" t="s">
        <v>1189</v>
      </c>
      <c r="K854" s="2" t="s">
        <v>316</v>
      </c>
      <c r="L854" s="3">
        <v>19.6</v>
      </c>
      <c r="M854" s="3">
        <v>20.58</v>
      </c>
      <c r="N854" s="3">
        <v>41.99</v>
      </c>
      <c r="O854" s="2" t="s">
        <v>240</v>
      </c>
      <c r="P854" s="2" t="s">
        <v>266</v>
      </c>
      <c r="Q854" s="2" t="s">
        <v>234</v>
      </c>
      <c r="R854" s="2" t="s">
        <v>228</v>
      </c>
      <c r="S854" s="2" t="s">
        <v>4701</v>
      </c>
      <c r="T854" s="2" t="s">
        <v>1414</v>
      </c>
      <c r="U854" s="2" t="s">
        <v>416</v>
      </c>
      <c r="V854" s="2" t="s">
        <v>236</v>
      </c>
      <c r="W854" s="2" t="s">
        <v>269</v>
      </c>
      <c r="X854" s="2" t="s">
        <v>228</v>
      </c>
      <c r="Y854" s="2" t="s">
        <v>2540</v>
      </c>
      <c r="Z854" s="4">
        <v>238</v>
      </c>
      <c r="AA854" s="4">
        <f>=ROUNDDOWN(21.6363636363636,0)</f>
      </c>
      <c r="AB854" s="5">
        <v>11</v>
      </c>
      <c r="AC854" s="2" t="s">
        <v>171</v>
      </c>
      <c r="AD854" s="4">
        <v>170</v>
      </c>
      <c r="AE854" s="4">
        <v>370</v>
      </c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228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228</v>
      </c>
      <c r="AW854" s="8" t="s">
        <v>228</v>
      </c>
      <c r="AX854" s="4" t="s">
        <v>228</v>
      </c>
      <c r="AY854" s="8" t="s">
        <v>228</v>
      </c>
      <c r="AZ854" s="7" t="s">
        <v>228</v>
      </c>
      <c r="BA854" s="7" t="s">
        <v>228</v>
      </c>
      <c r="BB854" s="7"/>
      <c r="BC854" s="4" t="s">
        <v>228</v>
      </c>
      <c r="BD854" s="8" t="s">
        <v>228</v>
      </c>
      <c r="BE854" s="4" t="s">
        <v>228</v>
      </c>
      <c r="BF854" s="8" t="s">
        <v>228</v>
      </c>
      <c r="BG854" s="7" t="s">
        <v>228</v>
      </c>
      <c r="BH854" s="7" t="s">
        <v>228</v>
      </c>
      <c r="BI854" s="7"/>
      <c r="BJ854" s="4">
        <v>38</v>
      </c>
      <c r="BK854" s="8">
        <v>843.5</v>
      </c>
      <c r="BL854" s="2" t="s">
        <v>1245</v>
      </c>
      <c r="BM854" s="7"/>
      <c r="BN854" s="7"/>
      <c r="BO854" s="4"/>
      <c r="BP854" s="8"/>
      <c r="BQ854" s="4"/>
      <c r="BR854" s="8"/>
      <c r="BS854" s="7"/>
      <c r="BT854" s="7"/>
      <c r="BU854" s="2" t="s">
        <v>4704</v>
      </c>
      <c r="BV854" s="2" t="s">
        <v>228</v>
      </c>
      <c r="BW854" s="2" t="s">
        <v>228</v>
      </c>
      <c r="BX854" s="2" t="s">
        <v>273</v>
      </c>
      <c r="BY854" s="2" t="s">
        <v>274</v>
      </c>
      <c r="BZ854" s="2" t="s">
        <v>240</v>
      </c>
      <c r="CA854" s="2" t="s">
        <v>2370</v>
      </c>
      <c r="CB854" s="2" t="s">
        <v>228</v>
      </c>
      <c r="CC854" s="2" t="s">
        <v>241</v>
      </c>
      <c r="CD854" s="2" t="s">
        <v>228</v>
      </c>
      <c r="CE854" s="4">
        <v>238</v>
      </c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>
        <v>170</v>
      </c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>
        <v>200</v>
      </c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</row>
    <row r="855">
      <c r="A855" s="2" t="s">
        <v>4705</v>
      </c>
      <c r="B855" s="2" t="s">
        <v>223</v>
      </c>
      <c r="C855" s="2" t="s">
        <v>3635</v>
      </c>
      <c r="D855" s="2" t="s">
        <v>1407</v>
      </c>
      <c r="E855" s="2" t="s">
        <v>3636</v>
      </c>
      <c r="F855" s="2" t="s">
        <v>4706</v>
      </c>
      <c r="G855" s="2" t="s">
        <v>4706</v>
      </c>
      <c r="H855" s="2" t="s">
        <v>4706</v>
      </c>
      <c r="I855" s="2" t="s">
        <v>226</v>
      </c>
      <c r="J855" s="2" t="s">
        <v>264</v>
      </c>
      <c r="K855" s="2" t="s">
        <v>249</v>
      </c>
      <c r="L855" s="3">
        <v>42.85</v>
      </c>
      <c r="M855" s="3">
        <v>44.99</v>
      </c>
      <c r="N855" s="3">
        <v>89.99</v>
      </c>
      <c r="O855" s="2" t="s">
        <v>240</v>
      </c>
      <c r="P855" s="2" t="s">
        <v>233</v>
      </c>
      <c r="Q855" s="2" t="s">
        <v>234</v>
      </c>
      <c r="R855" s="2" t="s">
        <v>228</v>
      </c>
      <c r="S855" s="2" t="s">
        <v>4707</v>
      </c>
      <c r="T855" s="2" t="s">
        <v>1414</v>
      </c>
      <c r="U855" s="2" t="s">
        <v>416</v>
      </c>
      <c r="V855" s="2" t="s">
        <v>236</v>
      </c>
      <c r="W855" s="2" t="s">
        <v>269</v>
      </c>
      <c r="X855" s="2" t="s">
        <v>228</v>
      </c>
      <c r="Y855" s="2" t="s">
        <v>228</v>
      </c>
      <c r="Z855" s="4"/>
      <c r="AA855" s="4">
        <f>=ROUNDDOWN({0},0)</f>
      </c>
      <c r="AB855" s="5"/>
      <c r="AC855" s="2" t="s">
        <v>158</v>
      </c>
      <c r="AD855" s="4">
        <v>220</v>
      </c>
      <c r="AE855" s="4">
        <v>220</v>
      </c>
      <c r="AF855" s="6">
        <v>66</v>
      </c>
      <c r="AG855" s="6"/>
      <c r="AH855" s="7"/>
      <c r="AI855" s="4"/>
      <c r="AJ855" s="4">
        <f>=ROUNDDOWN({0},0)</f>
      </c>
      <c r="AK855" s="5"/>
      <c r="AL855" s="2" t="s">
        <v>228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228</v>
      </c>
      <c r="AW855" s="8" t="s">
        <v>228</v>
      </c>
      <c r="AX855" s="4" t="s">
        <v>228</v>
      </c>
      <c r="AY855" s="8" t="s">
        <v>228</v>
      </c>
      <c r="AZ855" s="7" t="s">
        <v>228</v>
      </c>
      <c r="BA855" s="7" t="s">
        <v>228</v>
      </c>
      <c r="BB855" s="7"/>
      <c r="BC855" s="4" t="s">
        <v>228</v>
      </c>
      <c r="BD855" s="8" t="s">
        <v>228</v>
      </c>
      <c r="BE855" s="4" t="s">
        <v>228</v>
      </c>
      <c r="BF855" s="8" t="s">
        <v>228</v>
      </c>
      <c r="BG855" s="7" t="s">
        <v>228</v>
      </c>
      <c r="BH855" s="7" t="s">
        <v>228</v>
      </c>
      <c r="BI855" s="7"/>
      <c r="BJ855" s="4"/>
      <c r="BK855" s="8"/>
      <c r="BL855" s="2" t="s">
        <v>228</v>
      </c>
      <c r="BM855" s="7"/>
      <c r="BN855" s="7"/>
      <c r="BO855" s="4"/>
      <c r="BP855" s="8"/>
      <c r="BQ855" s="4"/>
      <c r="BR855" s="8"/>
      <c r="BS855" s="7"/>
      <c r="BT855" s="7"/>
      <c r="BU855" s="2" t="s">
        <v>238</v>
      </c>
      <c r="BV855" s="2" t="s">
        <v>228</v>
      </c>
      <c r="BW855" s="2" t="s">
        <v>228</v>
      </c>
      <c r="BX855" s="2" t="s">
        <v>238</v>
      </c>
      <c r="BY855" s="2" t="s">
        <v>239</v>
      </c>
      <c r="BZ855" s="2" t="s">
        <v>240</v>
      </c>
      <c r="CA855" s="2" t="s">
        <v>228</v>
      </c>
      <c r="CB855" s="2" t="s">
        <v>228</v>
      </c>
      <c r="CC855" s="2" t="s">
        <v>241</v>
      </c>
      <c r="CD855" s="2" t="s">
        <v>228</v>
      </c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>
        <v>220</v>
      </c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</row>
    <row r="856">
      <c r="A856" s="2" t="s">
        <v>4708</v>
      </c>
      <c r="B856" s="2" t="s">
        <v>223</v>
      </c>
      <c r="C856" s="2" t="s">
        <v>3635</v>
      </c>
      <c r="D856" s="2" t="s">
        <v>1407</v>
      </c>
      <c r="E856" s="2" t="s">
        <v>3636</v>
      </c>
      <c r="F856" s="2" t="s">
        <v>4706</v>
      </c>
      <c r="G856" s="2" t="s">
        <v>4706</v>
      </c>
      <c r="H856" s="2" t="s">
        <v>4706</v>
      </c>
      <c r="I856" s="2" t="s">
        <v>226</v>
      </c>
      <c r="J856" s="2" t="s">
        <v>284</v>
      </c>
      <c r="K856" s="2" t="s">
        <v>249</v>
      </c>
      <c r="L856" s="3">
        <v>47.61</v>
      </c>
      <c r="M856" s="3">
        <v>49.99</v>
      </c>
      <c r="N856" s="3">
        <v>99.99</v>
      </c>
      <c r="O856" s="2" t="s">
        <v>240</v>
      </c>
      <c r="P856" s="2" t="s">
        <v>233</v>
      </c>
      <c r="Q856" s="2" t="s">
        <v>234</v>
      </c>
      <c r="R856" s="2" t="s">
        <v>228</v>
      </c>
      <c r="S856" s="2" t="s">
        <v>4707</v>
      </c>
      <c r="T856" s="2" t="s">
        <v>1414</v>
      </c>
      <c r="U856" s="2" t="s">
        <v>416</v>
      </c>
      <c r="V856" s="2" t="s">
        <v>236</v>
      </c>
      <c r="W856" s="2" t="s">
        <v>269</v>
      </c>
      <c r="X856" s="2" t="s">
        <v>228</v>
      </c>
      <c r="Y856" s="2" t="s">
        <v>228</v>
      </c>
      <c r="Z856" s="4"/>
      <c r="AA856" s="4">
        <f>=ROUNDDOWN({0},0)</f>
      </c>
      <c r="AB856" s="5"/>
      <c r="AC856" s="2" t="s">
        <v>158</v>
      </c>
      <c r="AD856" s="4">
        <v>240</v>
      </c>
      <c r="AE856" s="4">
        <v>240</v>
      </c>
      <c r="AF856" s="6">
        <v>66</v>
      </c>
      <c r="AG856" s="6"/>
      <c r="AH856" s="7"/>
      <c r="AI856" s="4"/>
      <c r="AJ856" s="4">
        <f>=ROUNDDOWN({0},0)</f>
      </c>
      <c r="AK856" s="5"/>
      <c r="AL856" s="2" t="s">
        <v>228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228</v>
      </c>
      <c r="AW856" s="8" t="s">
        <v>228</v>
      </c>
      <c r="AX856" s="4" t="s">
        <v>228</v>
      </c>
      <c r="AY856" s="8" t="s">
        <v>228</v>
      </c>
      <c r="AZ856" s="7" t="s">
        <v>228</v>
      </c>
      <c r="BA856" s="7" t="s">
        <v>228</v>
      </c>
      <c r="BB856" s="7"/>
      <c r="BC856" s="4" t="s">
        <v>228</v>
      </c>
      <c r="BD856" s="8" t="s">
        <v>228</v>
      </c>
      <c r="BE856" s="4" t="s">
        <v>228</v>
      </c>
      <c r="BF856" s="8" t="s">
        <v>228</v>
      </c>
      <c r="BG856" s="7" t="s">
        <v>228</v>
      </c>
      <c r="BH856" s="7" t="s">
        <v>228</v>
      </c>
      <c r="BI856" s="7"/>
      <c r="BJ856" s="4"/>
      <c r="BK856" s="8"/>
      <c r="BL856" s="2" t="s">
        <v>228</v>
      </c>
      <c r="BM856" s="7"/>
      <c r="BN856" s="7"/>
      <c r="BO856" s="4"/>
      <c r="BP856" s="8"/>
      <c r="BQ856" s="4"/>
      <c r="BR856" s="8"/>
      <c r="BS856" s="7"/>
      <c r="BT856" s="7"/>
      <c r="BU856" s="2" t="s">
        <v>238</v>
      </c>
      <c r="BV856" s="2" t="s">
        <v>228</v>
      </c>
      <c r="BW856" s="2" t="s">
        <v>228</v>
      </c>
      <c r="BX856" s="2" t="s">
        <v>238</v>
      </c>
      <c r="BY856" s="2" t="s">
        <v>239</v>
      </c>
      <c r="BZ856" s="2" t="s">
        <v>240</v>
      </c>
      <c r="CA856" s="2" t="s">
        <v>228</v>
      </c>
      <c r="CB856" s="2" t="s">
        <v>228</v>
      </c>
      <c r="CC856" s="2" t="s">
        <v>241</v>
      </c>
      <c r="CD856" s="2" t="s">
        <v>228</v>
      </c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>
        <v>240</v>
      </c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</row>
    <row r="857">
      <c r="A857" s="2" t="s">
        <v>4709</v>
      </c>
      <c r="B857" s="2" t="s">
        <v>223</v>
      </c>
      <c r="C857" s="2" t="s">
        <v>3635</v>
      </c>
      <c r="D857" s="2" t="s">
        <v>1407</v>
      </c>
      <c r="E857" s="2" t="s">
        <v>3636</v>
      </c>
      <c r="F857" s="2" t="s">
        <v>4706</v>
      </c>
      <c r="G857" s="2" t="s">
        <v>4706</v>
      </c>
      <c r="H857" s="2" t="s">
        <v>4706</v>
      </c>
      <c r="I857" s="2" t="s">
        <v>226</v>
      </c>
      <c r="J857" s="2" t="s">
        <v>289</v>
      </c>
      <c r="K857" s="2" t="s">
        <v>249</v>
      </c>
      <c r="L857" s="3">
        <v>66.66</v>
      </c>
      <c r="M857" s="3">
        <v>69.99</v>
      </c>
      <c r="N857" s="3">
        <v>139.99</v>
      </c>
      <c r="O857" s="2" t="s">
        <v>240</v>
      </c>
      <c r="P857" s="2" t="s">
        <v>233</v>
      </c>
      <c r="Q857" s="2" t="s">
        <v>234</v>
      </c>
      <c r="R857" s="2" t="s">
        <v>228</v>
      </c>
      <c r="S857" s="2" t="s">
        <v>4707</v>
      </c>
      <c r="T857" s="2" t="s">
        <v>1414</v>
      </c>
      <c r="U857" s="2" t="s">
        <v>416</v>
      </c>
      <c r="V857" s="2" t="s">
        <v>236</v>
      </c>
      <c r="W857" s="2" t="s">
        <v>269</v>
      </c>
      <c r="X857" s="2" t="s">
        <v>228</v>
      </c>
      <c r="Y857" s="2" t="s">
        <v>228</v>
      </c>
      <c r="Z857" s="4"/>
      <c r="AA857" s="4">
        <f>=ROUNDDOWN({0},0)</f>
      </c>
      <c r="AB857" s="5"/>
      <c r="AC857" s="2" t="s">
        <v>158</v>
      </c>
      <c r="AD857" s="4">
        <v>350</v>
      </c>
      <c r="AE857" s="4">
        <v>350</v>
      </c>
      <c r="AF857" s="6">
        <v>66</v>
      </c>
      <c r="AG857" s="6"/>
      <c r="AH857" s="7"/>
      <c r="AI857" s="4"/>
      <c r="AJ857" s="4">
        <f>=ROUNDDOWN({0},0)</f>
      </c>
      <c r="AK857" s="5"/>
      <c r="AL857" s="2" t="s">
        <v>228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228</v>
      </c>
      <c r="AW857" s="8" t="s">
        <v>228</v>
      </c>
      <c r="AX857" s="4" t="s">
        <v>228</v>
      </c>
      <c r="AY857" s="8" t="s">
        <v>228</v>
      </c>
      <c r="AZ857" s="7" t="s">
        <v>228</v>
      </c>
      <c r="BA857" s="7" t="s">
        <v>228</v>
      </c>
      <c r="BB857" s="7"/>
      <c r="BC857" s="4" t="s">
        <v>228</v>
      </c>
      <c r="BD857" s="8" t="s">
        <v>228</v>
      </c>
      <c r="BE857" s="4" t="s">
        <v>228</v>
      </c>
      <c r="BF857" s="8" t="s">
        <v>228</v>
      </c>
      <c r="BG857" s="7" t="s">
        <v>228</v>
      </c>
      <c r="BH857" s="7" t="s">
        <v>228</v>
      </c>
      <c r="BI857" s="7"/>
      <c r="BJ857" s="4"/>
      <c r="BK857" s="8"/>
      <c r="BL857" s="2" t="s">
        <v>228</v>
      </c>
      <c r="BM857" s="7"/>
      <c r="BN857" s="7"/>
      <c r="BO857" s="4"/>
      <c r="BP857" s="8"/>
      <c r="BQ857" s="4"/>
      <c r="BR857" s="8"/>
      <c r="BS857" s="7"/>
      <c r="BT857" s="7"/>
      <c r="BU857" s="2" t="s">
        <v>238</v>
      </c>
      <c r="BV857" s="2" t="s">
        <v>228</v>
      </c>
      <c r="BW857" s="2" t="s">
        <v>228</v>
      </c>
      <c r="BX857" s="2" t="s">
        <v>238</v>
      </c>
      <c r="BY857" s="2" t="s">
        <v>239</v>
      </c>
      <c r="BZ857" s="2" t="s">
        <v>240</v>
      </c>
      <c r="CA857" s="2" t="s">
        <v>228</v>
      </c>
      <c r="CB857" s="2" t="s">
        <v>228</v>
      </c>
      <c r="CC857" s="2" t="s">
        <v>241</v>
      </c>
      <c r="CD857" s="2" t="s">
        <v>228</v>
      </c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>
        <v>350</v>
      </c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</row>
    <row r="858">
      <c r="A858" s="2" t="s">
        <v>4710</v>
      </c>
      <c r="B858" s="2" t="s">
        <v>223</v>
      </c>
      <c r="C858" s="2" t="s">
        <v>3635</v>
      </c>
      <c r="D858" s="2" t="s">
        <v>1407</v>
      </c>
      <c r="E858" s="2" t="s">
        <v>3636</v>
      </c>
      <c r="F858" s="2" t="s">
        <v>4706</v>
      </c>
      <c r="G858" s="2" t="s">
        <v>4706</v>
      </c>
      <c r="H858" s="2" t="s">
        <v>4706</v>
      </c>
      <c r="I858" s="2" t="s">
        <v>226</v>
      </c>
      <c r="J858" s="2" t="s">
        <v>294</v>
      </c>
      <c r="K858" s="2" t="s">
        <v>249</v>
      </c>
      <c r="L858" s="3">
        <v>76.19</v>
      </c>
      <c r="M858" s="3">
        <v>80</v>
      </c>
      <c r="N858" s="3">
        <v>159.99</v>
      </c>
      <c r="O858" s="2" t="s">
        <v>240</v>
      </c>
      <c r="P858" s="2" t="s">
        <v>233</v>
      </c>
      <c r="Q858" s="2" t="s">
        <v>234</v>
      </c>
      <c r="R858" s="2" t="s">
        <v>228</v>
      </c>
      <c r="S858" s="2" t="s">
        <v>4707</v>
      </c>
      <c r="T858" s="2" t="s">
        <v>1414</v>
      </c>
      <c r="U858" s="2" t="s">
        <v>416</v>
      </c>
      <c r="V858" s="2" t="s">
        <v>236</v>
      </c>
      <c r="W858" s="2" t="s">
        <v>269</v>
      </c>
      <c r="X858" s="2" t="s">
        <v>228</v>
      </c>
      <c r="Y858" s="2" t="s">
        <v>228</v>
      </c>
      <c r="Z858" s="4"/>
      <c r="AA858" s="4">
        <f>=ROUNDDOWN({0},0)</f>
      </c>
      <c r="AB858" s="5"/>
      <c r="AC858" s="2" t="s">
        <v>158</v>
      </c>
      <c r="AD858" s="4">
        <v>350</v>
      </c>
      <c r="AE858" s="4">
        <v>350</v>
      </c>
      <c r="AF858" s="6">
        <v>66</v>
      </c>
      <c r="AG858" s="6"/>
      <c r="AH858" s="7"/>
      <c r="AI858" s="4"/>
      <c r="AJ858" s="4">
        <f>=ROUNDDOWN({0},0)</f>
      </c>
      <c r="AK858" s="5"/>
      <c r="AL858" s="2" t="s">
        <v>228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228</v>
      </c>
      <c r="AW858" s="8" t="s">
        <v>228</v>
      </c>
      <c r="AX858" s="4" t="s">
        <v>228</v>
      </c>
      <c r="AY858" s="8" t="s">
        <v>228</v>
      </c>
      <c r="AZ858" s="7" t="s">
        <v>228</v>
      </c>
      <c r="BA858" s="7" t="s">
        <v>228</v>
      </c>
      <c r="BB858" s="7"/>
      <c r="BC858" s="4" t="s">
        <v>228</v>
      </c>
      <c r="BD858" s="8" t="s">
        <v>228</v>
      </c>
      <c r="BE858" s="4" t="s">
        <v>228</v>
      </c>
      <c r="BF858" s="8" t="s">
        <v>228</v>
      </c>
      <c r="BG858" s="7" t="s">
        <v>228</v>
      </c>
      <c r="BH858" s="7" t="s">
        <v>228</v>
      </c>
      <c r="BI858" s="7"/>
      <c r="BJ858" s="4"/>
      <c r="BK858" s="8"/>
      <c r="BL858" s="2" t="s">
        <v>228</v>
      </c>
      <c r="BM858" s="7"/>
      <c r="BN858" s="7"/>
      <c r="BO858" s="4"/>
      <c r="BP858" s="8"/>
      <c r="BQ858" s="4"/>
      <c r="BR858" s="8"/>
      <c r="BS858" s="7"/>
      <c r="BT858" s="7"/>
      <c r="BU858" s="2" t="s">
        <v>238</v>
      </c>
      <c r="BV858" s="2" t="s">
        <v>228</v>
      </c>
      <c r="BW858" s="2" t="s">
        <v>228</v>
      </c>
      <c r="BX858" s="2" t="s">
        <v>238</v>
      </c>
      <c r="BY858" s="2" t="s">
        <v>239</v>
      </c>
      <c r="BZ858" s="2" t="s">
        <v>240</v>
      </c>
      <c r="CA858" s="2" t="s">
        <v>228</v>
      </c>
      <c r="CB858" s="2" t="s">
        <v>228</v>
      </c>
      <c r="CC858" s="2" t="s">
        <v>241</v>
      </c>
      <c r="CD858" s="2" t="s">
        <v>228</v>
      </c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>
        <v>350</v>
      </c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</row>
    <row r="859">
      <c r="A859" s="2" t="s">
        <v>4711</v>
      </c>
      <c r="B859" s="2" t="s">
        <v>223</v>
      </c>
      <c r="C859" s="2" t="s">
        <v>3635</v>
      </c>
      <c r="D859" s="2" t="s">
        <v>1407</v>
      </c>
      <c r="E859" s="2" t="s">
        <v>3636</v>
      </c>
      <c r="F859" s="2" t="s">
        <v>4706</v>
      </c>
      <c r="G859" s="2" t="s">
        <v>4706</v>
      </c>
      <c r="H859" s="2" t="s">
        <v>4706</v>
      </c>
      <c r="I859" s="2" t="s">
        <v>226</v>
      </c>
      <c r="J859" s="2" t="s">
        <v>264</v>
      </c>
      <c r="K859" s="2" t="s">
        <v>480</v>
      </c>
      <c r="L859" s="3">
        <v>42.85</v>
      </c>
      <c r="M859" s="3">
        <v>44.99</v>
      </c>
      <c r="N859" s="3">
        <v>89.99</v>
      </c>
      <c r="O859" s="2" t="s">
        <v>240</v>
      </c>
      <c r="P859" s="2" t="s">
        <v>233</v>
      </c>
      <c r="Q859" s="2" t="s">
        <v>234</v>
      </c>
      <c r="R859" s="2" t="s">
        <v>228</v>
      </c>
      <c r="S859" s="2" t="s">
        <v>4712</v>
      </c>
      <c r="T859" s="2" t="s">
        <v>1414</v>
      </c>
      <c r="U859" s="2" t="s">
        <v>416</v>
      </c>
      <c r="V859" s="2" t="s">
        <v>236</v>
      </c>
      <c r="W859" s="2" t="s">
        <v>269</v>
      </c>
      <c r="X859" s="2" t="s">
        <v>228</v>
      </c>
      <c r="Y859" s="2" t="s">
        <v>228</v>
      </c>
      <c r="Z859" s="4"/>
      <c r="AA859" s="4">
        <f>=ROUNDDOWN({0},0)</f>
      </c>
      <c r="AB859" s="5"/>
      <c r="AC859" s="2" t="s">
        <v>158</v>
      </c>
      <c r="AD859" s="4">
        <v>190</v>
      </c>
      <c r="AE859" s="4">
        <v>190</v>
      </c>
      <c r="AF859" s="6">
        <v>66</v>
      </c>
      <c r="AG859" s="6"/>
      <c r="AH859" s="7"/>
      <c r="AI859" s="4"/>
      <c r="AJ859" s="4">
        <f>=ROUNDDOWN({0},0)</f>
      </c>
      <c r="AK859" s="5"/>
      <c r="AL859" s="2" t="s">
        <v>228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228</v>
      </c>
      <c r="AW859" s="8" t="s">
        <v>228</v>
      </c>
      <c r="AX859" s="4" t="s">
        <v>228</v>
      </c>
      <c r="AY859" s="8" t="s">
        <v>228</v>
      </c>
      <c r="AZ859" s="7" t="s">
        <v>228</v>
      </c>
      <c r="BA859" s="7" t="s">
        <v>228</v>
      </c>
      <c r="BB859" s="7"/>
      <c r="BC859" s="4" t="s">
        <v>228</v>
      </c>
      <c r="BD859" s="8" t="s">
        <v>228</v>
      </c>
      <c r="BE859" s="4" t="s">
        <v>228</v>
      </c>
      <c r="BF859" s="8" t="s">
        <v>228</v>
      </c>
      <c r="BG859" s="7" t="s">
        <v>228</v>
      </c>
      <c r="BH859" s="7" t="s">
        <v>228</v>
      </c>
      <c r="BI859" s="7"/>
      <c r="BJ859" s="4"/>
      <c r="BK859" s="8"/>
      <c r="BL859" s="2" t="s">
        <v>228</v>
      </c>
      <c r="BM859" s="7"/>
      <c r="BN859" s="7"/>
      <c r="BO859" s="4"/>
      <c r="BP859" s="8"/>
      <c r="BQ859" s="4"/>
      <c r="BR859" s="8"/>
      <c r="BS859" s="7"/>
      <c r="BT859" s="7"/>
      <c r="BU859" s="2" t="s">
        <v>238</v>
      </c>
      <c r="BV859" s="2" t="s">
        <v>228</v>
      </c>
      <c r="BW859" s="2" t="s">
        <v>228</v>
      </c>
      <c r="BX859" s="2" t="s">
        <v>238</v>
      </c>
      <c r="BY859" s="2" t="s">
        <v>239</v>
      </c>
      <c r="BZ859" s="2" t="s">
        <v>240</v>
      </c>
      <c r="CA859" s="2" t="s">
        <v>228</v>
      </c>
      <c r="CB859" s="2" t="s">
        <v>228</v>
      </c>
      <c r="CC859" s="2" t="s">
        <v>241</v>
      </c>
      <c r="CD859" s="2" t="s">
        <v>228</v>
      </c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>
        <v>190</v>
      </c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</row>
    <row r="860">
      <c r="A860" s="2" t="s">
        <v>4713</v>
      </c>
      <c r="B860" s="2" t="s">
        <v>223</v>
      </c>
      <c r="C860" s="2" t="s">
        <v>3635</v>
      </c>
      <c r="D860" s="2" t="s">
        <v>1407</v>
      </c>
      <c r="E860" s="2" t="s">
        <v>3636</v>
      </c>
      <c r="F860" s="2" t="s">
        <v>4706</v>
      </c>
      <c r="G860" s="2" t="s">
        <v>4706</v>
      </c>
      <c r="H860" s="2" t="s">
        <v>4706</v>
      </c>
      <c r="I860" s="2" t="s">
        <v>226</v>
      </c>
      <c r="J860" s="2" t="s">
        <v>284</v>
      </c>
      <c r="K860" s="2" t="s">
        <v>480</v>
      </c>
      <c r="L860" s="3">
        <v>47.61</v>
      </c>
      <c r="M860" s="3">
        <v>49.99</v>
      </c>
      <c r="N860" s="3">
        <v>99.99</v>
      </c>
      <c r="O860" s="2" t="s">
        <v>240</v>
      </c>
      <c r="P860" s="2" t="s">
        <v>233</v>
      </c>
      <c r="Q860" s="2" t="s">
        <v>234</v>
      </c>
      <c r="R860" s="2" t="s">
        <v>228</v>
      </c>
      <c r="S860" s="2" t="s">
        <v>4712</v>
      </c>
      <c r="T860" s="2" t="s">
        <v>1414</v>
      </c>
      <c r="U860" s="2" t="s">
        <v>416</v>
      </c>
      <c r="V860" s="2" t="s">
        <v>236</v>
      </c>
      <c r="W860" s="2" t="s">
        <v>269</v>
      </c>
      <c r="X860" s="2" t="s">
        <v>228</v>
      </c>
      <c r="Y860" s="2" t="s">
        <v>228</v>
      </c>
      <c r="Z860" s="4"/>
      <c r="AA860" s="4">
        <f>=ROUNDDOWN({0},0)</f>
      </c>
      <c r="AB860" s="5"/>
      <c r="AC860" s="2" t="s">
        <v>158</v>
      </c>
      <c r="AD860" s="4">
        <v>260</v>
      </c>
      <c r="AE860" s="4">
        <v>260</v>
      </c>
      <c r="AF860" s="6">
        <v>66</v>
      </c>
      <c r="AG860" s="6"/>
      <c r="AH860" s="7"/>
      <c r="AI860" s="4"/>
      <c r="AJ860" s="4">
        <f>=ROUNDDOWN({0},0)</f>
      </c>
      <c r="AK860" s="5"/>
      <c r="AL860" s="2" t="s">
        <v>228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228</v>
      </c>
      <c r="AW860" s="8" t="s">
        <v>228</v>
      </c>
      <c r="AX860" s="4" t="s">
        <v>228</v>
      </c>
      <c r="AY860" s="8" t="s">
        <v>228</v>
      </c>
      <c r="AZ860" s="7" t="s">
        <v>228</v>
      </c>
      <c r="BA860" s="7" t="s">
        <v>228</v>
      </c>
      <c r="BB860" s="7"/>
      <c r="BC860" s="4" t="s">
        <v>228</v>
      </c>
      <c r="BD860" s="8" t="s">
        <v>228</v>
      </c>
      <c r="BE860" s="4" t="s">
        <v>228</v>
      </c>
      <c r="BF860" s="8" t="s">
        <v>228</v>
      </c>
      <c r="BG860" s="7" t="s">
        <v>228</v>
      </c>
      <c r="BH860" s="7" t="s">
        <v>228</v>
      </c>
      <c r="BI860" s="7"/>
      <c r="BJ860" s="4"/>
      <c r="BK860" s="8"/>
      <c r="BL860" s="2" t="s">
        <v>228</v>
      </c>
      <c r="BM860" s="7"/>
      <c r="BN860" s="7"/>
      <c r="BO860" s="4"/>
      <c r="BP860" s="8"/>
      <c r="BQ860" s="4"/>
      <c r="BR860" s="8"/>
      <c r="BS860" s="7"/>
      <c r="BT860" s="7"/>
      <c r="BU860" s="2" t="s">
        <v>238</v>
      </c>
      <c r="BV860" s="2" t="s">
        <v>228</v>
      </c>
      <c r="BW860" s="2" t="s">
        <v>228</v>
      </c>
      <c r="BX860" s="2" t="s">
        <v>238</v>
      </c>
      <c r="BY860" s="2" t="s">
        <v>239</v>
      </c>
      <c r="BZ860" s="2" t="s">
        <v>240</v>
      </c>
      <c r="CA860" s="2" t="s">
        <v>228</v>
      </c>
      <c r="CB860" s="2" t="s">
        <v>228</v>
      </c>
      <c r="CC860" s="2" t="s">
        <v>241</v>
      </c>
      <c r="CD860" s="2" t="s">
        <v>228</v>
      </c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>
        <v>260</v>
      </c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</row>
    <row r="861">
      <c r="A861" s="2" t="s">
        <v>4714</v>
      </c>
      <c r="B861" s="2" t="s">
        <v>223</v>
      </c>
      <c r="C861" s="2" t="s">
        <v>3635</v>
      </c>
      <c r="D861" s="2" t="s">
        <v>1407</v>
      </c>
      <c r="E861" s="2" t="s">
        <v>3636</v>
      </c>
      <c r="F861" s="2" t="s">
        <v>4706</v>
      </c>
      <c r="G861" s="2" t="s">
        <v>4706</v>
      </c>
      <c r="H861" s="2" t="s">
        <v>4706</v>
      </c>
      <c r="I861" s="2" t="s">
        <v>226</v>
      </c>
      <c r="J861" s="2" t="s">
        <v>289</v>
      </c>
      <c r="K861" s="2" t="s">
        <v>480</v>
      </c>
      <c r="L861" s="3">
        <v>66.66</v>
      </c>
      <c r="M861" s="3">
        <v>69.99</v>
      </c>
      <c r="N861" s="3">
        <v>139.99</v>
      </c>
      <c r="O861" s="2" t="s">
        <v>240</v>
      </c>
      <c r="P861" s="2" t="s">
        <v>233</v>
      </c>
      <c r="Q861" s="2" t="s">
        <v>234</v>
      </c>
      <c r="R861" s="2" t="s">
        <v>228</v>
      </c>
      <c r="S861" s="2" t="s">
        <v>4712</v>
      </c>
      <c r="T861" s="2" t="s">
        <v>1414</v>
      </c>
      <c r="U861" s="2" t="s">
        <v>416</v>
      </c>
      <c r="V861" s="2" t="s">
        <v>236</v>
      </c>
      <c r="W861" s="2" t="s">
        <v>269</v>
      </c>
      <c r="X861" s="2" t="s">
        <v>228</v>
      </c>
      <c r="Y861" s="2" t="s">
        <v>228</v>
      </c>
      <c r="Z861" s="4"/>
      <c r="AA861" s="4">
        <f>=ROUNDDOWN({0},0)</f>
      </c>
      <c r="AB861" s="5"/>
      <c r="AC861" s="2" t="s">
        <v>158</v>
      </c>
      <c r="AD861" s="4">
        <v>370</v>
      </c>
      <c r="AE861" s="4">
        <v>370</v>
      </c>
      <c r="AF861" s="6">
        <v>66</v>
      </c>
      <c r="AG861" s="6"/>
      <c r="AH861" s="7"/>
      <c r="AI861" s="4"/>
      <c r="AJ861" s="4">
        <f>=ROUNDDOWN({0},0)</f>
      </c>
      <c r="AK861" s="5"/>
      <c r="AL861" s="2" t="s">
        <v>228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228</v>
      </c>
      <c r="AW861" s="8" t="s">
        <v>228</v>
      </c>
      <c r="AX861" s="4" t="s">
        <v>228</v>
      </c>
      <c r="AY861" s="8" t="s">
        <v>228</v>
      </c>
      <c r="AZ861" s="7" t="s">
        <v>228</v>
      </c>
      <c r="BA861" s="7" t="s">
        <v>228</v>
      </c>
      <c r="BB861" s="7"/>
      <c r="BC861" s="4" t="s">
        <v>228</v>
      </c>
      <c r="BD861" s="8" t="s">
        <v>228</v>
      </c>
      <c r="BE861" s="4" t="s">
        <v>228</v>
      </c>
      <c r="BF861" s="8" t="s">
        <v>228</v>
      </c>
      <c r="BG861" s="7" t="s">
        <v>228</v>
      </c>
      <c r="BH861" s="7" t="s">
        <v>228</v>
      </c>
      <c r="BI861" s="7"/>
      <c r="BJ861" s="4"/>
      <c r="BK861" s="8"/>
      <c r="BL861" s="2" t="s">
        <v>228</v>
      </c>
      <c r="BM861" s="7"/>
      <c r="BN861" s="7"/>
      <c r="BO861" s="4"/>
      <c r="BP861" s="8"/>
      <c r="BQ861" s="4"/>
      <c r="BR861" s="8"/>
      <c r="BS861" s="7"/>
      <c r="BT861" s="7"/>
      <c r="BU861" s="2" t="s">
        <v>238</v>
      </c>
      <c r="BV861" s="2" t="s">
        <v>228</v>
      </c>
      <c r="BW861" s="2" t="s">
        <v>228</v>
      </c>
      <c r="BX861" s="2" t="s">
        <v>238</v>
      </c>
      <c r="BY861" s="2" t="s">
        <v>239</v>
      </c>
      <c r="BZ861" s="2" t="s">
        <v>240</v>
      </c>
      <c r="CA861" s="2" t="s">
        <v>228</v>
      </c>
      <c r="CB861" s="2" t="s">
        <v>228</v>
      </c>
      <c r="CC861" s="2" t="s">
        <v>241</v>
      </c>
      <c r="CD861" s="2" t="s">
        <v>228</v>
      </c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>
        <v>370</v>
      </c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</row>
    <row r="862">
      <c r="A862" s="2" t="s">
        <v>4715</v>
      </c>
      <c r="B862" s="2" t="s">
        <v>223</v>
      </c>
      <c r="C862" s="2" t="s">
        <v>3635</v>
      </c>
      <c r="D862" s="2" t="s">
        <v>1407</v>
      </c>
      <c r="E862" s="2" t="s">
        <v>3636</v>
      </c>
      <c r="F862" s="2" t="s">
        <v>4706</v>
      </c>
      <c r="G862" s="2" t="s">
        <v>4706</v>
      </c>
      <c r="H862" s="2" t="s">
        <v>4706</v>
      </c>
      <c r="I862" s="2" t="s">
        <v>226</v>
      </c>
      <c r="J862" s="2" t="s">
        <v>294</v>
      </c>
      <c r="K862" s="2" t="s">
        <v>480</v>
      </c>
      <c r="L862" s="3">
        <v>76.19</v>
      </c>
      <c r="M862" s="3">
        <v>80</v>
      </c>
      <c r="N862" s="3">
        <v>159.99</v>
      </c>
      <c r="O862" s="2" t="s">
        <v>240</v>
      </c>
      <c r="P862" s="2" t="s">
        <v>233</v>
      </c>
      <c r="Q862" s="2" t="s">
        <v>234</v>
      </c>
      <c r="R862" s="2" t="s">
        <v>228</v>
      </c>
      <c r="S862" s="2" t="s">
        <v>4712</v>
      </c>
      <c r="T862" s="2" t="s">
        <v>1414</v>
      </c>
      <c r="U862" s="2" t="s">
        <v>416</v>
      </c>
      <c r="V862" s="2" t="s">
        <v>236</v>
      </c>
      <c r="W862" s="2" t="s">
        <v>269</v>
      </c>
      <c r="X862" s="2" t="s">
        <v>228</v>
      </c>
      <c r="Y862" s="2" t="s">
        <v>228</v>
      </c>
      <c r="Z862" s="4"/>
      <c r="AA862" s="4">
        <f>=ROUNDDOWN({0},0)</f>
      </c>
      <c r="AB862" s="5"/>
      <c r="AC862" s="2" t="s">
        <v>158</v>
      </c>
      <c r="AD862" s="4">
        <v>380</v>
      </c>
      <c r="AE862" s="4">
        <v>380</v>
      </c>
      <c r="AF862" s="6">
        <v>66</v>
      </c>
      <c r="AG862" s="6"/>
      <c r="AH862" s="7"/>
      <c r="AI862" s="4"/>
      <c r="AJ862" s="4">
        <f>=ROUNDDOWN({0},0)</f>
      </c>
      <c r="AK862" s="5"/>
      <c r="AL862" s="2" t="s">
        <v>228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228</v>
      </c>
      <c r="AW862" s="8" t="s">
        <v>228</v>
      </c>
      <c r="AX862" s="4" t="s">
        <v>228</v>
      </c>
      <c r="AY862" s="8" t="s">
        <v>228</v>
      </c>
      <c r="AZ862" s="7" t="s">
        <v>228</v>
      </c>
      <c r="BA862" s="7" t="s">
        <v>228</v>
      </c>
      <c r="BB862" s="7"/>
      <c r="BC862" s="4" t="s">
        <v>228</v>
      </c>
      <c r="BD862" s="8" t="s">
        <v>228</v>
      </c>
      <c r="BE862" s="4" t="s">
        <v>228</v>
      </c>
      <c r="BF862" s="8" t="s">
        <v>228</v>
      </c>
      <c r="BG862" s="7" t="s">
        <v>228</v>
      </c>
      <c r="BH862" s="7" t="s">
        <v>228</v>
      </c>
      <c r="BI862" s="7"/>
      <c r="BJ862" s="4"/>
      <c r="BK862" s="8"/>
      <c r="BL862" s="2" t="s">
        <v>228</v>
      </c>
      <c r="BM862" s="7"/>
      <c r="BN862" s="7"/>
      <c r="BO862" s="4"/>
      <c r="BP862" s="8"/>
      <c r="BQ862" s="4"/>
      <c r="BR862" s="8"/>
      <c r="BS862" s="7"/>
      <c r="BT862" s="7"/>
      <c r="BU862" s="2" t="s">
        <v>238</v>
      </c>
      <c r="BV862" s="2" t="s">
        <v>228</v>
      </c>
      <c r="BW862" s="2" t="s">
        <v>228</v>
      </c>
      <c r="BX862" s="2" t="s">
        <v>238</v>
      </c>
      <c r="BY862" s="2" t="s">
        <v>239</v>
      </c>
      <c r="BZ862" s="2" t="s">
        <v>240</v>
      </c>
      <c r="CA862" s="2" t="s">
        <v>228</v>
      </c>
      <c r="CB862" s="2" t="s">
        <v>228</v>
      </c>
      <c r="CC862" s="2" t="s">
        <v>241</v>
      </c>
      <c r="CD862" s="2" t="s">
        <v>228</v>
      </c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>
        <v>380</v>
      </c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</row>
    <row r="863">
      <c r="A863" s="2" t="s">
        <v>4716</v>
      </c>
      <c r="B863" s="2" t="s">
        <v>223</v>
      </c>
      <c r="C863" s="2" t="s">
        <v>3635</v>
      </c>
      <c r="D863" s="2" t="s">
        <v>1407</v>
      </c>
      <c r="E863" s="2" t="s">
        <v>3636</v>
      </c>
      <c r="F863" s="2" t="s">
        <v>4706</v>
      </c>
      <c r="G863" s="2" t="s">
        <v>4706</v>
      </c>
      <c r="H863" s="2" t="s">
        <v>4706</v>
      </c>
      <c r="I863" s="2" t="s">
        <v>226</v>
      </c>
      <c r="J863" s="2" t="s">
        <v>264</v>
      </c>
      <c r="K863" s="2" t="s">
        <v>251</v>
      </c>
      <c r="L863" s="3">
        <v>42.85</v>
      </c>
      <c r="M863" s="3">
        <v>44.99</v>
      </c>
      <c r="N863" s="3">
        <v>89.99</v>
      </c>
      <c r="O863" s="2" t="s">
        <v>240</v>
      </c>
      <c r="P863" s="2" t="s">
        <v>233</v>
      </c>
      <c r="Q863" s="2" t="s">
        <v>234</v>
      </c>
      <c r="R863" s="2" t="s">
        <v>228</v>
      </c>
      <c r="S863" s="2" t="s">
        <v>4717</v>
      </c>
      <c r="T863" s="2" t="s">
        <v>1414</v>
      </c>
      <c r="U863" s="2" t="s">
        <v>416</v>
      </c>
      <c r="V863" s="2" t="s">
        <v>236</v>
      </c>
      <c r="W863" s="2" t="s">
        <v>269</v>
      </c>
      <c r="X863" s="2" t="s">
        <v>228</v>
      </c>
      <c r="Y863" s="2" t="s">
        <v>228</v>
      </c>
      <c r="Z863" s="4"/>
      <c r="AA863" s="4">
        <f>=ROUNDDOWN({0},0)</f>
      </c>
      <c r="AB863" s="5"/>
      <c r="AC863" s="2" t="s">
        <v>158</v>
      </c>
      <c r="AD863" s="4">
        <v>310</v>
      </c>
      <c r="AE863" s="4">
        <v>310</v>
      </c>
      <c r="AF863" s="6">
        <v>66</v>
      </c>
      <c r="AG863" s="6"/>
      <c r="AH863" s="7"/>
      <c r="AI863" s="4"/>
      <c r="AJ863" s="4">
        <f>=ROUNDDOWN({0},0)</f>
      </c>
      <c r="AK863" s="5"/>
      <c r="AL863" s="2" t="s">
        <v>228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228</v>
      </c>
      <c r="AW863" s="8" t="s">
        <v>228</v>
      </c>
      <c r="AX863" s="4" t="s">
        <v>228</v>
      </c>
      <c r="AY863" s="8" t="s">
        <v>228</v>
      </c>
      <c r="AZ863" s="7" t="s">
        <v>228</v>
      </c>
      <c r="BA863" s="7" t="s">
        <v>228</v>
      </c>
      <c r="BB863" s="7"/>
      <c r="BC863" s="4" t="s">
        <v>228</v>
      </c>
      <c r="BD863" s="8" t="s">
        <v>228</v>
      </c>
      <c r="BE863" s="4" t="s">
        <v>228</v>
      </c>
      <c r="BF863" s="8" t="s">
        <v>228</v>
      </c>
      <c r="BG863" s="7" t="s">
        <v>228</v>
      </c>
      <c r="BH863" s="7" t="s">
        <v>228</v>
      </c>
      <c r="BI863" s="7"/>
      <c r="BJ863" s="4"/>
      <c r="BK863" s="8"/>
      <c r="BL863" s="2" t="s">
        <v>228</v>
      </c>
      <c r="BM863" s="7"/>
      <c r="BN863" s="7"/>
      <c r="BO863" s="4"/>
      <c r="BP863" s="8"/>
      <c r="BQ863" s="4"/>
      <c r="BR863" s="8"/>
      <c r="BS863" s="7"/>
      <c r="BT863" s="7"/>
      <c r="BU863" s="2" t="s">
        <v>238</v>
      </c>
      <c r="BV863" s="2" t="s">
        <v>228</v>
      </c>
      <c r="BW863" s="2" t="s">
        <v>228</v>
      </c>
      <c r="BX863" s="2" t="s">
        <v>238</v>
      </c>
      <c r="BY863" s="2" t="s">
        <v>239</v>
      </c>
      <c r="BZ863" s="2" t="s">
        <v>240</v>
      </c>
      <c r="CA863" s="2" t="s">
        <v>228</v>
      </c>
      <c r="CB863" s="2" t="s">
        <v>228</v>
      </c>
      <c r="CC863" s="2" t="s">
        <v>241</v>
      </c>
      <c r="CD863" s="2" t="s">
        <v>228</v>
      </c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>
        <v>310</v>
      </c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</row>
    <row r="864">
      <c r="A864" s="2" t="s">
        <v>4718</v>
      </c>
      <c r="B864" s="2" t="s">
        <v>223</v>
      </c>
      <c r="C864" s="2" t="s">
        <v>3635</v>
      </c>
      <c r="D864" s="2" t="s">
        <v>1407</v>
      </c>
      <c r="E864" s="2" t="s">
        <v>3636</v>
      </c>
      <c r="F864" s="2" t="s">
        <v>4706</v>
      </c>
      <c r="G864" s="2" t="s">
        <v>4706</v>
      </c>
      <c r="H864" s="2" t="s">
        <v>4706</v>
      </c>
      <c r="I864" s="2" t="s">
        <v>226</v>
      </c>
      <c r="J864" s="2" t="s">
        <v>284</v>
      </c>
      <c r="K864" s="2" t="s">
        <v>251</v>
      </c>
      <c r="L864" s="3">
        <v>47.61</v>
      </c>
      <c r="M864" s="3">
        <v>49.99</v>
      </c>
      <c r="N864" s="3">
        <v>99.99</v>
      </c>
      <c r="O864" s="2" t="s">
        <v>240</v>
      </c>
      <c r="P864" s="2" t="s">
        <v>233</v>
      </c>
      <c r="Q864" s="2" t="s">
        <v>234</v>
      </c>
      <c r="R864" s="2" t="s">
        <v>228</v>
      </c>
      <c r="S864" s="2" t="s">
        <v>4717</v>
      </c>
      <c r="T864" s="2" t="s">
        <v>1414</v>
      </c>
      <c r="U864" s="2" t="s">
        <v>416</v>
      </c>
      <c r="V864" s="2" t="s">
        <v>236</v>
      </c>
      <c r="W864" s="2" t="s">
        <v>269</v>
      </c>
      <c r="X864" s="2" t="s">
        <v>228</v>
      </c>
      <c r="Y864" s="2" t="s">
        <v>228</v>
      </c>
      <c r="Z864" s="4"/>
      <c r="AA864" s="4">
        <f>=ROUNDDOWN({0},0)</f>
      </c>
      <c r="AB864" s="5"/>
      <c r="AC864" s="2" t="s">
        <v>158</v>
      </c>
      <c r="AD864" s="4">
        <v>280</v>
      </c>
      <c r="AE864" s="4">
        <v>280</v>
      </c>
      <c r="AF864" s="6">
        <v>66</v>
      </c>
      <c r="AG864" s="6"/>
      <c r="AH864" s="7"/>
      <c r="AI864" s="4"/>
      <c r="AJ864" s="4">
        <f>=ROUNDDOWN({0},0)</f>
      </c>
      <c r="AK864" s="5"/>
      <c r="AL864" s="2" t="s">
        <v>228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228</v>
      </c>
      <c r="AW864" s="8" t="s">
        <v>228</v>
      </c>
      <c r="AX864" s="4" t="s">
        <v>228</v>
      </c>
      <c r="AY864" s="8" t="s">
        <v>228</v>
      </c>
      <c r="AZ864" s="7" t="s">
        <v>228</v>
      </c>
      <c r="BA864" s="7" t="s">
        <v>228</v>
      </c>
      <c r="BB864" s="7"/>
      <c r="BC864" s="4" t="s">
        <v>228</v>
      </c>
      <c r="BD864" s="8" t="s">
        <v>228</v>
      </c>
      <c r="BE864" s="4" t="s">
        <v>228</v>
      </c>
      <c r="BF864" s="8" t="s">
        <v>228</v>
      </c>
      <c r="BG864" s="7" t="s">
        <v>228</v>
      </c>
      <c r="BH864" s="7" t="s">
        <v>228</v>
      </c>
      <c r="BI864" s="7"/>
      <c r="BJ864" s="4"/>
      <c r="BK864" s="8"/>
      <c r="BL864" s="2" t="s">
        <v>228</v>
      </c>
      <c r="BM864" s="7"/>
      <c r="BN864" s="7"/>
      <c r="BO864" s="4"/>
      <c r="BP864" s="8"/>
      <c r="BQ864" s="4"/>
      <c r="BR864" s="8"/>
      <c r="BS864" s="7"/>
      <c r="BT864" s="7"/>
      <c r="BU864" s="2" t="s">
        <v>238</v>
      </c>
      <c r="BV864" s="2" t="s">
        <v>228</v>
      </c>
      <c r="BW864" s="2" t="s">
        <v>228</v>
      </c>
      <c r="BX864" s="2" t="s">
        <v>238</v>
      </c>
      <c r="BY864" s="2" t="s">
        <v>239</v>
      </c>
      <c r="BZ864" s="2" t="s">
        <v>240</v>
      </c>
      <c r="CA864" s="2" t="s">
        <v>228</v>
      </c>
      <c r="CB864" s="2" t="s">
        <v>228</v>
      </c>
      <c r="CC864" s="2" t="s">
        <v>241</v>
      </c>
      <c r="CD864" s="2" t="s">
        <v>228</v>
      </c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>
        <v>280</v>
      </c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</row>
    <row r="865">
      <c r="A865" s="2" t="s">
        <v>4719</v>
      </c>
      <c r="B865" s="2" t="s">
        <v>223</v>
      </c>
      <c r="C865" s="2" t="s">
        <v>3635</v>
      </c>
      <c r="D865" s="2" t="s">
        <v>1407</v>
      </c>
      <c r="E865" s="2" t="s">
        <v>3636</v>
      </c>
      <c r="F865" s="2" t="s">
        <v>4706</v>
      </c>
      <c r="G865" s="2" t="s">
        <v>4706</v>
      </c>
      <c r="H865" s="2" t="s">
        <v>4706</v>
      </c>
      <c r="I865" s="2" t="s">
        <v>226</v>
      </c>
      <c r="J865" s="2" t="s">
        <v>289</v>
      </c>
      <c r="K865" s="2" t="s">
        <v>251</v>
      </c>
      <c r="L865" s="3">
        <v>66.66</v>
      </c>
      <c r="M865" s="3">
        <v>69.99</v>
      </c>
      <c r="N865" s="3">
        <v>139.99</v>
      </c>
      <c r="O865" s="2" t="s">
        <v>240</v>
      </c>
      <c r="P865" s="2" t="s">
        <v>233</v>
      </c>
      <c r="Q865" s="2" t="s">
        <v>234</v>
      </c>
      <c r="R865" s="2" t="s">
        <v>228</v>
      </c>
      <c r="S865" s="2" t="s">
        <v>4717</v>
      </c>
      <c r="T865" s="2" t="s">
        <v>1414</v>
      </c>
      <c r="U865" s="2" t="s">
        <v>416</v>
      </c>
      <c r="V865" s="2" t="s">
        <v>236</v>
      </c>
      <c r="W865" s="2" t="s">
        <v>269</v>
      </c>
      <c r="X865" s="2" t="s">
        <v>228</v>
      </c>
      <c r="Y865" s="2" t="s">
        <v>228</v>
      </c>
      <c r="Z865" s="4"/>
      <c r="AA865" s="4">
        <f>=ROUNDDOWN({0},0)</f>
      </c>
      <c r="AB865" s="5"/>
      <c r="AC865" s="2" t="s">
        <v>158</v>
      </c>
      <c r="AD865" s="4">
        <v>320</v>
      </c>
      <c r="AE865" s="4">
        <v>320</v>
      </c>
      <c r="AF865" s="6">
        <v>66</v>
      </c>
      <c r="AG865" s="6"/>
      <c r="AH865" s="7"/>
      <c r="AI865" s="4"/>
      <c r="AJ865" s="4">
        <f>=ROUNDDOWN({0},0)</f>
      </c>
      <c r="AK865" s="5"/>
      <c r="AL865" s="2" t="s">
        <v>228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228</v>
      </c>
      <c r="AW865" s="8" t="s">
        <v>228</v>
      </c>
      <c r="AX865" s="4" t="s">
        <v>228</v>
      </c>
      <c r="AY865" s="8" t="s">
        <v>228</v>
      </c>
      <c r="AZ865" s="7" t="s">
        <v>228</v>
      </c>
      <c r="BA865" s="7" t="s">
        <v>228</v>
      </c>
      <c r="BB865" s="7"/>
      <c r="BC865" s="4" t="s">
        <v>228</v>
      </c>
      <c r="BD865" s="8" t="s">
        <v>228</v>
      </c>
      <c r="BE865" s="4" t="s">
        <v>228</v>
      </c>
      <c r="BF865" s="8" t="s">
        <v>228</v>
      </c>
      <c r="BG865" s="7" t="s">
        <v>228</v>
      </c>
      <c r="BH865" s="7" t="s">
        <v>228</v>
      </c>
      <c r="BI865" s="7"/>
      <c r="BJ865" s="4"/>
      <c r="BK865" s="8"/>
      <c r="BL865" s="2" t="s">
        <v>228</v>
      </c>
      <c r="BM865" s="7"/>
      <c r="BN865" s="7"/>
      <c r="BO865" s="4"/>
      <c r="BP865" s="8"/>
      <c r="BQ865" s="4"/>
      <c r="BR865" s="8"/>
      <c r="BS865" s="7"/>
      <c r="BT865" s="7"/>
      <c r="BU865" s="2" t="s">
        <v>238</v>
      </c>
      <c r="BV865" s="2" t="s">
        <v>228</v>
      </c>
      <c r="BW865" s="2" t="s">
        <v>228</v>
      </c>
      <c r="BX865" s="2" t="s">
        <v>238</v>
      </c>
      <c r="BY865" s="2" t="s">
        <v>239</v>
      </c>
      <c r="BZ865" s="2" t="s">
        <v>240</v>
      </c>
      <c r="CA865" s="2" t="s">
        <v>228</v>
      </c>
      <c r="CB865" s="2" t="s">
        <v>228</v>
      </c>
      <c r="CC865" s="2" t="s">
        <v>241</v>
      </c>
      <c r="CD865" s="2" t="s">
        <v>228</v>
      </c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>
        <v>320</v>
      </c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</row>
    <row r="866">
      <c r="A866" s="2" t="s">
        <v>4720</v>
      </c>
      <c r="B866" s="2" t="s">
        <v>223</v>
      </c>
      <c r="C866" s="2" t="s">
        <v>3635</v>
      </c>
      <c r="D866" s="2" t="s">
        <v>1407</v>
      </c>
      <c r="E866" s="2" t="s">
        <v>3636</v>
      </c>
      <c r="F866" s="2" t="s">
        <v>4706</v>
      </c>
      <c r="G866" s="2" t="s">
        <v>4706</v>
      </c>
      <c r="H866" s="2" t="s">
        <v>4706</v>
      </c>
      <c r="I866" s="2" t="s">
        <v>226</v>
      </c>
      <c r="J866" s="2" t="s">
        <v>294</v>
      </c>
      <c r="K866" s="2" t="s">
        <v>251</v>
      </c>
      <c r="L866" s="3">
        <v>76.19</v>
      </c>
      <c r="M866" s="3">
        <v>80</v>
      </c>
      <c r="N866" s="3">
        <v>159.99</v>
      </c>
      <c r="O866" s="2" t="s">
        <v>240</v>
      </c>
      <c r="P866" s="2" t="s">
        <v>233</v>
      </c>
      <c r="Q866" s="2" t="s">
        <v>234</v>
      </c>
      <c r="R866" s="2" t="s">
        <v>228</v>
      </c>
      <c r="S866" s="2" t="s">
        <v>4717</v>
      </c>
      <c r="T866" s="2" t="s">
        <v>1414</v>
      </c>
      <c r="U866" s="2" t="s">
        <v>416</v>
      </c>
      <c r="V866" s="2" t="s">
        <v>236</v>
      </c>
      <c r="W866" s="2" t="s">
        <v>269</v>
      </c>
      <c r="X866" s="2" t="s">
        <v>228</v>
      </c>
      <c r="Y866" s="2" t="s">
        <v>228</v>
      </c>
      <c r="Z866" s="4"/>
      <c r="AA866" s="4">
        <f>=ROUNDDOWN({0},0)</f>
      </c>
      <c r="AB866" s="5"/>
      <c r="AC866" s="2" t="s">
        <v>158</v>
      </c>
      <c r="AD866" s="4">
        <v>290</v>
      </c>
      <c r="AE866" s="4">
        <v>290</v>
      </c>
      <c r="AF866" s="6">
        <v>66</v>
      </c>
      <c r="AG866" s="6"/>
      <c r="AH866" s="7"/>
      <c r="AI866" s="4"/>
      <c r="AJ866" s="4">
        <f>=ROUNDDOWN({0},0)</f>
      </c>
      <c r="AK866" s="5"/>
      <c r="AL866" s="2" t="s">
        <v>228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228</v>
      </c>
      <c r="AW866" s="8" t="s">
        <v>228</v>
      </c>
      <c r="AX866" s="4" t="s">
        <v>228</v>
      </c>
      <c r="AY866" s="8" t="s">
        <v>228</v>
      </c>
      <c r="AZ866" s="7" t="s">
        <v>228</v>
      </c>
      <c r="BA866" s="7" t="s">
        <v>228</v>
      </c>
      <c r="BB866" s="7"/>
      <c r="BC866" s="4" t="s">
        <v>228</v>
      </c>
      <c r="BD866" s="8" t="s">
        <v>228</v>
      </c>
      <c r="BE866" s="4" t="s">
        <v>228</v>
      </c>
      <c r="BF866" s="8" t="s">
        <v>228</v>
      </c>
      <c r="BG866" s="7" t="s">
        <v>228</v>
      </c>
      <c r="BH866" s="7" t="s">
        <v>228</v>
      </c>
      <c r="BI866" s="7"/>
      <c r="BJ866" s="4"/>
      <c r="BK866" s="8"/>
      <c r="BL866" s="2" t="s">
        <v>228</v>
      </c>
      <c r="BM866" s="7"/>
      <c r="BN866" s="7"/>
      <c r="BO866" s="4"/>
      <c r="BP866" s="8"/>
      <c r="BQ866" s="4"/>
      <c r="BR866" s="8"/>
      <c r="BS866" s="7"/>
      <c r="BT866" s="7"/>
      <c r="BU866" s="2" t="s">
        <v>238</v>
      </c>
      <c r="BV866" s="2" t="s">
        <v>228</v>
      </c>
      <c r="BW866" s="2" t="s">
        <v>228</v>
      </c>
      <c r="BX866" s="2" t="s">
        <v>238</v>
      </c>
      <c r="BY866" s="2" t="s">
        <v>239</v>
      </c>
      <c r="BZ866" s="2" t="s">
        <v>240</v>
      </c>
      <c r="CA866" s="2" t="s">
        <v>228</v>
      </c>
      <c r="CB866" s="2" t="s">
        <v>228</v>
      </c>
      <c r="CC866" s="2" t="s">
        <v>241</v>
      </c>
      <c r="CD866" s="2" t="s">
        <v>228</v>
      </c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>
        <v>290</v>
      </c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</row>
    <row r="867">
      <c r="A867" s="2" t="s">
        <v>4721</v>
      </c>
      <c r="B867" s="2" t="s">
        <v>223</v>
      </c>
      <c r="C867" s="2" t="s">
        <v>3635</v>
      </c>
      <c r="D867" s="2" t="s">
        <v>1407</v>
      </c>
      <c r="E867" s="2" t="s">
        <v>3636</v>
      </c>
      <c r="F867" s="2" t="s">
        <v>4706</v>
      </c>
      <c r="G867" s="2" t="s">
        <v>4706</v>
      </c>
      <c r="H867" s="2" t="s">
        <v>4706</v>
      </c>
      <c r="I867" s="2" t="s">
        <v>226</v>
      </c>
      <c r="J867" s="2" t="s">
        <v>264</v>
      </c>
      <c r="K867" s="2" t="s">
        <v>2796</v>
      </c>
      <c r="L867" s="3">
        <v>42.85</v>
      </c>
      <c r="M867" s="3">
        <v>44.99</v>
      </c>
      <c r="N867" s="3">
        <v>89.99</v>
      </c>
      <c r="O867" s="2" t="s">
        <v>240</v>
      </c>
      <c r="P867" s="2" t="s">
        <v>233</v>
      </c>
      <c r="Q867" s="2" t="s">
        <v>234</v>
      </c>
      <c r="R867" s="2" t="s">
        <v>228</v>
      </c>
      <c r="S867" s="2" t="s">
        <v>4722</v>
      </c>
      <c r="T867" s="2" t="s">
        <v>1414</v>
      </c>
      <c r="U867" s="2" t="s">
        <v>416</v>
      </c>
      <c r="V867" s="2" t="s">
        <v>236</v>
      </c>
      <c r="W867" s="2" t="s">
        <v>269</v>
      </c>
      <c r="X867" s="2" t="s">
        <v>228</v>
      </c>
      <c r="Y867" s="2" t="s">
        <v>228</v>
      </c>
      <c r="Z867" s="4"/>
      <c r="AA867" s="4">
        <f>=ROUNDDOWN({0},0)</f>
      </c>
      <c r="AB867" s="5"/>
      <c r="AC867" s="2" t="s">
        <v>158</v>
      </c>
      <c r="AD867" s="4">
        <v>240</v>
      </c>
      <c r="AE867" s="4">
        <v>240</v>
      </c>
      <c r="AF867" s="6">
        <v>66</v>
      </c>
      <c r="AG867" s="6"/>
      <c r="AH867" s="7"/>
      <c r="AI867" s="4"/>
      <c r="AJ867" s="4">
        <f>=ROUNDDOWN({0},0)</f>
      </c>
      <c r="AK867" s="5"/>
      <c r="AL867" s="2" t="s">
        <v>228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228</v>
      </c>
      <c r="AW867" s="8" t="s">
        <v>228</v>
      </c>
      <c r="AX867" s="4" t="s">
        <v>228</v>
      </c>
      <c r="AY867" s="8" t="s">
        <v>228</v>
      </c>
      <c r="AZ867" s="7" t="s">
        <v>228</v>
      </c>
      <c r="BA867" s="7" t="s">
        <v>228</v>
      </c>
      <c r="BB867" s="7"/>
      <c r="BC867" s="4" t="s">
        <v>228</v>
      </c>
      <c r="BD867" s="8" t="s">
        <v>228</v>
      </c>
      <c r="BE867" s="4" t="s">
        <v>228</v>
      </c>
      <c r="BF867" s="8" t="s">
        <v>228</v>
      </c>
      <c r="BG867" s="7" t="s">
        <v>228</v>
      </c>
      <c r="BH867" s="7" t="s">
        <v>228</v>
      </c>
      <c r="BI867" s="7"/>
      <c r="BJ867" s="4"/>
      <c r="BK867" s="8"/>
      <c r="BL867" s="2" t="s">
        <v>228</v>
      </c>
      <c r="BM867" s="7"/>
      <c r="BN867" s="7"/>
      <c r="BO867" s="4"/>
      <c r="BP867" s="8"/>
      <c r="BQ867" s="4"/>
      <c r="BR867" s="8"/>
      <c r="BS867" s="7"/>
      <c r="BT867" s="7"/>
      <c r="BU867" s="2" t="s">
        <v>238</v>
      </c>
      <c r="BV867" s="2" t="s">
        <v>228</v>
      </c>
      <c r="BW867" s="2" t="s">
        <v>228</v>
      </c>
      <c r="BX867" s="2" t="s">
        <v>238</v>
      </c>
      <c r="BY867" s="2" t="s">
        <v>239</v>
      </c>
      <c r="BZ867" s="2" t="s">
        <v>240</v>
      </c>
      <c r="CA867" s="2" t="s">
        <v>228</v>
      </c>
      <c r="CB867" s="2" t="s">
        <v>228</v>
      </c>
      <c r="CC867" s="2" t="s">
        <v>241</v>
      </c>
      <c r="CD867" s="2" t="s">
        <v>228</v>
      </c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>
        <v>240</v>
      </c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</row>
    <row r="868">
      <c r="A868" s="2" t="s">
        <v>4723</v>
      </c>
      <c r="B868" s="2" t="s">
        <v>223</v>
      </c>
      <c r="C868" s="2" t="s">
        <v>3635</v>
      </c>
      <c r="D868" s="2" t="s">
        <v>1407</v>
      </c>
      <c r="E868" s="2" t="s">
        <v>3636</v>
      </c>
      <c r="F868" s="2" t="s">
        <v>4706</v>
      </c>
      <c r="G868" s="2" t="s">
        <v>4706</v>
      </c>
      <c r="H868" s="2" t="s">
        <v>4706</v>
      </c>
      <c r="I868" s="2" t="s">
        <v>226</v>
      </c>
      <c r="J868" s="2" t="s">
        <v>284</v>
      </c>
      <c r="K868" s="2" t="s">
        <v>2796</v>
      </c>
      <c r="L868" s="3">
        <v>47.61</v>
      </c>
      <c r="M868" s="3">
        <v>49.99</v>
      </c>
      <c r="N868" s="3">
        <v>99.99</v>
      </c>
      <c r="O868" s="2" t="s">
        <v>240</v>
      </c>
      <c r="P868" s="2" t="s">
        <v>233</v>
      </c>
      <c r="Q868" s="2" t="s">
        <v>234</v>
      </c>
      <c r="R868" s="2" t="s">
        <v>228</v>
      </c>
      <c r="S868" s="2" t="s">
        <v>4722</v>
      </c>
      <c r="T868" s="2" t="s">
        <v>1414</v>
      </c>
      <c r="U868" s="2" t="s">
        <v>416</v>
      </c>
      <c r="V868" s="2" t="s">
        <v>236</v>
      </c>
      <c r="W868" s="2" t="s">
        <v>269</v>
      </c>
      <c r="X868" s="2" t="s">
        <v>228</v>
      </c>
      <c r="Y868" s="2" t="s">
        <v>228</v>
      </c>
      <c r="Z868" s="4"/>
      <c r="AA868" s="4">
        <f>=ROUNDDOWN({0},0)</f>
      </c>
      <c r="AB868" s="5"/>
      <c r="AC868" s="2" t="s">
        <v>158</v>
      </c>
      <c r="AD868" s="4">
        <v>170</v>
      </c>
      <c r="AE868" s="4">
        <v>170</v>
      </c>
      <c r="AF868" s="6">
        <v>66</v>
      </c>
      <c r="AG868" s="6"/>
      <c r="AH868" s="7"/>
      <c r="AI868" s="4"/>
      <c r="AJ868" s="4">
        <f>=ROUNDDOWN({0},0)</f>
      </c>
      <c r="AK868" s="5"/>
      <c r="AL868" s="2" t="s">
        <v>228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228</v>
      </c>
      <c r="AW868" s="8" t="s">
        <v>228</v>
      </c>
      <c r="AX868" s="4" t="s">
        <v>228</v>
      </c>
      <c r="AY868" s="8" t="s">
        <v>228</v>
      </c>
      <c r="AZ868" s="7" t="s">
        <v>228</v>
      </c>
      <c r="BA868" s="7" t="s">
        <v>228</v>
      </c>
      <c r="BB868" s="7"/>
      <c r="BC868" s="4" t="s">
        <v>228</v>
      </c>
      <c r="BD868" s="8" t="s">
        <v>228</v>
      </c>
      <c r="BE868" s="4" t="s">
        <v>228</v>
      </c>
      <c r="BF868" s="8" t="s">
        <v>228</v>
      </c>
      <c r="BG868" s="7" t="s">
        <v>228</v>
      </c>
      <c r="BH868" s="7" t="s">
        <v>228</v>
      </c>
      <c r="BI868" s="7"/>
      <c r="BJ868" s="4"/>
      <c r="BK868" s="8"/>
      <c r="BL868" s="2" t="s">
        <v>228</v>
      </c>
      <c r="BM868" s="7"/>
      <c r="BN868" s="7"/>
      <c r="BO868" s="4"/>
      <c r="BP868" s="8"/>
      <c r="BQ868" s="4"/>
      <c r="BR868" s="8"/>
      <c r="BS868" s="7"/>
      <c r="BT868" s="7"/>
      <c r="BU868" s="2" t="s">
        <v>238</v>
      </c>
      <c r="BV868" s="2" t="s">
        <v>228</v>
      </c>
      <c r="BW868" s="2" t="s">
        <v>228</v>
      </c>
      <c r="BX868" s="2" t="s">
        <v>238</v>
      </c>
      <c r="BY868" s="2" t="s">
        <v>239</v>
      </c>
      <c r="BZ868" s="2" t="s">
        <v>240</v>
      </c>
      <c r="CA868" s="2" t="s">
        <v>228</v>
      </c>
      <c r="CB868" s="2" t="s">
        <v>228</v>
      </c>
      <c r="CC868" s="2" t="s">
        <v>241</v>
      </c>
      <c r="CD868" s="2" t="s">
        <v>228</v>
      </c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>
        <v>170</v>
      </c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</row>
    <row r="869">
      <c r="A869" s="2" t="s">
        <v>4724</v>
      </c>
      <c r="B869" s="2" t="s">
        <v>223</v>
      </c>
      <c r="C869" s="2" t="s">
        <v>3635</v>
      </c>
      <c r="D869" s="2" t="s">
        <v>1407</v>
      </c>
      <c r="E869" s="2" t="s">
        <v>3636</v>
      </c>
      <c r="F869" s="2" t="s">
        <v>4706</v>
      </c>
      <c r="G869" s="2" t="s">
        <v>4706</v>
      </c>
      <c r="H869" s="2" t="s">
        <v>4706</v>
      </c>
      <c r="I869" s="2" t="s">
        <v>226</v>
      </c>
      <c r="J869" s="2" t="s">
        <v>289</v>
      </c>
      <c r="K869" s="2" t="s">
        <v>2796</v>
      </c>
      <c r="L869" s="3">
        <v>66.66</v>
      </c>
      <c r="M869" s="3">
        <v>69.99</v>
      </c>
      <c r="N869" s="3">
        <v>139.99</v>
      </c>
      <c r="O869" s="2" t="s">
        <v>240</v>
      </c>
      <c r="P869" s="2" t="s">
        <v>233</v>
      </c>
      <c r="Q869" s="2" t="s">
        <v>234</v>
      </c>
      <c r="R869" s="2" t="s">
        <v>228</v>
      </c>
      <c r="S869" s="2" t="s">
        <v>4722</v>
      </c>
      <c r="T869" s="2" t="s">
        <v>1414</v>
      </c>
      <c r="U869" s="2" t="s">
        <v>416</v>
      </c>
      <c r="V869" s="2" t="s">
        <v>236</v>
      </c>
      <c r="W869" s="2" t="s">
        <v>269</v>
      </c>
      <c r="X869" s="2" t="s">
        <v>228</v>
      </c>
      <c r="Y869" s="2" t="s">
        <v>228</v>
      </c>
      <c r="Z869" s="4"/>
      <c r="AA869" s="4">
        <f>=ROUNDDOWN({0},0)</f>
      </c>
      <c r="AB869" s="5"/>
      <c r="AC869" s="2" t="s">
        <v>158</v>
      </c>
      <c r="AD869" s="4">
        <v>250</v>
      </c>
      <c r="AE869" s="4">
        <v>250</v>
      </c>
      <c r="AF869" s="6">
        <v>66</v>
      </c>
      <c r="AG869" s="6"/>
      <c r="AH869" s="7"/>
      <c r="AI869" s="4"/>
      <c r="AJ869" s="4">
        <f>=ROUNDDOWN({0},0)</f>
      </c>
      <c r="AK869" s="5"/>
      <c r="AL869" s="2" t="s">
        <v>228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228</v>
      </c>
      <c r="AW869" s="8" t="s">
        <v>228</v>
      </c>
      <c r="AX869" s="4" t="s">
        <v>228</v>
      </c>
      <c r="AY869" s="8" t="s">
        <v>228</v>
      </c>
      <c r="AZ869" s="7" t="s">
        <v>228</v>
      </c>
      <c r="BA869" s="7" t="s">
        <v>228</v>
      </c>
      <c r="BB869" s="7"/>
      <c r="BC869" s="4" t="s">
        <v>228</v>
      </c>
      <c r="BD869" s="8" t="s">
        <v>228</v>
      </c>
      <c r="BE869" s="4" t="s">
        <v>228</v>
      </c>
      <c r="BF869" s="8" t="s">
        <v>228</v>
      </c>
      <c r="BG869" s="7" t="s">
        <v>228</v>
      </c>
      <c r="BH869" s="7" t="s">
        <v>228</v>
      </c>
      <c r="BI869" s="7"/>
      <c r="BJ869" s="4"/>
      <c r="BK869" s="8"/>
      <c r="BL869" s="2" t="s">
        <v>228</v>
      </c>
      <c r="BM869" s="7"/>
      <c r="BN869" s="7"/>
      <c r="BO869" s="4"/>
      <c r="BP869" s="8"/>
      <c r="BQ869" s="4"/>
      <c r="BR869" s="8"/>
      <c r="BS869" s="7"/>
      <c r="BT869" s="7"/>
      <c r="BU869" s="2" t="s">
        <v>238</v>
      </c>
      <c r="BV869" s="2" t="s">
        <v>228</v>
      </c>
      <c r="BW869" s="2" t="s">
        <v>228</v>
      </c>
      <c r="BX869" s="2" t="s">
        <v>238</v>
      </c>
      <c r="BY869" s="2" t="s">
        <v>239</v>
      </c>
      <c r="BZ869" s="2" t="s">
        <v>240</v>
      </c>
      <c r="CA869" s="2" t="s">
        <v>228</v>
      </c>
      <c r="CB869" s="2" t="s">
        <v>228</v>
      </c>
      <c r="CC869" s="2" t="s">
        <v>241</v>
      </c>
      <c r="CD869" s="2" t="s">
        <v>228</v>
      </c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>
        <v>250</v>
      </c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</row>
    <row r="870">
      <c r="A870" s="2" t="s">
        <v>4725</v>
      </c>
      <c r="B870" s="2" t="s">
        <v>223</v>
      </c>
      <c r="C870" s="2" t="s">
        <v>3635</v>
      </c>
      <c r="D870" s="2" t="s">
        <v>1407</v>
      </c>
      <c r="E870" s="2" t="s">
        <v>3636</v>
      </c>
      <c r="F870" s="2" t="s">
        <v>4706</v>
      </c>
      <c r="G870" s="2" t="s">
        <v>4706</v>
      </c>
      <c r="H870" s="2" t="s">
        <v>4706</v>
      </c>
      <c r="I870" s="2" t="s">
        <v>226</v>
      </c>
      <c r="J870" s="2" t="s">
        <v>294</v>
      </c>
      <c r="K870" s="2" t="s">
        <v>2796</v>
      </c>
      <c r="L870" s="3">
        <v>76.19</v>
      </c>
      <c r="M870" s="3">
        <v>80</v>
      </c>
      <c r="N870" s="3">
        <v>159.99</v>
      </c>
      <c r="O870" s="2" t="s">
        <v>240</v>
      </c>
      <c r="P870" s="2" t="s">
        <v>233</v>
      </c>
      <c r="Q870" s="2" t="s">
        <v>234</v>
      </c>
      <c r="R870" s="2" t="s">
        <v>228</v>
      </c>
      <c r="S870" s="2" t="s">
        <v>4722</v>
      </c>
      <c r="T870" s="2" t="s">
        <v>1414</v>
      </c>
      <c r="U870" s="2" t="s">
        <v>416</v>
      </c>
      <c r="V870" s="2" t="s">
        <v>236</v>
      </c>
      <c r="W870" s="2" t="s">
        <v>269</v>
      </c>
      <c r="X870" s="2" t="s">
        <v>228</v>
      </c>
      <c r="Y870" s="2" t="s">
        <v>228</v>
      </c>
      <c r="Z870" s="4"/>
      <c r="AA870" s="4">
        <f>=ROUNDDOWN({0},0)</f>
      </c>
      <c r="AB870" s="5"/>
      <c r="AC870" s="2" t="s">
        <v>158</v>
      </c>
      <c r="AD870" s="4">
        <v>330</v>
      </c>
      <c r="AE870" s="4">
        <v>330</v>
      </c>
      <c r="AF870" s="6">
        <v>66</v>
      </c>
      <c r="AG870" s="6"/>
      <c r="AH870" s="7"/>
      <c r="AI870" s="4"/>
      <c r="AJ870" s="4">
        <f>=ROUNDDOWN({0},0)</f>
      </c>
      <c r="AK870" s="5"/>
      <c r="AL870" s="2" t="s">
        <v>228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228</v>
      </c>
      <c r="AW870" s="8" t="s">
        <v>228</v>
      </c>
      <c r="AX870" s="4" t="s">
        <v>228</v>
      </c>
      <c r="AY870" s="8" t="s">
        <v>228</v>
      </c>
      <c r="AZ870" s="7" t="s">
        <v>228</v>
      </c>
      <c r="BA870" s="7" t="s">
        <v>228</v>
      </c>
      <c r="BB870" s="7"/>
      <c r="BC870" s="4" t="s">
        <v>228</v>
      </c>
      <c r="BD870" s="8" t="s">
        <v>228</v>
      </c>
      <c r="BE870" s="4" t="s">
        <v>228</v>
      </c>
      <c r="BF870" s="8" t="s">
        <v>228</v>
      </c>
      <c r="BG870" s="7" t="s">
        <v>228</v>
      </c>
      <c r="BH870" s="7" t="s">
        <v>228</v>
      </c>
      <c r="BI870" s="7"/>
      <c r="BJ870" s="4"/>
      <c r="BK870" s="8"/>
      <c r="BL870" s="2" t="s">
        <v>228</v>
      </c>
      <c r="BM870" s="7"/>
      <c r="BN870" s="7"/>
      <c r="BO870" s="4"/>
      <c r="BP870" s="8"/>
      <c r="BQ870" s="4"/>
      <c r="BR870" s="8"/>
      <c r="BS870" s="7"/>
      <c r="BT870" s="7"/>
      <c r="BU870" s="2" t="s">
        <v>238</v>
      </c>
      <c r="BV870" s="2" t="s">
        <v>228</v>
      </c>
      <c r="BW870" s="2" t="s">
        <v>228</v>
      </c>
      <c r="BX870" s="2" t="s">
        <v>238</v>
      </c>
      <c r="BY870" s="2" t="s">
        <v>239</v>
      </c>
      <c r="BZ870" s="2" t="s">
        <v>240</v>
      </c>
      <c r="CA870" s="2" t="s">
        <v>228</v>
      </c>
      <c r="CB870" s="2" t="s">
        <v>228</v>
      </c>
      <c r="CC870" s="2" t="s">
        <v>241</v>
      </c>
      <c r="CD870" s="2" t="s">
        <v>228</v>
      </c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>
        <v>330</v>
      </c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</row>
    <row r="871">
      <c r="A871" s="2" t="s">
        <v>4726</v>
      </c>
      <c r="B871" s="2" t="s">
        <v>223</v>
      </c>
      <c r="C871" s="2" t="s">
        <v>3635</v>
      </c>
      <c r="D871" s="2" t="s">
        <v>1407</v>
      </c>
      <c r="E871" s="2" t="s">
        <v>3636</v>
      </c>
      <c r="F871" s="2" t="s">
        <v>4706</v>
      </c>
      <c r="G871" s="2" t="s">
        <v>4706</v>
      </c>
      <c r="H871" s="2" t="s">
        <v>4706</v>
      </c>
      <c r="I871" s="2" t="s">
        <v>226</v>
      </c>
      <c r="J871" s="2" t="s">
        <v>264</v>
      </c>
      <c r="K871" s="2" t="s">
        <v>4659</v>
      </c>
      <c r="L871" s="3">
        <v>42.85</v>
      </c>
      <c r="M871" s="3">
        <v>44.99</v>
      </c>
      <c r="N871" s="3">
        <v>89.99</v>
      </c>
      <c r="O871" s="2" t="s">
        <v>240</v>
      </c>
      <c r="P871" s="2" t="s">
        <v>233</v>
      </c>
      <c r="Q871" s="2" t="s">
        <v>234</v>
      </c>
      <c r="R871" s="2" t="s">
        <v>228</v>
      </c>
      <c r="S871" s="2" t="s">
        <v>4727</v>
      </c>
      <c r="T871" s="2" t="s">
        <v>1414</v>
      </c>
      <c r="U871" s="2" t="s">
        <v>416</v>
      </c>
      <c r="V871" s="2" t="s">
        <v>236</v>
      </c>
      <c r="W871" s="2" t="s">
        <v>269</v>
      </c>
      <c r="X871" s="2" t="s">
        <v>228</v>
      </c>
      <c r="Y871" s="2" t="s">
        <v>228</v>
      </c>
      <c r="Z871" s="4"/>
      <c r="AA871" s="4">
        <f>=ROUNDDOWN({0},0)</f>
      </c>
      <c r="AB871" s="5"/>
      <c r="AC871" s="2" t="s">
        <v>158</v>
      </c>
      <c r="AD871" s="4">
        <v>200</v>
      </c>
      <c r="AE871" s="4">
        <v>200</v>
      </c>
      <c r="AF871" s="6">
        <v>66</v>
      </c>
      <c r="AG871" s="6"/>
      <c r="AH871" s="7"/>
      <c r="AI871" s="4"/>
      <c r="AJ871" s="4">
        <f>=ROUNDDOWN({0},0)</f>
      </c>
      <c r="AK871" s="5"/>
      <c r="AL871" s="2" t="s">
        <v>228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228</v>
      </c>
      <c r="AW871" s="8" t="s">
        <v>228</v>
      </c>
      <c r="AX871" s="4" t="s">
        <v>228</v>
      </c>
      <c r="AY871" s="8" t="s">
        <v>228</v>
      </c>
      <c r="AZ871" s="7" t="s">
        <v>228</v>
      </c>
      <c r="BA871" s="7" t="s">
        <v>228</v>
      </c>
      <c r="BB871" s="7"/>
      <c r="BC871" s="4" t="s">
        <v>228</v>
      </c>
      <c r="BD871" s="8" t="s">
        <v>228</v>
      </c>
      <c r="BE871" s="4" t="s">
        <v>228</v>
      </c>
      <c r="BF871" s="8" t="s">
        <v>228</v>
      </c>
      <c r="BG871" s="7" t="s">
        <v>228</v>
      </c>
      <c r="BH871" s="7" t="s">
        <v>228</v>
      </c>
      <c r="BI871" s="7"/>
      <c r="BJ871" s="4"/>
      <c r="BK871" s="8"/>
      <c r="BL871" s="2" t="s">
        <v>228</v>
      </c>
      <c r="BM871" s="7"/>
      <c r="BN871" s="7"/>
      <c r="BO871" s="4"/>
      <c r="BP871" s="8"/>
      <c r="BQ871" s="4"/>
      <c r="BR871" s="8"/>
      <c r="BS871" s="7"/>
      <c r="BT871" s="7"/>
      <c r="BU871" s="2" t="s">
        <v>238</v>
      </c>
      <c r="BV871" s="2" t="s">
        <v>228</v>
      </c>
      <c r="BW871" s="2" t="s">
        <v>228</v>
      </c>
      <c r="BX871" s="2" t="s">
        <v>238</v>
      </c>
      <c r="BY871" s="2" t="s">
        <v>239</v>
      </c>
      <c r="BZ871" s="2" t="s">
        <v>240</v>
      </c>
      <c r="CA871" s="2" t="s">
        <v>228</v>
      </c>
      <c r="CB871" s="2" t="s">
        <v>228</v>
      </c>
      <c r="CC871" s="2" t="s">
        <v>241</v>
      </c>
      <c r="CD871" s="2" t="s">
        <v>228</v>
      </c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>
        <v>200</v>
      </c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</row>
    <row r="872">
      <c r="A872" s="2" t="s">
        <v>4728</v>
      </c>
      <c r="B872" s="2" t="s">
        <v>223</v>
      </c>
      <c r="C872" s="2" t="s">
        <v>3635</v>
      </c>
      <c r="D872" s="2" t="s">
        <v>1407</v>
      </c>
      <c r="E872" s="2" t="s">
        <v>3636</v>
      </c>
      <c r="F872" s="2" t="s">
        <v>4706</v>
      </c>
      <c r="G872" s="2" t="s">
        <v>4706</v>
      </c>
      <c r="H872" s="2" t="s">
        <v>4706</v>
      </c>
      <c r="I872" s="2" t="s">
        <v>226</v>
      </c>
      <c r="J872" s="2" t="s">
        <v>284</v>
      </c>
      <c r="K872" s="2" t="s">
        <v>4659</v>
      </c>
      <c r="L872" s="3">
        <v>47.61</v>
      </c>
      <c r="M872" s="3">
        <v>49.99</v>
      </c>
      <c r="N872" s="3">
        <v>99.99</v>
      </c>
      <c r="O872" s="2" t="s">
        <v>240</v>
      </c>
      <c r="P872" s="2" t="s">
        <v>233</v>
      </c>
      <c r="Q872" s="2" t="s">
        <v>234</v>
      </c>
      <c r="R872" s="2" t="s">
        <v>228</v>
      </c>
      <c r="S872" s="2" t="s">
        <v>4727</v>
      </c>
      <c r="T872" s="2" t="s">
        <v>1414</v>
      </c>
      <c r="U872" s="2" t="s">
        <v>416</v>
      </c>
      <c r="V872" s="2" t="s">
        <v>236</v>
      </c>
      <c r="W872" s="2" t="s">
        <v>269</v>
      </c>
      <c r="X872" s="2" t="s">
        <v>228</v>
      </c>
      <c r="Y872" s="2" t="s">
        <v>228</v>
      </c>
      <c r="Z872" s="4"/>
      <c r="AA872" s="4">
        <f>=ROUNDDOWN({0},0)</f>
      </c>
      <c r="AB872" s="5"/>
      <c r="AC872" s="2" t="s">
        <v>158</v>
      </c>
      <c r="AD872" s="4">
        <v>190</v>
      </c>
      <c r="AE872" s="4">
        <v>190</v>
      </c>
      <c r="AF872" s="6">
        <v>66</v>
      </c>
      <c r="AG872" s="6"/>
      <c r="AH872" s="7"/>
      <c r="AI872" s="4"/>
      <c r="AJ872" s="4">
        <f>=ROUNDDOWN({0},0)</f>
      </c>
      <c r="AK872" s="5"/>
      <c r="AL872" s="2" t="s">
        <v>228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228</v>
      </c>
      <c r="AW872" s="8" t="s">
        <v>228</v>
      </c>
      <c r="AX872" s="4" t="s">
        <v>228</v>
      </c>
      <c r="AY872" s="8" t="s">
        <v>228</v>
      </c>
      <c r="AZ872" s="7" t="s">
        <v>228</v>
      </c>
      <c r="BA872" s="7" t="s">
        <v>228</v>
      </c>
      <c r="BB872" s="7"/>
      <c r="BC872" s="4" t="s">
        <v>228</v>
      </c>
      <c r="BD872" s="8" t="s">
        <v>228</v>
      </c>
      <c r="BE872" s="4" t="s">
        <v>228</v>
      </c>
      <c r="BF872" s="8" t="s">
        <v>228</v>
      </c>
      <c r="BG872" s="7" t="s">
        <v>228</v>
      </c>
      <c r="BH872" s="7" t="s">
        <v>228</v>
      </c>
      <c r="BI872" s="7"/>
      <c r="BJ872" s="4"/>
      <c r="BK872" s="8"/>
      <c r="BL872" s="2" t="s">
        <v>228</v>
      </c>
      <c r="BM872" s="7"/>
      <c r="BN872" s="7"/>
      <c r="BO872" s="4"/>
      <c r="BP872" s="8"/>
      <c r="BQ872" s="4"/>
      <c r="BR872" s="8"/>
      <c r="BS872" s="7"/>
      <c r="BT872" s="7"/>
      <c r="BU872" s="2" t="s">
        <v>238</v>
      </c>
      <c r="BV872" s="2" t="s">
        <v>228</v>
      </c>
      <c r="BW872" s="2" t="s">
        <v>228</v>
      </c>
      <c r="BX872" s="2" t="s">
        <v>238</v>
      </c>
      <c r="BY872" s="2" t="s">
        <v>239</v>
      </c>
      <c r="BZ872" s="2" t="s">
        <v>240</v>
      </c>
      <c r="CA872" s="2" t="s">
        <v>228</v>
      </c>
      <c r="CB872" s="2" t="s">
        <v>228</v>
      </c>
      <c r="CC872" s="2" t="s">
        <v>241</v>
      </c>
      <c r="CD872" s="2" t="s">
        <v>228</v>
      </c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>
        <v>190</v>
      </c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</row>
    <row r="873">
      <c r="A873" s="2" t="s">
        <v>4729</v>
      </c>
      <c r="B873" s="2" t="s">
        <v>223</v>
      </c>
      <c r="C873" s="2" t="s">
        <v>3635</v>
      </c>
      <c r="D873" s="2" t="s">
        <v>1407</v>
      </c>
      <c r="E873" s="2" t="s">
        <v>3636</v>
      </c>
      <c r="F873" s="2" t="s">
        <v>4706</v>
      </c>
      <c r="G873" s="2" t="s">
        <v>4706</v>
      </c>
      <c r="H873" s="2" t="s">
        <v>4706</v>
      </c>
      <c r="I873" s="2" t="s">
        <v>226</v>
      </c>
      <c r="J873" s="2" t="s">
        <v>289</v>
      </c>
      <c r="K873" s="2" t="s">
        <v>4659</v>
      </c>
      <c r="L873" s="3">
        <v>66.66</v>
      </c>
      <c r="M873" s="3">
        <v>69.99</v>
      </c>
      <c r="N873" s="3">
        <v>139.99</v>
      </c>
      <c r="O873" s="2" t="s">
        <v>240</v>
      </c>
      <c r="P873" s="2" t="s">
        <v>233</v>
      </c>
      <c r="Q873" s="2" t="s">
        <v>234</v>
      </c>
      <c r="R873" s="2" t="s">
        <v>228</v>
      </c>
      <c r="S873" s="2" t="s">
        <v>4727</v>
      </c>
      <c r="T873" s="2" t="s">
        <v>1414</v>
      </c>
      <c r="U873" s="2" t="s">
        <v>416</v>
      </c>
      <c r="V873" s="2" t="s">
        <v>236</v>
      </c>
      <c r="W873" s="2" t="s">
        <v>269</v>
      </c>
      <c r="X873" s="2" t="s">
        <v>228</v>
      </c>
      <c r="Y873" s="2" t="s">
        <v>228</v>
      </c>
      <c r="Z873" s="4"/>
      <c r="AA873" s="4">
        <f>=ROUNDDOWN({0},0)</f>
      </c>
      <c r="AB873" s="5"/>
      <c r="AC873" s="2" t="s">
        <v>158</v>
      </c>
      <c r="AD873" s="4">
        <v>250</v>
      </c>
      <c r="AE873" s="4">
        <v>250</v>
      </c>
      <c r="AF873" s="6">
        <v>66</v>
      </c>
      <c r="AG873" s="6"/>
      <c r="AH873" s="7"/>
      <c r="AI873" s="4"/>
      <c r="AJ873" s="4">
        <f>=ROUNDDOWN({0},0)</f>
      </c>
      <c r="AK873" s="5"/>
      <c r="AL873" s="2" t="s">
        <v>228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228</v>
      </c>
      <c r="AW873" s="8" t="s">
        <v>228</v>
      </c>
      <c r="AX873" s="4" t="s">
        <v>228</v>
      </c>
      <c r="AY873" s="8" t="s">
        <v>228</v>
      </c>
      <c r="AZ873" s="7" t="s">
        <v>228</v>
      </c>
      <c r="BA873" s="7" t="s">
        <v>228</v>
      </c>
      <c r="BB873" s="7"/>
      <c r="BC873" s="4" t="s">
        <v>228</v>
      </c>
      <c r="BD873" s="8" t="s">
        <v>228</v>
      </c>
      <c r="BE873" s="4" t="s">
        <v>228</v>
      </c>
      <c r="BF873" s="8" t="s">
        <v>228</v>
      </c>
      <c r="BG873" s="7" t="s">
        <v>228</v>
      </c>
      <c r="BH873" s="7" t="s">
        <v>228</v>
      </c>
      <c r="BI873" s="7"/>
      <c r="BJ873" s="4"/>
      <c r="BK873" s="8"/>
      <c r="BL873" s="2" t="s">
        <v>228</v>
      </c>
      <c r="BM873" s="7"/>
      <c r="BN873" s="7"/>
      <c r="BO873" s="4"/>
      <c r="BP873" s="8"/>
      <c r="BQ873" s="4"/>
      <c r="BR873" s="8"/>
      <c r="BS873" s="7"/>
      <c r="BT873" s="7"/>
      <c r="BU873" s="2" t="s">
        <v>238</v>
      </c>
      <c r="BV873" s="2" t="s">
        <v>228</v>
      </c>
      <c r="BW873" s="2" t="s">
        <v>228</v>
      </c>
      <c r="BX873" s="2" t="s">
        <v>238</v>
      </c>
      <c r="BY873" s="2" t="s">
        <v>239</v>
      </c>
      <c r="BZ873" s="2" t="s">
        <v>240</v>
      </c>
      <c r="CA873" s="2" t="s">
        <v>228</v>
      </c>
      <c r="CB873" s="2" t="s">
        <v>228</v>
      </c>
      <c r="CC873" s="2" t="s">
        <v>241</v>
      </c>
      <c r="CD873" s="2" t="s">
        <v>228</v>
      </c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>
        <v>250</v>
      </c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</row>
    <row r="874">
      <c r="A874" s="2" t="s">
        <v>4730</v>
      </c>
      <c r="B874" s="2" t="s">
        <v>223</v>
      </c>
      <c r="C874" s="2" t="s">
        <v>3635</v>
      </c>
      <c r="D874" s="2" t="s">
        <v>1407</v>
      </c>
      <c r="E874" s="2" t="s">
        <v>3636</v>
      </c>
      <c r="F874" s="2" t="s">
        <v>4706</v>
      </c>
      <c r="G874" s="2" t="s">
        <v>4706</v>
      </c>
      <c r="H874" s="2" t="s">
        <v>4706</v>
      </c>
      <c r="I874" s="2" t="s">
        <v>226</v>
      </c>
      <c r="J874" s="2" t="s">
        <v>294</v>
      </c>
      <c r="K874" s="2" t="s">
        <v>4659</v>
      </c>
      <c r="L874" s="3">
        <v>76.19</v>
      </c>
      <c r="M874" s="3">
        <v>80</v>
      </c>
      <c r="N874" s="3">
        <v>159.99</v>
      </c>
      <c r="O874" s="2" t="s">
        <v>240</v>
      </c>
      <c r="P874" s="2" t="s">
        <v>233</v>
      </c>
      <c r="Q874" s="2" t="s">
        <v>234</v>
      </c>
      <c r="R874" s="2" t="s">
        <v>228</v>
      </c>
      <c r="S874" s="2" t="s">
        <v>4727</v>
      </c>
      <c r="T874" s="2" t="s">
        <v>1414</v>
      </c>
      <c r="U874" s="2" t="s">
        <v>416</v>
      </c>
      <c r="V874" s="2" t="s">
        <v>236</v>
      </c>
      <c r="W874" s="2" t="s">
        <v>269</v>
      </c>
      <c r="X874" s="2" t="s">
        <v>228</v>
      </c>
      <c r="Y874" s="2" t="s">
        <v>228</v>
      </c>
      <c r="Z874" s="4"/>
      <c r="AA874" s="4">
        <f>=ROUNDDOWN({0},0)</f>
      </c>
      <c r="AB874" s="5"/>
      <c r="AC874" s="2" t="s">
        <v>158</v>
      </c>
      <c r="AD874" s="4">
        <v>170</v>
      </c>
      <c r="AE874" s="4">
        <v>170</v>
      </c>
      <c r="AF874" s="6">
        <v>66</v>
      </c>
      <c r="AG874" s="6"/>
      <c r="AH874" s="7"/>
      <c r="AI874" s="4"/>
      <c r="AJ874" s="4">
        <f>=ROUNDDOWN({0},0)</f>
      </c>
      <c r="AK874" s="5"/>
      <c r="AL874" s="2" t="s">
        <v>228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228</v>
      </c>
      <c r="AW874" s="8" t="s">
        <v>228</v>
      </c>
      <c r="AX874" s="4" t="s">
        <v>228</v>
      </c>
      <c r="AY874" s="8" t="s">
        <v>228</v>
      </c>
      <c r="AZ874" s="7" t="s">
        <v>228</v>
      </c>
      <c r="BA874" s="7" t="s">
        <v>228</v>
      </c>
      <c r="BB874" s="7"/>
      <c r="BC874" s="4" t="s">
        <v>228</v>
      </c>
      <c r="BD874" s="8" t="s">
        <v>228</v>
      </c>
      <c r="BE874" s="4" t="s">
        <v>228</v>
      </c>
      <c r="BF874" s="8" t="s">
        <v>228</v>
      </c>
      <c r="BG874" s="7" t="s">
        <v>228</v>
      </c>
      <c r="BH874" s="7" t="s">
        <v>228</v>
      </c>
      <c r="BI874" s="7"/>
      <c r="BJ874" s="4"/>
      <c r="BK874" s="8"/>
      <c r="BL874" s="2" t="s">
        <v>228</v>
      </c>
      <c r="BM874" s="7"/>
      <c r="BN874" s="7"/>
      <c r="BO874" s="4"/>
      <c r="BP874" s="8"/>
      <c r="BQ874" s="4"/>
      <c r="BR874" s="8"/>
      <c r="BS874" s="7"/>
      <c r="BT874" s="7"/>
      <c r="BU874" s="2" t="s">
        <v>238</v>
      </c>
      <c r="BV874" s="2" t="s">
        <v>228</v>
      </c>
      <c r="BW874" s="2" t="s">
        <v>228</v>
      </c>
      <c r="BX874" s="2" t="s">
        <v>238</v>
      </c>
      <c r="BY874" s="2" t="s">
        <v>239</v>
      </c>
      <c r="BZ874" s="2" t="s">
        <v>240</v>
      </c>
      <c r="CA874" s="2" t="s">
        <v>228</v>
      </c>
      <c r="CB874" s="2" t="s">
        <v>228</v>
      </c>
      <c r="CC874" s="2" t="s">
        <v>241</v>
      </c>
      <c r="CD874" s="2" t="s">
        <v>228</v>
      </c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>
        <v>170</v>
      </c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</row>
    <row r="875">
      <c r="A875" s="2" t="s">
        <v>4731</v>
      </c>
      <c r="B875" s="2" t="s">
        <v>866</v>
      </c>
      <c r="C875" s="2" t="s">
        <v>835</v>
      </c>
      <c r="D875" s="2" t="s">
        <v>867</v>
      </c>
      <c r="E875" s="2" t="s">
        <v>877</v>
      </c>
      <c r="F875" s="2" t="s">
        <v>4732</v>
      </c>
      <c r="G875" s="2" t="s">
        <v>4732</v>
      </c>
      <c r="H875" s="2" t="s">
        <v>4732</v>
      </c>
      <c r="I875" s="2" t="s">
        <v>4733</v>
      </c>
      <c r="J875" s="2" t="s">
        <v>840</v>
      </c>
      <c r="K875" s="2" t="s">
        <v>4734</v>
      </c>
      <c r="L875" s="3">
        <v>50</v>
      </c>
      <c r="M875" s="3">
        <v>52.5</v>
      </c>
      <c r="N875" s="3">
        <v>104.99</v>
      </c>
      <c r="O875" s="2" t="s">
        <v>240</v>
      </c>
      <c r="P875" s="2" t="s">
        <v>266</v>
      </c>
      <c r="Q875" s="2" t="s">
        <v>234</v>
      </c>
      <c r="R875" s="2" t="s">
        <v>228</v>
      </c>
      <c r="S875" s="2" t="s">
        <v>228</v>
      </c>
      <c r="T875" s="2" t="s">
        <v>228</v>
      </c>
      <c r="U875" s="2" t="s">
        <v>520</v>
      </c>
      <c r="V875" s="2" t="s">
        <v>842</v>
      </c>
      <c r="W875" s="2" t="s">
        <v>417</v>
      </c>
      <c r="X875" s="2" t="s">
        <v>228</v>
      </c>
      <c r="Y875" s="2" t="s">
        <v>2049</v>
      </c>
      <c r="Z875" s="4">
        <v>33</v>
      </c>
      <c r="AA875" s="4">
        <f>=ROUNDDOWN(11,0)</f>
      </c>
      <c r="AB875" s="5">
        <v>3</v>
      </c>
      <c r="AC875" s="2" t="s">
        <v>228</v>
      </c>
      <c r="AD875" s="4"/>
      <c r="AE875" s="4"/>
      <c r="AF875" s="6">
        <v>63</v>
      </c>
      <c r="AG875" s="6"/>
      <c r="AH875" s="7">
        <v>1</v>
      </c>
      <c r="AI875" s="4"/>
      <c r="AJ875" s="4">
        <f>=ROUNDDOWN({0},0)</f>
      </c>
      <c r="AK875" s="5"/>
      <c r="AL875" s="2" t="s">
        <v>228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/>
      <c r="AW875" s="8"/>
      <c r="AX875" s="4"/>
      <c r="AY875" s="8"/>
      <c r="AZ875" s="7"/>
      <c r="BA875" s="7"/>
      <c r="BB875" s="7"/>
      <c r="BC875" s="4"/>
      <c r="BD875" s="8"/>
      <c r="BE875" s="4"/>
      <c r="BF875" s="8"/>
      <c r="BG875" s="7"/>
      <c r="BH875" s="7"/>
      <c r="BI875" s="7"/>
      <c r="BJ875" s="4">
        <v>19</v>
      </c>
      <c r="BK875" s="8">
        <v>1059.65</v>
      </c>
      <c r="BL875" s="2" t="s">
        <v>2077</v>
      </c>
      <c r="BM875" s="7"/>
      <c r="BN875" s="7"/>
      <c r="BO875" s="4"/>
      <c r="BP875" s="8"/>
      <c r="BQ875" s="4"/>
      <c r="BR875" s="8"/>
      <c r="BS875" s="7"/>
      <c r="BT875" s="7"/>
      <c r="BU875" s="2" t="s">
        <v>4735</v>
      </c>
      <c r="BV875" s="2" t="s">
        <v>228</v>
      </c>
      <c r="BW875" s="2" t="s">
        <v>228</v>
      </c>
      <c r="BX875" s="2" t="s">
        <v>273</v>
      </c>
      <c r="BY875" s="2" t="s">
        <v>274</v>
      </c>
      <c r="BZ875" s="2" t="s">
        <v>240</v>
      </c>
      <c r="CA875" s="2" t="s">
        <v>2045</v>
      </c>
      <c r="CB875" s="2" t="s">
        <v>3296</v>
      </c>
      <c r="CC875" s="2" t="s">
        <v>241</v>
      </c>
      <c r="CD875" s="2" t="s">
        <v>228</v>
      </c>
      <c r="CE875" s="4"/>
      <c r="CF875" s="4">
        <v>33</v>
      </c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</row>
    <row r="876">
      <c r="A876" s="2" t="s">
        <v>4736</v>
      </c>
      <c r="B876" s="2" t="s">
        <v>1150</v>
      </c>
      <c r="C876" s="2" t="s">
        <v>300</v>
      </c>
      <c r="D876" s="2" t="s">
        <v>1112</v>
      </c>
      <c r="E876" s="2" t="s">
        <v>1165</v>
      </c>
      <c r="F876" s="2" t="s">
        <v>2378</v>
      </c>
      <c r="G876" s="2" t="s">
        <v>4737</v>
      </c>
      <c r="H876" s="2" t="s">
        <v>4738</v>
      </c>
      <c r="I876" s="2" t="s">
        <v>4739</v>
      </c>
      <c r="J876" s="2" t="s">
        <v>1189</v>
      </c>
      <c r="K876" s="2" t="s">
        <v>231</v>
      </c>
      <c r="L876" s="3">
        <v>57.14</v>
      </c>
      <c r="M876" s="3">
        <v>60</v>
      </c>
      <c r="N876" s="3">
        <v>119.99</v>
      </c>
      <c r="O876" s="2" t="s">
        <v>461</v>
      </c>
      <c r="P876" s="2" t="s">
        <v>333</v>
      </c>
      <c r="Q876" s="2" t="s">
        <v>234</v>
      </c>
      <c r="R876" s="2" t="s">
        <v>228</v>
      </c>
      <c r="S876" s="2" t="s">
        <v>4740</v>
      </c>
      <c r="T876" s="2" t="s">
        <v>415</v>
      </c>
      <c r="U876" s="2" t="s">
        <v>1170</v>
      </c>
      <c r="V876" s="2" t="s">
        <v>374</v>
      </c>
      <c r="W876" s="2" t="s">
        <v>1578</v>
      </c>
      <c r="X876" s="2" t="s">
        <v>269</v>
      </c>
      <c r="Y876" s="2" t="s">
        <v>2582</v>
      </c>
      <c r="Z876" s="4">
        <v>415</v>
      </c>
      <c r="AA876" s="4">
        <f>=ROUNDDOWN(103.75,0)</f>
      </c>
      <c r="AB876" s="5">
        <v>4</v>
      </c>
      <c r="AC876" s="2" t="s">
        <v>228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228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228</v>
      </c>
      <c r="AW876" s="8" t="s">
        <v>228</v>
      </c>
      <c r="AX876" s="4" t="s">
        <v>228</v>
      </c>
      <c r="AY876" s="8" t="s">
        <v>228</v>
      </c>
      <c r="AZ876" s="7" t="s">
        <v>228</v>
      </c>
      <c r="BA876" s="7" t="s">
        <v>228</v>
      </c>
      <c r="BB876" s="7" t="s">
        <v>228</v>
      </c>
      <c r="BC876" s="4" t="s">
        <v>228</v>
      </c>
      <c r="BD876" s="8" t="s">
        <v>228</v>
      </c>
      <c r="BE876" s="4" t="s">
        <v>228</v>
      </c>
      <c r="BF876" s="8" t="s">
        <v>228</v>
      </c>
      <c r="BG876" s="7" t="s">
        <v>228</v>
      </c>
      <c r="BH876" s="7" t="s">
        <v>228</v>
      </c>
      <c r="BI876" s="7"/>
      <c r="BJ876" s="4">
        <v>6</v>
      </c>
      <c r="BK876" s="8">
        <v>267.36</v>
      </c>
      <c r="BL876" s="2" t="s">
        <v>4741</v>
      </c>
      <c r="BM876" s="7"/>
      <c r="BN876" s="7"/>
      <c r="BO876" s="4"/>
      <c r="BP876" s="8"/>
      <c r="BQ876" s="4"/>
      <c r="BR876" s="8"/>
      <c r="BS876" s="7"/>
      <c r="BT876" s="7"/>
      <c r="BU876" s="2" t="s">
        <v>4742</v>
      </c>
      <c r="BV876" s="2" t="s">
        <v>228</v>
      </c>
      <c r="BW876" s="2" t="s">
        <v>228</v>
      </c>
      <c r="BX876" s="2" t="s">
        <v>337</v>
      </c>
      <c r="BY876" s="2" t="s">
        <v>274</v>
      </c>
      <c r="BZ876" s="2" t="s">
        <v>240</v>
      </c>
      <c r="CA876" s="2" t="s">
        <v>3354</v>
      </c>
      <c r="CB876" s="2" t="s">
        <v>468</v>
      </c>
      <c r="CC876" s="2" t="s">
        <v>241</v>
      </c>
      <c r="CD876" s="2" t="s">
        <v>228</v>
      </c>
      <c r="CE876" s="4">
        <v>415</v>
      </c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</row>
    <row r="877">
      <c r="A877" s="2" t="s">
        <v>4743</v>
      </c>
      <c r="B877" s="2" t="s">
        <v>1150</v>
      </c>
      <c r="C877" s="2" t="s">
        <v>300</v>
      </c>
      <c r="D877" s="2" t="s">
        <v>850</v>
      </c>
      <c r="E877" s="2" t="s">
        <v>1038</v>
      </c>
      <c r="F877" s="2" t="s">
        <v>2378</v>
      </c>
      <c r="G877" s="2" t="s">
        <v>4737</v>
      </c>
      <c r="H877" s="2" t="s">
        <v>4738</v>
      </c>
      <c r="I877" s="2" t="s">
        <v>4744</v>
      </c>
      <c r="J877" s="2" t="s">
        <v>1189</v>
      </c>
      <c r="K877" s="2" t="s">
        <v>231</v>
      </c>
      <c r="L877" s="3">
        <v>33.33</v>
      </c>
      <c r="M877" s="3">
        <v>35</v>
      </c>
      <c r="N877" s="3">
        <v>69.99</v>
      </c>
      <c r="O877" s="2" t="s">
        <v>461</v>
      </c>
      <c r="P877" s="2" t="s">
        <v>333</v>
      </c>
      <c r="Q877" s="2" t="s">
        <v>234</v>
      </c>
      <c r="R877" s="2" t="s">
        <v>228</v>
      </c>
      <c r="S877" s="2" t="s">
        <v>4745</v>
      </c>
      <c r="T877" s="2" t="s">
        <v>415</v>
      </c>
      <c r="U877" s="2" t="s">
        <v>500</v>
      </c>
      <c r="V877" s="2" t="s">
        <v>374</v>
      </c>
      <c r="W877" s="2" t="s">
        <v>1578</v>
      </c>
      <c r="X877" s="2" t="s">
        <v>269</v>
      </c>
      <c r="Y877" s="2" t="s">
        <v>2582</v>
      </c>
      <c r="Z877" s="4">
        <v>137</v>
      </c>
      <c r="AA877" s="4">
        <f>=ROUNDDOWN(45.6666666666667,0)</f>
      </c>
      <c r="AB877" s="5">
        <v>3</v>
      </c>
      <c r="AC877" s="2" t="s">
        <v>228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228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228</v>
      </c>
      <c r="AW877" s="8" t="s">
        <v>228</v>
      </c>
      <c r="AX877" s="4" t="s">
        <v>228</v>
      </c>
      <c r="AY877" s="8" t="s">
        <v>228</v>
      </c>
      <c r="AZ877" s="7" t="s">
        <v>228</v>
      </c>
      <c r="BA877" s="7" t="s">
        <v>228</v>
      </c>
      <c r="BB877" s="7" t="s">
        <v>228</v>
      </c>
      <c r="BC877" s="4" t="s">
        <v>228</v>
      </c>
      <c r="BD877" s="8" t="s">
        <v>228</v>
      </c>
      <c r="BE877" s="4" t="s">
        <v>228</v>
      </c>
      <c r="BF877" s="8" t="s">
        <v>228</v>
      </c>
      <c r="BG877" s="7" t="s">
        <v>228</v>
      </c>
      <c r="BH877" s="7" t="s">
        <v>228</v>
      </c>
      <c r="BI877" s="7"/>
      <c r="BJ877" s="4">
        <v>3</v>
      </c>
      <c r="BK877" s="8">
        <v>77</v>
      </c>
      <c r="BL877" s="2" t="s">
        <v>4746</v>
      </c>
      <c r="BM877" s="7"/>
      <c r="BN877" s="7"/>
      <c r="BO877" s="4"/>
      <c r="BP877" s="8"/>
      <c r="BQ877" s="4"/>
      <c r="BR877" s="8"/>
      <c r="BS877" s="7"/>
      <c r="BT877" s="7"/>
      <c r="BU877" s="2" t="s">
        <v>4747</v>
      </c>
      <c r="BV877" s="2" t="s">
        <v>228</v>
      </c>
      <c r="BW877" s="2" t="s">
        <v>228</v>
      </c>
      <c r="BX877" s="2" t="s">
        <v>337</v>
      </c>
      <c r="BY877" s="2" t="s">
        <v>274</v>
      </c>
      <c r="BZ877" s="2" t="s">
        <v>240</v>
      </c>
      <c r="CA877" s="2" t="s">
        <v>3354</v>
      </c>
      <c r="CB877" s="2" t="s">
        <v>379</v>
      </c>
      <c r="CC877" s="2" t="s">
        <v>241</v>
      </c>
      <c r="CD877" s="2" t="s">
        <v>228</v>
      </c>
      <c r="CE877" s="4">
        <v>137</v>
      </c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</row>
    <row r="878">
      <c r="A878" s="2" t="s">
        <v>4748</v>
      </c>
      <c r="B878" s="2" t="s">
        <v>1150</v>
      </c>
      <c r="C878" s="2" t="s">
        <v>300</v>
      </c>
      <c r="D878" s="2" t="s">
        <v>1112</v>
      </c>
      <c r="E878" s="2" t="s">
        <v>1165</v>
      </c>
      <c r="F878" s="2" t="s">
        <v>2378</v>
      </c>
      <c r="G878" s="2" t="s">
        <v>4737</v>
      </c>
      <c r="H878" s="2" t="s">
        <v>4738</v>
      </c>
      <c r="I878" s="2" t="s">
        <v>4739</v>
      </c>
      <c r="J878" s="2" t="s">
        <v>1043</v>
      </c>
      <c r="K878" s="2" t="s">
        <v>231</v>
      </c>
      <c r="L878" s="3">
        <v>66.66</v>
      </c>
      <c r="M878" s="3">
        <v>69.99</v>
      </c>
      <c r="N878" s="3">
        <v>139.99</v>
      </c>
      <c r="O878" s="2" t="s">
        <v>461</v>
      </c>
      <c r="P878" s="2" t="s">
        <v>333</v>
      </c>
      <c r="Q878" s="2" t="s">
        <v>234</v>
      </c>
      <c r="R878" s="2" t="s">
        <v>228</v>
      </c>
      <c r="S878" s="2" t="s">
        <v>4740</v>
      </c>
      <c r="T878" s="2" t="s">
        <v>415</v>
      </c>
      <c r="U878" s="2" t="s">
        <v>1170</v>
      </c>
      <c r="V878" s="2" t="s">
        <v>374</v>
      </c>
      <c r="W878" s="2" t="s">
        <v>1578</v>
      </c>
      <c r="X878" s="2" t="s">
        <v>269</v>
      </c>
      <c r="Y878" s="2" t="s">
        <v>2582</v>
      </c>
      <c r="Z878" s="4">
        <v>341</v>
      </c>
      <c r="AA878" s="4">
        <f>=ROUNDDOWN(113.666666666667,0)</f>
      </c>
      <c r="AB878" s="5">
        <v>3</v>
      </c>
      <c r="AC878" s="2" t="s">
        <v>228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228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228</v>
      </c>
      <c r="AW878" s="8" t="s">
        <v>228</v>
      </c>
      <c r="AX878" s="4" t="s">
        <v>228</v>
      </c>
      <c r="AY878" s="8" t="s">
        <v>228</v>
      </c>
      <c r="AZ878" s="7" t="s">
        <v>228</v>
      </c>
      <c r="BA878" s="7" t="s">
        <v>228</v>
      </c>
      <c r="BB878" s="7" t="s">
        <v>228</v>
      </c>
      <c r="BC878" s="4" t="s">
        <v>228</v>
      </c>
      <c r="BD878" s="8" t="s">
        <v>228</v>
      </c>
      <c r="BE878" s="4" t="s">
        <v>228</v>
      </c>
      <c r="BF878" s="8" t="s">
        <v>228</v>
      </c>
      <c r="BG878" s="7" t="s">
        <v>228</v>
      </c>
      <c r="BH878" s="7" t="s">
        <v>228</v>
      </c>
      <c r="BI878" s="7"/>
      <c r="BJ878" s="4">
        <v>8</v>
      </c>
      <c r="BK878" s="8">
        <v>441.07</v>
      </c>
      <c r="BL878" s="2" t="s">
        <v>357</v>
      </c>
      <c r="BM878" s="7"/>
      <c r="BN878" s="7"/>
      <c r="BO878" s="4"/>
      <c r="BP878" s="8"/>
      <c r="BQ878" s="4"/>
      <c r="BR878" s="8"/>
      <c r="BS878" s="7"/>
      <c r="BT878" s="7"/>
      <c r="BU878" s="2" t="s">
        <v>4749</v>
      </c>
      <c r="BV878" s="2" t="s">
        <v>228</v>
      </c>
      <c r="BW878" s="2" t="s">
        <v>228</v>
      </c>
      <c r="BX878" s="2" t="s">
        <v>337</v>
      </c>
      <c r="BY878" s="2" t="s">
        <v>274</v>
      </c>
      <c r="BZ878" s="2" t="s">
        <v>240</v>
      </c>
      <c r="CA878" s="2" t="s">
        <v>3354</v>
      </c>
      <c r="CB878" s="2" t="s">
        <v>4750</v>
      </c>
      <c r="CC878" s="2" t="s">
        <v>241</v>
      </c>
      <c r="CD878" s="2" t="s">
        <v>228</v>
      </c>
      <c r="CE878" s="4">
        <v>341</v>
      </c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</row>
    <row r="879">
      <c r="A879" s="2" t="s">
        <v>4751</v>
      </c>
      <c r="B879" s="2" t="s">
        <v>1150</v>
      </c>
      <c r="C879" s="2" t="s">
        <v>300</v>
      </c>
      <c r="D879" s="2" t="s">
        <v>850</v>
      </c>
      <c r="E879" s="2" t="s">
        <v>1038</v>
      </c>
      <c r="F879" s="2" t="s">
        <v>2378</v>
      </c>
      <c r="G879" s="2" t="s">
        <v>4737</v>
      </c>
      <c r="H879" s="2" t="s">
        <v>4738</v>
      </c>
      <c r="I879" s="2" t="s">
        <v>4744</v>
      </c>
      <c r="J879" s="2" t="s">
        <v>1043</v>
      </c>
      <c r="K879" s="2" t="s">
        <v>231</v>
      </c>
      <c r="L879" s="3">
        <v>38.09</v>
      </c>
      <c r="M879" s="3">
        <v>39.99</v>
      </c>
      <c r="N879" s="3">
        <v>79.99</v>
      </c>
      <c r="O879" s="2" t="s">
        <v>461</v>
      </c>
      <c r="P879" s="2" t="s">
        <v>333</v>
      </c>
      <c r="Q879" s="2" t="s">
        <v>234</v>
      </c>
      <c r="R879" s="2" t="s">
        <v>228</v>
      </c>
      <c r="S879" s="2" t="s">
        <v>4745</v>
      </c>
      <c r="T879" s="2" t="s">
        <v>415</v>
      </c>
      <c r="U879" s="2" t="s">
        <v>500</v>
      </c>
      <c r="V879" s="2" t="s">
        <v>374</v>
      </c>
      <c r="W879" s="2" t="s">
        <v>1578</v>
      </c>
      <c r="X879" s="2" t="s">
        <v>269</v>
      </c>
      <c r="Y879" s="2" t="s">
        <v>2582</v>
      </c>
      <c r="Z879" s="4">
        <v>120</v>
      </c>
      <c r="AA879" s="4">
        <f>=ROUNDDOWN(30,0)</f>
      </c>
      <c r="AB879" s="5">
        <v>4</v>
      </c>
      <c r="AC879" s="2" t="s">
        <v>228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228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228</v>
      </c>
      <c r="AW879" s="8" t="s">
        <v>228</v>
      </c>
      <c r="AX879" s="4" t="s">
        <v>228</v>
      </c>
      <c r="AY879" s="8" t="s">
        <v>228</v>
      </c>
      <c r="AZ879" s="7" t="s">
        <v>228</v>
      </c>
      <c r="BA879" s="7" t="s">
        <v>228</v>
      </c>
      <c r="BB879" s="7" t="s">
        <v>228</v>
      </c>
      <c r="BC879" s="4" t="s">
        <v>228</v>
      </c>
      <c r="BD879" s="8" t="s">
        <v>228</v>
      </c>
      <c r="BE879" s="4" t="s">
        <v>228</v>
      </c>
      <c r="BF879" s="8" t="s">
        <v>228</v>
      </c>
      <c r="BG879" s="7" t="s">
        <v>228</v>
      </c>
      <c r="BH879" s="7" t="s">
        <v>228</v>
      </c>
      <c r="BI879" s="7"/>
      <c r="BJ879" s="4">
        <v>5</v>
      </c>
      <c r="BK879" s="8">
        <v>119.02</v>
      </c>
      <c r="BL879" s="2" t="s">
        <v>4746</v>
      </c>
      <c r="BM879" s="7"/>
      <c r="BN879" s="7"/>
      <c r="BO879" s="4"/>
      <c r="BP879" s="8"/>
      <c r="BQ879" s="4"/>
      <c r="BR879" s="8"/>
      <c r="BS879" s="7"/>
      <c r="BT879" s="7"/>
      <c r="BU879" s="2" t="s">
        <v>4752</v>
      </c>
      <c r="BV879" s="2" t="s">
        <v>228</v>
      </c>
      <c r="BW879" s="2" t="s">
        <v>228</v>
      </c>
      <c r="BX879" s="2" t="s">
        <v>337</v>
      </c>
      <c r="BY879" s="2" t="s">
        <v>274</v>
      </c>
      <c r="BZ879" s="2" t="s">
        <v>240</v>
      </c>
      <c r="CA879" s="2" t="s">
        <v>3354</v>
      </c>
      <c r="CB879" s="2" t="s">
        <v>421</v>
      </c>
      <c r="CC879" s="2" t="s">
        <v>241</v>
      </c>
      <c r="CD879" s="2" t="s">
        <v>228</v>
      </c>
      <c r="CE879" s="4">
        <v>120</v>
      </c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</row>
    <row r="880">
      <c r="A880" s="2" t="s">
        <v>4753</v>
      </c>
      <c r="B880" s="2" t="s">
        <v>958</v>
      </c>
      <c r="C880" s="2" t="s">
        <v>300</v>
      </c>
      <c r="D880" s="2" t="s">
        <v>2117</v>
      </c>
      <c r="E880" s="2" t="s">
        <v>3988</v>
      </c>
      <c r="F880" s="2" t="s">
        <v>4754</v>
      </c>
      <c r="G880" s="2" t="s">
        <v>4755</v>
      </c>
      <c r="H880" s="2" t="s">
        <v>4756</v>
      </c>
      <c r="I880" s="2" t="s">
        <v>4757</v>
      </c>
      <c r="J880" s="2" t="s">
        <v>840</v>
      </c>
      <c r="K880" s="2" t="s">
        <v>2150</v>
      </c>
      <c r="L880" s="3">
        <v>234</v>
      </c>
      <c r="M880" s="3">
        <v>245.7</v>
      </c>
      <c r="N880" s="3">
        <v>499</v>
      </c>
      <c r="O880" s="2" t="s">
        <v>240</v>
      </c>
      <c r="P880" s="2" t="s">
        <v>889</v>
      </c>
      <c r="Q880" s="2" t="s">
        <v>234</v>
      </c>
      <c r="R880" s="2" t="s">
        <v>228</v>
      </c>
      <c r="S880" s="2" t="s">
        <v>4758</v>
      </c>
      <c r="T880" s="2" t="s">
        <v>228</v>
      </c>
      <c r="U880" s="2" t="s">
        <v>416</v>
      </c>
      <c r="V880" s="2" t="s">
        <v>236</v>
      </c>
      <c r="W880" s="2" t="s">
        <v>843</v>
      </c>
      <c r="X880" s="2" t="s">
        <v>228</v>
      </c>
      <c r="Y880" s="2" t="s">
        <v>270</v>
      </c>
      <c r="Z880" s="4">
        <v>118</v>
      </c>
      <c r="AA880" s="4">
        <f>=ROUNDDOWN(20,0)</f>
      </c>
      <c r="AB880" s="5">
        <v>5.9</v>
      </c>
      <c r="AC880" s="2" t="s">
        <v>213</v>
      </c>
      <c r="AD880" s="4">
        <v>95</v>
      </c>
      <c r="AE880" s="4">
        <v>95</v>
      </c>
      <c r="AF880" s="6">
        <v>66</v>
      </c>
      <c r="AG880" s="6">
        <v>49</v>
      </c>
      <c r="AH880" s="7">
        <v>1</v>
      </c>
      <c r="AI880" s="4"/>
      <c r="AJ880" s="4">
        <f>=ROUNDDOWN({0},0)</f>
      </c>
      <c r="AK880" s="5">
        <v>16.1</v>
      </c>
      <c r="AL880" s="2" t="s">
        <v>228</v>
      </c>
      <c r="AM880" s="4"/>
      <c r="AN880" s="4"/>
      <c r="AO880" s="7">
        <v>0.5484</v>
      </c>
      <c r="AP880" s="4"/>
      <c r="AQ880" s="8"/>
      <c r="AR880" s="4"/>
      <c r="AS880" s="8"/>
      <c r="AT880" s="7"/>
      <c r="AU880" s="7"/>
      <c r="AV880" s="4"/>
      <c r="AW880" s="8"/>
      <c r="AX880" s="4"/>
      <c r="AY880" s="8"/>
      <c r="AZ880" s="7"/>
      <c r="BA880" s="7"/>
      <c r="BB880" s="7"/>
      <c r="BC880" s="4"/>
      <c r="BD880" s="8"/>
      <c r="BE880" s="4"/>
      <c r="BF880" s="8"/>
      <c r="BG880" s="7"/>
      <c r="BH880" s="7"/>
      <c r="BI880" s="7"/>
      <c r="BJ880" s="4">
        <v>57</v>
      </c>
      <c r="BK880" s="8">
        <v>13014.09</v>
      </c>
      <c r="BL880" s="2" t="s">
        <v>4759</v>
      </c>
      <c r="BM880" s="7"/>
      <c r="BN880" s="7"/>
      <c r="BO880" s="4"/>
      <c r="BP880" s="8"/>
      <c r="BQ880" s="4"/>
      <c r="BR880" s="8"/>
      <c r="BS880" s="7"/>
      <c r="BT880" s="7"/>
      <c r="BU880" s="2" t="s">
        <v>4760</v>
      </c>
      <c r="BV880" s="2" t="s">
        <v>228</v>
      </c>
      <c r="BW880" s="2" t="s">
        <v>228</v>
      </c>
      <c r="BX880" s="2" t="s">
        <v>273</v>
      </c>
      <c r="BY880" s="2" t="s">
        <v>274</v>
      </c>
      <c r="BZ880" s="2" t="s">
        <v>240</v>
      </c>
      <c r="CA880" s="2" t="s">
        <v>4761</v>
      </c>
      <c r="CB880" s="2" t="s">
        <v>2020</v>
      </c>
      <c r="CC880" s="2" t="s">
        <v>241</v>
      </c>
      <c r="CD880" s="2" t="s">
        <v>228</v>
      </c>
      <c r="CE880" s="4"/>
      <c r="CF880" s="4">
        <v>118</v>
      </c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>
        <v>95</v>
      </c>
      <c r="GX880" s="4"/>
      <c r="GY880" s="4"/>
      <c r="GZ880" s="4"/>
      <c r="HA880" s="4"/>
      <c r="HB880" s="4"/>
      <c r="HC880" s="4"/>
      <c r="HD880" s="4"/>
      <c r="HE880" s="4"/>
    </row>
    <row r="881">
      <c r="A881" s="2" t="s">
        <v>4762</v>
      </c>
      <c r="B881" s="2" t="s">
        <v>223</v>
      </c>
      <c r="C881" s="2" t="s">
        <v>300</v>
      </c>
      <c r="D881" s="2" t="s">
        <v>1601</v>
      </c>
      <c r="E881" s="2" t="s">
        <v>2421</v>
      </c>
      <c r="F881" s="2" t="s">
        <v>4763</v>
      </c>
      <c r="G881" s="2" t="s">
        <v>4764</v>
      </c>
      <c r="H881" s="2" t="s">
        <v>4764</v>
      </c>
      <c r="I881" s="2" t="s">
        <v>4765</v>
      </c>
      <c r="J881" s="2" t="s">
        <v>1412</v>
      </c>
      <c r="K881" s="2" t="s">
        <v>305</v>
      </c>
      <c r="L881" s="3">
        <v>14.72</v>
      </c>
      <c r="M881" s="3">
        <v>15.46</v>
      </c>
      <c r="N881" s="3">
        <v>31.99</v>
      </c>
      <c r="O881" s="2" t="s">
        <v>240</v>
      </c>
      <c r="P881" s="2" t="s">
        <v>715</v>
      </c>
      <c r="Q881" s="2" t="s">
        <v>234</v>
      </c>
      <c r="R881" s="2" t="s">
        <v>228</v>
      </c>
      <c r="S881" s="2" t="s">
        <v>4766</v>
      </c>
      <c r="T881" s="2" t="s">
        <v>1608</v>
      </c>
      <c r="U881" s="2" t="s">
        <v>416</v>
      </c>
      <c r="V881" s="2" t="s">
        <v>236</v>
      </c>
      <c r="W881" s="2" t="s">
        <v>309</v>
      </c>
      <c r="X881" s="2" t="s">
        <v>228</v>
      </c>
      <c r="Y881" s="2" t="s">
        <v>270</v>
      </c>
      <c r="Z881" s="4">
        <v>1823</v>
      </c>
      <c r="AA881" s="4">
        <f>=ROUNDDOWN(47.9736842105263,0)</f>
      </c>
      <c r="AB881" s="5">
        <v>38</v>
      </c>
      <c r="AC881" s="2" t="s">
        <v>173</v>
      </c>
      <c r="AD881" s="4">
        <v>1000</v>
      </c>
      <c r="AE881" s="4">
        <v>1930</v>
      </c>
      <c r="AF881" s="6">
        <v>64</v>
      </c>
      <c r="AG881" s="6"/>
      <c r="AH881" s="7">
        <v>1</v>
      </c>
      <c r="AI881" s="4"/>
      <c r="AJ881" s="4">
        <f>=ROUNDDOWN({0},0)</f>
      </c>
      <c r="AK881" s="5"/>
      <c r="AL881" s="2" t="s">
        <v>228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/>
      <c r="AW881" s="8"/>
      <c r="AX881" s="4"/>
      <c r="AY881" s="8"/>
      <c r="AZ881" s="7"/>
      <c r="BA881" s="7"/>
      <c r="BB881" s="7"/>
      <c r="BC881" s="4" t="s">
        <v>228</v>
      </c>
      <c r="BD881" s="8" t="s">
        <v>228</v>
      </c>
      <c r="BE881" s="4" t="s">
        <v>228</v>
      </c>
      <c r="BF881" s="8" t="s">
        <v>228</v>
      </c>
      <c r="BG881" s="7" t="s">
        <v>228</v>
      </c>
      <c r="BH881" s="7" t="s">
        <v>228</v>
      </c>
      <c r="BI881" s="7"/>
      <c r="BJ881" s="4">
        <v>132</v>
      </c>
      <c r="BK881" s="8">
        <v>1978.35</v>
      </c>
      <c r="BL881" s="2" t="s">
        <v>4767</v>
      </c>
      <c r="BM881" s="7"/>
      <c r="BN881" s="7"/>
      <c r="BO881" s="4"/>
      <c r="BP881" s="8"/>
      <c r="BQ881" s="4"/>
      <c r="BR881" s="8"/>
      <c r="BS881" s="7"/>
      <c r="BT881" s="7"/>
      <c r="BU881" s="2" t="s">
        <v>4768</v>
      </c>
      <c r="BV881" s="2" t="s">
        <v>228</v>
      </c>
      <c r="BW881" s="2" t="s">
        <v>228</v>
      </c>
      <c r="BX881" s="2" t="s">
        <v>273</v>
      </c>
      <c r="BY881" s="2" t="s">
        <v>274</v>
      </c>
      <c r="BZ881" s="2" t="s">
        <v>240</v>
      </c>
      <c r="CA881" s="2" t="s">
        <v>275</v>
      </c>
      <c r="CB881" s="2" t="s">
        <v>1365</v>
      </c>
      <c r="CC881" s="2" t="s">
        <v>241</v>
      </c>
      <c r="CD881" s="2" t="s">
        <v>228</v>
      </c>
      <c r="CE881" s="4">
        <v>1823</v>
      </c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>
        <v>1000</v>
      </c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>
        <v>700</v>
      </c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>
        <v>230</v>
      </c>
      <c r="HE881" s="4"/>
    </row>
    <row r="882">
      <c r="A882" s="2" t="s">
        <v>4769</v>
      </c>
      <c r="B882" s="2" t="s">
        <v>223</v>
      </c>
      <c r="C882" s="2" t="s">
        <v>300</v>
      </c>
      <c r="D882" s="2" t="s">
        <v>1601</v>
      </c>
      <c r="E882" s="2" t="s">
        <v>2421</v>
      </c>
      <c r="F882" s="2" t="s">
        <v>4763</v>
      </c>
      <c r="G882" s="2" t="s">
        <v>4764</v>
      </c>
      <c r="H882" s="2" t="s">
        <v>4764</v>
      </c>
      <c r="I882" s="2" t="s">
        <v>4765</v>
      </c>
      <c r="J882" s="2" t="s">
        <v>1412</v>
      </c>
      <c r="K882" s="2" t="s">
        <v>265</v>
      </c>
      <c r="L882" s="3">
        <v>14.72</v>
      </c>
      <c r="M882" s="3">
        <v>15.46</v>
      </c>
      <c r="N882" s="3">
        <v>31.99</v>
      </c>
      <c r="O882" s="2" t="s">
        <v>240</v>
      </c>
      <c r="P882" s="2" t="s">
        <v>266</v>
      </c>
      <c r="Q882" s="2" t="s">
        <v>234</v>
      </c>
      <c r="R882" s="2" t="s">
        <v>228</v>
      </c>
      <c r="S882" s="2" t="s">
        <v>4770</v>
      </c>
      <c r="T882" s="2" t="s">
        <v>1608</v>
      </c>
      <c r="U882" s="2" t="s">
        <v>416</v>
      </c>
      <c r="V882" s="2" t="s">
        <v>236</v>
      </c>
      <c r="W882" s="2" t="s">
        <v>309</v>
      </c>
      <c r="X882" s="2" t="s">
        <v>228</v>
      </c>
      <c r="Y882" s="2" t="s">
        <v>4771</v>
      </c>
      <c r="Z882" s="4">
        <v>1427</v>
      </c>
      <c r="AA882" s="4">
        <f>=ROUNDDOWN(39.6388888888889,0)</f>
      </c>
      <c r="AB882" s="5">
        <v>36</v>
      </c>
      <c r="AC882" s="2" t="s">
        <v>168</v>
      </c>
      <c r="AD882" s="4">
        <v>480</v>
      </c>
      <c r="AE882" s="4">
        <v>1950</v>
      </c>
      <c r="AF882" s="6">
        <v>64</v>
      </c>
      <c r="AG882" s="6"/>
      <c r="AH882" s="7">
        <v>1</v>
      </c>
      <c r="AI882" s="4"/>
      <c r="AJ882" s="4">
        <f>=ROUNDDOWN({0},0)</f>
      </c>
      <c r="AK882" s="5"/>
      <c r="AL882" s="2" t="s">
        <v>228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/>
      <c r="AW882" s="8"/>
      <c r="AX882" s="4"/>
      <c r="AY882" s="8"/>
      <c r="AZ882" s="7"/>
      <c r="BA882" s="7"/>
      <c r="BB882" s="7"/>
      <c r="BC882" s="4" t="s">
        <v>228</v>
      </c>
      <c r="BD882" s="8" t="s">
        <v>228</v>
      </c>
      <c r="BE882" s="4" t="s">
        <v>228</v>
      </c>
      <c r="BF882" s="8" t="s">
        <v>228</v>
      </c>
      <c r="BG882" s="7" t="s">
        <v>228</v>
      </c>
      <c r="BH882" s="7" t="s">
        <v>228</v>
      </c>
      <c r="BI882" s="7"/>
      <c r="BJ882" s="4">
        <v>185</v>
      </c>
      <c r="BK882" s="8">
        <v>2750.91</v>
      </c>
      <c r="BL882" s="2" t="s">
        <v>4772</v>
      </c>
      <c r="BM882" s="7"/>
      <c r="BN882" s="7"/>
      <c r="BO882" s="4"/>
      <c r="BP882" s="8"/>
      <c r="BQ882" s="4"/>
      <c r="BR882" s="8"/>
      <c r="BS882" s="7"/>
      <c r="BT882" s="7"/>
      <c r="BU882" s="2" t="s">
        <v>4773</v>
      </c>
      <c r="BV882" s="2" t="s">
        <v>228</v>
      </c>
      <c r="BW882" s="2" t="s">
        <v>228</v>
      </c>
      <c r="BX882" s="2" t="s">
        <v>273</v>
      </c>
      <c r="BY882" s="2" t="s">
        <v>274</v>
      </c>
      <c r="BZ882" s="2" t="s">
        <v>240</v>
      </c>
      <c r="CA882" s="2" t="s">
        <v>4774</v>
      </c>
      <c r="CB882" s="2" t="s">
        <v>4775</v>
      </c>
      <c r="CC882" s="2" t="s">
        <v>241</v>
      </c>
      <c r="CD882" s="2" t="s">
        <v>228</v>
      </c>
      <c r="CE882" s="4">
        <v>1427</v>
      </c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>
        <v>480</v>
      </c>
      <c r="FE882" s="4"/>
      <c r="FF882" s="4"/>
      <c r="FG882" s="4"/>
      <c r="FH882" s="4"/>
      <c r="FI882" s="4">
        <v>500</v>
      </c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>
        <v>600</v>
      </c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>
        <v>370</v>
      </c>
      <c r="HE882" s="4"/>
    </row>
    <row r="883">
      <c r="A883" s="2" t="s">
        <v>4776</v>
      </c>
      <c r="B883" s="2" t="s">
        <v>223</v>
      </c>
      <c r="C883" s="2" t="s">
        <v>300</v>
      </c>
      <c r="D883" s="2" t="s">
        <v>1862</v>
      </c>
      <c r="E883" s="2" t="s">
        <v>2767</v>
      </c>
      <c r="F883" s="2" t="s">
        <v>4763</v>
      </c>
      <c r="G883" s="2" t="s">
        <v>4764</v>
      </c>
      <c r="H883" s="2" t="s">
        <v>4764</v>
      </c>
      <c r="I883" s="2" t="s">
        <v>4777</v>
      </c>
      <c r="J883" s="2" t="s">
        <v>1991</v>
      </c>
      <c r="K883" s="2" t="s">
        <v>1421</v>
      </c>
      <c r="L883" s="3">
        <v>14.86</v>
      </c>
      <c r="M883" s="3">
        <v>15.6</v>
      </c>
      <c r="N883" s="3">
        <v>34.99</v>
      </c>
      <c r="O883" s="2" t="s">
        <v>240</v>
      </c>
      <c r="P883" s="2" t="s">
        <v>715</v>
      </c>
      <c r="Q883" s="2" t="s">
        <v>234</v>
      </c>
      <c r="R883" s="2" t="s">
        <v>228</v>
      </c>
      <c r="S883" s="2" t="s">
        <v>4778</v>
      </c>
      <c r="T883" s="2" t="s">
        <v>1608</v>
      </c>
      <c r="U883" s="2" t="s">
        <v>228</v>
      </c>
      <c r="V883" s="2" t="s">
        <v>236</v>
      </c>
      <c r="W883" s="2" t="s">
        <v>309</v>
      </c>
      <c r="X883" s="2" t="s">
        <v>228</v>
      </c>
      <c r="Y883" s="2" t="s">
        <v>270</v>
      </c>
      <c r="Z883" s="4">
        <v>1521</v>
      </c>
      <c r="AA883" s="4">
        <f>=ROUNDDOWN(40.0263157894737,0)</f>
      </c>
      <c r="AB883" s="5">
        <v>38</v>
      </c>
      <c r="AC883" s="2" t="s">
        <v>209</v>
      </c>
      <c r="AD883" s="4">
        <v>800</v>
      </c>
      <c r="AE883" s="4">
        <v>800</v>
      </c>
      <c r="AF883" s="6">
        <v>64</v>
      </c>
      <c r="AG883" s="6"/>
      <c r="AH883" s="7">
        <v>1</v>
      </c>
      <c r="AI883" s="4"/>
      <c r="AJ883" s="4">
        <f>=ROUNDDOWN({0},0)</f>
      </c>
      <c r="AK883" s="5"/>
      <c r="AL883" s="2" t="s">
        <v>228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228</v>
      </c>
      <c r="AW883" s="8" t="s">
        <v>228</v>
      </c>
      <c r="AX883" s="4" t="s">
        <v>228</v>
      </c>
      <c r="AY883" s="8" t="s">
        <v>228</v>
      </c>
      <c r="AZ883" s="7" t="s">
        <v>228</v>
      </c>
      <c r="BA883" s="7" t="s">
        <v>228</v>
      </c>
      <c r="BB883" s="7"/>
      <c r="BC883" s="4" t="s">
        <v>228</v>
      </c>
      <c r="BD883" s="8" t="s">
        <v>228</v>
      </c>
      <c r="BE883" s="4" t="s">
        <v>228</v>
      </c>
      <c r="BF883" s="8" t="s">
        <v>228</v>
      </c>
      <c r="BG883" s="7" t="s">
        <v>228</v>
      </c>
      <c r="BH883" s="7" t="s">
        <v>228</v>
      </c>
      <c r="BI883" s="7"/>
      <c r="BJ883" s="4">
        <v>203</v>
      </c>
      <c r="BK883" s="8">
        <v>3077.23</v>
      </c>
      <c r="BL883" s="2" t="s">
        <v>4779</v>
      </c>
      <c r="BM883" s="7"/>
      <c r="BN883" s="7"/>
      <c r="BO883" s="4"/>
      <c r="BP883" s="8"/>
      <c r="BQ883" s="4"/>
      <c r="BR883" s="8"/>
      <c r="BS883" s="7"/>
      <c r="BT883" s="7"/>
      <c r="BU883" s="2" t="s">
        <v>4780</v>
      </c>
      <c r="BV883" s="2" t="s">
        <v>228</v>
      </c>
      <c r="BW883" s="2" t="s">
        <v>228</v>
      </c>
      <c r="BX883" s="2" t="s">
        <v>273</v>
      </c>
      <c r="BY883" s="2" t="s">
        <v>274</v>
      </c>
      <c r="BZ883" s="2" t="s">
        <v>240</v>
      </c>
      <c r="CA883" s="2" t="s">
        <v>275</v>
      </c>
      <c r="CB883" s="2" t="s">
        <v>4781</v>
      </c>
      <c r="CC883" s="2" t="s">
        <v>241</v>
      </c>
      <c r="CD883" s="2" t="s">
        <v>228</v>
      </c>
      <c r="CE883" s="4">
        <v>1521</v>
      </c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>
        <v>800</v>
      </c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</row>
    <row r="884">
      <c r="A884" s="2" t="s">
        <v>4782</v>
      </c>
      <c r="B884" s="2" t="s">
        <v>223</v>
      </c>
      <c r="C884" s="2" t="s">
        <v>300</v>
      </c>
      <c r="D884" s="2" t="s">
        <v>1601</v>
      </c>
      <c r="E884" s="2" t="s">
        <v>2421</v>
      </c>
      <c r="F884" s="2" t="s">
        <v>4763</v>
      </c>
      <c r="G884" s="2" t="s">
        <v>4764</v>
      </c>
      <c r="H884" s="2" t="s">
        <v>4764</v>
      </c>
      <c r="I884" s="2" t="s">
        <v>4765</v>
      </c>
      <c r="J884" s="2" t="s">
        <v>1412</v>
      </c>
      <c r="K884" s="2" t="s">
        <v>1421</v>
      </c>
      <c r="L884" s="3">
        <v>14.72</v>
      </c>
      <c r="M884" s="3">
        <v>15.46</v>
      </c>
      <c r="N884" s="3">
        <v>31.99</v>
      </c>
      <c r="O884" s="2" t="s">
        <v>240</v>
      </c>
      <c r="P884" s="2" t="s">
        <v>266</v>
      </c>
      <c r="Q884" s="2" t="s">
        <v>234</v>
      </c>
      <c r="R884" s="2" t="s">
        <v>228</v>
      </c>
      <c r="S884" s="2" t="s">
        <v>4778</v>
      </c>
      <c r="T884" s="2" t="s">
        <v>1608</v>
      </c>
      <c r="U884" s="2" t="s">
        <v>416</v>
      </c>
      <c r="V884" s="2" t="s">
        <v>236</v>
      </c>
      <c r="W884" s="2" t="s">
        <v>309</v>
      </c>
      <c r="X884" s="2" t="s">
        <v>228</v>
      </c>
      <c r="Y884" s="2" t="s">
        <v>270</v>
      </c>
      <c r="Z884" s="4">
        <v>1170</v>
      </c>
      <c r="AA884" s="4">
        <f>=ROUNDDOWN(41.7857142857143,0)</f>
      </c>
      <c r="AB884" s="5">
        <v>28</v>
      </c>
      <c r="AC884" s="2" t="s">
        <v>173</v>
      </c>
      <c r="AD884" s="4">
        <v>1000</v>
      </c>
      <c r="AE884" s="4">
        <v>1500</v>
      </c>
      <c r="AF884" s="6">
        <v>64</v>
      </c>
      <c r="AG884" s="6"/>
      <c r="AH884" s="7">
        <v>1</v>
      </c>
      <c r="AI884" s="4"/>
      <c r="AJ884" s="4">
        <f>=ROUNDDOWN({0},0)</f>
      </c>
      <c r="AK884" s="5"/>
      <c r="AL884" s="2" t="s">
        <v>228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228</v>
      </c>
      <c r="AW884" s="8" t="s">
        <v>228</v>
      </c>
      <c r="AX884" s="4" t="s">
        <v>228</v>
      </c>
      <c r="AY884" s="8" t="s">
        <v>228</v>
      </c>
      <c r="AZ884" s="7" t="s">
        <v>228</v>
      </c>
      <c r="BA884" s="7" t="s">
        <v>228</v>
      </c>
      <c r="BB884" s="7"/>
      <c r="BC884" s="4" t="s">
        <v>228</v>
      </c>
      <c r="BD884" s="8" t="s">
        <v>228</v>
      </c>
      <c r="BE884" s="4" t="s">
        <v>228</v>
      </c>
      <c r="BF884" s="8" t="s">
        <v>228</v>
      </c>
      <c r="BG884" s="7" t="s">
        <v>228</v>
      </c>
      <c r="BH884" s="7" t="s">
        <v>228</v>
      </c>
      <c r="BI884" s="7"/>
      <c r="BJ884" s="4">
        <v>94</v>
      </c>
      <c r="BK884" s="8">
        <v>1445.3</v>
      </c>
      <c r="BL884" s="2" t="s">
        <v>4783</v>
      </c>
      <c r="BM884" s="7"/>
      <c r="BN884" s="7"/>
      <c r="BO884" s="4"/>
      <c r="BP884" s="8"/>
      <c r="BQ884" s="4"/>
      <c r="BR884" s="8"/>
      <c r="BS884" s="7"/>
      <c r="BT884" s="7"/>
      <c r="BU884" s="2" t="s">
        <v>4784</v>
      </c>
      <c r="BV884" s="2" t="s">
        <v>228</v>
      </c>
      <c r="BW884" s="2" t="s">
        <v>228</v>
      </c>
      <c r="BX884" s="2" t="s">
        <v>273</v>
      </c>
      <c r="BY884" s="2" t="s">
        <v>274</v>
      </c>
      <c r="BZ884" s="2" t="s">
        <v>240</v>
      </c>
      <c r="CA884" s="2" t="s">
        <v>275</v>
      </c>
      <c r="CB884" s="2" t="s">
        <v>4785</v>
      </c>
      <c r="CC884" s="2" t="s">
        <v>241</v>
      </c>
      <c r="CD884" s="2" t="s">
        <v>228</v>
      </c>
      <c r="CE884" s="4">
        <v>1170</v>
      </c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>
        <v>1000</v>
      </c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>
        <v>500</v>
      </c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</row>
    <row r="885">
      <c r="A885" s="2" t="s">
        <v>4786</v>
      </c>
      <c r="B885" s="2" t="s">
        <v>223</v>
      </c>
      <c r="C885" s="2" t="s">
        <v>300</v>
      </c>
      <c r="D885" s="2" t="s">
        <v>1862</v>
      </c>
      <c r="E885" s="2" t="s">
        <v>2767</v>
      </c>
      <c r="F885" s="2" t="s">
        <v>4763</v>
      </c>
      <c r="G885" s="2" t="s">
        <v>4764</v>
      </c>
      <c r="H885" s="2" t="s">
        <v>4764</v>
      </c>
      <c r="I885" s="2" t="s">
        <v>4777</v>
      </c>
      <c r="J885" s="2" t="s">
        <v>1991</v>
      </c>
      <c r="K885" s="2" t="s">
        <v>249</v>
      </c>
      <c r="L885" s="3">
        <v>14.86</v>
      </c>
      <c r="M885" s="3">
        <v>15.6</v>
      </c>
      <c r="N885" s="3">
        <v>34.99</v>
      </c>
      <c r="O885" s="2" t="s">
        <v>240</v>
      </c>
      <c r="P885" s="2" t="s">
        <v>715</v>
      </c>
      <c r="Q885" s="2" t="s">
        <v>234</v>
      </c>
      <c r="R885" s="2" t="s">
        <v>228</v>
      </c>
      <c r="S885" s="2" t="s">
        <v>4787</v>
      </c>
      <c r="T885" s="2" t="s">
        <v>1608</v>
      </c>
      <c r="U885" s="2" t="s">
        <v>228</v>
      </c>
      <c r="V885" s="2" t="s">
        <v>236</v>
      </c>
      <c r="W885" s="2" t="s">
        <v>309</v>
      </c>
      <c r="X885" s="2" t="s">
        <v>228</v>
      </c>
      <c r="Y885" s="2" t="s">
        <v>270</v>
      </c>
      <c r="Z885" s="4">
        <v>1616</v>
      </c>
      <c r="AA885" s="4">
        <f>=ROUNDDOWN(32.9795918367347,0)</f>
      </c>
      <c r="AB885" s="5">
        <v>49</v>
      </c>
      <c r="AC885" s="2" t="s">
        <v>197</v>
      </c>
      <c r="AD885" s="4">
        <v>300</v>
      </c>
      <c r="AE885" s="4">
        <v>1600</v>
      </c>
      <c r="AF885" s="6">
        <v>64</v>
      </c>
      <c r="AG885" s="6"/>
      <c r="AH885" s="7">
        <v>1</v>
      </c>
      <c r="AI885" s="4"/>
      <c r="AJ885" s="4">
        <f>=ROUNDDOWN({0},0)</f>
      </c>
      <c r="AK885" s="5"/>
      <c r="AL885" s="2" t="s">
        <v>228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228</v>
      </c>
      <c r="AW885" s="8" t="s">
        <v>228</v>
      </c>
      <c r="AX885" s="4" t="s">
        <v>228</v>
      </c>
      <c r="AY885" s="8" t="s">
        <v>228</v>
      </c>
      <c r="AZ885" s="7" t="s">
        <v>228</v>
      </c>
      <c r="BA885" s="7" t="s">
        <v>228</v>
      </c>
      <c r="BB885" s="7"/>
      <c r="BC885" s="4" t="s">
        <v>228</v>
      </c>
      <c r="BD885" s="8" t="s">
        <v>228</v>
      </c>
      <c r="BE885" s="4" t="s">
        <v>228</v>
      </c>
      <c r="BF885" s="8" t="s">
        <v>228</v>
      </c>
      <c r="BG885" s="7" t="s">
        <v>228</v>
      </c>
      <c r="BH885" s="7" t="s">
        <v>228</v>
      </c>
      <c r="BI885" s="7"/>
      <c r="BJ885" s="4">
        <v>282</v>
      </c>
      <c r="BK885" s="8">
        <v>4263.12</v>
      </c>
      <c r="BL885" s="2" t="s">
        <v>4788</v>
      </c>
      <c r="BM885" s="7"/>
      <c r="BN885" s="7"/>
      <c r="BO885" s="4"/>
      <c r="BP885" s="8"/>
      <c r="BQ885" s="4"/>
      <c r="BR885" s="8"/>
      <c r="BS885" s="7"/>
      <c r="BT885" s="7"/>
      <c r="BU885" s="2" t="s">
        <v>4789</v>
      </c>
      <c r="BV885" s="2" t="s">
        <v>228</v>
      </c>
      <c r="BW885" s="2" t="s">
        <v>228</v>
      </c>
      <c r="BX885" s="2" t="s">
        <v>273</v>
      </c>
      <c r="BY885" s="2" t="s">
        <v>274</v>
      </c>
      <c r="BZ885" s="2" t="s">
        <v>240</v>
      </c>
      <c r="CA885" s="2" t="s">
        <v>275</v>
      </c>
      <c r="CB885" s="2" t="s">
        <v>443</v>
      </c>
      <c r="CC885" s="2" t="s">
        <v>241</v>
      </c>
      <c r="CD885" s="2" t="s">
        <v>228</v>
      </c>
      <c r="CE885" s="4">
        <v>1616</v>
      </c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>
        <v>300</v>
      </c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>
        <v>1300</v>
      </c>
      <c r="HA885" s="4"/>
      <c r="HB885" s="4"/>
      <c r="HC885" s="4"/>
      <c r="HD885" s="4"/>
      <c r="HE885" s="4"/>
    </row>
    <row r="886">
      <c r="A886" s="2" t="s">
        <v>4790</v>
      </c>
      <c r="B886" s="2" t="s">
        <v>223</v>
      </c>
      <c r="C886" s="2" t="s">
        <v>300</v>
      </c>
      <c r="D886" s="2" t="s">
        <v>1601</v>
      </c>
      <c r="E886" s="2" t="s">
        <v>2421</v>
      </c>
      <c r="F886" s="2" t="s">
        <v>4763</v>
      </c>
      <c r="G886" s="2" t="s">
        <v>4764</v>
      </c>
      <c r="H886" s="2" t="s">
        <v>4764</v>
      </c>
      <c r="I886" s="2" t="s">
        <v>4765</v>
      </c>
      <c r="J886" s="2" t="s">
        <v>1412</v>
      </c>
      <c r="K886" s="2" t="s">
        <v>249</v>
      </c>
      <c r="L886" s="3">
        <v>14.72</v>
      </c>
      <c r="M886" s="3">
        <v>15.46</v>
      </c>
      <c r="N886" s="3">
        <v>31.99</v>
      </c>
      <c r="O886" s="2" t="s">
        <v>240</v>
      </c>
      <c r="P886" s="2" t="s">
        <v>266</v>
      </c>
      <c r="Q886" s="2" t="s">
        <v>234</v>
      </c>
      <c r="R886" s="2" t="s">
        <v>228</v>
      </c>
      <c r="S886" s="2" t="s">
        <v>4787</v>
      </c>
      <c r="T886" s="2" t="s">
        <v>1608</v>
      </c>
      <c r="U886" s="2" t="s">
        <v>416</v>
      </c>
      <c r="V886" s="2" t="s">
        <v>236</v>
      </c>
      <c r="W886" s="2" t="s">
        <v>309</v>
      </c>
      <c r="X886" s="2" t="s">
        <v>228</v>
      </c>
      <c r="Y886" s="2" t="s">
        <v>270</v>
      </c>
      <c r="Z886" s="4">
        <v>828</v>
      </c>
      <c r="AA886" s="4">
        <f>=ROUNDDOWN(23.6571428571429,0)</f>
      </c>
      <c r="AB886" s="5">
        <v>35</v>
      </c>
      <c r="AC886" s="2" t="s">
        <v>173</v>
      </c>
      <c r="AD886" s="4">
        <v>2000</v>
      </c>
      <c r="AE886" s="4">
        <v>2910</v>
      </c>
      <c r="AF886" s="6">
        <v>64</v>
      </c>
      <c r="AG886" s="6"/>
      <c r="AH886" s="7">
        <v>1</v>
      </c>
      <c r="AI886" s="4"/>
      <c r="AJ886" s="4">
        <f>=ROUNDDOWN({0},0)</f>
      </c>
      <c r="AK886" s="5"/>
      <c r="AL886" s="2" t="s">
        <v>228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228</v>
      </c>
      <c r="AW886" s="8" t="s">
        <v>228</v>
      </c>
      <c r="AX886" s="4" t="s">
        <v>228</v>
      </c>
      <c r="AY886" s="8" t="s">
        <v>228</v>
      </c>
      <c r="AZ886" s="7" t="s">
        <v>228</v>
      </c>
      <c r="BA886" s="7" t="s">
        <v>228</v>
      </c>
      <c r="BB886" s="7"/>
      <c r="BC886" s="4" t="s">
        <v>228</v>
      </c>
      <c r="BD886" s="8" t="s">
        <v>228</v>
      </c>
      <c r="BE886" s="4" t="s">
        <v>228</v>
      </c>
      <c r="BF886" s="8" t="s">
        <v>228</v>
      </c>
      <c r="BG886" s="7" t="s">
        <v>228</v>
      </c>
      <c r="BH886" s="7" t="s">
        <v>228</v>
      </c>
      <c r="BI886" s="7"/>
      <c r="BJ886" s="4">
        <v>120</v>
      </c>
      <c r="BK886" s="8">
        <v>1803.69</v>
      </c>
      <c r="BL886" s="2" t="s">
        <v>4767</v>
      </c>
      <c r="BM886" s="7"/>
      <c r="BN886" s="7"/>
      <c r="BO886" s="4"/>
      <c r="BP886" s="8"/>
      <c r="BQ886" s="4"/>
      <c r="BR886" s="8"/>
      <c r="BS886" s="7"/>
      <c r="BT886" s="7"/>
      <c r="BU886" s="2" t="s">
        <v>4791</v>
      </c>
      <c r="BV886" s="2" t="s">
        <v>228</v>
      </c>
      <c r="BW886" s="2" t="s">
        <v>228</v>
      </c>
      <c r="BX886" s="2" t="s">
        <v>273</v>
      </c>
      <c r="BY886" s="2" t="s">
        <v>274</v>
      </c>
      <c r="BZ886" s="2" t="s">
        <v>240</v>
      </c>
      <c r="CA886" s="2" t="s">
        <v>275</v>
      </c>
      <c r="CB886" s="2" t="s">
        <v>4792</v>
      </c>
      <c r="CC886" s="2" t="s">
        <v>241</v>
      </c>
      <c r="CD886" s="2" t="s">
        <v>228</v>
      </c>
      <c r="CE886" s="4">
        <v>828</v>
      </c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>
        <v>2000</v>
      </c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>
        <v>500</v>
      </c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>
        <v>410</v>
      </c>
      <c r="HE886" s="4"/>
    </row>
    <row r="887">
      <c r="A887" s="2" t="s">
        <v>4793</v>
      </c>
      <c r="B887" s="2" t="s">
        <v>223</v>
      </c>
      <c r="C887" s="2" t="s">
        <v>300</v>
      </c>
      <c r="D887" s="2" t="s">
        <v>1601</v>
      </c>
      <c r="E887" s="2" t="s">
        <v>2421</v>
      </c>
      <c r="F887" s="2" t="s">
        <v>4763</v>
      </c>
      <c r="G887" s="2" t="s">
        <v>4764</v>
      </c>
      <c r="H887" s="2" t="s">
        <v>4764</v>
      </c>
      <c r="I887" s="2" t="s">
        <v>4765</v>
      </c>
      <c r="J887" s="2" t="s">
        <v>1412</v>
      </c>
      <c r="K887" s="2" t="s">
        <v>480</v>
      </c>
      <c r="L887" s="3">
        <v>14.72</v>
      </c>
      <c r="M887" s="3">
        <v>15.46</v>
      </c>
      <c r="N887" s="3">
        <v>31.99</v>
      </c>
      <c r="O887" s="2" t="s">
        <v>240</v>
      </c>
      <c r="P887" s="2" t="s">
        <v>889</v>
      </c>
      <c r="Q887" s="2" t="s">
        <v>234</v>
      </c>
      <c r="R887" s="2" t="s">
        <v>228</v>
      </c>
      <c r="S887" s="2" t="s">
        <v>4794</v>
      </c>
      <c r="T887" s="2" t="s">
        <v>1608</v>
      </c>
      <c r="U887" s="2" t="s">
        <v>416</v>
      </c>
      <c r="V887" s="2" t="s">
        <v>236</v>
      </c>
      <c r="W887" s="2" t="s">
        <v>309</v>
      </c>
      <c r="X887" s="2" t="s">
        <v>228</v>
      </c>
      <c r="Y887" s="2" t="s">
        <v>270</v>
      </c>
      <c r="Z887" s="4">
        <v>526</v>
      </c>
      <c r="AA887" s="4">
        <f>=ROUNDDOWN(10.9583333333333,0)</f>
      </c>
      <c r="AB887" s="5">
        <v>48</v>
      </c>
      <c r="AC887" s="2" t="s">
        <v>3603</v>
      </c>
      <c r="AD887" s="4">
        <v>500</v>
      </c>
      <c r="AE887" s="4">
        <v>4180</v>
      </c>
      <c r="AF887" s="6">
        <v>64</v>
      </c>
      <c r="AG887" s="6"/>
      <c r="AH887" s="7">
        <v>1</v>
      </c>
      <c r="AI887" s="4"/>
      <c r="AJ887" s="4">
        <f>=ROUNDDOWN({0},0)</f>
      </c>
      <c r="AK887" s="5"/>
      <c r="AL887" s="2" t="s">
        <v>228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/>
      <c r="AW887" s="8"/>
      <c r="AX887" s="4"/>
      <c r="AY887" s="8"/>
      <c r="AZ887" s="7"/>
      <c r="BA887" s="7"/>
      <c r="BB887" s="7"/>
      <c r="BC887" s="4" t="s">
        <v>228</v>
      </c>
      <c r="BD887" s="8" t="s">
        <v>228</v>
      </c>
      <c r="BE887" s="4" t="s">
        <v>228</v>
      </c>
      <c r="BF887" s="8" t="s">
        <v>228</v>
      </c>
      <c r="BG887" s="7" t="s">
        <v>228</v>
      </c>
      <c r="BH887" s="7" t="s">
        <v>228</v>
      </c>
      <c r="BI887" s="7"/>
      <c r="BJ887" s="4">
        <v>134</v>
      </c>
      <c r="BK887" s="8">
        <v>1999.07</v>
      </c>
      <c r="BL887" s="2" t="s">
        <v>4795</v>
      </c>
      <c r="BM887" s="7"/>
      <c r="BN887" s="7"/>
      <c r="BO887" s="4"/>
      <c r="BP887" s="8"/>
      <c r="BQ887" s="4"/>
      <c r="BR887" s="8"/>
      <c r="BS887" s="7"/>
      <c r="BT887" s="7"/>
      <c r="BU887" s="2" t="s">
        <v>4796</v>
      </c>
      <c r="BV887" s="2" t="s">
        <v>228</v>
      </c>
      <c r="BW887" s="2" t="s">
        <v>228</v>
      </c>
      <c r="BX887" s="2" t="s">
        <v>273</v>
      </c>
      <c r="BY887" s="2" t="s">
        <v>274</v>
      </c>
      <c r="BZ887" s="2" t="s">
        <v>240</v>
      </c>
      <c r="CA887" s="2" t="s">
        <v>275</v>
      </c>
      <c r="CB887" s="2" t="s">
        <v>4785</v>
      </c>
      <c r="CC887" s="2" t="s">
        <v>241</v>
      </c>
      <c r="CD887" s="2" t="s">
        <v>228</v>
      </c>
      <c r="CE887" s="4">
        <v>526</v>
      </c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>
        <v>500</v>
      </c>
      <c r="CY887" s="4"/>
      <c r="CZ887" s="4"/>
      <c r="DA887" s="4">
        <v>440</v>
      </c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>
        <v>790</v>
      </c>
      <c r="FE887" s="4"/>
      <c r="FF887" s="4"/>
      <c r="FG887" s="4"/>
      <c r="FH887" s="4"/>
      <c r="FI887" s="4">
        <v>1500</v>
      </c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>
        <v>700</v>
      </c>
      <c r="GX887" s="4"/>
      <c r="GY887" s="4"/>
      <c r="GZ887" s="4"/>
      <c r="HA887" s="4"/>
      <c r="HB887" s="4"/>
      <c r="HC887" s="4"/>
      <c r="HD887" s="4">
        <v>250</v>
      </c>
      <c r="HE887" s="4"/>
    </row>
    <row r="888">
      <c r="A888" s="2" t="s">
        <v>4797</v>
      </c>
      <c r="B888" s="2" t="s">
        <v>848</v>
      </c>
      <c r="C888" s="2" t="s">
        <v>1037</v>
      </c>
      <c r="D888" s="2" t="s">
        <v>1316</v>
      </c>
      <c r="E888" s="2" t="s">
        <v>1317</v>
      </c>
      <c r="F888" s="2" t="s">
        <v>4798</v>
      </c>
      <c r="G888" s="2" t="s">
        <v>4799</v>
      </c>
      <c r="H888" s="2" t="s">
        <v>4800</v>
      </c>
      <c r="I888" s="2" t="s">
        <v>4801</v>
      </c>
      <c r="J888" s="2" t="s">
        <v>1189</v>
      </c>
      <c r="K888" s="2" t="s">
        <v>231</v>
      </c>
      <c r="L888" s="3">
        <v>33.33</v>
      </c>
      <c r="M888" s="3">
        <v>35</v>
      </c>
      <c r="N888" s="3">
        <v>69.99</v>
      </c>
      <c r="O888" s="2" t="s">
        <v>240</v>
      </c>
      <c r="P888" s="2" t="s">
        <v>233</v>
      </c>
      <c r="Q888" s="2" t="s">
        <v>234</v>
      </c>
      <c r="R888" s="2" t="s">
        <v>228</v>
      </c>
      <c r="S888" s="2" t="s">
        <v>4802</v>
      </c>
      <c r="T888" s="2" t="s">
        <v>1414</v>
      </c>
      <c r="U888" s="2" t="s">
        <v>500</v>
      </c>
      <c r="V888" s="2" t="s">
        <v>236</v>
      </c>
      <c r="W888" s="2" t="s">
        <v>269</v>
      </c>
      <c r="X888" s="2" t="s">
        <v>463</v>
      </c>
      <c r="Y888" s="2" t="s">
        <v>2490</v>
      </c>
      <c r="Z888" s="4">
        <v>301</v>
      </c>
      <c r="AA888" s="4">
        <f>=ROUNDDOWN(37.625,0)</f>
      </c>
      <c r="AB888" s="5">
        <v>8</v>
      </c>
      <c r="AC888" s="2" t="s">
        <v>228</v>
      </c>
      <c r="AD888" s="4"/>
      <c r="AE888" s="4"/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228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228</v>
      </c>
      <c r="AW888" s="8" t="s">
        <v>228</v>
      </c>
      <c r="AX888" s="4" t="s">
        <v>228</v>
      </c>
      <c r="AY888" s="8" t="s">
        <v>228</v>
      </c>
      <c r="AZ888" s="7" t="s">
        <v>228</v>
      </c>
      <c r="BA888" s="7" t="s">
        <v>228</v>
      </c>
      <c r="BB888" s="7"/>
      <c r="BC888" s="4" t="s">
        <v>228</v>
      </c>
      <c r="BD888" s="8" t="s">
        <v>228</v>
      </c>
      <c r="BE888" s="4" t="s">
        <v>228</v>
      </c>
      <c r="BF888" s="8" t="s">
        <v>228</v>
      </c>
      <c r="BG888" s="7" t="s">
        <v>228</v>
      </c>
      <c r="BH888" s="7" t="s">
        <v>228</v>
      </c>
      <c r="BI888" s="7"/>
      <c r="BJ888" s="4">
        <v>19</v>
      </c>
      <c r="BK888" s="8">
        <v>707.7</v>
      </c>
      <c r="BL888" s="2" t="s">
        <v>3646</v>
      </c>
      <c r="BM888" s="7"/>
      <c r="BN888" s="7"/>
      <c r="BO888" s="4"/>
      <c r="BP888" s="8"/>
      <c r="BQ888" s="4"/>
      <c r="BR888" s="8"/>
      <c r="BS888" s="7"/>
      <c r="BT888" s="7"/>
      <c r="BU888" s="2" t="s">
        <v>4803</v>
      </c>
      <c r="BV888" s="2" t="s">
        <v>228</v>
      </c>
      <c r="BW888" s="2" t="s">
        <v>228</v>
      </c>
      <c r="BX888" s="2" t="s">
        <v>273</v>
      </c>
      <c r="BY888" s="2" t="s">
        <v>274</v>
      </c>
      <c r="BZ888" s="2" t="s">
        <v>240</v>
      </c>
      <c r="CA888" s="2" t="s">
        <v>2983</v>
      </c>
      <c r="CB888" s="2" t="s">
        <v>3133</v>
      </c>
      <c r="CC888" s="2" t="s">
        <v>241</v>
      </c>
      <c r="CD888" s="2" t="s">
        <v>228</v>
      </c>
      <c r="CE888" s="4">
        <v>301</v>
      </c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</row>
    <row r="889">
      <c r="A889" s="2" t="s">
        <v>4804</v>
      </c>
      <c r="B889" s="2" t="s">
        <v>848</v>
      </c>
      <c r="C889" s="2" t="s">
        <v>1037</v>
      </c>
      <c r="D889" s="2" t="s">
        <v>1316</v>
      </c>
      <c r="E889" s="2" t="s">
        <v>1317</v>
      </c>
      <c r="F889" s="2" t="s">
        <v>4798</v>
      </c>
      <c r="G889" s="2" t="s">
        <v>4799</v>
      </c>
      <c r="H889" s="2" t="s">
        <v>4800</v>
      </c>
      <c r="I889" s="2" t="s">
        <v>4801</v>
      </c>
      <c r="J889" s="2" t="s">
        <v>1043</v>
      </c>
      <c r="K889" s="2" t="s">
        <v>231</v>
      </c>
      <c r="L889" s="3">
        <v>38.09</v>
      </c>
      <c r="M889" s="3">
        <v>39.99</v>
      </c>
      <c r="N889" s="3">
        <v>79.99</v>
      </c>
      <c r="O889" s="2" t="s">
        <v>240</v>
      </c>
      <c r="P889" s="2" t="s">
        <v>233</v>
      </c>
      <c r="Q889" s="2" t="s">
        <v>234</v>
      </c>
      <c r="R889" s="2" t="s">
        <v>228</v>
      </c>
      <c r="S889" s="2" t="s">
        <v>4802</v>
      </c>
      <c r="T889" s="2" t="s">
        <v>1414</v>
      </c>
      <c r="U889" s="2" t="s">
        <v>500</v>
      </c>
      <c r="V889" s="2" t="s">
        <v>236</v>
      </c>
      <c r="W889" s="2" t="s">
        <v>269</v>
      </c>
      <c r="X889" s="2" t="s">
        <v>463</v>
      </c>
      <c r="Y889" s="2" t="s">
        <v>2490</v>
      </c>
      <c r="Z889" s="4">
        <v>361</v>
      </c>
      <c r="AA889" s="4">
        <f>=ROUNDDOWN(40.1111111111111,0)</f>
      </c>
      <c r="AB889" s="5">
        <v>9</v>
      </c>
      <c r="AC889" s="2" t="s">
        <v>228</v>
      </c>
      <c r="AD889" s="4"/>
      <c r="AE889" s="4"/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228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228</v>
      </c>
      <c r="AW889" s="8" t="s">
        <v>228</v>
      </c>
      <c r="AX889" s="4" t="s">
        <v>228</v>
      </c>
      <c r="AY889" s="8" t="s">
        <v>228</v>
      </c>
      <c r="AZ889" s="7" t="s">
        <v>228</v>
      </c>
      <c r="BA889" s="7" t="s">
        <v>228</v>
      </c>
      <c r="BB889" s="7"/>
      <c r="BC889" s="4" t="s">
        <v>228</v>
      </c>
      <c r="BD889" s="8" t="s">
        <v>228</v>
      </c>
      <c r="BE889" s="4" t="s">
        <v>228</v>
      </c>
      <c r="BF889" s="8" t="s">
        <v>228</v>
      </c>
      <c r="BG889" s="7" t="s">
        <v>228</v>
      </c>
      <c r="BH889" s="7" t="s">
        <v>228</v>
      </c>
      <c r="BI889" s="7"/>
      <c r="BJ889" s="4">
        <v>28</v>
      </c>
      <c r="BK889" s="8">
        <v>1193.74</v>
      </c>
      <c r="BL889" s="2" t="s">
        <v>4805</v>
      </c>
      <c r="BM889" s="7"/>
      <c r="BN889" s="7"/>
      <c r="BO889" s="4"/>
      <c r="BP889" s="8"/>
      <c r="BQ889" s="4"/>
      <c r="BR889" s="8"/>
      <c r="BS889" s="7"/>
      <c r="BT889" s="7"/>
      <c r="BU889" s="2" t="s">
        <v>4806</v>
      </c>
      <c r="BV889" s="2" t="s">
        <v>228</v>
      </c>
      <c r="BW889" s="2" t="s">
        <v>228</v>
      </c>
      <c r="BX889" s="2" t="s">
        <v>273</v>
      </c>
      <c r="BY889" s="2" t="s">
        <v>274</v>
      </c>
      <c r="BZ889" s="2" t="s">
        <v>240</v>
      </c>
      <c r="CA889" s="2" t="s">
        <v>2983</v>
      </c>
      <c r="CB889" s="2" t="s">
        <v>228</v>
      </c>
      <c r="CC889" s="2" t="s">
        <v>241</v>
      </c>
      <c r="CD889" s="2" t="s">
        <v>228</v>
      </c>
      <c r="CE889" s="4">
        <v>361</v>
      </c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</row>
    <row r="890">
      <c r="A890" s="2" t="s">
        <v>4807</v>
      </c>
      <c r="B890" s="2" t="s">
        <v>848</v>
      </c>
      <c r="C890" s="2" t="s">
        <v>1037</v>
      </c>
      <c r="D890" s="2" t="s">
        <v>1316</v>
      </c>
      <c r="E890" s="2" t="s">
        <v>1317</v>
      </c>
      <c r="F890" s="2" t="s">
        <v>4798</v>
      </c>
      <c r="G890" s="2" t="s">
        <v>4799</v>
      </c>
      <c r="H890" s="2" t="s">
        <v>4800</v>
      </c>
      <c r="I890" s="2" t="s">
        <v>4801</v>
      </c>
      <c r="J890" s="2" t="s">
        <v>1043</v>
      </c>
      <c r="K890" s="2" t="s">
        <v>1357</v>
      </c>
      <c r="L890" s="3">
        <v>38.09</v>
      </c>
      <c r="M890" s="3">
        <v>39.99</v>
      </c>
      <c r="N890" s="3">
        <v>79.99</v>
      </c>
      <c r="O890" s="2" t="s">
        <v>240</v>
      </c>
      <c r="P890" s="2" t="s">
        <v>233</v>
      </c>
      <c r="Q890" s="2" t="s">
        <v>234</v>
      </c>
      <c r="R890" s="2" t="s">
        <v>228</v>
      </c>
      <c r="S890" s="2" t="s">
        <v>4808</v>
      </c>
      <c r="T890" s="2" t="s">
        <v>1414</v>
      </c>
      <c r="U890" s="2" t="s">
        <v>500</v>
      </c>
      <c r="V890" s="2" t="s">
        <v>236</v>
      </c>
      <c r="W890" s="2" t="s">
        <v>269</v>
      </c>
      <c r="X890" s="2" t="s">
        <v>463</v>
      </c>
      <c r="Y890" s="2" t="s">
        <v>2490</v>
      </c>
      <c r="Z890" s="4">
        <v>334</v>
      </c>
      <c r="AA890" s="4">
        <f>=ROUNDDOWN(27.8333333333333,0)</f>
      </c>
      <c r="AB890" s="5">
        <v>12</v>
      </c>
      <c r="AC890" s="2" t="s">
        <v>228</v>
      </c>
      <c r="AD890" s="4"/>
      <c r="AE890" s="4"/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228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/>
      <c r="AW890" s="8"/>
      <c r="AX890" s="4"/>
      <c r="AY890" s="8"/>
      <c r="AZ890" s="7"/>
      <c r="BA890" s="7"/>
      <c r="BB890" s="7"/>
      <c r="BC890" s="4" t="s">
        <v>228</v>
      </c>
      <c r="BD890" s="8" t="s">
        <v>228</v>
      </c>
      <c r="BE890" s="4" t="s">
        <v>228</v>
      </c>
      <c r="BF890" s="8" t="s">
        <v>228</v>
      </c>
      <c r="BG890" s="7" t="s">
        <v>228</v>
      </c>
      <c r="BH890" s="7" t="s">
        <v>228</v>
      </c>
      <c r="BI890" s="7"/>
      <c r="BJ890" s="4">
        <v>45</v>
      </c>
      <c r="BK890" s="8">
        <v>1969.61</v>
      </c>
      <c r="BL890" s="2" t="s">
        <v>4809</v>
      </c>
      <c r="BM890" s="7"/>
      <c r="BN890" s="7"/>
      <c r="BO890" s="4"/>
      <c r="BP890" s="8"/>
      <c r="BQ890" s="4"/>
      <c r="BR890" s="8"/>
      <c r="BS890" s="7"/>
      <c r="BT890" s="7"/>
      <c r="BU890" s="2" t="s">
        <v>4810</v>
      </c>
      <c r="BV890" s="2" t="s">
        <v>228</v>
      </c>
      <c r="BW890" s="2" t="s">
        <v>228</v>
      </c>
      <c r="BX890" s="2" t="s">
        <v>273</v>
      </c>
      <c r="BY890" s="2" t="s">
        <v>274</v>
      </c>
      <c r="BZ890" s="2" t="s">
        <v>240</v>
      </c>
      <c r="CA890" s="2" t="s">
        <v>2983</v>
      </c>
      <c r="CB890" s="2" t="s">
        <v>228</v>
      </c>
      <c r="CC890" s="2" t="s">
        <v>241</v>
      </c>
      <c r="CD890" s="2" t="s">
        <v>228</v>
      </c>
      <c r="CE890" s="4">
        <v>334</v>
      </c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</row>
    <row r="891">
      <c r="A891" s="2" t="s">
        <v>4811</v>
      </c>
      <c r="B891" s="2" t="s">
        <v>2841</v>
      </c>
      <c r="C891" s="2" t="s">
        <v>1197</v>
      </c>
      <c r="D891" s="2" t="s">
        <v>2842</v>
      </c>
      <c r="E891" s="2" t="s">
        <v>2843</v>
      </c>
      <c r="F891" s="2" t="s">
        <v>4812</v>
      </c>
      <c r="G891" s="2" t="s">
        <v>4812</v>
      </c>
      <c r="H891" s="2" t="s">
        <v>4812</v>
      </c>
      <c r="I891" s="2" t="s">
        <v>4813</v>
      </c>
      <c r="J891" s="2" t="s">
        <v>4814</v>
      </c>
      <c r="K891" s="2" t="s">
        <v>305</v>
      </c>
      <c r="L891" s="3">
        <v>6</v>
      </c>
      <c r="M891" s="3">
        <v>6.3</v>
      </c>
      <c r="N891" s="3">
        <v>7.49</v>
      </c>
      <c r="O891" s="2" t="s">
        <v>491</v>
      </c>
      <c r="P891" s="2" t="s">
        <v>1116</v>
      </c>
      <c r="Q891" s="2" t="s">
        <v>234</v>
      </c>
      <c r="R891" s="2" t="s">
        <v>727</v>
      </c>
      <c r="S891" s="2" t="s">
        <v>228</v>
      </c>
      <c r="T891" s="2" t="s">
        <v>228</v>
      </c>
      <c r="U891" s="2" t="s">
        <v>228</v>
      </c>
      <c r="V891" s="2" t="s">
        <v>842</v>
      </c>
      <c r="W891" s="2" t="s">
        <v>228</v>
      </c>
      <c r="X891" s="2" t="s">
        <v>228</v>
      </c>
      <c r="Y891" s="2" t="s">
        <v>2523</v>
      </c>
      <c r="Z891" s="4">
        <v>90</v>
      </c>
      <c r="AA891" s="4">
        <f>=ROUNDDOWN(33.3333333333333,0)</f>
      </c>
      <c r="AB891" s="5">
        <v>2.7</v>
      </c>
      <c r="AC891" s="2" t="s">
        <v>228</v>
      </c>
      <c r="AD891" s="4"/>
      <c r="AE891" s="4"/>
      <c r="AF891" s="6"/>
      <c r="AG891" s="6">
        <v>47</v>
      </c>
      <c r="AH891" s="7">
        <v>0.9355</v>
      </c>
      <c r="AI891" s="4"/>
      <c r="AJ891" s="4">
        <f>=ROUNDDOWN({0},0)</f>
      </c>
      <c r="AK891" s="5"/>
      <c r="AL891" s="2" t="s">
        <v>228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/>
      <c r="AW891" s="8"/>
      <c r="AX891" s="4"/>
      <c r="AY891" s="8"/>
      <c r="AZ891" s="7"/>
      <c r="BA891" s="7"/>
      <c r="BB891" s="7"/>
      <c r="BC891" s="4"/>
      <c r="BD891" s="8"/>
      <c r="BE891" s="4"/>
      <c r="BF891" s="8"/>
      <c r="BG891" s="7"/>
      <c r="BH891" s="7"/>
      <c r="BI891" s="7"/>
      <c r="BJ891" s="4">
        <v>12</v>
      </c>
      <c r="BK891" s="8">
        <v>67.92</v>
      </c>
      <c r="BL891" s="2" t="s">
        <v>699</v>
      </c>
      <c r="BM891" s="7"/>
      <c r="BN891" s="7"/>
      <c r="BO891" s="4"/>
      <c r="BP891" s="8"/>
      <c r="BQ891" s="4"/>
      <c r="BR891" s="8"/>
      <c r="BS891" s="7"/>
      <c r="BT891" s="7"/>
      <c r="BU891" s="2" t="s">
        <v>4815</v>
      </c>
      <c r="BV891" s="2" t="s">
        <v>228</v>
      </c>
      <c r="BW891" s="2" t="s">
        <v>228</v>
      </c>
      <c r="BX891" s="2" t="s">
        <v>273</v>
      </c>
      <c r="BY891" s="2" t="s">
        <v>274</v>
      </c>
      <c r="BZ891" s="2" t="s">
        <v>240</v>
      </c>
      <c r="CA891" s="2" t="s">
        <v>228</v>
      </c>
      <c r="CB891" s="2" t="s">
        <v>228</v>
      </c>
      <c r="CC891" s="2" t="s">
        <v>241</v>
      </c>
      <c r="CD891" s="2" t="s">
        <v>228</v>
      </c>
      <c r="CE891" s="4"/>
      <c r="CF891" s="4">
        <v>90</v>
      </c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</row>
    <row r="892">
      <c r="A892" s="2" t="s">
        <v>4816</v>
      </c>
      <c r="B892" s="2" t="s">
        <v>970</v>
      </c>
      <c r="C892" s="2" t="s">
        <v>300</v>
      </c>
      <c r="D892" s="2" t="s">
        <v>971</v>
      </c>
      <c r="E892" s="2" t="s">
        <v>3486</v>
      </c>
      <c r="F892" s="2" t="s">
        <v>4817</v>
      </c>
      <c r="G892" s="2" t="s">
        <v>4818</v>
      </c>
      <c r="H892" s="2" t="s">
        <v>4819</v>
      </c>
      <c r="I892" s="2" t="s">
        <v>4820</v>
      </c>
      <c r="J892" s="2" t="s">
        <v>3491</v>
      </c>
      <c r="K892" s="2" t="s">
        <v>4821</v>
      </c>
      <c r="L892" s="3">
        <v>23.2</v>
      </c>
      <c r="M892" s="3">
        <v>24.36</v>
      </c>
      <c r="N892" s="3">
        <v>54.99</v>
      </c>
      <c r="O892" s="2" t="s">
        <v>240</v>
      </c>
      <c r="P892" s="2" t="s">
        <v>266</v>
      </c>
      <c r="Q892" s="2" t="s">
        <v>234</v>
      </c>
      <c r="R892" s="2" t="s">
        <v>228</v>
      </c>
      <c r="S892" s="2" t="s">
        <v>4822</v>
      </c>
      <c r="T892" s="2" t="s">
        <v>4823</v>
      </c>
      <c r="U892" s="2" t="s">
        <v>416</v>
      </c>
      <c r="V892" s="2" t="s">
        <v>236</v>
      </c>
      <c r="W892" s="2" t="s">
        <v>269</v>
      </c>
      <c r="X892" s="2" t="s">
        <v>228</v>
      </c>
      <c r="Y892" s="2" t="s">
        <v>4824</v>
      </c>
      <c r="Z892" s="4">
        <v>2</v>
      </c>
      <c r="AA892" s="4">
        <f>=ROUNDDOWN(0.142857142857143,0)</f>
      </c>
      <c r="AB892" s="5">
        <v>14</v>
      </c>
      <c r="AC892" s="2" t="s">
        <v>187</v>
      </c>
      <c r="AD892" s="4">
        <v>252</v>
      </c>
      <c r="AE892" s="4">
        <v>424</v>
      </c>
      <c r="AF892" s="6">
        <v>75</v>
      </c>
      <c r="AG892" s="6"/>
      <c r="AH892" s="7">
        <v>0.0968</v>
      </c>
      <c r="AI892" s="4"/>
      <c r="AJ892" s="4">
        <f>=ROUNDDOWN({0},0)</f>
      </c>
      <c r="AK892" s="5"/>
      <c r="AL892" s="2" t="s">
        <v>228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/>
      <c r="AW892" s="8"/>
      <c r="AX892" s="4"/>
      <c r="AY892" s="8"/>
      <c r="AZ892" s="7"/>
      <c r="BA892" s="7"/>
      <c r="BB892" s="7"/>
      <c r="BC892" s="4"/>
      <c r="BD892" s="8"/>
      <c r="BE892" s="4"/>
      <c r="BF892" s="8"/>
      <c r="BG892" s="7"/>
      <c r="BH892" s="7"/>
      <c r="BI892" s="7"/>
      <c r="BJ892" s="4">
        <v>9</v>
      </c>
      <c r="BK892" s="8">
        <v>254.76</v>
      </c>
      <c r="BL892" s="2" t="s">
        <v>4825</v>
      </c>
      <c r="BM892" s="7"/>
      <c r="BN892" s="7"/>
      <c r="BO892" s="4"/>
      <c r="BP892" s="8"/>
      <c r="BQ892" s="4"/>
      <c r="BR892" s="8"/>
      <c r="BS892" s="7"/>
      <c r="BT892" s="7"/>
      <c r="BU892" s="2" t="s">
        <v>4826</v>
      </c>
      <c r="BV892" s="2" t="s">
        <v>228</v>
      </c>
      <c r="BW892" s="2" t="s">
        <v>228</v>
      </c>
      <c r="BX892" s="2" t="s">
        <v>273</v>
      </c>
      <c r="BY892" s="2" t="s">
        <v>274</v>
      </c>
      <c r="BZ892" s="2" t="s">
        <v>240</v>
      </c>
      <c r="CA892" s="2" t="s">
        <v>4827</v>
      </c>
      <c r="CB892" s="2" t="s">
        <v>2076</v>
      </c>
      <c r="CC892" s="2" t="s">
        <v>241</v>
      </c>
      <c r="CD892" s="2" t="s">
        <v>228</v>
      </c>
      <c r="CE892" s="4">
        <v>2</v>
      </c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>
        <v>252</v>
      </c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>
        <v>172</v>
      </c>
      <c r="HC892" s="4"/>
      <c r="HD892" s="4"/>
      <c r="HE892" s="4"/>
    </row>
    <row r="893">
      <c r="A893" s="2" t="s">
        <v>4828</v>
      </c>
      <c r="B893" s="2" t="s">
        <v>958</v>
      </c>
      <c r="C893" s="2" t="s">
        <v>835</v>
      </c>
      <c r="D893" s="2" t="s">
        <v>959</v>
      </c>
      <c r="E893" s="2" t="s">
        <v>960</v>
      </c>
      <c r="F893" s="2" t="s">
        <v>4829</v>
      </c>
      <c r="G893" s="2" t="s">
        <v>4829</v>
      </c>
      <c r="H893" s="2" t="s">
        <v>4829</v>
      </c>
      <c r="I893" s="2" t="s">
        <v>4830</v>
      </c>
      <c r="J893" s="2" t="s">
        <v>840</v>
      </c>
      <c r="K893" s="2" t="s">
        <v>249</v>
      </c>
      <c r="L893" s="3">
        <v>261.25</v>
      </c>
      <c r="M893" s="3">
        <v>274.31</v>
      </c>
      <c r="N893" s="3">
        <v>549</v>
      </c>
      <c r="O893" s="2" t="s">
        <v>240</v>
      </c>
      <c r="P893" s="2" t="s">
        <v>333</v>
      </c>
      <c r="Q893" s="2" t="s">
        <v>234</v>
      </c>
      <c r="R893" s="2" t="s">
        <v>228</v>
      </c>
      <c r="S893" s="2" t="s">
        <v>228</v>
      </c>
      <c r="T893" s="2" t="s">
        <v>228</v>
      </c>
      <c r="U893" s="2" t="s">
        <v>416</v>
      </c>
      <c r="V893" s="2" t="s">
        <v>236</v>
      </c>
      <c r="W893" s="2" t="s">
        <v>843</v>
      </c>
      <c r="X893" s="2" t="s">
        <v>417</v>
      </c>
      <c r="Y893" s="2" t="s">
        <v>4831</v>
      </c>
      <c r="Z893" s="4">
        <v>42</v>
      </c>
      <c r="AA893" s="4">
        <f>=ROUNDDOWN(14,0)</f>
      </c>
      <c r="AB893" s="5">
        <v>3</v>
      </c>
      <c r="AC893" s="2" t="s">
        <v>228</v>
      </c>
      <c r="AD893" s="4"/>
      <c r="AE893" s="4"/>
      <c r="AF893" s="6">
        <v>66</v>
      </c>
      <c r="AG893" s="6">
        <v>49</v>
      </c>
      <c r="AH893" s="7">
        <v>1</v>
      </c>
      <c r="AI893" s="4"/>
      <c r="AJ893" s="4">
        <f>=ROUNDDOWN({0},0)</f>
      </c>
      <c r="AK893" s="5"/>
      <c r="AL893" s="2" t="s">
        <v>228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/>
      <c r="AW893" s="8"/>
      <c r="AX893" s="4"/>
      <c r="AY893" s="8"/>
      <c r="AZ893" s="7"/>
      <c r="BA893" s="7"/>
      <c r="BB893" s="7"/>
      <c r="BC893" s="4"/>
      <c r="BD893" s="8"/>
      <c r="BE893" s="4"/>
      <c r="BF893" s="8"/>
      <c r="BG893" s="7"/>
      <c r="BH893" s="7"/>
      <c r="BI893" s="7"/>
      <c r="BJ893" s="4">
        <v>14</v>
      </c>
      <c r="BK893" s="8">
        <v>3020.44</v>
      </c>
      <c r="BL893" s="2" t="s">
        <v>3307</v>
      </c>
      <c r="BM893" s="7"/>
      <c r="BN893" s="7"/>
      <c r="BO893" s="4"/>
      <c r="BP893" s="8"/>
      <c r="BQ893" s="4"/>
      <c r="BR893" s="8"/>
      <c r="BS893" s="7"/>
      <c r="BT893" s="7"/>
      <c r="BU893" s="2" t="s">
        <v>4832</v>
      </c>
      <c r="BV893" s="2" t="s">
        <v>228</v>
      </c>
      <c r="BW893" s="2" t="s">
        <v>228</v>
      </c>
      <c r="BX893" s="2" t="s">
        <v>337</v>
      </c>
      <c r="BY893" s="2" t="s">
        <v>274</v>
      </c>
      <c r="BZ893" s="2" t="s">
        <v>240</v>
      </c>
      <c r="CA893" s="2" t="s">
        <v>4831</v>
      </c>
      <c r="CB893" s="2" t="s">
        <v>4833</v>
      </c>
      <c r="CC893" s="2" t="s">
        <v>241</v>
      </c>
      <c r="CD893" s="2" t="s">
        <v>228</v>
      </c>
      <c r="CE893" s="4"/>
      <c r="CF893" s="4">
        <v>42</v>
      </c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</row>
    <row r="894">
      <c r="A894" s="2" t="s">
        <v>4834</v>
      </c>
      <c r="B894" s="2" t="s">
        <v>970</v>
      </c>
      <c r="C894" s="2" t="s">
        <v>835</v>
      </c>
      <c r="D894" s="2" t="s">
        <v>971</v>
      </c>
      <c r="E894" s="2" t="s">
        <v>972</v>
      </c>
      <c r="F894" s="2" t="s">
        <v>4835</v>
      </c>
      <c r="G894" s="2" t="s">
        <v>3620</v>
      </c>
      <c r="H894" s="2" t="s">
        <v>4836</v>
      </c>
      <c r="I894" s="2" t="s">
        <v>4837</v>
      </c>
      <c r="J894" s="2" t="s">
        <v>4838</v>
      </c>
      <c r="K894" s="2" t="s">
        <v>4839</v>
      </c>
      <c r="L894" s="3">
        <v>29.45</v>
      </c>
      <c r="M894" s="3">
        <v>30.92</v>
      </c>
      <c r="N894" s="3">
        <v>64.99</v>
      </c>
      <c r="O894" s="2" t="s">
        <v>240</v>
      </c>
      <c r="P894" s="2" t="s">
        <v>233</v>
      </c>
      <c r="Q894" s="2" t="s">
        <v>234</v>
      </c>
      <c r="R894" s="2" t="s">
        <v>228</v>
      </c>
      <c r="S894" s="2" t="s">
        <v>4840</v>
      </c>
      <c r="T894" s="2" t="s">
        <v>228</v>
      </c>
      <c r="U894" s="2" t="s">
        <v>520</v>
      </c>
      <c r="V894" s="2" t="s">
        <v>3007</v>
      </c>
      <c r="W894" s="2" t="s">
        <v>228</v>
      </c>
      <c r="X894" s="2" t="s">
        <v>228</v>
      </c>
      <c r="Y894" s="2" t="s">
        <v>4841</v>
      </c>
      <c r="Z894" s="4">
        <v>158</v>
      </c>
      <c r="AA894" s="4">
        <f>=ROUNDDOWN(28.2142857142857,0)</f>
      </c>
      <c r="AB894" s="5">
        <v>5.6</v>
      </c>
      <c r="AC894" s="2" t="s">
        <v>187</v>
      </c>
      <c r="AD894" s="4">
        <v>222</v>
      </c>
      <c r="AE894" s="4">
        <v>666</v>
      </c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228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/>
      <c r="AW894" s="8"/>
      <c r="AX894" s="4"/>
      <c r="AY894" s="8"/>
      <c r="AZ894" s="7"/>
      <c r="BA894" s="7"/>
      <c r="BB894" s="7"/>
      <c r="BC894" s="4"/>
      <c r="BD894" s="8"/>
      <c r="BE894" s="4"/>
      <c r="BF894" s="8"/>
      <c r="BG894" s="7"/>
      <c r="BH894" s="7"/>
      <c r="BI894" s="7"/>
      <c r="BJ894" s="4">
        <v>53</v>
      </c>
      <c r="BK894" s="8">
        <v>1795.11</v>
      </c>
      <c r="BL894" s="2" t="s">
        <v>1222</v>
      </c>
      <c r="BM894" s="7"/>
      <c r="BN894" s="7"/>
      <c r="BO894" s="4"/>
      <c r="BP894" s="8"/>
      <c r="BQ894" s="4"/>
      <c r="BR894" s="8"/>
      <c r="BS894" s="7"/>
      <c r="BT894" s="7"/>
      <c r="BU894" s="2" t="s">
        <v>4842</v>
      </c>
      <c r="BV894" s="2" t="s">
        <v>228</v>
      </c>
      <c r="BW894" s="2" t="s">
        <v>228</v>
      </c>
      <c r="BX894" s="2" t="s">
        <v>273</v>
      </c>
      <c r="BY894" s="2" t="s">
        <v>274</v>
      </c>
      <c r="BZ894" s="2" t="s">
        <v>240</v>
      </c>
      <c r="CA894" s="2" t="s">
        <v>1217</v>
      </c>
      <c r="CB894" s="2" t="s">
        <v>228</v>
      </c>
      <c r="CC894" s="2" t="s">
        <v>241</v>
      </c>
      <c r="CD894" s="2" t="s">
        <v>228</v>
      </c>
      <c r="CE894" s="4"/>
      <c r="CF894" s="4"/>
      <c r="CG894" s="4"/>
      <c r="CH894" s="4">
        <v>158</v>
      </c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>
        <v>222</v>
      </c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>
        <v>444</v>
      </c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</row>
    <row r="895">
      <c r="A895" s="2" t="s">
        <v>4843</v>
      </c>
      <c r="B895" s="2" t="s">
        <v>866</v>
      </c>
      <c r="C895" s="2" t="s">
        <v>773</v>
      </c>
      <c r="D895" s="2" t="s">
        <v>907</v>
      </c>
      <c r="E895" s="2" t="s">
        <v>4844</v>
      </c>
      <c r="F895" s="2" t="s">
        <v>4845</v>
      </c>
      <c r="G895" s="2" t="s">
        <v>4845</v>
      </c>
      <c r="H895" s="2" t="s">
        <v>4845</v>
      </c>
      <c r="I895" s="2" t="s">
        <v>4846</v>
      </c>
      <c r="J895" s="2" t="s">
        <v>840</v>
      </c>
      <c r="K895" s="2" t="s">
        <v>912</v>
      </c>
      <c r="L895" s="3">
        <v>112.71</v>
      </c>
      <c r="M895" s="3">
        <v>118.35</v>
      </c>
      <c r="N895" s="3">
        <v>199.74</v>
      </c>
      <c r="O895" s="2" t="s">
        <v>240</v>
      </c>
      <c r="P895" s="2" t="s">
        <v>1012</v>
      </c>
      <c r="Q895" s="2" t="s">
        <v>234</v>
      </c>
      <c r="R895" s="2" t="s">
        <v>228</v>
      </c>
      <c r="S895" s="2" t="s">
        <v>4847</v>
      </c>
      <c r="T895" s="2" t="s">
        <v>228</v>
      </c>
      <c r="U895" s="2" t="s">
        <v>416</v>
      </c>
      <c r="V895" s="2" t="s">
        <v>236</v>
      </c>
      <c r="W895" s="2" t="s">
        <v>417</v>
      </c>
      <c r="X895" s="2" t="s">
        <v>309</v>
      </c>
      <c r="Y895" s="2" t="s">
        <v>4848</v>
      </c>
      <c r="Z895" s="4">
        <v>86</v>
      </c>
      <c r="AA895" s="4">
        <f>=ROUNDDOWN(28.6666666666667,0)</f>
      </c>
      <c r="AB895" s="5">
        <v>3</v>
      </c>
      <c r="AC895" s="2" t="s">
        <v>228</v>
      </c>
      <c r="AD895" s="4"/>
      <c r="AE895" s="4"/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228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/>
      <c r="AW895" s="8"/>
      <c r="AX895" s="4"/>
      <c r="AY895" s="8"/>
      <c r="AZ895" s="7"/>
      <c r="BA895" s="7"/>
      <c r="BB895" s="7"/>
      <c r="BC895" s="4"/>
      <c r="BD895" s="8"/>
      <c r="BE895" s="4"/>
      <c r="BF895" s="8"/>
      <c r="BG895" s="7"/>
      <c r="BH895" s="7"/>
      <c r="BI895" s="7"/>
      <c r="BJ895" s="4">
        <v>10</v>
      </c>
      <c r="BK895" s="8">
        <v>1263.7</v>
      </c>
      <c r="BL895" s="2" t="s">
        <v>4849</v>
      </c>
      <c r="BM895" s="7"/>
      <c r="BN895" s="7"/>
      <c r="BO895" s="4"/>
      <c r="BP895" s="8"/>
      <c r="BQ895" s="4"/>
      <c r="BR895" s="8"/>
      <c r="BS895" s="7"/>
      <c r="BT895" s="7"/>
      <c r="BU895" s="2" t="s">
        <v>4850</v>
      </c>
      <c r="BV895" s="2" t="s">
        <v>228</v>
      </c>
      <c r="BW895" s="2" t="s">
        <v>228</v>
      </c>
      <c r="BX895" s="2" t="s">
        <v>273</v>
      </c>
      <c r="BY895" s="2" t="s">
        <v>274</v>
      </c>
      <c r="BZ895" s="2" t="s">
        <v>240</v>
      </c>
      <c r="CA895" s="2" t="s">
        <v>4851</v>
      </c>
      <c r="CB895" s="2" t="s">
        <v>4852</v>
      </c>
      <c r="CC895" s="2" t="s">
        <v>241</v>
      </c>
      <c r="CD895" s="2" t="s">
        <v>228</v>
      </c>
      <c r="CE895" s="4"/>
      <c r="CF895" s="4">
        <v>86</v>
      </c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</row>
    <row r="896">
      <c r="A896" s="2" t="s">
        <v>4853</v>
      </c>
      <c r="B896" s="2" t="s">
        <v>970</v>
      </c>
      <c r="C896" s="2" t="s">
        <v>849</v>
      </c>
      <c r="D896" s="2" t="s">
        <v>1980</v>
      </c>
      <c r="E896" s="2" t="s">
        <v>4854</v>
      </c>
      <c r="F896" s="2" t="s">
        <v>4855</v>
      </c>
      <c r="G896" s="2" t="s">
        <v>4856</v>
      </c>
      <c r="H896" s="2" t="s">
        <v>4857</v>
      </c>
      <c r="I896" s="2" t="s">
        <v>4858</v>
      </c>
      <c r="J896" s="2" t="s">
        <v>4859</v>
      </c>
      <c r="K896" s="2" t="s">
        <v>1466</v>
      </c>
      <c r="L896" s="3">
        <v>43.13</v>
      </c>
      <c r="M896" s="3">
        <v>45.29</v>
      </c>
      <c r="N896" s="3">
        <v>89.99</v>
      </c>
      <c r="O896" s="2" t="s">
        <v>240</v>
      </c>
      <c r="P896" s="2" t="s">
        <v>233</v>
      </c>
      <c r="Q896" s="2" t="s">
        <v>234</v>
      </c>
      <c r="R896" s="2" t="s">
        <v>228</v>
      </c>
      <c r="S896" s="2" t="s">
        <v>4860</v>
      </c>
      <c r="T896" s="2" t="s">
        <v>228</v>
      </c>
      <c r="U896" s="2" t="s">
        <v>416</v>
      </c>
      <c r="V896" s="2" t="s">
        <v>236</v>
      </c>
      <c r="W896" s="2" t="s">
        <v>269</v>
      </c>
      <c r="X896" s="2" t="s">
        <v>228</v>
      </c>
      <c r="Y896" s="2" t="s">
        <v>1994</v>
      </c>
      <c r="Z896" s="4">
        <v>266</v>
      </c>
      <c r="AA896" s="4">
        <f>=ROUNDDOWN({0},0)</f>
      </c>
      <c r="AB896" s="5"/>
      <c r="AC896" s="2" t="s">
        <v>1352</v>
      </c>
      <c r="AD896" s="4">
        <v>266</v>
      </c>
      <c r="AE896" s="4">
        <v>266</v>
      </c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228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/>
      <c r="AW896" s="8"/>
      <c r="AX896" s="4"/>
      <c r="AY896" s="8"/>
      <c r="AZ896" s="7"/>
      <c r="BA896" s="7"/>
      <c r="BB896" s="7"/>
      <c r="BC896" s="4"/>
      <c r="BD896" s="8"/>
      <c r="BE896" s="4"/>
      <c r="BF896" s="8"/>
      <c r="BG896" s="7"/>
      <c r="BH896" s="7"/>
      <c r="BI896" s="7"/>
      <c r="BJ896" s="4"/>
      <c r="BK896" s="8"/>
      <c r="BL896" s="2" t="s">
        <v>228</v>
      </c>
      <c r="BM896" s="7"/>
      <c r="BN896" s="7"/>
      <c r="BO896" s="4"/>
      <c r="BP896" s="8"/>
      <c r="BQ896" s="4"/>
      <c r="BR896" s="8"/>
      <c r="BS896" s="7"/>
      <c r="BT896" s="7"/>
      <c r="BU896" s="2" t="s">
        <v>4861</v>
      </c>
      <c r="BV896" s="2" t="s">
        <v>228</v>
      </c>
      <c r="BW896" s="2" t="s">
        <v>228</v>
      </c>
      <c r="BX896" s="2" t="s">
        <v>238</v>
      </c>
      <c r="BY896" s="2" t="s">
        <v>4862</v>
      </c>
      <c r="BZ896" s="2" t="s">
        <v>240</v>
      </c>
      <c r="CA896" s="2" t="s">
        <v>228</v>
      </c>
      <c r="CB896" s="2" t="s">
        <v>228</v>
      </c>
      <c r="CC896" s="2" t="s">
        <v>241</v>
      </c>
      <c r="CD896" s="2" t="s">
        <v>228</v>
      </c>
      <c r="CE896" s="4">
        <v>266</v>
      </c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>
        <v>266</v>
      </c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</row>
    <row r="897">
      <c r="A897" s="2" t="s">
        <v>4863</v>
      </c>
      <c r="B897" s="2" t="s">
        <v>970</v>
      </c>
      <c r="C897" s="2" t="s">
        <v>300</v>
      </c>
      <c r="D897" s="2" t="s">
        <v>971</v>
      </c>
      <c r="E897" s="2" t="s">
        <v>1940</v>
      </c>
      <c r="F897" s="2" t="s">
        <v>4864</v>
      </c>
      <c r="G897" s="2" t="s">
        <v>4865</v>
      </c>
      <c r="H897" s="2" t="s">
        <v>3002</v>
      </c>
      <c r="I897" s="2" t="s">
        <v>4866</v>
      </c>
      <c r="J897" s="2" t="s">
        <v>1525</v>
      </c>
      <c r="K897" s="2" t="s">
        <v>480</v>
      </c>
      <c r="L897" s="3">
        <v>10.5</v>
      </c>
      <c r="M897" s="3">
        <v>11.02</v>
      </c>
      <c r="N897" s="3">
        <v>24.99</v>
      </c>
      <c r="O897" s="2" t="s">
        <v>240</v>
      </c>
      <c r="P897" s="2" t="s">
        <v>266</v>
      </c>
      <c r="Q897" s="2" t="s">
        <v>234</v>
      </c>
      <c r="R897" s="2" t="s">
        <v>228</v>
      </c>
      <c r="S897" s="2" t="s">
        <v>4867</v>
      </c>
      <c r="T897" s="2" t="s">
        <v>228</v>
      </c>
      <c r="U897" s="2" t="s">
        <v>228</v>
      </c>
      <c r="V897" s="2" t="s">
        <v>980</v>
      </c>
      <c r="W897" s="2" t="s">
        <v>417</v>
      </c>
      <c r="X897" s="2" t="s">
        <v>1940</v>
      </c>
      <c r="Y897" s="2" t="s">
        <v>270</v>
      </c>
      <c r="Z897" s="4">
        <v>112</v>
      </c>
      <c r="AA897" s="4">
        <f>=ROUNDDOWN(9.33333333333333,0)</f>
      </c>
      <c r="AB897" s="5">
        <v>12</v>
      </c>
      <c r="AC897" s="2" t="s">
        <v>1014</v>
      </c>
      <c r="AD897" s="4">
        <v>172</v>
      </c>
      <c r="AE897" s="4">
        <v>246</v>
      </c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228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/>
      <c r="AW897" s="8"/>
      <c r="AX897" s="4"/>
      <c r="AY897" s="8"/>
      <c r="AZ897" s="7"/>
      <c r="BA897" s="7"/>
      <c r="BB897" s="7"/>
      <c r="BC897" s="4"/>
      <c r="BD897" s="8"/>
      <c r="BE897" s="4"/>
      <c r="BF897" s="8"/>
      <c r="BG897" s="7"/>
      <c r="BH897" s="7"/>
      <c r="BI897" s="7"/>
      <c r="BJ897" s="4">
        <v>31</v>
      </c>
      <c r="BK897" s="8">
        <v>341.13</v>
      </c>
      <c r="BL897" s="2" t="s">
        <v>4868</v>
      </c>
      <c r="BM897" s="7"/>
      <c r="BN897" s="7"/>
      <c r="BO897" s="4"/>
      <c r="BP897" s="8"/>
      <c r="BQ897" s="4"/>
      <c r="BR897" s="8"/>
      <c r="BS897" s="7"/>
      <c r="BT897" s="7"/>
      <c r="BU897" s="2" t="s">
        <v>4869</v>
      </c>
      <c r="BV897" s="2" t="s">
        <v>228</v>
      </c>
      <c r="BW897" s="2" t="s">
        <v>228</v>
      </c>
      <c r="BX897" s="2" t="s">
        <v>273</v>
      </c>
      <c r="BY897" s="2" t="s">
        <v>274</v>
      </c>
      <c r="BZ897" s="2" t="s">
        <v>240</v>
      </c>
      <c r="CA897" s="2" t="s">
        <v>4870</v>
      </c>
      <c r="CB897" s="2" t="s">
        <v>4871</v>
      </c>
      <c r="CC897" s="2" t="s">
        <v>241</v>
      </c>
      <c r="CD897" s="2" t="s">
        <v>228</v>
      </c>
      <c r="CE897" s="4">
        <v>112</v>
      </c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>
        <v>172</v>
      </c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>
        <v>74</v>
      </c>
      <c r="HA897" s="4"/>
      <c r="HB897" s="4"/>
      <c r="HC897" s="4"/>
      <c r="HD897" s="4"/>
      <c r="HE897" s="4"/>
    </row>
    <row r="898">
      <c r="A898" s="2" t="s">
        <v>4872</v>
      </c>
      <c r="B898" s="2" t="s">
        <v>223</v>
      </c>
      <c r="C898" s="2" t="s">
        <v>300</v>
      </c>
      <c r="D898" s="2" t="s">
        <v>1601</v>
      </c>
      <c r="E898" s="2" t="s">
        <v>2421</v>
      </c>
      <c r="F898" s="2" t="s">
        <v>4873</v>
      </c>
      <c r="G898" s="2" t="s">
        <v>999</v>
      </c>
      <c r="H898" s="2" t="s">
        <v>999</v>
      </c>
      <c r="I898" s="2" t="s">
        <v>4874</v>
      </c>
      <c r="J898" s="2" t="s">
        <v>1412</v>
      </c>
      <c r="K898" s="2" t="s">
        <v>305</v>
      </c>
      <c r="L898" s="3">
        <v>26.68</v>
      </c>
      <c r="M898" s="3">
        <v>28.01</v>
      </c>
      <c r="N898" s="3">
        <v>57.99</v>
      </c>
      <c r="O898" s="2" t="s">
        <v>240</v>
      </c>
      <c r="P898" s="2" t="s">
        <v>333</v>
      </c>
      <c r="Q898" s="2" t="s">
        <v>234</v>
      </c>
      <c r="R898" s="2" t="s">
        <v>228</v>
      </c>
      <c r="S898" s="2" t="s">
        <v>4875</v>
      </c>
      <c r="T898" s="2" t="s">
        <v>1608</v>
      </c>
      <c r="U898" s="2" t="s">
        <v>228</v>
      </c>
      <c r="V898" s="2" t="s">
        <v>2042</v>
      </c>
      <c r="W898" s="2" t="s">
        <v>309</v>
      </c>
      <c r="X898" s="2" t="s">
        <v>228</v>
      </c>
      <c r="Y898" s="2" t="s">
        <v>4876</v>
      </c>
      <c r="Z898" s="4">
        <v>133</v>
      </c>
      <c r="AA898" s="4">
        <f>=ROUNDDOWN(21.1111111111111,0)</f>
      </c>
      <c r="AB898" s="5">
        <v>6.3</v>
      </c>
      <c r="AC898" s="2" t="s">
        <v>228</v>
      </c>
      <c r="AD898" s="4"/>
      <c r="AE898" s="4"/>
      <c r="AF898" s="6">
        <v>64</v>
      </c>
      <c r="AG898" s="6"/>
      <c r="AH898" s="7">
        <v>1</v>
      </c>
      <c r="AI898" s="4"/>
      <c r="AJ898" s="4">
        <f>=ROUNDDOWN({0},0)</f>
      </c>
      <c r="AK898" s="5"/>
      <c r="AL898" s="2" t="s">
        <v>228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/>
      <c r="AW898" s="8"/>
      <c r="AX898" s="4"/>
      <c r="AY898" s="8"/>
      <c r="AZ898" s="7"/>
      <c r="BA898" s="7"/>
      <c r="BB898" s="7"/>
      <c r="BC898" s="4"/>
      <c r="BD898" s="8"/>
      <c r="BE898" s="4"/>
      <c r="BF898" s="8"/>
      <c r="BG898" s="7"/>
      <c r="BH898" s="7"/>
      <c r="BI898" s="7"/>
      <c r="BJ898" s="4">
        <v>26</v>
      </c>
      <c r="BK898" s="8">
        <v>764.95</v>
      </c>
      <c r="BL898" s="2" t="s">
        <v>4877</v>
      </c>
      <c r="BM898" s="7"/>
      <c r="BN898" s="7"/>
      <c r="BO898" s="4"/>
      <c r="BP898" s="8"/>
      <c r="BQ898" s="4"/>
      <c r="BR898" s="8"/>
      <c r="BS898" s="7"/>
      <c r="BT898" s="7"/>
      <c r="BU898" s="2" t="s">
        <v>4878</v>
      </c>
      <c r="BV898" s="2" t="s">
        <v>228</v>
      </c>
      <c r="BW898" s="2" t="s">
        <v>228</v>
      </c>
      <c r="BX898" s="2" t="s">
        <v>337</v>
      </c>
      <c r="BY898" s="2" t="s">
        <v>274</v>
      </c>
      <c r="BZ898" s="2" t="s">
        <v>240</v>
      </c>
      <c r="CA898" s="2" t="s">
        <v>4879</v>
      </c>
      <c r="CB898" s="2" t="s">
        <v>1274</v>
      </c>
      <c r="CC898" s="2" t="s">
        <v>241</v>
      </c>
      <c r="CD898" s="2" t="s">
        <v>228</v>
      </c>
      <c r="CE898" s="4">
        <v>133</v>
      </c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</row>
    <row r="899">
      <c r="A899" s="2" t="s">
        <v>4880</v>
      </c>
      <c r="B899" s="2" t="s">
        <v>223</v>
      </c>
      <c r="C899" s="2" t="s">
        <v>849</v>
      </c>
      <c r="D899" s="2" t="s">
        <v>1112</v>
      </c>
      <c r="E899" s="2" t="s">
        <v>1165</v>
      </c>
      <c r="F899" s="2" t="s">
        <v>4881</v>
      </c>
      <c r="G899" s="2" t="s">
        <v>4881</v>
      </c>
      <c r="H899" s="2" t="s">
        <v>4881</v>
      </c>
      <c r="I899" s="2" t="s">
        <v>4882</v>
      </c>
      <c r="J899" s="2" t="s">
        <v>856</v>
      </c>
      <c r="K899" s="2" t="s">
        <v>556</v>
      </c>
      <c r="L899" s="3">
        <v>28.99</v>
      </c>
      <c r="M899" s="3">
        <v>30.44</v>
      </c>
      <c r="N899" s="3">
        <v>49.99</v>
      </c>
      <c r="O899" s="2" t="s">
        <v>240</v>
      </c>
      <c r="P899" s="2" t="s">
        <v>1116</v>
      </c>
      <c r="Q899" s="2" t="s">
        <v>234</v>
      </c>
      <c r="R899" s="2" t="s">
        <v>727</v>
      </c>
      <c r="S899" s="2" t="s">
        <v>228</v>
      </c>
      <c r="T899" s="2" t="s">
        <v>1414</v>
      </c>
      <c r="U899" s="2" t="s">
        <v>520</v>
      </c>
      <c r="V899" s="2" t="s">
        <v>236</v>
      </c>
      <c r="W899" s="2" t="s">
        <v>228</v>
      </c>
      <c r="X899" s="2" t="s">
        <v>228</v>
      </c>
      <c r="Y899" s="2" t="s">
        <v>4883</v>
      </c>
      <c r="Z899" s="4">
        <v>276</v>
      </c>
      <c r="AA899" s="4">
        <f>=ROUNDDOWN(138,0)</f>
      </c>
      <c r="AB899" s="5">
        <v>2</v>
      </c>
      <c r="AC899" s="2" t="s">
        <v>228</v>
      </c>
      <c r="AD899" s="4"/>
      <c r="AE899" s="4"/>
      <c r="AF899" s="6">
        <v>64</v>
      </c>
      <c r="AG899" s="6"/>
      <c r="AH899" s="7">
        <v>1</v>
      </c>
      <c r="AI899" s="4"/>
      <c r="AJ899" s="4">
        <f>=ROUNDDOWN({0},0)</f>
      </c>
      <c r="AK899" s="5"/>
      <c r="AL899" s="2" t="s">
        <v>228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228</v>
      </c>
      <c r="AW899" s="8" t="s">
        <v>228</v>
      </c>
      <c r="AX899" s="4" t="s">
        <v>228</v>
      </c>
      <c r="AY899" s="8" t="s">
        <v>228</v>
      </c>
      <c r="AZ899" s="7" t="s">
        <v>228</v>
      </c>
      <c r="BA899" s="7" t="s">
        <v>228</v>
      </c>
      <c r="BB899" s="7"/>
      <c r="BC899" s="4" t="s">
        <v>228</v>
      </c>
      <c r="BD899" s="8" t="s">
        <v>228</v>
      </c>
      <c r="BE899" s="4" t="s">
        <v>228</v>
      </c>
      <c r="BF899" s="8" t="s">
        <v>228</v>
      </c>
      <c r="BG899" s="7" t="s">
        <v>228</v>
      </c>
      <c r="BH899" s="7" t="s">
        <v>228</v>
      </c>
      <c r="BI899" s="7"/>
      <c r="BJ899" s="4">
        <v>3</v>
      </c>
      <c r="BK899" s="8">
        <v>51.69</v>
      </c>
      <c r="BL899" s="2" t="s">
        <v>699</v>
      </c>
      <c r="BM899" s="7"/>
      <c r="BN899" s="7"/>
      <c r="BO899" s="4"/>
      <c r="BP899" s="8"/>
      <c r="BQ899" s="4"/>
      <c r="BR899" s="8"/>
      <c r="BS899" s="7"/>
      <c r="BT899" s="7"/>
      <c r="BU899" s="2" t="s">
        <v>4884</v>
      </c>
      <c r="BV899" s="2" t="s">
        <v>228</v>
      </c>
      <c r="BW899" s="2" t="s">
        <v>228</v>
      </c>
      <c r="BX899" s="2" t="s">
        <v>337</v>
      </c>
      <c r="BY899" s="2" t="s">
        <v>274</v>
      </c>
      <c r="BZ899" s="2" t="s">
        <v>240</v>
      </c>
      <c r="CA899" s="2" t="s">
        <v>781</v>
      </c>
      <c r="CB899" s="2" t="s">
        <v>228</v>
      </c>
      <c r="CC899" s="2" t="s">
        <v>241</v>
      </c>
      <c r="CD899" s="2" t="s">
        <v>228</v>
      </c>
      <c r="CE899" s="4">
        <v>276</v>
      </c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</row>
    <row r="900">
      <c r="A900" s="2" t="s">
        <v>4885</v>
      </c>
      <c r="B900" s="2" t="s">
        <v>223</v>
      </c>
      <c r="C900" s="2" t="s">
        <v>849</v>
      </c>
      <c r="D900" s="2" t="s">
        <v>1112</v>
      </c>
      <c r="E900" s="2" t="s">
        <v>1165</v>
      </c>
      <c r="F900" s="2" t="s">
        <v>4881</v>
      </c>
      <c r="G900" s="2" t="s">
        <v>4881</v>
      </c>
      <c r="H900" s="2" t="s">
        <v>4881</v>
      </c>
      <c r="I900" s="2" t="s">
        <v>4882</v>
      </c>
      <c r="J900" s="2" t="s">
        <v>1043</v>
      </c>
      <c r="K900" s="2" t="s">
        <v>556</v>
      </c>
      <c r="L900" s="3">
        <v>43.49</v>
      </c>
      <c r="M900" s="3">
        <v>45.66</v>
      </c>
      <c r="N900" s="3">
        <v>74.99</v>
      </c>
      <c r="O900" s="2" t="s">
        <v>461</v>
      </c>
      <c r="P900" s="2" t="s">
        <v>1116</v>
      </c>
      <c r="Q900" s="2" t="s">
        <v>234</v>
      </c>
      <c r="R900" s="2" t="s">
        <v>727</v>
      </c>
      <c r="S900" s="2" t="s">
        <v>228</v>
      </c>
      <c r="T900" s="2" t="s">
        <v>1414</v>
      </c>
      <c r="U900" s="2" t="s">
        <v>500</v>
      </c>
      <c r="V900" s="2" t="s">
        <v>236</v>
      </c>
      <c r="W900" s="2" t="s">
        <v>228</v>
      </c>
      <c r="X900" s="2" t="s">
        <v>228</v>
      </c>
      <c r="Y900" s="2" t="s">
        <v>4883</v>
      </c>
      <c r="Z900" s="4">
        <v>76</v>
      </c>
      <c r="AA900" s="4">
        <f>=ROUNDDOWN(95,0)</f>
      </c>
      <c r="AB900" s="5">
        <v>0.8</v>
      </c>
      <c r="AC900" s="2" t="s">
        <v>228</v>
      </c>
      <c r="AD900" s="4"/>
      <c r="AE900" s="4"/>
      <c r="AF900" s="6">
        <v>64</v>
      </c>
      <c r="AG900" s="6"/>
      <c r="AH900" s="7">
        <v>1</v>
      </c>
      <c r="AI900" s="4"/>
      <c r="AJ900" s="4">
        <f>=ROUNDDOWN({0},0)</f>
      </c>
      <c r="AK900" s="5"/>
      <c r="AL900" s="2" t="s">
        <v>228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228</v>
      </c>
      <c r="AW900" s="8" t="s">
        <v>228</v>
      </c>
      <c r="AX900" s="4" t="s">
        <v>228</v>
      </c>
      <c r="AY900" s="8" t="s">
        <v>228</v>
      </c>
      <c r="AZ900" s="7" t="s">
        <v>228</v>
      </c>
      <c r="BA900" s="7" t="s">
        <v>228</v>
      </c>
      <c r="BB900" s="7"/>
      <c r="BC900" s="4" t="s">
        <v>228</v>
      </c>
      <c r="BD900" s="8" t="s">
        <v>228</v>
      </c>
      <c r="BE900" s="4" t="s">
        <v>228</v>
      </c>
      <c r="BF900" s="8" t="s">
        <v>228</v>
      </c>
      <c r="BG900" s="7" t="s">
        <v>228</v>
      </c>
      <c r="BH900" s="7" t="s">
        <v>228</v>
      </c>
      <c r="BI900" s="7"/>
      <c r="BJ900" s="4"/>
      <c r="BK900" s="8"/>
      <c r="BL900" s="2" t="s">
        <v>228</v>
      </c>
      <c r="BM900" s="7"/>
      <c r="BN900" s="7"/>
      <c r="BO900" s="4"/>
      <c r="BP900" s="8"/>
      <c r="BQ900" s="4"/>
      <c r="BR900" s="8"/>
      <c r="BS900" s="7"/>
      <c r="BT900" s="7"/>
      <c r="BU900" s="2" t="s">
        <v>4886</v>
      </c>
      <c r="BV900" s="2" t="s">
        <v>228</v>
      </c>
      <c r="BW900" s="2" t="s">
        <v>228</v>
      </c>
      <c r="BX900" s="2" t="s">
        <v>273</v>
      </c>
      <c r="BY900" s="2" t="s">
        <v>274</v>
      </c>
      <c r="BZ900" s="2" t="s">
        <v>240</v>
      </c>
      <c r="CA900" s="2" t="s">
        <v>781</v>
      </c>
      <c r="CB900" s="2" t="s">
        <v>228</v>
      </c>
      <c r="CC900" s="2" t="s">
        <v>241</v>
      </c>
      <c r="CD900" s="2" t="s">
        <v>228</v>
      </c>
      <c r="CE900" s="4">
        <v>76</v>
      </c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</row>
    <row r="901">
      <c r="A901" s="2" t="s">
        <v>4887</v>
      </c>
      <c r="B901" s="2" t="s">
        <v>223</v>
      </c>
      <c r="C901" s="2" t="s">
        <v>849</v>
      </c>
      <c r="D901" s="2" t="s">
        <v>1112</v>
      </c>
      <c r="E901" s="2" t="s">
        <v>1165</v>
      </c>
      <c r="F901" s="2" t="s">
        <v>4881</v>
      </c>
      <c r="G901" s="2" t="s">
        <v>4881</v>
      </c>
      <c r="H901" s="2" t="s">
        <v>4881</v>
      </c>
      <c r="I901" s="2" t="s">
        <v>4882</v>
      </c>
      <c r="J901" s="2" t="s">
        <v>856</v>
      </c>
      <c r="K901" s="2" t="s">
        <v>249</v>
      </c>
      <c r="L901" s="3">
        <v>28.99</v>
      </c>
      <c r="M901" s="3">
        <v>30.44</v>
      </c>
      <c r="N901" s="3">
        <v>49.99</v>
      </c>
      <c r="O901" s="2" t="s">
        <v>240</v>
      </c>
      <c r="P901" s="2" t="s">
        <v>1116</v>
      </c>
      <c r="Q901" s="2" t="s">
        <v>234</v>
      </c>
      <c r="R901" s="2" t="s">
        <v>727</v>
      </c>
      <c r="S901" s="2" t="s">
        <v>228</v>
      </c>
      <c r="T901" s="2" t="s">
        <v>1414</v>
      </c>
      <c r="U901" s="2" t="s">
        <v>520</v>
      </c>
      <c r="V901" s="2" t="s">
        <v>236</v>
      </c>
      <c r="W901" s="2" t="s">
        <v>228</v>
      </c>
      <c r="X901" s="2" t="s">
        <v>228</v>
      </c>
      <c r="Y901" s="2" t="s">
        <v>4883</v>
      </c>
      <c r="Z901" s="4">
        <v>223</v>
      </c>
      <c r="AA901" s="4">
        <f>=ROUNDDOWN({0},0)</f>
      </c>
      <c r="AB901" s="5"/>
      <c r="AC901" s="2" t="s">
        <v>228</v>
      </c>
      <c r="AD901" s="4"/>
      <c r="AE901" s="4"/>
      <c r="AF901" s="6">
        <v>64</v>
      </c>
      <c r="AG901" s="6"/>
      <c r="AH901" s="7">
        <v>1</v>
      </c>
      <c r="AI901" s="4"/>
      <c r="AJ901" s="4">
        <f>=ROUNDDOWN({0},0)</f>
      </c>
      <c r="AK901" s="5"/>
      <c r="AL901" s="2" t="s">
        <v>228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/>
      <c r="AW901" s="8"/>
      <c r="AX901" s="4"/>
      <c r="AY901" s="8"/>
      <c r="AZ901" s="7"/>
      <c r="BA901" s="7"/>
      <c r="BB901" s="7"/>
      <c r="BC901" s="4" t="s">
        <v>228</v>
      </c>
      <c r="BD901" s="8" t="s">
        <v>228</v>
      </c>
      <c r="BE901" s="4" t="s">
        <v>228</v>
      </c>
      <c r="BF901" s="8" t="s">
        <v>228</v>
      </c>
      <c r="BG901" s="7" t="s">
        <v>228</v>
      </c>
      <c r="BH901" s="7" t="s">
        <v>228</v>
      </c>
      <c r="BI901" s="7"/>
      <c r="BJ901" s="4">
        <v>1</v>
      </c>
      <c r="BK901" s="8">
        <v>17.23</v>
      </c>
      <c r="BL901" s="2" t="s">
        <v>4888</v>
      </c>
      <c r="BM901" s="7"/>
      <c r="BN901" s="7"/>
      <c r="BO901" s="4"/>
      <c r="BP901" s="8"/>
      <c r="BQ901" s="4"/>
      <c r="BR901" s="8"/>
      <c r="BS901" s="7"/>
      <c r="BT901" s="7"/>
      <c r="BU901" s="2" t="s">
        <v>4889</v>
      </c>
      <c r="BV901" s="2" t="s">
        <v>228</v>
      </c>
      <c r="BW901" s="2" t="s">
        <v>228</v>
      </c>
      <c r="BX901" s="2" t="s">
        <v>337</v>
      </c>
      <c r="BY901" s="2" t="s">
        <v>274</v>
      </c>
      <c r="BZ901" s="2" t="s">
        <v>240</v>
      </c>
      <c r="CA901" s="2" t="s">
        <v>781</v>
      </c>
      <c r="CB901" s="2" t="s">
        <v>228</v>
      </c>
      <c r="CC901" s="2" t="s">
        <v>241</v>
      </c>
      <c r="CD901" s="2" t="s">
        <v>228</v>
      </c>
      <c r="CE901" s="4">
        <v>223</v>
      </c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</row>
    <row r="902">
      <c r="A902" s="2" t="s">
        <v>4890</v>
      </c>
      <c r="B902" s="2" t="s">
        <v>223</v>
      </c>
      <c r="C902" s="2" t="s">
        <v>849</v>
      </c>
      <c r="D902" s="2" t="s">
        <v>1112</v>
      </c>
      <c r="E902" s="2" t="s">
        <v>1165</v>
      </c>
      <c r="F902" s="2" t="s">
        <v>4881</v>
      </c>
      <c r="G902" s="2" t="s">
        <v>4881</v>
      </c>
      <c r="H902" s="2" t="s">
        <v>4881</v>
      </c>
      <c r="I902" s="2" t="s">
        <v>4882</v>
      </c>
      <c r="J902" s="2" t="s">
        <v>856</v>
      </c>
      <c r="K902" s="2" t="s">
        <v>480</v>
      </c>
      <c r="L902" s="3">
        <v>28.99</v>
      </c>
      <c r="M902" s="3">
        <v>30.44</v>
      </c>
      <c r="N902" s="3">
        <v>49.99</v>
      </c>
      <c r="O902" s="2" t="s">
        <v>461</v>
      </c>
      <c r="P902" s="2" t="s">
        <v>1116</v>
      </c>
      <c r="Q902" s="2" t="s">
        <v>234</v>
      </c>
      <c r="R902" s="2" t="s">
        <v>727</v>
      </c>
      <c r="S902" s="2" t="s">
        <v>228</v>
      </c>
      <c r="T902" s="2" t="s">
        <v>1414</v>
      </c>
      <c r="U902" s="2" t="s">
        <v>520</v>
      </c>
      <c r="V902" s="2" t="s">
        <v>236</v>
      </c>
      <c r="W902" s="2" t="s">
        <v>228</v>
      </c>
      <c r="X902" s="2" t="s">
        <v>228</v>
      </c>
      <c r="Y902" s="2" t="s">
        <v>4883</v>
      </c>
      <c r="Z902" s="4">
        <v>16</v>
      </c>
      <c r="AA902" s="4">
        <f>=ROUNDDOWN(13.3333333333333,0)</f>
      </c>
      <c r="AB902" s="5">
        <v>1.2</v>
      </c>
      <c r="AC902" s="2" t="s">
        <v>228</v>
      </c>
      <c r="AD902" s="4"/>
      <c r="AE902" s="4"/>
      <c r="AF902" s="6">
        <v>64</v>
      </c>
      <c r="AG902" s="6"/>
      <c r="AH902" s="7">
        <v>0.6452</v>
      </c>
      <c r="AI902" s="4"/>
      <c r="AJ902" s="4">
        <f>=ROUNDDOWN({0},0)</f>
      </c>
      <c r="AK902" s="5"/>
      <c r="AL902" s="2" t="s">
        <v>228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228</v>
      </c>
      <c r="AW902" s="8" t="s">
        <v>228</v>
      </c>
      <c r="AX902" s="4" t="s">
        <v>228</v>
      </c>
      <c r="AY902" s="8" t="s">
        <v>228</v>
      </c>
      <c r="AZ902" s="7" t="s">
        <v>228</v>
      </c>
      <c r="BA902" s="7" t="s">
        <v>228</v>
      </c>
      <c r="BB902" s="7"/>
      <c r="BC902" s="4" t="s">
        <v>228</v>
      </c>
      <c r="BD902" s="8" t="s">
        <v>228</v>
      </c>
      <c r="BE902" s="4" t="s">
        <v>228</v>
      </c>
      <c r="BF902" s="8" t="s">
        <v>228</v>
      </c>
      <c r="BG902" s="7" t="s">
        <v>228</v>
      </c>
      <c r="BH902" s="7" t="s">
        <v>228</v>
      </c>
      <c r="BI902" s="7"/>
      <c r="BJ902" s="4"/>
      <c r="BK902" s="8"/>
      <c r="BL902" s="2" t="s">
        <v>4891</v>
      </c>
      <c r="BM902" s="7"/>
      <c r="BN902" s="7"/>
      <c r="BO902" s="4"/>
      <c r="BP902" s="8"/>
      <c r="BQ902" s="4"/>
      <c r="BR902" s="8"/>
      <c r="BS902" s="7"/>
      <c r="BT902" s="7"/>
      <c r="BU902" s="2" t="s">
        <v>4892</v>
      </c>
      <c r="BV902" s="2" t="s">
        <v>228</v>
      </c>
      <c r="BW902" s="2" t="s">
        <v>228</v>
      </c>
      <c r="BX902" s="2" t="s">
        <v>273</v>
      </c>
      <c r="BY902" s="2" t="s">
        <v>274</v>
      </c>
      <c r="BZ902" s="2" t="s">
        <v>240</v>
      </c>
      <c r="CA902" s="2" t="s">
        <v>781</v>
      </c>
      <c r="CB902" s="2" t="s">
        <v>4638</v>
      </c>
      <c r="CC902" s="2" t="s">
        <v>241</v>
      </c>
      <c r="CD902" s="2" t="s">
        <v>228</v>
      </c>
      <c r="CE902" s="4">
        <v>16</v>
      </c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</row>
    <row r="903">
      <c r="A903" s="2" t="s">
        <v>4893</v>
      </c>
      <c r="B903" s="2" t="s">
        <v>223</v>
      </c>
      <c r="C903" s="2" t="s">
        <v>849</v>
      </c>
      <c r="D903" s="2" t="s">
        <v>1112</v>
      </c>
      <c r="E903" s="2" t="s">
        <v>1165</v>
      </c>
      <c r="F903" s="2" t="s">
        <v>4881</v>
      </c>
      <c r="G903" s="2" t="s">
        <v>4881</v>
      </c>
      <c r="H903" s="2" t="s">
        <v>4881</v>
      </c>
      <c r="I903" s="2" t="s">
        <v>4882</v>
      </c>
      <c r="J903" s="2" t="s">
        <v>1043</v>
      </c>
      <c r="K903" s="2" t="s">
        <v>480</v>
      </c>
      <c r="L903" s="3">
        <v>43.49</v>
      </c>
      <c r="M903" s="3">
        <v>45.66</v>
      </c>
      <c r="N903" s="3">
        <v>74.99</v>
      </c>
      <c r="O903" s="2" t="s">
        <v>461</v>
      </c>
      <c r="P903" s="2" t="s">
        <v>1116</v>
      </c>
      <c r="Q903" s="2" t="s">
        <v>234</v>
      </c>
      <c r="R903" s="2" t="s">
        <v>727</v>
      </c>
      <c r="S903" s="2" t="s">
        <v>228</v>
      </c>
      <c r="T903" s="2" t="s">
        <v>1414</v>
      </c>
      <c r="U903" s="2" t="s">
        <v>500</v>
      </c>
      <c r="V903" s="2" t="s">
        <v>236</v>
      </c>
      <c r="W903" s="2" t="s">
        <v>228</v>
      </c>
      <c r="X903" s="2" t="s">
        <v>228</v>
      </c>
      <c r="Y903" s="2" t="s">
        <v>3334</v>
      </c>
      <c r="Z903" s="4">
        <v>20</v>
      </c>
      <c r="AA903" s="4">
        <f>=ROUNDDOWN(25,0)</f>
      </c>
      <c r="AB903" s="5">
        <v>0.8</v>
      </c>
      <c r="AC903" s="2" t="s">
        <v>228</v>
      </c>
      <c r="AD903" s="4"/>
      <c r="AE903" s="4"/>
      <c r="AF903" s="6">
        <v>64</v>
      </c>
      <c r="AG903" s="6"/>
      <c r="AH903" s="7">
        <v>0.6452</v>
      </c>
      <c r="AI903" s="4"/>
      <c r="AJ903" s="4">
        <f>=ROUNDDOWN({0},0)</f>
      </c>
      <c r="AK903" s="5"/>
      <c r="AL903" s="2" t="s">
        <v>228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228</v>
      </c>
      <c r="AW903" s="8" t="s">
        <v>228</v>
      </c>
      <c r="AX903" s="4" t="s">
        <v>228</v>
      </c>
      <c r="AY903" s="8" t="s">
        <v>228</v>
      </c>
      <c r="AZ903" s="7" t="s">
        <v>228</v>
      </c>
      <c r="BA903" s="7" t="s">
        <v>228</v>
      </c>
      <c r="BB903" s="7"/>
      <c r="BC903" s="4" t="s">
        <v>228</v>
      </c>
      <c r="BD903" s="8" t="s">
        <v>228</v>
      </c>
      <c r="BE903" s="4" t="s">
        <v>228</v>
      </c>
      <c r="BF903" s="8" t="s">
        <v>228</v>
      </c>
      <c r="BG903" s="7" t="s">
        <v>228</v>
      </c>
      <c r="BH903" s="7" t="s">
        <v>228</v>
      </c>
      <c r="BI903" s="7"/>
      <c r="BJ903" s="4"/>
      <c r="BK903" s="8"/>
      <c r="BL903" s="2" t="s">
        <v>1118</v>
      </c>
      <c r="BM903" s="7"/>
      <c r="BN903" s="7"/>
      <c r="BO903" s="4"/>
      <c r="BP903" s="8"/>
      <c r="BQ903" s="4"/>
      <c r="BR903" s="8"/>
      <c r="BS903" s="7"/>
      <c r="BT903" s="7"/>
      <c r="BU903" s="2" t="s">
        <v>4894</v>
      </c>
      <c r="BV903" s="2" t="s">
        <v>228</v>
      </c>
      <c r="BW903" s="2" t="s">
        <v>228</v>
      </c>
      <c r="BX903" s="2" t="s">
        <v>273</v>
      </c>
      <c r="BY903" s="2" t="s">
        <v>274</v>
      </c>
      <c r="BZ903" s="2" t="s">
        <v>240</v>
      </c>
      <c r="CA903" s="2" t="s">
        <v>781</v>
      </c>
      <c r="CB903" s="2" t="s">
        <v>228</v>
      </c>
      <c r="CC903" s="2" t="s">
        <v>241</v>
      </c>
      <c r="CD903" s="2" t="s">
        <v>228</v>
      </c>
      <c r="CE903" s="4">
        <v>20</v>
      </c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</row>
    <row r="904">
      <c r="A904" s="2" t="s">
        <v>4895</v>
      </c>
      <c r="B904" s="2" t="s">
        <v>223</v>
      </c>
      <c r="C904" s="2" t="s">
        <v>849</v>
      </c>
      <c r="D904" s="2" t="s">
        <v>1112</v>
      </c>
      <c r="E904" s="2" t="s">
        <v>1165</v>
      </c>
      <c r="F904" s="2" t="s">
        <v>4881</v>
      </c>
      <c r="G904" s="2" t="s">
        <v>4881</v>
      </c>
      <c r="H904" s="2" t="s">
        <v>4881</v>
      </c>
      <c r="I904" s="2" t="s">
        <v>4882</v>
      </c>
      <c r="J904" s="2" t="s">
        <v>856</v>
      </c>
      <c r="K904" s="2" t="s">
        <v>1653</v>
      </c>
      <c r="L904" s="3">
        <v>28.99</v>
      </c>
      <c r="M904" s="3">
        <v>30.44</v>
      </c>
      <c r="N904" s="3">
        <v>49.99</v>
      </c>
      <c r="O904" s="2" t="s">
        <v>461</v>
      </c>
      <c r="P904" s="2" t="s">
        <v>1116</v>
      </c>
      <c r="Q904" s="2" t="s">
        <v>234</v>
      </c>
      <c r="R904" s="2" t="s">
        <v>727</v>
      </c>
      <c r="S904" s="2" t="s">
        <v>228</v>
      </c>
      <c r="T904" s="2" t="s">
        <v>228</v>
      </c>
      <c r="U904" s="2" t="s">
        <v>520</v>
      </c>
      <c r="V904" s="2" t="s">
        <v>236</v>
      </c>
      <c r="W904" s="2" t="s">
        <v>228</v>
      </c>
      <c r="X904" s="2" t="s">
        <v>228</v>
      </c>
      <c r="Y904" s="2" t="s">
        <v>4896</v>
      </c>
      <c r="Z904" s="4">
        <v>44</v>
      </c>
      <c r="AA904" s="4">
        <f>=ROUNDDOWN(36.6666666666667,0)</f>
      </c>
      <c r="AB904" s="5">
        <v>1.2</v>
      </c>
      <c r="AC904" s="2" t="s">
        <v>228</v>
      </c>
      <c r="AD904" s="4"/>
      <c r="AE904" s="4"/>
      <c r="AF904" s="6">
        <v>64</v>
      </c>
      <c r="AG904" s="6"/>
      <c r="AH904" s="7">
        <v>1</v>
      </c>
      <c r="AI904" s="4"/>
      <c r="AJ904" s="4">
        <f>=ROUNDDOWN({0},0)</f>
      </c>
      <c r="AK904" s="5"/>
      <c r="AL904" s="2" t="s">
        <v>228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228</v>
      </c>
      <c r="AW904" s="8" t="s">
        <v>228</v>
      </c>
      <c r="AX904" s="4" t="s">
        <v>228</v>
      </c>
      <c r="AY904" s="8" t="s">
        <v>228</v>
      </c>
      <c r="AZ904" s="7" t="s">
        <v>228</v>
      </c>
      <c r="BA904" s="7" t="s">
        <v>228</v>
      </c>
      <c r="BB904" s="7"/>
      <c r="BC904" s="4" t="s">
        <v>228</v>
      </c>
      <c r="BD904" s="8" t="s">
        <v>228</v>
      </c>
      <c r="BE904" s="4" t="s">
        <v>228</v>
      </c>
      <c r="BF904" s="8" t="s">
        <v>228</v>
      </c>
      <c r="BG904" s="7" t="s">
        <v>228</v>
      </c>
      <c r="BH904" s="7" t="s">
        <v>228</v>
      </c>
      <c r="BI904" s="7"/>
      <c r="BJ904" s="4">
        <v>2</v>
      </c>
      <c r="BK904" s="8">
        <v>34.46</v>
      </c>
      <c r="BL904" s="2" t="s">
        <v>699</v>
      </c>
      <c r="BM904" s="7"/>
      <c r="BN904" s="7"/>
      <c r="BO904" s="4"/>
      <c r="BP904" s="8"/>
      <c r="BQ904" s="4"/>
      <c r="BR904" s="8"/>
      <c r="BS904" s="7"/>
      <c r="BT904" s="7"/>
      <c r="BU904" s="2" t="s">
        <v>4897</v>
      </c>
      <c r="BV904" s="2" t="s">
        <v>228</v>
      </c>
      <c r="BW904" s="2" t="s">
        <v>228</v>
      </c>
      <c r="BX904" s="2" t="s">
        <v>273</v>
      </c>
      <c r="BY904" s="2" t="s">
        <v>274</v>
      </c>
      <c r="BZ904" s="2" t="s">
        <v>240</v>
      </c>
      <c r="CA904" s="2" t="s">
        <v>781</v>
      </c>
      <c r="CB904" s="2" t="s">
        <v>4500</v>
      </c>
      <c r="CC904" s="2" t="s">
        <v>241</v>
      </c>
      <c r="CD904" s="2" t="s">
        <v>228</v>
      </c>
      <c r="CE904" s="4"/>
      <c r="CF904" s="4"/>
      <c r="CG904" s="4"/>
      <c r="CH904" s="4">
        <v>44</v>
      </c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</row>
    <row r="905">
      <c r="A905" s="2" t="s">
        <v>4898</v>
      </c>
      <c r="B905" s="2" t="s">
        <v>223</v>
      </c>
      <c r="C905" s="2" t="s">
        <v>849</v>
      </c>
      <c r="D905" s="2" t="s">
        <v>1112</v>
      </c>
      <c r="E905" s="2" t="s">
        <v>1165</v>
      </c>
      <c r="F905" s="2" t="s">
        <v>4881</v>
      </c>
      <c r="G905" s="2" t="s">
        <v>4881</v>
      </c>
      <c r="H905" s="2" t="s">
        <v>4881</v>
      </c>
      <c r="I905" s="2" t="s">
        <v>4882</v>
      </c>
      <c r="J905" s="2" t="s">
        <v>1189</v>
      </c>
      <c r="K905" s="2" t="s">
        <v>1653</v>
      </c>
      <c r="L905" s="3">
        <v>37.69</v>
      </c>
      <c r="M905" s="3">
        <v>39.57</v>
      </c>
      <c r="N905" s="3">
        <v>64.99</v>
      </c>
      <c r="O905" s="2" t="s">
        <v>461</v>
      </c>
      <c r="P905" s="2" t="s">
        <v>1116</v>
      </c>
      <c r="Q905" s="2" t="s">
        <v>234</v>
      </c>
      <c r="R905" s="2" t="s">
        <v>727</v>
      </c>
      <c r="S905" s="2" t="s">
        <v>228</v>
      </c>
      <c r="T905" s="2" t="s">
        <v>228</v>
      </c>
      <c r="U905" s="2" t="s">
        <v>500</v>
      </c>
      <c r="V905" s="2" t="s">
        <v>236</v>
      </c>
      <c r="W905" s="2" t="s">
        <v>228</v>
      </c>
      <c r="X905" s="2" t="s">
        <v>228</v>
      </c>
      <c r="Y905" s="2" t="s">
        <v>4896</v>
      </c>
      <c r="Z905" s="4">
        <v>102</v>
      </c>
      <c r="AA905" s="4">
        <f>=ROUNDDOWN(127.5,0)</f>
      </c>
      <c r="AB905" s="5">
        <v>0.8</v>
      </c>
      <c r="AC905" s="2" t="s">
        <v>228</v>
      </c>
      <c r="AD905" s="4"/>
      <c r="AE905" s="4"/>
      <c r="AF905" s="6">
        <v>64</v>
      </c>
      <c r="AG905" s="6"/>
      <c r="AH905" s="7">
        <v>1</v>
      </c>
      <c r="AI905" s="4"/>
      <c r="AJ905" s="4">
        <f>=ROUNDDOWN({0},0)</f>
      </c>
      <c r="AK905" s="5"/>
      <c r="AL905" s="2" t="s">
        <v>228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228</v>
      </c>
      <c r="AW905" s="8" t="s">
        <v>228</v>
      </c>
      <c r="AX905" s="4" t="s">
        <v>228</v>
      </c>
      <c r="AY905" s="8" t="s">
        <v>228</v>
      </c>
      <c r="AZ905" s="7" t="s">
        <v>228</v>
      </c>
      <c r="BA905" s="7" t="s">
        <v>228</v>
      </c>
      <c r="BB905" s="7"/>
      <c r="BC905" s="4" t="s">
        <v>228</v>
      </c>
      <c r="BD905" s="8" t="s">
        <v>228</v>
      </c>
      <c r="BE905" s="4" t="s">
        <v>228</v>
      </c>
      <c r="BF905" s="8" t="s">
        <v>228</v>
      </c>
      <c r="BG905" s="7" t="s">
        <v>228</v>
      </c>
      <c r="BH905" s="7" t="s">
        <v>228</v>
      </c>
      <c r="BI905" s="7"/>
      <c r="BJ905" s="4"/>
      <c r="BK905" s="8"/>
      <c r="BL905" s="2" t="s">
        <v>228</v>
      </c>
      <c r="BM905" s="7"/>
      <c r="BN905" s="7"/>
      <c r="BO905" s="4"/>
      <c r="BP905" s="8"/>
      <c r="BQ905" s="4"/>
      <c r="BR905" s="8"/>
      <c r="BS905" s="7"/>
      <c r="BT905" s="7"/>
      <c r="BU905" s="2" t="s">
        <v>4899</v>
      </c>
      <c r="BV905" s="2" t="s">
        <v>228</v>
      </c>
      <c r="BW905" s="2" t="s">
        <v>228</v>
      </c>
      <c r="BX905" s="2" t="s">
        <v>273</v>
      </c>
      <c r="BY905" s="2" t="s">
        <v>274</v>
      </c>
      <c r="BZ905" s="2" t="s">
        <v>240</v>
      </c>
      <c r="CA905" s="2" t="s">
        <v>781</v>
      </c>
      <c r="CB905" s="2" t="s">
        <v>228</v>
      </c>
      <c r="CC905" s="2" t="s">
        <v>241</v>
      </c>
      <c r="CD905" s="2" t="s">
        <v>228</v>
      </c>
      <c r="CE905" s="4"/>
      <c r="CF905" s="4"/>
      <c r="CG905" s="4"/>
      <c r="CH905" s="4">
        <v>102</v>
      </c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</row>
    <row r="906">
      <c r="A906" s="2" t="s">
        <v>4900</v>
      </c>
      <c r="B906" s="2" t="s">
        <v>223</v>
      </c>
      <c r="C906" s="2" t="s">
        <v>849</v>
      </c>
      <c r="D906" s="2" t="s">
        <v>1112</v>
      </c>
      <c r="E906" s="2" t="s">
        <v>1165</v>
      </c>
      <c r="F906" s="2" t="s">
        <v>4881</v>
      </c>
      <c r="G906" s="2" t="s">
        <v>4881</v>
      </c>
      <c r="H906" s="2" t="s">
        <v>4881</v>
      </c>
      <c r="I906" s="2" t="s">
        <v>4882</v>
      </c>
      <c r="J906" s="2" t="s">
        <v>1043</v>
      </c>
      <c r="K906" s="2" t="s">
        <v>1653</v>
      </c>
      <c r="L906" s="3">
        <v>43.49</v>
      </c>
      <c r="M906" s="3">
        <v>45.66</v>
      </c>
      <c r="N906" s="3">
        <v>74.99</v>
      </c>
      <c r="O906" s="2" t="s">
        <v>461</v>
      </c>
      <c r="P906" s="2" t="s">
        <v>1116</v>
      </c>
      <c r="Q906" s="2" t="s">
        <v>234</v>
      </c>
      <c r="R906" s="2" t="s">
        <v>727</v>
      </c>
      <c r="S906" s="2" t="s">
        <v>228</v>
      </c>
      <c r="T906" s="2" t="s">
        <v>228</v>
      </c>
      <c r="U906" s="2" t="s">
        <v>500</v>
      </c>
      <c r="V906" s="2" t="s">
        <v>236</v>
      </c>
      <c r="W906" s="2" t="s">
        <v>228</v>
      </c>
      <c r="X906" s="2" t="s">
        <v>228</v>
      </c>
      <c r="Y906" s="2" t="s">
        <v>4896</v>
      </c>
      <c r="Z906" s="4">
        <v>60</v>
      </c>
      <c r="AA906" s="4">
        <f>=ROUNDDOWN(35.2941176470588,0)</f>
      </c>
      <c r="AB906" s="5">
        <v>1.7</v>
      </c>
      <c r="AC906" s="2" t="s">
        <v>228</v>
      </c>
      <c r="AD906" s="4"/>
      <c r="AE906" s="4"/>
      <c r="AF906" s="6">
        <v>64</v>
      </c>
      <c r="AG906" s="6"/>
      <c r="AH906" s="7">
        <v>1</v>
      </c>
      <c r="AI906" s="4"/>
      <c r="AJ906" s="4">
        <f>=ROUNDDOWN({0},0)</f>
      </c>
      <c r="AK906" s="5"/>
      <c r="AL906" s="2" t="s">
        <v>228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228</v>
      </c>
      <c r="AW906" s="8" t="s">
        <v>228</v>
      </c>
      <c r="AX906" s="4" t="s">
        <v>228</v>
      </c>
      <c r="AY906" s="8" t="s">
        <v>228</v>
      </c>
      <c r="AZ906" s="7" t="s">
        <v>228</v>
      </c>
      <c r="BA906" s="7" t="s">
        <v>228</v>
      </c>
      <c r="BB906" s="7"/>
      <c r="BC906" s="4" t="s">
        <v>228</v>
      </c>
      <c r="BD906" s="8" t="s">
        <v>228</v>
      </c>
      <c r="BE906" s="4" t="s">
        <v>228</v>
      </c>
      <c r="BF906" s="8" t="s">
        <v>228</v>
      </c>
      <c r="BG906" s="7" t="s">
        <v>228</v>
      </c>
      <c r="BH906" s="7" t="s">
        <v>228</v>
      </c>
      <c r="BI906" s="7"/>
      <c r="BJ906" s="4"/>
      <c r="BK906" s="8"/>
      <c r="BL906" s="2" t="s">
        <v>228</v>
      </c>
      <c r="BM906" s="7"/>
      <c r="BN906" s="7"/>
      <c r="BO906" s="4"/>
      <c r="BP906" s="8"/>
      <c r="BQ906" s="4"/>
      <c r="BR906" s="8"/>
      <c r="BS906" s="7"/>
      <c r="BT906" s="7"/>
      <c r="BU906" s="2" t="s">
        <v>4901</v>
      </c>
      <c r="BV906" s="2" t="s">
        <v>228</v>
      </c>
      <c r="BW906" s="2" t="s">
        <v>228</v>
      </c>
      <c r="BX906" s="2" t="s">
        <v>273</v>
      </c>
      <c r="BY906" s="2" t="s">
        <v>274</v>
      </c>
      <c r="BZ906" s="2" t="s">
        <v>240</v>
      </c>
      <c r="CA906" s="2" t="s">
        <v>781</v>
      </c>
      <c r="CB906" s="2" t="s">
        <v>228</v>
      </c>
      <c r="CC906" s="2" t="s">
        <v>241</v>
      </c>
      <c r="CD906" s="2" t="s">
        <v>228</v>
      </c>
      <c r="CE906" s="4"/>
      <c r="CF906" s="4"/>
      <c r="CG906" s="4"/>
      <c r="CH906" s="4">
        <v>60</v>
      </c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</row>
    <row r="907">
      <c r="A907" s="2" t="s">
        <v>4902</v>
      </c>
      <c r="B907" s="2" t="s">
        <v>223</v>
      </c>
      <c r="C907" s="2" t="s">
        <v>731</v>
      </c>
      <c r="D907" s="2" t="s">
        <v>1407</v>
      </c>
      <c r="E907" s="2" t="s">
        <v>3636</v>
      </c>
      <c r="F907" s="2" t="s">
        <v>4903</v>
      </c>
      <c r="G907" s="2" t="s">
        <v>4903</v>
      </c>
      <c r="H907" s="2" t="s">
        <v>4903</v>
      </c>
      <c r="I907" s="2" t="s">
        <v>3638</v>
      </c>
      <c r="J907" s="2" t="s">
        <v>264</v>
      </c>
      <c r="K907" s="2" t="s">
        <v>2480</v>
      </c>
      <c r="L907" s="3">
        <v>49.12</v>
      </c>
      <c r="M907" s="3">
        <v>51.58</v>
      </c>
      <c r="N907" s="3">
        <v>104.99</v>
      </c>
      <c r="O907" s="2" t="s">
        <v>240</v>
      </c>
      <c r="P907" s="2" t="s">
        <v>715</v>
      </c>
      <c r="Q907" s="2" t="s">
        <v>234</v>
      </c>
      <c r="R907" s="2" t="s">
        <v>228</v>
      </c>
      <c r="S907" s="2" t="s">
        <v>4904</v>
      </c>
      <c r="T907" s="2" t="s">
        <v>675</v>
      </c>
      <c r="U907" s="2" t="s">
        <v>416</v>
      </c>
      <c r="V907" s="2" t="s">
        <v>236</v>
      </c>
      <c r="W907" s="2" t="s">
        <v>269</v>
      </c>
      <c r="X907" s="2" t="s">
        <v>1268</v>
      </c>
      <c r="Y907" s="2" t="s">
        <v>270</v>
      </c>
      <c r="Z907" s="4">
        <v>142</v>
      </c>
      <c r="AA907" s="4">
        <f>=ROUNDDOWN(5.25925925925926,0)</f>
      </c>
      <c r="AB907" s="5">
        <v>27</v>
      </c>
      <c r="AC907" s="2" t="s">
        <v>1014</v>
      </c>
      <c r="AD907" s="4">
        <v>150</v>
      </c>
      <c r="AE907" s="4">
        <v>340</v>
      </c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228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/>
      <c r="AW907" s="8"/>
      <c r="AX907" s="4"/>
      <c r="AY907" s="8"/>
      <c r="AZ907" s="7"/>
      <c r="BA907" s="7"/>
      <c r="BB907" s="7"/>
      <c r="BC907" s="4" t="s">
        <v>228</v>
      </c>
      <c r="BD907" s="8" t="s">
        <v>228</v>
      </c>
      <c r="BE907" s="4" t="s">
        <v>228</v>
      </c>
      <c r="BF907" s="8" t="s">
        <v>228</v>
      </c>
      <c r="BG907" s="7" t="s">
        <v>228</v>
      </c>
      <c r="BH907" s="7" t="s">
        <v>228</v>
      </c>
      <c r="BI907" s="7"/>
      <c r="BJ907" s="4">
        <v>10</v>
      </c>
      <c r="BK907" s="8">
        <v>530.73</v>
      </c>
      <c r="BL907" s="2" t="s">
        <v>4905</v>
      </c>
      <c r="BM907" s="7"/>
      <c r="BN907" s="7"/>
      <c r="BO907" s="4"/>
      <c r="BP907" s="8"/>
      <c r="BQ907" s="4"/>
      <c r="BR907" s="8"/>
      <c r="BS907" s="7"/>
      <c r="BT907" s="7"/>
      <c r="BU907" s="2" t="s">
        <v>4906</v>
      </c>
      <c r="BV907" s="2" t="s">
        <v>228</v>
      </c>
      <c r="BW907" s="2" t="s">
        <v>228</v>
      </c>
      <c r="BX907" s="2" t="s">
        <v>3813</v>
      </c>
      <c r="BY907" s="2" t="s">
        <v>274</v>
      </c>
      <c r="BZ907" s="2" t="s">
        <v>240</v>
      </c>
      <c r="CA907" s="2" t="s">
        <v>2655</v>
      </c>
      <c r="CB907" s="2" t="s">
        <v>4907</v>
      </c>
      <c r="CC907" s="2" t="s">
        <v>241</v>
      </c>
      <c r="CD907" s="2" t="s">
        <v>228</v>
      </c>
      <c r="CE907" s="4">
        <v>142</v>
      </c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>
        <v>150</v>
      </c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>
        <v>190</v>
      </c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</row>
    <row r="908">
      <c r="A908" s="2" t="s">
        <v>4908</v>
      </c>
      <c r="B908" s="2" t="s">
        <v>223</v>
      </c>
      <c r="C908" s="2" t="s">
        <v>731</v>
      </c>
      <c r="D908" s="2" t="s">
        <v>1407</v>
      </c>
      <c r="E908" s="2" t="s">
        <v>3636</v>
      </c>
      <c r="F908" s="2" t="s">
        <v>4903</v>
      </c>
      <c r="G908" s="2" t="s">
        <v>4903</v>
      </c>
      <c r="H908" s="2" t="s">
        <v>4903</v>
      </c>
      <c r="I908" s="2" t="s">
        <v>3638</v>
      </c>
      <c r="J908" s="2" t="s">
        <v>264</v>
      </c>
      <c r="K908" s="2" t="s">
        <v>265</v>
      </c>
      <c r="L908" s="3">
        <v>49.12</v>
      </c>
      <c r="M908" s="3">
        <v>51.58</v>
      </c>
      <c r="N908" s="3">
        <v>104.99</v>
      </c>
      <c r="O908" s="2" t="s">
        <v>240</v>
      </c>
      <c r="P908" s="2" t="s">
        <v>266</v>
      </c>
      <c r="Q908" s="2" t="s">
        <v>234</v>
      </c>
      <c r="R908" s="2" t="s">
        <v>228</v>
      </c>
      <c r="S908" s="2" t="s">
        <v>4909</v>
      </c>
      <c r="T908" s="2" t="s">
        <v>675</v>
      </c>
      <c r="U908" s="2" t="s">
        <v>416</v>
      </c>
      <c r="V908" s="2" t="s">
        <v>236</v>
      </c>
      <c r="W908" s="2" t="s">
        <v>269</v>
      </c>
      <c r="X908" s="2" t="s">
        <v>1268</v>
      </c>
      <c r="Y908" s="2" t="s">
        <v>4910</v>
      </c>
      <c r="Z908" s="4">
        <v>394</v>
      </c>
      <c r="AA908" s="4">
        <f>=ROUNDDOWN(30.3076923076923,0)</f>
      </c>
      <c r="AB908" s="5">
        <v>13</v>
      </c>
      <c r="AC908" s="2" t="s">
        <v>228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228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/>
      <c r="AW908" s="8"/>
      <c r="AX908" s="4"/>
      <c r="AY908" s="8"/>
      <c r="AZ908" s="7"/>
      <c r="BA908" s="7"/>
      <c r="BB908" s="7"/>
      <c r="BC908" s="4" t="s">
        <v>228</v>
      </c>
      <c r="BD908" s="8" t="s">
        <v>228</v>
      </c>
      <c r="BE908" s="4" t="s">
        <v>228</v>
      </c>
      <c r="BF908" s="8" t="s">
        <v>228</v>
      </c>
      <c r="BG908" s="7" t="s">
        <v>228</v>
      </c>
      <c r="BH908" s="7" t="s">
        <v>228</v>
      </c>
      <c r="BI908" s="7"/>
      <c r="BJ908" s="4">
        <v>3</v>
      </c>
      <c r="BK908" s="8">
        <v>162.83</v>
      </c>
      <c r="BL908" s="2" t="s">
        <v>4911</v>
      </c>
      <c r="BM908" s="7"/>
      <c r="BN908" s="7"/>
      <c r="BO908" s="4"/>
      <c r="BP908" s="8"/>
      <c r="BQ908" s="4"/>
      <c r="BR908" s="8"/>
      <c r="BS908" s="7"/>
      <c r="BT908" s="7"/>
      <c r="BU908" s="2" t="s">
        <v>4912</v>
      </c>
      <c r="BV908" s="2" t="s">
        <v>228</v>
      </c>
      <c r="BW908" s="2" t="s">
        <v>228</v>
      </c>
      <c r="BX908" s="2" t="s">
        <v>3813</v>
      </c>
      <c r="BY908" s="2" t="s">
        <v>274</v>
      </c>
      <c r="BZ908" s="2" t="s">
        <v>240</v>
      </c>
      <c r="CA908" s="2" t="s">
        <v>2655</v>
      </c>
      <c r="CB908" s="2" t="s">
        <v>609</v>
      </c>
      <c r="CC908" s="2" t="s">
        <v>241</v>
      </c>
      <c r="CD908" s="2" t="s">
        <v>228</v>
      </c>
      <c r="CE908" s="4">
        <v>394</v>
      </c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</row>
    <row r="909">
      <c r="A909" s="2" t="s">
        <v>4913</v>
      </c>
      <c r="B909" s="2" t="s">
        <v>223</v>
      </c>
      <c r="C909" s="2" t="s">
        <v>731</v>
      </c>
      <c r="D909" s="2" t="s">
        <v>1407</v>
      </c>
      <c r="E909" s="2" t="s">
        <v>3636</v>
      </c>
      <c r="F909" s="2" t="s">
        <v>4903</v>
      </c>
      <c r="G909" s="2" t="s">
        <v>4903</v>
      </c>
      <c r="H909" s="2" t="s">
        <v>4903</v>
      </c>
      <c r="I909" s="2" t="s">
        <v>3638</v>
      </c>
      <c r="J909" s="2" t="s">
        <v>264</v>
      </c>
      <c r="K909" s="2" t="s">
        <v>1421</v>
      </c>
      <c r="L909" s="3">
        <v>49.12</v>
      </c>
      <c r="M909" s="3">
        <v>51.58</v>
      </c>
      <c r="N909" s="3">
        <v>104.99</v>
      </c>
      <c r="O909" s="2" t="s">
        <v>240</v>
      </c>
      <c r="P909" s="2" t="s">
        <v>266</v>
      </c>
      <c r="Q909" s="2" t="s">
        <v>234</v>
      </c>
      <c r="R909" s="2" t="s">
        <v>228</v>
      </c>
      <c r="S909" s="2" t="s">
        <v>4914</v>
      </c>
      <c r="T909" s="2" t="s">
        <v>675</v>
      </c>
      <c r="U909" s="2" t="s">
        <v>416</v>
      </c>
      <c r="V909" s="2" t="s">
        <v>236</v>
      </c>
      <c r="W909" s="2" t="s">
        <v>269</v>
      </c>
      <c r="X909" s="2" t="s">
        <v>1268</v>
      </c>
      <c r="Y909" s="2" t="s">
        <v>270</v>
      </c>
      <c r="Z909" s="4">
        <v>244</v>
      </c>
      <c r="AA909" s="4">
        <f>=ROUNDDOWN(13.5555555555556,0)</f>
      </c>
      <c r="AB909" s="5">
        <v>18</v>
      </c>
      <c r="AC909" s="2" t="s">
        <v>160</v>
      </c>
      <c r="AD909" s="4">
        <v>150</v>
      </c>
      <c r="AE909" s="4">
        <v>220</v>
      </c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228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228</v>
      </c>
      <c r="AW909" s="8" t="s">
        <v>228</v>
      </c>
      <c r="AX909" s="4" t="s">
        <v>228</v>
      </c>
      <c r="AY909" s="8" t="s">
        <v>228</v>
      </c>
      <c r="AZ909" s="7" t="s">
        <v>228</v>
      </c>
      <c r="BA909" s="7" t="s">
        <v>228</v>
      </c>
      <c r="BB909" s="7"/>
      <c r="BC909" s="4" t="s">
        <v>228</v>
      </c>
      <c r="BD909" s="8" t="s">
        <v>228</v>
      </c>
      <c r="BE909" s="4" t="s">
        <v>228</v>
      </c>
      <c r="BF909" s="8" t="s">
        <v>228</v>
      </c>
      <c r="BG909" s="7" t="s">
        <v>228</v>
      </c>
      <c r="BH909" s="7" t="s">
        <v>228</v>
      </c>
      <c r="BI909" s="7"/>
      <c r="BJ909" s="4">
        <v>5</v>
      </c>
      <c r="BK909" s="8">
        <v>276.68</v>
      </c>
      <c r="BL909" s="2" t="s">
        <v>4915</v>
      </c>
      <c r="BM909" s="7"/>
      <c r="BN909" s="7"/>
      <c r="BO909" s="4"/>
      <c r="BP909" s="8"/>
      <c r="BQ909" s="4"/>
      <c r="BR909" s="8"/>
      <c r="BS909" s="7"/>
      <c r="BT909" s="7"/>
      <c r="BU909" s="2" t="s">
        <v>4916</v>
      </c>
      <c r="BV909" s="2" t="s">
        <v>228</v>
      </c>
      <c r="BW909" s="2" t="s">
        <v>228</v>
      </c>
      <c r="BX909" s="2" t="s">
        <v>3813</v>
      </c>
      <c r="BY909" s="2" t="s">
        <v>274</v>
      </c>
      <c r="BZ909" s="2" t="s">
        <v>240</v>
      </c>
      <c r="CA909" s="2" t="s">
        <v>2655</v>
      </c>
      <c r="CB909" s="2" t="s">
        <v>1365</v>
      </c>
      <c r="CC909" s="2" t="s">
        <v>241</v>
      </c>
      <c r="CD909" s="2" t="s">
        <v>228</v>
      </c>
      <c r="CE909" s="4">
        <v>244</v>
      </c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>
        <v>150</v>
      </c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>
        <v>70</v>
      </c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</row>
    <row r="910">
      <c r="A910" s="2" t="s">
        <v>4917</v>
      </c>
      <c r="B910" s="2" t="s">
        <v>223</v>
      </c>
      <c r="C910" s="2" t="s">
        <v>731</v>
      </c>
      <c r="D910" s="2" t="s">
        <v>1407</v>
      </c>
      <c r="E910" s="2" t="s">
        <v>3636</v>
      </c>
      <c r="F910" s="2" t="s">
        <v>4903</v>
      </c>
      <c r="G910" s="2" t="s">
        <v>4903</v>
      </c>
      <c r="H910" s="2" t="s">
        <v>4903</v>
      </c>
      <c r="I910" s="2" t="s">
        <v>3638</v>
      </c>
      <c r="J910" s="2" t="s">
        <v>284</v>
      </c>
      <c r="K910" s="2" t="s">
        <v>1421</v>
      </c>
      <c r="L910" s="3">
        <v>54.72</v>
      </c>
      <c r="M910" s="3">
        <v>57.46</v>
      </c>
      <c r="N910" s="3">
        <v>114.99</v>
      </c>
      <c r="O910" s="2" t="s">
        <v>240</v>
      </c>
      <c r="P910" s="2" t="s">
        <v>266</v>
      </c>
      <c r="Q910" s="2" t="s">
        <v>234</v>
      </c>
      <c r="R910" s="2" t="s">
        <v>228</v>
      </c>
      <c r="S910" s="2" t="s">
        <v>4914</v>
      </c>
      <c r="T910" s="2" t="s">
        <v>675</v>
      </c>
      <c r="U910" s="2" t="s">
        <v>416</v>
      </c>
      <c r="V910" s="2" t="s">
        <v>236</v>
      </c>
      <c r="W910" s="2" t="s">
        <v>269</v>
      </c>
      <c r="X910" s="2" t="s">
        <v>1268</v>
      </c>
      <c r="Y910" s="2" t="s">
        <v>270</v>
      </c>
      <c r="Z910" s="4">
        <v>207</v>
      </c>
      <c r="AA910" s="4">
        <f>=ROUNDDOWN(14.7857142857143,0)</f>
      </c>
      <c r="AB910" s="5">
        <v>14</v>
      </c>
      <c r="AC910" s="2" t="s">
        <v>1014</v>
      </c>
      <c r="AD910" s="4">
        <v>160</v>
      </c>
      <c r="AE910" s="4">
        <v>300</v>
      </c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228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228</v>
      </c>
      <c r="AW910" s="8" t="s">
        <v>228</v>
      </c>
      <c r="AX910" s="4" t="s">
        <v>228</v>
      </c>
      <c r="AY910" s="8" t="s">
        <v>228</v>
      </c>
      <c r="AZ910" s="7" t="s">
        <v>228</v>
      </c>
      <c r="BA910" s="7" t="s">
        <v>228</v>
      </c>
      <c r="BB910" s="7"/>
      <c r="BC910" s="4" t="s">
        <v>228</v>
      </c>
      <c r="BD910" s="8" t="s">
        <v>228</v>
      </c>
      <c r="BE910" s="4" t="s">
        <v>228</v>
      </c>
      <c r="BF910" s="8" t="s">
        <v>228</v>
      </c>
      <c r="BG910" s="7" t="s">
        <v>228</v>
      </c>
      <c r="BH910" s="7" t="s">
        <v>228</v>
      </c>
      <c r="BI910" s="7"/>
      <c r="BJ910" s="4">
        <v>3</v>
      </c>
      <c r="BK910" s="8">
        <v>156.96</v>
      </c>
      <c r="BL910" s="2" t="s">
        <v>4918</v>
      </c>
      <c r="BM910" s="7"/>
      <c r="BN910" s="7"/>
      <c r="BO910" s="4"/>
      <c r="BP910" s="8"/>
      <c r="BQ910" s="4"/>
      <c r="BR910" s="8"/>
      <c r="BS910" s="7"/>
      <c r="BT910" s="7"/>
      <c r="BU910" s="2" t="s">
        <v>4919</v>
      </c>
      <c r="BV910" s="2" t="s">
        <v>228</v>
      </c>
      <c r="BW910" s="2" t="s">
        <v>228</v>
      </c>
      <c r="BX910" s="2" t="s">
        <v>3813</v>
      </c>
      <c r="BY910" s="2" t="s">
        <v>274</v>
      </c>
      <c r="BZ910" s="2" t="s">
        <v>240</v>
      </c>
      <c r="CA910" s="2" t="s">
        <v>2655</v>
      </c>
      <c r="CB910" s="2" t="s">
        <v>609</v>
      </c>
      <c r="CC910" s="2" t="s">
        <v>241</v>
      </c>
      <c r="CD910" s="2" t="s">
        <v>228</v>
      </c>
      <c r="CE910" s="4">
        <v>207</v>
      </c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>
        <v>160</v>
      </c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>
        <v>140</v>
      </c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</row>
    <row r="911">
      <c r="A911" s="2" t="s">
        <v>4920</v>
      </c>
      <c r="B911" s="2" t="s">
        <v>223</v>
      </c>
      <c r="C911" s="2" t="s">
        <v>731</v>
      </c>
      <c r="D911" s="2" t="s">
        <v>1407</v>
      </c>
      <c r="E911" s="2" t="s">
        <v>3636</v>
      </c>
      <c r="F911" s="2" t="s">
        <v>4903</v>
      </c>
      <c r="G911" s="2" t="s">
        <v>4903</v>
      </c>
      <c r="H911" s="2" t="s">
        <v>4903</v>
      </c>
      <c r="I911" s="2" t="s">
        <v>3638</v>
      </c>
      <c r="J911" s="2" t="s">
        <v>264</v>
      </c>
      <c r="K911" s="2" t="s">
        <v>460</v>
      </c>
      <c r="L911" s="3">
        <v>49.12</v>
      </c>
      <c r="M911" s="3">
        <v>51.58</v>
      </c>
      <c r="N911" s="3">
        <v>104.99</v>
      </c>
      <c r="O911" s="2" t="s">
        <v>240</v>
      </c>
      <c r="P911" s="2" t="s">
        <v>266</v>
      </c>
      <c r="Q911" s="2" t="s">
        <v>234</v>
      </c>
      <c r="R911" s="2" t="s">
        <v>228</v>
      </c>
      <c r="S911" s="2" t="s">
        <v>4921</v>
      </c>
      <c r="T911" s="2" t="s">
        <v>675</v>
      </c>
      <c r="U911" s="2" t="s">
        <v>416</v>
      </c>
      <c r="V911" s="2" t="s">
        <v>236</v>
      </c>
      <c r="W911" s="2" t="s">
        <v>269</v>
      </c>
      <c r="X911" s="2" t="s">
        <v>1268</v>
      </c>
      <c r="Y911" s="2" t="s">
        <v>270</v>
      </c>
      <c r="Z911" s="4">
        <v>182</v>
      </c>
      <c r="AA911" s="4">
        <f>=ROUNDDOWN(15.1666666666667,0)</f>
      </c>
      <c r="AB911" s="5">
        <v>12</v>
      </c>
      <c r="AC911" s="2" t="s">
        <v>160</v>
      </c>
      <c r="AD911" s="4">
        <v>160</v>
      </c>
      <c r="AE911" s="4">
        <v>180</v>
      </c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228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/>
      <c r="AW911" s="8"/>
      <c r="AX911" s="4"/>
      <c r="AY911" s="8"/>
      <c r="AZ911" s="7"/>
      <c r="BA911" s="7"/>
      <c r="BB911" s="7"/>
      <c r="BC911" s="4" t="s">
        <v>228</v>
      </c>
      <c r="BD911" s="8" t="s">
        <v>228</v>
      </c>
      <c r="BE911" s="4" t="s">
        <v>228</v>
      </c>
      <c r="BF911" s="8" t="s">
        <v>228</v>
      </c>
      <c r="BG911" s="7" t="s">
        <v>228</v>
      </c>
      <c r="BH911" s="7" t="s">
        <v>228</v>
      </c>
      <c r="BI911" s="7"/>
      <c r="BJ911" s="4">
        <v>21</v>
      </c>
      <c r="BK911" s="8">
        <v>1108.19</v>
      </c>
      <c r="BL911" s="2" t="s">
        <v>4922</v>
      </c>
      <c r="BM911" s="7"/>
      <c r="BN911" s="7"/>
      <c r="BO911" s="4"/>
      <c r="BP911" s="8"/>
      <c r="BQ911" s="4"/>
      <c r="BR911" s="8"/>
      <c r="BS911" s="7"/>
      <c r="BT911" s="7"/>
      <c r="BU911" s="2" t="s">
        <v>4923</v>
      </c>
      <c r="BV911" s="2" t="s">
        <v>228</v>
      </c>
      <c r="BW911" s="2" t="s">
        <v>228</v>
      </c>
      <c r="BX911" s="2" t="s">
        <v>3813</v>
      </c>
      <c r="BY911" s="2" t="s">
        <v>274</v>
      </c>
      <c r="BZ911" s="2" t="s">
        <v>240</v>
      </c>
      <c r="CA911" s="2" t="s">
        <v>2655</v>
      </c>
      <c r="CB911" s="2" t="s">
        <v>1365</v>
      </c>
      <c r="CC911" s="2" t="s">
        <v>241</v>
      </c>
      <c r="CD911" s="2" t="s">
        <v>228</v>
      </c>
      <c r="CE911" s="4">
        <v>182</v>
      </c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>
        <v>160</v>
      </c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>
        <v>20</v>
      </c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</row>
    <row r="912">
      <c r="A912" s="2" t="s">
        <v>4924</v>
      </c>
      <c r="B912" s="2" t="s">
        <v>834</v>
      </c>
      <c r="C912" s="2" t="s">
        <v>885</v>
      </c>
      <c r="D912" s="2" t="s">
        <v>836</v>
      </c>
      <c r="E912" s="2" t="s">
        <v>837</v>
      </c>
      <c r="F912" s="2" t="s">
        <v>4925</v>
      </c>
      <c r="G912" s="2" t="s">
        <v>4925</v>
      </c>
      <c r="H912" s="2" t="s">
        <v>4925</v>
      </c>
      <c r="I912" s="2" t="s">
        <v>4926</v>
      </c>
      <c r="J912" s="2" t="s">
        <v>840</v>
      </c>
      <c r="K912" s="2" t="s">
        <v>4927</v>
      </c>
      <c r="L912" s="3">
        <v>182</v>
      </c>
      <c r="M912" s="3">
        <v>191.1</v>
      </c>
      <c r="N912" s="3">
        <v>369.99</v>
      </c>
      <c r="O912" s="2" t="s">
        <v>240</v>
      </c>
      <c r="P912" s="2" t="s">
        <v>233</v>
      </c>
      <c r="Q912" s="2" t="s">
        <v>234</v>
      </c>
      <c r="R912" s="2" t="s">
        <v>228</v>
      </c>
      <c r="S912" s="2" t="s">
        <v>228</v>
      </c>
      <c r="T912" s="2" t="s">
        <v>228</v>
      </c>
      <c r="U912" s="2" t="s">
        <v>416</v>
      </c>
      <c r="V912" s="2" t="s">
        <v>1946</v>
      </c>
      <c r="W912" s="2" t="s">
        <v>463</v>
      </c>
      <c r="X912" s="2" t="s">
        <v>892</v>
      </c>
      <c r="Y912" s="2" t="s">
        <v>228</v>
      </c>
      <c r="Z912" s="4"/>
      <c r="AA912" s="4">
        <f>=ROUNDDOWN({0},0)</f>
      </c>
      <c r="AB912" s="5"/>
      <c r="AC912" s="2" t="s">
        <v>215</v>
      </c>
      <c r="AD912" s="4">
        <v>200</v>
      </c>
      <c r="AE912" s="4">
        <v>200</v>
      </c>
      <c r="AF912" s="6">
        <v>72</v>
      </c>
      <c r="AG912" s="6"/>
      <c r="AH912" s="7"/>
      <c r="AI912" s="4"/>
      <c r="AJ912" s="4">
        <f>=ROUNDDOWN({0},0)</f>
      </c>
      <c r="AK912" s="5"/>
      <c r="AL912" s="2" t="s">
        <v>228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/>
      <c r="AW912" s="8"/>
      <c r="AX912" s="4"/>
      <c r="AY912" s="8"/>
      <c r="AZ912" s="7"/>
      <c r="BA912" s="7"/>
      <c r="BB912" s="7"/>
      <c r="BC912" s="4" t="s">
        <v>228</v>
      </c>
      <c r="BD912" s="8" t="s">
        <v>228</v>
      </c>
      <c r="BE912" s="4" t="s">
        <v>228</v>
      </c>
      <c r="BF912" s="8" t="s">
        <v>228</v>
      </c>
      <c r="BG912" s="7" t="s">
        <v>228</v>
      </c>
      <c r="BH912" s="7" t="s">
        <v>228</v>
      </c>
      <c r="BI912" s="7"/>
      <c r="BJ912" s="4"/>
      <c r="BK912" s="8"/>
      <c r="BL912" s="2" t="s">
        <v>228</v>
      </c>
      <c r="BM912" s="7"/>
      <c r="BN912" s="7"/>
      <c r="BO912" s="4"/>
      <c r="BP912" s="8"/>
      <c r="BQ912" s="4"/>
      <c r="BR912" s="8"/>
      <c r="BS912" s="7"/>
      <c r="BT912" s="7"/>
      <c r="BU912" s="2" t="s">
        <v>238</v>
      </c>
      <c r="BV912" s="2" t="s">
        <v>228</v>
      </c>
      <c r="BW912" s="2" t="s">
        <v>228</v>
      </c>
      <c r="BX912" s="2" t="s">
        <v>238</v>
      </c>
      <c r="BY912" s="2" t="s">
        <v>239</v>
      </c>
      <c r="BZ912" s="2" t="s">
        <v>240</v>
      </c>
      <c r="CA912" s="2" t="s">
        <v>228</v>
      </c>
      <c r="CB912" s="2" t="s">
        <v>228</v>
      </c>
      <c r="CC912" s="2" t="s">
        <v>241</v>
      </c>
      <c r="CD912" s="2" t="s">
        <v>228</v>
      </c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>
        <v>200</v>
      </c>
      <c r="GZ912" s="4"/>
      <c r="HA912" s="4"/>
      <c r="HB912" s="4"/>
      <c r="HC912" s="4"/>
      <c r="HD912" s="4"/>
      <c r="HE912" s="4"/>
    </row>
    <row r="913">
      <c r="A913" s="2" t="s">
        <v>4928</v>
      </c>
      <c r="B913" s="2" t="s">
        <v>834</v>
      </c>
      <c r="C913" s="2" t="s">
        <v>885</v>
      </c>
      <c r="D913" s="2" t="s">
        <v>836</v>
      </c>
      <c r="E913" s="2" t="s">
        <v>837</v>
      </c>
      <c r="F913" s="2" t="s">
        <v>4925</v>
      </c>
      <c r="G913" s="2" t="s">
        <v>4925</v>
      </c>
      <c r="H913" s="2" t="s">
        <v>4925</v>
      </c>
      <c r="I913" s="2" t="s">
        <v>4926</v>
      </c>
      <c r="J913" s="2" t="s">
        <v>840</v>
      </c>
      <c r="K913" s="2" t="s">
        <v>4929</v>
      </c>
      <c r="L913" s="3">
        <v>182</v>
      </c>
      <c r="M913" s="3">
        <v>191.1</v>
      </c>
      <c r="N913" s="3">
        <v>369.99</v>
      </c>
      <c r="O913" s="2" t="s">
        <v>240</v>
      </c>
      <c r="P913" s="2" t="s">
        <v>233</v>
      </c>
      <c r="Q913" s="2" t="s">
        <v>234</v>
      </c>
      <c r="R913" s="2" t="s">
        <v>228</v>
      </c>
      <c r="S913" s="2" t="s">
        <v>228</v>
      </c>
      <c r="T913" s="2" t="s">
        <v>228</v>
      </c>
      <c r="U913" s="2" t="s">
        <v>416</v>
      </c>
      <c r="V913" s="2" t="s">
        <v>1946</v>
      </c>
      <c r="W913" s="2" t="s">
        <v>463</v>
      </c>
      <c r="X913" s="2" t="s">
        <v>892</v>
      </c>
      <c r="Y913" s="2" t="s">
        <v>228</v>
      </c>
      <c r="Z913" s="4"/>
      <c r="AA913" s="4">
        <f>=ROUNDDOWN({0},0)</f>
      </c>
      <c r="AB913" s="5"/>
      <c r="AC913" s="2" t="s">
        <v>215</v>
      </c>
      <c r="AD913" s="4">
        <v>100</v>
      </c>
      <c r="AE913" s="4">
        <v>100</v>
      </c>
      <c r="AF913" s="6">
        <v>72</v>
      </c>
      <c r="AG913" s="6"/>
      <c r="AH913" s="7"/>
      <c r="AI913" s="4"/>
      <c r="AJ913" s="4">
        <f>=ROUNDDOWN({0},0)</f>
      </c>
      <c r="AK913" s="5"/>
      <c r="AL913" s="2" t="s">
        <v>228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/>
      <c r="AW913" s="8"/>
      <c r="AX913" s="4"/>
      <c r="AY913" s="8"/>
      <c r="AZ913" s="7"/>
      <c r="BA913" s="7"/>
      <c r="BB913" s="7"/>
      <c r="BC913" s="4" t="s">
        <v>228</v>
      </c>
      <c r="BD913" s="8" t="s">
        <v>228</v>
      </c>
      <c r="BE913" s="4" t="s">
        <v>228</v>
      </c>
      <c r="BF913" s="8" t="s">
        <v>228</v>
      </c>
      <c r="BG913" s="7" t="s">
        <v>228</v>
      </c>
      <c r="BH913" s="7" t="s">
        <v>228</v>
      </c>
      <c r="BI913" s="7"/>
      <c r="BJ913" s="4"/>
      <c r="BK913" s="8"/>
      <c r="BL913" s="2" t="s">
        <v>228</v>
      </c>
      <c r="BM913" s="7"/>
      <c r="BN913" s="7"/>
      <c r="BO913" s="4"/>
      <c r="BP913" s="8"/>
      <c r="BQ913" s="4"/>
      <c r="BR913" s="8"/>
      <c r="BS913" s="7"/>
      <c r="BT913" s="7"/>
      <c r="BU913" s="2" t="s">
        <v>238</v>
      </c>
      <c r="BV913" s="2" t="s">
        <v>228</v>
      </c>
      <c r="BW913" s="2" t="s">
        <v>228</v>
      </c>
      <c r="BX913" s="2" t="s">
        <v>238</v>
      </c>
      <c r="BY913" s="2" t="s">
        <v>239</v>
      </c>
      <c r="BZ913" s="2" t="s">
        <v>240</v>
      </c>
      <c r="CA913" s="2" t="s">
        <v>228</v>
      </c>
      <c r="CB913" s="2" t="s">
        <v>228</v>
      </c>
      <c r="CC913" s="2" t="s">
        <v>241</v>
      </c>
      <c r="CD913" s="2" t="s">
        <v>228</v>
      </c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>
        <v>100</v>
      </c>
      <c r="GZ913" s="4"/>
      <c r="HA913" s="4"/>
      <c r="HB913" s="4"/>
      <c r="HC913" s="4"/>
      <c r="HD913" s="4"/>
      <c r="HE913" s="4"/>
    </row>
    <row r="914">
      <c r="A914" s="2" t="s">
        <v>4930</v>
      </c>
      <c r="B914" s="2" t="s">
        <v>970</v>
      </c>
      <c r="C914" s="2" t="s">
        <v>300</v>
      </c>
      <c r="D914" s="2" t="s">
        <v>1497</v>
      </c>
      <c r="E914" s="2" t="s">
        <v>1498</v>
      </c>
      <c r="F914" s="2" t="s">
        <v>4931</v>
      </c>
      <c r="G914" s="2" t="s">
        <v>4932</v>
      </c>
      <c r="H914" s="2" t="s">
        <v>4933</v>
      </c>
      <c r="I914" s="2" t="s">
        <v>4934</v>
      </c>
      <c r="J914" s="2" t="s">
        <v>1959</v>
      </c>
      <c r="K914" s="2" t="s">
        <v>4935</v>
      </c>
      <c r="L914" s="3">
        <v>12.42</v>
      </c>
      <c r="M914" s="3">
        <v>13.04</v>
      </c>
      <c r="N914" s="3">
        <v>26.99</v>
      </c>
      <c r="O914" s="2" t="s">
        <v>240</v>
      </c>
      <c r="P914" s="2" t="s">
        <v>266</v>
      </c>
      <c r="Q914" s="2" t="s">
        <v>234</v>
      </c>
      <c r="R914" s="2" t="s">
        <v>228</v>
      </c>
      <c r="S914" s="2" t="s">
        <v>4936</v>
      </c>
      <c r="T914" s="2" t="s">
        <v>228</v>
      </c>
      <c r="U914" s="2" t="s">
        <v>228</v>
      </c>
      <c r="V914" s="2" t="s">
        <v>236</v>
      </c>
      <c r="W914" s="2" t="s">
        <v>743</v>
      </c>
      <c r="X914" s="2" t="s">
        <v>228</v>
      </c>
      <c r="Y914" s="2" t="s">
        <v>4937</v>
      </c>
      <c r="Z914" s="4">
        <v>641</v>
      </c>
      <c r="AA914" s="4">
        <f>=ROUNDDOWN(30.5238095238095,0)</f>
      </c>
      <c r="AB914" s="5">
        <v>21</v>
      </c>
      <c r="AC914" s="2" t="s">
        <v>1352</v>
      </c>
      <c r="AD914" s="4">
        <v>128</v>
      </c>
      <c r="AE914" s="4">
        <v>128</v>
      </c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228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/>
      <c r="AW914" s="8"/>
      <c r="AX914" s="4"/>
      <c r="AY914" s="8"/>
      <c r="AZ914" s="7"/>
      <c r="BA914" s="7"/>
      <c r="BB914" s="7"/>
      <c r="BC914" s="4"/>
      <c r="BD914" s="8"/>
      <c r="BE914" s="4"/>
      <c r="BF914" s="8"/>
      <c r="BG914" s="7"/>
      <c r="BH914" s="7"/>
      <c r="BI914" s="7"/>
      <c r="BJ914" s="4">
        <v>51</v>
      </c>
      <c r="BK914" s="8">
        <v>648.72</v>
      </c>
      <c r="BL914" s="2" t="s">
        <v>4938</v>
      </c>
      <c r="BM914" s="7"/>
      <c r="BN914" s="7"/>
      <c r="BO914" s="4"/>
      <c r="BP914" s="8"/>
      <c r="BQ914" s="4"/>
      <c r="BR914" s="8"/>
      <c r="BS914" s="7"/>
      <c r="BT914" s="7"/>
      <c r="BU914" s="2" t="s">
        <v>4939</v>
      </c>
      <c r="BV914" s="2" t="s">
        <v>228</v>
      </c>
      <c r="BW914" s="2" t="s">
        <v>228</v>
      </c>
      <c r="BX914" s="2" t="s">
        <v>273</v>
      </c>
      <c r="BY914" s="2" t="s">
        <v>274</v>
      </c>
      <c r="BZ914" s="2" t="s">
        <v>240</v>
      </c>
      <c r="CA914" s="2" t="s">
        <v>4940</v>
      </c>
      <c r="CB914" s="2" t="s">
        <v>4941</v>
      </c>
      <c r="CC914" s="2" t="s">
        <v>241</v>
      </c>
      <c r="CD914" s="2" t="s">
        <v>228</v>
      </c>
      <c r="CE914" s="4">
        <v>641</v>
      </c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>
        <v>128</v>
      </c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</row>
    <row r="915">
      <c r="A915" s="2" t="s">
        <v>4942</v>
      </c>
      <c r="B915" s="2" t="s">
        <v>958</v>
      </c>
      <c r="C915" s="2" t="s">
        <v>885</v>
      </c>
      <c r="D915" s="2" t="s">
        <v>2256</v>
      </c>
      <c r="E915" s="2" t="s">
        <v>2257</v>
      </c>
      <c r="F915" s="2" t="s">
        <v>4943</v>
      </c>
      <c r="G915" s="2" t="s">
        <v>4943</v>
      </c>
      <c r="H915" s="2" t="s">
        <v>4943</v>
      </c>
      <c r="I915" s="2" t="s">
        <v>4944</v>
      </c>
      <c r="J915" s="2" t="s">
        <v>840</v>
      </c>
      <c r="K915" s="2" t="s">
        <v>1357</v>
      </c>
      <c r="L915" s="3">
        <v>144</v>
      </c>
      <c r="M915" s="3">
        <v>151.2</v>
      </c>
      <c r="N915" s="3">
        <v>299</v>
      </c>
      <c r="O915" s="2" t="s">
        <v>240</v>
      </c>
      <c r="P915" s="2" t="s">
        <v>1012</v>
      </c>
      <c r="Q915" s="2" t="s">
        <v>234</v>
      </c>
      <c r="R915" s="2" t="s">
        <v>228</v>
      </c>
      <c r="S915" s="2" t="s">
        <v>4945</v>
      </c>
      <c r="T915" s="2" t="s">
        <v>228</v>
      </c>
      <c r="U915" s="2" t="s">
        <v>416</v>
      </c>
      <c r="V915" s="2" t="s">
        <v>236</v>
      </c>
      <c r="W915" s="2" t="s">
        <v>1761</v>
      </c>
      <c r="X915" s="2" t="s">
        <v>892</v>
      </c>
      <c r="Y915" s="2" t="s">
        <v>3195</v>
      </c>
      <c r="Z915" s="4">
        <v>122</v>
      </c>
      <c r="AA915" s="4">
        <f>=ROUNDDOWN(40.6666666666667,0)</f>
      </c>
      <c r="AB915" s="5">
        <v>3</v>
      </c>
      <c r="AC915" s="2" t="s">
        <v>228</v>
      </c>
      <c r="AD915" s="4"/>
      <c r="AE915" s="4"/>
      <c r="AF915" s="6">
        <v>66</v>
      </c>
      <c r="AG915" s="6">
        <v>49</v>
      </c>
      <c r="AH915" s="7">
        <v>1</v>
      </c>
      <c r="AI915" s="4"/>
      <c r="AJ915" s="4">
        <f>=ROUNDDOWN({0},0)</f>
      </c>
      <c r="AK915" s="5"/>
      <c r="AL915" s="2" t="s">
        <v>228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/>
      <c r="BD915" s="8"/>
      <c r="BE915" s="4"/>
      <c r="BF915" s="8"/>
      <c r="BG915" s="7"/>
      <c r="BH915" s="7"/>
      <c r="BI915" s="7"/>
      <c r="BJ915" s="4">
        <v>16</v>
      </c>
      <c r="BK915" s="8">
        <v>2143.58</v>
      </c>
      <c r="BL915" s="2" t="s">
        <v>4946</v>
      </c>
      <c r="BM915" s="7"/>
      <c r="BN915" s="7"/>
      <c r="BO915" s="4"/>
      <c r="BP915" s="8"/>
      <c r="BQ915" s="4"/>
      <c r="BR915" s="8"/>
      <c r="BS915" s="7"/>
      <c r="BT915" s="7"/>
      <c r="BU915" s="2" t="s">
        <v>4947</v>
      </c>
      <c r="BV915" s="2" t="s">
        <v>228</v>
      </c>
      <c r="BW915" s="2" t="s">
        <v>228</v>
      </c>
      <c r="BX915" s="2" t="s">
        <v>273</v>
      </c>
      <c r="BY915" s="2" t="s">
        <v>274</v>
      </c>
      <c r="BZ915" s="2" t="s">
        <v>240</v>
      </c>
      <c r="CA915" s="2" t="s">
        <v>4948</v>
      </c>
      <c r="CB915" s="2" t="s">
        <v>4949</v>
      </c>
      <c r="CC915" s="2" t="s">
        <v>241</v>
      </c>
      <c r="CD915" s="2" t="s">
        <v>228</v>
      </c>
      <c r="CE915" s="4"/>
      <c r="CF915" s="4">
        <v>120</v>
      </c>
      <c r="CG915" s="4"/>
      <c r="CH915" s="4">
        <v>2</v>
      </c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</row>
    <row r="916">
      <c r="A916" s="2" t="s">
        <v>4950</v>
      </c>
      <c r="B916" s="2" t="s">
        <v>834</v>
      </c>
      <c r="C916" s="2" t="s">
        <v>1743</v>
      </c>
      <c r="D916" s="2" t="s">
        <v>836</v>
      </c>
      <c r="E916" s="2" t="s">
        <v>837</v>
      </c>
      <c r="F916" s="2" t="s">
        <v>2969</v>
      </c>
      <c r="G916" s="2" t="s">
        <v>2969</v>
      </c>
      <c r="H916" s="2" t="s">
        <v>2969</v>
      </c>
      <c r="I916" s="2" t="s">
        <v>1144</v>
      </c>
      <c r="J916" s="2" t="s">
        <v>840</v>
      </c>
      <c r="K916" s="2" t="s">
        <v>316</v>
      </c>
      <c r="L916" s="3">
        <v>63.75</v>
      </c>
      <c r="M916" s="3">
        <v>66.94</v>
      </c>
      <c r="N916" s="3">
        <v>139.99</v>
      </c>
      <c r="O916" s="2" t="s">
        <v>461</v>
      </c>
      <c r="P916" s="2" t="s">
        <v>333</v>
      </c>
      <c r="Q916" s="2" t="s">
        <v>234</v>
      </c>
      <c r="R916" s="2" t="s">
        <v>228</v>
      </c>
      <c r="S916" s="2" t="s">
        <v>228</v>
      </c>
      <c r="T916" s="2" t="s">
        <v>228</v>
      </c>
      <c r="U916" s="2" t="s">
        <v>416</v>
      </c>
      <c r="V916" s="2" t="s">
        <v>842</v>
      </c>
      <c r="W916" s="2" t="s">
        <v>463</v>
      </c>
      <c r="X916" s="2" t="s">
        <v>1761</v>
      </c>
      <c r="Y916" s="2" t="s">
        <v>1146</v>
      </c>
      <c r="Z916" s="4">
        <v>84</v>
      </c>
      <c r="AA916" s="4">
        <f>=ROUNDDOWN(210,0)</f>
      </c>
      <c r="AB916" s="5">
        <v>0.4</v>
      </c>
      <c r="AC916" s="2" t="s">
        <v>228</v>
      </c>
      <c r="AD916" s="4"/>
      <c r="AE916" s="4"/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228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/>
      <c r="AW916" s="8"/>
      <c r="AX916" s="4"/>
      <c r="AY916" s="8"/>
      <c r="AZ916" s="7"/>
      <c r="BA916" s="7"/>
      <c r="BB916" s="7"/>
      <c r="BC916" s="4"/>
      <c r="BD916" s="8"/>
      <c r="BE916" s="4"/>
      <c r="BF916" s="8"/>
      <c r="BG916" s="7"/>
      <c r="BH916" s="7"/>
      <c r="BI916" s="7"/>
      <c r="BJ916" s="4">
        <v>2</v>
      </c>
      <c r="BK916" s="8">
        <v>73.41</v>
      </c>
      <c r="BL916" s="2" t="s">
        <v>4951</v>
      </c>
      <c r="BM916" s="7"/>
      <c r="BN916" s="7"/>
      <c r="BO916" s="4"/>
      <c r="BP916" s="8"/>
      <c r="BQ916" s="4"/>
      <c r="BR916" s="8"/>
      <c r="BS916" s="7"/>
      <c r="BT916" s="7"/>
      <c r="BU916" s="2" t="s">
        <v>4952</v>
      </c>
      <c r="BV916" s="2" t="s">
        <v>228</v>
      </c>
      <c r="BW916" s="2" t="s">
        <v>228</v>
      </c>
      <c r="BX916" s="2" t="s">
        <v>337</v>
      </c>
      <c r="BY916" s="2" t="s">
        <v>274</v>
      </c>
      <c r="BZ916" s="2" t="s">
        <v>240</v>
      </c>
      <c r="CA916" s="2" t="s">
        <v>4953</v>
      </c>
      <c r="CB916" s="2" t="s">
        <v>749</v>
      </c>
      <c r="CC916" s="2" t="s">
        <v>241</v>
      </c>
      <c r="CD916" s="2" t="s">
        <v>228</v>
      </c>
      <c r="CE916" s="4"/>
      <c r="CF916" s="4">
        <v>84</v>
      </c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</row>
    <row r="917">
      <c r="A917" s="2" t="s">
        <v>4954</v>
      </c>
      <c r="B917" s="2" t="s">
        <v>1150</v>
      </c>
      <c r="C917" s="2" t="s">
        <v>1463</v>
      </c>
      <c r="D917" s="2" t="s">
        <v>850</v>
      </c>
      <c r="E917" s="2" t="s">
        <v>851</v>
      </c>
      <c r="F917" s="2" t="s">
        <v>4955</v>
      </c>
      <c r="G917" s="2" t="s">
        <v>4955</v>
      </c>
      <c r="H917" s="2" t="s">
        <v>4955</v>
      </c>
      <c r="I917" s="2" t="s">
        <v>1465</v>
      </c>
      <c r="J917" s="2" t="s">
        <v>1189</v>
      </c>
      <c r="K917" s="2" t="s">
        <v>4956</v>
      </c>
      <c r="L917" s="3">
        <v>68.09</v>
      </c>
      <c r="M917" s="3">
        <v>71.49</v>
      </c>
      <c r="N917" s="3">
        <v>199.99</v>
      </c>
      <c r="O917" s="2" t="s">
        <v>240</v>
      </c>
      <c r="P917" s="2" t="s">
        <v>333</v>
      </c>
      <c r="Q917" s="2" t="s">
        <v>234</v>
      </c>
      <c r="R917" s="2" t="s">
        <v>228</v>
      </c>
      <c r="S917" s="2" t="s">
        <v>228</v>
      </c>
      <c r="T917" s="2" t="s">
        <v>350</v>
      </c>
      <c r="U917" s="2" t="s">
        <v>228</v>
      </c>
      <c r="V917" s="2" t="s">
        <v>236</v>
      </c>
      <c r="W917" s="2" t="s">
        <v>269</v>
      </c>
      <c r="X917" s="2" t="s">
        <v>228</v>
      </c>
      <c r="Y917" s="2" t="s">
        <v>4957</v>
      </c>
      <c r="Z917" s="4">
        <v>234</v>
      </c>
      <c r="AA917" s="4">
        <f>=ROUNDDOWN(234,0)</f>
      </c>
      <c r="AB917" s="5">
        <v>1</v>
      </c>
      <c r="AC917" s="2" t="s">
        <v>228</v>
      </c>
      <c r="AD917" s="4"/>
      <c r="AE917" s="4"/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228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228</v>
      </c>
      <c r="AW917" s="8" t="s">
        <v>228</v>
      </c>
      <c r="AX917" s="4" t="s">
        <v>228</v>
      </c>
      <c r="AY917" s="8" t="s">
        <v>228</v>
      </c>
      <c r="AZ917" s="7" t="s">
        <v>228</v>
      </c>
      <c r="BA917" s="7" t="s">
        <v>228</v>
      </c>
      <c r="BB917" s="7"/>
      <c r="BC917" s="4" t="s">
        <v>228</v>
      </c>
      <c r="BD917" s="8" t="s">
        <v>228</v>
      </c>
      <c r="BE917" s="4" t="s">
        <v>228</v>
      </c>
      <c r="BF917" s="8" t="s">
        <v>228</v>
      </c>
      <c r="BG917" s="7" t="s">
        <v>228</v>
      </c>
      <c r="BH917" s="7" t="s">
        <v>228</v>
      </c>
      <c r="BI917" s="7"/>
      <c r="BJ917" s="4">
        <v>9</v>
      </c>
      <c r="BK917" s="8">
        <v>561.43</v>
      </c>
      <c r="BL917" s="2" t="s">
        <v>4958</v>
      </c>
      <c r="BM917" s="7"/>
      <c r="BN917" s="7"/>
      <c r="BO917" s="4"/>
      <c r="BP917" s="8"/>
      <c r="BQ917" s="4"/>
      <c r="BR917" s="8"/>
      <c r="BS917" s="7"/>
      <c r="BT917" s="7"/>
      <c r="BU917" s="2" t="s">
        <v>4959</v>
      </c>
      <c r="BV917" s="2" t="s">
        <v>228</v>
      </c>
      <c r="BW917" s="2" t="s">
        <v>228</v>
      </c>
      <c r="BX917" s="2" t="s">
        <v>337</v>
      </c>
      <c r="BY917" s="2" t="s">
        <v>274</v>
      </c>
      <c r="BZ917" s="2" t="s">
        <v>240</v>
      </c>
      <c r="CA917" s="2" t="s">
        <v>1469</v>
      </c>
      <c r="CB917" s="2" t="s">
        <v>729</v>
      </c>
      <c r="CC917" s="2" t="s">
        <v>241</v>
      </c>
      <c r="CD917" s="2" t="s">
        <v>228</v>
      </c>
      <c r="CE917" s="4">
        <v>234</v>
      </c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</row>
    <row r="918">
      <c r="A918" s="2" t="s">
        <v>4960</v>
      </c>
      <c r="B918" s="2" t="s">
        <v>1150</v>
      </c>
      <c r="C918" s="2" t="s">
        <v>1463</v>
      </c>
      <c r="D918" s="2" t="s">
        <v>850</v>
      </c>
      <c r="E918" s="2" t="s">
        <v>851</v>
      </c>
      <c r="F918" s="2" t="s">
        <v>4955</v>
      </c>
      <c r="G918" s="2" t="s">
        <v>4955</v>
      </c>
      <c r="H918" s="2" t="s">
        <v>4955</v>
      </c>
      <c r="I918" s="2" t="s">
        <v>1465</v>
      </c>
      <c r="J918" s="2" t="s">
        <v>1043</v>
      </c>
      <c r="K918" s="2" t="s">
        <v>4956</v>
      </c>
      <c r="L918" s="3">
        <v>85.12</v>
      </c>
      <c r="M918" s="3">
        <v>89.38</v>
      </c>
      <c r="N918" s="3">
        <v>249.99</v>
      </c>
      <c r="O918" s="2" t="s">
        <v>240</v>
      </c>
      <c r="P918" s="2" t="s">
        <v>333</v>
      </c>
      <c r="Q918" s="2" t="s">
        <v>234</v>
      </c>
      <c r="R918" s="2" t="s">
        <v>228</v>
      </c>
      <c r="S918" s="2" t="s">
        <v>228</v>
      </c>
      <c r="T918" s="2" t="s">
        <v>350</v>
      </c>
      <c r="U918" s="2" t="s">
        <v>228</v>
      </c>
      <c r="V918" s="2" t="s">
        <v>236</v>
      </c>
      <c r="W918" s="2" t="s">
        <v>269</v>
      </c>
      <c r="X918" s="2" t="s">
        <v>228</v>
      </c>
      <c r="Y918" s="2" t="s">
        <v>4957</v>
      </c>
      <c r="Z918" s="4">
        <v>125</v>
      </c>
      <c r="AA918" s="4">
        <f>=ROUNDDOWN(125,0)</f>
      </c>
      <c r="AB918" s="5">
        <v>1</v>
      </c>
      <c r="AC918" s="2" t="s">
        <v>228</v>
      </c>
      <c r="AD918" s="4"/>
      <c r="AE918" s="4"/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228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228</v>
      </c>
      <c r="AW918" s="8" t="s">
        <v>228</v>
      </c>
      <c r="AX918" s="4" t="s">
        <v>228</v>
      </c>
      <c r="AY918" s="8" t="s">
        <v>228</v>
      </c>
      <c r="AZ918" s="7" t="s">
        <v>228</v>
      </c>
      <c r="BA918" s="7" t="s">
        <v>228</v>
      </c>
      <c r="BB918" s="7"/>
      <c r="BC918" s="4" t="s">
        <v>228</v>
      </c>
      <c r="BD918" s="8" t="s">
        <v>228</v>
      </c>
      <c r="BE918" s="4" t="s">
        <v>228</v>
      </c>
      <c r="BF918" s="8" t="s">
        <v>228</v>
      </c>
      <c r="BG918" s="7" t="s">
        <v>228</v>
      </c>
      <c r="BH918" s="7" t="s">
        <v>228</v>
      </c>
      <c r="BI918" s="7"/>
      <c r="BJ918" s="4">
        <v>6</v>
      </c>
      <c r="BK918" s="8">
        <v>294.94</v>
      </c>
      <c r="BL918" s="2" t="s">
        <v>4958</v>
      </c>
      <c r="BM918" s="7"/>
      <c r="BN918" s="7"/>
      <c r="BO918" s="4"/>
      <c r="BP918" s="8"/>
      <c r="BQ918" s="4"/>
      <c r="BR918" s="8"/>
      <c r="BS918" s="7"/>
      <c r="BT918" s="7"/>
      <c r="BU918" s="2" t="s">
        <v>4961</v>
      </c>
      <c r="BV918" s="2" t="s">
        <v>228</v>
      </c>
      <c r="BW918" s="2" t="s">
        <v>228</v>
      </c>
      <c r="BX918" s="2" t="s">
        <v>337</v>
      </c>
      <c r="BY918" s="2" t="s">
        <v>274</v>
      </c>
      <c r="BZ918" s="2" t="s">
        <v>240</v>
      </c>
      <c r="CA918" s="2" t="s">
        <v>1469</v>
      </c>
      <c r="CB918" s="2" t="s">
        <v>4962</v>
      </c>
      <c r="CC918" s="2" t="s">
        <v>241</v>
      </c>
      <c r="CD918" s="2" t="s">
        <v>228</v>
      </c>
      <c r="CE918" s="4">
        <v>125</v>
      </c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</row>
    <row r="919">
      <c r="A919" s="2" t="s">
        <v>4963</v>
      </c>
      <c r="B919" s="2" t="s">
        <v>834</v>
      </c>
      <c r="C919" s="2" t="s">
        <v>1142</v>
      </c>
      <c r="D919" s="2" t="s">
        <v>1028</v>
      </c>
      <c r="E919" s="2" t="s">
        <v>1029</v>
      </c>
      <c r="F919" s="2" t="s">
        <v>4964</v>
      </c>
      <c r="G919" s="2" t="s">
        <v>4964</v>
      </c>
      <c r="H919" s="2" t="s">
        <v>4964</v>
      </c>
      <c r="I919" s="2" t="s">
        <v>4965</v>
      </c>
      <c r="J919" s="2" t="s">
        <v>840</v>
      </c>
      <c r="K919" s="2" t="s">
        <v>4966</v>
      </c>
      <c r="L919" s="3">
        <v>39.9</v>
      </c>
      <c r="M919" s="3">
        <v>41.9</v>
      </c>
      <c r="N919" s="3">
        <v>84.99</v>
      </c>
      <c r="O919" s="2" t="s">
        <v>461</v>
      </c>
      <c r="P919" s="2" t="s">
        <v>333</v>
      </c>
      <c r="Q919" s="2" t="s">
        <v>234</v>
      </c>
      <c r="R919" s="2" t="s">
        <v>228</v>
      </c>
      <c r="S919" s="2" t="s">
        <v>228</v>
      </c>
      <c r="T919" s="2" t="s">
        <v>228</v>
      </c>
      <c r="U919" s="2" t="s">
        <v>416</v>
      </c>
      <c r="V919" s="2" t="s">
        <v>842</v>
      </c>
      <c r="W919" s="2" t="s">
        <v>1761</v>
      </c>
      <c r="X919" s="2" t="s">
        <v>228</v>
      </c>
      <c r="Y919" s="2" t="s">
        <v>2076</v>
      </c>
      <c r="Z919" s="4">
        <v>155</v>
      </c>
      <c r="AA919" s="4">
        <f>=ROUNDDOWN(516.666666666667,0)</f>
      </c>
      <c r="AB919" s="5">
        <v>0.3</v>
      </c>
      <c r="AC919" s="2" t="s">
        <v>228</v>
      </c>
      <c r="AD919" s="4"/>
      <c r="AE919" s="4"/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228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/>
      <c r="AW919" s="8"/>
      <c r="AX919" s="4"/>
      <c r="AY919" s="8"/>
      <c r="AZ919" s="7"/>
      <c r="BA919" s="7"/>
      <c r="BB919" s="7"/>
      <c r="BC919" s="4"/>
      <c r="BD919" s="8"/>
      <c r="BE919" s="4"/>
      <c r="BF919" s="8"/>
      <c r="BG919" s="7"/>
      <c r="BH919" s="7"/>
      <c r="BI919" s="7"/>
      <c r="BJ919" s="4"/>
      <c r="BK919" s="8"/>
      <c r="BL919" s="2" t="s">
        <v>228</v>
      </c>
      <c r="BM919" s="7"/>
      <c r="BN919" s="7"/>
      <c r="BO919" s="4"/>
      <c r="BP919" s="8"/>
      <c r="BQ919" s="4"/>
      <c r="BR919" s="8"/>
      <c r="BS919" s="7"/>
      <c r="BT919" s="7"/>
      <c r="BU919" s="2" t="s">
        <v>4967</v>
      </c>
      <c r="BV919" s="2" t="s">
        <v>228</v>
      </c>
      <c r="BW919" s="2" t="s">
        <v>228</v>
      </c>
      <c r="BX919" s="2" t="s">
        <v>337</v>
      </c>
      <c r="BY919" s="2" t="s">
        <v>274</v>
      </c>
      <c r="BZ919" s="2" t="s">
        <v>240</v>
      </c>
      <c r="CA919" s="2" t="s">
        <v>2079</v>
      </c>
      <c r="CB919" s="2" t="s">
        <v>4640</v>
      </c>
      <c r="CC919" s="2" t="s">
        <v>241</v>
      </c>
      <c r="CD919" s="2" t="s">
        <v>228</v>
      </c>
      <c r="CE919" s="4"/>
      <c r="CF919" s="4">
        <v>155</v>
      </c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</row>
    <row r="920">
      <c r="A920" s="2" t="s">
        <v>4968</v>
      </c>
      <c r="B920" s="2" t="s">
        <v>223</v>
      </c>
      <c r="C920" s="2" t="s">
        <v>300</v>
      </c>
      <c r="D920" s="2" t="s">
        <v>1601</v>
      </c>
      <c r="E920" s="2" t="s">
        <v>2421</v>
      </c>
      <c r="F920" s="2" t="s">
        <v>4969</v>
      </c>
      <c r="G920" s="2" t="s">
        <v>4970</v>
      </c>
      <c r="H920" s="2" t="s">
        <v>228</v>
      </c>
      <c r="I920" s="2" t="s">
        <v>4971</v>
      </c>
      <c r="J920" s="2" t="s">
        <v>4972</v>
      </c>
      <c r="K920" s="2" t="s">
        <v>249</v>
      </c>
      <c r="L920" s="3">
        <v>15.87</v>
      </c>
      <c r="M920" s="3">
        <v>16.66</v>
      </c>
      <c r="N920" s="3">
        <v>34.99</v>
      </c>
      <c r="O920" s="2" t="s">
        <v>240</v>
      </c>
      <c r="P920" s="2" t="s">
        <v>266</v>
      </c>
      <c r="Q920" s="2" t="s">
        <v>234</v>
      </c>
      <c r="R920" s="2" t="s">
        <v>228</v>
      </c>
      <c r="S920" s="2" t="s">
        <v>4973</v>
      </c>
      <c r="T920" s="2" t="s">
        <v>3112</v>
      </c>
      <c r="U920" s="2" t="s">
        <v>228</v>
      </c>
      <c r="V920" s="2" t="s">
        <v>980</v>
      </c>
      <c r="W920" s="2" t="s">
        <v>743</v>
      </c>
      <c r="X920" s="2" t="s">
        <v>228</v>
      </c>
      <c r="Y920" s="2" t="s">
        <v>1622</v>
      </c>
      <c r="Z920" s="4">
        <v>1053</v>
      </c>
      <c r="AA920" s="4">
        <f>=ROUNDDOWN(87.75,0)</f>
      </c>
      <c r="AB920" s="5">
        <v>12</v>
      </c>
      <c r="AC920" s="2" t="s">
        <v>4974</v>
      </c>
      <c r="AD920" s="4">
        <v>1000</v>
      </c>
      <c r="AE920" s="4">
        <v>2000</v>
      </c>
      <c r="AF920" s="6">
        <v>64</v>
      </c>
      <c r="AG920" s="6"/>
      <c r="AH920" s="7">
        <v>1</v>
      </c>
      <c r="AI920" s="4"/>
      <c r="AJ920" s="4">
        <f>=ROUNDDOWN({0},0)</f>
      </c>
      <c r="AK920" s="5"/>
      <c r="AL920" s="2" t="s">
        <v>228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/>
      <c r="AW920" s="8"/>
      <c r="AX920" s="4"/>
      <c r="AY920" s="8"/>
      <c r="AZ920" s="7"/>
      <c r="BA920" s="7"/>
      <c r="BB920" s="7"/>
      <c r="BC920" s="4"/>
      <c r="BD920" s="8"/>
      <c r="BE920" s="4"/>
      <c r="BF920" s="8"/>
      <c r="BG920" s="7"/>
      <c r="BH920" s="7"/>
      <c r="BI920" s="7"/>
      <c r="BJ920" s="4">
        <v>43</v>
      </c>
      <c r="BK920" s="8">
        <v>682.57</v>
      </c>
      <c r="BL920" s="2" t="s">
        <v>1471</v>
      </c>
      <c r="BM920" s="7"/>
      <c r="BN920" s="7"/>
      <c r="BO920" s="4"/>
      <c r="BP920" s="8"/>
      <c r="BQ920" s="4"/>
      <c r="BR920" s="8"/>
      <c r="BS920" s="7"/>
      <c r="BT920" s="7"/>
      <c r="BU920" s="2" t="s">
        <v>4975</v>
      </c>
      <c r="BV920" s="2" t="s">
        <v>228</v>
      </c>
      <c r="BW920" s="2" t="s">
        <v>228</v>
      </c>
      <c r="BX920" s="2" t="s">
        <v>273</v>
      </c>
      <c r="BY920" s="2" t="s">
        <v>274</v>
      </c>
      <c r="BZ920" s="2" t="s">
        <v>240</v>
      </c>
      <c r="CA920" s="2" t="s">
        <v>4976</v>
      </c>
      <c r="CB920" s="2" t="s">
        <v>1649</v>
      </c>
      <c r="CC920" s="2" t="s">
        <v>241</v>
      </c>
      <c r="CD920" s="2" t="s">
        <v>228</v>
      </c>
      <c r="CE920" s="4">
        <v>1053</v>
      </c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>
        <v>1000</v>
      </c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>
        <v>1000</v>
      </c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</row>
    <row r="921">
      <c r="A921" s="2" t="s">
        <v>4977</v>
      </c>
      <c r="B921" s="2" t="s">
        <v>958</v>
      </c>
      <c r="C921" s="2" t="s">
        <v>885</v>
      </c>
      <c r="D921" s="2" t="s">
        <v>1795</v>
      </c>
      <c r="E921" s="2" t="s">
        <v>1796</v>
      </c>
      <c r="F921" s="2" t="s">
        <v>4978</v>
      </c>
      <c r="G921" s="2" t="s">
        <v>4978</v>
      </c>
      <c r="H921" s="2" t="s">
        <v>4978</v>
      </c>
      <c r="I921" s="2" t="s">
        <v>4979</v>
      </c>
      <c r="J921" s="2" t="s">
        <v>840</v>
      </c>
      <c r="K921" s="2" t="s">
        <v>4980</v>
      </c>
      <c r="L921" s="3">
        <v>184.5</v>
      </c>
      <c r="M921" s="3">
        <v>193.72</v>
      </c>
      <c r="N921" s="3">
        <v>389</v>
      </c>
      <c r="O921" s="2" t="s">
        <v>240</v>
      </c>
      <c r="P921" s="2" t="s">
        <v>266</v>
      </c>
      <c r="Q921" s="2" t="s">
        <v>234</v>
      </c>
      <c r="R921" s="2" t="s">
        <v>228</v>
      </c>
      <c r="S921" s="2" t="s">
        <v>228</v>
      </c>
      <c r="T921" s="2" t="s">
        <v>228</v>
      </c>
      <c r="U921" s="2" t="s">
        <v>416</v>
      </c>
      <c r="V921" s="2" t="s">
        <v>842</v>
      </c>
      <c r="W921" s="2" t="s">
        <v>1761</v>
      </c>
      <c r="X921" s="2" t="s">
        <v>4981</v>
      </c>
      <c r="Y921" s="2" t="s">
        <v>4982</v>
      </c>
      <c r="Z921" s="4">
        <v>74</v>
      </c>
      <c r="AA921" s="4">
        <f>=ROUNDDOWN(8.22222222222222,0)</f>
      </c>
      <c r="AB921" s="5">
        <v>9</v>
      </c>
      <c r="AC921" s="2" t="s">
        <v>4983</v>
      </c>
      <c r="AD921" s="4">
        <v>80</v>
      </c>
      <c r="AE921" s="4">
        <v>150</v>
      </c>
      <c r="AF921" s="6">
        <v>74</v>
      </c>
      <c r="AG921" s="6">
        <v>60</v>
      </c>
      <c r="AH921" s="7">
        <v>0.9355</v>
      </c>
      <c r="AI921" s="4"/>
      <c r="AJ921" s="4">
        <f>=ROUNDDOWN({0},0)</f>
      </c>
      <c r="AK921" s="5"/>
      <c r="AL921" s="2" t="s">
        <v>228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/>
      <c r="AW921" s="8"/>
      <c r="AX921" s="4"/>
      <c r="AY921" s="8"/>
      <c r="AZ921" s="7"/>
      <c r="BA921" s="7"/>
      <c r="BB921" s="7"/>
      <c r="BC921" s="4"/>
      <c r="BD921" s="8"/>
      <c r="BE921" s="4"/>
      <c r="BF921" s="8"/>
      <c r="BG921" s="7"/>
      <c r="BH921" s="7"/>
      <c r="BI921" s="7"/>
      <c r="BJ921" s="4">
        <v>29</v>
      </c>
      <c r="BK921" s="8">
        <v>5403.48</v>
      </c>
      <c r="BL921" s="2" t="s">
        <v>3616</v>
      </c>
      <c r="BM921" s="7"/>
      <c r="BN921" s="7"/>
      <c r="BO921" s="4"/>
      <c r="BP921" s="8"/>
      <c r="BQ921" s="4"/>
      <c r="BR921" s="8"/>
      <c r="BS921" s="7"/>
      <c r="BT921" s="7"/>
      <c r="BU921" s="2" t="s">
        <v>4984</v>
      </c>
      <c r="BV921" s="2" t="s">
        <v>228</v>
      </c>
      <c r="BW921" s="2" t="s">
        <v>228</v>
      </c>
      <c r="BX921" s="2" t="s">
        <v>735</v>
      </c>
      <c r="BY921" s="2" t="s">
        <v>274</v>
      </c>
      <c r="BZ921" s="2" t="s">
        <v>240</v>
      </c>
      <c r="CA921" s="2" t="s">
        <v>4985</v>
      </c>
      <c r="CB921" s="2" t="s">
        <v>2673</v>
      </c>
      <c r="CC921" s="2" t="s">
        <v>241</v>
      </c>
      <c r="CD921" s="2" t="s">
        <v>228</v>
      </c>
      <c r="CE921" s="4"/>
      <c r="CF921" s="4">
        <v>74</v>
      </c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>
        <v>80</v>
      </c>
      <c r="EO921" s="4"/>
      <c r="EP921" s="4"/>
      <c r="EQ921" s="4"/>
      <c r="ER921" s="4"/>
      <c r="ES921" s="4">
        <v>70</v>
      </c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</row>
    <row r="922">
      <c r="A922" s="2" t="s">
        <v>4986</v>
      </c>
      <c r="B922" s="2" t="s">
        <v>958</v>
      </c>
      <c r="C922" s="2" t="s">
        <v>300</v>
      </c>
      <c r="D922" s="2" t="s">
        <v>1795</v>
      </c>
      <c r="E922" s="2" t="s">
        <v>1796</v>
      </c>
      <c r="F922" s="2" t="s">
        <v>4987</v>
      </c>
      <c r="G922" s="2" t="s">
        <v>4988</v>
      </c>
      <c r="H922" s="2" t="s">
        <v>4989</v>
      </c>
      <c r="I922" s="2" t="s">
        <v>4990</v>
      </c>
      <c r="J922" s="2" t="s">
        <v>840</v>
      </c>
      <c r="K922" s="2" t="s">
        <v>1105</v>
      </c>
      <c r="L922" s="3">
        <v>232.97</v>
      </c>
      <c r="M922" s="3">
        <v>244.62</v>
      </c>
      <c r="N922" s="3">
        <v>499</v>
      </c>
      <c r="O922" s="2" t="s">
        <v>240</v>
      </c>
      <c r="P922" s="2" t="s">
        <v>333</v>
      </c>
      <c r="Q922" s="2" t="s">
        <v>234</v>
      </c>
      <c r="R922" s="2" t="s">
        <v>228</v>
      </c>
      <c r="S922" s="2" t="s">
        <v>228</v>
      </c>
      <c r="T922" s="2" t="s">
        <v>228</v>
      </c>
      <c r="U922" s="2" t="s">
        <v>520</v>
      </c>
      <c r="V922" s="2" t="s">
        <v>236</v>
      </c>
      <c r="W922" s="2" t="s">
        <v>417</v>
      </c>
      <c r="X922" s="2" t="s">
        <v>228</v>
      </c>
      <c r="Y922" s="2" t="s">
        <v>994</v>
      </c>
      <c r="Z922" s="4">
        <v>98</v>
      </c>
      <c r="AA922" s="4">
        <f>=ROUNDDOWN(24.5,0)</f>
      </c>
      <c r="AB922" s="5">
        <v>4</v>
      </c>
      <c r="AC922" s="2" t="s">
        <v>228</v>
      </c>
      <c r="AD922" s="4"/>
      <c r="AE922" s="4"/>
      <c r="AF922" s="6">
        <v>66</v>
      </c>
      <c r="AG922" s="6"/>
      <c r="AH922" s="7">
        <v>1</v>
      </c>
      <c r="AI922" s="4"/>
      <c r="AJ922" s="4">
        <f>=ROUNDDOWN({0},0)</f>
      </c>
      <c r="AK922" s="5"/>
      <c r="AL922" s="2" t="s">
        <v>228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/>
      <c r="AW922" s="8"/>
      <c r="AX922" s="4"/>
      <c r="AY922" s="8"/>
      <c r="AZ922" s="7"/>
      <c r="BA922" s="7"/>
      <c r="BB922" s="7"/>
      <c r="BC922" s="4"/>
      <c r="BD922" s="8"/>
      <c r="BE922" s="4"/>
      <c r="BF922" s="8"/>
      <c r="BG922" s="7"/>
      <c r="BH922" s="7"/>
      <c r="BI922" s="7"/>
      <c r="BJ922" s="4">
        <v>15</v>
      </c>
      <c r="BK922" s="8">
        <v>2789.96</v>
      </c>
      <c r="BL922" s="2" t="s">
        <v>4991</v>
      </c>
      <c r="BM922" s="7"/>
      <c r="BN922" s="7"/>
      <c r="BO922" s="4"/>
      <c r="BP922" s="8"/>
      <c r="BQ922" s="4"/>
      <c r="BR922" s="8"/>
      <c r="BS922" s="7"/>
      <c r="BT922" s="7"/>
      <c r="BU922" s="2" t="s">
        <v>4992</v>
      </c>
      <c r="BV922" s="2" t="s">
        <v>228</v>
      </c>
      <c r="BW922" s="2" t="s">
        <v>228</v>
      </c>
      <c r="BX922" s="2" t="s">
        <v>337</v>
      </c>
      <c r="BY922" s="2" t="s">
        <v>274</v>
      </c>
      <c r="BZ922" s="2" t="s">
        <v>240</v>
      </c>
      <c r="CA922" s="2" t="s">
        <v>994</v>
      </c>
      <c r="CB922" s="2" t="s">
        <v>4993</v>
      </c>
      <c r="CC922" s="2" t="s">
        <v>241</v>
      </c>
      <c r="CD922" s="2" t="s">
        <v>228</v>
      </c>
      <c r="CE922" s="4"/>
      <c r="CF922" s="4">
        <v>98</v>
      </c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</row>
    <row r="923">
      <c r="A923" s="2" t="s">
        <v>4994</v>
      </c>
      <c r="B923" s="2" t="s">
        <v>834</v>
      </c>
      <c r="C923" s="2" t="s">
        <v>835</v>
      </c>
      <c r="D923" s="2" t="s">
        <v>836</v>
      </c>
      <c r="E923" s="2" t="s">
        <v>837</v>
      </c>
      <c r="F923" s="2" t="s">
        <v>4995</v>
      </c>
      <c r="G923" s="2" t="s">
        <v>4995</v>
      </c>
      <c r="H923" s="2" t="s">
        <v>4995</v>
      </c>
      <c r="I923" s="2" t="s">
        <v>4996</v>
      </c>
      <c r="J923" s="2" t="s">
        <v>840</v>
      </c>
      <c r="K923" s="2" t="s">
        <v>4997</v>
      </c>
      <c r="L923" s="3">
        <v>88.78</v>
      </c>
      <c r="M923" s="3">
        <v>93.22</v>
      </c>
      <c r="N923" s="3">
        <v>199</v>
      </c>
      <c r="O923" s="2" t="s">
        <v>461</v>
      </c>
      <c r="P923" s="2" t="s">
        <v>333</v>
      </c>
      <c r="Q923" s="2" t="s">
        <v>234</v>
      </c>
      <c r="R923" s="2" t="s">
        <v>228</v>
      </c>
      <c r="S923" s="2" t="s">
        <v>228</v>
      </c>
      <c r="T923" s="2" t="s">
        <v>228</v>
      </c>
      <c r="U923" s="2" t="s">
        <v>416</v>
      </c>
      <c r="V923" s="2" t="s">
        <v>842</v>
      </c>
      <c r="W923" s="2" t="s">
        <v>417</v>
      </c>
      <c r="X923" s="2" t="s">
        <v>4998</v>
      </c>
      <c r="Y923" s="2" t="s">
        <v>1291</v>
      </c>
      <c r="Z923" s="4">
        <v>86</v>
      </c>
      <c r="AA923" s="4">
        <f>=ROUNDDOWN(860,0)</f>
      </c>
      <c r="AB923" s="5">
        <v>0.1</v>
      </c>
      <c r="AC923" s="2" t="s">
        <v>228</v>
      </c>
      <c r="AD923" s="4"/>
      <c r="AE923" s="4"/>
      <c r="AF923" s="6">
        <v>63</v>
      </c>
      <c r="AG923" s="6"/>
      <c r="AH923" s="7">
        <v>1</v>
      </c>
      <c r="AI923" s="4"/>
      <c r="AJ923" s="4">
        <f>=ROUNDDOWN({0},0)</f>
      </c>
      <c r="AK923" s="5"/>
      <c r="AL923" s="2" t="s">
        <v>228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/>
      <c r="AW923" s="8"/>
      <c r="AX923" s="4"/>
      <c r="AY923" s="8"/>
      <c r="AZ923" s="7"/>
      <c r="BA923" s="7"/>
      <c r="BB923" s="7"/>
      <c r="BC923" s="4"/>
      <c r="BD923" s="8"/>
      <c r="BE923" s="4"/>
      <c r="BF923" s="8"/>
      <c r="BG923" s="7"/>
      <c r="BH923" s="7"/>
      <c r="BI923" s="7"/>
      <c r="BJ923" s="4"/>
      <c r="BK923" s="8"/>
      <c r="BL923" s="2" t="s">
        <v>228</v>
      </c>
      <c r="BM923" s="7"/>
      <c r="BN923" s="7"/>
      <c r="BO923" s="4"/>
      <c r="BP923" s="8"/>
      <c r="BQ923" s="4"/>
      <c r="BR923" s="8"/>
      <c r="BS923" s="7"/>
      <c r="BT923" s="7"/>
      <c r="BU923" s="2" t="s">
        <v>4999</v>
      </c>
      <c r="BV923" s="2" t="s">
        <v>228</v>
      </c>
      <c r="BW923" s="2" t="s">
        <v>228</v>
      </c>
      <c r="BX923" s="2" t="s">
        <v>337</v>
      </c>
      <c r="BY923" s="2" t="s">
        <v>274</v>
      </c>
      <c r="BZ923" s="2" t="s">
        <v>240</v>
      </c>
      <c r="CA923" s="2" t="s">
        <v>3224</v>
      </c>
      <c r="CB923" s="2" t="s">
        <v>1832</v>
      </c>
      <c r="CC923" s="2" t="s">
        <v>241</v>
      </c>
      <c r="CD923" s="2" t="s">
        <v>228</v>
      </c>
      <c r="CE923" s="4"/>
      <c r="CF923" s="4">
        <v>86</v>
      </c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</row>
    <row r="924">
      <c r="A924" s="2" t="s">
        <v>5000</v>
      </c>
      <c r="B924" s="2" t="s">
        <v>848</v>
      </c>
      <c r="C924" s="2" t="s">
        <v>1111</v>
      </c>
      <c r="D924" s="2" t="s">
        <v>1112</v>
      </c>
      <c r="E924" s="2" t="s">
        <v>1113</v>
      </c>
      <c r="F924" s="2" t="s">
        <v>5001</v>
      </c>
      <c r="G924" s="2" t="s">
        <v>5001</v>
      </c>
      <c r="H924" s="2" t="s">
        <v>5001</v>
      </c>
      <c r="I924" s="2" t="s">
        <v>5002</v>
      </c>
      <c r="J924" s="2" t="s">
        <v>856</v>
      </c>
      <c r="K924" s="2" t="s">
        <v>265</v>
      </c>
      <c r="L924" s="3">
        <v>17.39</v>
      </c>
      <c r="M924" s="3">
        <v>18.26</v>
      </c>
      <c r="N924" s="3">
        <v>29.99</v>
      </c>
      <c r="O924" s="2" t="s">
        <v>461</v>
      </c>
      <c r="P924" s="2" t="s">
        <v>1116</v>
      </c>
      <c r="Q924" s="2" t="s">
        <v>234</v>
      </c>
      <c r="R924" s="2" t="s">
        <v>727</v>
      </c>
      <c r="S924" s="2" t="s">
        <v>228</v>
      </c>
      <c r="T924" s="2" t="s">
        <v>415</v>
      </c>
      <c r="U924" s="2" t="s">
        <v>520</v>
      </c>
      <c r="V924" s="2" t="s">
        <v>842</v>
      </c>
      <c r="W924" s="2" t="s">
        <v>269</v>
      </c>
      <c r="X924" s="2" t="s">
        <v>228</v>
      </c>
      <c r="Y924" s="2" t="s">
        <v>5003</v>
      </c>
      <c r="Z924" s="4">
        <v>1</v>
      </c>
      <c r="AA924" s="4">
        <f>=ROUNDDOWN(1.25,0)</f>
      </c>
      <c r="AB924" s="5">
        <v>0.8</v>
      </c>
      <c r="AC924" s="2" t="s">
        <v>228</v>
      </c>
      <c r="AD924" s="4"/>
      <c r="AE924" s="4"/>
      <c r="AF924" s="6">
        <v>64</v>
      </c>
      <c r="AG924" s="6"/>
      <c r="AH924" s="7">
        <v>0.6452</v>
      </c>
      <c r="AI924" s="4"/>
      <c r="AJ924" s="4">
        <f>=ROUNDDOWN({0},0)</f>
      </c>
      <c r="AK924" s="5"/>
      <c r="AL924" s="2" t="s">
        <v>228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228</v>
      </c>
      <c r="AW924" s="8" t="s">
        <v>228</v>
      </c>
      <c r="AX924" s="4" t="s">
        <v>228</v>
      </c>
      <c r="AY924" s="8" t="s">
        <v>228</v>
      </c>
      <c r="AZ924" s="7" t="s">
        <v>228</v>
      </c>
      <c r="BA924" s="7" t="s">
        <v>228</v>
      </c>
      <c r="BB924" s="7"/>
      <c r="BC924" s="4" t="s">
        <v>228</v>
      </c>
      <c r="BD924" s="8" t="s">
        <v>228</v>
      </c>
      <c r="BE924" s="4" t="s">
        <v>228</v>
      </c>
      <c r="BF924" s="8" t="s">
        <v>228</v>
      </c>
      <c r="BG924" s="7" t="s">
        <v>228</v>
      </c>
      <c r="BH924" s="7" t="s">
        <v>228</v>
      </c>
      <c r="BI924" s="7"/>
      <c r="BJ924" s="4"/>
      <c r="BK924" s="8"/>
      <c r="BL924" s="2" t="s">
        <v>3722</v>
      </c>
      <c r="BM924" s="7"/>
      <c r="BN924" s="7"/>
      <c r="BO924" s="4"/>
      <c r="BP924" s="8"/>
      <c r="BQ924" s="4"/>
      <c r="BR924" s="8"/>
      <c r="BS924" s="7"/>
      <c r="BT924" s="7"/>
      <c r="BU924" s="2" t="s">
        <v>5004</v>
      </c>
      <c r="BV924" s="2" t="s">
        <v>228</v>
      </c>
      <c r="BW924" s="2" t="s">
        <v>228</v>
      </c>
      <c r="BX924" s="2" t="s">
        <v>273</v>
      </c>
      <c r="BY924" s="2" t="s">
        <v>274</v>
      </c>
      <c r="BZ924" s="2" t="s">
        <v>240</v>
      </c>
      <c r="CA924" s="2" t="s">
        <v>947</v>
      </c>
      <c r="CB924" s="2" t="s">
        <v>228</v>
      </c>
      <c r="CC924" s="2" t="s">
        <v>241</v>
      </c>
      <c r="CD924" s="2" t="s">
        <v>228</v>
      </c>
      <c r="CE924" s="4">
        <v>1</v>
      </c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</row>
    <row r="925">
      <c r="A925" s="2" t="s">
        <v>5005</v>
      </c>
      <c r="B925" s="2" t="s">
        <v>848</v>
      </c>
      <c r="C925" s="2" t="s">
        <v>1111</v>
      </c>
      <c r="D925" s="2" t="s">
        <v>1112</v>
      </c>
      <c r="E925" s="2" t="s">
        <v>1113</v>
      </c>
      <c r="F925" s="2" t="s">
        <v>5001</v>
      </c>
      <c r="G925" s="2" t="s">
        <v>5001</v>
      </c>
      <c r="H925" s="2" t="s">
        <v>5001</v>
      </c>
      <c r="I925" s="2" t="s">
        <v>5006</v>
      </c>
      <c r="J925" s="2" t="s">
        <v>1189</v>
      </c>
      <c r="K925" s="2" t="s">
        <v>265</v>
      </c>
      <c r="L925" s="3">
        <v>20.29</v>
      </c>
      <c r="M925" s="3">
        <v>21.3</v>
      </c>
      <c r="N925" s="3">
        <v>34.99</v>
      </c>
      <c r="O925" s="2" t="s">
        <v>461</v>
      </c>
      <c r="P925" s="2" t="s">
        <v>1116</v>
      </c>
      <c r="Q925" s="2" t="s">
        <v>234</v>
      </c>
      <c r="R925" s="2" t="s">
        <v>727</v>
      </c>
      <c r="S925" s="2" t="s">
        <v>228</v>
      </c>
      <c r="T925" s="2" t="s">
        <v>415</v>
      </c>
      <c r="U925" s="2" t="s">
        <v>500</v>
      </c>
      <c r="V925" s="2" t="s">
        <v>842</v>
      </c>
      <c r="W925" s="2" t="s">
        <v>269</v>
      </c>
      <c r="X925" s="2" t="s">
        <v>228</v>
      </c>
      <c r="Y925" s="2" t="s">
        <v>5007</v>
      </c>
      <c r="Z925" s="4">
        <v>268</v>
      </c>
      <c r="AA925" s="4">
        <f>=ROUNDDOWN(1340,0)</f>
      </c>
      <c r="AB925" s="5">
        <v>0.2</v>
      </c>
      <c r="AC925" s="2" t="s">
        <v>228</v>
      </c>
      <c r="AD925" s="4"/>
      <c r="AE925" s="4"/>
      <c r="AF925" s="6">
        <v>64</v>
      </c>
      <c r="AG925" s="6"/>
      <c r="AH925" s="7">
        <v>0.6452</v>
      </c>
      <c r="AI925" s="4"/>
      <c r="AJ925" s="4">
        <f>=ROUNDDOWN({0},0)</f>
      </c>
      <c r="AK925" s="5"/>
      <c r="AL925" s="2" t="s">
        <v>228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228</v>
      </c>
      <c r="AW925" s="8" t="s">
        <v>228</v>
      </c>
      <c r="AX925" s="4" t="s">
        <v>228</v>
      </c>
      <c r="AY925" s="8" t="s">
        <v>228</v>
      </c>
      <c r="AZ925" s="7" t="s">
        <v>228</v>
      </c>
      <c r="BA925" s="7" t="s">
        <v>228</v>
      </c>
      <c r="BB925" s="7"/>
      <c r="BC925" s="4" t="s">
        <v>228</v>
      </c>
      <c r="BD925" s="8" t="s">
        <v>228</v>
      </c>
      <c r="BE925" s="4" t="s">
        <v>228</v>
      </c>
      <c r="BF925" s="8" t="s">
        <v>228</v>
      </c>
      <c r="BG925" s="7" t="s">
        <v>228</v>
      </c>
      <c r="BH925" s="7" t="s">
        <v>228</v>
      </c>
      <c r="BI925" s="7"/>
      <c r="BJ925" s="4">
        <v>2</v>
      </c>
      <c r="BK925" s="8">
        <v>91.98</v>
      </c>
      <c r="BL925" s="2" t="s">
        <v>1118</v>
      </c>
      <c r="BM925" s="7"/>
      <c r="BN925" s="7"/>
      <c r="BO925" s="4"/>
      <c r="BP925" s="8"/>
      <c r="BQ925" s="4"/>
      <c r="BR925" s="8"/>
      <c r="BS925" s="7"/>
      <c r="BT925" s="7"/>
      <c r="BU925" s="2" t="s">
        <v>5008</v>
      </c>
      <c r="BV925" s="2" t="s">
        <v>228</v>
      </c>
      <c r="BW925" s="2" t="s">
        <v>228</v>
      </c>
      <c r="BX925" s="2" t="s">
        <v>273</v>
      </c>
      <c r="BY925" s="2" t="s">
        <v>274</v>
      </c>
      <c r="BZ925" s="2" t="s">
        <v>240</v>
      </c>
      <c r="CA925" s="2" t="s">
        <v>947</v>
      </c>
      <c r="CB925" s="2" t="s">
        <v>228</v>
      </c>
      <c r="CC925" s="2" t="s">
        <v>241</v>
      </c>
      <c r="CD925" s="2" t="s">
        <v>228</v>
      </c>
      <c r="CE925" s="4">
        <v>268</v>
      </c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</row>
    <row r="926">
      <c r="A926" s="2" t="s">
        <v>5009</v>
      </c>
      <c r="B926" s="2" t="s">
        <v>848</v>
      </c>
      <c r="C926" s="2" t="s">
        <v>1111</v>
      </c>
      <c r="D926" s="2" t="s">
        <v>1112</v>
      </c>
      <c r="E926" s="2" t="s">
        <v>1113</v>
      </c>
      <c r="F926" s="2" t="s">
        <v>5001</v>
      </c>
      <c r="G926" s="2" t="s">
        <v>5001</v>
      </c>
      <c r="H926" s="2" t="s">
        <v>5001</v>
      </c>
      <c r="I926" s="2" t="s">
        <v>5006</v>
      </c>
      <c r="J926" s="2" t="s">
        <v>294</v>
      </c>
      <c r="K926" s="2" t="s">
        <v>265</v>
      </c>
      <c r="L926" s="3">
        <v>23.19</v>
      </c>
      <c r="M926" s="3">
        <v>24.35</v>
      </c>
      <c r="N926" s="3">
        <v>39.99</v>
      </c>
      <c r="O926" s="2" t="s">
        <v>461</v>
      </c>
      <c r="P926" s="2" t="s">
        <v>1116</v>
      </c>
      <c r="Q926" s="2" t="s">
        <v>234</v>
      </c>
      <c r="R926" s="2" t="s">
        <v>727</v>
      </c>
      <c r="S926" s="2" t="s">
        <v>228</v>
      </c>
      <c r="T926" s="2" t="s">
        <v>415</v>
      </c>
      <c r="U926" s="2" t="s">
        <v>500</v>
      </c>
      <c r="V926" s="2" t="s">
        <v>842</v>
      </c>
      <c r="W926" s="2" t="s">
        <v>269</v>
      </c>
      <c r="X926" s="2" t="s">
        <v>228</v>
      </c>
      <c r="Y926" s="2" t="s">
        <v>5007</v>
      </c>
      <c r="Z926" s="4">
        <v>16</v>
      </c>
      <c r="AA926" s="4">
        <f>=ROUNDDOWN(40,0)</f>
      </c>
      <c r="AB926" s="5">
        <v>0.4</v>
      </c>
      <c r="AC926" s="2" t="s">
        <v>228</v>
      </c>
      <c r="AD926" s="4"/>
      <c r="AE926" s="4"/>
      <c r="AF926" s="6">
        <v>64</v>
      </c>
      <c r="AG926" s="6"/>
      <c r="AH926" s="7">
        <v>0.6452</v>
      </c>
      <c r="AI926" s="4"/>
      <c r="AJ926" s="4">
        <f>=ROUNDDOWN({0},0)</f>
      </c>
      <c r="AK926" s="5"/>
      <c r="AL926" s="2" t="s">
        <v>228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228</v>
      </c>
      <c r="AW926" s="8" t="s">
        <v>228</v>
      </c>
      <c r="AX926" s="4" t="s">
        <v>228</v>
      </c>
      <c r="AY926" s="8" t="s">
        <v>228</v>
      </c>
      <c r="AZ926" s="7" t="s">
        <v>228</v>
      </c>
      <c r="BA926" s="7" t="s">
        <v>228</v>
      </c>
      <c r="BB926" s="7"/>
      <c r="BC926" s="4" t="s">
        <v>228</v>
      </c>
      <c r="BD926" s="8" t="s">
        <v>228</v>
      </c>
      <c r="BE926" s="4" t="s">
        <v>228</v>
      </c>
      <c r="BF926" s="8" t="s">
        <v>228</v>
      </c>
      <c r="BG926" s="7" t="s">
        <v>228</v>
      </c>
      <c r="BH926" s="7" t="s">
        <v>228</v>
      </c>
      <c r="BI926" s="7"/>
      <c r="BJ926" s="4"/>
      <c r="BK926" s="8"/>
      <c r="BL926" s="2" t="s">
        <v>1118</v>
      </c>
      <c r="BM926" s="7"/>
      <c r="BN926" s="7"/>
      <c r="BO926" s="4"/>
      <c r="BP926" s="8"/>
      <c r="BQ926" s="4"/>
      <c r="BR926" s="8"/>
      <c r="BS926" s="7"/>
      <c r="BT926" s="7"/>
      <c r="BU926" s="2" t="s">
        <v>5010</v>
      </c>
      <c r="BV926" s="2" t="s">
        <v>228</v>
      </c>
      <c r="BW926" s="2" t="s">
        <v>228</v>
      </c>
      <c r="BX926" s="2" t="s">
        <v>273</v>
      </c>
      <c r="BY926" s="2" t="s">
        <v>274</v>
      </c>
      <c r="BZ926" s="2" t="s">
        <v>240</v>
      </c>
      <c r="CA926" s="2" t="s">
        <v>947</v>
      </c>
      <c r="CB926" s="2" t="s">
        <v>228</v>
      </c>
      <c r="CC926" s="2" t="s">
        <v>241</v>
      </c>
      <c r="CD926" s="2" t="s">
        <v>228</v>
      </c>
      <c r="CE926" s="4">
        <v>16</v>
      </c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</row>
    <row r="927">
      <c r="A927" s="2" t="s">
        <v>5011</v>
      </c>
      <c r="B927" s="2" t="s">
        <v>848</v>
      </c>
      <c r="C927" s="2" t="s">
        <v>1111</v>
      </c>
      <c r="D927" s="2" t="s">
        <v>1112</v>
      </c>
      <c r="E927" s="2" t="s">
        <v>1113</v>
      </c>
      <c r="F927" s="2" t="s">
        <v>5001</v>
      </c>
      <c r="G927" s="2" t="s">
        <v>5001</v>
      </c>
      <c r="H927" s="2" t="s">
        <v>5001</v>
      </c>
      <c r="I927" s="2" t="s">
        <v>5002</v>
      </c>
      <c r="J927" s="2" t="s">
        <v>856</v>
      </c>
      <c r="K927" s="2" t="s">
        <v>316</v>
      </c>
      <c r="L927" s="3">
        <v>17.39</v>
      </c>
      <c r="M927" s="3">
        <v>18.26</v>
      </c>
      <c r="N927" s="3">
        <v>29.99</v>
      </c>
      <c r="O927" s="2" t="s">
        <v>461</v>
      </c>
      <c r="P927" s="2" t="s">
        <v>1116</v>
      </c>
      <c r="Q927" s="2" t="s">
        <v>234</v>
      </c>
      <c r="R927" s="2" t="s">
        <v>727</v>
      </c>
      <c r="S927" s="2" t="s">
        <v>228</v>
      </c>
      <c r="T927" s="2" t="s">
        <v>415</v>
      </c>
      <c r="U927" s="2" t="s">
        <v>520</v>
      </c>
      <c r="V927" s="2" t="s">
        <v>842</v>
      </c>
      <c r="W927" s="2" t="s">
        <v>269</v>
      </c>
      <c r="X927" s="2" t="s">
        <v>228</v>
      </c>
      <c r="Y927" s="2" t="s">
        <v>5012</v>
      </c>
      <c r="Z927" s="4">
        <v>153</v>
      </c>
      <c r="AA927" s="4">
        <f>=ROUNDDOWN(102,0)</f>
      </c>
      <c r="AB927" s="5">
        <v>1.5</v>
      </c>
      <c r="AC927" s="2" t="s">
        <v>228</v>
      </c>
      <c r="AD927" s="4"/>
      <c r="AE927" s="4"/>
      <c r="AF927" s="6">
        <v>64</v>
      </c>
      <c r="AG927" s="6"/>
      <c r="AH927" s="7">
        <v>0.6452</v>
      </c>
      <c r="AI927" s="4"/>
      <c r="AJ927" s="4">
        <f>=ROUNDDOWN({0},0)</f>
      </c>
      <c r="AK927" s="5"/>
      <c r="AL927" s="2" t="s">
        <v>228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228</v>
      </c>
      <c r="AW927" s="8" t="s">
        <v>228</v>
      </c>
      <c r="AX927" s="4" t="s">
        <v>228</v>
      </c>
      <c r="AY927" s="8" t="s">
        <v>228</v>
      </c>
      <c r="AZ927" s="7" t="s">
        <v>228</v>
      </c>
      <c r="BA927" s="7" t="s">
        <v>228</v>
      </c>
      <c r="BB927" s="7"/>
      <c r="BC927" s="4" t="s">
        <v>228</v>
      </c>
      <c r="BD927" s="8" t="s">
        <v>228</v>
      </c>
      <c r="BE927" s="4" t="s">
        <v>228</v>
      </c>
      <c r="BF927" s="8" t="s">
        <v>228</v>
      </c>
      <c r="BG927" s="7" t="s">
        <v>228</v>
      </c>
      <c r="BH927" s="7" t="s">
        <v>228</v>
      </c>
      <c r="BI927" s="7"/>
      <c r="BJ927" s="4">
        <v>4</v>
      </c>
      <c r="BK927" s="8">
        <v>159.96</v>
      </c>
      <c r="BL927" s="2" t="s">
        <v>1118</v>
      </c>
      <c r="BM927" s="7"/>
      <c r="BN927" s="7"/>
      <c r="BO927" s="4"/>
      <c r="BP927" s="8"/>
      <c r="BQ927" s="4"/>
      <c r="BR927" s="8"/>
      <c r="BS927" s="7"/>
      <c r="BT927" s="7"/>
      <c r="BU927" s="2" t="s">
        <v>5013</v>
      </c>
      <c r="BV927" s="2" t="s">
        <v>228</v>
      </c>
      <c r="BW927" s="2" t="s">
        <v>228</v>
      </c>
      <c r="BX927" s="2" t="s">
        <v>273</v>
      </c>
      <c r="BY927" s="2" t="s">
        <v>274</v>
      </c>
      <c r="BZ927" s="2" t="s">
        <v>240</v>
      </c>
      <c r="CA927" s="2" t="s">
        <v>947</v>
      </c>
      <c r="CB927" s="2" t="s">
        <v>228</v>
      </c>
      <c r="CC927" s="2" t="s">
        <v>241</v>
      </c>
      <c r="CD927" s="2" t="s">
        <v>228</v>
      </c>
      <c r="CE927" s="4">
        <v>153</v>
      </c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</row>
    <row r="928">
      <c r="A928" s="2" t="s">
        <v>5014</v>
      </c>
      <c r="B928" s="2" t="s">
        <v>848</v>
      </c>
      <c r="C928" s="2" t="s">
        <v>1111</v>
      </c>
      <c r="D928" s="2" t="s">
        <v>1112</v>
      </c>
      <c r="E928" s="2" t="s">
        <v>1113</v>
      </c>
      <c r="F928" s="2" t="s">
        <v>5001</v>
      </c>
      <c r="G928" s="2" t="s">
        <v>5001</v>
      </c>
      <c r="H928" s="2" t="s">
        <v>5001</v>
      </c>
      <c r="I928" s="2" t="s">
        <v>5006</v>
      </c>
      <c r="J928" s="2" t="s">
        <v>1189</v>
      </c>
      <c r="K928" s="2" t="s">
        <v>316</v>
      </c>
      <c r="L928" s="3">
        <v>20.29</v>
      </c>
      <c r="M928" s="3">
        <v>21.3</v>
      </c>
      <c r="N928" s="3">
        <v>34.99</v>
      </c>
      <c r="O928" s="2" t="s">
        <v>461</v>
      </c>
      <c r="P928" s="2" t="s">
        <v>1116</v>
      </c>
      <c r="Q928" s="2" t="s">
        <v>234</v>
      </c>
      <c r="R928" s="2" t="s">
        <v>727</v>
      </c>
      <c r="S928" s="2" t="s">
        <v>228</v>
      </c>
      <c r="T928" s="2" t="s">
        <v>415</v>
      </c>
      <c r="U928" s="2" t="s">
        <v>500</v>
      </c>
      <c r="V928" s="2" t="s">
        <v>842</v>
      </c>
      <c r="W928" s="2" t="s">
        <v>269</v>
      </c>
      <c r="X928" s="2" t="s">
        <v>228</v>
      </c>
      <c r="Y928" s="2" t="s">
        <v>5012</v>
      </c>
      <c r="Z928" s="4">
        <v>519</v>
      </c>
      <c r="AA928" s="4">
        <f>=ROUNDDOWN(305.294117647059,0)</f>
      </c>
      <c r="AB928" s="5">
        <v>1.7</v>
      </c>
      <c r="AC928" s="2" t="s">
        <v>228</v>
      </c>
      <c r="AD928" s="4"/>
      <c r="AE928" s="4"/>
      <c r="AF928" s="6">
        <v>64</v>
      </c>
      <c r="AG928" s="6"/>
      <c r="AH928" s="7">
        <v>0.6452</v>
      </c>
      <c r="AI928" s="4"/>
      <c r="AJ928" s="4">
        <f>=ROUNDDOWN({0},0)</f>
      </c>
      <c r="AK928" s="5"/>
      <c r="AL928" s="2" t="s">
        <v>228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228</v>
      </c>
      <c r="AW928" s="8" t="s">
        <v>228</v>
      </c>
      <c r="AX928" s="4" t="s">
        <v>228</v>
      </c>
      <c r="AY928" s="8" t="s">
        <v>228</v>
      </c>
      <c r="AZ928" s="7" t="s">
        <v>228</v>
      </c>
      <c r="BA928" s="7" t="s">
        <v>228</v>
      </c>
      <c r="BB928" s="7"/>
      <c r="BC928" s="4" t="s">
        <v>228</v>
      </c>
      <c r="BD928" s="8" t="s">
        <v>228</v>
      </c>
      <c r="BE928" s="4" t="s">
        <v>228</v>
      </c>
      <c r="BF928" s="8" t="s">
        <v>228</v>
      </c>
      <c r="BG928" s="7" t="s">
        <v>228</v>
      </c>
      <c r="BH928" s="7" t="s">
        <v>228</v>
      </c>
      <c r="BI928" s="7"/>
      <c r="BJ928" s="4">
        <v>2</v>
      </c>
      <c r="BK928" s="8">
        <v>91.98</v>
      </c>
      <c r="BL928" s="2" t="s">
        <v>1118</v>
      </c>
      <c r="BM928" s="7"/>
      <c r="BN928" s="7"/>
      <c r="BO928" s="4"/>
      <c r="BP928" s="8"/>
      <c r="BQ928" s="4"/>
      <c r="BR928" s="8"/>
      <c r="BS928" s="7"/>
      <c r="BT928" s="7"/>
      <c r="BU928" s="2" t="s">
        <v>5015</v>
      </c>
      <c r="BV928" s="2" t="s">
        <v>228</v>
      </c>
      <c r="BW928" s="2" t="s">
        <v>228</v>
      </c>
      <c r="BX928" s="2" t="s">
        <v>273</v>
      </c>
      <c r="BY928" s="2" t="s">
        <v>274</v>
      </c>
      <c r="BZ928" s="2" t="s">
        <v>240</v>
      </c>
      <c r="CA928" s="2" t="s">
        <v>947</v>
      </c>
      <c r="CB928" s="2" t="s">
        <v>228</v>
      </c>
      <c r="CC928" s="2" t="s">
        <v>241</v>
      </c>
      <c r="CD928" s="2" t="s">
        <v>228</v>
      </c>
      <c r="CE928" s="4">
        <v>519</v>
      </c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</row>
    <row r="929">
      <c r="A929" s="2" t="s">
        <v>5016</v>
      </c>
      <c r="B929" s="2" t="s">
        <v>223</v>
      </c>
      <c r="C929" s="2" t="s">
        <v>1406</v>
      </c>
      <c r="D929" s="2" t="s">
        <v>3559</v>
      </c>
      <c r="E929" s="2" t="s">
        <v>3560</v>
      </c>
      <c r="F929" s="2" t="s">
        <v>5017</v>
      </c>
      <c r="G929" s="2" t="s">
        <v>5017</v>
      </c>
      <c r="H929" s="2" t="s">
        <v>5017</v>
      </c>
      <c r="I929" s="2" t="s">
        <v>3562</v>
      </c>
      <c r="J929" s="2" t="s">
        <v>264</v>
      </c>
      <c r="K929" s="2" t="s">
        <v>316</v>
      </c>
      <c r="L929" s="3">
        <v>35.71</v>
      </c>
      <c r="M929" s="3">
        <v>37.5</v>
      </c>
      <c r="N929" s="3">
        <v>74.99</v>
      </c>
      <c r="O929" s="2" t="s">
        <v>240</v>
      </c>
      <c r="P929" s="2" t="s">
        <v>233</v>
      </c>
      <c r="Q929" s="2" t="s">
        <v>234</v>
      </c>
      <c r="R929" s="2" t="s">
        <v>228</v>
      </c>
      <c r="S929" s="2" t="s">
        <v>5018</v>
      </c>
      <c r="T929" s="2" t="s">
        <v>415</v>
      </c>
      <c r="U929" s="2" t="s">
        <v>416</v>
      </c>
      <c r="V929" s="2" t="s">
        <v>980</v>
      </c>
      <c r="W929" s="2" t="s">
        <v>269</v>
      </c>
      <c r="X929" s="2" t="s">
        <v>228</v>
      </c>
      <c r="Y929" s="2" t="s">
        <v>228</v>
      </c>
      <c r="Z929" s="4"/>
      <c r="AA929" s="4">
        <f>=ROUNDDOWN({0},0)</f>
      </c>
      <c r="AB929" s="5"/>
      <c r="AC929" s="2" t="s">
        <v>1416</v>
      </c>
      <c r="AD929" s="4">
        <v>200</v>
      </c>
      <c r="AE929" s="4">
        <v>500</v>
      </c>
      <c r="AF929" s="6">
        <v>66</v>
      </c>
      <c r="AG929" s="6"/>
      <c r="AH929" s="7"/>
      <c r="AI929" s="4"/>
      <c r="AJ929" s="4">
        <f>=ROUNDDOWN({0},0)</f>
      </c>
      <c r="AK929" s="5"/>
      <c r="AL929" s="2" t="s">
        <v>228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228</v>
      </c>
      <c r="AW929" s="8" t="s">
        <v>228</v>
      </c>
      <c r="AX929" s="4" t="s">
        <v>228</v>
      </c>
      <c r="AY929" s="8" t="s">
        <v>228</v>
      </c>
      <c r="AZ929" s="7" t="s">
        <v>228</v>
      </c>
      <c r="BA929" s="7" t="s">
        <v>228</v>
      </c>
      <c r="BB929" s="7"/>
      <c r="BC929" s="4" t="s">
        <v>228</v>
      </c>
      <c r="BD929" s="8" t="s">
        <v>228</v>
      </c>
      <c r="BE929" s="4" t="s">
        <v>228</v>
      </c>
      <c r="BF929" s="8" t="s">
        <v>228</v>
      </c>
      <c r="BG929" s="7" t="s">
        <v>228</v>
      </c>
      <c r="BH929" s="7" t="s">
        <v>228</v>
      </c>
      <c r="BI929" s="7"/>
      <c r="BJ929" s="4"/>
      <c r="BK929" s="8"/>
      <c r="BL929" s="2" t="s">
        <v>228</v>
      </c>
      <c r="BM929" s="7"/>
      <c r="BN929" s="7"/>
      <c r="BO929" s="4"/>
      <c r="BP929" s="8"/>
      <c r="BQ929" s="4"/>
      <c r="BR929" s="8"/>
      <c r="BS929" s="7"/>
      <c r="BT929" s="7"/>
      <c r="BU929" s="2" t="s">
        <v>238</v>
      </c>
      <c r="BV929" s="2" t="s">
        <v>228</v>
      </c>
      <c r="BW929" s="2" t="s">
        <v>228</v>
      </c>
      <c r="BX929" s="2" t="s">
        <v>238</v>
      </c>
      <c r="BY929" s="2" t="s">
        <v>239</v>
      </c>
      <c r="BZ929" s="2" t="s">
        <v>240</v>
      </c>
      <c r="CA929" s="2" t="s">
        <v>228</v>
      </c>
      <c r="CB929" s="2" t="s">
        <v>228</v>
      </c>
      <c r="CC929" s="2" t="s">
        <v>241</v>
      </c>
      <c r="CD929" s="2" t="s">
        <v>228</v>
      </c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>
        <v>200</v>
      </c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>
        <v>300</v>
      </c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</row>
    <row r="930">
      <c r="A930" s="2" t="s">
        <v>5019</v>
      </c>
      <c r="B930" s="2" t="s">
        <v>223</v>
      </c>
      <c r="C930" s="2" t="s">
        <v>1406</v>
      </c>
      <c r="D930" s="2" t="s">
        <v>3559</v>
      </c>
      <c r="E930" s="2" t="s">
        <v>3560</v>
      </c>
      <c r="F930" s="2" t="s">
        <v>5017</v>
      </c>
      <c r="G930" s="2" t="s">
        <v>5017</v>
      </c>
      <c r="H930" s="2" t="s">
        <v>5017</v>
      </c>
      <c r="I930" s="2" t="s">
        <v>3562</v>
      </c>
      <c r="J930" s="2" t="s">
        <v>278</v>
      </c>
      <c r="K930" s="2" t="s">
        <v>316</v>
      </c>
      <c r="L930" s="3">
        <v>35.71</v>
      </c>
      <c r="M930" s="3">
        <v>37.5</v>
      </c>
      <c r="N930" s="3">
        <v>74.99</v>
      </c>
      <c r="O930" s="2" t="s">
        <v>240</v>
      </c>
      <c r="P930" s="2" t="s">
        <v>233</v>
      </c>
      <c r="Q930" s="2" t="s">
        <v>234</v>
      </c>
      <c r="R930" s="2" t="s">
        <v>228</v>
      </c>
      <c r="S930" s="2" t="s">
        <v>5018</v>
      </c>
      <c r="T930" s="2" t="s">
        <v>415</v>
      </c>
      <c r="U930" s="2" t="s">
        <v>416</v>
      </c>
      <c r="V930" s="2" t="s">
        <v>980</v>
      </c>
      <c r="W930" s="2" t="s">
        <v>269</v>
      </c>
      <c r="X930" s="2" t="s">
        <v>228</v>
      </c>
      <c r="Y930" s="2" t="s">
        <v>228</v>
      </c>
      <c r="Z930" s="4"/>
      <c r="AA930" s="4">
        <f>=ROUNDDOWN({0},0)</f>
      </c>
      <c r="AB930" s="5"/>
      <c r="AC930" s="2" t="s">
        <v>1416</v>
      </c>
      <c r="AD930" s="4">
        <v>250</v>
      </c>
      <c r="AE930" s="4">
        <v>630</v>
      </c>
      <c r="AF930" s="6">
        <v>66</v>
      </c>
      <c r="AG930" s="6"/>
      <c r="AH930" s="7"/>
      <c r="AI930" s="4"/>
      <c r="AJ930" s="4">
        <f>=ROUNDDOWN({0},0)</f>
      </c>
      <c r="AK930" s="5"/>
      <c r="AL930" s="2" t="s">
        <v>228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228</v>
      </c>
      <c r="AW930" s="8" t="s">
        <v>228</v>
      </c>
      <c r="AX930" s="4" t="s">
        <v>228</v>
      </c>
      <c r="AY930" s="8" t="s">
        <v>228</v>
      </c>
      <c r="AZ930" s="7" t="s">
        <v>228</v>
      </c>
      <c r="BA930" s="7" t="s">
        <v>228</v>
      </c>
      <c r="BB930" s="7"/>
      <c r="BC930" s="4" t="s">
        <v>228</v>
      </c>
      <c r="BD930" s="8" t="s">
        <v>228</v>
      </c>
      <c r="BE930" s="4" t="s">
        <v>228</v>
      </c>
      <c r="BF930" s="8" t="s">
        <v>228</v>
      </c>
      <c r="BG930" s="7" t="s">
        <v>228</v>
      </c>
      <c r="BH930" s="7" t="s">
        <v>228</v>
      </c>
      <c r="BI930" s="7"/>
      <c r="BJ930" s="4"/>
      <c r="BK930" s="8"/>
      <c r="BL930" s="2" t="s">
        <v>228</v>
      </c>
      <c r="BM930" s="7"/>
      <c r="BN930" s="7"/>
      <c r="BO930" s="4"/>
      <c r="BP930" s="8"/>
      <c r="BQ930" s="4"/>
      <c r="BR930" s="8"/>
      <c r="BS930" s="7"/>
      <c r="BT930" s="7"/>
      <c r="BU930" s="2" t="s">
        <v>238</v>
      </c>
      <c r="BV930" s="2" t="s">
        <v>228</v>
      </c>
      <c r="BW930" s="2" t="s">
        <v>228</v>
      </c>
      <c r="BX930" s="2" t="s">
        <v>238</v>
      </c>
      <c r="BY930" s="2" t="s">
        <v>239</v>
      </c>
      <c r="BZ930" s="2" t="s">
        <v>240</v>
      </c>
      <c r="CA930" s="2" t="s">
        <v>228</v>
      </c>
      <c r="CB930" s="2" t="s">
        <v>228</v>
      </c>
      <c r="CC930" s="2" t="s">
        <v>241</v>
      </c>
      <c r="CD930" s="2" t="s">
        <v>228</v>
      </c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>
        <v>250</v>
      </c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>
        <v>380</v>
      </c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</row>
    <row r="931">
      <c r="A931" s="2" t="s">
        <v>5020</v>
      </c>
      <c r="B931" s="2" t="s">
        <v>223</v>
      </c>
      <c r="C931" s="2" t="s">
        <v>1406</v>
      </c>
      <c r="D931" s="2" t="s">
        <v>3559</v>
      </c>
      <c r="E931" s="2" t="s">
        <v>3560</v>
      </c>
      <c r="F931" s="2" t="s">
        <v>5017</v>
      </c>
      <c r="G931" s="2" t="s">
        <v>5017</v>
      </c>
      <c r="H931" s="2" t="s">
        <v>5017</v>
      </c>
      <c r="I931" s="2" t="s">
        <v>3562</v>
      </c>
      <c r="J931" s="2" t="s">
        <v>284</v>
      </c>
      <c r="K931" s="2" t="s">
        <v>316</v>
      </c>
      <c r="L931" s="3">
        <v>40.47</v>
      </c>
      <c r="M931" s="3">
        <v>42.49</v>
      </c>
      <c r="N931" s="3">
        <v>84.99</v>
      </c>
      <c r="O931" s="2" t="s">
        <v>240</v>
      </c>
      <c r="P931" s="2" t="s">
        <v>233</v>
      </c>
      <c r="Q931" s="2" t="s">
        <v>234</v>
      </c>
      <c r="R931" s="2" t="s">
        <v>228</v>
      </c>
      <c r="S931" s="2" t="s">
        <v>5018</v>
      </c>
      <c r="T931" s="2" t="s">
        <v>415</v>
      </c>
      <c r="U931" s="2" t="s">
        <v>416</v>
      </c>
      <c r="V931" s="2" t="s">
        <v>980</v>
      </c>
      <c r="W931" s="2" t="s">
        <v>269</v>
      </c>
      <c r="X931" s="2" t="s">
        <v>228</v>
      </c>
      <c r="Y931" s="2" t="s">
        <v>1415</v>
      </c>
      <c r="Z931" s="4"/>
      <c r="AA931" s="4">
        <f>=ROUNDDOWN({0},0)</f>
      </c>
      <c r="AB931" s="5">
        <v>5.3</v>
      </c>
      <c r="AC931" s="2" t="s">
        <v>1416</v>
      </c>
      <c r="AD931" s="4">
        <v>340</v>
      </c>
      <c r="AE931" s="4">
        <v>840</v>
      </c>
      <c r="AF931" s="6">
        <v>66</v>
      </c>
      <c r="AG931" s="6"/>
      <c r="AH931" s="7">
        <v>0</v>
      </c>
      <c r="AI931" s="4"/>
      <c r="AJ931" s="4">
        <f>=ROUNDDOWN({0},0)</f>
      </c>
      <c r="AK931" s="5"/>
      <c r="AL931" s="2" t="s">
        <v>228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228</v>
      </c>
      <c r="AW931" s="8" t="s">
        <v>228</v>
      </c>
      <c r="AX931" s="4" t="s">
        <v>228</v>
      </c>
      <c r="AY931" s="8" t="s">
        <v>228</v>
      </c>
      <c r="AZ931" s="7" t="s">
        <v>228</v>
      </c>
      <c r="BA931" s="7" t="s">
        <v>228</v>
      </c>
      <c r="BB931" s="7"/>
      <c r="BC931" s="4" t="s">
        <v>228</v>
      </c>
      <c r="BD931" s="8" t="s">
        <v>228</v>
      </c>
      <c r="BE931" s="4" t="s">
        <v>228</v>
      </c>
      <c r="BF931" s="8" t="s">
        <v>228</v>
      </c>
      <c r="BG931" s="7" t="s">
        <v>228</v>
      </c>
      <c r="BH931" s="7" t="s">
        <v>228</v>
      </c>
      <c r="BI931" s="7"/>
      <c r="BJ931" s="4"/>
      <c r="BK931" s="8"/>
      <c r="BL931" s="2" t="s">
        <v>228</v>
      </c>
      <c r="BM931" s="7"/>
      <c r="BN931" s="7"/>
      <c r="BO931" s="4"/>
      <c r="BP931" s="8"/>
      <c r="BQ931" s="4"/>
      <c r="BR931" s="8"/>
      <c r="BS931" s="7"/>
      <c r="BT931" s="7"/>
      <c r="BU931" s="2" t="s">
        <v>238</v>
      </c>
      <c r="BV931" s="2" t="s">
        <v>228</v>
      </c>
      <c r="BW931" s="2" t="s">
        <v>228</v>
      </c>
      <c r="BX931" s="2" t="s">
        <v>238</v>
      </c>
      <c r="BY931" s="2" t="s">
        <v>239</v>
      </c>
      <c r="BZ931" s="2" t="s">
        <v>240</v>
      </c>
      <c r="CA931" s="2" t="s">
        <v>228</v>
      </c>
      <c r="CB931" s="2" t="s">
        <v>228</v>
      </c>
      <c r="CC931" s="2" t="s">
        <v>241</v>
      </c>
      <c r="CD931" s="2" t="s">
        <v>228</v>
      </c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>
        <v>340</v>
      </c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>
        <v>500</v>
      </c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</row>
    <row r="932">
      <c r="A932" s="2" t="s">
        <v>5021</v>
      </c>
      <c r="B932" s="2" t="s">
        <v>223</v>
      </c>
      <c r="C932" s="2" t="s">
        <v>1406</v>
      </c>
      <c r="D932" s="2" t="s">
        <v>3559</v>
      </c>
      <c r="E932" s="2" t="s">
        <v>3560</v>
      </c>
      <c r="F932" s="2" t="s">
        <v>5017</v>
      </c>
      <c r="G932" s="2" t="s">
        <v>5017</v>
      </c>
      <c r="H932" s="2" t="s">
        <v>5017</v>
      </c>
      <c r="I932" s="2" t="s">
        <v>3562</v>
      </c>
      <c r="J932" s="2" t="s">
        <v>289</v>
      </c>
      <c r="K932" s="2" t="s">
        <v>316</v>
      </c>
      <c r="L932" s="3">
        <v>54.76</v>
      </c>
      <c r="M932" s="3">
        <v>57.5</v>
      </c>
      <c r="N932" s="3">
        <v>114.99</v>
      </c>
      <c r="O932" s="2" t="s">
        <v>240</v>
      </c>
      <c r="P932" s="2" t="s">
        <v>233</v>
      </c>
      <c r="Q932" s="2" t="s">
        <v>234</v>
      </c>
      <c r="R932" s="2" t="s">
        <v>228</v>
      </c>
      <c r="S932" s="2" t="s">
        <v>5018</v>
      </c>
      <c r="T932" s="2" t="s">
        <v>415</v>
      </c>
      <c r="U932" s="2" t="s">
        <v>416</v>
      </c>
      <c r="V932" s="2" t="s">
        <v>980</v>
      </c>
      <c r="W932" s="2" t="s">
        <v>269</v>
      </c>
      <c r="X932" s="2" t="s">
        <v>228</v>
      </c>
      <c r="Y932" s="2" t="s">
        <v>1415</v>
      </c>
      <c r="Z932" s="4"/>
      <c r="AA932" s="4">
        <f>=ROUNDDOWN({0},0)</f>
      </c>
      <c r="AB932" s="5">
        <v>5.3</v>
      </c>
      <c r="AC932" s="2" t="s">
        <v>1416</v>
      </c>
      <c r="AD932" s="4">
        <v>330</v>
      </c>
      <c r="AE932" s="4">
        <v>1760</v>
      </c>
      <c r="AF932" s="6">
        <v>66</v>
      </c>
      <c r="AG932" s="6"/>
      <c r="AH932" s="7">
        <v>0</v>
      </c>
      <c r="AI932" s="4"/>
      <c r="AJ932" s="4">
        <f>=ROUNDDOWN({0},0)</f>
      </c>
      <c r="AK932" s="5"/>
      <c r="AL932" s="2" t="s">
        <v>228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228</v>
      </c>
      <c r="AW932" s="8" t="s">
        <v>228</v>
      </c>
      <c r="AX932" s="4" t="s">
        <v>228</v>
      </c>
      <c r="AY932" s="8" t="s">
        <v>228</v>
      </c>
      <c r="AZ932" s="7" t="s">
        <v>228</v>
      </c>
      <c r="BA932" s="7" t="s">
        <v>228</v>
      </c>
      <c r="BB932" s="7"/>
      <c r="BC932" s="4" t="s">
        <v>228</v>
      </c>
      <c r="BD932" s="8" t="s">
        <v>228</v>
      </c>
      <c r="BE932" s="4" t="s">
        <v>228</v>
      </c>
      <c r="BF932" s="8" t="s">
        <v>228</v>
      </c>
      <c r="BG932" s="7" t="s">
        <v>228</v>
      </c>
      <c r="BH932" s="7" t="s">
        <v>228</v>
      </c>
      <c r="BI932" s="7"/>
      <c r="BJ932" s="4"/>
      <c r="BK932" s="8"/>
      <c r="BL932" s="2" t="s">
        <v>228</v>
      </c>
      <c r="BM932" s="7"/>
      <c r="BN932" s="7"/>
      <c r="BO932" s="4"/>
      <c r="BP932" s="8"/>
      <c r="BQ932" s="4"/>
      <c r="BR932" s="8"/>
      <c r="BS932" s="7"/>
      <c r="BT932" s="7"/>
      <c r="BU932" s="2" t="s">
        <v>238</v>
      </c>
      <c r="BV932" s="2" t="s">
        <v>228</v>
      </c>
      <c r="BW932" s="2" t="s">
        <v>228</v>
      </c>
      <c r="BX932" s="2" t="s">
        <v>238</v>
      </c>
      <c r="BY932" s="2" t="s">
        <v>239</v>
      </c>
      <c r="BZ932" s="2" t="s">
        <v>240</v>
      </c>
      <c r="CA932" s="2" t="s">
        <v>228</v>
      </c>
      <c r="CB932" s="2" t="s">
        <v>228</v>
      </c>
      <c r="CC932" s="2" t="s">
        <v>241</v>
      </c>
      <c r="CD932" s="2" t="s">
        <v>228</v>
      </c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>
        <v>330</v>
      </c>
      <c r="EE932" s="4"/>
      <c r="EF932" s="4"/>
      <c r="EG932" s="4">
        <v>370</v>
      </c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>
        <v>1060</v>
      </c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</row>
    <row r="933">
      <c r="A933" s="2" t="s">
        <v>5022</v>
      </c>
      <c r="B933" s="2" t="s">
        <v>223</v>
      </c>
      <c r="C933" s="2" t="s">
        <v>1406</v>
      </c>
      <c r="D933" s="2" t="s">
        <v>3559</v>
      </c>
      <c r="E933" s="2" t="s">
        <v>3560</v>
      </c>
      <c r="F933" s="2" t="s">
        <v>5017</v>
      </c>
      <c r="G933" s="2" t="s">
        <v>5017</v>
      </c>
      <c r="H933" s="2" t="s">
        <v>5017</v>
      </c>
      <c r="I933" s="2" t="s">
        <v>3562</v>
      </c>
      <c r="J933" s="2" t="s">
        <v>294</v>
      </c>
      <c r="K933" s="2" t="s">
        <v>316</v>
      </c>
      <c r="L933" s="3">
        <v>59.52</v>
      </c>
      <c r="M933" s="3">
        <v>62.5</v>
      </c>
      <c r="N933" s="3">
        <v>124.99</v>
      </c>
      <c r="O933" s="2" t="s">
        <v>240</v>
      </c>
      <c r="P933" s="2" t="s">
        <v>233</v>
      </c>
      <c r="Q933" s="2" t="s">
        <v>234</v>
      </c>
      <c r="R933" s="2" t="s">
        <v>228</v>
      </c>
      <c r="S933" s="2" t="s">
        <v>5018</v>
      </c>
      <c r="T933" s="2" t="s">
        <v>415</v>
      </c>
      <c r="U933" s="2" t="s">
        <v>416</v>
      </c>
      <c r="V933" s="2" t="s">
        <v>980</v>
      </c>
      <c r="W933" s="2" t="s">
        <v>269</v>
      </c>
      <c r="X933" s="2" t="s">
        <v>228</v>
      </c>
      <c r="Y933" s="2" t="s">
        <v>228</v>
      </c>
      <c r="Z933" s="4"/>
      <c r="AA933" s="4">
        <f>=ROUNDDOWN({0},0)</f>
      </c>
      <c r="AB933" s="5"/>
      <c r="AC933" s="2" t="s">
        <v>1416</v>
      </c>
      <c r="AD933" s="4">
        <v>220</v>
      </c>
      <c r="AE933" s="4">
        <v>1060</v>
      </c>
      <c r="AF933" s="6">
        <v>66</v>
      </c>
      <c r="AG933" s="6"/>
      <c r="AH933" s="7"/>
      <c r="AI933" s="4"/>
      <c r="AJ933" s="4">
        <f>=ROUNDDOWN({0},0)</f>
      </c>
      <c r="AK933" s="5"/>
      <c r="AL933" s="2" t="s">
        <v>228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228</v>
      </c>
      <c r="AW933" s="8" t="s">
        <v>228</v>
      </c>
      <c r="AX933" s="4" t="s">
        <v>228</v>
      </c>
      <c r="AY933" s="8" t="s">
        <v>228</v>
      </c>
      <c r="AZ933" s="7" t="s">
        <v>228</v>
      </c>
      <c r="BA933" s="7" t="s">
        <v>228</v>
      </c>
      <c r="BB933" s="7"/>
      <c r="BC933" s="4" t="s">
        <v>228</v>
      </c>
      <c r="BD933" s="8" t="s">
        <v>228</v>
      </c>
      <c r="BE933" s="4" t="s">
        <v>228</v>
      </c>
      <c r="BF933" s="8" t="s">
        <v>228</v>
      </c>
      <c r="BG933" s="7" t="s">
        <v>228</v>
      </c>
      <c r="BH933" s="7" t="s">
        <v>228</v>
      </c>
      <c r="BI933" s="7"/>
      <c r="BJ933" s="4"/>
      <c r="BK933" s="8"/>
      <c r="BL933" s="2" t="s">
        <v>228</v>
      </c>
      <c r="BM933" s="7"/>
      <c r="BN933" s="7"/>
      <c r="BO933" s="4"/>
      <c r="BP933" s="8"/>
      <c r="BQ933" s="4"/>
      <c r="BR933" s="8"/>
      <c r="BS933" s="7"/>
      <c r="BT933" s="7"/>
      <c r="BU933" s="2" t="s">
        <v>238</v>
      </c>
      <c r="BV933" s="2" t="s">
        <v>228</v>
      </c>
      <c r="BW933" s="2" t="s">
        <v>228</v>
      </c>
      <c r="BX933" s="2" t="s">
        <v>238</v>
      </c>
      <c r="BY933" s="2" t="s">
        <v>239</v>
      </c>
      <c r="BZ933" s="2" t="s">
        <v>240</v>
      </c>
      <c r="CA933" s="2" t="s">
        <v>228</v>
      </c>
      <c r="CB933" s="2" t="s">
        <v>228</v>
      </c>
      <c r="CC933" s="2" t="s">
        <v>241</v>
      </c>
      <c r="CD933" s="2" t="s">
        <v>228</v>
      </c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>
        <v>220</v>
      </c>
      <c r="EE933" s="4"/>
      <c r="EF933" s="4"/>
      <c r="EG933" s="4">
        <v>200</v>
      </c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>
        <v>640</v>
      </c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</row>
    <row r="934">
      <c r="A934" s="2" t="s">
        <v>5023</v>
      </c>
      <c r="B934" s="2" t="s">
        <v>223</v>
      </c>
      <c r="C934" s="2" t="s">
        <v>1406</v>
      </c>
      <c r="D934" s="2" t="s">
        <v>3559</v>
      </c>
      <c r="E934" s="2" t="s">
        <v>3560</v>
      </c>
      <c r="F934" s="2" t="s">
        <v>5017</v>
      </c>
      <c r="G934" s="2" t="s">
        <v>5017</v>
      </c>
      <c r="H934" s="2" t="s">
        <v>5017</v>
      </c>
      <c r="I934" s="2" t="s">
        <v>3562</v>
      </c>
      <c r="J934" s="2" t="s">
        <v>312</v>
      </c>
      <c r="K934" s="2" t="s">
        <v>316</v>
      </c>
      <c r="L934" s="3">
        <v>59.52</v>
      </c>
      <c r="M934" s="3">
        <v>62.5</v>
      </c>
      <c r="N934" s="3">
        <v>124.99</v>
      </c>
      <c r="O934" s="2" t="s">
        <v>240</v>
      </c>
      <c r="P934" s="2" t="s">
        <v>233</v>
      </c>
      <c r="Q934" s="2" t="s">
        <v>234</v>
      </c>
      <c r="R934" s="2" t="s">
        <v>228</v>
      </c>
      <c r="S934" s="2" t="s">
        <v>5018</v>
      </c>
      <c r="T934" s="2" t="s">
        <v>415</v>
      </c>
      <c r="U934" s="2" t="s">
        <v>416</v>
      </c>
      <c r="V934" s="2" t="s">
        <v>980</v>
      </c>
      <c r="W934" s="2" t="s">
        <v>269</v>
      </c>
      <c r="X934" s="2" t="s">
        <v>228</v>
      </c>
      <c r="Y934" s="2" t="s">
        <v>228</v>
      </c>
      <c r="Z934" s="4"/>
      <c r="AA934" s="4">
        <f>=ROUNDDOWN({0},0)</f>
      </c>
      <c r="AB934" s="5"/>
      <c r="AC934" s="2" t="s">
        <v>1416</v>
      </c>
      <c r="AD934" s="4">
        <v>200</v>
      </c>
      <c r="AE934" s="4">
        <v>500</v>
      </c>
      <c r="AF934" s="6">
        <v>66</v>
      </c>
      <c r="AG934" s="6"/>
      <c r="AH934" s="7"/>
      <c r="AI934" s="4"/>
      <c r="AJ934" s="4">
        <f>=ROUNDDOWN({0},0)</f>
      </c>
      <c r="AK934" s="5"/>
      <c r="AL934" s="2" t="s">
        <v>228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228</v>
      </c>
      <c r="AW934" s="8" t="s">
        <v>228</v>
      </c>
      <c r="AX934" s="4" t="s">
        <v>228</v>
      </c>
      <c r="AY934" s="8" t="s">
        <v>228</v>
      </c>
      <c r="AZ934" s="7" t="s">
        <v>228</v>
      </c>
      <c r="BA934" s="7" t="s">
        <v>228</v>
      </c>
      <c r="BB934" s="7"/>
      <c r="BC934" s="4" t="s">
        <v>228</v>
      </c>
      <c r="BD934" s="8" t="s">
        <v>228</v>
      </c>
      <c r="BE934" s="4" t="s">
        <v>228</v>
      </c>
      <c r="BF934" s="8" t="s">
        <v>228</v>
      </c>
      <c r="BG934" s="7" t="s">
        <v>228</v>
      </c>
      <c r="BH934" s="7" t="s">
        <v>228</v>
      </c>
      <c r="BI934" s="7"/>
      <c r="BJ934" s="4"/>
      <c r="BK934" s="8"/>
      <c r="BL934" s="2" t="s">
        <v>228</v>
      </c>
      <c r="BM934" s="7"/>
      <c r="BN934" s="7"/>
      <c r="BO934" s="4"/>
      <c r="BP934" s="8"/>
      <c r="BQ934" s="4"/>
      <c r="BR934" s="8"/>
      <c r="BS934" s="7"/>
      <c r="BT934" s="7"/>
      <c r="BU934" s="2" t="s">
        <v>238</v>
      </c>
      <c r="BV934" s="2" t="s">
        <v>228</v>
      </c>
      <c r="BW934" s="2" t="s">
        <v>228</v>
      </c>
      <c r="BX934" s="2" t="s">
        <v>238</v>
      </c>
      <c r="BY934" s="2" t="s">
        <v>239</v>
      </c>
      <c r="BZ934" s="2" t="s">
        <v>240</v>
      </c>
      <c r="CA934" s="2" t="s">
        <v>228</v>
      </c>
      <c r="CB934" s="2" t="s">
        <v>228</v>
      </c>
      <c r="CC934" s="2" t="s">
        <v>241</v>
      </c>
      <c r="CD934" s="2" t="s">
        <v>228</v>
      </c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>
        <v>200</v>
      </c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>
        <v>300</v>
      </c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</row>
    <row r="935">
      <c r="A935" s="2" t="s">
        <v>5024</v>
      </c>
      <c r="B935" s="2" t="s">
        <v>299</v>
      </c>
      <c r="C935" s="2" t="s">
        <v>300</v>
      </c>
      <c r="D935" s="2" t="s">
        <v>301</v>
      </c>
      <c r="E935" s="2" t="s">
        <v>302</v>
      </c>
      <c r="F935" s="2" t="s">
        <v>5025</v>
      </c>
      <c r="G935" s="2" t="s">
        <v>5025</v>
      </c>
      <c r="H935" s="2" t="s">
        <v>5025</v>
      </c>
      <c r="I935" s="2" t="s">
        <v>5026</v>
      </c>
      <c r="J935" s="2" t="s">
        <v>284</v>
      </c>
      <c r="K935" s="2" t="s">
        <v>5027</v>
      </c>
      <c r="L935" s="3">
        <v>13.56</v>
      </c>
      <c r="M935" s="3">
        <v>14.24</v>
      </c>
      <c r="N935" s="3">
        <v>32.99</v>
      </c>
      <c r="O935" s="2" t="s">
        <v>461</v>
      </c>
      <c r="P935" s="2" t="s">
        <v>333</v>
      </c>
      <c r="Q935" s="2" t="s">
        <v>234</v>
      </c>
      <c r="R935" s="2" t="s">
        <v>228</v>
      </c>
      <c r="S935" s="2" t="s">
        <v>5028</v>
      </c>
      <c r="T935" s="2" t="s">
        <v>415</v>
      </c>
      <c r="U935" s="2" t="s">
        <v>308</v>
      </c>
      <c r="V935" s="2" t="s">
        <v>5029</v>
      </c>
      <c r="W935" s="2" t="s">
        <v>269</v>
      </c>
      <c r="X935" s="2" t="s">
        <v>228</v>
      </c>
      <c r="Y935" s="2" t="s">
        <v>5030</v>
      </c>
      <c r="Z935" s="4">
        <v>55</v>
      </c>
      <c r="AA935" s="4">
        <f>=ROUNDDOWN(18.3333333333333,0)</f>
      </c>
      <c r="AB935" s="5">
        <v>3</v>
      </c>
      <c r="AC935" s="2" t="s">
        <v>228</v>
      </c>
      <c r="AD935" s="4"/>
      <c r="AE935" s="4"/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228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/>
      <c r="AW935" s="8"/>
      <c r="AX935" s="4"/>
      <c r="AY935" s="8"/>
      <c r="AZ935" s="7"/>
      <c r="BA935" s="7"/>
      <c r="BB935" s="7"/>
      <c r="BC935" s="4" t="s">
        <v>228</v>
      </c>
      <c r="BD935" s="8" t="s">
        <v>228</v>
      </c>
      <c r="BE935" s="4" t="s">
        <v>228</v>
      </c>
      <c r="BF935" s="8" t="s">
        <v>228</v>
      </c>
      <c r="BG935" s="7" t="s">
        <v>228</v>
      </c>
      <c r="BH935" s="7" t="s">
        <v>228</v>
      </c>
      <c r="BI935" s="7"/>
      <c r="BJ935" s="4">
        <v>14</v>
      </c>
      <c r="BK935" s="8">
        <v>201.65</v>
      </c>
      <c r="BL935" s="2" t="s">
        <v>5031</v>
      </c>
      <c r="BM935" s="7"/>
      <c r="BN935" s="7"/>
      <c r="BO935" s="4"/>
      <c r="BP935" s="8"/>
      <c r="BQ935" s="4"/>
      <c r="BR935" s="8"/>
      <c r="BS935" s="7"/>
      <c r="BT935" s="7"/>
      <c r="BU935" s="2" t="s">
        <v>5032</v>
      </c>
      <c r="BV935" s="2" t="s">
        <v>228</v>
      </c>
      <c r="BW935" s="2" t="s">
        <v>228</v>
      </c>
      <c r="BX935" s="2" t="s">
        <v>337</v>
      </c>
      <c r="BY935" s="2" t="s">
        <v>274</v>
      </c>
      <c r="BZ935" s="2" t="s">
        <v>240</v>
      </c>
      <c r="CA935" s="2" t="s">
        <v>2587</v>
      </c>
      <c r="CB935" s="2" t="s">
        <v>514</v>
      </c>
      <c r="CC935" s="2" t="s">
        <v>241</v>
      </c>
      <c r="CD935" s="2" t="s">
        <v>228</v>
      </c>
      <c r="CE935" s="4">
        <v>55</v>
      </c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</row>
    <row r="936">
      <c r="A936" s="2" t="s">
        <v>5033</v>
      </c>
      <c r="B936" s="2" t="s">
        <v>299</v>
      </c>
      <c r="C936" s="2" t="s">
        <v>300</v>
      </c>
      <c r="D936" s="2" t="s">
        <v>301</v>
      </c>
      <c r="E936" s="2" t="s">
        <v>302</v>
      </c>
      <c r="F936" s="2" t="s">
        <v>5025</v>
      </c>
      <c r="G936" s="2" t="s">
        <v>5025</v>
      </c>
      <c r="H936" s="2" t="s">
        <v>5025</v>
      </c>
      <c r="I936" s="2" t="s">
        <v>5026</v>
      </c>
      <c r="J936" s="2" t="s">
        <v>284</v>
      </c>
      <c r="K936" s="2" t="s">
        <v>5034</v>
      </c>
      <c r="L936" s="3">
        <v>13.56</v>
      </c>
      <c r="M936" s="3">
        <v>14.24</v>
      </c>
      <c r="N936" s="3">
        <v>32.99</v>
      </c>
      <c r="O936" s="2" t="s">
        <v>461</v>
      </c>
      <c r="P936" s="2" t="s">
        <v>333</v>
      </c>
      <c r="Q936" s="2" t="s">
        <v>234</v>
      </c>
      <c r="R936" s="2" t="s">
        <v>228</v>
      </c>
      <c r="S936" s="2" t="s">
        <v>5035</v>
      </c>
      <c r="T936" s="2" t="s">
        <v>415</v>
      </c>
      <c r="U936" s="2" t="s">
        <v>308</v>
      </c>
      <c r="V936" s="2" t="s">
        <v>5029</v>
      </c>
      <c r="W936" s="2" t="s">
        <v>269</v>
      </c>
      <c r="X936" s="2" t="s">
        <v>228</v>
      </c>
      <c r="Y936" s="2" t="s">
        <v>5030</v>
      </c>
      <c r="Z936" s="4">
        <v>109</v>
      </c>
      <c r="AA936" s="4">
        <f>=ROUNDDOWN(54.5,0)</f>
      </c>
      <c r="AB936" s="5">
        <v>2</v>
      </c>
      <c r="AC936" s="2" t="s">
        <v>228</v>
      </c>
      <c r="AD936" s="4"/>
      <c r="AE936" s="4"/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228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228</v>
      </c>
      <c r="AW936" s="8" t="s">
        <v>228</v>
      </c>
      <c r="AX936" s="4" t="s">
        <v>228</v>
      </c>
      <c r="AY936" s="8" t="s">
        <v>228</v>
      </c>
      <c r="AZ936" s="7" t="s">
        <v>228</v>
      </c>
      <c r="BA936" s="7" t="s">
        <v>228</v>
      </c>
      <c r="BB936" s="7"/>
      <c r="BC936" s="4" t="s">
        <v>228</v>
      </c>
      <c r="BD936" s="8" t="s">
        <v>228</v>
      </c>
      <c r="BE936" s="4" t="s">
        <v>228</v>
      </c>
      <c r="BF936" s="8" t="s">
        <v>228</v>
      </c>
      <c r="BG936" s="7" t="s">
        <v>228</v>
      </c>
      <c r="BH936" s="7" t="s">
        <v>228</v>
      </c>
      <c r="BI936" s="7"/>
      <c r="BJ936" s="4">
        <v>8</v>
      </c>
      <c r="BK936" s="8">
        <v>107.48</v>
      </c>
      <c r="BL936" s="2" t="s">
        <v>5036</v>
      </c>
      <c r="BM936" s="7"/>
      <c r="BN936" s="7"/>
      <c r="BO936" s="4"/>
      <c r="BP936" s="8"/>
      <c r="BQ936" s="4"/>
      <c r="BR936" s="8"/>
      <c r="BS936" s="7"/>
      <c r="BT936" s="7"/>
      <c r="BU936" s="2" t="s">
        <v>5037</v>
      </c>
      <c r="BV936" s="2" t="s">
        <v>228</v>
      </c>
      <c r="BW936" s="2" t="s">
        <v>228</v>
      </c>
      <c r="BX936" s="2" t="s">
        <v>337</v>
      </c>
      <c r="BY936" s="2" t="s">
        <v>274</v>
      </c>
      <c r="BZ936" s="2" t="s">
        <v>240</v>
      </c>
      <c r="CA936" s="2" t="s">
        <v>2587</v>
      </c>
      <c r="CB936" s="2" t="s">
        <v>5038</v>
      </c>
      <c r="CC936" s="2" t="s">
        <v>241</v>
      </c>
      <c r="CD936" s="2" t="s">
        <v>228</v>
      </c>
      <c r="CE936" s="4">
        <v>109</v>
      </c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</row>
    <row r="937">
      <c r="A937" s="2" t="s">
        <v>5039</v>
      </c>
      <c r="B937" s="2" t="s">
        <v>299</v>
      </c>
      <c r="C937" s="2" t="s">
        <v>300</v>
      </c>
      <c r="D937" s="2" t="s">
        <v>301</v>
      </c>
      <c r="E937" s="2" t="s">
        <v>302</v>
      </c>
      <c r="F937" s="2" t="s">
        <v>5025</v>
      </c>
      <c r="G937" s="2" t="s">
        <v>5025</v>
      </c>
      <c r="H937" s="2" t="s">
        <v>5025</v>
      </c>
      <c r="I937" s="2" t="s">
        <v>5026</v>
      </c>
      <c r="J937" s="2" t="s">
        <v>294</v>
      </c>
      <c r="K937" s="2" t="s">
        <v>5034</v>
      </c>
      <c r="L937" s="3">
        <v>17.58</v>
      </c>
      <c r="M937" s="3">
        <v>18.46</v>
      </c>
      <c r="N937" s="3">
        <v>39.99</v>
      </c>
      <c r="O937" s="2" t="s">
        <v>461</v>
      </c>
      <c r="P937" s="2" t="s">
        <v>333</v>
      </c>
      <c r="Q937" s="2" t="s">
        <v>234</v>
      </c>
      <c r="R937" s="2" t="s">
        <v>228</v>
      </c>
      <c r="S937" s="2" t="s">
        <v>5035</v>
      </c>
      <c r="T937" s="2" t="s">
        <v>415</v>
      </c>
      <c r="U937" s="2" t="s">
        <v>308</v>
      </c>
      <c r="V937" s="2" t="s">
        <v>5029</v>
      </c>
      <c r="W937" s="2" t="s">
        <v>269</v>
      </c>
      <c r="X937" s="2" t="s">
        <v>228</v>
      </c>
      <c r="Y937" s="2" t="s">
        <v>5030</v>
      </c>
      <c r="Z937" s="4">
        <v>19</v>
      </c>
      <c r="AA937" s="4">
        <f>=ROUNDDOWN(9.5,0)</f>
      </c>
      <c r="AB937" s="5">
        <v>2</v>
      </c>
      <c r="AC937" s="2" t="s">
        <v>228</v>
      </c>
      <c r="AD937" s="4"/>
      <c r="AE937" s="4"/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228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228</v>
      </c>
      <c r="AW937" s="8" t="s">
        <v>228</v>
      </c>
      <c r="AX937" s="4" t="s">
        <v>228</v>
      </c>
      <c r="AY937" s="8" t="s">
        <v>228</v>
      </c>
      <c r="AZ937" s="7" t="s">
        <v>228</v>
      </c>
      <c r="BA937" s="7" t="s">
        <v>228</v>
      </c>
      <c r="BB937" s="7"/>
      <c r="BC937" s="4" t="s">
        <v>228</v>
      </c>
      <c r="BD937" s="8" t="s">
        <v>228</v>
      </c>
      <c r="BE937" s="4" t="s">
        <v>228</v>
      </c>
      <c r="BF937" s="8" t="s">
        <v>228</v>
      </c>
      <c r="BG937" s="7" t="s">
        <v>228</v>
      </c>
      <c r="BH937" s="7" t="s">
        <v>228</v>
      </c>
      <c r="BI937" s="7"/>
      <c r="BJ937" s="4">
        <v>20</v>
      </c>
      <c r="BK937" s="8">
        <v>368.92</v>
      </c>
      <c r="BL937" s="2" t="s">
        <v>5040</v>
      </c>
      <c r="BM937" s="7"/>
      <c r="BN937" s="7"/>
      <c r="BO937" s="4"/>
      <c r="BP937" s="8"/>
      <c r="BQ937" s="4"/>
      <c r="BR937" s="8"/>
      <c r="BS937" s="7"/>
      <c r="BT937" s="7"/>
      <c r="BU937" s="2" t="s">
        <v>5041</v>
      </c>
      <c r="BV937" s="2" t="s">
        <v>228</v>
      </c>
      <c r="BW937" s="2" t="s">
        <v>228</v>
      </c>
      <c r="BX937" s="2" t="s">
        <v>337</v>
      </c>
      <c r="BY937" s="2" t="s">
        <v>274</v>
      </c>
      <c r="BZ937" s="2" t="s">
        <v>240</v>
      </c>
      <c r="CA937" s="2" t="s">
        <v>2587</v>
      </c>
      <c r="CB937" s="2" t="s">
        <v>3567</v>
      </c>
      <c r="CC937" s="2" t="s">
        <v>241</v>
      </c>
      <c r="CD937" s="2" t="s">
        <v>228</v>
      </c>
      <c r="CE937" s="4">
        <v>19</v>
      </c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</row>
    <row r="938">
      <c r="A938" s="2" t="s">
        <v>5042</v>
      </c>
      <c r="B938" s="2" t="s">
        <v>299</v>
      </c>
      <c r="C938" s="2" t="s">
        <v>300</v>
      </c>
      <c r="D938" s="2" t="s">
        <v>301</v>
      </c>
      <c r="E938" s="2" t="s">
        <v>302</v>
      </c>
      <c r="F938" s="2" t="s">
        <v>5025</v>
      </c>
      <c r="G938" s="2" t="s">
        <v>5025</v>
      </c>
      <c r="H938" s="2" t="s">
        <v>5025</v>
      </c>
      <c r="I938" s="2" t="s">
        <v>5026</v>
      </c>
      <c r="J938" s="2" t="s">
        <v>284</v>
      </c>
      <c r="K938" s="2" t="s">
        <v>5043</v>
      </c>
      <c r="L938" s="3">
        <v>13.56</v>
      </c>
      <c r="M938" s="3">
        <v>14.24</v>
      </c>
      <c r="N938" s="3">
        <v>32.99</v>
      </c>
      <c r="O938" s="2" t="s">
        <v>461</v>
      </c>
      <c r="P938" s="2" t="s">
        <v>333</v>
      </c>
      <c r="Q938" s="2" t="s">
        <v>234</v>
      </c>
      <c r="R938" s="2" t="s">
        <v>228</v>
      </c>
      <c r="S938" s="2" t="s">
        <v>5044</v>
      </c>
      <c r="T938" s="2" t="s">
        <v>415</v>
      </c>
      <c r="U938" s="2" t="s">
        <v>308</v>
      </c>
      <c r="V938" s="2" t="s">
        <v>5029</v>
      </c>
      <c r="W938" s="2" t="s">
        <v>269</v>
      </c>
      <c r="X938" s="2" t="s">
        <v>228</v>
      </c>
      <c r="Y938" s="2" t="s">
        <v>5030</v>
      </c>
      <c r="Z938" s="4">
        <v>89</v>
      </c>
      <c r="AA938" s="4">
        <f>=ROUNDDOWN(29.6666666666667,0)</f>
      </c>
      <c r="AB938" s="5">
        <v>3</v>
      </c>
      <c r="AC938" s="2" t="s">
        <v>228</v>
      </c>
      <c r="AD938" s="4"/>
      <c r="AE938" s="4"/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228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228</v>
      </c>
      <c r="AW938" s="8" t="s">
        <v>228</v>
      </c>
      <c r="AX938" s="4" t="s">
        <v>228</v>
      </c>
      <c r="AY938" s="8" t="s">
        <v>228</v>
      </c>
      <c r="AZ938" s="7" t="s">
        <v>228</v>
      </c>
      <c r="BA938" s="7" t="s">
        <v>228</v>
      </c>
      <c r="BB938" s="7"/>
      <c r="BC938" s="4" t="s">
        <v>228</v>
      </c>
      <c r="BD938" s="8" t="s">
        <v>228</v>
      </c>
      <c r="BE938" s="4" t="s">
        <v>228</v>
      </c>
      <c r="BF938" s="8" t="s">
        <v>228</v>
      </c>
      <c r="BG938" s="7" t="s">
        <v>228</v>
      </c>
      <c r="BH938" s="7" t="s">
        <v>228</v>
      </c>
      <c r="BI938" s="7"/>
      <c r="BJ938" s="4">
        <v>11</v>
      </c>
      <c r="BK938" s="8">
        <v>149.43</v>
      </c>
      <c r="BL938" s="2" t="s">
        <v>5045</v>
      </c>
      <c r="BM938" s="7"/>
      <c r="BN938" s="7"/>
      <c r="BO938" s="4"/>
      <c r="BP938" s="8"/>
      <c r="BQ938" s="4"/>
      <c r="BR938" s="8"/>
      <c r="BS938" s="7"/>
      <c r="BT938" s="7"/>
      <c r="BU938" s="2" t="s">
        <v>5046</v>
      </c>
      <c r="BV938" s="2" t="s">
        <v>228</v>
      </c>
      <c r="BW938" s="2" t="s">
        <v>228</v>
      </c>
      <c r="BX938" s="2" t="s">
        <v>337</v>
      </c>
      <c r="BY938" s="2" t="s">
        <v>274</v>
      </c>
      <c r="BZ938" s="2" t="s">
        <v>240</v>
      </c>
      <c r="CA938" s="2" t="s">
        <v>2587</v>
      </c>
      <c r="CB938" s="2" t="s">
        <v>1542</v>
      </c>
      <c r="CC938" s="2" t="s">
        <v>241</v>
      </c>
      <c r="CD938" s="2" t="s">
        <v>228</v>
      </c>
      <c r="CE938" s="4">
        <v>89</v>
      </c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</row>
    <row r="939">
      <c r="A939" s="2" t="s">
        <v>5047</v>
      </c>
      <c r="B939" s="2" t="s">
        <v>299</v>
      </c>
      <c r="C939" s="2" t="s">
        <v>300</v>
      </c>
      <c r="D939" s="2" t="s">
        <v>301</v>
      </c>
      <c r="E939" s="2" t="s">
        <v>302</v>
      </c>
      <c r="F939" s="2" t="s">
        <v>5025</v>
      </c>
      <c r="G939" s="2" t="s">
        <v>5025</v>
      </c>
      <c r="H939" s="2" t="s">
        <v>5025</v>
      </c>
      <c r="I939" s="2" t="s">
        <v>5026</v>
      </c>
      <c r="J939" s="2" t="s">
        <v>289</v>
      </c>
      <c r="K939" s="2" t="s">
        <v>5043</v>
      </c>
      <c r="L939" s="3">
        <v>14.92</v>
      </c>
      <c r="M939" s="3">
        <v>15.67</v>
      </c>
      <c r="N939" s="3">
        <v>34.99</v>
      </c>
      <c r="O939" s="2" t="s">
        <v>461</v>
      </c>
      <c r="P939" s="2" t="s">
        <v>333</v>
      </c>
      <c r="Q939" s="2" t="s">
        <v>234</v>
      </c>
      <c r="R939" s="2" t="s">
        <v>228</v>
      </c>
      <c r="S939" s="2" t="s">
        <v>5044</v>
      </c>
      <c r="T939" s="2" t="s">
        <v>415</v>
      </c>
      <c r="U939" s="2" t="s">
        <v>308</v>
      </c>
      <c r="V939" s="2" t="s">
        <v>5029</v>
      </c>
      <c r="W939" s="2" t="s">
        <v>269</v>
      </c>
      <c r="X939" s="2" t="s">
        <v>228</v>
      </c>
      <c r="Y939" s="2" t="s">
        <v>5030</v>
      </c>
      <c r="Z939" s="4">
        <v>136</v>
      </c>
      <c r="AA939" s="4">
        <f>=ROUNDDOWN(45.3333333333333,0)</f>
      </c>
      <c r="AB939" s="5">
        <v>3</v>
      </c>
      <c r="AC939" s="2" t="s">
        <v>228</v>
      </c>
      <c r="AD939" s="4"/>
      <c r="AE939" s="4"/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228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228</v>
      </c>
      <c r="AW939" s="8" t="s">
        <v>228</v>
      </c>
      <c r="AX939" s="4" t="s">
        <v>228</v>
      </c>
      <c r="AY939" s="8" t="s">
        <v>228</v>
      </c>
      <c r="AZ939" s="7" t="s">
        <v>228</v>
      </c>
      <c r="BA939" s="7" t="s">
        <v>228</v>
      </c>
      <c r="BB939" s="7"/>
      <c r="BC939" s="4" t="s">
        <v>228</v>
      </c>
      <c r="BD939" s="8" t="s">
        <v>228</v>
      </c>
      <c r="BE939" s="4" t="s">
        <v>228</v>
      </c>
      <c r="BF939" s="8" t="s">
        <v>228</v>
      </c>
      <c r="BG939" s="7" t="s">
        <v>228</v>
      </c>
      <c r="BH939" s="7" t="s">
        <v>228</v>
      </c>
      <c r="BI939" s="7"/>
      <c r="BJ939" s="4">
        <v>32</v>
      </c>
      <c r="BK939" s="8">
        <v>509.58</v>
      </c>
      <c r="BL939" s="2" t="s">
        <v>5048</v>
      </c>
      <c r="BM939" s="7"/>
      <c r="BN939" s="7"/>
      <c r="BO939" s="4"/>
      <c r="BP939" s="8"/>
      <c r="BQ939" s="4"/>
      <c r="BR939" s="8"/>
      <c r="BS939" s="7"/>
      <c r="BT939" s="7"/>
      <c r="BU939" s="2" t="s">
        <v>5049</v>
      </c>
      <c r="BV939" s="2" t="s">
        <v>228</v>
      </c>
      <c r="BW939" s="2" t="s">
        <v>228</v>
      </c>
      <c r="BX939" s="2" t="s">
        <v>337</v>
      </c>
      <c r="BY939" s="2" t="s">
        <v>274</v>
      </c>
      <c r="BZ939" s="2" t="s">
        <v>240</v>
      </c>
      <c r="CA939" s="2" t="s">
        <v>2587</v>
      </c>
      <c r="CB939" s="2" t="s">
        <v>2980</v>
      </c>
      <c r="CC939" s="2" t="s">
        <v>241</v>
      </c>
      <c r="CD939" s="2" t="s">
        <v>228</v>
      </c>
      <c r="CE939" s="4">
        <v>136</v>
      </c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</row>
    <row r="940">
      <c r="A940" s="2" t="s">
        <v>5050</v>
      </c>
      <c r="B940" s="2" t="s">
        <v>299</v>
      </c>
      <c r="C940" s="2" t="s">
        <v>300</v>
      </c>
      <c r="D940" s="2" t="s">
        <v>301</v>
      </c>
      <c r="E940" s="2" t="s">
        <v>302</v>
      </c>
      <c r="F940" s="2" t="s">
        <v>5025</v>
      </c>
      <c r="G940" s="2" t="s">
        <v>5025</v>
      </c>
      <c r="H940" s="2" t="s">
        <v>5025</v>
      </c>
      <c r="I940" s="2" t="s">
        <v>5026</v>
      </c>
      <c r="J940" s="2" t="s">
        <v>294</v>
      </c>
      <c r="K940" s="2" t="s">
        <v>5043</v>
      </c>
      <c r="L940" s="3">
        <v>17.58</v>
      </c>
      <c r="M940" s="3">
        <v>18.46</v>
      </c>
      <c r="N940" s="3">
        <v>39.99</v>
      </c>
      <c r="O940" s="2" t="s">
        <v>461</v>
      </c>
      <c r="P940" s="2" t="s">
        <v>333</v>
      </c>
      <c r="Q940" s="2" t="s">
        <v>234</v>
      </c>
      <c r="R940" s="2" t="s">
        <v>228</v>
      </c>
      <c r="S940" s="2" t="s">
        <v>5044</v>
      </c>
      <c r="T940" s="2" t="s">
        <v>415</v>
      </c>
      <c r="U940" s="2" t="s">
        <v>308</v>
      </c>
      <c r="V940" s="2" t="s">
        <v>5029</v>
      </c>
      <c r="W940" s="2" t="s">
        <v>269</v>
      </c>
      <c r="X940" s="2" t="s">
        <v>228</v>
      </c>
      <c r="Y940" s="2" t="s">
        <v>5030</v>
      </c>
      <c r="Z940" s="4">
        <v>88</v>
      </c>
      <c r="AA940" s="4">
        <f>=ROUNDDOWN(88,0)</f>
      </c>
      <c r="AB940" s="5">
        <v>1</v>
      </c>
      <c r="AC940" s="2" t="s">
        <v>228</v>
      </c>
      <c r="AD940" s="4"/>
      <c r="AE940" s="4"/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228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228</v>
      </c>
      <c r="AW940" s="8" t="s">
        <v>228</v>
      </c>
      <c r="AX940" s="4" t="s">
        <v>228</v>
      </c>
      <c r="AY940" s="8" t="s">
        <v>228</v>
      </c>
      <c r="AZ940" s="7" t="s">
        <v>228</v>
      </c>
      <c r="BA940" s="7" t="s">
        <v>228</v>
      </c>
      <c r="BB940" s="7"/>
      <c r="BC940" s="4" t="s">
        <v>228</v>
      </c>
      <c r="BD940" s="8" t="s">
        <v>228</v>
      </c>
      <c r="BE940" s="4" t="s">
        <v>228</v>
      </c>
      <c r="BF940" s="8" t="s">
        <v>228</v>
      </c>
      <c r="BG940" s="7" t="s">
        <v>228</v>
      </c>
      <c r="BH940" s="7" t="s">
        <v>228</v>
      </c>
      <c r="BI940" s="7"/>
      <c r="BJ940" s="4">
        <v>19</v>
      </c>
      <c r="BK940" s="8">
        <v>341.84</v>
      </c>
      <c r="BL940" s="2" t="s">
        <v>5051</v>
      </c>
      <c r="BM940" s="7"/>
      <c r="BN940" s="7"/>
      <c r="BO940" s="4"/>
      <c r="BP940" s="8"/>
      <c r="BQ940" s="4"/>
      <c r="BR940" s="8"/>
      <c r="BS940" s="7"/>
      <c r="BT940" s="7"/>
      <c r="BU940" s="2" t="s">
        <v>5052</v>
      </c>
      <c r="BV940" s="2" t="s">
        <v>228</v>
      </c>
      <c r="BW940" s="2" t="s">
        <v>228</v>
      </c>
      <c r="BX940" s="2" t="s">
        <v>337</v>
      </c>
      <c r="BY940" s="2" t="s">
        <v>274</v>
      </c>
      <c r="BZ940" s="2" t="s">
        <v>240</v>
      </c>
      <c r="CA940" s="2" t="s">
        <v>2587</v>
      </c>
      <c r="CB940" s="2" t="s">
        <v>3567</v>
      </c>
      <c r="CC940" s="2" t="s">
        <v>241</v>
      </c>
      <c r="CD940" s="2" t="s">
        <v>228</v>
      </c>
      <c r="CE940" s="4">
        <v>88</v>
      </c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</row>
    <row r="941">
      <c r="A941" s="2" t="s">
        <v>5053</v>
      </c>
      <c r="B941" s="2" t="s">
        <v>970</v>
      </c>
      <c r="C941" s="2" t="s">
        <v>300</v>
      </c>
      <c r="D941" s="2" t="s">
        <v>971</v>
      </c>
      <c r="E941" s="2" t="s">
        <v>972</v>
      </c>
      <c r="F941" s="2" t="s">
        <v>5054</v>
      </c>
      <c r="G941" s="2" t="s">
        <v>5055</v>
      </c>
      <c r="H941" s="2" t="s">
        <v>5056</v>
      </c>
      <c r="I941" s="2" t="s">
        <v>5057</v>
      </c>
      <c r="J941" s="2" t="s">
        <v>1300</v>
      </c>
      <c r="K941" s="2" t="s">
        <v>305</v>
      </c>
      <c r="L941" s="3">
        <v>17.1</v>
      </c>
      <c r="M941" s="3">
        <v>17.96</v>
      </c>
      <c r="N941" s="3">
        <v>44.99</v>
      </c>
      <c r="O941" s="2" t="s">
        <v>240</v>
      </c>
      <c r="P941" s="2" t="s">
        <v>266</v>
      </c>
      <c r="Q941" s="2" t="s">
        <v>234</v>
      </c>
      <c r="R941" s="2" t="s">
        <v>228</v>
      </c>
      <c r="S941" s="2" t="s">
        <v>5058</v>
      </c>
      <c r="T941" s="2" t="s">
        <v>228</v>
      </c>
      <c r="U941" s="2" t="s">
        <v>416</v>
      </c>
      <c r="V941" s="2" t="s">
        <v>236</v>
      </c>
      <c r="W941" s="2" t="s">
        <v>463</v>
      </c>
      <c r="X941" s="2" t="s">
        <v>3401</v>
      </c>
      <c r="Y941" s="2" t="s">
        <v>4588</v>
      </c>
      <c r="Z941" s="4">
        <v>109</v>
      </c>
      <c r="AA941" s="4">
        <f>=ROUNDDOWN(13.625,0)</f>
      </c>
      <c r="AB941" s="5">
        <v>8</v>
      </c>
      <c r="AC941" s="2" t="s">
        <v>1352</v>
      </c>
      <c r="AD941" s="4">
        <v>84</v>
      </c>
      <c r="AE941" s="4">
        <v>184</v>
      </c>
      <c r="AF941" s="6">
        <v>64</v>
      </c>
      <c r="AG941" s="6"/>
      <c r="AH941" s="7">
        <v>1</v>
      </c>
      <c r="AI941" s="4"/>
      <c r="AJ941" s="4">
        <f>=ROUNDDOWN({0},0)</f>
      </c>
      <c r="AK941" s="5"/>
      <c r="AL941" s="2" t="s">
        <v>228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228</v>
      </c>
      <c r="AW941" s="8" t="s">
        <v>228</v>
      </c>
      <c r="AX941" s="4" t="s">
        <v>228</v>
      </c>
      <c r="AY941" s="8" t="s">
        <v>228</v>
      </c>
      <c r="AZ941" s="7" t="s">
        <v>228</v>
      </c>
      <c r="BA941" s="7" t="s">
        <v>228</v>
      </c>
      <c r="BB941" s="7"/>
      <c r="BC941" s="4" t="s">
        <v>228</v>
      </c>
      <c r="BD941" s="8" t="s">
        <v>228</v>
      </c>
      <c r="BE941" s="4" t="s">
        <v>228</v>
      </c>
      <c r="BF941" s="8" t="s">
        <v>228</v>
      </c>
      <c r="BG941" s="7" t="s">
        <v>228</v>
      </c>
      <c r="BH941" s="7" t="s">
        <v>228</v>
      </c>
      <c r="BI941" s="7"/>
      <c r="BJ941" s="4">
        <v>10</v>
      </c>
      <c r="BK941" s="8">
        <v>191.96</v>
      </c>
      <c r="BL941" s="2" t="s">
        <v>690</v>
      </c>
      <c r="BM941" s="7"/>
      <c r="BN941" s="7"/>
      <c r="BO941" s="4"/>
      <c r="BP941" s="8"/>
      <c r="BQ941" s="4"/>
      <c r="BR941" s="8"/>
      <c r="BS941" s="7"/>
      <c r="BT941" s="7"/>
      <c r="BU941" s="2" t="s">
        <v>5059</v>
      </c>
      <c r="BV941" s="2" t="s">
        <v>228</v>
      </c>
      <c r="BW941" s="2" t="s">
        <v>228</v>
      </c>
      <c r="BX941" s="2" t="s">
        <v>5060</v>
      </c>
      <c r="BY941" s="2" t="s">
        <v>274</v>
      </c>
      <c r="BZ941" s="2" t="s">
        <v>240</v>
      </c>
      <c r="CA941" s="2" t="s">
        <v>5061</v>
      </c>
      <c r="CB941" s="2" t="s">
        <v>1095</v>
      </c>
      <c r="CC941" s="2" t="s">
        <v>241</v>
      </c>
      <c r="CD941" s="2" t="s">
        <v>228</v>
      </c>
      <c r="CE941" s="4">
        <v>109</v>
      </c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>
        <v>84</v>
      </c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>
        <v>100</v>
      </c>
      <c r="HA941" s="4"/>
      <c r="HB941" s="4"/>
      <c r="HC941" s="4"/>
      <c r="HD941" s="4"/>
      <c r="HE941" s="4"/>
    </row>
    <row r="942">
      <c r="A942" s="2" t="s">
        <v>5062</v>
      </c>
      <c r="B942" s="2" t="s">
        <v>970</v>
      </c>
      <c r="C942" s="2" t="s">
        <v>300</v>
      </c>
      <c r="D942" s="2" t="s">
        <v>971</v>
      </c>
      <c r="E942" s="2" t="s">
        <v>972</v>
      </c>
      <c r="F942" s="2" t="s">
        <v>5054</v>
      </c>
      <c r="G942" s="2" t="s">
        <v>5055</v>
      </c>
      <c r="H942" s="2" t="s">
        <v>5056</v>
      </c>
      <c r="I942" s="2" t="s">
        <v>5057</v>
      </c>
      <c r="J942" s="2" t="s">
        <v>1309</v>
      </c>
      <c r="K942" s="2" t="s">
        <v>305</v>
      </c>
      <c r="L942" s="3">
        <v>21</v>
      </c>
      <c r="M942" s="3">
        <v>22.05</v>
      </c>
      <c r="N942" s="3">
        <v>49.99</v>
      </c>
      <c r="O942" s="2" t="s">
        <v>240</v>
      </c>
      <c r="P942" s="2" t="s">
        <v>266</v>
      </c>
      <c r="Q942" s="2" t="s">
        <v>234</v>
      </c>
      <c r="R942" s="2" t="s">
        <v>228</v>
      </c>
      <c r="S942" s="2" t="s">
        <v>5058</v>
      </c>
      <c r="T942" s="2" t="s">
        <v>228</v>
      </c>
      <c r="U942" s="2" t="s">
        <v>416</v>
      </c>
      <c r="V942" s="2" t="s">
        <v>236</v>
      </c>
      <c r="W942" s="2" t="s">
        <v>463</v>
      </c>
      <c r="X942" s="2" t="s">
        <v>3401</v>
      </c>
      <c r="Y942" s="2" t="s">
        <v>4588</v>
      </c>
      <c r="Z942" s="4">
        <v>40</v>
      </c>
      <c r="AA942" s="4">
        <f>=ROUNDDOWN(6.66666666666667,0)</f>
      </c>
      <c r="AB942" s="5">
        <v>6</v>
      </c>
      <c r="AC942" s="2" t="s">
        <v>1352</v>
      </c>
      <c r="AD942" s="4">
        <v>68</v>
      </c>
      <c r="AE942" s="4">
        <v>180</v>
      </c>
      <c r="AF942" s="6">
        <v>64</v>
      </c>
      <c r="AG942" s="6"/>
      <c r="AH942" s="7">
        <v>1</v>
      </c>
      <c r="AI942" s="4"/>
      <c r="AJ942" s="4">
        <f>=ROUNDDOWN({0},0)</f>
      </c>
      <c r="AK942" s="5"/>
      <c r="AL942" s="2" t="s">
        <v>228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228</v>
      </c>
      <c r="AW942" s="8" t="s">
        <v>228</v>
      </c>
      <c r="AX942" s="4" t="s">
        <v>228</v>
      </c>
      <c r="AY942" s="8" t="s">
        <v>228</v>
      </c>
      <c r="AZ942" s="7" t="s">
        <v>228</v>
      </c>
      <c r="BA942" s="7" t="s">
        <v>228</v>
      </c>
      <c r="BB942" s="7"/>
      <c r="BC942" s="4" t="s">
        <v>228</v>
      </c>
      <c r="BD942" s="8" t="s">
        <v>228</v>
      </c>
      <c r="BE942" s="4" t="s">
        <v>228</v>
      </c>
      <c r="BF942" s="8" t="s">
        <v>228</v>
      </c>
      <c r="BG942" s="7" t="s">
        <v>228</v>
      </c>
      <c r="BH942" s="7" t="s">
        <v>228</v>
      </c>
      <c r="BI942" s="7"/>
      <c r="BJ942" s="4">
        <v>10</v>
      </c>
      <c r="BK942" s="8">
        <v>211.7</v>
      </c>
      <c r="BL942" s="2" t="s">
        <v>2974</v>
      </c>
      <c r="BM942" s="7"/>
      <c r="BN942" s="7"/>
      <c r="BO942" s="4"/>
      <c r="BP942" s="8"/>
      <c r="BQ942" s="4"/>
      <c r="BR942" s="8"/>
      <c r="BS942" s="7"/>
      <c r="BT942" s="7"/>
      <c r="BU942" s="2" t="s">
        <v>5063</v>
      </c>
      <c r="BV942" s="2" t="s">
        <v>228</v>
      </c>
      <c r="BW942" s="2" t="s">
        <v>228</v>
      </c>
      <c r="BX942" s="2" t="s">
        <v>5060</v>
      </c>
      <c r="BY942" s="2" t="s">
        <v>274</v>
      </c>
      <c r="BZ942" s="2" t="s">
        <v>240</v>
      </c>
      <c r="CA942" s="2" t="s">
        <v>5061</v>
      </c>
      <c r="CB942" s="2" t="s">
        <v>228</v>
      </c>
      <c r="CC942" s="2" t="s">
        <v>241</v>
      </c>
      <c r="CD942" s="2" t="s">
        <v>228</v>
      </c>
      <c r="CE942" s="4">
        <v>40</v>
      </c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>
        <v>68</v>
      </c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>
        <v>112</v>
      </c>
      <c r="HA942" s="4"/>
      <c r="HB942" s="4"/>
      <c r="HC942" s="4"/>
      <c r="HD942" s="4"/>
      <c r="HE942" s="4"/>
    </row>
    <row r="943">
      <c r="A943" s="2" t="s">
        <v>5064</v>
      </c>
      <c r="B943" s="2" t="s">
        <v>970</v>
      </c>
      <c r="C943" s="2" t="s">
        <v>300</v>
      </c>
      <c r="D943" s="2" t="s">
        <v>971</v>
      </c>
      <c r="E943" s="2" t="s">
        <v>972</v>
      </c>
      <c r="F943" s="2" t="s">
        <v>5054</v>
      </c>
      <c r="G943" s="2" t="s">
        <v>5055</v>
      </c>
      <c r="H943" s="2" t="s">
        <v>5056</v>
      </c>
      <c r="I943" s="2" t="s">
        <v>5057</v>
      </c>
      <c r="J943" s="2" t="s">
        <v>5065</v>
      </c>
      <c r="K943" s="2" t="s">
        <v>305</v>
      </c>
      <c r="L943" s="3">
        <v>23.1</v>
      </c>
      <c r="M943" s="3">
        <v>24.26</v>
      </c>
      <c r="N943" s="3">
        <v>54.99</v>
      </c>
      <c r="O943" s="2" t="s">
        <v>240</v>
      </c>
      <c r="P943" s="2" t="s">
        <v>266</v>
      </c>
      <c r="Q943" s="2" t="s">
        <v>234</v>
      </c>
      <c r="R943" s="2" t="s">
        <v>228</v>
      </c>
      <c r="S943" s="2" t="s">
        <v>5058</v>
      </c>
      <c r="T943" s="2" t="s">
        <v>228</v>
      </c>
      <c r="U943" s="2" t="s">
        <v>416</v>
      </c>
      <c r="V943" s="2" t="s">
        <v>236</v>
      </c>
      <c r="W943" s="2" t="s">
        <v>463</v>
      </c>
      <c r="X943" s="2" t="s">
        <v>3401</v>
      </c>
      <c r="Y943" s="2" t="s">
        <v>4588</v>
      </c>
      <c r="Z943" s="4">
        <v>18</v>
      </c>
      <c r="AA943" s="4">
        <f>=ROUNDDOWN(6,0)</f>
      </c>
      <c r="AB943" s="5">
        <v>3</v>
      </c>
      <c r="AC943" s="2" t="s">
        <v>1352</v>
      </c>
      <c r="AD943" s="4">
        <v>84</v>
      </c>
      <c r="AE943" s="4">
        <v>84</v>
      </c>
      <c r="AF943" s="6">
        <v>64</v>
      </c>
      <c r="AG943" s="6"/>
      <c r="AH943" s="7">
        <v>1</v>
      </c>
      <c r="AI943" s="4"/>
      <c r="AJ943" s="4">
        <f>=ROUNDDOWN({0},0)</f>
      </c>
      <c r="AK943" s="5"/>
      <c r="AL943" s="2" t="s">
        <v>228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228</v>
      </c>
      <c r="AW943" s="8" t="s">
        <v>228</v>
      </c>
      <c r="AX943" s="4" t="s">
        <v>228</v>
      </c>
      <c r="AY943" s="8" t="s">
        <v>228</v>
      </c>
      <c r="AZ943" s="7" t="s">
        <v>228</v>
      </c>
      <c r="BA943" s="7" t="s">
        <v>228</v>
      </c>
      <c r="BB943" s="7"/>
      <c r="BC943" s="4" t="s">
        <v>228</v>
      </c>
      <c r="BD943" s="8" t="s">
        <v>228</v>
      </c>
      <c r="BE943" s="4" t="s">
        <v>228</v>
      </c>
      <c r="BF943" s="8" t="s">
        <v>228</v>
      </c>
      <c r="BG943" s="7" t="s">
        <v>228</v>
      </c>
      <c r="BH943" s="7" t="s">
        <v>228</v>
      </c>
      <c r="BI943" s="7"/>
      <c r="BJ943" s="4">
        <v>2</v>
      </c>
      <c r="BK943" s="8">
        <v>37.98</v>
      </c>
      <c r="BL943" s="2" t="s">
        <v>622</v>
      </c>
      <c r="BM943" s="7"/>
      <c r="BN943" s="7"/>
      <c r="BO943" s="4"/>
      <c r="BP943" s="8"/>
      <c r="BQ943" s="4"/>
      <c r="BR943" s="8"/>
      <c r="BS943" s="7"/>
      <c r="BT943" s="7"/>
      <c r="BU943" s="2" t="s">
        <v>5066</v>
      </c>
      <c r="BV943" s="2" t="s">
        <v>228</v>
      </c>
      <c r="BW943" s="2" t="s">
        <v>228</v>
      </c>
      <c r="BX943" s="2" t="s">
        <v>5060</v>
      </c>
      <c r="BY943" s="2" t="s">
        <v>274</v>
      </c>
      <c r="BZ943" s="2" t="s">
        <v>240</v>
      </c>
      <c r="CA943" s="2" t="s">
        <v>5061</v>
      </c>
      <c r="CB943" s="2" t="s">
        <v>4985</v>
      </c>
      <c r="CC943" s="2" t="s">
        <v>241</v>
      </c>
      <c r="CD943" s="2" t="s">
        <v>228</v>
      </c>
      <c r="CE943" s="4">
        <v>18</v>
      </c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>
        <v>84</v>
      </c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</row>
    <row r="944">
      <c r="A944" s="2" t="s">
        <v>5067</v>
      </c>
      <c r="B944" s="2" t="s">
        <v>970</v>
      </c>
      <c r="C944" s="2" t="s">
        <v>300</v>
      </c>
      <c r="D944" s="2" t="s">
        <v>971</v>
      </c>
      <c r="E944" s="2" t="s">
        <v>972</v>
      </c>
      <c r="F944" s="2" t="s">
        <v>5054</v>
      </c>
      <c r="G944" s="2" t="s">
        <v>5055</v>
      </c>
      <c r="H944" s="2" t="s">
        <v>5056</v>
      </c>
      <c r="I944" s="2" t="s">
        <v>5068</v>
      </c>
      <c r="J944" s="2" t="s">
        <v>5069</v>
      </c>
      <c r="K944" s="2" t="s">
        <v>305</v>
      </c>
      <c r="L944" s="3">
        <v>18.4</v>
      </c>
      <c r="M944" s="3">
        <v>19.32</v>
      </c>
      <c r="N944" s="3">
        <v>39.99</v>
      </c>
      <c r="O944" s="2" t="s">
        <v>240</v>
      </c>
      <c r="P944" s="2" t="s">
        <v>266</v>
      </c>
      <c r="Q944" s="2" t="s">
        <v>234</v>
      </c>
      <c r="R944" s="2" t="s">
        <v>228</v>
      </c>
      <c r="S944" s="2" t="s">
        <v>5058</v>
      </c>
      <c r="T944" s="2" t="s">
        <v>228</v>
      </c>
      <c r="U944" s="2" t="s">
        <v>416</v>
      </c>
      <c r="V944" s="2" t="s">
        <v>236</v>
      </c>
      <c r="W944" s="2" t="s">
        <v>463</v>
      </c>
      <c r="X944" s="2" t="s">
        <v>981</v>
      </c>
      <c r="Y944" s="2" t="s">
        <v>4588</v>
      </c>
      <c r="Z944" s="4">
        <v>44</v>
      </c>
      <c r="AA944" s="4">
        <f>=ROUNDDOWN(7.33333333333333,0)</f>
      </c>
      <c r="AB944" s="5">
        <v>6</v>
      </c>
      <c r="AC944" s="2" t="s">
        <v>1352</v>
      </c>
      <c r="AD944" s="4">
        <v>80</v>
      </c>
      <c r="AE944" s="4">
        <v>152</v>
      </c>
      <c r="AF944" s="6">
        <v>64</v>
      </c>
      <c r="AG944" s="6"/>
      <c r="AH944" s="7">
        <v>1</v>
      </c>
      <c r="AI944" s="4"/>
      <c r="AJ944" s="4">
        <f>=ROUNDDOWN({0},0)</f>
      </c>
      <c r="AK944" s="5"/>
      <c r="AL944" s="2" t="s">
        <v>228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228</v>
      </c>
      <c r="AW944" s="8" t="s">
        <v>228</v>
      </c>
      <c r="AX944" s="4" t="s">
        <v>228</v>
      </c>
      <c r="AY944" s="8" t="s">
        <v>228</v>
      </c>
      <c r="AZ944" s="7" t="s">
        <v>228</v>
      </c>
      <c r="BA944" s="7" t="s">
        <v>228</v>
      </c>
      <c r="BB944" s="7"/>
      <c r="BC944" s="4" t="s">
        <v>228</v>
      </c>
      <c r="BD944" s="8" t="s">
        <v>228</v>
      </c>
      <c r="BE944" s="4" t="s">
        <v>228</v>
      </c>
      <c r="BF944" s="8" t="s">
        <v>228</v>
      </c>
      <c r="BG944" s="7" t="s">
        <v>228</v>
      </c>
      <c r="BH944" s="7" t="s">
        <v>228</v>
      </c>
      <c r="BI944" s="7"/>
      <c r="BJ944" s="4">
        <v>33</v>
      </c>
      <c r="BK944" s="8">
        <v>680.45</v>
      </c>
      <c r="BL944" s="2" t="s">
        <v>5070</v>
      </c>
      <c r="BM944" s="7"/>
      <c r="BN944" s="7"/>
      <c r="BO944" s="4"/>
      <c r="BP944" s="8"/>
      <c r="BQ944" s="4"/>
      <c r="BR944" s="8"/>
      <c r="BS944" s="7"/>
      <c r="BT944" s="7"/>
      <c r="BU944" s="2" t="s">
        <v>5071</v>
      </c>
      <c r="BV944" s="2" t="s">
        <v>228</v>
      </c>
      <c r="BW944" s="2" t="s">
        <v>228</v>
      </c>
      <c r="BX944" s="2" t="s">
        <v>735</v>
      </c>
      <c r="BY944" s="2" t="s">
        <v>274</v>
      </c>
      <c r="BZ944" s="2" t="s">
        <v>240</v>
      </c>
      <c r="CA944" s="2" t="s">
        <v>5061</v>
      </c>
      <c r="CB944" s="2" t="s">
        <v>5072</v>
      </c>
      <c r="CC944" s="2" t="s">
        <v>241</v>
      </c>
      <c r="CD944" s="2" t="s">
        <v>228</v>
      </c>
      <c r="CE944" s="4">
        <v>44</v>
      </c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>
        <v>80</v>
      </c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>
        <v>72</v>
      </c>
      <c r="HA944" s="4"/>
      <c r="HB944" s="4"/>
      <c r="HC944" s="4"/>
      <c r="HD944" s="4"/>
      <c r="HE944" s="4"/>
    </row>
    <row r="945">
      <c r="A945" s="2" t="s">
        <v>5073</v>
      </c>
      <c r="B945" s="2" t="s">
        <v>970</v>
      </c>
      <c r="C945" s="2" t="s">
        <v>300</v>
      </c>
      <c r="D945" s="2" t="s">
        <v>971</v>
      </c>
      <c r="E945" s="2" t="s">
        <v>972</v>
      </c>
      <c r="F945" s="2" t="s">
        <v>5054</v>
      </c>
      <c r="G945" s="2" t="s">
        <v>5055</v>
      </c>
      <c r="H945" s="2" t="s">
        <v>5056</v>
      </c>
      <c r="I945" s="2" t="s">
        <v>5068</v>
      </c>
      <c r="J945" s="2" t="s">
        <v>5074</v>
      </c>
      <c r="K945" s="2" t="s">
        <v>305</v>
      </c>
      <c r="L945" s="3">
        <v>20.25</v>
      </c>
      <c r="M945" s="3">
        <v>21.26</v>
      </c>
      <c r="N945" s="3">
        <v>44.99</v>
      </c>
      <c r="O945" s="2" t="s">
        <v>240</v>
      </c>
      <c r="P945" s="2" t="s">
        <v>266</v>
      </c>
      <c r="Q945" s="2" t="s">
        <v>234</v>
      </c>
      <c r="R945" s="2" t="s">
        <v>228</v>
      </c>
      <c r="S945" s="2" t="s">
        <v>5058</v>
      </c>
      <c r="T945" s="2" t="s">
        <v>228</v>
      </c>
      <c r="U945" s="2" t="s">
        <v>416</v>
      </c>
      <c r="V945" s="2" t="s">
        <v>236</v>
      </c>
      <c r="W945" s="2" t="s">
        <v>463</v>
      </c>
      <c r="X945" s="2" t="s">
        <v>981</v>
      </c>
      <c r="Y945" s="2" t="s">
        <v>4588</v>
      </c>
      <c r="Z945" s="4">
        <v>52</v>
      </c>
      <c r="AA945" s="4">
        <f>=ROUNDDOWN(13,0)</f>
      </c>
      <c r="AB945" s="5">
        <v>4</v>
      </c>
      <c r="AC945" s="2" t="s">
        <v>1352</v>
      </c>
      <c r="AD945" s="4">
        <v>152</v>
      </c>
      <c r="AE945" s="4">
        <v>152</v>
      </c>
      <c r="AF945" s="6">
        <v>64</v>
      </c>
      <c r="AG945" s="6"/>
      <c r="AH945" s="7">
        <v>1</v>
      </c>
      <c r="AI945" s="4"/>
      <c r="AJ945" s="4">
        <f>=ROUNDDOWN({0},0)</f>
      </c>
      <c r="AK945" s="5"/>
      <c r="AL945" s="2" t="s">
        <v>228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228</v>
      </c>
      <c r="AW945" s="8" t="s">
        <v>228</v>
      </c>
      <c r="AX945" s="4" t="s">
        <v>228</v>
      </c>
      <c r="AY945" s="8" t="s">
        <v>228</v>
      </c>
      <c r="AZ945" s="7" t="s">
        <v>228</v>
      </c>
      <c r="BA945" s="7" t="s">
        <v>228</v>
      </c>
      <c r="BB945" s="7"/>
      <c r="BC945" s="4" t="s">
        <v>228</v>
      </c>
      <c r="BD945" s="8" t="s">
        <v>228</v>
      </c>
      <c r="BE945" s="4" t="s">
        <v>228</v>
      </c>
      <c r="BF945" s="8" t="s">
        <v>228</v>
      </c>
      <c r="BG945" s="7" t="s">
        <v>228</v>
      </c>
      <c r="BH945" s="7" t="s">
        <v>228</v>
      </c>
      <c r="BI945" s="7"/>
      <c r="BJ945" s="4"/>
      <c r="BK945" s="8"/>
      <c r="BL945" s="2" t="s">
        <v>228</v>
      </c>
      <c r="BM945" s="7"/>
      <c r="BN945" s="7"/>
      <c r="BO945" s="4"/>
      <c r="BP945" s="8"/>
      <c r="BQ945" s="4"/>
      <c r="BR945" s="8"/>
      <c r="BS945" s="7"/>
      <c r="BT945" s="7"/>
      <c r="BU945" s="2" t="s">
        <v>5075</v>
      </c>
      <c r="BV945" s="2" t="s">
        <v>228</v>
      </c>
      <c r="BW945" s="2" t="s">
        <v>228</v>
      </c>
      <c r="BX945" s="2" t="s">
        <v>735</v>
      </c>
      <c r="BY945" s="2" t="s">
        <v>274</v>
      </c>
      <c r="BZ945" s="2" t="s">
        <v>240</v>
      </c>
      <c r="CA945" s="2" t="s">
        <v>5061</v>
      </c>
      <c r="CB945" s="2" t="s">
        <v>228</v>
      </c>
      <c r="CC945" s="2" t="s">
        <v>241</v>
      </c>
      <c r="CD945" s="2" t="s">
        <v>228</v>
      </c>
      <c r="CE945" s="4">
        <v>52</v>
      </c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>
        <v>152</v>
      </c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</row>
    <row r="946">
      <c r="A946" s="2" t="s">
        <v>5076</v>
      </c>
      <c r="B946" s="2" t="s">
        <v>970</v>
      </c>
      <c r="C946" s="2" t="s">
        <v>300</v>
      </c>
      <c r="D946" s="2" t="s">
        <v>971</v>
      </c>
      <c r="E946" s="2" t="s">
        <v>972</v>
      </c>
      <c r="F946" s="2" t="s">
        <v>5054</v>
      </c>
      <c r="G946" s="2" t="s">
        <v>5055</v>
      </c>
      <c r="H946" s="2" t="s">
        <v>5056</v>
      </c>
      <c r="I946" s="2" t="s">
        <v>5057</v>
      </c>
      <c r="J946" s="2" t="s">
        <v>1300</v>
      </c>
      <c r="K946" s="2" t="s">
        <v>556</v>
      </c>
      <c r="L946" s="3">
        <v>17.1</v>
      </c>
      <c r="M946" s="3">
        <v>17.96</v>
      </c>
      <c r="N946" s="3">
        <v>44.99</v>
      </c>
      <c r="O946" s="2" t="s">
        <v>240</v>
      </c>
      <c r="P946" s="2" t="s">
        <v>266</v>
      </c>
      <c r="Q946" s="2" t="s">
        <v>234</v>
      </c>
      <c r="R946" s="2" t="s">
        <v>228</v>
      </c>
      <c r="S946" s="2" t="s">
        <v>5077</v>
      </c>
      <c r="T946" s="2" t="s">
        <v>228</v>
      </c>
      <c r="U946" s="2" t="s">
        <v>416</v>
      </c>
      <c r="V946" s="2" t="s">
        <v>236</v>
      </c>
      <c r="W946" s="2" t="s">
        <v>463</v>
      </c>
      <c r="X946" s="2" t="s">
        <v>3401</v>
      </c>
      <c r="Y946" s="2" t="s">
        <v>5078</v>
      </c>
      <c r="Z946" s="4">
        <v>621</v>
      </c>
      <c r="AA946" s="4">
        <f>=ROUNDDOWN(51.75,0)</f>
      </c>
      <c r="AB946" s="5">
        <v>12</v>
      </c>
      <c r="AC946" s="2" t="s">
        <v>228</v>
      </c>
      <c r="AD946" s="4"/>
      <c r="AE946" s="4"/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228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228</v>
      </c>
      <c r="AW946" s="8" t="s">
        <v>228</v>
      </c>
      <c r="AX946" s="4" t="s">
        <v>228</v>
      </c>
      <c r="AY946" s="8" t="s">
        <v>228</v>
      </c>
      <c r="AZ946" s="7" t="s">
        <v>228</v>
      </c>
      <c r="BA946" s="7" t="s">
        <v>228</v>
      </c>
      <c r="BB946" s="7"/>
      <c r="BC946" s="4" t="s">
        <v>228</v>
      </c>
      <c r="BD946" s="8" t="s">
        <v>228</v>
      </c>
      <c r="BE946" s="4" t="s">
        <v>228</v>
      </c>
      <c r="BF946" s="8" t="s">
        <v>228</v>
      </c>
      <c r="BG946" s="7" t="s">
        <v>228</v>
      </c>
      <c r="BH946" s="7" t="s">
        <v>228</v>
      </c>
      <c r="BI946" s="7"/>
      <c r="BJ946" s="4">
        <v>43</v>
      </c>
      <c r="BK946" s="8">
        <v>741.78</v>
      </c>
      <c r="BL946" s="2" t="s">
        <v>4440</v>
      </c>
      <c r="BM946" s="7"/>
      <c r="BN946" s="7"/>
      <c r="BO946" s="4"/>
      <c r="BP946" s="8"/>
      <c r="BQ946" s="4"/>
      <c r="BR946" s="8"/>
      <c r="BS946" s="7"/>
      <c r="BT946" s="7"/>
      <c r="BU946" s="2" t="s">
        <v>5079</v>
      </c>
      <c r="BV946" s="2" t="s">
        <v>228</v>
      </c>
      <c r="BW946" s="2" t="s">
        <v>228</v>
      </c>
      <c r="BX946" s="2" t="s">
        <v>5060</v>
      </c>
      <c r="BY946" s="2" t="s">
        <v>274</v>
      </c>
      <c r="BZ946" s="2" t="s">
        <v>240</v>
      </c>
      <c r="CA946" s="2" t="s">
        <v>5080</v>
      </c>
      <c r="CB946" s="2" t="s">
        <v>5081</v>
      </c>
      <c r="CC946" s="2" t="s">
        <v>241</v>
      </c>
      <c r="CD946" s="2" t="s">
        <v>228</v>
      </c>
      <c r="CE946" s="4">
        <v>621</v>
      </c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</row>
    <row r="947">
      <c r="A947" s="2" t="s">
        <v>5082</v>
      </c>
      <c r="B947" s="2" t="s">
        <v>970</v>
      </c>
      <c r="C947" s="2" t="s">
        <v>300</v>
      </c>
      <c r="D947" s="2" t="s">
        <v>971</v>
      </c>
      <c r="E947" s="2" t="s">
        <v>972</v>
      </c>
      <c r="F947" s="2" t="s">
        <v>5054</v>
      </c>
      <c r="G947" s="2" t="s">
        <v>5055</v>
      </c>
      <c r="H947" s="2" t="s">
        <v>5056</v>
      </c>
      <c r="I947" s="2" t="s">
        <v>5057</v>
      </c>
      <c r="J947" s="2" t="s">
        <v>5065</v>
      </c>
      <c r="K947" s="2" t="s">
        <v>556</v>
      </c>
      <c r="L947" s="3">
        <v>23.1</v>
      </c>
      <c r="M947" s="3">
        <v>24.26</v>
      </c>
      <c r="N947" s="3">
        <v>54.99</v>
      </c>
      <c r="O947" s="2" t="s">
        <v>240</v>
      </c>
      <c r="P947" s="2" t="s">
        <v>266</v>
      </c>
      <c r="Q947" s="2" t="s">
        <v>234</v>
      </c>
      <c r="R947" s="2" t="s">
        <v>228</v>
      </c>
      <c r="S947" s="2" t="s">
        <v>5077</v>
      </c>
      <c r="T947" s="2" t="s">
        <v>228</v>
      </c>
      <c r="U947" s="2" t="s">
        <v>416</v>
      </c>
      <c r="V947" s="2" t="s">
        <v>236</v>
      </c>
      <c r="W947" s="2" t="s">
        <v>463</v>
      </c>
      <c r="X947" s="2" t="s">
        <v>3401</v>
      </c>
      <c r="Y947" s="2" t="s">
        <v>5078</v>
      </c>
      <c r="Z947" s="4">
        <v>130</v>
      </c>
      <c r="AA947" s="4">
        <f>=ROUNDDOWN(43.3333333333333,0)</f>
      </c>
      <c r="AB947" s="5">
        <v>3</v>
      </c>
      <c r="AC947" s="2" t="s">
        <v>228</v>
      </c>
      <c r="AD947" s="4"/>
      <c r="AE947" s="4"/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228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228</v>
      </c>
      <c r="AW947" s="8" t="s">
        <v>228</v>
      </c>
      <c r="AX947" s="4" t="s">
        <v>228</v>
      </c>
      <c r="AY947" s="8" t="s">
        <v>228</v>
      </c>
      <c r="AZ947" s="7" t="s">
        <v>228</v>
      </c>
      <c r="BA947" s="7" t="s">
        <v>228</v>
      </c>
      <c r="BB947" s="7"/>
      <c r="BC947" s="4" t="s">
        <v>228</v>
      </c>
      <c r="BD947" s="8" t="s">
        <v>228</v>
      </c>
      <c r="BE947" s="4" t="s">
        <v>228</v>
      </c>
      <c r="BF947" s="8" t="s">
        <v>228</v>
      </c>
      <c r="BG947" s="7" t="s">
        <v>228</v>
      </c>
      <c r="BH947" s="7" t="s">
        <v>228</v>
      </c>
      <c r="BI947" s="7"/>
      <c r="BJ947" s="4">
        <v>1</v>
      </c>
      <c r="BK947" s="8">
        <v>24.16</v>
      </c>
      <c r="BL947" s="2" t="s">
        <v>690</v>
      </c>
      <c r="BM947" s="7"/>
      <c r="BN947" s="7"/>
      <c r="BO947" s="4"/>
      <c r="BP947" s="8"/>
      <c r="BQ947" s="4"/>
      <c r="BR947" s="8"/>
      <c r="BS947" s="7"/>
      <c r="BT947" s="7"/>
      <c r="BU947" s="2" t="s">
        <v>5083</v>
      </c>
      <c r="BV947" s="2" t="s">
        <v>228</v>
      </c>
      <c r="BW947" s="2" t="s">
        <v>228</v>
      </c>
      <c r="BX947" s="2" t="s">
        <v>5060</v>
      </c>
      <c r="BY947" s="2" t="s">
        <v>274</v>
      </c>
      <c r="BZ947" s="2" t="s">
        <v>240</v>
      </c>
      <c r="CA947" s="2" t="s">
        <v>5084</v>
      </c>
      <c r="CB947" s="2" t="s">
        <v>2313</v>
      </c>
      <c r="CC947" s="2" t="s">
        <v>241</v>
      </c>
      <c r="CD947" s="2" t="s">
        <v>228</v>
      </c>
      <c r="CE947" s="4">
        <v>130</v>
      </c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</row>
    <row r="948">
      <c r="A948" s="2" t="s">
        <v>5085</v>
      </c>
      <c r="B948" s="2" t="s">
        <v>970</v>
      </c>
      <c r="C948" s="2" t="s">
        <v>300</v>
      </c>
      <c r="D948" s="2" t="s">
        <v>1497</v>
      </c>
      <c r="E948" s="2" t="s">
        <v>1498</v>
      </c>
      <c r="F948" s="2" t="s">
        <v>5054</v>
      </c>
      <c r="G948" s="2" t="s">
        <v>5055</v>
      </c>
      <c r="H948" s="2" t="s">
        <v>5056</v>
      </c>
      <c r="I948" s="2" t="s">
        <v>5086</v>
      </c>
      <c r="J948" s="2" t="s">
        <v>5087</v>
      </c>
      <c r="K948" s="2" t="s">
        <v>556</v>
      </c>
      <c r="L948" s="3">
        <v>12.6</v>
      </c>
      <c r="M948" s="3">
        <v>13.23</v>
      </c>
      <c r="N948" s="3">
        <v>29.99</v>
      </c>
      <c r="O948" s="2" t="s">
        <v>240</v>
      </c>
      <c r="P948" s="2" t="s">
        <v>266</v>
      </c>
      <c r="Q948" s="2" t="s">
        <v>234</v>
      </c>
      <c r="R948" s="2" t="s">
        <v>228</v>
      </c>
      <c r="S948" s="2" t="s">
        <v>5077</v>
      </c>
      <c r="T948" s="2" t="s">
        <v>228</v>
      </c>
      <c r="U948" s="2" t="s">
        <v>416</v>
      </c>
      <c r="V948" s="2" t="s">
        <v>236</v>
      </c>
      <c r="W948" s="2" t="s">
        <v>463</v>
      </c>
      <c r="X948" s="2" t="s">
        <v>228</v>
      </c>
      <c r="Y948" s="2" t="s">
        <v>5078</v>
      </c>
      <c r="Z948" s="4">
        <v>135</v>
      </c>
      <c r="AA948" s="4">
        <f>=ROUNDDOWN(16.875,0)</f>
      </c>
      <c r="AB948" s="5">
        <v>8</v>
      </c>
      <c r="AC948" s="2" t="s">
        <v>173</v>
      </c>
      <c r="AD948" s="4">
        <v>120</v>
      </c>
      <c r="AE948" s="4">
        <v>228</v>
      </c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228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228</v>
      </c>
      <c r="AW948" s="8" t="s">
        <v>228</v>
      </c>
      <c r="AX948" s="4" t="s">
        <v>228</v>
      </c>
      <c r="AY948" s="8" t="s">
        <v>228</v>
      </c>
      <c r="AZ948" s="7" t="s">
        <v>228</v>
      </c>
      <c r="BA948" s="7" t="s">
        <v>228</v>
      </c>
      <c r="BB948" s="7"/>
      <c r="BC948" s="4" t="s">
        <v>228</v>
      </c>
      <c r="BD948" s="8" t="s">
        <v>228</v>
      </c>
      <c r="BE948" s="4" t="s">
        <v>228</v>
      </c>
      <c r="BF948" s="8" t="s">
        <v>228</v>
      </c>
      <c r="BG948" s="7" t="s">
        <v>228</v>
      </c>
      <c r="BH948" s="7" t="s">
        <v>228</v>
      </c>
      <c r="BI948" s="7"/>
      <c r="BJ948" s="4">
        <v>16</v>
      </c>
      <c r="BK948" s="8">
        <v>216.83</v>
      </c>
      <c r="BL948" s="2" t="s">
        <v>5088</v>
      </c>
      <c r="BM948" s="7"/>
      <c r="BN948" s="7"/>
      <c r="BO948" s="4"/>
      <c r="BP948" s="8"/>
      <c r="BQ948" s="4"/>
      <c r="BR948" s="8"/>
      <c r="BS948" s="7"/>
      <c r="BT948" s="7"/>
      <c r="BU948" s="2" t="s">
        <v>5089</v>
      </c>
      <c r="BV948" s="2" t="s">
        <v>228</v>
      </c>
      <c r="BW948" s="2" t="s">
        <v>228</v>
      </c>
      <c r="BX948" s="2" t="s">
        <v>273</v>
      </c>
      <c r="BY948" s="2" t="s">
        <v>274</v>
      </c>
      <c r="BZ948" s="2" t="s">
        <v>240</v>
      </c>
      <c r="CA948" s="2" t="s">
        <v>2209</v>
      </c>
      <c r="CB948" s="2" t="s">
        <v>5090</v>
      </c>
      <c r="CC948" s="2" t="s">
        <v>241</v>
      </c>
      <c r="CD948" s="2" t="s">
        <v>228</v>
      </c>
      <c r="CE948" s="4">
        <v>135</v>
      </c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>
        <v>120</v>
      </c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>
        <v>108</v>
      </c>
      <c r="HA948" s="4"/>
      <c r="HB948" s="4"/>
      <c r="HC948" s="4"/>
      <c r="HD948" s="4"/>
      <c r="HE948" s="4"/>
    </row>
    <row r="949">
      <c r="A949" s="2" t="s">
        <v>5091</v>
      </c>
      <c r="B949" s="2" t="s">
        <v>970</v>
      </c>
      <c r="C949" s="2" t="s">
        <v>300</v>
      </c>
      <c r="D949" s="2" t="s">
        <v>971</v>
      </c>
      <c r="E949" s="2" t="s">
        <v>972</v>
      </c>
      <c r="F949" s="2" t="s">
        <v>5054</v>
      </c>
      <c r="G949" s="2" t="s">
        <v>5055</v>
      </c>
      <c r="H949" s="2" t="s">
        <v>5056</v>
      </c>
      <c r="I949" s="2" t="s">
        <v>5057</v>
      </c>
      <c r="J949" s="2" t="s">
        <v>977</v>
      </c>
      <c r="K949" s="2" t="s">
        <v>4935</v>
      </c>
      <c r="L949" s="3">
        <v>16</v>
      </c>
      <c r="M949" s="3">
        <v>16.8</v>
      </c>
      <c r="N949" s="3">
        <v>39.99</v>
      </c>
      <c r="O949" s="2" t="s">
        <v>240</v>
      </c>
      <c r="P949" s="2" t="s">
        <v>266</v>
      </c>
      <c r="Q949" s="2" t="s">
        <v>234</v>
      </c>
      <c r="R949" s="2" t="s">
        <v>228</v>
      </c>
      <c r="S949" s="2" t="s">
        <v>4936</v>
      </c>
      <c r="T949" s="2" t="s">
        <v>228</v>
      </c>
      <c r="U949" s="2" t="s">
        <v>416</v>
      </c>
      <c r="V949" s="2" t="s">
        <v>236</v>
      </c>
      <c r="W949" s="2" t="s">
        <v>463</v>
      </c>
      <c r="X949" s="2" t="s">
        <v>3401</v>
      </c>
      <c r="Y949" s="2" t="s">
        <v>270</v>
      </c>
      <c r="Z949" s="4">
        <v>683</v>
      </c>
      <c r="AA949" s="4">
        <f>=ROUNDDOWN(34.15,0)</f>
      </c>
      <c r="AB949" s="5">
        <v>20</v>
      </c>
      <c r="AC949" s="2" t="s">
        <v>782</v>
      </c>
      <c r="AD949" s="4">
        <v>134</v>
      </c>
      <c r="AE949" s="4">
        <v>134</v>
      </c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228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228</v>
      </c>
      <c r="AW949" s="8" t="s">
        <v>228</v>
      </c>
      <c r="AX949" s="4" t="s">
        <v>228</v>
      </c>
      <c r="AY949" s="8" t="s">
        <v>228</v>
      </c>
      <c r="AZ949" s="7" t="s">
        <v>228</v>
      </c>
      <c r="BA949" s="7" t="s">
        <v>228</v>
      </c>
      <c r="BB949" s="7"/>
      <c r="BC949" s="4" t="s">
        <v>228</v>
      </c>
      <c r="BD949" s="8" t="s">
        <v>228</v>
      </c>
      <c r="BE949" s="4" t="s">
        <v>228</v>
      </c>
      <c r="BF949" s="8" t="s">
        <v>228</v>
      </c>
      <c r="BG949" s="7" t="s">
        <v>228</v>
      </c>
      <c r="BH949" s="7" t="s">
        <v>228</v>
      </c>
      <c r="BI949" s="7"/>
      <c r="BJ949" s="4">
        <v>56</v>
      </c>
      <c r="BK949" s="8">
        <v>801.67</v>
      </c>
      <c r="BL949" s="2" t="s">
        <v>5092</v>
      </c>
      <c r="BM949" s="7"/>
      <c r="BN949" s="7"/>
      <c r="BO949" s="4"/>
      <c r="BP949" s="8"/>
      <c r="BQ949" s="4"/>
      <c r="BR949" s="8"/>
      <c r="BS949" s="7"/>
      <c r="BT949" s="7"/>
      <c r="BU949" s="2" t="s">
        <v>5093</v>
      </c>
      <c r="BV949" s="2" t="s">
        <v>228</v>
      </c>
      <c r="BW949" s="2" t="s">
        <v>228</v>
      </c>
      <c r="BX949" s="2" t="s">
        <v>5060</v>
      </c>
      <c r="BY949" s="2" t="s">
        <v>274</v>
      </c>
      <c r="BZ949" s="2" t="s">
        <v>240</v>
      </c>
      <c r="CA949" s="2" t="s">
        <v>275</v>
      </c>
      <c r="CB949" s="2" t="s">
        <v>609</v>
      </c>
      <c r="CC949" s="2" t="s">
        <v>241</v>
      </c>
      <c r="CD949" s="2" t="s">
        <v>228</v>
      </c>
      <c r="CE949" s="4">
        <v>683</v>
      </c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>
        <v>134</v>
      </c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</row>
    <row r="950">
      <c r="A950" s="2" t="s">
        <v>5094</v>
      </c>
      <c r="B950" s="2" t="s">
        <v>970</v>
      </c>
      <c r="C950" s="2" t="s">
        <v>300</v>
      </c>
      <c r="D950" s="2" t="s">
        <v>971</v>
      </c>
      <c r="E950" s="2" t="s">
        <v>972</v>
      </c>
      <c r="F950" s="2" t="s">
        <v>5054</v>
      </c>
      <c r="G950" s="2" t="s">
        <v>5055</v>
      </c>
      <c r="H950" s="2" t="s">
        <v>5056</v>
      </c>
      <c r="I950" s="2" t="s">
        <v>5057</v>
      </c>
      <c r="J950" s="2" t="s">
        <v>1309</v>
      </c>
      <c r="K950" s="2" t="s">
        <v>4935</v>
      </c>
      <c r="L950" s="3">
        <v>21</v>
      </c>
      <c r="M950" s="3">
        <v>22.05</v>
      </c>
      <c r="N950" s="3">
        <v>49.99</v>
      </c>
      <c r="O950" s="2" t="s">
        <v>240</v>
      </c>
      <c r="P950" s="2" t="s">
        <v>266</v>
      </c>
      <c r="Q950" s="2" t="s">
        <v>234</v>
      </c>
      <c r="R950" s="2" t="s">
        <v>228</v>
      </c>
      <c r="S950" s="2" t="s">
        <v>4936</v>
      </c>
      <c r="T950" s="2" t="s">
        <v>228</v>
      </c>
      <c r="U950" s="2" t="s">
        <v>416</v>
      </c>
      <c r="V950" s="2" t="s">
        <v>236</v>
      </c>
      <c r="W950" s="2" t="s">
        <v>463</v>
      </c>
      <c r="X950" s="2" t="s">
        <v>3401</v>
      </c>
      <c r="Y950" s="2" t="s">
        <v>270</v>
      </c>
      <c r="Z950" s="4">
        <v>187</v>
      </c>
      <c r="AA950" s="4">
        <f>=ROUNDDOWN(26.7142857142857,0)</f>
      </c>
      <c r="AB950" s="5">
        <v>7</v>
      </c>
      <c r="AC950" s="2" t="s">
        <v>1352</v>
      </c>
      <c r="AD950" s="4">
        <v>56</v>
      </c>
      <c r="AE950" s="4">
        <v>156</v>
      </c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228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228</v>
      </c>
      <c r="AW950" s="8" t="s">
        <v>228</v>
      </c>
      <c r="AX950" s="4" t="s">
        <v>228</v>
      </c>
      <c r="AY950" s="8" t="s">
        <v>228</v>
      </c>
      <c r="AZ950" s="7" t="s">
        <v>228</v>
      </c>
      <c r="BA950" s="7" t="s">
        <v>228</v>
      </c>
      <c r="BB950" s="7"/>
      <c r="BC950" s="4" t="s">
        <v>228</v>
      </c>
      <c r="BD950" s="8" t="s">
        <v>228</v>
      </c>
      <c r="BE950" s="4" t="s">
        <v>228</v>
      </c>
      <c r="BF950" s="8" t="s">
        <v>228</v>
      </c>
      <c r="BG950" s="7" t="s">
        <v>228</v>
      </c>
      <c r="BH950" s="7" t="s">
        <v>228</v>
      </c>
      <c r="BI950" s="7"/>
      <c r="BJ950" s="4">
        <v>16</v>
      </c>
      <c r="BK950" s="8">
        <v>412.32</v>
      </c>
      <c r="BL950" s="2" t="s">
        <v>5095</v>
      </c>
      <c r="BM950" s="7"/>
      <c r="BN950" s="7"/>
      <c r="BO950" s="4"/>
      <c r="BP950" s="8"/>
      <c r="BQ950" s="4"/>
      <c r="BR950" s="8"/>
      <c r="BS950" s="7"/>
      <c r="BT950" s="7"/>
      <c r="BU950" s="2" t="s">
        <v>5096</v>
      </c>
      <c r="BV950" s="2" t="s">
        <v>228</v>
      </c>
      <c r="BW950" s="2" t="s">
        <v>228</v>
      </c>
      <c r="BX950" s="2" t="s">
        <v>5060</v>
      </c>
      <c r="BY950" s="2" t="s">
        <v>274</v>
      </c>
      <c r="BZ950" s="2" t="s">
        <v>240</v>
      </c>
      <c r="CA950" s="2" t="s">
        <v>275</v>
      </c>
      <c r="CB950" s="2" t="s">
        <v>5097</v>
      </c>
      <c r="CC950" s="2" t="s">
        <v>241</v>
      </c>
      <c r="CD950" s="2" t="s">
        <v>228</v>
      </c>
      <c r="CE950" s="4">
        <v>187</v>
      </c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>
        <v>56</v>
      </c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>
        <v>100</v>
      </c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</row>
    <row r="951">
      <c r="A951" s="2" t="s">
        <v>5098</v>
      </c>
      <c r="B951" s="2" t="s">
        <v>970</v>
      </c>
      <c r="C951" s="2" t="s">
        <v>300</v>
      </c>
      <c r="D951" s="2" t="s">
        <v>971</v>
      </c>
      <c r="E951" s="2" t="s">
        <v>972</v>
      </c>
      <c r="F951" s="2" t="s">
        <v>5054</v>
      </c>
      <c r="G951" s="2" t="s">
        <v>5055</v>
      </c>
      <c r="H951" s="2" t="s">
        <v>5056</v>
      </c>
      <c r="I951" s="2" t="s">
        <v>5057</v>
      </c>
      <c r="J951" s="2" t="s">
        <v>977</v>
      </c>
      <c r="K951" s="2" t="s">
        <v>1967</v>
      </c>
      <c r="L951" s="3">
        <v>16</v>
      </c>
      <c r="M951" s="3">
        <v>16.8</v>
      </c>
      <c r="N951" s="3">
        <v>39.99</v>
      </c>
      <c r="O951" s="2" t="s">
        <v>240</v>
      </c>
      <c r="P951" s="2" t="s">
        <v>889</v>
      </c>
      <c r="Q951" s="2" t="s">
        <v>234</v>
      </c>
      <c r="R951" s="2" t="s">
        <v>228</v>
      </c>
      <c r="S951" s="2" t="s">
        <v>5099</v>
      </c>
      <c r="T951" s="2" t="s">
        <v>228</v>
      </c>
      <c r="U951" s="2" t="s">
        <v>416</v>
      </c>
      <c r="V951" s="2" t="s">
        <v>236</v>
      </c>
      <c r="W951" s="2" t="s">
        <v>463</v>
      </c>
      <c r="X951" s="2" t="s">
        <v>3401</v>
      </c>
      <c r="Y951" s="2" t="s">
        <v>270</v>
      </c>
      <c r="Z951" s="4">
        <v>1201</v>
      </c>
      <c r="AA951" s="4">
        <f>=ROUNDDOWN(21.4464285714286,0)</f>
      </c>
      <c r="AB951" s="5">
        <v>56</v>
      </c>
      <c r="AC951" s="2" t="s">
        <v>1352</v>
      </c>
      <c r="AD951" s="4">
        <v>368</v>
      </c>
      <c r="AE951" s="4">
        <v>1208</v>
      </c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228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228</v>
      </c>
      <c r="AW951" s="8" t="s">
        <v>228</v>
      </c>
      <c r="AX951" s="4" t="s">
        <v>228</v>
      </c>
      <c r="AY951" s="8" t="s">
        <v>228</v>
      </c>
      <c r="AZ951" s="7" t="s">
        <v>228</v>
      </c>
      <c r="BA951" s="7" t="s">
        <v>228</v>
      </c>
      <c r="BB951" s="7"/>
      <c r="BC951" s="4" t="s">
        <v>228</v>
      </c>
      <c r="BD951" s="8" t="s">
        <v>228</v>
      </c>
      <c r="BE951" s="4" t="s">
        <v>228</v>
      </c>
      <c r="BF951" s="8" t="s">
        <v>228</v>
      </c>
      <c r="BG951" s="7" t="s">
        <v>228</v>
      </c>
      <c r="BH951" s="7" t="s">
        <v>228</v>
      </c>
      <c r="BI951" s="7"/>
      <c r="BJ951" s="4">
        <v>115</v>
      </c>
      <c r="BK951" s="8">
        <v>1660.84</v>
      </c>
      <c r="BL951" s="2" t="s">
        <v>5100</v>
      </c>
      <c r="BM951" s="7"/>
      <c r="BN951" s="7"/>
      <c r="BO951" s="4"/>
      <c r="BP951" s="8"/>
      <c r="BQ951" s="4"/>
      <c r="BR951" s="8"/>
      <c r="BS951" s="7"/>
      <c r="BT951" s="7"/>
      <c r="BU951" s="2" t="s">
        <v>5101</v>
      </c>
      <c r="BV951" s="2" t="s">
        <v>228</v>
      </c>
      <c r="BW951" s="2" t="s">
        <v>228</v>
      </c>
      <c r="BX951" s="2" t="s">
        <v>5060</v>
      </c>
      <c r="BY951" s="2" t="s">
        <v>274</v>
      </c>
      <c r="BZ951" s="2" t="s">
        <v>240</v>
      </c>
      <c r="CA951" s="2" t="s">
        <v>275</v>
      </c>
      <c r="CB951" s="2" t="s">
        <v>1365</v>
      </c>
      <c r="CC951" s="2" t="s">
        <v>241</v>
      </c>
      <c r="CD951" s="2" t="s">
        <v>228</v>
      </c>
      <c r="CE951" s="4">
        <v>1109</v>
      </c>
      <c r="CF951" s="4"/>
      <c r="CG951" s="4"/>
      <c r="CH951" s="4"/>
      <c r="CI951" s="4"/>
      <c r="CJ951" s="4"/>
      <c r="CK951" s="4">
        <v>92</v>
      </c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>
        <v>368</v>
      </c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>
        <v>240</v>
      </c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>
        <v>600</v>
      </c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</row>
    <row r="952">
      <c r="A952" s="2" t="s">
        <v>5102</v>
      </c>
      <c r="B952" s="2" t="s">
        <v>970</v>
      </c>
      <c r="C952" s="2" t="s">
        <v>300</v>
      </c>
      <c r="D952" s="2" t="s">
        <v>971</v>
      </c>
      <c r="E952" s="2" t="s">
        <v>972</v>
      </c>
      <c r="F952" s="2" t="s">
        <v>5054</v>
      </c>
      <c r="G952" s="2" t="s">
        <v>5055</v>
      </c>
      <c r="H952" s="2" t="s">
        <v>5056</v>
      </c>
      <c r="I952" s="2" t="s">
        <v>5057</v>
      </c>
      <c r="J952" s="2" t="s">
        <v>1309</v>
      </c>
      <c r="K952" s="2" t="s">
        <v>1967</v>
      </c>
      <c r="L952" s="3">
        <v>21</v>
      </c>
      <c r="M952" s="3">
        <v>22.05</v>
      </c>
      <c r="N952" s="3">
        <v>49.99</v>
      </c>
      <c r="O952" s="2" t="s">
        <v>240</v>
      </c>
      <c r="P952" s="2" t="s">
        <v>889</v>
      </c>
      <c r="Q952" s="2" t="s">
        <v>234</v>
      </c>
      <c r="R952" s="2" t="s">
        <v>228</v>
      </c>
      <c r="S952" s="2" t="s">
        <v>5099</v>
      </c>
      <c r="T952" s="2" t="s">
        <v>228</v>
      </c>
      <c r="U952" s="2" t="s">
        <v>416</v>
      </c>
      <c r="V952" s="2" t="s">
        <v>236</v>
      </c>
      <c r="W952" s="2" t="s">
        <v>463</v>
      </c>
      <c r="X952" s="2" t="s">
        <v>3401</v>
      </c>
      <c r="Y952" s="2" t="s">
        <v>270</v>
      </c>
      <c r="Z952" s="4">
        <v>454</v>
      </c>
      <c r="AA952" s="4">
        <f>=ROUNDDOWN(19.7391304347826,0)</f>
      </c>
      <c r="AB952" s="5">
        <v>23</v>
      </c>
      <c r="AC952" s="2" t="s">
        <v>1014</v>
      </c>
      <c r="AD952" s="4">
        <v>100</v>
      </c>
      <c r="AE952" s="4">
        <v>450</v>
      </c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228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228</v>
      </c>
      <c r="AW952" s="8" t="s">
        <v>228</v>
      </c>
      <c r="AX952" s="4" t="s">
        <v>228</v>
      </c>
      <c r="AY952" s="8" t="s">
        <v>228</v>
      </c>
      <c r="AZ952" s="7" t="s">
        <v>228</v>
      </c>
      <c r="BA952" s="7" t="s">
        <v>228</v>
      </c>
      <c r="BB952" s="7"/>
      <c r="BC952" s="4" t="s">
        <v>228</v>
      </c>
      <c r="BD952" s="8" t="s">
        <v>228</v>
      </c>
      <c r="BE952" s="4" t="s">
        <v>228</v>
      </c>
      <c r="BF952" s="8" t="s">
        <v>228</v>
      </c>
      <c r="BG952" s="7" t="s">
        <v>228</v>
      </c>
      <c r="BH952" s="7" t="s">
        <v>228</v>
      </c>
      <c r="BI952" s="7"/>
      <c r="BJ952" s="4">
        <v>44</v>
      </c>
      <c r="BK952" s="8">
        <v>1075.77</v>
      </c>
      <c r="BL952" s="2" t="s">
        <v>5103</v>
      </c>
      <c r="BM952" s="7"/>
      <c r="BN952" s="7"/>
      <c r="BO952" s="4"/>
      <c r="BP952" s="8"/>
      <c r="BQ952" s="4"/>
      <c r="BR952" s="8"/>
      <c r="BS952" s="7"/>
      <c r="BT952" s="7"/>
      <c r="BU952" s="2" t="s">
        <v>5104</v>
      </c>
      <c r="BV952" s="2" t="s">
        <v>228</v>
      </c>
      <c r="BW952" s="2" t="s">
        <v>228</v>
      </c>
      <c r="BX952" s="2" t="s">
        <v>5060</v>
      </c>
      <c r="BY952" s="2" t="s">
        <v>274</v>
      </c>
      <c r="BZ952" s="2" t="s">
        <v>240</v>
      </c>
      <c r="CA952" s="2" t="s">
        <v>275</v>
      </c>
      <c r="CB952" s="2" t="s">
        <v>5105</v>
      </c>
      <c r="CC952" s="2" t="s">
        <v>241</v>
      </c>
      <c r="CD952" s="2" t="s">
        <v>228</v>
      </c>
      <c r="CE952" s="4">
        <v>374</v>
      </c>
      <c r="CF952" s="4"/>
      <c r="CG952" s="4"/>
      <c r="CH952" s="4"/>
      <c r="CI952" s="4"/>
      <c r="CJ952" s="4"/>
      <c r="CK952" s="4">
        <v>80</v>
      </c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>
        <v>100</v>
      </c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>
        <v>196</v>
      </c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>
        <v>100</v>
      </c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>
        <v>54</v>
      </c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</row>
    <row r="953">
      <c r="A953" s="2" t="s">
        <v>5106</v>
      </c>
      <c r="B953" s="2" t="s">
        <v>970</v>
      </c>
      <c r="C953" s="2" t="s">
        <v>300</v>
      </c>
      <c r="D953" s="2" t="s">
        <v>1497</v>
      </c>
      <c r="E953" s="2" t="s">
        <v>1498</v>
      </c>
      <c r="F953" s="2" t="s">
        <v>5054</v>
      </c>
      <c r="G953" s="2" t="s">
        <v>5055</v>
      </c>
      <c r="H953" s="2" t="s">
        <v>5056</v>
      </c>
      <c r="I953" s="2" t="s">
        <v>5086</v>
      </c>
      <c r="J953" s="2" t="s">
        <v>5087</v>
      </c>
      <c r="K953" s="2" t="s">
        <v>1967</v>
      </c>
      <c r="L953" s="3">
        <v>12.6</v>
      </c>
      <c r="M953" s="3">
        <v>13.23</v>
      </c>
      <c r="N953" s="3">
        <v>29.99</v>
      </c>
      <c r="O953" s="2" t="s">
        <v>240</v>
      </c>
      <c r="P953" s="2" t="s">
        <v>266</v>
      </c>
      <c r="Q953" s="2" t="s">
        <v>234</v>
      </c>
      <c r="R953" s="2" t="s">
        <v>228</v>
      </c>
      <c r="S953" s="2" t="s">
        <v>5099</v>
      </c>
      <c r="T953" s="2" t="s">
        <v>228</v>
      </c>
      <c r="U953" s="2" t="s">
        <v>228</v>
      </c>
      <c r="V953" s="2" t="s">
        <v>236</v>
      </c>
      <c r="W953" s="2" t="s">
        <v>463</v>
      </c>
      <c r="X953" s="2" t="s">
        <v>228</v>
      </c>
      <c r="Y953" s="2" t="s">
        <v>5107</v>
      </c>
      <c r="Z953" s="4">
        <v>542</v>
      </c>
      <c r="AA953" s="4">
        <f>=ROUNDDOWN(33.875,0)</f>
      </c>
      <c r="AB953" s="5">
        <v>16</v>
      </c>
      <c r="AC953" s="2" t="s">
        <v>1352</v>
      </c>
      <c r="AD953" s="4">
        <v>48</v>
      </c>
      <c r="AE953" s="4">
        <v>136</v>
      </c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228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228</v>
      </c>
      <c r="AW953" s="8" t="s">
        <v>228</v>
      </c>
      <c r="AX953" s="4" t="s">
        <v>228</v>
      </c>
      <c r="AY953" s="8" t="s">
        <v>228</v>
      </c>
      <c r="AZ953" s="7" t="s">
        <v>228</v>
      </c>
      <c r="BA953" s="7" t="s">
        <v>228</v>
      </c>
      <c r="BB953" s="7"/>
      <c r="BC953" s="4" t="s">
        <v>228</v>
      </c>
      <c r="BD953" s="8" t="s">
        <v>228</v>
      </c>
      <c r="BE953" s="4" t="s">
        <v>228</v>
      </c>
      <c r="BF953" s="8" t="s">
        <v>228</v>
      </c>
      <c r="BG953" s="7" t="s">
        <v>228</v>
      </c>
      <c r="BH953" s="7" t="s">
        <v>228</v>
      </c>
      <c r="BI953" s="7"/>
      <c r="BJ953" s="4">
        <v>43</v>
      </c>
      <c r="BK953" s="8">
        <v>682.03</v>
      </c>
      <c r="BL953" s="2" t="s">
        <v>5108</v>
      </c>
      <c r="BM953" s="7"/>
      <c r="BN953" s="7"/>
      <c r="BO953" s="4"/>
      <c r="BP953" s="8"/>
      <c r="BQ953" s="4"/>
      <c r="BR953" s="8"/>
      <c r="BS953" s="7"/>
      <c r="BT953" s="7"/>
      <c r="BU953" s="2" t="s">
        <v>5109</v>
      </c>
      <c r="BV953" s="2" t="s">
        <v>228</v>
      </c>
      <c r="BW953" s="2" t="s">
        <v>228</v>
      </c>
      <c r="BX953" s="2" t="s">
        <v>273</v>
      </c>
      <c r="BY953" s="2" t="s">
        <v>274</v>
      </c>
      <c r="BZ953" s="2" t="s">
        <v>240</v>
      </c>
      <c r="CA953" s="2" t="s">
        <v>3034</v>
      </c>
      <c r="CB953" s="2" t="s">
        <v>5110</v>
      </c>
      <c r="CC953" s="2" t="s">
        <v>241</v>
      </c>
      <c r="CD953" s="2" t="s">
        <v>228</v>
      </c>
      <c r="CE953" s="4">
        <v>294</v>
      </c>
      <c r="CF953" s="4"/>
      <c r="CG953" s="4"/>
      <c r="CH953" s="4"/>
      <c r="CI953" s="4"/>
      <c r="CJ953" s="4"/>
      <c r="CK953" s="4">
        <v>248</v>
      </c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>
        <v>48</v>
      </c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>
        <v>88</v>
      </c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</row>
    <row r="954">
      <c r="A954" s="2" t="s">
        <v>5111</v>
      </c>
      <c r="B954" s="2" t="s">
        <v>970</v>
      </c>
      <c r="C954" s="2" t="s">
        <v>300</v>
      </c>
      <c r="D954" s="2" t="s">
        <v>971</v>
      </c>
      <c r="E954" s="2" t="s">
        <v>972</v>
      </c>
      <c r="F954" s="2" t="s">
        <v>5054</v>
      </c>
      <c r="G954" s="2" t="s">
        <v>5055</v>
      </c>
      <c r="H954" s="2" t="s">
        <v>5056</v>
      </c>
      <c r="I954" s="2" t="s">
        <v>5057</v>
      </c>
      <c r="J954" s="2" t="s">
        <v>977</v>
      </c>
      <c r="K954" s="2" t="s">
        <v>1466</v>
      </c>
      <c r="L954" s="3">
        <v>16</v>
      </c>
      <c r="M954" s="3">
        <v>16.8</v>
      </c>
      <c r="N954" s="3">
        <v>39.99</v>
      </c>
      <c r="O954" s="2" t="s">
        <v>240</v>
      </c>
      <c r="P954" s="2" t="s">
        <v>266</v>
      </c>
      <c r="Q954" s="2" t="s">
        <v>234</v>
      </c>
      <c r="R954" s="2" t="s">
        <v>228</v>
      </c>
      <c r="S954" s="2" t="s">
        <v>5112</v>
      </c>
      <c r="T954" s="2" t="s">
        <v>228</v>
      </c>
      <c r="U954" s="2" t="s">
        <v>416</v>
      </c>
      <c r="V954" s="2" t="s">
        <v>236</v>
      </c>
      <c r="W954" s="2" t="s">
        <v>463</v>
      </c>
      <c r="X954" s="2" t="s">
        <v>3401</v>
      </c>
      <c r="Y954" s="2" t="s">
        <v>5113</v>
      </c>
      <c r="Z954" s="4">
        <v>686</v>
      </c>
      <c r="AA954" s="4">
        <f>=ROUNDDOWN(28.5833333333333,0)</f>
      </c>
      <c r="AB954" s="5">
        <v>24</v>
      </c>
      <c r="AC954" s="2" t="s">
        <v>192</v>
      </c>
      <c r="AD954" s="4">
        <v>300</v>
      </c>
      <c r="AE954" s="4">
        <v>300</v>
      </c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228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228</v>
      </c>
      <c r="AW954" s="8" t="s">
        <v>228</v>
      </c>
      <c r="AX954" s="4" t="s">
        <v>228</v>
      </c>
      <c r="AY954" s="8" t="s">
        <v>228</v>
      </c>
      <c r="AZ954" s="7" t="s">
        <v>228</v>
      </c>
      <c r="BA954" s="7" t="s">
        <v>228</v>
      </c>
      <c r="BB954" s="7"/>
      <c r="BC954" s="4" t="s">
        <v>228</v>
      </c>
      <c r="BD954" s="8" t="s">
        <v>228</v>
      </c>
      <c r="BE954" s="4" t="s">
        <v>228</v>
      </c>
      <c r="BF954" s="8" t="s">
        <v>228</v>
      </c>
      <c r="BG954" s="7" t="s">
        <v>228</v>
      </c>
      <c r="BH954" s="7" t="s">
        <v>228</v>
      </c>
      <c r="BI954" s="7"/>
      <c r="BJ954" s="4">
        <v>64</v>
      </c>
      <c r="BK954" s="8">
        <v>970.62</v>
      </c>
      <c r="BL954" s="2" t="s">
        <v>5114</v>
      </c>
      <c r="BM954" s="7"/>
      <c r="BN954" s="7"/>
      <c r="BO954" s="4"/>
      <c r="BP954" s="8"/>
      <c r="BQ954" s="4"/>
      <c r="BR954" s="8"/>
      <c r="BS954" s="7"/>
      <c r="BT954" s="7"/>
      <c r="BU954" s="2" t="s">
        <v>5115</v>
      </c>
      <c r="BV954" s="2" t="s">
        <v>228</v>
      </c>
      <c r="BW954" s="2" t="s">
        <v>228</v>
      </c>
      <c r="BX954" s="2" t="s">
        <v>5060</v>
      </c>
      <c r="BY954" s="2" t="s">
        <v>274</v>
      </c>
      <c r="BZ954" s="2" t="s">
        <v>240</v>
      </c>
      <c r="CA954" s="2" t="s">
        <v>5116</v>
      </c>
      <c r="CB954" s="2" t="s">
        <v>5117</v>
      </c>
      <c r="CC954" s="2" t="s">
        <v>241</v>
      </c>
      <c r="CD954" s="2" t="s">
        <v>228</v>
      </c>
      <c r="CE954" s="4">
        <v>686</v>
      </c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>
        <v>300</v>
      </c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</row>
    <row r="955">
      <c r="A955" s="2" t="s">
        <v>5118</v>
      </c>
      <c r="B955" s="2" t="s">
        <v>970</v>
      </c>
      <c r="C955" s="2" t="s">
        <v>300</v>
      </c>
      <c r="D955" s="2" t="s">
        <v>971</v>
      </c>
      <c r="E955" s="2" t="s">
        <v>972</v>
      </c>
      <c r="F955" s="2" t="s">
        <v>5054</v>
      </c>
      <c r="G955" s="2" t="s">
        <v>5055</v>
      </c>
      <c r="H955" s="2" t="s">
        <v>5056</v>
      </c>
      <c r="I955" s="2" t="s">
        <v>5057</v>
      </c>
      <c r="J955" s="2" t="s">
        <v>1300</v>
      </c>
      <c r="K955" s="2" t="s">
        <v>1466</v>
      </c>
      <c r="L955" s="3">
        <v>17.1</v>
      </c>
      <c r="M955" s="3">
        <v>17.96</v>
      </c>
      <c r="N955" s="3">
        <v>44.99</v>
      </c>
      <c r="O955" s="2" t="s">
        <v>240</v>
      </c>
      <c r="P955" s="2" t="s">
        <v>266</v>
      </c>
      <c r="Q955" s="2" t="s">
        <v>234</v>
      </c>
      <c r="R955" s="2" t="s">
        <v>228</v>
      </c>
      <c r="S955" s="2" t="s">
        <v>5112</v>
      </c>
      <c r="T955" s="2" t="s">
        <v>228</v>
      </c>
      <c r="U955" s="2" t="s">
        <v>416</v>
      </c>
      <c r="V955" s="2" t="s">
        <v>236</v>
      </c>
      <c r="W955" s="2" t="s">
        <v>463</v>
      </c>
      <c r="X955" s="2" t="s">
        <v>3401</v>
      </c>
      <c r="Y955" s="2" t="s">
        <v>5113</v>
      </c>
      <c r="Z955" s="4">
        <v>332</v>
      </c>
      <c r="AA955" s="4">
        <f>=ROUNDDOWN(27.6666666666667,0)</f>
      </c>
      <c r="AB955" s="5">
        <v>12</v>
      </c>
      <c r="AC955" s="2" t="s">
        <v>162</v>
      </c>
      <c r="AD955" s="4">
        <v>200</v>
      </c>
      <c r="AE955" s="4">
        <v>300</v>
      </c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228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228</v>
      </c>
      <c r="AW955" s="8" t="s">
        <v>228</v>
      </c>
      <c r="AX955" s="4" t="s">
        <v>228</v>
      </c>
      <c r="AY955" s="8" t="s">
        <v>228</v>
      </c>
      <c r="AZ955" s="7" t="s">
        <v>228</v>
      </c>
      <c r="BA955" s="7" t="s">
        <v>228</v>
      </c>
      <c r="BB955" s="7"/>
      <c r="BC955" s="4" t="s">
        <v>228</v>
      </c>
      <c r="BD955" s="8" t="s">
        <v>228</v>
      </c>
      <c r="BE955" s="4" t="s">
        <v>228</v>
      </c>
      <c r="BF955" s="8" t="s">
        <v>228</v>
      </c>
      <c r="BG955" s="7" t="s">
        <v>228</v>
      </c>
      <c r="BH955" s="7" t="s">
        <v>228</v>
      </c>
      <c r="BI955" s="7"/>
      <c r="BJ955" s="4">
        <v>9</v>
      </c>
      <c r="BK955" s="8">
        <v>196.83</v>
      </c>
      <c r="BL955" s="2" t="s">
        <v>5119</v>
      </c>
      <c r="BM955" s="7"/>
      <c r="BN955" s="7"/>
      <c r="BO955" s="4"/>
      <c r="BP955" s="8"/>
      <c r="BQ955" s="4"/>
      <c r="BR955" s="8"/>
      <c r="BS955" s="7"/>
      <c r="BT955" s="7"/>
      <c r="BU955" s="2" t="s">
        <v>5120</v>
      </c>
      <c r="BV955" s="2" t="s">
        <v>228</v>
      </c>
      <c r="BW955" s="2" t="s">
        <v>228</v>
      </c>
      <c r="BX955" s="2" t="s">
        <v>5060</v>
      </c>
      <c r="BY955" s="2" t="s">
        <v>274</v>
      </c>
      <c r="BZ955" s="2" t="s">
        <v>240</v>
      </c>
      <c r="CA955" s="2" t="s">
        <v>5116</v>
      </c>
      <c r="CB955" s="2" t="s">
        <v>5121</v>
      </c>
      <c r="CC955" s="2" t="s">
        <v>241</v>
      </c>
      <c r="CD955" s="2" t="s">
        <v>228</v>
      </c>
      <c r="CE955" s="4">
        <v>332</v>
      </c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>
        <v>200</v>
      </c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>
        <v>100</v>
      </c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</row>
    <row r="956">
      <c r="A956" s="2" t="s">
        <v>5122</v>
      </c>
      <c r="B956" s="2" t="s">
        <v>970</v>
      </c>
      <c r="C956" s="2" t="s">
        <v>300</v>
      </c>
      <c r="D956" s="2" t="s">
        <v>971</v>
      </c>
      <c r="E956" s="2" t="s">
        <v>972</v>
      </c>
      <c r="F956" s="2" t="s">
        <v>5054</v>
      </c>
      <c r="G956" s="2" t="s">
        <v>5055</v>
      </c>
      <c r="H956" s="2" t="s">
        <v>5056</v>
      </c>
      <c r="I956" s="2" t="s">
        <v>5057</v>
      </c>
      <c r="J956" s="2" t="s">
        <v>1309</v>
      </c>
      <c r="K956" s="2" t="s">
        <v>1466</v>
      </c>
      <c r="L956" s="3">
        <v>21</v>
      </c>
      <c r="M956" s="3">
        <v>22.05</v>
      </c>
      <c r="N956" s="3">
        <v>49.99</v>
      </c>
      <c r="O956" s="2" t="s">
        <v>240</v>
      </c>
      <c r="P956" s="2" t="s">
        <v>266</v>
      </c>
      <c r="Q956" s="2" t="s">
        <v>234</v>
      </c>
      <c r="R956" s="2" t="s">
        <v>228</v>
      </c>
      <c r="S956" s="2" t="s">
        <v>5112</v>
      </c>
      <c r="T956" s="2" t="s">
        <v>228</v>
      </c>
      <c r="U956" s="2" t="s">
        <v>416</v>
      </c>
      <c r="V956" s="2" t="s">
        <v>236</v>
      </c>
      <c r="W956" s="2" t="s">
        <v>463</v>
      </c>
      <c r="X956" s="2" t="s">
        <v>3401</v>
      </c>
      <c r="Y956" s="2" t="s">
        <v>5113</v>
      </c>
      <c r="Z956" s="4">
        <v>354</v>
      </c>
      <c r="AA956" s="4">
        <f>=ROUNDDOWN(35.4,0)</f>
      </c>
      <c r="AB956" s="5">
        <v>10</v>
      </c>
      <c r="AC956" s="2" t="s">
        <v>192</v>
      </c>
      <c r="AD956" s="4">
        <v>100</v>
      </c>
      <c r="AE956" s="4">
        <v>100</v>
      </c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228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228</v>
      </c>
      <c r="AW956" s="8" t="s">
        <v>228</v>
      </c>
      <c r="AX956" s="4" t="s">
        <v>228</v>
      </c>
      <c r="AY956" s="8" t="s">
        <v>228</v>
      </c>
      <c r="AZ956" s="7" t="s">
        <v>228</v>
      </c>
      <c r="BA956" s="7" t="s">
        <v>228</v>
      </c>
      <c r="BB956" s="7"/>
      <c r="BC956" s="4" t="s">
        <v>228</v>
      </c>
      <c r="BD956" s="8" t="s">
        <v>228</v>
      </c>
      <c r="BE956" s="4" t="s">
        <v>228</v>
      </c>
      <c r="BF956" s="8" t="s">
        <v>228</v>
      </c>
      <c r="BG956" s="7" t="s">
        <v>228</v>
      </c>
      <c r="BH956" s="7" t="s">
        <v>228</v>
      </c>
      <c r="BI956" s="7"/>
      <c r="BJ956" s="4">
        <v>30</v>
      </c>
      <c r="BK956" s="8">
        <v>666.24</v>
      </c>
      <c r="BL956" s="2" t="s">
        <v>5123</v>
      </c>
      <c r="BM956" s="7"/>
      <c r="BN956" s="7"/>
      <c r="BO956" s="4"/>
      <c r="BP956" s="8"/>
      <c r="BQ956" s="4"/>
      <c r="BR956" s="8"/>
      <c r="BS956" s="7"/>
      <c r="BT956" s="7"/>
      <c r="BU956" s="2" t="s">
        <v>5124</v>
      </c>
      <c r="BV956" s="2" t="s">
        <v>228</v>
      </c>
      <c r="BW956" s="2" t="s">
        <v>228</v>
      </c>
      <c r="BX956" s="2" t="s">
        <v>5060</v>
      </c>
      <c r="BY956" s="2" t="s">
        <v>274</v>
      </c>
      <c r="BZ956" s="2" t="s">
        <v>240</v>
      </c>
      <c r="CA956" s="2" t="s">
        <v>5116</v>
      </c>
      <c r="CB956" s="2" t="s">
        <v>620</v>
      </c>
      <c r="CC956" s="2" t="s">
        <v>241</v>
      </c>
      <c r="CD956" s="2" t="s">
        <v>228</v>
      </c>
      <c r="CE956" s="4">
        <v>354</v>
      </c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>
        <v>100</v>
      </c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</row>
    <row r="957">
      <c r="A957" s="2" t="s">
        <v>5125</v>
      </c>
      <c r="B957" s="2" t="s">
        <v>970</v>
      </c>
      <c r="C957" s="2" t="s">
        <v>300</v>
      </c>
      <c r="D957" s="2" t="s">
        <v>971</v>
      </c>
      <c r="E957" s="2" t="s">
        <v>972</v>
      </c>
      <c r="F957" s="2" t="s">
        <v>5054</v>
      </c>
      <c r="G957" s="2" t="s">
        <v>5055</v>
      </c>
      <c r="H957" s="2" t="s">
        <v>5056</v>
      </c>
      <c r="I957" s="2" t="s">
        <v>5057</v>
      </c>
      <c r="J957" s="2" t="s">
        <v>5065</v>
      </c>
      <c r="K957" s="2" t="s">
        <v>1466</v>
      </c>
      <c r="L957" s="3">
        <v>23.1</v>
      </c>
      <c r="M957" s="3">
        <v>24.26</v>
      </c>
      <c r="N957" s="3">
        <v>54.99</v>
      </c>
      <c r="O957" s="2" t="s">
        <v>240</v>
      </c>
      <c r="P957" s="2" t="s">
        <v>266</v>
      </c>
      <c r="Q957" s="2" t="s">
        <v>234</v>
      </c>
      <c r="R957" s="2" t="s">
        <v>228</v>
      </c>
      <c r="S957" s="2" t="s">
        <v>5112</v>
      </c>
      <c r="T957" s="2" t="s">
        <v>228</v>
      </c>
      <c r="U957" s="2" t="s">
        <v>416</v>
      </c>
      <c r="V957" s="2" t="s">
        <v>236</v>
      </c>
      <c r="W957" s="2" t="s">
        <v>463</v>
      </c>
      <c r="X957" s="2" t="s">
        <v>3401</v>
      </c>
      <c r="Y957" s="2" t="s">
        <v>5113</v>
      </c>
      <c r="Z957" s="4">
        <v>96</v>
      </c>
      <c r="AA957" s="4">
        <f>=ROUNDDOWN(24,0)</f>
      </c>
      <c r="AB957" s="5">
        <v>4</v>
      </c>
      <c r="AC957" s="2" t="s">
        <v>228</v>
      </c>
      <c r="AD957" s="4"/>
      <c r="AE957" s="4"/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228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228</v>
      </c>
      <c r="AW957" s="8" t="s">
        <v>228</v>
      </c>
      <c r="AX957" s="4" t="s">
        <v>228</v>
      </c>
      <c r="AY957" s="8" t="s">
        <v>228</v>
      </c>
      <c r="AZ957" s="7" t="s">
        <v>228</v>
      </c>
      <c r="BA957" s="7" t="s">
        <v>228</v>
      </c>
      <c r="BB957" s="7"/>
      <c r="BC957" s="4" t="s">
        <v>228</v>
      </c>
      <c r="BD957" s="8" t="s">
        <v>228</v>
      </c>
      <c r="BE957" s="4" t="s">
        <v>228</v>
      </c>
      <c r="BF957" s="8" t="s">
        <v>228</v>
      </c>
      <c r="BG957" s="7" t="s">
        <v>228</v>
      </c>
      <c r="BH957" s="7" t="s">
        <v>228</v>
      </c>
      <c r="BI957" s="7"/>
      <c r="BJ957" s="4">
        <v>9</v>
      </c>
      <c r="BK957" s="8">
        <v>224.32</v>
      </c>
      <c r="BL957" s="2" t="s">
        <v>5126</v>
      </c>
      <c r="BM957" s="7"/>
      <c r="BN957" s="7"/>
      <c r="BO957" s="4"/>
      <c r="BP957" s="8"/>
      <c r="BQ957" s="4"/>
      <c r="BR957" s="8"/>
      <c r="BS957" s="7"/>
      <c r="BT957" s="7"/>
      <c r="BU957" s="2" t="s">
        <v>5127</v>
      </c>
      <c r="BV957" s="2" t="s">
        <v>228</v>
      </c>
      <c r="BW957" s="2" t="s">
        <v>228</v>
      </c>
      <c r="BX957" s="2" t="s">
        <v>5060</v>
      </c>
      <c r="BY957" s="2" t="s">
        <v>274</v>
      </c>
      <c r="BZ957" s="2" t="s">
        <v>240</v>
      </c>
      <c r="CA957" s="2" t="s">
        <v>5116</v>
      </c>
      <c r="CB957" s="2" t="s">
        <v>4455</v>
      </c>
      <c r="CC957" s="2" t="s">
        <v>241</v>
      </c>
      <c r="CD957" s="2" t="s">
        <v>228</v>
      </c>
      <c r="CE957" s="4">
        <v>96</v>
      </c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</row>
    <row r="958">
      <c r="A958" s="2" t="s">
        <v>5128</v>
      </c>
      <c r="B958" s="2" t="s">
        <v>970</v>
      </c>
      <c r="C958" s="2" t="s">
        <v>300</v>
      </c>
      <c r="D958" s="2" t="s">
        <v>1497</v>
      </c>
      <c r="E958" s="2" t="s">
        <v>1498</v>
      </c>
      <c r="F958" s="2" t="s">
        <v>5054</v>
      </c>
      <c r="G958" s="2" t="s">
        <v>5055</v>
      </c>
      <c r="H958" s="2" t="s">
        <v>5056</v>
      </c>
      <c r="I958" s="2" t="s">
        <v>5086</v>
      </c>
      <c r="J958" s="2" t="s">
        <v>5087</v>
      </c>
      <c r="K958" s="2" t="s">
        <v>1466</v>
      </c>
      <c r="L958" s="3">
        <v>12.6</v>
      </c>
      <c r="M958" s="3">
        <v>13.23</v>
      </c>
      <c r="N958" s="3">
        <v>29.99</v>
      </c>
      <c r="O958" s="2" t="s">
        <v>240</v>
      </c>
      <c r="P958" s="2" t="s">
        <v>266</v>
      </c>
      <c r="Q958" s="2" t="s">
        <v>234</v>
      </c>
      <c r="R958" s="2" t="s">
        <v>228</v>
      </c>
      <c r="S958" s="2" t="s">
        <v>5112</v>
      </c>
      <c r="T958" s="2" t="s">
        <v>228</v>
      </c>
      <c r="U958" s="2" t="s">
        <v>416</v>
      </c>
      <c r="V958" s="2" t="s">
        <v>236</v>
      </c>
      <c r="W958" s="2" t="s">
        <v>463</v>
      </c>
      <c r="X958" s="2" t="s">
        <v>228</v>
      </c>
      <c r="Y958" s="2" t="s">
        <v>5113</v>
      </c>
      <c r="Z958" s="4">
        <v>434</v>
      </c>
      <c r="AA958" s="4">
        <f>=ROUNDDOWN(39.4545454545455,0)</f>
      </c>
      <c r="AB958" s="5">
        <v>11</v>
      </c>
      <c r="AC958" s="2" t="s">
        <v>228</v>
      </c>
      <c r="AD958" s="4"/>
      <c r="AE958" s="4"/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228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228</v>
      </c>
      <c r="AW958" s="8" t="s">
        <v>228</v>
      </c>
      <c r="AX958" s="4" t="s">
        <v>228</v>
      </c>
      <c r="AY958" s="8" t="s">
        <v>228</v>
      </c>
      <c r="AZ958" s="7" t="s">
        <v>228</v>
      </c>
      <c r="BA958" s="7" t="s">
        <v>228</v>
      </c>
      <c r="BB958" s="7"/>
      <c r="BC958" s="4" t="s">
        <v>228</v>
      </c>
      <c r="BD958" s="8" t="s">
        <v>228</v>
      </c>
      <c r="BE958" s="4" t="s">
        <v>228</v>
      </c>
      <c r="BF958" s="8" t="s">
        <v>228</v>
      </c>
      <c r="BG958" s="7" t="s">
        <v>228</v>
      </c>
      <c r="BH958" s="7" t="s">
        <v>228</v>
      </c>
      <c r="BI958" s="7"/>
      <c r="BJ958" s="4">
        <v>30</v>
      </c>
      <c r="BK958" s="8">
        <v>527.66</v>
      </c>
      <c r="BL958" s="2" t="s">
        <v>5129</v>
      </c>
      <c r="BM958" s="7"/>
      <c r="BN958" s="7"/>
      <c r="BO958" s="4"/>
      <c r="BP958" s="8"/>
      <c r="BQ958" s="4"/>
      <c r="BR958" s="8"/>
      <c r="BS958" s="7"/>
      <c r="BT958" s="7"/>
      <c r="BU958" s="2" t="s">
        <v>5130</v>
      </c>
      <c r="BV958" s="2" t="s">
        <v>228</v>
      </c>
      <c r="BW958" s="2" t="s">
        <v>228</v>
      </c>
      <c r="BX958" s="2" t="s">
        <v>273</v>
      </c>
      <c r="BY958" s="2" t="s">
        <v>274</v>
      </c>
      <c r="BZ958" s="2" t="s">
        <v>240</v>
      </c>
      <c r="CA958" s="2" t="s">
        <v>4043</v>
      </c>
      <c r="CB958" s="2" t="s">
        <v>5131</v>
      </c>
      <c r="CC958" s="2" t="s">
        <v>241</v>
      </c>
      <c r="CD958" s="2" t="s">
        <v>228</v>
      </c>
      <c r="CE958" s="4">
        <v>434</v>
      </c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</row>
    <row r="959">
      <c r="A959" s="2" t="s">
        <v>5132</v>
      </c>
      <c r="B959" s="2" t="s">
        <v>970</v>
      </c>
      <c r="C959" s="2" t="s">
        <v>300</v>
      </c>
      <c r="D959" s="2" t="s">
        <v>971</v>
      </c>
      <c r="E959" s="2" t="s">
        <v>972</v>
      </c>
      <c r="F959" s="2" t="s">
        <v>5054</v>
      </c>
      <c r="G959" s="2" t="s">
        <v>5055</v>
      </c>
      <c r="H959" s="2" t="s">
        <v>5056</v>
      </c>
      <c r="I959" s="2" t="s">
        <v>5057</v>
      </c>
      <c r="J959" s="2" t="s">
        <v>1300</v>
      </c>
      <c r="K959" s="2" t="s">
        <v>5133</v>
      </c>
      <c r="L959" s="3">
        <v>17.1</v>
      </c>
      <c r="M959" s="3">
        <v>17.96</v>
      </c>
      <c r="N959" s="3">
        <v>44.99</v>
      </c>
      <c r="O959" s="2" t="s">
        <v>240</v>
      </c>
      <c r="P959" s="2" t="s">
        <v>266</v>
      </c>
      <c r="Q959" s="2" t="s">
        <v>234</v>
      </c>
      <c r="R959" s="2" t="s">
        <v>228</v>
      </c>
      <c r="S959" s="2" t="s">
        <v>5134</v>
      </c>
      <c r="T959" s="2" t="s">
        <v>228</v>
      </c>
      <c r="U959" s="2" t="s">
        <v>416</v>
      </c>
      <c r="V959" s="2" t="s">
        <v>236</v>
      </c>
      <c r="W959" s="2" t="s">
        <v>463</v>
      </c>
      <c r="X959" s="2" t="s">
        <v>3401</v>
      </c>
      <c r="Y959" s="2" t="s">
        <v>270</v>
      </c>
      <c r="Z959" s="4">
        <v>240</v>
      </c>
      <c r="AA959" s="4">
        <f>=ROUNDDOWN(13.3333333333333,0)</f>
      </c>
      <c r="AB959" s="5">
        <v>18</v>
      </c>
      <c r="AC959" s="2" t="s">
        <v>1014</v>
      </c>
      <c r="AD959" s="4">
        <v>240</v>
      </c>
      <c r="AE959" s="4">
        <v>464</v>
      </c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228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228</v>
      </c>
      <c r="AW959" s="8" t="s">
        <v>228</v>
      </c>
      <c r="AX959" s="4" t="s">
        <v>228</v>
      </c>
      <c r="AY959" s="8" t="s">
        <v>228</v>
      </c>
      <c r="AZ959" s="7" t="s">
        <v>228</v>
      </c>
      <c r="BA959" s="7" t="s">
        <v>228</v>
      </c>
      <c r="BB959" s="7"/>
      <c r="BC959" s="4" t="s">
        <v>228</v>
      </c>
      <c r="BD959" s="8" t="s">
        <v>228</v>
      </c>
      <c r="BE959" s="4" t="s">
        <v>228</v>
      </c>
      <c r="BF959" s="8" t="s">
        <v>228</v>
      </c>
      <c r="BG959" s="7" t="s">
        <v>228</v>
      </c>
      <c r="BH959" s="7" t="s">
        <v>228</v>
      </c>
      <c r="BI959" s="7"/>
      <c r="BJ959" s="4">
        <v>32</v>
      </c>
      <c r="BK959" s="8">
        <v>497.36</v>
      </c>
      <c r="BL959" s="2" t="s">
        <v>5135</v>
      </c>
      <c r="BM959" s="7"/>
      <c r="BN959" s="7"/>
      <c r="BO959" s="4"/>
      <c r="BP959" s="8"/>
      <c r="BQ959" s="4"/>
      <c r="BR959" s="8"/>
      <c r="BS959" s="7"/>
      <c r="BT959" s="7"/>
      <c r="BU959" s="2" t="s">
        <v>5136</v>
      </c>
      <c r="BV959" s="2" t="s">
        <v>228</v>
      </c>
      <c r="BW959" s="2" t="s">
        <v>228</v>
      </c>
      <c r="BX959" s="2" t="s">
        <v>5060</v>
      </c>
      <c r="BY959" s="2" t="s">
        <v>274</v>
      </c>
      <c r="BZ959" s="2" t="s">
        <v>240</v>
      </c>
      <c r="CA959" s="2" t="s">
        <v>275</v>
      </c>
      <c r="CB959" s="2" t="s">
        <v>5137</v>
      </c>
      <c r="CC959" s="2" t="s">
        <v>241</v>
      </c>
      <c r="CD959" s="2" t="s">
        <v>228</v>
      </c>
      <c r="CE959" s="4">
        <v>240</v>
      </c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>
        <v>240</v>
      </c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>
        <v>112</v>
      </c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>
        <v>112</v>
      </c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</row>
    <row r="960">
      <c r="A960" s="2" t="s">
        <v>5138</v>
      </c>
      <c r="B960" s="2" t="s">
        <v>970</v>
      </c>
      <c r="C960" s="2" t="s">
        <v>300</v>
      </c>
      <c r="D960" s="2" t="s">
        <v>1497</v>
      </c>
      <c r="E960" s="2" t="s">
        <v>1498</v>
      </c>
      <c r="F960" s="2" t="s">
        <v>5054</v>
      </c>
      <c r="G960" s="2" t="s">
        <v>5055</v>
      </c>
      <c r="H960" s="2" t="s">
        <v>5056</v>
      </c>
      <c r="I960" s="2" t="s">
        <v>5086</v>
      </c>
      <c r="J960" s="2" t="s">
        <v>5087</v>
      </c>
      <c r="K960" s="2" t="s">
        <v>5133</v>
      </c>
      <c r="L960" s="3">
        <v>12.6</v>
      </c>
      <c r="M960" s="3">
        <v>13.23</v>
      </c>
      <c r="N960" s="3">
        <v>29.99</v>
      </c>
      <c r="O960" s="2" t="s">
        <v>240</v>
      </c>
      <c r="P960" s="2" t="s">
        <v>266</v>
      </c>
      <c r="Q960" s="2" t="s">
        <v>234</v>
      </c>
      <c r="R960" s="2" t="s">
        <v>228</v>
      </c>
      <c r="S960" s="2" t="s">
        <v>5134</v>
      </c>
      <c r="T960" s="2" t="s">
        <v>228</v>
      </c>
      <c r="U960" s="2" t="s">
        <v>228</v>
      </c>
      <c r="V960" s="2" t="s">
        <v>236</v>
      </c>
      <c r="W960" s="2" t="s">
        <v>463</v>
      </c>
      <c r="X960" s="2" t="s">
        <v>228</v>
      </c>
      <c r="Y960" s="2" t="s">
        <v>5107</v>
      </c>
      <c r="Z960" s="4">
        <v>132</v>
      </c>
      <c r="AA960" s="4">
        <f>=ROUNDDOWN(18.8571428571429,0)</f>
      </c>
      <c r="AB960" s="5">
        <v>7</v>
      </c>
      <c r="AC960" s="2" t="s">
        <v>1014</v>
      </c>
      <c r="AD960" s="4">
        <v>80</v>
      </c>
      <c r="AE960" s="4">
        <v>192</v>
      </c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228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228</v>
      </c>
      <c r="AW960" s="8" t="s">
        <v>228</v>
      </c>
      <c r="AX960" s="4" t="s">
        <v>228</v>
      </c>
      <c r="AY960" s="8" t="s">
        <v>228</v>
      </c>
      <c r="AZ960" s="7" t="s">
        <v>228</v>
      </c>
      <c r="BA960" s="7" t="s">
        <v>228</v>
      </c>
      <c r="BB960" s="7"/>
      <c r="BC960" s="4" t="s">
        <v>228</v>
      </c>
      <c r="BD960" s="8" t="s">
        <v>228</v>
      </c>
      <c r="BE960" s="4" t="s">
        <v>228</v>
      </c>
      <c r="BF960" s="8" t="s">
        <v>228</v>
      </c>
      <c r="BG960" s="7" t="s">
        <v>228</v>
      </c>
      <c r="BH960" s="7" t="s">
        <v>228</v>
      </c>
      <c r="BI960" s="7"/>
      <c r="BJ960" s="4">
        <v>9</v>
      </c>
      <c r="BK960" s="8">
        <v>113.4</v>
      </c>
      <c r="BL960" s="2" t="s">
        <v>5139</v>
      </c>
      <c r="BM960" s="7"/>
      <c r="BN960" s="7"/>
      <c r="BO960" s="4"/>
      <c r="BP960" s="8"/>
      <c r="BQ960" s="4"/>
      <c r="BR960" s="8"/>
      <c r="BS960" s="7"/>
      <c r="BT960" s="7"/>
      <c r="BU960" s="2" t="s">
        <v>5140</v>
      </c>
      <c r="BV960" s="2" t="s">
        <v>228</v>
      </c>
      <c r="BW960" s="2" t="s">
        <v>228</v>
      </c>
      <c r="BX960" s="2" t="s">
        <v>273</v>
      </c>
      <c r="BY960" s="2" t="s">
        <v>274</v>
      </c>
      <c r="BZ960" s="2" t="s">
        <v>240</v>
      </c>
      <c r="CA960" s="2" t="s">
        <v>3034</v>
      </c>
      <c r="CB960" s="2" t="s">
        <v>5141</v>
      </c>
      <c r="CC960" s="2" t="s">
        <v>241</v>
      </c>
      <c r="CD960" s="2" t="s">
        <v>228</v>
      </c>
      <c r="CE960" s="4">
        <v>132</v>
      </c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>
        <v>80</v>
      </c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>
        <v>56</v>
      </c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>
        <v>56</v>
      </c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</row>
    <row r="961">
      <c r="A961" s="2" t="s">
        <v>5142</v>
      </c>
      <c r="B961" s="2" t="s">
        <v>970</v>
      </c>
      <c r="C961" s="2" t="s">
        <v>300</v>
      </c>
      <c r="D961" s="2" t="s">
        <v>971</v>
      </c>
      <c r="E961" s="2" t="s">
        <v>972</v>
      </c>
      <c r="F961" s="2" t="s">
        <v>5054</v>
      </c>
      <c r="G961" s="2" t="s">
        <v>5055</v>
      </c>
      <c r="H961" s="2" t="s">
        <v>5056</v>
      </c>
      <c r="I961" s="2" t="s">
        <v>5057</v>
      </c>
      <c r="J961" s="2" t="s">
        <v>977</v>
      </c>
      <c r="K961" s="2" t="s">
        <v>460</v>
      </c>
      <c r="L961" s="3">
        <v>16</v>
      </c>
      <c r="M961" s="3">
        <v>16.8</v>
      </c>
      <c r="N961" s="3">
        <v>39.99</v>
      </c>
      <c r="O961" s="2" t="s">
        <v>240</v>
      </c>
      <c r="P961" s="2" t="s">
        <v>233</v>
      </c>
      <c r="Q961" s="2" t="s">
        <v>234</v>
      </c>
      <c r="R961" s="2" t="s">
        <v>228</v>
      </c>
      <c r="S961" s="2" t="s">
        <v>5143</v>
      </c>
      <c r="T961" s="2" t="s">
        <v>228</v>
      </c>
      <c r="U961" s="2" t="s">
        <v>416</v>
      </c>
      <c r="V961" s="2" t="s">
        <v>236</v>
      </c>
      <c r="W961" s="2" t="s">
        <v>463</v>
      </c>
      <c r="X961" s="2" t="s">
        <v>3401</v>
      </c>
      <c r="Y961" s="2" t="s">
        <v>4588</v>
      </c>
      <c r="Z961" s="4">
        <v>210</v>
      </c>
      <c r="AA961" s="4">
        <f>=ROUNDDOWN(17.5,0)</f>
      </c>
      <c r="AB961" s="5">
        <v>12</v>
      </c>
      <c r="AC961" s="2" t="s">
        <v>187</v>
      </c>
      <c r="AD961" s="4">
        <v>420</v>
      </c>
      <c r="AE961" s="4">
        <v>420</v>
      </c>
      <c r="AF961" s="6">
        <v>64</v>
      </c>
      <c r="AG961" s="6"/>
      <c r="AH961" s="7">
        <v>1</v>
      </c>
      <c r="AI961" s="4"/>
      <c r="AJ961" s="4">
        <f>=ROUNDDOWN({0},0)</f>
      </c>
      <c r="AK961" s="5"/>
      <c r="AL961" s="2" t="s">
        <v>228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228</v>
      </c>
      <c r="AW961" s="8" t="s">
        <v>228</v>
      </c>
      <c r="AX961" s="4" t="s">
        <v>228</v>
      </c>
      <c r="AY961" s="8" t="s">
        <v>228</v>
      </c>
      <c r="AZ961" s="7" t="s">
        <v>228</v>
      </c>
      <c r="BA961" s="7" t="s">
        <v>228</v>
      </c>
      <c r="BB961" s="7"/>
      <c r="BC961" s="4" t="s">
        <v>228</v>
      </c>
      <c r="BD961" s="8" t="s">
        <v>228</v>
      </c>
      <c r="BE961" s="4" t="s">
        <v>228</v>
      </c>
      <c r="BF961" s="8" t="s">
        <v>228</v>
      </c>
      <c r="BG961" s="7" t="s">
        <v>228</v>
      </c>
      <c r="BH961" s="7" t="s">
        <v>228</v>
      </c>
      <c r="BI961" s="7"/>
      <c r="BJ961" s="4">
        <v>17</v>
      </c>
      <c r="BK961" s="8">
        <v>237.1</v>
      </c>
      <c r="BL961" s="2" t="s">
        <v>2507</v>
      </c>
      <c r="BM961" s="7"/>
      <c r="BN961" s="7"/>
      <c r="BO961" s="4"/>
      <c r="BP961" s="8"/>
      <c r="BQ961" s="4"/>
      <c r="BR961" s="8"/>
      <c r="BS961" s="7"/>
      <c r="BT961" s="7"/>
      <c r="BU961" s="2" t="s">
        <v>5144</v>
      </c>
      <c r="BV961" s="2" t="s">
        <v>228</v>
      </c>
      <c r="BW961" s="2" t="s">
        <v>228</v>
      </c>
      <c r="BX961" s="2" t="s">
        <v>5060</v>
      </c>
      <c r="BY961" s="2" t="s">
        <v>274</v>
      </c>
      <c r="BZ961" s="2" t="s">
        <v>240</v>
      </c>
      <c r="CA961" s="2" t="s">
        <v>5061</v>
      </c>
      <c r="CB961" s="2" t="s">
        <v>5145</v>
      </c>
      <c r="CC961" s="2" t="s">
        <v>241</v>
      </c>
      <c r="CD961" s="2" t="s">
        <v>228</v>
      </c>
      <c r="CE961" s="4">
        <v>210</v>
      </c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>
        <v>420</v>
      </c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</row>
    <row r="962">
      <c r="A962" s="2" t="s">
        <v>5146</v>
      </c>
      <c r="B962" s="2" t="s">
        <v>970</v>
      </c>
      <c r="C962" s="2" t="s">
        <v>300</v>
      </c>
      <c r="D962" s="2" t="s">
        <v>971</v>
      </c>
      <c r="E962" s="2" t="s">
        <v>972</v>
      </c>
      <c r="F962" s="2" t="s">
        <v>5054</v>
      </c>
      <c r="G962" s="2" t="s">
        <v>5055</v>
      </c>
      <c r="H962" s="2" t="s">
        <v>5056</v>
      </c>
      <c r="I962" s="2" t="s">
        <v>5057</v>
      </c>
      <c r="J962" s="2" t="s">
        <v>1300</v>
      </c>
      <c r="K962" s="2" t="s">
        <v>460</v>
      </c>
      <c r="L962" s="3">
        <v>17.1</v>
      </c>
      <c r="M962" s="3">
        <v>17.96</v>
      </c>
      <c r="N962" s="3">
        <v>44.99</v>
      </c>
      <c r="O962" s="2" t="s">
        <v>240</v>
      </c>
      <c r="P962" s="2" t="s">
        <v>233</v>
      </c>
      <c r="Q962" s="2" t="s">
        <v>234</v>
      </c>
      <c r="R962" s="2" t="s">
        <v>228</v>
      </c>
      <c r="S962" s="2" t="s">
        <v>5143</v>
      </c>
      <c r="T962" s="2" t="s">
        <v>228</v>
      </c>
      <c r="U962" s="2" t="s">
        <v>416</v>
      </c>
      <c r="V962" s="2" t="s">
        <v>236</v>
      </c>
      <c r="W962" s="2" t="s">
        <v>463</v>
      </c>
      <c r="X962" s="2" t="s">
        <v>3401</v>
      </c>
      <c r="Y962" s="2" t="s">
        <v>4588</v>
      </c>
      <c r="Z962" s="4">
        <v>216</v>
      </c>
      <c r="AA962" s="4">
        <f>=ROUNDDOWN(54,0)</f>
      </c>
      <c r="AB962" s="5">
        <v>4</v>
      </c>
      <c r="AC962" s="2" t="s">
        <v>187</v>
      </c>
      <c r="AD962" s="4">
        <v>32</v>
      </c>
      <c r="AE962" s="4">
        <v>32</v>
      </c>
      <c r="AF962" s="6">
        <v>64</v>
      </c>
      <c r="AG962" s="6"/>
      <c r="AH962" s="7">
        <v>1</v>
      </c>
      <c r="AI962" s="4"/>
      <c r="AJ962" s="4">
        <f>=ROUNDDOWN({0},0)</f>
      </c>
      <c r="AK962" s="5"/>
      <c r="AL962" s="2" t="s">
        <v>228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228</v>
      </c>
      <c r="AW962" s="8" t="s">
        <v>228</v>
      </c>
      <c r="AX962" s="4" t="s">
        <v>228</v>
      </c>
      <c r="AY962" s="8" t="s">
        <v>228</v>
      </c>
      <c r="AZ962" s="7" t="s">
        <v>228</v>
      </c>
      <c r="BA962" s="7" t="s">
        <v>228</v>
      </c>
      <c r="BB962" s="7"/>
      <c r="BC962" s="4" t="s">
        <v>228</v>
      </c>
      <c r="BD962" s="8" t="s">
        <v>228</v>
      </c>
      <c r="BE962" s="4" t="s">
        <v>228</v>
      </c>
      <c r="BF962" s="8" t="s">
        <v>228</v>
      </c>
      <c r="BG962" s="7" t="s">
        <v>228</v>
      </c>
      <c r="BH962" s="7" t="s">
        <v>228</v>
      </c>
      <c r="BI962" s="7"/>
      <c r="BJ962" s="4">
        <v>3</v>
      </c>
      <c r="BK962" s="8">
        <v>57.36</v>
      </c>
      <c r="BL962" s="2" t="s">
        <v>5147</v>
      </c>
      <c r="BM962" s="7"/>
      <c r="BN962" s="7"/>
      <c r="BO962" s="4"/>
      <c r="BP962" s="8"/>
      <c r="BQ962" s="4"/>
      <c r="BR962" s="8"/>
      <c r="BS962" s="7"/>
      <c r="BT962" s="7"/>
      <c r="BU962" s="2" t="s">
        <v>5148</v>
      </c>
      <c r="BV962" s="2" t="s">
        <v>228</v>
      </c>
      <c r="BW962" s="2" t="s">
        <v>228</v>
      </c>
      <c r="BX962" s="2" t="s">
        <v>5060</v>
      </c>
      <c r="BY962" s="2" t="s">
        <v>274</v>
      </c>
      <c r="BZ962" s="2" t="s">
        <v>240</v>
      </c>
      <c r="CA962" s="2" t="s">
        <v>5061</v>
      </c>
      <c r="CB962" s="2" t="s">
        <v>228</v>
      </c>
      <c r="CC962" s="2" t="s">
        <v>241</v>
      </c>
      <c r="CD962" s="2" t="s">
        <v>228</v>
      </c>
      <c r="CE962" s="4">
        <v>216</v>
      </c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>
        <v>32</v>
      </c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</row>
    <row r="963">
      <c r="A963" s="2" t="s">
        <v>5149</v>
      </c>
      <c r="B963" s="2" t="s">
        <v>970</v>
      </c>
      <c r="C963" s="2" t="s">
        <v>300</v>
      </c>
      <c r="D963" s="2" t="s">
        <v>971</v>
      </c>
      <c r="E963" s="2" t="s">
        <v>972</v>
      </c>
      <c r="F963" s="2" t="s">
        <v>5054</v>
      </c>
      <c r="G963" s="2" t="s">
        <v>5055</v>
      </c>
      <c r="H963" s="2" t="s">
        <v>5056</v>
      </c>
      <c r="I963" s="2" t="s">
        <v>5057</v>
      </c>
      <c r="J963" s="2" t="s">
        <v>1309</v>
      </c>
      <c r="K963" s="2" t="s">
        <v>251</v>
      </c>
      <c r="L963" s="3">
        <v>21</v>
      </c>
      <c r="M963" s="3">
        <v>22.05</v>
      </c>
      <c r="N963" s="3">
        <v>49.99</v>
      </c>
      <c r="O963" s="2" t="s">
        <v>240</v>
      </c>
      <c r="P963" s="2" t="s">
        <v>266</v>
      </c>
      <c r="Q963" s="2" t="s">
        <v>234</v>
      </c>
      <c r="R963" s="2" t="s">
        <v>228</v>
      </c>
      <c r="S963" s="2" t="s">
        <v>5150</v>
      </c>
      <c r="T963" s="2" t="s">
        <v>228</v>
      </c>
      <c r="U963" s="2" t="s">
        <v>416</v>
      </c>
      <c r="V963" s="2" t="s">
        <v>236</v>
      </c>
      <c r="W963" s="2" t="s">
        <v>463</v>
      </c>
      <c r="X963" s="2" t="s">
        <v>3401</v>
      </c>
      <c r="Y963" s="2" t="s">
        <v>5078</v>
      </c>
      <c r="Z963" s="4">
        <v>318</v>
      </c>
      <c r="AA963" s="4">
        <f>=ROUNDDOWN(35.3333333333333,0)</f>
      </c>
      <c r="AB963" s="5">
        <v>9</v>
      </c>
      <c r="AC963" s="2" t="s">
        <v>216</v>
      </c>
      <c r="AD963" s="4">
        <v>40</v>
      </c>
      <c r="AE963" s="4">
        <v>40</v>
      </c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228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228</v>
      </c>
      <c r="AW963" s="8" t="s">
        <v>228</v>
      </c>
      <c r="AX963" s="4" t="s">
        <v>228</v>
      </c>
      <c r="AY963" s="8" t="s">
        <v>228</v>
      </c>
      <c r="AZ963" s="7" t="s">
        <v>228</v>
      </c>
      <c r="BA963" s="7" t="s">
        <v>228</v>
      </c>
      <c r="BB963" s="7"/>
      <c r="BC963" s="4" t="s">
        <v>228</v>
      </c>
      <c r="BD963" s="8" t="s">
        <v>228</v>
      </c>
      <c r="BE963" s="4" t="s">
        <v>228</v>
      </c>
      <c r="BF963" s="8" t="s">
        <v>228</v>
      </c>
      <c r="BG963" s="7" t="s">
        <v>228</v>
      </c>
      <c r="BH963" s="7" t="s">
        <v>228</v>
      </c>
      <c r="BI963" s="7"/>
      <c r="BJ963" s="4">
        <v>23</v>
      </c>
      <c r="BK963" s="8">
        <v>510.59</v>
      </c>
      <c r="BL963" s="2" t="s">
        <v>5151</v>
      </c>
      <c r="BM963" s="7"/>
      <c r="BN963" s="7"/>
      <c r="BO963" s="4"/>
      <c r="BP963" s="8"/>
      <c r="BQ963" s="4"/>
      <c r="BR963" s="8"/>
      <c r="BS963" s="7"/>
      <c r="BT963" s="7"/>
      <c r="BU963" s="2" t="s">
        <v>5152</v>
      </c>
      <c r="BV963" s="2" t="s">
        <v>228</v>
      </c>
      <c r="BW963" s="2" t="s">
        <v>228</v>
      </c>
      <c r="BX963" s="2" t="s">
        <v>5060</v>
      </c>
      <c r="BY963" s="2" t="s">
        <v>274</v>
      </c>
      <c r="BZ963" s="2" t="s">
        <v>240</v>
      </c>
      <c r="CA963" s="2" t="s">
        <v>5153</v>
      </c>
      <c r="CB963" s="2" t="s">
        <v>5154</v>
      </c>
      <c r="CC963" s="2" t="s">
        <v>241</v>
      </c>
      <c r="CD963" s="2" t="s">
        <v>228</v>
      </c>
      <c r="CE963" s="4">
        <v>318</v>
      </c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>
        <v>40</v>
      </c>
      <c r="HA963" s="4"/>
      <c r="HB963" s="4"/>
      <c r="HC963" s="4"/>
      <c r="HD963" s="4"/>
      <c r="HE963" s="4"/>
    </row>
    <row r="964">
      <c r="A964" s="2" t="s">
        <v>5155</v>
      </c>
      <c r="B964" s="2" t="s">
        <v>970</v>
      </c>
      <c r="C964" s="2" t="s">
        <v>300</v>
      </c>
      <c r="D964" s="2" t="s">
        <v>971</v>
      </c>
      <c r="E964" s="2" t="s">
        <v>972</v>
      </c>
      <c r="F964" s="2" t="s">
        <v>5054</v>
      </c>
      <c r="G964" s="2" t="s">
        <v>5055</v>
      </c>
      <c r="H964" s="2" t="s">
        <v>5056</v>
      </c>
      <c r="I964" s="2" t="s">
        <v>5057</v>
      </c>
      <c r="J964" s="2" t="s">
        <v>5065</v>
      </c>
      <c r="K964" s="2" t="s">
        <v>251</v>
      </c>
      <c r="L964" s="3">
        <v>23.1</v>
      </c>
      <c r="M964" s="3">
        <v>24.26</v>
      </c>
      <c r="N964" s="3">
        <v>54.99</v>
      </c>
      <c r="O964" s="2" t="s">
        <v>240</v>
      </c>
      <c r="P964" s="2" t="s">
        <v>266</v>
      </c>
      <c r="Q964" s="2" t="s">
        <v>234</v>
      </c>
      <c r="R964" s="2" t="s">
        <v>228</v>
      </c>
      <c r="S964" s="2" t="s">
        <v>5150</v>
      </c>
      <c r="T964" s="2" t="s">
        <v>228</v>
      </c>
      <c r="U964" s="2" t="s">
        <v>416</v>
      </c>
      <c r="V964" s="2" t="s">
        <v>236</v>
      </c>
      <c r="W964" s="2" t="s">
        <v>463</v>
      </c>
      <c r="X964" s="2" t="s">
        <v>3401</v>
      </c>
      <c r="Y964" s="2" t="s">
        <v>5078</v>
      </c>
      <c r="Z964" s="4">
        <v>147</v>
      </c>
      <c r="AA964" s="4">
        <f>=ROUNDDOWN(36.75,0)</f>
      </c>
      <c r="AB964" s="5">
        <v>4</v>
      </c>
      <c r="AC964" s="2" t="s">
        <v>228</v>
      </c>
      <c r="AD964" s="4"/>
      <c r="AE964" s="4"/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228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228</v>
      </c>
      <c r="AW964" s="8" t="s">
        <v>228</v>
      </c>
      <c r="AX964" s="4" t="s">
        <v>228</v>
      </c>
      <c r="AY964" s="8" t="s">
        <v>228</v>
      </c>
      <c r="AZ964" s="7" t="s">
        <v>228</v>
      </c>
      <c r="BA964" s="7" t="s">
        <v>228</v>
      </c>
      <c r="BB964" s="7"/>
      <c r="BC964" s="4" t="s">
        <v>228</v>
      </c>
      <c r="BD964" s="8" t="s">
        <v>228</v>
      </c>
      <c r="BE964" s="4" t="s">
        <v>228</v>
      </c>
      <c r="BF964" s="8" t="s">
        <v>228</v>
      </c>
      <c r="BG964" s="7" t="s">
        <v>228</v>
      </c>
      <c r="BH964" s="7" t="s">
        <v>228</v>
      </c>
      <c r="BI964" s="7"/>
      <c r="BJ964" s="4">
        <v>6</v>
      </c>
      <c r="BK964" s="8">
        <v>134.62</v>
      </c>
      <c r="BL964" s="2" t="s">
        <v>521</v>
      </c>
      <c r="BM964" s="7"/>
      <c r="BN964" s="7"/>
      <c r="BO964" s="4"/>
      <c r="BP964" s="8"/>
      <c r="BQ964" s="4"/>
      <c r="BR964" s="8"/>
      <c r="BS964" s="7"/>
      <c r="BT964" s="7"/>
      <c r="BU964" s="2" t="s">
        <v>5156</v>
      </c>
      <c r="BV964" s="2" t="s">
        <v>228</v>
      </c>
      <c r="BW964" s="2" t="s">
        <v>228</v>
      </c>
      <c r="BX964" s="2" t="s">
        <v>5060</v>
      </c>
      <c r="BY964" s="2" t="s">
        <v>274</v>
      </c>
      <c r="BZ964" s="2" t="s">
        <v>240</v>
      </c>
      <c r="CA964" s="2" t="s">
        <v>5080</v>
      </c>
      <c r="CB964" s="2" t="s">
        <v>5157</v>
      </c>
      <c r="CC964" s="2" t="s">
        <v>241</v>
      </c>
      <c r="CD964" s="2" t="s">
        <v>228</v>
      </c>
      <c r="CE964" s="4">
        <v>147</v>
      </c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</row>
    <row r="965">
      <c r="A965" s="2" t="s">
        <v>5158</v>
      </c>
      <c r="B965" s="2" t="s">
        <v>970</v>
      </c>
      <c r="C965" s="2" t="s">
        <v>300</v>
      </c>
      <c r="D965" s="2" t="s">
        <v>1497</v>
      </c>
      <c r="E965" s="2" t="s">
        <v>1498</v>
      </c>
      <c r="F965" s="2" t="s">
        <v>5054</v>
      </c>
      <c r="G965" s="2" t="s">
        <v>5055</v>
      </c>
      <c r="H965" s="2" t="s">
        <v>5056</v>
      </c>
      <c r="I965" s="2" t="s">
        <v>5086</v>
      </c>
      <c r="J965" s="2" t="s">
        <v>5087</v>
      </c>
      <c r="K965" s="2" t="s">
        <v>251</v>
      </c>
      <c r="L965" s="3">
        <v>12.6</v>
      </c>
      <c r="M965" s="3">
        <v>13.23</v>
      </c>
      <c r="N965" s="3">
        <v>29.99</v>
      </c>
      <c r="O965" s="2" t="s">
        <v>240</v>
      </c>
      <c r="P965" s="2" t="s">
        <v>266</v>
      </c>
      <c r="Q965" s="2" t="s">
        <v>234</v>
      </c>
      <c r="R965" s="2" t="s">
        <v>228</v>
      </c>
      <c r="S965" s="2" t="s">
        <v>5150</v>
      </c>
      <c r="T965" s="2" t="s">
        <v>228</v>
      </c>
      <c r="U965" s="2" t="s">
        <v>416</v>
      </c>
      <c r="V965" s="2" t="s">
        <v>236</v>
      </c>
      <c r="W965" s="2" t="s">
        <v>463</v>
      </c>
      <c r="X965" s="2" t="s">
        <v>228</v>
      </c>
      <c r="Y965" s="2" t="s">
        <v>5078</v>
      </c>
      <c r="Z965" s="4">
        <v>279</v>
      </c>
      <c r="AA965" s="4">
        <f>=ROUNDDOWN(27.9,0)</f>
      </c>
      <c r="AB965" s="5">
        <v>10</v>
      </c>
      <c r="AC965" s="2" t="s">
        <v>216</v>
      </c>
      <c r="AD965" s="4">
        <v>104</v>
      </c>
      <c r="AE965" s="4">
        <v>104</v>
      </c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228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228</v>
      </c>
      <c r="AW965" s="8" t="s">
        <v>228</v>
      </c>
      <c r="AX965" s="4" t="s">
        <v>228</v>
      </c>
      <c r="AY965" s="8" t="s">
        <v>228</v>
      </c>
      <c r="AZ965" s="7" t="s">
        <v>228</v>
      </c>
      <c r="BA965" s="7" t="s">
        <v>228</v>
      </c>
      <c r="BB965" s="7"/>
      <c r="BC965" s="4" t="s">
        <v>228</v>
      </c>
      <c r="BD965" s="8" t="s">
        <v>228</v>
      </c>
      <c r="BE965" s="4" t="s">
        <v>228</v>
      </c>
      <c r="BF965" s="8" t="s">
        <v>228</v>
      </c>
      <c r="BG965" s="7" t="s">
        <v>228</v>
      </c>
      <c r="BH965" s="7" t="s">
        <v>228</v>
      </c>
      <c r="BI965" s="7"/>
      <c r="BJ965" s="4">
        <v>19</v>
      </c>
      <c r="BK965" s="8">
        <v>268.17</v>
      </c>
      <c r="BL965" s="2" t="s">
        <v>5159</v>
      </c>
      <c r="BM965" s="7"/>
      <c r="BN965" s="7"/>
      <c r="BO965" s="4"/>
      <c r="BP965" s="8"/>
      <c r="BQ965" s="4"/>
      <c r="BR965" s="8"/>
      <c r="BS965" s="7"/>
      <c r="BT965" s="7"/>
      <c r="BU965" s="2" t="s">
        <v>5160</v>
      </c>
      <c r="BV965" s="2" t="s">
        <v>228</v>
      </c>
      <c r="BW965" s="2" t="s">
        <v>228</v>
      </c>
      <c r="BX965" s="2" t="s">
        <v>273</v>
      </c>
      <c r="BY965" s="2" t="s">
        <v>274</v>
      </c>
      <c r="BZ965" s="2" t="s">
        <v>240</v>
      </c>
      <c r="CA965" s="2" t="s">
        <v>2209</v>
      </c>
      <c r="CB965" s="2" t="s">
        <v>2313</v>
      </c>
      <c r="CC965" s="2" t="s">
        <v>241</v>
      </c>
      <c r="CD965" s="2" t="s">
        <v>228</v>
      </c>
      <c r="CE965" s="4">
        <v>279</v>
      </c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>
        <v>104</v>
      </c>
      <c r="HA965" s="4"/>
      <c r="HB965" s="4"/>
      <c r="HC965" s="4"/>
      <c r="HD965" s="4"/>
      <c r="HE965" s="4"/>
    </row>
    <row r="966">
      <c r="A966" s="2" t="s">
        <v>5161</v>
      </c>
      <c r="B966" s="2" t="s">
        <v>970</v>
      </c>
      <c r="C966" s="2" t="s">
        <v>300</v>
      </c>
      <c r="D966" s="2" t="s">
        <v>971</v>
      </c>
      <c r="E966" s="2" t="s">
        <v>972</v>
      </c>
      <c r="F966" s="2" t="s">
        <v>5054</v>
      </c>
      <c r="G966" s="2" t="s">
        <v>5055</v>
      </c>
      <c r="H966" s="2" t="s">
        <v>5056</v>
      </c>
      <c r="I966" s="2" t="s">
        <v>5057</v>
      </c>
      <c r="J966" s="2" t="s">
        <v>1300</v>
      </c>
      <c r="K966" s="2" t="s">
        <v>5162</v>
      </c>
      <c r="L966" s="3">
        <v>17.1</v>
      </c>
      <c r="M966" s="3">
        <v>17.96</v>
      </c>
      <c r="N966" s="3">
        <v>44.99</v>
      </c>
      <c r="O966" s="2" t="s">
        <v>240</v>
      </c>
      <c r="P966" s="2" t="s">
        <v>266</v>
      </c>
      <c r="Q966" s="2" t="s">
        <v>234</v>
      </c>
      <c r="R966" s="2" t="s">
        <v>228</v>
      </c>
      <c r="S966" s="2" t="s">
        <v>5163</v>
      </c>
      <c r="T966" s="2" t="s">
        <v>228</v>
      </c>
      <c r="U966" s="2" t="s">
        <v>416</v>
      </c>
      <c r="V966" s="2" t="s">
        <v>236</v>
      </c>
      <c r="W966" s="2" t="s">
        <v>463</v>
      </c>
      <c r="X966" s="2" t="s">
        <v>3401</v>
      </c>
      <c r="Y966" s="2" t="s">
        <v>270</v>
      </c>
      <c r="Z966" s="4">
        <v>467</v>
      </c>
      <c r="AA966" s="4">
        <f>=ROUNDDOWN(24.5789473684211,0)</f>
      </c>
      <c r="AB966" s="5">
        <v>19</v>
      </c>
      <c r="AC966" s="2" t="s">
        <v>1014</v>
      </c>
      <c r="AD966" s="4">
        <v>52</v>
      </c>
      <c r="AE966" s="4">
        <v>252</v>
      </c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228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228</v>
      </c>
      <c r="AW966" s="8" t="s">
        <v>228</v>
      </c>
      <c r="AX966" s="4" t="s">
        <v>228</v>
      </c>
      <c r="AY966" s="8" t="s">
        <v>228</v>
      </c>
      <c r="AZ966" s="7" t="s">
        <v>228</v>
      </c>
      <c r="BA966" s="7" t="s">
        <v>228</v>
      </c>
      <c r="BB966" s="7"/>
      <c r="BC966" s="4" t="s">
        <v>228</v>
      </c>
      <c r="BD966" s="8" t="s">
        <v>228</v>
      </c>
      <c r="BE966" s="4" t="s">
        <v>228</v>
      </c>
      <c r="BF966" s="8" t="s">
        <v>228</v>
      </c>
      <c r="BG966" s="7" t="s">
        <v>228</v>
      </c>
      <c r="BH966" s="7" t="s">
        <v>228</v>
      </c>
      <c r="BI966" s="7"/>
      <c r="BJ966" s="4">
        <v>68</v>
      </c>
      <c r="BK966" s="8">
        <v>1039.87</v>
      </c>
      <c r="BL966" s="2" t="s">
        <v>1867</v>
      </c>
      <c r="BM966" s="7"/>
      <c r="BN966" s="7"/>
      <c r="BO966" s="4"/>
      <c r="BP966" s="8"/>
      <c r="BQ966" s="4"/>
      <c r="BR966" s="8"/>
      <c r="BS966" s="7"/>
      <c r="BT966" s="7"/>
      <c r="BU966" s="2" t="s">
        <v>5164</v>
      </c>
      <c r="BV966" s="2" t="s">
        <v>228</v>
      </c>
      <c r="BW966" s="2" t="s">
        <v>228</v>
      </c>
      <c r="BX966" s="2" t="s">
        <v>5060</v>
      </c>
      <c r="BY966" s="2" t="s">
        <v>274</v>
      </c>
      <c r="BZ966" s="2" t="s">
        <v>240</v>
      </c>
      <c r="CA966" s="2" t="s">
        <v>275</v>
      </c>
      <c r="CB966" s="2" t="s">
        <v>5137</v>
      </c>
      <c r="CC966" s="2" t="s">
        <v>241</v>
      </c>
      <c r="CD966" s="2" t="s">
        <v>228</v>
      </c>
      <c r="CE966" s="4">
        <v>467</v>
      </c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>
        <v>52</v>
      </c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>
        <v>200</v>
      </c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</row>
    <row r="967">
      <c r="A967" s="2" t="s">
        <v>5165</v>
      </c>
      <c r="B967" s="2" t="s">
        <v>970</v>
      </c>
      <c r="C967" s="2" t="s">
        <v>300</v>
      </c>
      <c r="D967" s="2" t="s">
        <v>971</v>
      </c>
      <c r="E967" s="2" t="s">
        <v>972</v>
      </c>
      <c r="F967" s="2" t="s">
        <v>5054</v>
      </c>
      <c r="G967" s="2" t="s">
        <v>5055</v>
      </c>
      <c r="H967" s="2" t="s">
        <v>5056</v>
      </c>
      <c r="I967" s="2" t="s">
        <v>5057</v>
      </c>
      <c r="J967" s="2" t="s">
        <v>1309</v>
      </c>
      <c r="K967" s="2" t="s">
        <v>5162</v>
      </c>
      <c r="L967" s="3">
        <v>21</v>
      </c>
      <c r="M967" s="3">
        <v>22.05</v>
      </c>
      <c r="N967" s="3">
        <v>49.99</v>
      </c>
      <c r="O967" s="2" t="s">
        <v>240</v>
      </c>
      <c r="P967" s="2" t="s">
        <v>266</v>
      </c>
      <c r="Q967" s="2" t="s">
        <v>234</v>
      </c>
      <c r="R967" s="2" t="s">
        <v>228</v>
      </c>
      <c r="S967" s="2" t="s">
        <v>5163</v>
      </c>
      <c r="T967" s="2" t="s">
        <v>228</v>
      </c>
      <c r="U967" s="2" t="s">
        <v>416</v>
      </c>
      <c r="V967" s="2" t="s">
        <v>236</v>
      </c>
      <c r="W967" s="2" t="s">
        <v>463</v>
      </c>
      <c r="X967" s="2" t="s">
        <v>3401</v>
      </c>
      <c r="Y967" s="2" t="s">
        <v>270</v>
      </c>
      <c r="Z967" s="4">
        <v>309</v>
      </c>
      <c r="AA967" s="4">
        <f>=ROUNDDOWN(30.9,0)</f>
      </c>
      <c r="AB967" s="5">
        <v>10</v>
      </c>
      <c r="AC967" s="2" t="s">
        <v>1014</v>
      </c>
      <c r="AD967" s="4">
        <v>100</v>
      </c>
      <c r="AE967" s="4">
        <v>196</v>
      </c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228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228</v>
      </c>
      <c r="AW967" s="8" t="s">
        <v>228</v>
      </c>
      <c r="AX967" s="4" t="s">
        <v>228</v>
      </c>
      <c r="AY967" s="8" t="s">
        <v>228</v>
      </c>
      <c r="AZ967" s="7" t="s">
        <v>228</v>
      </c>
      <c r="BA967" s="7" t="s">
        <v>228</v>
      </c>
      <c r="BB967" s="7"/>
      <c r="BC967" s="4" t="s">
        <v>228</v>
      </c>
      <c r="BD967" s="8" t="s">
        <v>228</v>
      </c>
      <c r="BE967" s="4" t="s">
        <v>228</v>
      </c>
      <c r="BF967" s="8" t="s">
        <v>228</v>
      </c>
      <c r="BG967" s="7" t="s">
        <v>228</v>
      </c>
      <c r="BH967" s="7" t="s">
        <v>228</v>
      </c>
      <c r="BI967" s="7"/>
      <c r="BJ967" s="4">
        <v>35</v>
      </c>
      <c r="BK967" s="8">
        <v>669.89</v>
      </c>
      <c r="BL967" s="2" t="s">
        <v>5166</v>
      </c>
      <c r="BM967" s="7"/>
      <c r="BN967" s="7"/>
      <c r="BO967" s="4"/>
      <c r="BP967" s="8"/>
      <c r="BQ967" s="4"/>
      <c r="BR967" s="8"/>
      <c r="BS967" s="7"/>
      <c r="BT967" s="7"/>
      <c r="BU967" s="2" t="s">
        <v>5167</v>
      </c>
      <c r="BV967" s="2" t="s">
        <v>228</v>
      </c>
      <c r="BW967" s="2" t="s">
        <v>228</v>
      </c>
      <c r="BX967" s="2" t="s">
        <v>5060</v>
      </c>
      <c r="BY967" s="2" t="s">
        <v>274</v>
      </c>
      <c r="BZ967" s="2" t="s">
        <v>240</v>
      </c>
      <c r="CA967" s="2" t="s">
        <v>275</v>
      </c>
      <c r="CB967" s="2" t="s">
        <v>1619</v>
      </c>
      <c r="CC967" s="2" t="s">
        <v>241</v>
      </c>
      <c r="CD967" s="2" t="s">
        <v>228</v>
      </c>
      <c r="CE967" s="4">
        <v>309</v>
      </c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>
        <v>100</v>
      </c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>
        <v>96</v>
      </c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</row>
    <row r="968">
      <c r="A968" s="2" t="s">
        <v>5168</v>
      </c>
      <c r="B968" s="2" t="s">
        <v>970</v>
      </c>
      <c r="C968" s="2" t="s">
        <v>300</v>
      </c>
      <c r="D968" s="2" t="s">
        <v>971</v>
      </c>
      <c r="E968" s="2" t="s">
        <v>972</v>
      </c>
      <c r="F968" s="2" t="s">
        <v>5054</v>
      </c>
      <c r="G968" s="2" t="s">
        <v>5055</v>
      </c>
      <c r="H968" s="2" t="s">
        <v>5056</v>
      </c>
      <c r="I968" s="2" t="s">
        <v>5068</v>
      </c>
      <c r="J968" s="2" t="s">
        <v>5074</v>
      </c>
      <c r="K968" s="2" t="s">
        <v>5162</v>
      </c>
      <c r="L968" s="3">
        <v>20.25</v>
      </c>
      <c r="M968" s="3">
        <v>21.26</v>
      </c>
      <c r="N968" s="3">
        <v>44.99</v>
      </c>
      <c r="O968" s="2" t="s">
        <v>240</v>
      </c>
      <c r="P968" s="2" t="s">
        <v>266</v>
      </c>
      <c r="Q968" s="2" t="s">
        <v>234</v>
      </c>
      <c r="R968" s="2" t="s">
        <v>228</v>
      </c>
      <c r="S968" s="2" t="s">
        <v>5169</v>
      </c>
      <c r="T968" s="2" t="s">
        <v>228</v>
      </c>
      <c r="U968" s="2" t="s">
        <v>416</v>
      </c>
      <c r="V968" s="2" t="s">
        <v>236</v>
      </c>
      <c r="W968" s="2" t="s">
        <v>463</v>
      </c>
      <c r="X968" s="2" t="s">
        <v>981</v>
      </c>
      <c r="Y968" s="2" t="s">
        <v>5170</v>
      </c>
      <c r="Z968" s="4">
        <v>187</v>
      </c>
      <c r="AA968" s="4">
        <f>=ROUNDDOWN(31.1666666666667,0)</f>
      </c>
      <c r="AB968" s="5">
        <v>6</v>
      </c>
      <c r="AC968" s="2" t="s">
        <v>1014</v>
      </c>
      <c r="AD968" s="4">
        <v>172</v>
      </c>
      <c r="AE968" s="4">
        <v>232</v>
      </c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228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228</v>
      </c>
      <c r="AW968" s="8" t="s">
        <v>228</v>
      </c>
      <c r="AX968" s="4" t="s">
        <v>228</v>
      </c>
      <c r="AY968" s="8" t="s">
        <v>228</v>
      </c>
      <c r="AZ968" s="7" t="s">
        <v>228</v>
      </c>
      <c r="BA968" s="7" t="s">
        <v>228</v>
      </c>
      <c r="BB968" s="7"/>
      <c r="BC968" s="4" t="s">
        <v>228</v>
      </c>
      <c r="BD968" s="8" t="s">
        <v>228</v>
      </c>
      <c r="BE968" s="4" t="s">
        <v>228</v>
      </c>
      <c r="BF968" s="8" t="s">
        <v>228</v>
      </c>
      <c r="BG968" s="7" t="s">
        <v>228</v>
      </c>
      <c r="BH968" s="7" t="s">
        <v>228</v>
      </c>
      <c r="BI968" s="7"/>
      <c r="BJ968" s="4">
        <v>5</v>
      </c>
      <c r="BK968" s="8">
        <v>110.01</v>
      </c>
      <c r="BL968" s="2" t="s">
        <v>5171</v>
      </c>
      <c r="BM968" s="7"/>
      <c r="BN968" s="7"/>
      <c r="BO968" s="4"/>
      <c r="BP968" s="8"/>
      <c r="BQ968" s="4"/>
      <c r="BR968" s="8"/>
      <c r="BS968" s="7"/>
      <c r="BT968" s="7"/>
      <c r="BU968" s="2" t="s">
        <v>5172</v>
      </c>
      <c r="BV968" s="2" t="s">
        <v>228</v>
      </c>
      <c r="BW968" s="2" t="s">
        <v>228</v>
      </c>
      <c r="BX968" s="2" t="s">
        <v>735</v>
      </c>
      <c r="BY968" s="2" t="s">
        <v>274</v>
      </c>
      <c r="BZ968" s="2" t="s">
        <v>240</v>
      </c>
      <c r="CA968" s="2" t="s">
        <v>4623</v>
      </c>
      <c r="CB968" s="2" t="s">
        <v>5173</v>
      </c>
      <c r="CC968" s="2" t="s">
        <v>241</v>
      </c>
      <c r="CD968" s="2" t="s">
        <v>228</v>
      </c>
      <c r="CE968" s="4">
        <v>187</v>
      </c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>
        <v>172</v>
      </c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>
        <v>60</v>
      </c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</row>
    <row r="969">
      <c r="A969" s="2" t="s">
        <v>5174</v>
      </c>
      <c r="B969" s="2" t="s">
        <v>970</v>
      </c>
      <c r="C969" s="2" t="s">
        <v>300</v>
      </c>
      <c r="D969" s="2" t="s">
        <v>971</v>
      </c>
      <c r="E969" s="2" t="s">
        <v>972</v>
      </c>
      <c r="F969" s="2" t="s">
        <v>5054</v>
      </c>
      <c r="G969" s="2" t="s">
        <v>5055</v>
      </c>
      <c r="H969" s="2" t="s">
        <v>5056</v>
      </c>
      <c r="I969" s="2" t="s">
        <v>5057</v>
      </c>
      <c r="J969" s="2" t="s">
        <v>1309</v>
      </c>
      <c r="K969" s="2" t="s">
        <v>614</v>
      </c>
      <c r="L969" s="3">
        <v>21</v>
      </c>
      <c r="M969" s="3">
        <v>22.05</v>
      </c>
      <c r="N969" s="3">
        <v>49.99</v>
      </c>
      <c r="O969" s="2" t="s">
        <v>461</v>
      </c>
      <c r="P969" s="2" t="s">
        <v>333</v>
      </c>
      <c r="Q969" s="2" t="s">
        <v>234</v>
      </c>
      <c r="R969" s="2" t="s">
        <v>228</v>
      </c>
      <c r="S969" s="2" t="s">
        <v>5175</v>
      </c>
      <c r="T969" s="2" t="s">
        <v>228</v>
      </c>
      <c r="U969" s="2" t="s">
        <v>416</v>
      </c>
      <c r="V969" s="2" t="s">
        <v>236</v>
      </c>
      <c r="W969" s="2" t="s">
        <v>463</v>
      </c>
      <c r="X969" s="2" t="s">
        <v>3401</v>
      </c>
      <c r="Y969" s="2" t="s">
        <v>270</v>
      </c>
      <c r="Z969" s="4">
        <v>137</v>
      </c>
      <c r="AA969" s="4">
        <f>=ROUNDDOWN(23.6206896551724,0)</f>
      </c>
      <c r="AB969" s="5">
        <v>5.8</v>
      </c>
      <c r="AC969" s="2" t="s">
        <v>228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228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228</v>
      </c>
      <c r="AW969" s="8" t="s">
        <v>228</v>
      </c>
      <c r="AX969" s="4" t="s">
        <v>228</v>
      </c>
      <c r="AY969" s="8" t="s">
        <v>228</v>
      </c>
      <c r="AZ969" s="7" t="s">
        <v>228</v>
      </c>
      <c r="BA969" s="7" t="s">
        <v>228</v>
      </c>
      <c r="BB969" s="7"/>
      <c r="BC969" s="4" t="s">
        <v>228</v>
      </c>
      <c r="BD969" s="8" t="s">
        <v>228</v>
      </c>
      <c r="BE969" s="4" t="s">
        <v>228</v>
      </c>
      <c r="BF969" s="8" t="s">
        <v>228</v>
      </c>
      <c r="BG969" s="7" t="s">
        <v>228</v>
      </c>
      <c r="BH969" s="7" t="s">
        <v>228</v>
      </c>
      <c r="BI969" s="7"/>
      <c r="BJ969" s="4">
        <v>26</v>
      </c>
      <c r="BK969" s="8">
        <v>288.89</v>
      </c>
      <c r="BL969" s="2" t="s">
        <v>5176</v>
      </c>
      <c r="BM969" s="7"/>
      <c r="BN969" s="7"/>
      <c r="BO969" s="4"/>
      <c r="BP969" s="8"/>
      <c r="BQ969" s="4"/>
      <c r="BR969" s="8"/>
      <c r="BS969" s="7"/>
      <c r="BT969" s="7"/>
      <c r="BU969" s="2" t="s">
        <v>5177</v>
      </c>
      <c r="BV969" s="2" t="s">
        <v>228</v>
      </c>
      <c r="BW969" s="2" t="s">
        <v>228</v>
      </c>
      <c r="BX969" s="2" t="s">
        <v>337</v>
      </c>
      <c r="BY969" s="2" t="s">
        <v>274</v>
      </c>
      <c r="BZ969" s="2" t="s">
        <v>240</v>
      </c>
      <c r="CA969" s="2" t="s">
        <v>1950</v>
      </c>
      <c r="CB969" s="2" t="s">
        <v>3888</v>
      </c>
      <c r="CC969" s="2" t="s">
        <v>241</v>
      </c>
      <c r="CD969" s="2" t="s">
        <v>228</v>
      </c>
      <c r="CE969" s="4">
        <v>137</v>
      </c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</row>
    <row r="970">
      <c r="A970" s="2" t="s">
        <v>5178</v>
      </c>
      <c r="B970" s="2" t="s">
        <v>970</v>
      </c>
      <c r="C970" s="2" t="s">
        <v>300</v>
      </c>
      <c r="D970" s="2" t="s">
        <v>971</v>
      </c>
      <c r="E970" s="2" t="s">
        <v>972</v>
      </c>
      <c r="F970" s="2" t="s">
        <v>5054</v>
      </c>
      <c r="G970" s="2" t="s">
        <v>5055</v>
      </c>
      <c r="H970" s="2" t="s">
        <v>5056</v>
      </c>
      <c r="I970" s="2" t="s">
        <v>5057</v>
      </c>
      <c r="J970" s="2" t="s">
        <v>5065</v>
      </c>
      <c r="K970" s="2" t="s">
        <v>614</v>
      </c>
      <c r="L970" s="3">
        <v>23.1</v>
      </c>
      <c r="M970" s="3">
        <v>24.26</v>
      </c>
      <c r="N970" s="3">
        <v>54.99</v>
      </c>
      <c r="O970" s="2" t="s">
        <v>491</v>
      </c>
      <c r="P970" s="2" t="s">
        <v>333</v>
      </c>
      <c r="Q970" s="2" t="s">
        <v>234</v>
      </c>
      <c r="R970" s="2" t="s">
        <v>228</v>
      </c>
      <c r="S970" s="2" t="s">
        <v>5175</v>
      </c>
      <c r="T970" s="2" t="s">
        <v>228</v>
      </c>
      <c r="U970" s="2" t="s">
        <v>416</v>
      </c>
      <c r="V970" s="2" t="s">
        <v>236</v>
      </c>
      <c r="W970" s="2" t="s">
        <v>463</v>
      </c>
      <c r="X970" s="2" t="s">
        <v>3401</v>
      </c>
      <c r="Y970" s="2" t="s">
        <v>270</v>
      </c>
      <c r="Z970" s="4">
        <v>45</v>
      </c>
      <c r="AA970" s="4">
        <f>=ROUNDDOWN(30,0)</f>
      </c>
      <c r="AB970" s="5">
        <v>1.5</v>
      </c>
      <c r="AC970" s="2" t="s">
        <v>228</v>
      </c>
      <c r="AD970" s="4"/>
      <c r="AE970" s="4"/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228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228</v>
      </c>
      <c r="AW970" s="8" t="s">
        <v>228</v>
      </c>
      <c r="AX970" s="4" t="s">
        <v>228</v>
      </c>
      <c r="AY970" s="8" t="s">
        <v>228</v>
      </c>
      <c r="AZ970" s="7" t="s">
        <v>228</v>
      </c>
      <c r="BA970" s="7" t="s">
        <v>228</v>
      </c>
      <c r="BB970" s="7"/>
      <c r="BC970" s="4" t="s">
        <v>228</v>
      </c>
      <c r="BD970" s="8" t="s">
        <v>228</v>
      </c>
      <c r="BE970" s="4" t="s">
        <v>228</v>
      </c>
      <c r="BF970" s="8" t="s">
        <v>228</v>
      </c>
      <c r="BG970" s="7" t="s">
        <v>228</v>
      </c>
      <c r="BH970" s="7" t="s">
        <v>228</v>
      </c>
      <c r="BI970" s="7"/>
      <c r="BJ970" s="4">
        <v>16</v>
      </c>
      <c r="BK970" s="8">
        <v>176.2</v>
      </c>
      <c r="BL970" s="2" t="s">
        <v>5179</v>
      </c>
      <c r="BM970" s="7"/>
      <c r="BN970" s="7"/>
      <c r="BO970" s="4"/>
      <c r="BP970" s="8"/>
      <c r="BQ970" s="4"/>
      <c r="BR970" s="8"/>
      <c r="BS970" s="7"/>
      <c r="BT970" s="7"/>
      <c r="BU970" s="2" t="s">
        <v>5180</v>
      </c>
      <c r="BV970" s="2" t="s">
        <v>228</v>
      </c>
      <c r="BW970" s="2" t="s">
        <v>228</v>
      </c>
      <c r="BX970" s="2" t="s">
        <v>337</v>
      </c>
      <c r="BY970" s="2" t="s">
        <v>274</v>
      </c>
      <c r="BZ970" s="2" t="s">
        <v>240</v>
      </c>
      <c r="CA970" s="2" t="s">
        <v>1950</v>
      </c>
      <c r="CB970" s="2" t="s">
        <v>5181</v>
      </c>
      <c r="CC970" s="2" t="s">
        <v>241</v>
      </c>
      <c r="CD970" s="2" t="s">
        <v>228</v>
      </c>
      <c r="CE970" s="4">
        <v>45</v>
      </c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</row>
    <row r="971">
      <c r="A971" s="2" t="s">
        <v>5182</v>
      </c>
      <c r="B971" s="2" t="s">
        <v>970</v>
      </c>
      <c r="C971" s="2" t="s">
        <v>300</v>
      </c>
      <c r="D971" s="2" t="s">
        <v>971</v>
      </c>
      <c r="E971" s="2" t="s">
        <v>972</v>
      </c>
      <c r="F971" s="2" t="s">
        <v>5054</v>
      </c>
      <c r="G971" s="2" t="s">
        <v>5055</v>
      </c>
      <c r="H971" s="2" t="s">
        <v>5056</v>
      </c>
      <c r="I971" s="2" t="s">
        <v>5057</v>
      </c>
      <c r="J971" s="2" t="s">
        <v>1300</v>
      </c>
      <c r="K971" s="2" t="s">
        <v>823</v>
      </c>
      <c r="L971" s="3">
        <v>17.1</v>
      </c>
      <c r="M971" s="3">
        <v>17.96</v>
      </c>
      <c r="N971" s="3">
        <v>44.99</v>
      </c>
      <c r="O971" s="2" t="s">
        <v>240</v>
      </c>
      <c r="P971" s="2" t="s">
        <v>266</v>
      </c>
      <c r="Q971" s="2" t="s">
        <v>234</v>
      </c>
      <c r="R971" s="2" t="s">
        <v>228</v>
      </c>
      <c r="S971" s="2" t="s">
        <v>5183</v>
      </c>
      <c r="T971" s="2" t="s">
        <v>228</v>
      </c>
      <c r="U971" s="2" t="s">
        <v>416</v>
      </c>
      <c r="V971" s="2" t="s">
        <v>236</v>
      </c>
      <c r="W971" s="2" t="s">
        <v>463</v>
      </c>
      <c r="X971" s="2" t="s">
        <v>3401</v>
      </c>
      <c r="Y971" s="2" t="s">
        <v>5078</v>
      </c>
      <c r="Z971" s="4">
        <v>541</v>
      </c>
      <c r="AA971" s="4">
        <f>=ROUNDDOWN(45.0833333333333,0)</f>
      </c>
      <c r="AB971" s="5">
        <v>12</v>
      </c>
      <c r="AC971" s="2" t="s">
        <v>1352</v>
      </c>
      <c r="AD971" s="4">
        <v>200</v>
      </c>
      <c r="AE971" s="4">
        <v>400</v>
      </c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228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228</v>
      </c>
      <c r="AW971" s="8" t="s">
        <v>228</v>
      </c>
      <c r="AX971" s="4" t="s">
        <v>228</v>
      </c>
      <c r="AY971" s="8" t="s">
        <v>228</v>
      </c>
      <c r="AZ971" s="7" t="s">
        <v>228</v>
      </c>
      <c r="BA971" s="7" t="s">
        <v>228</v>
      </c>
      <c r="BB971" s="7"/>
      <c r="BC971" s="4" t="s">
        <v>228</v>
      </c>
      <c r="BD971" s="8" t="s">
        <v>228</v>
      </c>
      <c r="BE971" s="4" t="s">
        <v>228</v>
      </c>
      <c r="BF971" s="8" t="s">
        <v>228</v>
      </c>
      <c r="BG971" s="7" t="s">
        <v>228</v>
      </c>
      <c r="BH971" s="7" t="s">
        <v>228</v>
      </c>
      <c r="BI971" s="7"/>
      <c r="BJ971" s="4">
        <v>18</v>
      </c>
      <c r="BK971" s="8">
        <v>293.62</v>
      </c>
      <c r="BL971" s="2" t="s">
        <v>5184</v>
      </c>
      <c r="BM971" s="7"/>
      <c r="BN971" s="7"/>
      <c r="BO971" s="4"/>
      <c r="BP971" s="8"/>
      <c r="BQ971" s="4"/>
      <c r="BR971" s="8"/>
      <c r="BS971" s="7"/>
      <c r="BT971" s="7"/>
      <c r="BU971" s="2" t="s">
        <v>5185</v>
      </c>
      <c r="BV971" s="2" t="s">
        <v>228</v>
      </c>
      <c r="BW971" s="2" t="s">
        <v>228</v>
      </c>
      <c r="BX971" s="2" t="s">
        <v>5060</v>
      </c>
      <c r="BY971" s="2" t="s">
        <v>274</v>
      </c>
      <c r="BZ971" s="2" t="s">
        <v>240</v>
      </c>
      <c r="CA971" s="2" t="s">
        <v>5080</v>
      </c>
      <c r="CB971" s="2" t="s">
        <v>2765</v>
      </c>
      <c r="CC971" s="2" t="s">
        <v>241</v>
      </c>
      <c r="CD971" s="2" t="s">
        <v>228</v>
      </c>
      <c r="CE971" s="4">
        <v>541</v>
      </c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>
        <v>200</v>
      </c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>
        <v>200</v>
      </c>
    </row>
    <row r="972">
      <c r="A972" s="2" t="s">
        <v>5186</v>
      </c>
      <c r="B972" s="2" t="s">
        <v>970</v>
      </c>
      <c r="C972" s="2" t="s">
        <v>300</v>
      </c>
      <c r="D972" s="2" t="s">
        <v>971</v>
      </c>
      <c r="E972" s="2" t="s">
        <v>972</v>
      </c>
      <c r="F972" s="2" t="s">
        <v>5054</v>
      </c>
      <c r="G972" s="2" t="s">
        <v>5055</v>
      </c>
      <c r="H972" s="2" t="s">
        <v>5056</v>
      </c>
      <c r="I972" s="2" t="s">
        <v>5057</v>
      </c>
      <c r="J972" s="2" t="s">
        <v>5065</v>
      </c>
      <c r="K972" s="2" t="s">
        <v>823</v>
      </c>
      <c r="L972" s="3">
        <v>23.1</v>
      </c>
      <c r="M972" s="3">
        <v>24.26</v>
      </c>
      <c r="N972" s="3">
        <v>54.99</v>
      </c>
      <c r="O972" s="2" t="s">
        <v>240</v>
      </c>
      <c r="P972" s="2" t="s">
        <v>266</v>
      </c>
      <c r="Q972" s="2" t="s">
        <v>234</v>
      </c>
      <c r="R972" s="2" t="s">
        <v>228</v>
      </c>
      <c r="S972" s="2" t="s">
        <v>5183</v>
      </c>
      <c r="T972" s="2" t="s">
        <v>228</v>
      </c>
      <c r="U972" s="2" t="s">
        <v>416</v>
      </c>
      <c r="V972" s="2" t="s">
        <v>236</v>
      </c>
      <c r="W972" s="2" t="s">
        <v>463</v>
      </c>
      <c r="X972" s="2" t="s">
        <v>3401</v>
      </c>
      <c r="Y972" s="2" t="s">
        <v>5078</v>
      </c>
      <c r="Z972" s="4">
        <v>190</v>
      </c>
      <c r="AA972" s="4">
        <f>=ROUNDDOWN(47.5,0)</f>
      </c>
      <c r="AB972" s="5">
        <v>4</v>
      </c>
      <c r="AC972" s="2" t="s">
        <v>228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228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228</v>
      </c>
      <c r="AW972" s="8" t="s">
        <v>228</v>
      </c>
      <c r="AX972" s="4" t="s">
        <v>228</v>
      </c>
      <c r="AY972" s="8" t="s">
        <v>228</v>
      </c>
      <c r="AZ972" s="7" t="s">
        <v>228</v>
      </c>
      <c r="BA972" s="7" t="s">
        <v>228</v>
      </c>
      <c r="BB972" s="7"/>
      <c r="BC972" s="4" t="s">
        <v>228</v>
      </c>
      <c r="BD972" s="8" t="s">
        <v>228</v>
      </c>
      <c r="BE972" s="4" t="s">
        <v>228</v>
      </c>
      <c r="BF972" s="8" t="s">
        <v>228</v>
      </c>
      <c r="BG972" s="7" t="s">
        <v>228</v>
      </c>
      <c r="BH972" s="7" t="s">
        <v>228</v>
      </c>
      <c r="BI972" s="7"/>
      <c r="BJ972" s="4">
        <v>8</v>
      </c>
      <c r="BK972" s="8">
        <v>200.16</v>
      </c>
      <c r="BL972" s="2" t="s">
        <v>4134</v>
      </c>
      <c r="BM972" s="7"/>
      <c r="BN972" s="7"/>
      <c r="BO972" s="4"/>
      <c r="BP972" s="8"/>
      <c r="BQ972" s="4"/>
      <c r="BR972" s="8"/>
      <c r="BS972" s="7"/>
      <c r="BT972" s="7"/>
      <c r="BU972" s="2" t="s">
        <v>5187</v>
      </c>
      <c r="BV972" s="2" t="s">
        <v>228</v>
      </c>
      <c r="BW972" s="2" t="s">
        <v>228</v>
      </c>
      <c r="BX972" s="2" t="s">
        <v>5060</v>
      </c>
      <c r="BY972" s="2" t="s">
        <v>274</v>
      </c>
      <c r="BZ972" s="2" t="s">
        <v>240</v>
      </c>
      <c r="CA972" s="2" t="s">
        <v>5153</v>
      </c>
      <c r="CB972" s="2" t="s">
        <v>4099</v>
      </c>
      <c r="CC972" s="2" t="s">
        <v>241</v>
      </c>
      <c r="CD972" s="2" t="s">
        <v>228</v>
      </c>
      <c r="CE972" s="4">
        <v>190</v>
      </c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</row>
    <row r="973">
      <c r="A973" s="2" t="s">
        <v>5188</v>
      </c>
      <c r="B973" s="2" t="s">
        <v>970</v>
      </c>
      <c r="C973" s="2" t="s">
        <v>300</v>
      </c>
      <c r="D973" s="2" t="s">
        <v>971</v>
      </c>
      <c r="E973" s="2" t="s">
        <v>972</v>
      </c>
      <c r="F973" s="2" t="s">
        <v>5054</v>
      </c>
      <c r="G973" s="2" t="s">
        <v>5055</v>
      </c>
      <c r="H973" s="2" t="s">
        <v>5056</v>
      </c>
      <c r="I973" s="2" t="s">
        <v>5057</v>
      </c>
      <c r="J973" s="2" t="s">
        <v>977</v>
      </c>
      <c r="K973" s="2" t="s">
        <v>1021</v>
      </c>
      <c r="L973" s="3">
        <v>16</v>
      </c>
      <c r="M973" s="3">
        <v>16.8</v>
      </c>
      <c r="N973" s="3">
        <v>39.99</v>
      </c>
      <c r="O973" s="2" t="s">
        <v>240</v>
      </c>
      <c r="P973" s="2" t="s">
        <v>333</v>
      </c>
      <c r="Q973" s="2" t="s">
        <v>234</v>
      </c>
      <c r="R973" s="2" t="s">
        <v>228</v>
      </c>
      <c r="S973" s="2" t="s">
        <v>5189</v>
      </c>
      <c r="T973" s="2" t="s">
        <v>228</v>
      </c>
      <c r="U973" s="2" t="s">
        <v>416</v>
      </c>
      <c r="V973" s="2" t="s">
        <v>236</v>
      </c>
      <c r="W973" s="2" t="s">
        <v>463</v>
      </c>
      <c r="X973" s="2" t="s">
        <v>228</v>
      </c>
      <c r="Y973" s="2" t="s">
        <v>270</v>
      </c>
      <c r="Z973" s="4">
        <v>280</v>
      </c>
      <c r="AA973" s="4">
        <f>=ROUNDDOWN(9.33333333333333,0)</f>
      </c>
      <c r="AB973" s="5">
        <v>30</v>
      </c>
      <c r="AC973" s="2" t="s">
        <v>228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228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228</v>
      </c>
      <c r="AW973" s="8" t="s">
        <v>228</v>
      </c>
      <c r="AX973" s="4" t="s">
        <v>228</v>
      </c>
      <c r="AY973" s="8" t="s">
        <v>228</v>
      </c>
      <c r="AZ973" s="7" t="s">
        <v>228</v>
      </c>
      <c r="BA973" s="7" t="s">
        <v>228</v>
      </c>
      <c r="BB973" s="7"/>
      <c r="BC973" s="4" t="s">
        <v>228</v>
      </c>
      <c r="BD973" s="8" t="s">
        <v>228</v>
      </c>
      <c r="BE973" s="4" t="s">
        <v>228</v>
      </c>
      <c r="BF973" s="8" t="s">
        <v>228</v>
      </c>
      <c r="BG973" s="7" t="s">
        <v>228</v>
      </c>
      <c r="BH973" s="7" t="s">
        <v>228</v>
      </c>
      <c r="BI973" s="7"/>
      <c r="BJ973" s="4">
        <v>46</v>
      </c>
      <c r="BK973" s="8">
        <v>658.14</v>
      </c>
      <c r="BL973" s="2" t="s">
        <v>5190</v>
      </c>
      <c r="BM973" s="7"/>
      <c r="BN973" s="7"/>
      <c r="BO973" s="4"/>
      <c r="BP973" s="8"/>
      <c r="BQ973" s="4"/>
      <c r="BR973" s="8"/>
      <c r="BS973" s="7"/>
      <c r="BT973" s="7"/>
      <c r="BU973" s="2" t="s">
        <v>5191</v>
      </c>
      <c r="BV973" s="2" t="s">
        <v>228</v>
      </c>
      <c r="BW973" s="2" t="s">
        <v>228</v>
      </c>
      <c r="BX973" s="2" t="s">
        <v>337</v>
      </c>
      <c r="BY973" s="2" t="s">
        <v>274</v>
      </c>
      <c r="BZ973" s="2" t="s">
        <v>240</v>
      </c>
      <c r="CA973" s="2" t="s">
        <v>275</v>
      </c>
      <c r="CB973" s="2" t="s">
        <v>5192</v>
      </c>
      <c r="CC973" s="2" t="s">
        <v>241</v>
      </c>
      <c r="CD973" s="2" t="s">
        <v>228</v>
      </c>
      <c r="CE973" s="4">
        <v>280</v>
      </c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</row>
    <row r="974">
      <c r="A974" s="2" t="s">
        <v>5193</v>
      </c>
      <c r="B974" s="2" t="s">
        <v>970</v>
      </c>
      <c r="C974" s="2" t="s">
        <v>300</v>
      </c>
      <c r="D974" s="2" t="s">
        <v>1497</v>
      </c>
      <c r="E974" s="2" t="s">
        <v>1498</v>
      </c>
      <c r="F974" s="2" t="s">
        <v>5054</v>
      </c>
      <c r="G974" s="2" t="s">
        <v>5055</v>
      </c>
      <c r="H974" s="2" t="s">
        <v>5056</v>
      </c>
      <c r="I974" s="2" t="s">
        <v>5086</v>
      </c>
      <c r="J974" s="2" t="s">
        <v>5087</v>
      </c>
      <c r="K974" s="2" t="s">
        <v>1021</v>
      </c>
      <c r="L974" s="3">
        <v>12.6</v>
      </c>
      <c r="M974" s="3">
        <v>13.23</v>
      </c>
      <c r="N974" s="3">
        <v>29.99</v>
      </c>
      <c r="O974" s="2" t="s">
        <v>240</v>
      </c>
      <c r="P974" s="2" t="s">
        <v>333</v>
      </c>
      <c r="Q974" s="2" t="s">
        <v>234</v>
      </c>
      <c r="R974" s="2" t="s">
        <v>228</v>
      </c>
      <c r="S974" s="2" t="s">
        <v>5189</v>
      </c>
      <c r="T974" s="2" t="s">
        <v>228</v>
      </c>
      <c r="U974" s="2" t="s">
        <v>228</v>
      </c>
      <c r="V974" s="2" t="s">
        <v>236</v>
      </c>
      <c r="W974" s="2" t="s">
        <v>463</v>
      </c>
      <c r="X974" s="2" t="s">
        <v>228</v>
      </c>
      <c r="Y974" s="2" t="s">
        <v>5107</v>
      </c>
      <c r="Z974" s="4">
        <v>76</v>
      </c>
      <c r="AA974" s="4">
        <f>=ROUNDDOWN(20.5405405405405,0)</f>
      </c>
      <c r="AB974" s="5">
        <v>3.7</v>
      </c>
      <c r="AC974" s="2" t="s">
        <v>228</v>
      </c>
      <c r="AD974" s="4"/>
      <c r="AE974" s="4"/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228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228</v>
      </c>
      <c r="AW974" s="8" t="s">
        <v>228</v>
      </c>
      <c r="AX974" s="4" t="s">
        <v>228</v>
      </c>
      <c r="AY974" s="8" t="s">
        <v>228</v>
      </c>
      <c r="AZ974" s="7" t="s">
        <v>228</v>
      </c>
      <c r="BA974" s="7" t="s">
        <v>228</v>
      </c>
      <c r="BB974" s="7"/>
      <c r="BC974" s="4" t="s">
        <v>228</v>
      </c>
      <c r="BD974" s="8" t="s">
        <v>228</v>
      </c>
      <c r="BE974" s="4" t="s">
        <v>228</v>
      </c>
      <c r="BF974" s="8" t="s">
        <v>228</v>
      </c>
      <c r="BG974" s="7" t="s">
        <v>228</v>
      </c>
      <c r="BH974" s="7" t="s">
        <v>228</v>
      </c>
      <c r="BI974" s="7"/>
      <c r="BJ974" s="4">
        <v>15</v>
      </c>
      <c r="BK974" s="8">
        <v>205.97</v>
      </c>
      <c r="BL974" s="2" t="s">
        <v>5194</v>
      </c>
      <c r="BM974" s="7"/>
      <c r="BN974" s="7"/>
      <c r="BO974" s="4"/>
      <c r="BP974" s="8"/>
      <c r="BQ974" s="4"/>
      <c r="BR974" s="8"/>
      <c r="BS974" s="7"/>
      <c r="BT974" s="7"/>
      <c r="BU974" s="2" t="s">
        <v>5195</v>
      </c>
      <c r="BV974" s="2" t="s">
        <v>228</v>
      </c>
      <c r="BW974" s="2" t="s">
        <v>228</v>
      </c>
      <c r="BX974" s="2" t="s">
        <v>337</v>
      </c>
      <c r="BY974" s="2" t="s">
        <v>274</v>
      </c>
      <c r="BZ974" s="2" t="s">
        <v>240</v>
      </c>
      <c r="CA974" s="2" t="s">
        <v>3034</v>
      </c>
      <c r="CB974" s="2" t="s">
        <v>5110</v>
      </c>
      <c r="CC974" s="2" t="s">
        <v>241</v>
      </c>
      <c r="CD974" s="2" t="s">
        <v>228</v>
      </c>
      <c r="CE974" s="4">
        <v>76</v>
      </c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</row>
    <row r="975">
      <c r="A975" s="2" t="s">
        <v>5196</v>
      </c>
      <c r="B975" s="2" t="s">
        <v>223</v>
      </c>
      <c r="C975" s="2" t="s">
        <v>849</v>
      </c>
      <c r="D975" s="2" t="s">
        <v>1601</v>
      </c>
      <c r="E975" s="2" t="s">
        <v>2421</v>
      </c>
      <c r="F975" s="2" t="s">
        <v>5197</v>
      </c>
      <c r="G975" s="2" t="s">
        <v>5198</v>
      </c>
      <c r="H975" s="2" t="s">
        <v>5198</v>
      </c>
      <c r="I975" s="2" t="s">
        <v>5199</v>
      </c>
      <c r="J975" s="2" t="s">
        <v>1412</v>
      </c>
      <c r="K975" s="2" t="s">
        <v>249</v>
      </c>
      <c r="L975" s="3">
        <v>12.42</v>
      </c>
      <c r="M975" s="3">
        <v>13.04</v>
      </c>
      <c r="N975" s="3">
        <v>26.99</v>
      </c>
      <c r="O975" s="2" t="s">
        <v>240</v>
      </c>
      <c r="P975" s="2" t="s">
        <v>333</v>
      </c>
      <c r="Q975" s="2" t="s">
        <v>234</v>
      </c>
      <c r="R975" s="2" t="s">
        <v>228</v>
      </c>
      <c r="S975" s="2" t="s">
        <v>5200</v>
      </c>
      <c r="T975" s="2" t="s">
        <v>1608</v>
      </c>
      <c r="U975" s="2" t="s">
        <v>416</v>
      </c>
      <c r="V975" s="2" t="s">
        <v>236</v>
      </c>
      <c r="W975" s="2" t="s">
        <v>269</v>
      </c>
      <c r="X975" s="2" t="s">
        <v>417</v>
      </c>
      <c r="Y975" s="2" t="s">
        <v>5201</v>
      </c>
      <c r="Z975" s="4">
        <v>343</v>
      </c>
      <c r="AA975" s="4">
        <f>=ROUNDDOWN(32.6666666666667,0)</f>
      </c>
      <c r="AB975" s="5">
        <v>10.5</v>
      </c>
      <c r="AC975" s="2" t="s">
        <v>228</v>
      </c>
      <c r="AD975" s="4"/>
      <c r="AE975" s="4"/>
      <c r="AF975" s="6">
        <v>64</v>
      </c>
      <c r="AG975" s="6"/>
      <c r="AH975" s="7">
        <v>1</v>
      </c>
      <c r="AI975" s="4"/>
      <c r="AJ975" s="4">
        <f>=ROUNDDOWN({0},0)</f>
      </c>
      <c r="AK975" s="5"/>
      <c r="AL975" s="2" t="s">
        <v>228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/>
      <c r="AW975" s="8"/>
      <c r="AX975" s="4"/>
      <c r="AY975" s="8"/>
      <c r="AZ975" s="7"/>
      <c r="BA975" s="7"/>
      <c r="BB975" s="7"/>
      <c r="BC975" s="4" t="s">
        <v>228</v>
      </c>
      <c r="BD975" s="8" t="s">
        <v>228</v>
      </c>
      <c r="BE975" s="4" t="s">
        <v>228</v>
      </c>
      <c r="BF975" s="8" t="s">
        <v>228</v>
      </c>
      <c r="BG975" s="7" t="s">
        <v>228</v>
      </c>
      <c r="BH975" s="7" t="s">
        <v>228</v>
      </c>
      <c r="BI975" s="7"/>
      <c r="BJ975" s="4">
        <v>48</v>
      </c>
      <c r="BK975" s="8">
        <v>616.71</v>
      </c>
      <c r="BL975" s="2" t="s">
        <v>5202</v>
      </c>
      <c r="BM975" s="7"/>
      <c r="BN975" s="7"/>
      <c r="BO975" s="4"/>
      <c r="BP975" s="8"/>
      <c r="BQ975" s="4"/>
      <c r="BR975" s="8"/>
      <c r="BS975" s="7"/>
      <c r="BT975" s="7"/>
      <c r="BU975" s="2" t="s">
        <v>5203</v>
      </c>
      <c r="BV975" s="2" t="s">
        <v>228</v>
      </c>
      <c r="BW975" s="2" t="s">
        <v>228</v>
      </c>
      <c r="BX975" s="2" t="s">
        <v>337</v>
      </c>
      <c r="BY975" s="2" t="s">
        <v>274</v>
      </c>
      <c r="BZ975" s="2" t="s">
        <v>240</v>
      </c>
      <c r="CA975" s="2" t="s">
        <v>4007</v>
      </c>
      <c r="CB975" s="2" t="s">
        <v>5204</v>
      </c>
      <c r="CC975" s="2" t="s">
        <v>241</v>
      </c>
      <c r="CD975" s="2" t="s">
        <v>228</v>
      </c>
      <c r="CE975" s="4">
        <v>343</v>
      </c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</row>
    <row r="976">
      <c r="A976" s="2" t="s">
        <v>5205</v>
      </c>
      <c r="B976" s="2" t="s">
        <v>223</v>
      </c>
      <c r="C976" s="2" t="s">
        <v>849</v>
      </c>
      <c r="D976" s="2" t="s">
        <v>1601</v>
      </c>
      <c r="E976" s="2" t="s">
        <v>2421</v>
      </c>
      <c r="F976" s="2" t="s">
        <v>5197</v>
      </c>
      <c r="G976" s="2" t="s">
        <v>5198</v>
      </c>
      <c r="H976" s="2" t="s">
        <v>5198</v>
      </c>
      <c r="I976" s="2" t="s">
        <v>5199</v>
      </c>
      <c r="J976" s="2" t="s">
        <v>1412</v>
      </c>
      <c r="K976" s="2" t="s">
        <v>650</v>
      </c>
      <c r="L976" s="3">
        <v>12.42</v>
      </c>
      <c r="M976" s="3">
        <v>13.04</v>
      </c>
      <c r="N976" s="3">
        <v>26.99</v>
      </c>
      <c r="O976" s="2" t="s">
        <v>240</v>
      </c>
      <c r="P976" s="2" t="s">
        <v>333</v>
      </c>
      <c r="Q976" s="2" t="s">
        <v>234</v>
      </c>
      <c r="R976" s="2" t="s">
        <v>228</v>
      </c>
      <c r="S976" s="2" t="s">
        <v>5206</v>
      </c>
      <c r="T976" s="2" t="s">
        <v>1608</v>
      </c>
      <c r="U976" s="2" t="s">
        <v>416</v>
      </c>
      <c r="V976" s="2" t="s">
        <v>236</v>
      </c>
      <c r="W976" s="2" t="s">
        <v>269</v>
      </c>
      <c r="X976" s="2" t="s">
        <v>417</v>
      </c>
      <c r="Y976" s="2" t="s">
        <v>5201</v>
      </c>
      <c r="Z976" s="4">
        <v>299</v>
      </c>
      <c r="AA976" s="4">
        <f>=ROUNDDOWN(16.6111111111111,0)</f>
      </c>
      <c r="AB976" s="5">
        <v>18</v>
      </c>
      <c r="AC976" s="2" t="s">
        <v>228</v>
      </c>
      <c r="AD976" s="4"/>
      <c r="AE976" s="4"/>
      <c r="AF976" s="6">
        <v>64</v>
      </c>
      <c r="AG976" s="6"/>
      <c r="AH976" s="7">
        <v>1</v>
      </c>
      <c r="AI976" s="4"/>
      <c r="AJ976" s="4">
        <f>=ROUNDDOWN({0},0)</f>
      </c>
      <c r="AK976" s="5"/>
      <c r="AL976" s="2" t="s">
        <v>228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/>
      <c r="AW976" s="8"/>
      <c r="AX976" s="4"/>
      <c r="AY976" s="8"/>
      <c r="AZ976" s="7"/>
      <c r="BA976" s="7"/>
      <c r="BB976" s="7"/>
      <c r="BC976" s="4" t="s">
        <v>228</v>
      </c>
      <c r="BD976" s="8" t="s">
        <v>228</v>
      </c>
      <c r="BE976" s="4" t="s">
        <v>228</v>
      </c>
      <c r="BF976" s="8" t="s">
        <v>228</v>
      </c>
      <c r="BG976" s="7" t="s">
        <v>228</v>
      </c>
      <c r="BH976" s="7" t="s">
        <v>228</v>
      </c>
      <c r="BI976" s="7"/>
      <c r="BJ976" s="4">
        <v>29</v>
      </c>
      <c r="BK976" s="8">
        <v>407.04</v>
      </c>
      <c r="BL976" s="2" t="s">
        <v>5207</v>
      </c>
      <c r="BM976" s="7"/>
      <c r="BN976" s="7"/>
      <c r="BO976" s="4"/>
      <c r="BP976" s="8"/>
      <c r="BQ976" s="4"/>
      <c r="BR976" s="8"/>
      <c r="BS976" s="7"/>
      <c r="BT976" s="7"/>
      <c r="BU976" s="2" t="s">
        <v>5208</v>
      </c>
      <c r="BV976" s="2" t="s">
        <v>228</v>
      </c>
      <c r="BW976" s="2" t="s">
        <v>228</v>
      </c>
      <c r="BX976" s="2" t="s">
        <v>337</v>
      </c>
      <c r="BY976" s="2" t="s">
        <v>274</v>
      </c>
      <c r="BZ976" s="2" t="s">
        <v>240</v>
      </c>
      <c r="CA976" s="2" t="s">
        <v>4007</v>
      </c>
      <c r="CB976" s="2" t="s">
        <v>5209</v>
      </c>
      <c r="CC976" s="2" t="s">
        <v>241</v>
      </c>
      <c r="CD976" s="2" t="s">
        <v>228</v>
      </c>
      <c r="CE976" s="4">
        <v>299</v>
      </c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</row>
    <row r="977">
      <c r="A977" s="2" t="s">
        <v>5210</v>
      </c>
      <c r="B977" s="2" t="s">
        <v>223</v>
      </c>
      <c r="C977" s="2" t="s">
        <v>1261</v>
      </c>
      <c r="D977" s="2" t="s">
        <v>1112</v>
      </c>
      <c r="E977" s="2" t="s">
        <v>1165</v>
      </c>
      <c r="F977" s="2" t="s">
        <v>5211</v>
      </c>
      <c r="G977" s="2" t="s">
        <v>5211</v>
      </c>
      <c r="H977" s="2" t="s">
        <v>5211</v>
      </c>
      <c r="I977" s="2" t="s">
        <v>5212</v>
      </c>
      <c r="J977" s="2" t="s">
        <v>294</v>
      </c>
      <c r="K977" s="2" t="s">
        <v>1421</v>
      </c>
      <c r="L977" s="3">
        <v>33.33</v>
      </c>
      <c r="M977" s="3">
        <v>35</v>
      </c>
      <c r="N977" s="3">
        <v>69.99</v>
      </c>
      <c r="O977" s="2" t="s">
        <v>461</v>
      </c>
      <c r="P977" s="2" t="s">
        <v>333</v>
      </c>
      <c r="Q977" s="2" t="s">
        <v>234</v>
      </c>
      <c r="R977" s="2" t="s">
        <v>228</v>
      </c>
      <c r="S977" s="2" t="s">
        <v>228</v>
      </c>
      <c r="T977" s="2" t="s">
        <v>5213</v>
      </c>
      <c r="U977" s="2" t="s">
        <v>308</v>
      </c>
      <c r="V977" s="2" t="s">
        <v>5214</v>
      </c>
      <c r="W977" s="2" t="s">
        <v>5215</v>
      </c>
      <c r="X977" s="2" t="s">
        <v>1267</v>
      </c>
      <c r="Y977" s="2" t="s">
        <v>923</v>
      </c>
      <c r="Z977" s="4">
        <v>721</v>
      </c>
      <c r="AA977" s="4">
        <f>=ROUNDDOWN(90.125,0)</f>
      </c>
      <c r="AB977" s="5">
        <v>8</v>
      </c>
      <c r="AC977" s="2" t="s">
        <v>228</v>
      </c>
      <c r="AD977" s="4"/>
      <c r="AE977" s="4"/>
      <c r="AF977" s="6">
        <v>64</v>
      </c>
      <c r="AG977" s="6"/>
      <c r="AH977" s="7">
        <v>1</v>
      </c>
      <c r="AI977" s="4"/>
      <c r="AJ977" s="4">
        <f>=ROUNDDOWN({0},0)</f>
      </c>
      <c r="AK977" s="5"/>
      <c r="AL977" s="2" t="s">
        <v>228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/>
      <c r="BD977" s="8"/>
      <c r="BE977" s="4"/>
      <c r="BF977" s="8"/>
      <c r="BG977" s="7"/>
      <c r="BH977" s="7"/>
      <c r="BI977" s="7"/>
      <c r="BJ977" s="4">
        <v>12</v>
      </c>
      <c r="BK977" s="8">
        <v>390.84</v>
      </c>
      <c r="BL977" s="2" t="s">
        <v>5216</v>
      </c>
      <c r="BM977" s="7"/>
      <c r="BN977" s="7"/>
      <c r="BO977" s="4"/>
      <c r="BP977" s="8"/>
      <c r="BQ977" s="4"/>
      <c r="BR977" s="8"/>
      <c r="BS977" s="7"/>
      <c r="BT977" s="7"/>
      <c r="BU977" s="2" t="s">
        <v>5217</v>
      </c>
      <c r="BV977" s="2" t="s">
        <v>228</v>
      </c>
      <c r="BW977" s="2" t="s">
        <v>228</v>
      </c>
      <c r="BX977" s="2" t="s">
        <v>337</v>
      </c>
      <c r="BY977" s="2" t="s">
        <v>274</v>
      </c>
      <c r="BZ977" s="2" t="s">
        <v>240</v>
      </c>
      <c r="CA977" s="2" t="s">
        <v>2428</v>
      </c>
      <c r="CB977" s="2" t="s">
        <v>2186</v>
      </c>
      <c r="CC977" s="2" t="s">
        <v>241</v>
      </c>
      <c r="CD977" s="2" t="s">
        <v>228</v>
      </c>
      <c r="CE977" s="4">
        <v>721</v>
      </c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</row>
    <row r="978">
      <c r="A978" s="2" t="s">
        <v>5218</v>
      </c>
      <c r="B978" s="2" t="s">
        <v>866</v>
      </c>
      <c r="C978" s="2" t="s">
        <v>300</v>
      </c>
      <c r="D978" s="2" t="s">
        <v>867</v>
      </c>
      <c r="E978" s="2" t="s">
        <v>877</v>
      </c>
      <c r="F978" s="2" t="s">
        <v>5219</v>
      </c>
      <c r="G978" s="2" t="s">
        <v>5219</v>
      </c>
      <c r="H978" s="2" t="s">
        <v>5219</v>
      </c>
      <c r="I978" s="2" t="s">
        <v>5220</v>
      </c>
      <c r="J978" s="2" t="s">
        <v>840</v>
      </c>
      <c r="K978" s="2" t="s">
        <v>5221</v>
      </c>
      <c r="L978" s="3">
        <v>62.86</v>
      </c>
      <c r="M978" s="3">
        <v>66</v>
      </c>
      <c r="N978" s="3">
        <v>139.99</v>
      </c>
      <c r="O978" s="2" t="s">
        <v>491</v>
      </c>
      <c r="P978" s="2" t="s">
        <v>333</v>
      </c>
      <c r="Q978" s="2" t="s">
        <v>234</v>
      </c>
      <c r="R978" s="2" t="s">
        <v>228</v>
      </c>
      <c r="S978" s="2" t="s">
        <v>228</v>
      </c>
      <c r="T978" s="2" t="s">
        <v>228</v>
      </c>
      <c r="U978" s="2" t="s">
        <v>416</v>
      </c>
      <c r="V978" s="2" t="s">
        <v>891</v>
      </c>
      <c r="W978" s="2" t="s">
        <v>463</v>
      </c>
      <c r="X978" s="2" t="s">
        <v>1268</v>
      </c>
      <c r="Y978" s="2" t="s">
        <v>1520</v>
      </c>
      <c r="Z978" s="4">
        <v>33</v>
      </c>
      <c r="AA978" s="4">
        <f>=ROUNDDOWN(47.1428571428571,0)</f>
      </c>
      <c r="AB978" s="5">
        <v>0.7</v>
      </c>
      <c r="AC978" s="2" t="s">
        <v>228</v>
      </c>
      <c r="AD978" s="4"/>
      <c r="AE978" s="4"/>
      <c r="AF978" s="6">
        <v>63</v>
      </c>
      <c r="AG978" s="6"/>
      <c r="AH978" s="7">
        <v>0.7742</v>
      </c>
      <c r="AI978" s="4"/>
      <c r="AJ978" s="4">
        <f>=ROUNDDOWN({0},0)</f>
      </c>
      <c r="AK978" s="5"/>
      <c r="AL978" s="2" t="s">
        <v>228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/>
      <c r="AW978" s="8"/>
      <c r="AX978" s="4"/>
      <c r="AY978" s="8"/>
      <c r="AZ978" s="7"/>
      <c r="BA978" s="7"/>
      <c r="BB978" s="7"/>
      <c r="BC978" s="4"/>
      <c r="BD978" s="8"/>
      <c r="BE978" s="4"/>
      <c r="BF978" s="8"/>
      <c r="BG978" s="7"/>
      <c r="BH978" s="7"/>
      <c r="BI978" s="7"/>
      <c r="BJ978" s="4">
        <v>1</v>
      </c>
      <c r="BK978" s="8">
        <v>88</v>
      </c>
      <c r="BL978" s="2" t="s">
        <v>1033</v>
      </c>
      <c r="BM978" s="7"/>
      <c r="BN978" s="7"/>
      <c r="BO978" s="4"/>
      <c r="BP978" s="8"/>
      <c r="BQ978" s="4"/>
      <c r="BR978" s="8"/>
      <c r="BS978" s="7"/>
      <c r="BT978" s="7"/>
      <c r="BU978" s="2" t="s">
        <v>5222</v>
      </c>
      <c r="BV978" s="2" t="s">
        <v>228</v>
      </c>
      <c r="BW978" s="2" t="s">
        <v>228</v>
      </c>
      <c r="BX978" s="2" t="s">
        <v>337</v>
      </c>
      <c r="BY978" s="2" t="s">
        <v>274</v>
      </c>
      <c r="BZ978" s="2" t="s">
        <v>240</v>
      </c>
      <c r="CA978" s="2" t="s">
        <v>1705</v>
      </c>
      <c r="CB978" s="2" t="s">
        <v>1026</v>
      </c>
      <c r="CC978" s="2" t="s">
        <v>241</v>
      </c>
      <c r="CD978" s="2" t="s">
        <v>228</v>
      </c>
      <c r="CE978" s="4"/>
      <c r="CF978" s="4">
        <v>33</v>
      </c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</row>
    <row r="979">
      <c r="A979" s="2" t="s">
        <v>5223</v>
      </c>
      <c r="B979" s="2" t="s">
        <v>258</v>
      </c>
      <c r="C979" s="2" t="s">
        <v>259</v>
      </c>
      <c r="D979" s="2" t="s">
        <v>1112</v>
      </c>
      <c r="E979" s="2" t="s">
        <v>3467</v>
      </c>
      <c r="F979" s="2" t="s">
        <v>5224</v>
      </c>
      <c r="G979" s="2" t="s">
        <v>5224</v>
      </c>
      <c r="H979" s="2" t="s">
        <v>5224</v>
      </c>
      <c r="I979" s="2" t="s">
        <v>5225</v>
      </c>
      <c r="J979" s="2" t="s">
        <v>856</v>
      </c>
      <c r="K979" s="2" t="s">
        <v>316</v>
      </c>
      <c r="L979" s="3">
        <v>28.57</v>
      </c>
      <c r="M979" s="3">
        <v>30</v>
      </c>
      <c r="N979" s="3">
        <v>59.99</v>
      </c>
      <c r="O979" s="2" t="s">
        <v>240</v>
      </c>
      <c r="P979" s="2" t="s">
        <v>333</v>
      </c>
      <c r="Q979" s="2" t="s">
        <v>234</v>
      </c>
      <c r="R979" s="2" t="s">
        <v>228</v>
      </c>
      <c r="S979" s="2" t="s">
        <v>5226</v>
      </c>
      <c r="T979" s="2" t="s">
        <v>228</v>
      </c>
      <c r="U979" s="2" t="s">
        <v>416</v>
      </c>
      <c r="V979" s="2" t="s">
        <v>236</v>
      </c>
      <c r="W979" s="2" t="s">
        <v>417</v>
      </c>
      <c r="X979" s="2" t="s">
        <v>228</v>
      </c>
      <c r="Y979" s="2" t="s">
        <v>5227</v>
      </c>
      <c r="Z979" s="4">
        <v>147</v>
      </c>
      <c r="AA979" s="4">
        <f>=ROUNDDOWN(49,0)</f>
      </c>
      <c r="AB979" s="5">
        <v>3</v>
      </c>
      <c r="AC979" s="2" t="s">
        <v>228</v>
      </c>
      <c r="AD979" s="4"/>
      <c r="AE979" s="4"/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228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228</v>
      </c>
      <c r="AW979" s="8" t="s">
        <v>228</v>
      </c>
      <c r="AX979" s="4" t="s">
        <v>228</v>
      </c>
      <c r="AY979" s="8" t="s">
        <v>228</v>
      </c>
      <c r="AZ979" s="7" t="s">
        <v>228</v>
      </c>
      <c r="BA979" s="7" t="s">
        <v>228</v>
      </c>
      <c r="BB979" s="7"/>
      <c r="BC979" s="4" t="s">
        <v>228</v>
      </c>
      <c r="BD979" s="8" t="s">
        <v>228</v>
      </c>
      <c r="BE979" s="4" t="s">
        <v>228</v>
      </c>
      <c r="BF979" s="8" t="s">
        <v>228</v>
      </c>
      <c r="BG979" s="7" t="s">
        <v>228</v>
      </c>
      <c r="BH979" s="7" t="s">
        <v>228</v>
      </c>
      <c r="BI979" s="7"/>
      <c r="BJ979" s="4">
        <v>9</v>
      </c>
      <c r="BK979" s="8">
        <v>254.72</v>
      </c>
      <c r="BL979" s="2" t="s">
        <v>5228</v>
      </c>
      <c r="BM979" s="7"/>
      <c r="BN979" s="7"/>
      <c r="BO979" s="4"/>
      <c r="BP979" s="8"/>
      <c r="BQ979" s="4"/>
      <c r="BR979" s="8"/>
      <c r="BS979" s="7"/>
      <c r="BT979" s="7"/>
      <c r="BU979" s="2" t="s">
        <v>5229</v>
      </c>
      <c r="BV979" s="2" t="s">
        <v>228</v>
      </c>
      <c r="BW979" s="2" t="s">
        <v>228</v>
      </c>
      <c r="BX979" s="2" t="s">
        <v>337</v>
      </c>
      <c r="BY979" s="2" t="s">
        <v>274</v>
      </c>
      <c r="BZ979" s="2" t="s">
        <v>240</v>
      </c>
      <c r="CA979" s="2" t="s">
        <v>2908</v>
      </c>
      <c r="CB979" s="2" t="s">
        <v>1176</v>
      </c>
      <c r="CC979" s="2" t="s">
        <v>241</v>
      </c>
      <c r="CD979" s="2" t="s">
        <v>228</v>
      </c>
      <c r="CE979" s="4">
        <v>147</v>
      </c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</row>
    <row r="980">
      <c r="A980" s="2" t="s">
        <v>5230</v>
      </c>
      <c r="B980" s="2" t="s">
        <v>258</v>
      </c>
      <c r="C980" s="2" t="s">
        <v>259</v>
      </c>
      <c r="D980" s="2" t="s">
        <v>1112</v>
      </c>
      <c r="E980" s="2" t="s">
        <v>3467</v>
      </c>
      <c r="F980" s="2" t="s">
        <v>5224</v>
      </c>
      <c r="G980" s="2" t="s">
        <v>5224</v>
      </c>
      <c r="H980" s="2" t="s">
        <v>5224</v>
      </c>
      <c r="I980" s="2" t="s">
        <v>5225</v>
      </c>
      <c r="J980" s="2" t="s">
        <v>1043</v>
      </c>
      <c r="K980" s="2" t="s">
        <v>316</v>
      </c>
      <c r="L980" s="3">
        <v>38.09</v>
      </c>
      <c r="M980" s="3">
        <v>39.99</v>
      </c>
      <c r="N980" s="3">
        <v>79.99</v>
      </c>
      <c r="O980" s="2" t="s">
        <v>240</v>
      </c>
      <c r="P980" s="2" t="s">
        <v>333</v>
      </c>
      <c r="Q980" s="2" t="s">
        <v>234</v>
      </c>
      <c r="R980" s="2" t="s">
        <v>228</v>
      </c>
      <c r="S980" s="2" t="s">
        <v>5226</v>
      </c>
      <c r="T980" s="2" t="s">
        <v>228</v>
      </c>
      <c r="U980" s="2" t="s">
        <v>416</v>
      </c>
      <c r="V980" s="2" t="s">
        <v>236</v>
      </c>
      <c r="W980" s="2" t="s">
        <v>417</v>
      </c>
      <c r="X980" s="2" t="s">
        <v>228</v>
      </c>
      <c r="Y980" s="2" t="s">
        <v>5227</v>
      </c>
      <c r="Z980" s="4">
        <v>209</v>
      </c>
      <c r="AA980" s="4">
        <f>=ROUNDDOWN(23.2222222222222,0)</f>
      </c>
      <c r="AB980" s="5">
        <v>9</v>
      </c>
      <c r="AC980" s="2" t="s">
        <v>228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228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228</v>
      </c>
      <c r="AW980" s="8" t="s">
        <v>228</v>
      </c>
      <c r="AX980" s="4" t="s">
        <v>228</v>
      </c>
      <c r="AY980" s="8" t="s">
        <v>228</v>
      </c>
      <c r="AZ980" s="7" t="s">
        <v>228</v>
      </c>
      <c r="BA980" s="7" t="s">
        <v>228</v>
      </c>
      <c r="BB980" s="7"/>
      <c r="BC980" s="4" t="s">
        <v>228</v>
      </c>
      <c r="BD980" s="8" t="s">
        <v>228</v>
      </c>
      <c r="BE980" s="4" t="s">
        <v>228</v>
      </c>
      <c r="BF980" s="8" t="s">
        <v>228</v>
      </c>
      <c r="BG980" s="7" t="s">
        <v>228</v>
      </c>
      <c r="BH980" s="7" t="s">
        <v>228</v>
      </c>
      <c r="BI980" s="7"/>
      <c r="BJ980" s="4">
        <v>19</v>
      </c>
      <c r="BK980" s="8">
        <v>797.81</v>
      </c>
      <c r="BL980" s="2" t="s">
        <v>5228</v>
      </c>
      <c r="BM980" s="7"/>
      <c r="BN980" s="7"/>
      <c r="BO980" s="4"/>
      <c r="BP980" s="8"/>
      <c r="BQ980" s="4"/>
      <c r="BR980" s="8"/>
      <c r="BS980" s="7"/>
      <c r="BT980" s="7"/>
      <c r="BU980" s="2" t="s">
        <v>5231</v>
      </c>
      <c r="BV980" s="2" t="s">
        <v>228</v>
      </c>
      <c r="BW980" s="2" t="s">
        <v>228</v>
      </c>
      <c r="BX980" s="2" t="s">
        <v>337</v>
      </c>
      <c r="BY980" s="2" t="s">
        <v>274</v>
      </c>
      <c r="BZ980" s="2" t="s">
        <v>240</v>
      </c>
      <c r="CA980" s="2" t="s">
        <v>2908</v>
      </c>
      <c r="CB980" s="2" t="s">
        <v>5232</v>
      </c>
      <c r="CC980" s="2" t="s">
        <v>241</v>
      </c>
      <c r="CD980" s="2" t="s">
        <v>228</v>
      </c>
      <c r="CE980" s="4">
        <v>209</v>
      </c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</row>
    <row r="981">
      <c r="A981" s="2" t="s">
        <v>5233</v>
      </c>
      <c r="B981" s="2" t="s">
        <v>970</v>
      </c>
      <c r="C981" s="2" t="s">
        <v>300</v>
      </c>
      <c r="D981" s="2" t="s">
        <v>971</v>
      </c>
      <c r="E981" s="2" t="s">
        <v>972</v>
      </c>
      <c r="F981" s="2" t="s">
        <v>5234</v>
      </c>
      <c r="G981" s="2" t="s">
        <v>5235</v>
      </c>
      <c r="H981" s="2" t="s">
        <v>5236</v>
      </c>
      <c r="I981" s="2" t="s">
        <v>5237</v>
      </c>
      <c r="J981" s="2" t="s">
        <v>1525</v>
      </c>
      <c r="K981" s="2" t="s">
        <v>1357</v>
      </c>
      <c r="L981" s="3">
        <v>13.5</v>
      </c>
      <c r="M981" s="3">
        <v>14.18</v>
      </c>
      <c r="N981" s="3">
        <v>29.99</v>
      </c>
      <c r="O981" s="2" t="s">
        <v>240</v>
      </c>
      <c r="P981" s="2" t="s">
        <v>266</v>
      </c>
      <c r="Q981" s="2" t="s">
        <v>234</v>
      </c>
      <c r="R981" s="2" t="s">
        <v>228</v>
      </c>
      <c r="S981" s="2" t="s">
        <v>5238</v>
      </c>
      <c r="T981" s="2" t="s">
        <v>228</v>
      </c>
      <c r="U981" s="2" t="s">
        <v>416</v>
      </c>
      <c r="V981" s="2" t="s">
        <v>236</v>
      </c>
      <c r="W981" s="2" t="s">
        <v>417</v>
      </c>
      <c r="X981" s="2" t="s">
        <v>1345</v>
      </c>
      <c r="Y981" s="2" t="s">
        <v>4265</v>
      </c>
      <c r="Z981" s="4">
        <v>300</v>
      </c>
      <c r="AA981" s="4">
        <f>=ROUNDDOWN(75,0)</f>
      </c>
      <c r="AB981" s="5">
        <v>4</v>
      </c>
      <c r="AC981" s="2" t="s">
        <v>228</v>
      </c>
      <c r="AD981" s="4"/>
      <c r="AE981" s="4"/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228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/>
      <c r="AW981" s="8"/>
      <c r="AX981" s="4"/>
      <c r="AY981" s="8"/>
      <c r="AZ981" s="7"/>
      <c r="BA981" s="7"/>
      <c r="BB981" s="7"/>
      <c r="BC981" s="4"/>
      <c r="BD981" s="8"/>
      <c r="BE981" s="4"/>
      <c r="BF981" s="8"/>
      <c r="BG981" s="7"/>
      <c r="BH981" s="7"/>
      <c r="BI981" s="7"/>
      <c r="BJ981" s="4">
        <v>2</v>
      </c>
      <c r="BK981" s="8">
        <v>29.76</v>
      </c>
      <c r="BL981" s="2" t="s">
        <v>357</v>
      </c>
      <c r="BM981" s="7"/>
      <c r="BN981" s="7"/>
      <c r="BO981" s="4"/>
      <c r="BP981" s="8"/>
      <c r="BQ981" s="4"/>
      <c r="BR981" s="8"/>
      <c r="BS981" s="7"/>
      <c r="BT981" s="7"/>
      <c r="BU981" s="2" t="s">
        <v>5239</v>
      </c>
      <c r="BV981" s="2" t="s">
        <v>228</v>
      </c>
      <c r="BW981" s="2" t="s">
        <v>228</v>
      </c>
      <c r="BX981" s="2" t="s">
        <v>273</v>
      </c>
      <c r="BY981" s="2" t="s">
        <v>274</v>
      </c>
      <c r="BZ981" s="2" t="s">
        <v>240</v>
      </c>
      <c r="CA981" s="2" t="s">
        <v>5240</v>
      </c>
      <c r="CB981" s="2" t="s">
        <v>997</v>
      </c>
      <c r="CC981" s="2" t="s">
        <v>241</v>
      </c>
      <c r="CD981" s="2" t="s">
        <v>228</v>
      </c>
      <c r="CE981" s="4">
        <v>300</v>
      </c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</row>
    <row r="982">
      <c r="A982" s="2" t="s">
        <v>5241</v>
      </c>
      <c r="B982" s="2" t="s">
        <v>958</v>
      </c>
      <c r="C982" s="2" t="s">
        <v>300</v>
      </c>
      <c r="D982" s="2" t="s">
        <v>959</v>
      </c>
      <c r="E982" s="2" t="s">
        <v>960</v>
      </c>
      <c r="F982" s="2" t="s">
        <v>5242</v>
      </c>
      <c r="G982" s="2" t="s">
        <v>2574</v>
      </c>
      <c r="H982" s="2" t="s">
        <v>5243</v>
      </c>
      <c r="I982" s="2" t="s">
        <v>2560</v>
      </c>
      <c r="J982" s="2" t="s">
        <v>840</v>
      </c>
      <c r="K982" s="2" t="s">
        <v>5244</v>
      </c>
      <c r="L982" s="3">
        <v>156.75</v>
      </c>
      <c r="M982" s="3">
        <v>164.59</v>
      </c>
      <c r="N982" s="3">
        <v>329</v>
      </c>
      <c r="O982" s="2" t="s">
        <v>240</v>
      </c>
      <c r="P982" s="2" t="s">
        <v>333</v>
      </c>
      <c r="Q982" s="2" t="s">
        <v>234</v>
      </c>
      <c r="R982" s="2" t="s">
        <v>228</v>
      </c>
      <c r="S982" s="2" t="s">
        <v>228</v>
      </c>
      <c r="T982" s="2" t="s">
        <v>228</v>
      </c>
      <c r="U982" s="2" t="s">
        <v>416</v>
      </c>
      <c r="V982" s="2" t="s">
        <v>1156</v>
      </c>
      <c r="W982" s="2" t="s">
        <v>417</v>
      </c>
      <c r="X982" s="2" t="s">
        <v>228</v>
      </c>
      <c r="Y982" s="2" t="s">
        <v>1713</v>
      </c>
      <c r="Z982" s="4">
        <v>78</v>
      </c>
      <c r="AA982" s="4">
        <f>=ROUNDDOWN(26,0)</f>
      </c>
      <c r="AB982" s="5">
        <v>3</v>
      </c>
      <c r="AC982" s="2" t="s">
        <v>228</v>
      </c>
      <c r="AD982" s="4"/>
      <c r="AE982" s="4"/>
      <c r="AF982" s="6">
        <v>74</v>
      </c>
      <c r="AG982" s="6"/>
      <c r="AH982" s="7">
        <v>1</v>
      </c>
      <c r="AI982" s="4"/>
      <c r="AJ982" s="4">
        <f>=ROUNDDOWN({0},0)</f>
      </c>
      <c r="AK982" s="5"/>
      <c r="AL982" s="2" t="s">
        <v>228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/>
      <c r="AW982" s="8"/>
      <c r="AX982" s="4"/>
      <c r="AY982" s="8"/>
      <c r="AZ982" s="7"/>
      <c r="BA982" s="7"/>
      <c r="BB982" s="7"/>
      <c r="BC982" s="4"/>
      <c r="BD982" s="8"/>
      <c r="BE982" s="4"/>
      <c r="BF982" s="8"/>
      <c r="BG982" s="7"/>
      <c r="BH982" s="7"/>
      <c r="BI982" s="7"/>
      <c r="BJ982" s="4">
        <v>6</v>
      </c>
      <c r="BK982" s="8">
        <v>856.33</v>
      </c>
      <c r="BL982" s="2" t="s">
        <v>5245</v>
      </c>
      <c r="BM982" s="7"/>
      <c r="BN982" s="7"/>
      <c r="BO982" s="4"/>
      <c r="BP982" s="8"/>
      <c r="BQ982" s="4"/>
      <c r="BR982" s="8"/>
      <c r="BS982" s="7"/>
      <c r="BT982" s="7"/>
      <c r="BU982" s="2" t="s">
        <v>5246</v>
      </c>
      <c r="BV982" s="2" t="s">
        <v>228</v>
      </c>
      <c r="BW982" s="2" t="s">
        <v>228</v>
      </c>
      <c r="BX982" s="2" t="s">
        <v>337</v>
      </c>
      <c r="BY982" s="2" t="s">
        <v>274</v>
      </c>
      <c r="BZ982" s="2" t="s">
        <v>240</v>
      </c>
      <c r="CA982" s="2" t="s">
        <v>1017</v>
      </c>
      <c r="CB982" s="2" t="s">
        <v>4460</v>
      </c>
      <c r="CC982" s="2" t="s">
        <v>241</v>
      </c>
      <c r="CD982" s="2" t="s">
        <v>228</v>
      </c>
      <c r="CE982" s="4"/>
      <c r="CF982" s="4">
        <v>78</v>
      </c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</row>
    <row r="983">
      <c r="A983" s="2" t="s">
        <v>5247</v>
      </c>
      <c r="B983" s="2" t="s">
        <v>866</v>
      </c>
      <c r="C983" s="2" t="s">
        <v>885</v>
      </c>
      <c r="D983" s="2" t="s">
        <v>867</v>
      </c>
      <c r="E983" s="2" t="s">
        <v>877</v>
      </c>
      <c r="F983" s="2" t="s">
        <v>5248</v>
      </c>
      <c r="G983" s="2" t="s">
        <v>5248</v>
      </c>
      <c r="H983" s="2" t="s">
        <v>5248</v>
      </c>
      <c r="I983" s="2" t="s">
        <v>5249</v>
      </c>
      <c r="J983" s="2" t="s">
        <v>840</v>
      </c>
      <c r="K983" s="2" t="s">
        <v>888</v>
      </c>
      <c r="L983" s="3">
        <v>17.03</v>
      </c>
      <c r="M983" s="3">
        <v>17.88</v>
      </c>
      <c r="N983" s="3">
        <v>39.09</v>
      </c>
      <c r="O983" s="2" t="s">
        <v>240</v>
      </c>
      <c r="P983" s="2" t="s">
        <v>266</v>
      </c>
      <c r="Q983" s="2" t="s">
        <v>234</v>
      </c>
      <c r="R983" s="2" t="s">
        <v>228</v>
      </c>
      <c r="S983" s="2" t="s">
        <v>5250</v>
      </c>
      <c r="T983" s="2" t="s">
        <v>228</v>
      </c>
      <c r="U983" s="2" t="s">
        <v>416</v>
      </c>
      <c r="V983" s="2" t="s">
        <v>891</v>
      </c>
      <c r="W983" s="2" t="s">
        <v>743</v>
      </c>
      <c r="X983" s="2" t="s">
        <v>892</v>
      </c>
      <c r="Y983" s="2" t="s">
        <v>893</v>
      </c>
      <c r="Z983" s="4">
        <v>168</v>
      </c>
      <c r="AA983" s="4">
        <f>=ROUNDDOWN(16.8,0)</f>
      </c>
      <c r="AB983" s="5">
        <v>10</v>
      </c>
      <c r="AC983" s="2" t="s">
        <v>168</v>
      </c>
      <c r="AD983" s="4">
        <v>100</v>
      </c>
      <c r="AE983" s="4">
        <v>100</v>
      </c>
      <c r="AF983" s="6">
        <v>63</v>
      </c>
      <c r="AG983" s="6">
        <v>46</v>
      </c>
      <c r="AH983" s="7">
        <v>1</v>
      </c>
      <c r="AI983" s="4"/>
      <c r="AJ983" s="4">
        <f>=ROUNDDOWN({0},0)</f>
      </c>
      <c r="AK983" s="5"/>
      <c r="AL983" s="2" t="s">
        <v>228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/>
      <c r="AW983" s="8"/>
      <c r="AX983" s="4"/>
      <c r="AY983" s="8"/>
      <c r="AZ983" s="7"/>
      <c r="BA983" s="7"/>
      <c r="BB983" s="7"/>
      <c r="BC983" s="4"/>
      <c r="BD983" s="8"/>
      <c r="BE983" s="4"/>
      <c r="BF983" s="8"/>
      <c r="BG983" s="7"/>
      <c r="BH983" s="7"/>
      <c r="BI983" s="7"/>
      <c r="BJ983" s="4">
        <v>35</v>
      </c>
      <c r="BK983" s="8">
        <v>753.6</v>
      </c>
      <c r="BL983" s="2" t="s">
        <v>5251</v>
      </c>
      <c r="BM983" s="7"/>
      <c r="BN983" s="7"/>
      <c r="BO983" s="4"/>
      <c r="BP983" s="8"/>
      <c r="BQ983" s="4"/>
      <c r="BR983" s="8"/>
      <c r="BS983" s="7"/>
      <c r="BT983" s="7"/>
      <c r="BU983" s="2" t="s">
        <v>5252</v>
      </c>
      <c r="BV983" s="2" t="s">
        <v>228</v>
      </c>
      <c r="BW983" s="2" t="s">
        <v>228</v>
      </c>
      <c r="BX983" s="2" t="s">
        <v>273</v>
      </c>
      <c r="BY983" s="2" t="s">
        <v>274</v>
      </c>
      <c r="BZ983" s="2" t="s">
        <v>240</v>
      </c>
      <c r="CA983" s="2" t="s">
        <v>896</v>
      </c>
      <c r="CB983" s="2" t="s">
        <v>5253</v>
      </c>
      <c r="CC983" s="2" t="s">
        <v>241</v>
      </c>
      <c r="CD983" s="2" t="s">
        <v>228</v>
      </c>
      <c r="CE983" s="4"/>
      <c r="CF983" s="4">
        <v>168</v>
      </c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>
        <v>100</v>
      </c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</row>
    <row r="984">
      <c r="A984" s="2" t="s">
        <v>5254</v>
      </c>
      <c r="B984" s="2" t="s">
        <v>834</v>
      </c>
      <c r="C984" s="2" t="s">
        <v>835</v>
      </c>
      <c r="D984" s="2" t="s">
        <v>1101</v>
      </c>
      <c r="E984" s="2" t="s">
        <v>1102</v>
      </c>
      <c r="F984" s="2" t="s">
        <v>5255</v>
      </c>
      <c r="G984" s="2" t="s">
        <v>5255</v>
      </c>
      <c r="H984" s="2" t="s">
        <v>5255</v>
      </c>
      <c r="I984" s="2" t="s">
        <v>5256</v>
      </c>
      <c r="J984" s="2" t="s">
        <v>840</v>
      </c>
      <c r="K984" s="2" t="s">
        <v>316</v>
      </c>
      <c r="L984" s="3">
        <v>44</v>
      </c>
      <c r="M984" s="3">
        <v>46.2</v>
      </c>
      <c r="N984" s="3">
        <v>89.99</v>
      </c>
      <c r="O984" s="2" t="s">
        <v>240</v>
      </c>
      <c r="P984" s="2" t="s">
        <v>233</v>
      </c>
      <c r="Q984" s="2" t="s">
        <v>234</v>
      </c>
      <c r="R984" s="2" t="s">
        <v>228</v>
      </c>
      <c r="S984" s="2" t="s">
        <v>228</v>
      </c>
      <c r="T984" s="2" t="s">
        <v>228</v>
      </c>
      <c r="U984" s="2" t="s">
        <v>416</v>
      </c>
      <c r="V984" s="2" t="s">
        <v>842</v>
      </c>
      <c r="W984" s="2" t="s">
        <v>1578</v>
      </c>
      <c r="X984" s="2" t="s">
        <v>417</v>
      </c>
      <c r="Y984" s="2" t="s">
        <v>2162</v>
      </c>
      <c r="Z984" s="4">
        <v>100</v>
      </c>
      <c r="AA984" s="4">
        <f>=ROUNDDOWN({0},0)</f>
      </c>
      <c r="AB984" s="5"/>
      <c r="AC984" s="2" t="s">
        <v>228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228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/>
      <c r="AW984" s="8"/>
      <c r="AX984" s="4"/>
      <c r="AY984" s="8"/>
      <c r="AZ984" s="7"/>
      <c r="BA984" s="7"/>
      <c r="BB984" s="7"/>
      <c r="BC984" s="4"/>
      <c r="BD984" s="8"/>
      <c r="BE984" s="4"/>
      <c r="BF984" s="8"/>
      <c r="BG984" s="7"/>
      <c r="BH984" s="7"/>
      <c r="BI984" s="7"/>
      <c r="BJ984" s="4"/>
      <c r="BK984" s="8"/>
      <c r="BL984" s="2" t="s">
        <v>228</v>
      </c>
      <c r="BM984" s="7"/>
      <c r="BN984" s="7"/>
      <c r="BO984" s="4"/>
      <c r="BP984" s="8"/>
      <c r="BQ984" s="4"/>
      <c r="BR984" s="8"/>
      <c r="BS984" s="7"/>
      <c r="BT984" s="7"/>
      <c r="BU984" s="2" t="s">
        <v>5257</v>
      </c>
      <c r="BV984" s="2" t="s">
        <v>228</v>
      </c>
      <c r="BW984" s="2" t="s">
        <v>228</v>
      </c>
      <c r="BX984" s="2" t="s">
        <v>238</v>
      </c>
      <c r="BY984" s="2" t="s">
        <v>274</v>
      </c>
      <c r="BZ984" s="2" t="s">
        <v>240</v>
      </c>
      <c r="CA984" s="2" t="s">
        <v>228</v>
      </c>
      <c r="CB984" s="2" t="s">
        <v>228</v>
      </c>
      <c r="CC984" s="2" t="s">
        <v>241</v>
      </c>
      <c r="CD984" s="2" t="s">
        <v>228</v>
      </c>
      <c r="CE984" s="4"/>
      <c r="CF984" s="4">
        <v>100</v>
      </c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</row>
    <row r="985">
      <c r="A985" s="2" t="s">
        <v>5258</v>
      </c>
      <c r="B985" s="2" t="s">
        <v>958</v>
      </c>
      <c r="C985" s="2" t="s">
        <v>885</v>
      </c>
      <c r="D985" s="2" t="s">
        <v>1564</v>
      </c>
      <c r="E985" s="2" t="s">
        <v>1692</v>
      </c>
      <c r="F985" s="2" t="s">
        <v>5259</v>
      </c>
      <c r="G985" s="2" t="s">
        <v>5259</v>
      </c>
      <c r="H985" s="2" t="s">
        <v>5259</v>
      </c>
      <c r="I985" s="2" t="s">
        <v>1565</v>
      </c>
      <c r="J985" s="2" t="s">
        <v>840</v>
      </c>
      <c r="K985" s="2" t="s">
        <v>480</v>
      </c>
      <c r="L985" s="3">
        <v>110</v>
      </c>
      <c r="M985" s="3">
        <v>115.5</v>
      </c>
      <c r="N985" s="3">
        <v>229</v>
      </c>
      <c r="O985" s="2" t="s">
        <v>461</v>
      </c>
      <c r="P985" s="2" t="s">
        <v>333</v>
      </c>
      <c r="Q985" s="2" t="s">
        <v>234</v>
      </c>
      <c r="R985" s="2" t="s">
        <v>228</v>
      </c>
      <c r="S985" s="2" t="s">
        <v>228</v>
      </c>
      <c r="T985" s="2" t="s">
        <v>228</v>
      </c>
      <c r="U985" s="2" t="s">
        <v>416</v>
      </c>
      <c r="V985" s="2" t="s">
        <v>842</v>
      </c>
      <c r="W985" s="2" t="s">
        <v>417</v>
      </c>
      <c r="X985" s="2" t="s">
        <v>1514</v>
      </c>
      <c r="Y985" s="2" t="s">
        <v>5260</v>
      </c>
      <c r="Z985" s="4">
        <v>155</v>
      </c>
      <c r="AA985" s="4">
        <f>=ROUNDDOWN(1550,0)</f>
      </c>
      <c r="AB985" s="5">
        <v>0.1</v>
      </c>
      <c r="AC985" s="2" t="s">
        <v>228</v>
      </c>
      <c r="AD985" s="4"/>
      <c r="AE985" s="4"/>
      <c r="AF985" s="6">
        <v>66</v>
      </c>
      <c r="AG985" s="6"/>
      <c r="AH985" s="7">
        <v>1</v>
      </c>
      <c r="AI985" s="4"/>
      <c r="AJ985" s="4">
        <f>=ROUNDDOWN({0},0)</f>
      </c>
      <c r="AK985" s="5"/>
      <c r="AL985" s="2" t="s">
        <v>228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/>
      <c r="AW985" s="8"/>
      <c r="AX985" s="4"/>
      <c r="AY985" s="8"/>
      <c r="AZ985" s="7"/>
      <c r="BA985" s="7"/>
      <c r="BB985" s="7"/>
      <c r="BC985" s="4"/>
      <c r="BD985" s="8"/>
      <c r="BE985" s="4"/>
      <c r="BF985" s="8"/>
      <c r="BG985" s="7"/>
      <c r="BH985" s="7"/>
      <c r="BI985" s="7"/>
      <c r="BJ985" s="4">
        <v>1</v>
      </c>
      <c r="BK985" s="8">
        <v>115.5</v>
      </c>
      <c r="BL985" s="2" t="s">
        <v>5261</v>
      </c>
      <c r="BM985" s="7"/>
      <c r="BN985" s="7"/>
      <c r="BO985" s="4"/>
      <c r="BP985" s="8"/>
      <c r="BQ985" s="4"/>
      <c r="BR985" s="8"/>
      <c r="BS985" s="7"/>
      <c r="BT985" s="7"/>
      <c r="BU985" s="2" t="s">
        <v>5262</v>
      </c>
      <c r="BV985" s="2" t="s">
        <v>228</v>
      </c>
      <c r="BW985" s="2" t="s">
        <v>228</v>
      </c>
      <c r="BX985" s="2" t="s">
        <v>337</v>
      </c>
      <c r="BY985" s="2" t="s">
        <v>274</v>
      </c>
      <c r="BZ985" s="2" t="s">
        <v>240</v>
      </c>
      <c r="CA985" s="2" t="s">
        <v>5263</v>
      </c>
      <c r="CB985" s="2" t="s">
        <v>5264</v>
      </c>
      <c r="CC985" s="2" t="s">
        <v>241</v>
      </c>
      <c r="CD985" s="2" t="s">
        <v>228</v>
      </c>
      <c r="CE985" s="4"/>
      <c r="CF985" s="4">
        <v>155</v>
      </c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</row>
    <row r="986">
      <c r="A986" s="2" t="s">
        <v>5265</v>
      </c>
      <c r="B986" s="2" t="s">
        <v>1150</v>
      </c>
      <c r="C986" s="2" t="s">
        <v>300</v>
      </c>
      <c r="D986" s="2" t="s">
        <v>1112</v>
      </c>
      <c r="E986" s="2" t="s">
        <v>1113</v>
      </c>
      <c r="F986" s="2" t="s">
        <v>5266</v>
      </c>
      <c r="G986" s="2" t="s">
        <v>5267</v>
      </c>
      <c r="H986" s="2" t="s">
        <v>5268</v>
      </c>
      <c r="I986" s="2" t="s">
        <v>5269</v>
      </c>
      <c r="J986" s="2" t="s">
        <v>1189</v>
      </c>
      <c r="K986" s="2" t="s">
        <v>249</v>
      </c>
      <c r="L986" s="3">
        <v>45.71</v>
      </c>
      <c r="M986" s="3">
        <v>48</v>
      </c>
      <c r="N986" s="3">
        <v>99.99</v>
      </c>
      <c r="O986" s="2" t="s">
        <v>240</v>
      </c>
      <c r="P986" s="2" t="s">
        <v>233</v>
      </c>
      <c r="Q986" s="2" t="s">
        <v>234</v>
      </c>
      <c r="R986" s="2" t="s">
        <v>228</v>
      </c>
      <c r="S986" s="2" t="s">
        <v>5270</v>
      </c>
      <c r="T986" s="2" t="s">
        <v>415</v>
      </c>
      <c r="U986" s="2" t="s">
        <v>500</v>
      </c>
      <c r="V986" s="2" t="s">
        <v>236</v>
      </c>
      <c r="W986" s="2" t="s">
        <v>2512</v>
      </c>
      <c r="X986" s="2" t="s">
        <v>1268</v>
      </c>
      <c r="Y986" s="2" t="s">
        <v>5072</v>
      </c>
      <c r="Z986" s="4">
        <v>240</v>
      </c>
      <c r="AA986" s="4">
        <f>=ROUNDDOWN(24,0)</f>
      </c>
      <c r="AB986" s="5">
        <v>10</v>
      </c>
      <c r="AC986" s="2" t="s">
        <v>163</v>
      </c>
      <c r="AD986" s="4">
        <v>250</v>
      </c>
      <c r="AE986" s="4">
        <v>250</v>
      </c>
      <c r="AF986" s="6">
        <v>69</v>
      </c>
      <c r="AG986" s="6"/>
      <c r="AH986" s="7">
        <v>1</v>
      </c>
      <c r="AI986" s="4"/>
      <c r="AJ986" s="4">
        <f>=ROUNDDOWN({0},0)</f>
      </c>
      <c r="AK986" s="5"/>
      <c r="AL986" s="2" t="s">
        <v>228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228</v>
      </c>
      <c r="AW986" s="8" t="s">
        <v>228</v>
      </c>
      <c r="AX986" s="4" t="s">
        <v>228</v>
      </c>
      <c r="AY986" s="8" t="s">
        <v>228</v>
      </c>
      <c r="AZ986" s="7" t="s">
        <v>228</v>
      </c>
      <c r="BA986" s="7" t="s">
        <v>228</v>
      </c>
      <c r="BB986" s="7"/>
      <c r="BC986" s="4" t="s">
        <v>228</v>
      </c>
      <c r="BD986" s="8" t="s">
        <v>228</v>
      </c>
      <c r="BE986" s="4" t="s">
        <v>228</v>
      </c>
      <c r="BF986" s="8" t="s">
        <v>228</v>
      </c>
      <c r="BG986" s="7" t="s">
        <v>228</v>
      </c>
      <c r="BH986" s="7" t="s">
        <v>228</v>
      </c>
      <c r="BI986" s="7"/>
      <c r="BJ986" s="4">
        <v>2</v>
      </c>
      <c r="BK986" s="8">
        <v>123.56</v>
      </c>
      <c r="BL986" s="2" t="s">
        <v>5271</v>
      </c>
      <c r="BM986" s="7"/>
      <c r="BN986" s="7"/>
      <c r="BO986" s="4"/>
      <c r="BP986" s="8"/>
      <c r="BQ986" s="4"/>
      <c r="BR986" s="8"/>
      <c r="BS986" s="7"/>
      <c r="BT986" s="7"/>
      <c r="BU986" s="2" t="s">
        <v>5272</v>
      </c>
      <c r="BV986" s="2" t="s">
        <v>228</v>
      </c>
      <c r="BW986" s="2" t="s">
        <v>228</v>
      </c>
      <c r="BX986" s="2" t="s">
        <v>273</v>
      </c>
      <c r="BY986" s="2" t="s">
        <v>274</v>
      </c>
      <c r="BZ986" s="2" t="s">
        <v>240</v>
      </c>
      <c r="CA986" s="2" t="s">
        <v>2983</v>
      </c>
      <c r="CB986" s="2" t="s">
        <v>228</v>
      </c>
      <c r="CC986" s="2" t="s">
        <v>241</v>
      </c>
      <c r="CD986" s="2" t="s">
        <v>228</v>
      </c>
      <c r="CE986" s="4">
        <v>240</v>
      </c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>
        <v>250</v>
      </c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</row>
    <row r="987">
      <c r="A987" s="2" t="s">
        <v>5273</v>
      </c>
      <c r="B987" s="2" t="s">
        <v>1150</v>
      </c>
      <c r="C987" s="2" t="s">
        <v>300</v>
      </c>
      <c r="D987" s="2" t="s">
        <v>1112</v>
      </c>
      <c r="E987" s="2" t="s">
        <v>1113</v>
      </c>
      <c r="F987" s="2" t="s">
        <v>5266</v>
      </c>
      <c r="G987" s="2" t="s">
        <v>5267</v>
      </c>
      <c r="H987" s="2" t="s">
        <v>5268</v>
      </c>
      <c r="I987" s="2" t="s">
        <v>5269</v>
      </c>
      <c r="J987" s="2" t="s">
        <v>1043</v>
      </c>
      <c r="K987" s="2" t="s">
        <v>249</v>
      </c>
      <c r="L987" s="3">
        <v>50.28</v>
      </c>
      <c r="M987" s="3">
        <v>52.79</v>
      </c>
      <c r="N987" s="3">
        <v>109.99</v>
      </c>
      <c r="O987" s="2" t="s">
        <v>240</v>
      </c>
      <c r="P987" s="2" t="s">
        <v>233</v>
      </c>
      <c r="Q987" s="2" t="s">
        <v>234</v>
      </c>
      <c r="R987" s="2" t="s">
        <v>228</v>
      </c>
      <c r="S987" s="2" t="s">
        <v>5270</v>
      </c>
      <c r="T987" s="2" t="s">
        <v>415</v>
      </c>
      <c r="U987" s="2" t="s">
        <v>500</v>
      </c>
      <c r="V987" s="2" t="s">
        <v>236</v>
      </c>
      <c r="W987" s="2" t="s">
        <v>2512</v>
      </c>
      <c r="X987" s="2" t="s">
        <v>1268</v>
      </c>
      <c r="Y987" s="2" t="s">
        <v>5072</v>
      </c>
      <c r="Z987" s="4">
        <v>142</v>
      </c>
      <c r="AA987" s="4">
        <f>=ROUNDDOWN(20.2857142857143,0)</f>
      </c>
      <c r="AB987" s="5">
        <v>7</v>
      </c>
      <c r="AC987" s="2" t="s">
        <v>163</v>
      </c>
      <c r="AD987" s="4">
        <v>150</v>
      </c>
      <c r="AE987" s="4">
        <v>150</v>
      </c>
      <c r="AF987" s="6">
        <v>69</v>
      </c>
      <c r="AG987" s="6"/>
      <c r="AH987" s="7">
        <v>1</v>
      </c>
      <c r="AI987" s="4"/>
      <c r="AJ987" s="4">
        <f>=ROUNDDOWN({0},0)</f>
      </c>
      <c r="AK987" s="5"/>
      <c r="AL987" s="2" t="s">
        <v>228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228</v>
      </c>
      <c r="AW987" s="8" t="s">
        <v>228</v>
      </c>
      <c r="AX987" s="4" t="s">
        <v>228</v>
      </c>
      <c r="AY987" s="8" t="s">
        <v>228</v>
      </c>
      <c r="AZ987" s="7" t="s">
        <v>228</v>
      </c>
      <c r="BA987" s="7" t="s">
        <v>228</v>
      </c>
      <c r="BB987" s="7"/>
      <c r="BC987" s="4" t="s">
        <v>228</v>
      </c>
      <c r="BD987" s="8" t="s">
        <v>228</v>
      </c>
      <c r="BE987" s="4" t="s">
        <v>228</v>
      </c>
      <c r="BF987" s="8" t="s">
        <v>228</v>
      </c>
      <c r="BG987" s="7" t="s">
        <v>228</v>
      </c>
      <c r="BH987" s="7" t="s">
        <v>228</v>
      </c>
      <c r="BI987" s="7"/>
      <c r="BJ987" s="4">
        <v>3</v>
      </c>
      <c r="BK987" s="8">
        <v>171.86</v>
      </c>
      <c r="BL987" s="2" t="s">
        <v>3169</v>
      </c>
      <c r="BM987" s="7"/>
      <c r="BN987" s="7"/>
      <c r="BO987" s="4"/>
      <c r="BP987" s="8"/>
      <c r="BQ987" s="4"/>
      <c r="BR987" s="8"/>
      <c r="BS987" s="7"/>
      <c r="BT987" s="7"/>
      <c r="BU987" s="2" t="s">
        <v>5274</v>
      </c>
      <c r="BV987" s="2" t="s">
        <v>228</v>
      </c>
      <c r="BW987" s="2" t="s">
        <v>228</v>
      </c>
      <c r="BX987" s="2" t="s">
        <v>273</v>
      </c>
      <c r="BY987" s="2" t="s">
        <v>274</v>
      </c>
      <c r="BZ987" s="2" t="s">
        <v>240</v>
      </c>
      <c r="CA987" s="2" t="s">
        <v>2983</v>
      </c>
      <c r="CB987" s="2" t="s">
        <v>2491</v>
      </c>
      <c r="CC987" s="2" t="s">
        <v>241</v>
      </c>
      <c r="CD987" s="2" t="s">
        <v>228</v>
      </c>
      <c r="CE987" s="4">
        <v>142</v>
      </c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>
        <v>150</v>
      </c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</row>
    <row r="988">
      <c r="A988" s="2" t="s">
        <v>5275</v>
      </c>
      <c r="B988" s="2" t="s">
        <v>1150</v>
      </c>
      <c r="C988" s="2" t="s">
        <v>300</v>
      </c>
      <c r="D988" s="2" t="s">
        <v>1112</v>
      </c>
      <c r="E988" s="2" t="s">
        <v>1113</v>
      </c>
      <c r="F988" s="2" t="s">
        <v>5266</v>
      </c>
      <c r="G988" s="2" t="s">
        <v>5267</v>
      </c>
      <c r="H988" s="2" t="s">
        <v>5268</v>
      </c>
      <c r="I988" s="2" t="s">
        <v>5269</v>
      </c>
      <c r="J988" s="2" t="s">
        <v>1189</v>
      </c>
      <c r="K988" s="2" t="s">
        <v>316</v>
      </c>
      <c r="L988" s="3">
        <v>45.71</v>
      </c>
      <c r="M988" s="3">
        <v>48</v>
      </c>
      <c r="N988" s="3">
        <v>99.99</v>
      </c>
      <c r="O988" s="2" t="s">
        <v>240</v>
      </c>
      <c r="P988" s="2" t="s">
        <v>233</v>
      </c>
      <c r="Q988" s="2" t="s">
        <v>234</v>
      </c>
      <c r="R988" s="2" t="s">
        <v>228</v>
      </c>
      <c r="S988" s="2" t="s">
        <v>5276</v>
      </c>
      <c r="T988" s="2" t="s">
        <v>415</v>
      </c>
      <c r="U988" s="2" t="s">
        <v>500</v>
      </c>
      <c r="V988" s="2" t="s">
        <v>236</v>
      </c>
      <c r="W988" s="2" t="s">
        <v>2512</v>
      </c>
      <c r="X988" s="2" t="s">
        <v>1268</v>
      </c>
      <c r="Y988" s="2" t="s">
        <v>5072</v>
      </c>
      <c r="Z988" s="4">
        <v>220</v>
      </c>
      <c r="AA988" s="4">
        <f>=ROUNDDOWN(22,0)</f>
      </c>
      <c r="AB988" s="5">
        <v>10</v>
      </c>
      <c r="AC988" s="2" t="s">
        <v>163</v>
      </c>
      <c r="AD988" s="4">
        <v>250</v>
      </c>
      <c r="AE988" s="4">
        <v>250</v>
      </c>
      <c r="AF988" s="6">
        <v>69</v>
      </c>
      <c r="AG988" s="6"/>
      <c r="AH988" s="7">
        <v>1</v>
      </c>
      <c r="AI988" s="4"/>
      <c r="AJ988" s="4">
        <f>=ROUNDDOWN({0},0)</f>
      </c>
      <c r="AK988" s="5"/>
      <c r="AL988" s="2" t="s">
        <v>228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228</v>
      </c>
      <c r="AW988" s="8" t="s">
        <v>228</v>
      </c>
      <c r="AX988" s="4" t="s">
        <v>228</v>
      </c>
      <c r="AY988" s="8" t="s">
        <v>228</v>
      </c>
      <c r="AZ988" s="7" t="s">
        <v>228</v>
      </c>
      <c r="BA988" s="7" t="s">
        <v>228</v>
      </c>
      <c r="BB988" s="7"/>
      <c r="BC988" s="4" t="s">
        <v>228</v>
      </c>
      <c r="BD988" s="8" t="s">
        <v>228</v>
      </c>
      <c r="BE988" s="4" t="s">
        <v>228</v>
      </c>
      <c r="BF988" s="8" t="s">
        <v>228</v>
      </c>
      <c r="BG988" s="7" t="s">
        <v>228</v>
      </c>
      <c r="BH988" s="7" t="s">
        <v>228</v>
      </c>
      <c r="BI988" s="7"/>
      <c r="BJ988" s="4">
        <v>6</v>
      </c>
      <c r="BK988" s="8">
        <v>310.33</v>
      </c>
      <c r="BL988" s="2" t="s">
        <v>353</v>
      </c>
      <c r="BM988" s="7"/>
      <c r="BN988" s="7"/>
      <c r="BO988" s="4"/>
      <c r="BP988" s="8"/>
      <c r="BQ988" s="4"/>
      <c r="BR988" s="8"/>
      <c r="BS988" s="7"/>
      <c r="BT988" s="7"/>
      <c r="BU988" s="2" t="s">
        <v>5277</v>
      </c>
      <c r="BV988" s="2" t="s">
        <v>228</v>
      </c>
      <c r="BW988" s="2" t="s">
        <v>228</v>
      </c>
      <c r="BX988" s="2" t="s">
        <v>273</v>
      </c>
      <c r="BY988" s="2" t="s">
        <v>274</v>
      </c>
      <c r="BZ988" s="2" t="s">
        <v>240</v>
      </c>
      <c r="CA988" s="2" t="s">
        <v>2983</v>
      </c>
      <c r="CB988" s="2" t="s">
        <v>1786</v>
      </c>
      <c r="CC988" s="2" t="s">
        <v>241</v>
      </c>
      <c r="CD988" s="2" t="s">
        <v>228</v>
      </c>
      <c r="CE988" s="4">
        <v>220</v>
      </c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>
        <v>250</v>
      </c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</row>
    <row r="989">
      <c r="A989" s="2" t="s">
        <v>5278</v>
      </c>
      <c r="B989" s="2" t="s">
        <v>1150</v>
      </c>
      <c r="C989" s="2" t="s">
        <v>300</v>
      </c>
      <c r="D989" s="2" t="s">
        <v>1112</v>
      </c>
      <c r="E989" s="2" t="s">
        <v>1113</v>
      </c>
      <c r="F989" s="2" t="s">
        <v>5266</v>
      </c>
      <c r="G989" s="2" t="s">
        <v>5267</v>
      </c>
      <c r="H989" s="2" t="s">
        <v>5268</v>
      </c>
      <c r="I989" s="2" t="s">
        <v>5269</v>
      </c>
      <c r="J989" s="2" t="s">
        <v>1043</v>
      </c>
      <c r="K989" s="2" t="s">
        <v>316</v>
      </c>
      <c r="L989" s="3">
        <v>50.28</v>
      </c>
      <c r="M989" s="3">
        <v>52.79</v>
      </c>
      <c r="N989" s="3">
        <v>109.99</v>
      </c>
      <c r="O989" s="2" t="s">
        <v>240</v>
      </c>
      <c r="P989" s="2" t="s">
        <v>233</v>
      </c>
      <c r="Q989" s="2" t="s">
        <v>234</v>
      </c>
      <c r="R989" s="2" t="s">
        <v>228</v>
      </c>
      <c r="S989" s="2" t="s">
        <v>5276</v>
      </c>
      <c r="T989" s="2" t="s">
        <v>415</v>
      </c>
      <c r="U989" s="2" t="s">
        <v>500</v>
      </c>
      <c r="V989" s="2" t="s">
        <v>236</v>
      </c>
      <c r="W989" s="2" t="s">
        <v>2512</v>
      </c>
      <c r="X989" s="2" t="s">
        <v>1268</v>
      </c>
      <c r="Y989" s="2" t="s">
        <v>5072</v>
      </c>
      <c r="Z989" s="4">
        <v>133</v>
      </c>
      <c r="AA989" s="4">
        <f>=ROUNDDOWN(19,0)</f>
      </c>
      <c r="AB989" s="5">
        <v>7</v>
      </c>
      <c r="AC989" s="2" t="s">
        <v>163</v>
      </c>
      <c r="AD989" s="4">
        <v>150</v>
      </c>
      <c r="AE989" s="4">
        <v>150</v>
      </c>
      <c r="AF989" s="6">
        <v>69</v>
      </c>
      <c r="AG989" s="6"/>
      <c r="AH989" s="7">
        <v>1</v>
      </c>
      <c r="AI989" s="4"/>
      <c r="AJ989" s="4">
        <f>=ROUNDDOWN({0},0)</f>
      </c>
      <c r="AK989" s="5"/>
      <c r="AL989" s="2" t="s">
        <v>228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228</v>
      </c>
      <c r="AW989" s="8" t="s">
        <v>228</v>
      </c>
      <c r="AX989" s="4" t="s">
        <v>228</v>
      </c>
      <c r="AY989" s="8" t="s">
        <v>228</v>
      </c>
      <c r="AZ989" s="7" t="s">
        <v>228</v>
      </c>
      <c r="BA989" s="7" t="s">
        <v>228</v>
      </c>
      <c r="BB989" s="7"/>
      <c r="BC989" s="4" t="s">
        <v>228</v>
      </c>
      <c r="BD989" s="8" t="s">
        <v>228</v>
      </c>
      <c r="BE989" s="4" t="s">
        <v>228</v>
      </c>
      <c r="BF989" s="8" t="s">
        <v>228</v>
      </c>
      <c r="BG989" s="7" t="s">
        <v>228</v>
      </c>
      <c r="BH989" s="7" t="s">
        <v>228</v>
      </c>
      <c r="BI989" s="7"/>
      <c r="BJ989" s="4">
        <v>3</v>
      </c>
      <c r="BK989" s="8">
        <v>171.86</v>
      </c>
      <c r="BL989" s="2" t="s">
        <v>2894</v>
      </c>
      <c r="BM989" s="7"/>
      <c r="BN989" s="7"/>
      <c r="BO989" s="4"/>
      <c r="BP989" s="8"/>
      <c r="BQ989" s="4"/>
      <c r="BR989" s="8"/>
      <c r="BS989" s="7"/>
      <c r="BT989" s="7"/>
      <c r="BU989" s="2" t="s">
        <v>5279</v>
      </c>
      <c r="BV989" s="2" t="s">
        <v>228</v>
      </c>
      <c r="BW989" s="2" t="s">
        <v>228</v>
      </c>
      <c r="BX989" s="2" t="s">
        <v>273</v>
      </c>
      <c r="BY989" s="2" t="s">
        <v>274</v>
      </c>
      <c r="BZ989" s="2" t="s">
        <v>240</v>
      </c>
      <c r="CA989" s="2" t="s">
        <v>2983</v>
      </c>
      <c r="CB989" s="2" t="s">
        <v>4688</v>
      </c>
      <c r="CC989" s="2" t="s">
        <v>241</v>
      </c>
      <c r="CD989" s="2" t="s">
        <v>228</v>
      </c>
      <c r="CE989" s="4">
        <v>133</v>
      </c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>
        <v>150</v>
      </c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</row>
    <row r="990">
      <c r="A990" s="2" t="s">
        <v>5280</v>
      </c>
      <c r="B990" s="2" t="s">
        <v>1150</v>
      </c>
      <c r="C990" s="2" t="s">
        <v>345</v>
      </c>
      <c r="D990" s="2" t="s">
        <v>1112</v>
      </c>
      <c r="E990" s="2" t="s">
        <v>1151</v>
      </c>
      <c r="F990" s="2" t="s">
        <v>5281</v>
      </c>
      <c r="G990" s="2" t="s">
        <v>5282</v>
      </c>
      <c r="H990" s="2" t="s">
        <v>5283</v>
      </c>
      <c r="I990" s="2" t="s">
        <v>5284</v>
      </c>
      <c r="J990" s="2" t="s">
        <v>294</v>
      </c>
      <c r="K990" s="2" t="s">
        <v>3934</v>
      </c>
      <c r="L990" s="3">
        <v>54.99</v>
      </c>
      <c r="M990" s="3">
        <v>57.74</v>
      </c>
      <c r="N990" s="3">
        <v>109.99</v>
      </c>
      <c r="O990" s="2" t="s">
        <v>461</v>
      </c>
      <c r="P990" s="2" t="s">
        <v>333</v>
      </c>
      <c r="Q990" s="2" t="s">
        <v>234</v>
      </c>
      <c r="R990" s="2" t="s">
        <v>228</v>
      </c>
      <c r="S990" s="2" t="s">
        <v>5285</v>
      </c>
      <c r="T990" s="2" t="s">
        <v>415</v>
      </c>
      <c r="U990" s="2" t="s">
        <v>791</v>
      </c>
      <c r="V990" s="2" t="s">
        <v>1438</v>
      </c>
      <c r="W990" s="2" t="s">
        <v>1267</v>
      </c>
      <c r="X990" s="2" t="s">
        <v>269</v>
      </c>
      <c r="Y990" s="2" t="s">
        <v>5286</v>
      </c>
      <c r="Z990" s="4">
        <v>282</v>
      </c>
      <c r="AA990" s="4">
        <f>=ROUNDDOWN(141,0)</f>
      </c>
      <c r="AB990" s="5">
        <v>2</v>
      </c>
      <c r="AC990" s="2" t="s">
        <v>228</v>
      </c>
      <c r="AD990" s="4"/>
      <c r="AE990" s="4"/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228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/>
      <c r="AW990" s="8"/>
      <c r="AX990" s="4"/>
      <c r="AY990" s="8"/>
      <c r="AZ990" s="7"/>
      <c r="BA990" s="7"/>
      <c r="BB990" s="7"/>
      <c r="BC990" s="4"/>
      <c r="BD990" s="8"/>
      <c r="BE990" s="4"/>
      <c r="BF990" s="8"/>
      <c r="BG990" s="7"/>
      <c r="BH990" s="7"/>
      <c r="BI990" s="7"/>
      <c r="BJ990" s="4">
        <v>8</v>
      </c>
      <c r="BK990" s="8">
        <v>359.19</v>
      </c>
      <c r="BL990" s="2" t="s">
        <v>5287</v>
      </c>
      <c r="BM990" s="7"/>
      <c r="BN990" s="7"/>
      <c r="BO990" s="4"/>
      <c r="BP990" s="8"/>
      <c r="BQ990" s="4"/>
      <c r="BR990" s="8"/>
      <c r="BS990" s="7"/>
      <c r="BT990" s="7"/>
      <c r="BU990" s="2" t="s">
        <v>5288</v>
      </c>
      <c r="BV990" s="2" t="s">
        <v>228</v>
      </c>
      <c r="BW990" s="2" t="s">
        <v>228</v>
      </c>
      <c r="BX990" s="2" t="s">
        <v>337</v>
      </c>
      <c r="BY990" s="2" t="s">
        <v>274</v>
      </c>
      <c r="BZ990" s="2" t="s">
        <v>240</v>
      </c>
      <c r="CA990" s="2" t="s">
        <v>5289</v>
      </c>
      <c r="CB990" s="2" t="s">
        <v>5290</v>
      </c>
      <c r="CC990" s="2" t="s">
        <v>241</v>
      </c>
      <c r="CD990" s="2" t="s">
        <v>228</v>
      </c>
      <c r="CE990" s="4">
        <v>282</v>
      </c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</row>
    <row r="991">
      <c r="A991" s="2" t="s">
        <v>5291</v>
      </c>
      <c r="B991" s="2" t="s">
        <v>958</v>
      </c>
      <c r="C991" s="2" t="s">
        <v>1743</v>
      </c>
      <c r="D991" s="2" t="s">
        <v>1795</v>
      </c>
      <c r="E991" s="2" t="s">
        <v>1796</v>
      </c>
      <c r="F991" s="2" t="s">
        <v>5292</v>
      </c>
      <c r="G991" s="2" t="s">
        <v>5292</v>
      </c>
      <c r="H991" s="2" t="s">
        <v>5292</v>
      </c>
      <c r="I991" s="2" t="s">
        <v>5293</v>
      </c>
      <c r="J991" s="2" t="s">
        <v>840</v>
      </c>
      <c r="K991" s="2" t="s">
        <v>249</v>
      </c>
      <c r="L991" s="3">
        <v>102.6</v>
      </c>
      <c r="M991" s="3">
        <v>107.73</v>
      </c>
      <c r="N991" s="3">
        <v>219</v>
      </c>
      <c r="O991" s="2" t="s">
        <v>240</v>
      </c>
      <c r="P991" s="2" t="s">
        <v>333</v>
      </c>
      <c r="Q991" s="2" t="s">
        <v>234</v>
      </c>
      <c r="R991" s="2" t="s">
        <v>228</v>
      </c>
      <c r="S991" s="2" t="s">
        <v>228</v>
      </c>
      <c r="T991" s="2" t="s">
        <v>228</v>
      </c>
      <c r="U991" s="2" t="s">
        <v>520</v>
      </c>
      <c r="V991" s="2" t="s">
        <v>842</v>
      </c>
      <c r="W991" s="2" t="s">
        <v>463</v>
      </c>
      <c r="X991" s="2" t="s">
        <v>417</v>
      </c>
      <c r="Y991" s="2" t="s">
        <v>2334</v>
      </c>
      <c r="Z991" s="4">
        <v>25</v>
      </c>
      <c r="AA991" s="4">
        <f>=ROUNDDOWN(12.5,0)</f>
      </c>
      <c r="AB991" s="5">
        <v>2</v>
      </c>
      <c r="AC991" s="2" t="s">
        <v>228</v>
      </c>
      <c r="AD991" s="4"/>
      <c r="AE991" s="4"/>
      <c r="AF991" s="6">
        <v>76</v>
      </c>
      <c r="AG991" s="6"/>
      <c r="AH991" s="7">
        <v>1</v>
      </c>
      <c r="AI991" s="4"/>
      <c r="AJ991" s="4">
        <f>=ROUNDDOWN({0},0)</f>
      </c>
      <c r="AK991" s="5"/>
      <c r="AL991" s="2" t="s">
        <v>228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 t="s">
        <v>228</v>
      </c>
      <c r="BD991" s="8" t="s">
        <v>228</v>
      </c>
      <c r="BE991" s="4" t="s">
        <v>228</v>
      </c>
      <c r="BF991" s="8" t="s">
        <v>228</v>
      </c>
      <c r="BG991" s="7" t="s">
        <v>228</v>
      </c>
      <c r="BH991" s="7" t="s">
        <v>228</v>
      </c>
      <c r="BI991" s="7"/>
      <c r="BJ991" s="4">
        <v>7</v>
      </c>
      <c r="BK991" s="8">
        <v>648.68</v>
      </c>
      <c r="BL991" s="2" t="s">
        <v>5294</v>
      </c>
      <c r="BM991" s="7"/>
      <c r="BN991" s="7"/>
      <c r="BO991" s="4"/>
      <c r="BP991" s="8"/>
      <c r="BQ991" s="4"/>
      <c r="BR991" s="8"/>
      <c r="BS991" s="7"/>
      <c r="BT991" s="7"/>
      <c r="BU991" s="2" t="s">
        <v>5295</v>
      </c>
      <c r="BV991" s="2" t="s">
        <v>228</v>
      </c>
      <c r="BW991" s="2" t="s">
        <v>228</v>
      </c>
      <c r="BX991" s="2" t="s">
        <v>337</v>
      </c>
      <c r="BY991" s="2" t="s">
        <v>274</v>
      </c>
      <c r="BZ991" s="2" t="s">
        <v>240</v>
      </c>
      <c r="CA991" s="2" t="s">
        <v>2334</v>
      </c>
      <c r="CB991" s="2" t="s">
        <v>5296</v>
      </c>
      <c r="CC991" s="2" t="s">
        <v>241</v>
      </c>
      <c r="CD991" s="2" t="s">
        <v>228</v>
      </c>
      <c r="CE991" s="4"/>
      <c r="CF991" s="4">
        <v>25</v>
      </c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</row>
    <row r="992">
      <c r="A992" s="2" t="s">
        <v>5297</v>
      </c>
      <c r="B992" s="2" t="s">
        <v>1150</v>
      </c>
      <c r="C992" s="2" t="s">
        <v>300</v>
      </c>
      <c r="D992" s="2" t="s">
        <v>1112</v>
      </c>
      <c r="E992" s="2" t="s">
        <v>1113</v>
      </c>
      <c r="F992" s="2" t="s">
        <v>5292</v>
      </c>
      <c r="G992" s="2" t="s">
        <v>5298</v>
      </c>
      <c r="H992" s="2" t="s">
        <v>5299</v>
      </c>
      <c r="I992" s="2" t="s">
        <v>5300</v>
      </c>
      <c r="J992" s="2" t="s">
        <v>1043</v>
      </c>
      <c r="K992" s="2" t="s">
        <v>1642</v>
      </c>
      <c r="L992" s="3">
        <v>41.14</v>
      </c>
      <c r="M992" s="3">
        <v>43.2</v>
      </c>
      <c r="N992" s="3">
        <v>89.99</v>
      </c>
      <c r="O992" s="2" t="s">
        <v>240</v>
      </c>
      <c r="P992" s="2" t="s">
        <v>333</v>
      </c>
      <c r="Q992" s="2" t="s">
        <v>234</v>
      </c>
      <c r="R992" s="2" t="s">
        <v>228</v>
      </c>
      <c r="S992" s="2" t="s">
        <v>5301</v>
      </c>
      <c r="T992" s="2" t="s">
        <v>1414</v>
      </c>
      <c r="U992" s="2" t="s">
        <v>500</v>
      </c>
      <c r="V992" s="2" t="s">
        <v>1681</v>
      </c>
      <c r="W992" s="2" t="s">
        <v>2512</v>
      </c>
      <c r="X992" s="2" t="s">
        <v>1761</v>
      </c>
      <c r="Y992" s="2" t="s">
        <v>5296</v>
      </c>
      <c r="Z992" s="4">
        <v>242</v>
      </c>
      <c r="AA992" s="4">
        <f>=ROUNDDOWN(40.3333333333333,0)</f>
      </c>
      <c r="AB992" s="5">
        <v>6</v>
      </c>
      <c r="AC992" s="2" t="s">
        <v>228</v>
      </c>
      <c r="AD992" s="4"/>
      <c r="AE992" s="4"/>
      <c r="AF992" s="6">
        <v>64</v>
      </c>
      <c r="AG992" s="6"/>
      <c r="AH992" s="7">
        <v>1</v>
      </c>
      <c r="AI992" s="4"/>
      <c r="AJ992" s="4">
        <f>=ROUNDDOWN({0},0)</f>
      </c>
      <c r="AK992" s="5"/>
      <c r="AL992" s="2" t="s">
        <v>228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/>
      <c r="AW992" s="8"/>
      <c r="AX992" s="4"/>
      <c r="AY992" s="8"/>
      <c r="AZ992" s="7"/>
      <c r="BA992" s="7"/>
      <c r="BB992" s="7"/>
      <c r="BC992" s="4" t="s">
        <v>228</v>
      </c>
      <c r="BD992" s="8" t="s">
        <v>228</v>
      </c>
      <c r="BE992" s="4" t="s">
        <v>228</v>
      </c>
      <c r="BF992" s="8" t="s">
        <v>228</v>
      </c>
      <c r="BG992" s="7" t="s">
        <v>228</v>
      </c>
      <c r="BH992" s="7" t="s">
        <v>228</v>
      </c>
      <c r="BI992" s="7"/>
      <c r="BJ992" s="4">
        <v>23</v>
      </c>
      <c r="BK992" s="8">
        <v>1084.17</v>
      </c>
      <c r="BL992" s="2" t="s">
        <v>3141</v>
      </c>
      <c r="BM992" s="7"/>
      <c r="BN992" s="7"/>
      <c r="BO992" s="4"/>
      <c r="BP992" s="8"/>
      <c r="BQ992" s="4"/>
      <c r="BR992" s="8"/>
      <c r="BS992" s="7"/>
      <c r="BT992" s="7"/>
      <c r="BU992" s="2" t="s">
        <v>5302</v>
      </c>
      <c r="BV992" s="2" t="s">
        <v>228</v>
      </c>
      <c r="BW992" s="2" t="s">
        <v>228</v>
      </c>
      <c r="BX992" s="2" t="s">
        <v>337</v>
      </c>
      <c r="BY992" s="2" t="s">
        <v>274</v>
      </c>
      <c r="BZ992" s="2" t="s">
        <v>240</v>
      </c>
      <c r="CA992" s="2" t="s">
        <v>1001</v>
      </c>
      <c r="CB992" s="2" t="s">
        <v>4437</v>
      </c>
      <c r="CC992" s="2" t="s">
        <v>241</v>
      </c>
      <c r="CD992" s="2" t="s">
        <v>228</v>
      </c>
      <c r="CE992" s="4">
        <v>242</v>
      </c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</row>
    <row r="993">
      <c r="A993" s="2" t="s">
        <v>5303</v>
      </c>
      <c r="B993" s="2" t="s">
        <v>958</v>
      </c>
      <c r="C993" s="2" t="s">
        <v>1743</v>
      </c>
      <c r="D993" s="2" t="s">
        <v>1795</v>
      </c>
      <c r="E993" s="2" t="s">
        <v>1796</v>
      </c>
      <c r="F993" s="2" t="s">
        <v>5292</v>
      </c>
      <c r="G993" s="2" t="s">
        <v>5292</v>
      </c>
      <c r="H993" s="2" t="s">
        <v>5292</v>
      </c>
      <c r="I993" s="2" t="s">
        <v>5293</v>
      </c>
      <c r="J993" s="2" t="s">
        <v>840</v>
      </c>
      <c r="K993" s="2" t="s">
        <v>2350</v>
      </c>
      <c r="L993" s="3">
        <v>102.6</v>
      </c>
      <c r="M993" s="3">
        <v>107.73</v>
      </c>
      <c r="N993" s="3">
        <v>219</v>
      </c>
      <c r="O993" s="2" t="s">
        <v>240</v>
      </c>
      <c r="P993" s="2" t="s">
        <v>233</v>
      </c>
      <c r="Q993" s="2" t="s">
        <v>234</v>
      </c>
      <c r="R993" s="2" t="s">
        <v>228</v>
      </c>
      <c r="S993" s="2" t="s">
        <v>228</v>
      </c>
      <c r="T993" s="2" t="s">
        <v>1414</v>
      </c>
      <c r="U993" s="2" t="s">
        <v>520</v>
      </c>
      <c r="V993" s="2" t="s">
        <v>842</v>
      </c>
      <c r="W993" s="2" t="s">
        <v>463</v>
      </c>
      <c r="X993" s="2" t="s">
        <v>417</v>
      </c>
      <c r="Y993" s="2" t="s">
        <v>5304</v>
      </c>
      <c r="Z993" s="4">
        <v>100</v>
      </c>
      <c r="AA993" s="4">
        <f>=ROUNDDOWN(33.3333333333333,0)</f>
      </c>
      <c r="AB993" s="5">
        <v>3</v>
      </c>
      <c r="AC993" s="2" t="s">
        <v>228</v>
      </c>
      <c r="AD993" s="4"/>
      <c r="AE993" s="4"/>
      <c r="AF993" s="6">
        <v>76</v>
      </c>
      <c r="AG993" s="6"/>
      <c r="AH993" s="7">
        <v>1</v>
      </c>
      <c r="AI993" s="4"/>
      <c r="AJ993" s="4">
        <f>=ROUNDDOWN({0},0)</f>
      </c>
      <c r="AK993" s="5"/>
      <c r="AL993" s="2" t="s">
        <v>228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/>
      <c r="AW993" s="8"/>
      <c r="AX993" s="4"/>
      <c r="AY993" s="8"/>
      <c r="AZ993" s="7"/>
      <c r="BA993" s="7"/>
      <c r="BB993" s="7"/>
      <c r="BC993" s="4" t="s">
        <v>228</v>
      </c>
      <c r="BD993" s="8" t="s">
        <v>228</v>
      </c>
      <c r="BE993" s="4" t="s">
        <v>228</v>
      </c>
      <c r="BF993" s="8" t="s">
        <v>228</v>
      </c>
      <c r="BG993" s="7" t="s">
        <v>228</v>
      </c>
      <c r="BH993" s="7" t="s">
        <v>228</v>
      </c>
      <c r="BI993" s="7"/>
      <c r="BJ993" s="4"/>
      <c r="BK993" s="8"/>
      <c r="BL993" s="2" t="s">
        <v>228</v>
      </c>
      <c r="BM993" s="7"/>
      <c r="BN993" s="7"/>
      <c r="BO993" s="4"/>
      <c r="BP993" s="8"/>
      <c r="BQ993" s="4"/>
      <c r="BR993" s="8"/>
      <c r="BS993" s="7"/>
      <c r="BT993" s="7"/>
      <c r="BU993" s="2" t="s">
        <v>5305</v>
      </c>
      <c r="BV993" s="2" t="s">
        <v>228</v>
      </c>
      <c r="BW993" s="2" t="s">
        <v>228</v>
      </c>
      <c r="BX993" s="2" t="s">
        <v>238</v>
      </c>
      <c r="BY993" s="2" t="s">
        <v>274</v>
      </c>
      <c r="BZ993" s="2" t="s">
        <v>240</v>
      </c>
      <c r="CA993" s="2" t="s">
        <v>916</v>
      </c>
      <c r="CB993" s="2" t="s">
        <v>228</v>
      </c>
      <c r="CC993" s="2" t="s">
        <v>241</v>
      </c>
      <c r="CD993" s="2" t="s">
        <v>228</v>
      </c>
      <c r="CE993" s="4"/>
      <c r="CF993" s="4">
        <v>100</v>
      </c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</row>
    <row r="994">
      <c r="A994" s="2" t="s">
        <v>5306</v>
      </c>
      <c r="B994" s="2" t="s">
        <v>958</v>
      </c>
      <c r="C994" s="2" t="s">
        <v>1743</v>
      </c>
      <c r="D994" s="2" t="s">
        <v>1795</v>
      </c>
      <c r="E994" s="2" t="s">
        <v>1796</v>
      </c>
      <c r="F994" s="2" t="s">
        <v>5292</v>
      </c>
      <c r="G994" s="2" t="s">
        <v>5292</v>
      </c>
      <c r="H994" s="2" t="s">
        <v>5292</v>
      </c>
      <c r="I994" s="2" t="s">
        <v>5293</v>
      </c>
      <c r="J994" s="2" t="s">
        <v>840</v>
      </c>
      <c r="K994" s="2" t="s">
        <v>2358</v>
      </c>
      <c r="L994" s="3">
        <v>102.6</v>
      </c>
      <c r="M994" s="3">
        <v>107.73</v>
      </c>
      <c r="N994" s="3">
        <v>219</v>
      </c>
      <c r="O994" s="2" t="s">
        <v>240</v>
      </c>
      <c r="P994" s="2" t="s">
        <v>233</v>
      </c>
      <c r="Q994" s="2" t="s">
        <v>234</v>
      </c>
      <c r="R994" s="2" t="s">
        <v>228</v>
      </c>
      <c r="S994" s="2" t="s">
        <v>228</v>
      </c>
      <c r="T994" s="2" t="s">
        <v>228</v>
      </c>
      <c r="U994" s="2" t="s">
        <v>520</v>
      </c>
      <c r="V994" s="2" t="s">
        <v>842</v>
      </c>
      <c r="W994" s="2" t="s">
        <v>463</v>
      </c>
      <c r="X994" s="2" t="s">
        <v>417</v>
      </c>
      <c r="Y994" s="2" t="s">
        <v>781</v>
      </c>
      <c r="Z994" s="4">
        <v>182</v>
      </c>
      <c r="AA994" s="4">
        <f>=ROUNDDOWN(91,0)</f>
      </c>
      <c r="AB994" s="5">
        <v>2</v>
      </c>
      <c r="AC994" s="2" t="s">
        <v>228</v>
      </c>
      <c r="AD994" s="4"/>
      <c r="AE994" s="4"/>
      <c r="AF994" s="6">
        <v>76</v>
      </c>
      <c r="AG994" s="6"/>
      <c r="AH994" s="7">
        <v>1</v>
      </c>
      <c r="AI994" s="4"/>
      <c r="AJ994" s="4">
        <f>=ROUNDDOWN({0},0)</f>
      </c>
      <c r="AK994" s="5"/>
      <c r="AL994" s="2" t="s">
        <v>228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/>
      <c r="AW994" s="8"/>
      <c r="AX994" s="4"/>
      <c r="AY994" s="8"/>
      <c r="AZ994" s="7"/>
      <c r="BA994" s="7"/>
      <c r="BB994" s="7"/>
      <c r="BC994" s="4" t="s">
        <v>228</v>
      </c>
      <c r="BD994" s="8" t="s">
        <v>228</v>
      </c>
      <c r="BE994" s="4" t="s">
        <v>228</v>
      </c>
      <c r="BF994" s="8" t="s">
        <v>228</v>
      </c>
      <c r="BG994" s="7" t="s">
        <v>228</v>
      </c>
      <c r="BH994" s="7" t="s">
        <v>228</v>
      </c>
      <c r="BI994" s="7"/>
      <c r="BJ994" s="4">
        <v>2</v>
      </c>
      <c r="BK994" s="8">
        <v>254.02</v>
      </c>
      <c r="BL994" s="2" t="s">
        <v>622</v>
      </c>
      <c r="BM994" s="7"/>
      <c r="BN994" s="7"/>
      <c r="BO994" s="4"/>
      <c r="BP994" s="8"/>
      <c r="BQ994" s="4"/>
      <c r="BR994" s="8"/>
      <c r="BS994" s="7"/>
      <c r="BT994" s="7"/>
      <c r="BU994" s="2" t="s">
        <v>5307</v>
      </c>
      <c r="BV994" s="2" t="s">
        <v>228</v>
      </c>
      <c r="BW994" s="2" t="s">
        <v>228</v>
      </c>
      <c r="BX994" s="2" t="s">
        <v>238</v>
      </c>
      <c r="BY994" s="2" t="s">
        <v>274</v>
      </c>
      <c r="BZ994" s="2" t="s">
        <v>240</v>
      </c>
      <c r="CA994" s="2" t="s">
        <v>1160</v>
      </c>
      <c r="CB994" s="2" t="s">
        <v>228</v>
      </c>
      <c r="CC994" s="2" t="s">
        <v>241</v>
      </c>
      <c r="CD994" s="2" t="s">
        <v>228</v>
      </c>
      <c r="CE994" s="4"/>
      <c r="CF994" s="4">
        <v>182</v>
      </c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</row>
    <row r="995">
      <c r="A995" s="2" t="s">
        <v>5308</v>
      </c>
      <c r="B995" s="2" t="s">
        <v>958</v>
      </c>
      <c r="C995" s="2" t="s">
        <v>1743</v>
      </c>
      <c r="D995" s="2" t="s">
        <v>1795</v>
      </c>
      <c r="E995" s="2" t="s">
        <v>1796</v>
      </c>
      <c r="F995" s="2" t="s">
        <v>5292</v>
      </c>
      <c r="G995" s="2" t="s">
        <v>5292</v>
      </c>
      <c r="H995" s="2" t="s">
        <v>5292</v>
      </c>
      <c r="I995" s="2" t="s">
        <v>5293</v>
      </c>
      <c r="J995" s="2" t="s">
        <v>840</v>
      </c>
      <c r="K995" s="2" t="s">
        <v>829</v>
      </c>
      <c r="L995" s="3">
        <v>102.6</v>
      </c>
      <c r="M995" s="3">
        <v>107.73</v>
      </c>
      <c r="N995" s="3">
        <v>219</v>
      </c>
      <c r="O995" s="2" t="s">
        <v>240</v>
      </c>
      <c r="P995" s="2" t="s">
        <v>1012</v>
      </c>
      <c r="Q995" s="2" t="s">
        <v>234</v>
      </c>
      <c r="R995" s="2" t="s">
        <v>228</v>
      </c>
      <c r="S995" s="2" t="s">
        <v>228</v>
      </c>
      <c r="T995" s="2" t="s">
        <v>228</v>
      </c>
      <c r="U995" s="2" t="s">
        <v>520</v>
      </c>
      <c r="V995" s="2" t="s">
        <v>842</v>
      </c>
      <c r="W995" s="2" t="s">
        <v>463</v>
      </c>
      <c r="X995" s="2" t="s">
        <v>417</v>
      </c>
      <c r="Y995" s="2" t="s">
        <v>5309</v>
      </c>
      <c r="Z995" s="4">
        <v>107</v>
      </c>
      <c r="AA995" s="4">
        <f>=ROUNDDOWN(53.5,0)</f>
      </c>
      <c r="AB995" s="5">
        <v>2</v>
      </c>
      <c r="AC995" s="2" t="s">
        <v>228</v>
      </c>
      <c r="AD995" s="4"/>
      <c r="AE995" s="4"/>
      <c r="AF995" s="6">
        <v>76</v>
      </c>
      <c r="AG995" s="6"/>
      <c r="AH995" s="7">
        <v>1</v>
      </c>
      <c r="AI995" s="4"/>
      <c r="AJ995" s="4">
        <f>=ROUNDDOWN({0},0)</f>
      </c>
      <c r="AK995" s="5"/>
      <c r="AL995" s="2" t="s">
        <v>228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/>
      <c r="AW995" s="8"/>
      <c r="AX995" s="4"/>
      <c r="AY995" s="8"/>
      <c r="AZ995" s="7"/>
      <c r="BA995" s="7"/>
      <c r="BB995" s="7"/>
      <c r="BC995" s="4" t="s">
        <v>228</v>
      </c>
      <c r="BD995" s="8" t="s">
        <v>228</v>
      </c>
      <c r="BE995" s="4" t="s">
        <v>228</v>
      </c>
      <c r="BF995" s="8" t="s">
        <v>228</v>
      </c>
      <c r="BG995" s="7" t="s">
        <v>228</v>
      </c>
      <c r="BH995" s="7" t="s">
        <v>228</v>
      </c>
      <c r="BI995" s="7"/>
      <c r="BJ995" s="4"/>
      <c r="BK995" s="8"/>
      <c r="BL995" s="2" t="s">
        <v>228</v>
      </c>
      <c r="BM995" s="7"/>
      <c r="BN995" s="7"/>
      <c r="BO995" s="4"/>
      <c r="BP995" s="8"/>
      <c r="BQ995" s="4"/>
      <c r="BR995" s="8"/>
      <c r="BS995" s="7"/>
      <c r="BT995" s="7"/>
      <c r="BU995" s="2" t="s">
        <v>5310</v>
      </c>
      <c r="BV995" s="2" t="s">
        <v>228</v>
      </c>
      <c r="BW995" s="2" t="s">
        <v>228</v>
      </c>
      <c r="BX995" s="2" t="s">
        <v>273</v>
      </c>
      <c r="BY995" s="2" t="s">
        <v>274</v>
      </c>
      <c r="BZ995" s="2" t="s">
        <v>240</v>
      </c>
      <c r="CA995" s="2" t="s">
        <v>4985</v>
      </c>
      <c r="CB995" s="2" t="s">
        <v>2673</v>
      </c>
      <c r="CC995" s="2" t="s">
        <v>241</v>
      </c>
      <c r="CD995" s="2" t="s">
        <v>228</v>
      </c>
      <c r="CE995" s="4"/>
      <c r="CF995" s="4">
        <v>107</v>
      </c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</row>
    <row r="996">
      <c r="A996" s="2" t="s">
        <v>5311</v>
      </c>
      <c r="B996" s="2" t="s">
        <v>834</v>
      </c>
      <c r="C996" s="2" t="s">
        <v>835</v>
      </c>
      <c r="D996" s="2" t="s">
        <v>1101</v>
      </c>
      <c r="E996" s="2" t="s">
        <v>1102</v>
      </c>
      <c r="F996" s="2" t="s">
        <v>5292</v>
      </c>
      <c r="G996" s="2" t="s">
        <v>5292</v>
      </c>
      <c r="H996" s="2" t="s">
        <v>5292</v>
      </c>
      <c r="I996" s="2" t="s">
        <v>5312</v>
      </c>
      <c r="J996" s="2" t="s">
        <v>840</v>
      </c>
      <c r="K996" s="2" t="s">
        <v>316</v>
      </c>
      <c r="L996" s="3">
        <v>39.5</v>
      </c>
      <c r="M996" s="3">
        <v>41.48</v>
      </c>
      <c r="N996" s="3">
        <v>89.99</v>
      </c>
      <c r="O996" s="2" t="s">
        <v>240</v>
      </c>
      <c r="P996" s="2" t="s">
        <v>266</v>
      </c>
      <c r="Q996" s="2" t="s">
        <v>234</v>
      </c>
      <c r="R996" s="2" t="s">
        <v>228</v>
      </c>
      <c r="S996" s="2" t="s">
        <v>228</v>
      </c>
      <c r="T996" s="2" t="s">
        <v>228</v>
      </c>
      <c r="U996" s="2" t="s">
        <v>416</v>
      </c>
      <c r="V996" s="2" t="s">
        <v>842</v>
      </c>
      <c r="W996" s="2" t="s">
        <v>417</v>
      </c>
      <c r="X996" s="2" t="s">
        <v>228</v>
      </c>
      <c r="Y996" s="2" t="s">
        <v>2033</v>
      </c>
      <c r="Z996" s="4">
        <v>157</v>
      </c>
      <c r="AA996" s="4">
        <f>=ROUNDDOWN(78.5,0)</f>
      </c>
      <c r="AB996" s="5">
        <v>2</v>
      </c>
      <c r="AC996" s="2" t="s">
        <v>228</v>
      </c>
      <c r="AD996" s="4"/>
      <c r="AE996" s="4"/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228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/>
      <c r="AW996" s="8"/>
      <c r="AX996" s="4"/>
      <c r="AY996" s="8"/>
      <c r="AZ996" s="7"/>
      <c r="BA996" s="7"/>
      <c r="BB996" s="7"/>
      <c r="BC996" s="4" t="s">
        <v>228</v>
      </c>
      <c r="BD996" s="8" t="s">
        <v>228</v>
      </c>
      <c r="BE996" s="4" t="s">
        <v>228</v>
      </c>
      <c r="BF996" s="8" t="s">
        <v>228</v>
      </c>
      <c r="BG996" s="7" t="s">
        <v>228</v>
      </c>
      <c r="BH996" s="7" t="s">
        <v>228</v>
      </c>
      <c r="BI996" s="7"/>
      <c r="BJ996" s="4">
        <v>5</v>
      </c>
      <c r="BK996" s="8">
        <v>218.83</v>
      </c>
      <c r="BL996" s="2" t="s">
        <v>5313</v>
      </c>
      <c r="BM996" s="7"/>
      <c r="BN996" s="7"/>
      <c r="BO996" s="4"/>
      <c r="BP996" s="8"/>
      <c r="BQ996" s="4"/>
      <c r="BR996" s="8"/>
      <c r="BS996" s="7"/>
      <c r="BT996" s="7"/>
      <c r="BU996" s="2" t="s">
        <v>5314</v>
      </c>
      <c r="BV996" s="2" t="s">
        <v>228</v>
      </c>
      <c r="BW996" s="2" t="s">
        <v>228</v>
      </c>
      <c r="BX996" s="2" t="s">
        <v>273</v>
      </c>
      <c r="BY996" s="2" t="s">
        <v>274</v>
      </c>
      <c r="BZ996" s="2" t="s">
        <v>240</v>
      </c>
      <c r="CA996" s="2" t="s">
        <v>2036</v>
      </c>
      <c r="CB996" s="2" t="s">
        <v>5315</v>
      </c>
      <c r="CC996" s="2" t="s">
        <v>241</v>
      </c>
      <c r="CD996" s="2" t="s">
        <v>228</v>
      </c>
      <c r="CE996" s="4"/>
      <c r="CF996" s="4">
        <v>157</v>
      </c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</row>
    <row r="997">
      <c r="A997" s="2" t="s">
        <v>5316</v>
      </c>
      <c r="B997" s="2" t="s">
        <v>866</v>
      </c>
      <c r="C997" s="2" t="s">
        <v>300</v>
      </c>
      <c r="D997" s="2" t="s">
        <v>1880</v>
      </c>
      <c r="E997" s="2" t="s">
        <v>868</v>
      </c>
      <c r="F997" s="2" t="s">
        <v>5317</v>
      </c>
      <c r="G997" s="2" t="s">
        <v>5317</v>
      </c>
      <c r="H997" s="2" t="s">
        <v>5317</v>
      </c>
      <c r="I997" s="2" t="s">
        <v>5318</v>
      </c>
      <c r="J997" s="2" t="s">
        <v>840</v>
      </c>
      <c r="K997" s="2" t="s">
        <v>5319</v>
      </c>
      <c r="L997" s="3">
        <v>31.08</v>
      </c>
      <c r="M997" s="3">
        <v>32.63</v>
      </c>
      <c r="N997" s="3">
        <v>65.44</v>
      </c>
      <c r="O997" s="2" t="s">
        <v>240</v>
      </c>
      <c r="P997" s="2" t="s">
        <v>333</v>
      </c>
      <c r="Q997" s="2" t="s">
        <v>234</v>
      </c>
      <c r="R997" s="2" t="s">
        <v>228</v>
      </c>
      <c r="S997" s="2" t="s">
        <v>5320</v>
      </c>
      <c r="T997" s="2" t="s">
        <v>228</v>
      </c>
      <c r="U997" s="2" t="s">
        <v>416</v>
      </c>
      <c r="V997" s="2" t="s">
        <v>980</v>
      </c>
      <c r="W997" s="2" t="s">
        <v>417</v>
      </c>
      <c r="X997" s="2" t="s">
        <v>269</v>
      </c>
      <c r="Y997" s="2" t="s">
        <v>5321</v>
      </c>
      <c r="Z997" s="4">
        <v>51</v>
      </c>
      <c r="AA997" s="4">
        <f>=ROUNDDOWN(23.1818181818182,0)</f>
      </c>
      <c r="AB997" s="5">
        <v>2.2</v>
      </c>
      <c r="AC997" s="2" t="s">
        <v>228</v>
      </c>
      <c r="AD997" s="4"/>
      <c r="AE997" s="4"/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228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/>
      <c r="AW997" s="8"/>
      <c r="AX997" s="4"/>
      <c r="AY997" s="8"/>
      <c r="AZ997" s="7"/>
      <c r="BA997" s="7"/>
      <c r="BB997" s="7"/>
      <c r="BC997" s="4"/>
      <c r="BD997" s="8"/>
      <c r="BE997" s="4"/>
      <c r="BF997" s="8"/>
      <c r="BG997" s="7"/>
      <c r="BH997" s="7"/>
      <c r="BI997" s="7"/>
      <c r="BJ997" s="4">
        <v>9</v>
      </c>
      <c r="BK997" s="8">
        <v>336.27</v>
      </c>
      <c r="BL997" s="2" t="s">
        <v>5322</v>
      </c>
      <c r="BM997" s="7"/>
      <c r="BN997" s="7"/>
      <c r="BO997" s="4"/>
      <c r="BP997" s="8"/>
      <c r="BQ997" s="4"/>
      <c r="BR997" s="8"/>
      <c r="BS997" s="7"/>
      <c r="BT997" s="7"/>
      <c r="BU997" s="2" t="s">
        <v>5323</v>
      </c>
      <c r="BV997" s="2" t="s">
        <v>228</v>
      </c>
      <c r="BW997" s="2" t="s">
        <v>228</v>
      </c>
      <c r="BX997" s="2" t="s">
        <v>337</v>
      </c>
      <c r="BY997" s="2" t="s">
        <v>274</v>
      </c>
      <c r="BZ997" s="2" t="s">
        <v>240</v>
      </c>
      <c r="CA997" s="2" t="s">
        <v>5324</v>
      </c>
      <c r="CB997" s="2" t="s">
        <v>1889</v>
      </c>
      <c r="CC997" s="2" t="s">
        <v>241</v>
      </c>
      <c r="CD997" s="2" t="s">
        <v>228</v>
      </c>
      <c r="CE997" s="4"/>
      <c r="CF997" s="4">
        <v>51</v>
      </c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</row>
    <row r="998">
      <c r="A998" s="2" t="s">
        <v>5325</v>
      </c>
      <c r="B998" s="2" t="s">
        <v>834</v>
      </c>
      <c r="C998" s="2" t="s">
        <v>835</v>
      </c>
      <c r="D998" s="2" t="s">
        <v>836</v>
      </c>
      <c r="E998" s="2" t="s">
        <v>837</v>
      </c>
      <c r="F998" s="2" t="s">
        <v>5326</v>
      </c>
      <c r="G998" s="2" t="s">
        <v>5326</v>
      </c>
      <c r="H998" s="2" t="s">
        <v>5326</v>
      </c>
      <c r="I998" s="2" t="s">
        <v>5327</v>
      </c>
      <c r="J998" s="2" t="s">
        <v>840</v>
      </c>
      <c r="K998" s="2" t="s">
        <v>5328</v>
      </c>
      <c r="L998" s="3">
        <v>103.5</v>
      </c>
      <c r="M998" s="3">
        <v>108.68</v>
      </c>
      <c r="N998" s="3">
        <v>234.99</v>
      </c>
      <c r="O998" s="2" t="s">
        <v>461</v>
      </c>
      <c r="P998" s="2" t="s">
        <v>333</v>
      </c>
      <c r="Q998" s="2" t="s">
        <v>234</v>
      </c>
      <c r="R998" s="2" t="s">
        <v>228</v>
      </c>
      <c r="S998" s="2" t="s">
        <v>228</v>
      </c>
      <c r="T998" s="2" t="s">
        <v>228</v>
      </c>
      <c r="U998" s="2" t="s">
        <v>228</v>
      </c>
      <c r="V998" s="2" t="s">
        <v>842</v>
      </c>
      <c r="W998" s="2" t="s">
        <v>843</v>
      </c>
      <c r="X998" s="2" t="s">
        <v>228</v>
      </c>
      <c r="Y998" s="2" t="s">
        <v>2076</v>
      </c>
      <c r="Z998" s="4">
        <v>41</v>
      </c>
      <c r="AA998" s="4">
        <f>=ROUNDDOWN(41,0)</f>
      </c>
      <c r="AB998" s="5">
        <v>1</v>
      </c>
      <c r="AC998" s="2" t="s">
        <v>228</v>
      </c>
      <c r="AD998" s="4"/>
      <c r="AE998" s="4"/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228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/>
      <c r="AW998" s="8"/>
      <c r="AX998" s="4"/>
      <c r="AY998" s="8"/>
      <c r="AZ998" s="7"/>
      <c r="BA998" s="7"/>
      <c r="BB998" s="7"/>
      <c r="BC998" s="4"/>
      <c r="BD998" s="8"/>
      <c r="BE998" s="4"/>
      <c r="BF998" s="8"/>
      <c r="BG998" s="7"/>
      <c r="BH998" s="7"/>
      <c r="BI998" s="7"/>
      <c r="BJ998" s="4"/>
      <c r="BK998" s="8"/>
      <c r="BL998" s="2" t="s">
        <v>484</v>
      </c>
      <c r="BM998" s="7"/>
      <c r="BN998" s="7"/>
      <c r="BO998" s="4"/>
      <c r="BP998" s="8"/>
      <c r="BQ998" s="4"/>
      <c r="BR998" s="8"/>
      <c r="BS998" s="7"/>
      <c r="BT998" s="7"/>
      <c r="BU998" s="2" t="s">
        <v>5329</v>
      </c>
      <c r="BV998" s="2" t="s">
        <v>228</v>
      </c>
      <c r="BW998" s="2" t="s">
        <v>228</v>
      </c>
      <c r="BX998" s="2" t="s">
        <v>337</v>
      </c>
      <c r="BY998" s="2" t="s">
        <v>274</v>
      </c>
      <c r="BZ998" s="2" t="s">
        <v>240</v>
      </c>
      <c r="CA998" s="2" t="s">
        <v>2692</v>
      </c>
      <c r="CB998" s="2" t="s">
        <v>5330</v>
      </c>
      <c r="CC998" s="2" t="s">
        <v>241</v>
      </c>
      <c r="CD998" s="2" t="s">
        <v>228</v>
      </c>
      <c r="CE998" s="4"/>
      <c r="CF998" s="4">
        <v>41</v>
      </c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</row>
    <row r="999">
      <c r="A999" s="2" t="s">
        <v>5331</v>
      </c>
      <c r="B999" s="2" t="s">
        <v>866</v>
      </c>
      <c r="C999" s="2" t="s">
        <v>300</v>
      </c>
      <c r="D999" s="2" t="s">
        <v>867</v>
      </c>
      <c r="E999" s="2" t="s">
        <v>868</v>
      </c>
      <c r="F999" s="2" t="s">
        <v>5332</v>
      </c>
      <c r="G999" s="2" t="s">
        <v>5332</v>
      </c>
      <c r="H999" s="2" t="s">
        <v>5332</v>
      </c>
      <c r="I999" s="2" t="s">
        <v>5333</v>
      </c>
      <c r="J999" s="2" t="s">
        <v>840</v>
      </c>
      <c r="K999" s="2" t="s">
        <v>2480</v>
      </c>
      <c r="L999" s="3">
        <v>21.31</v>
      </c>
      <c r="M999" s="3">
        <v>22.38</v>
      </c>
      <c r="N999" s="3">
        <v>50.99</v>
      </c>
      <c r="O999" s="2" t="s">
        <v>240</v>
      </c>
      <c r="P999" s="2" t="s">
        <v>266</v>
      </c>
      <c r="Q999" s="2" t="s">
        <v>234</v>
      </c>
      <c r="R999" s="2" t="s">
        <v>228</v>
      </c>
      <c r="S999" s="2" t="s">
        <v>5334</v>
      </c>
      <c r="T999" s="2" t="s">
        <v>228</v>
      </c>
      <c r="U999" s="2" t="s">
        <v>500</v>
      </c>
      <c r="V999" s="2" t="s">
        <v>387</v>
      </c>
      <c r="W999" s="2" t="s">
        <v>269</v>
      </c>
      <c r="X999" s="2" t="s">
        <v>463</v>
      </c>
      <c r="Y999" s="2" t="s">
        <v>872</v>
      </c>
      <c r="Z999" s="4">
        <v>319</v>
      </c>
      <c r="AA999" s="4">
        <f>=ROUNDDOWN(24.921875,0)</f>
      </c>
      <c r="AB999" s="5">
        <v>12.8</v>
      </c>
      <c r="AC999" s="2" t="s">
        <v>228</v>
      </c>
      <c r="AD999" s="4"/>
      <c r="AE999" s="4"/>
      <c r="AF999" s="6">
        <v>63</v>
      </c>
      <c r="AG999" s="6"/>
      <c r="AH999" s="7">
        <v>1</v>
      </c>
      <c r="AI999" s="4"/>
      <c r="AJ999" s="4">
        <f>=ROUNDDOWN({0},0)</f>
      </c>
      <c r="AK999" s="5"/>
      <c r="AL999" s="2" t="s">
        <v>228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/>
      <c r="AW999" s="8"/>
      <c r="AX999" s="4"/>
      <c r="AY999" s="8"/>
      <c r="AZ999" s="7"/>
      <c r="BA999" s="7"/>
      <c r="BB999" s="7"/>
      <c r="BC999" s="4"/>
      <c r="BD999" s="8"/>
      <c r="BE999" s="4"/>
      <c r="BF999" s="8"/>
      <c r="BG999" s="7"/>
      <c r="BH999" s="7"/>
      <c r="BI999" s="7"/>
      <c r="BJ999" s="4">
        <v>53</v>
      </c>
      <c r="BK999" s="8">
        <v>1483.08</v>
      </c>
      <c r="BL999" s="2" t="s">
        <v>5335</v>
      </c>
      <c r="BM999" s="7"/>
      <c r="BN999" s="7"/>
      <c r="BO999" s="4"/>
      <c r="BP999" s="8"/>
      <c r="BQ999" s="4"/>
      <c r="BR999" s="8"/>
      <c r="BS999" s="7"/>
      <c r="BT999" s="7"/>
      <c r="BU999" s="2" t="s">
        <v>5336</v>
      </c>
      <c r="BV999" s="2" t="s">
        <v>228</v>
      </c>
      <c r="BW999" s="2" t="s">
        <v>228</v>
      </c>
      <c r="BX999" s="2" t="s">
        <v>273</v>
      </c>
      <c r="BY999" s="2" t="s">
        <v>274</v>
      </c>
      <c r="BZ999" s="2" t="s">
        <v>240</v>
      </c>
      <c r="CA999" s="2" t="s">
        <v>532</v>
      </c>
      <c r="CB999" s="2" t="s">
        <v>5337</v>
      </c>
      <c r="CC999" s="2" t="s">
        <v>241</v>
      </c>
      <c r="CD999" s="2" t="s">
        <v>228</v>
      </c>
      <c r="CE999" s="4"/>
      <c r="CF999" s="4">
        <v>319</v>
      </c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</row>
    <row r="1000">
      <c r="A1000" s="2" t="s">
        <v>5338</v>
      </c>
      <c r="B1000" s="2" t="s">
        <v>834</v>
      </c>
      <c r="C1000" s="2" t="s">
        <v>1142</v>
      </c>
      <c r="D1000" s="2" t="s">
        <v>836</v>
      </c>
      <c r="E1000" s="2" t="s">
        <v>837</v>
      </c>
      <c r="F1000" s="2" t="s">
        <v>5339</v>
      </c>
      <c r="G1000" s="2" t="s">
        <v>5339</v>
      </c>
      <c r="H1000" s="2" t="s">
        <v>5339</v>
      </c>
      <c r="I1000" s="2" t="s">
        <v>5340</v>
      </c>
      <c r="J1000" s="2" t="s">
        <v>840</v>
      </c>
      <c r="K1000" s="2" t="s">
        <v>5341</v>
      </c>
      <c r="L1000" s="3">
        <v>166.06</v>
      </c>
      <c r="M1000" s="3">
        <v>174.36</v>
      </c>
      <c r="N1000" s="3">
        <v>379.99</v>
      </c>
      <c r="O1000" s="2" t="s">
        <v>461</v>
      </c>
      <c r="P1000" s="2" t="s">
        <v>333</v>
      </c>
      <c r="Q1000" s="2" t="s">
        <v>234</v>
      </c>
      <c r="R1000" s="2" t="s">
        <v>228</v>
      </c>
      <c r="S1000" s="2" t="s">
        <v>228</v>
      </c>
      <c r="T1000" s="2" t="s">
        <v>228</v>
      </c>
      <c r="U1000" s="2" t="s">
        <v>416</v>
      </c>
      <c r="V1000" s="2" t="s">
        <v>842</v>
      </c>
      <c r="W1000" s="2" t="s">
        <v>743</v>
      </c>
      <c r="X1000" s="2" t="s">
        <v>1761</v>
      </c>
      <c r="Y1000" s="2" t="s">
        <v>472</v>
      </c>
      <c r="Z1000" s="4">
        <v>97</v>
      </c>
      <c r="AA1000" s="4">
        <f>=ROUNDDOWN(97,0)</f>
      </c>
      <c r="AB1000" s="5">
        <v>1</v>
      </c>
      <c r="AC1000" s="2" t="s">
        <v>228</v>
      </c>
      <c r="AD1000" s="4"/>
      <c r="AE1000" s="4"/>
      <c r="AF1000" s="6">
        <v>63</v>
      </c>
      <c r="AG1000" s="6"/>
      <c r="AH1000" s="7">
        <v>1</v>
      </c>
      <c r="AI1000" s="4"/>
      <c r="AJ1000" s="4">
        <f>=ROUNDDOWN({0},0)</f>
      </c>
      <c r="AK1000" s="5"/>
      <c r="AL1000" s="2" t="s">
        <v>228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/>
      <c r="AW1000" s="8"/>
      <c r="AX1000" s="4"/>
      <c r="AY1000" s="8"/>
      <c r="AZ1000" s="7"/>
      <c r="BA1000" s="7"/>
      <c r="BB1000" s="7"/>
      <c r="BC1000" s="4"/>
      <c r="BD1000" s="8"/>
      <c r="BE1000" s="4"/>
      <c r="BF1000" s="8"/>
      <c r="BG1000" s="7"/>
      <c r="BH1000" s="7"/>
      <c r="BI1000" s="7"/>
      <c r="BJ1000" s="4"/>
      <c r="BK1000" s="8"/>
      <c r="BL1000" s="2" t="s">
        <v>228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5342</v>
      </c>
      <c r="BV1000" s="2" t="s">
        <v>228</v>
      </c>
      <c r="BW1000" s="2" t="s">
        <v>228</v>
      </c>
      <c r="BX1000" s="2" t="s">
        <v>337</v>
      </c>
      <c r="BY1000" s="2" t="s">
        <v>274</v>
      </c>
      <c r="BZ1000" s="2" t="s">
        <v>240</v>
      </c>
      <c r="CA1000" s="2" t="s">
        <v>845</v>
      </c>
      <c r="CB1000" s="2" t="s">
        <v>5343</v>
      </c>
      <c r="CC1000" s="2" t="s">
        <v>241</v>
      </c>
      <c r="CD1000" s="2" t="s">
        <v>228</v>
      </c>
      <c r="CE1000" s="4"/>
      <c r="CF1000" s="4">
        <v>97</v>
      </c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</row>
    <row r="1001">
      <c r="A1001" s="2" t="s">
        <v>5344</v>
      </c>
      <c r="B1001" s="2" t="s">
        <v>1276</v>
      </c>
      <c r="C1001" s="2" t="s">
        <v>300</v>
      </c>
      <c r="D1001" s="2" t="s">
        <v>1276</v>
      </c>
      <c r="E1001" s="2" t="s">
        <v>1276</v>
      </c>
      <c r="F1001" s="2" t="s">
        <v>5345</v>
      </c>
      <c r="G1001" s="2" t="s">
        <v>5346</v>
      </c>
      <c r="H1001" s="2" t="s">
        <v>5347</v>
      </c>
      <c r="I1001" s="2" t="s">
        <v>5348</v>
      </c>
      <c r="J1001" s="2" t="s">
        <v>1711</v>
      </c>
      <c r="K1001" s="2" t="s">
        <v>5349</v>
      </c>
      <c r="L1001" s="3">
        <v>70</v>
      </c>
      <c r="M1001" s="3">
        <v>73.5</v>
      </c>
      <c r="N1001" s="3">
        <v>159.99</v>
      </c>
      <c r="O1001" s="2" t="s">
        <v>491</v>
      </c>
      <c r="P1001" s="2" t="s">
        <v>333</v>
      </c>
      <c r="Q1001" s="2" t="s">
        <v>234</v>
      </c>
      <c r="R1001" s="2" t="s">
        <v>228</v>
      </c>
      <c r="S1001" s="2" t="s">
        <v>5350</v>
      </c>
      <c r="T1001" s="2" t="s">
        <v>228</v>
      </c>
      <c r="U1001" s="2" t="s">
        <v>416</v>
      </c>
      <c r="V1001" s="2" t="s">
        <v>1737</v>
      </c>
      <c r="W1001" s="2" t="s">
        <v>2472</v>
      </c>
      <c r="X1001" s="2" t="s">
        <v>228</v>
      </c>
      <c r="Y1001" s="2" t="s">
        <v>5351</v>
      </c>
      <c r="Z1001" s="4">
        <v>12</v>
      </c>
      <c r="AA1001" s="4">
        <f>=ROUNDDOWN(17.1428571428571,0)</f>
      </c>
      <c r="AB1001" s="5">
        <v>0.7</v>
      </c>
      <c r="AC1001" s="2" t="s">
        <v>228</v>
      </c>
      <c r="AD1001" s="4"/>
      <c r="AE1001" s="4"/>
      <c r="AF1001" s="6">
        <v>63</v>
      </c>
      <c r="AG1001" s="6"/>
      <c r="AH1001" s="7">
        <v>1</v>
      </c>
      <c r="AI1001" s="4"/>
      <c r="AJ1001" s="4">
        <f>=ROUNDDOWN({0},0)</f>
      </c>
      <c r="AK1001" s="5"/>
      <c r="AL1001" s="2" t="s">
        <v>228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228</v>
      </c>
      <c r="AW1001" s="8" t="s">
        <v>228</v>
      </c>
      <c r="AX1001" s="4" t="s">
        <v>228</v>
      </c>
      <c r="AY1001" s="8" t="s">
        <v>228</v>
      </c>
      <c r="AZ1001" s="7" t="s">
        <v>228</v>
      </c>
      <c r="BA1001" s="7" t="s">
        <v>228</v>
      </c>
      <c r="BB1001" s="7"/>
      <c r="BC1001" s="4" t="s">
        <v>228</v>
      </c>
      <c r="BD1001" s="8" t="s">
        <v>228</v>
      </c>
      <c r="BE1001" s="4" t="s">
        <v>228</v>
      </c>
      <c r="BF1001" s="8" t="s">
        <v>228</v>
      </c>
      <c r="BG1001" s="7" t="s">
        <v>228</v>
      </c>
      <c r="BH1001" s="7" t="s">
        <v>228</v>
      </c>
      <c r="BI1001" s="7"/>
      <c r="BJ1001" s="4">
        <v>3</v>
      </c>
      <c r="BK1001" s="8">
        <v>227.85</v>
      </c>
      <c r="BL1001" s="2" t="s">
        <v>4465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5352</v>
      </c>
      <c r="BV1001" s="2" t="s">
        <v>228</v>
      </c>
      <c r="BW1001" s="2" t="s">
        <v>228</v>
      </c>
      <c r="BX1001" s="2" t="s">
        <v>337</v>
      </c>
      <c r="BY1001" s="2" t="s">
        <v>274</v>
      </c>
      <c r="BZ1001" s="2" t="s">
        <v>240</v>
      </c>
      <c r="CA1001" s="2" t="s">
        <v>5353</v>
      </c>
      <c r="CB1001" s="2" t="s">
        <v>3514</v>
      </c>
      <c r="CC1001" s="2" t="s">
        <v>241</v>
      </c>
      <c r="CD1001" s="2" t="s">
        <v>228</v>
      </c>
      <c r="CE1001" s="4"/>
      <c r="CF1001" s="4">
        <v>12</v>
      </c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</row>
    <row r="1002">
      <c r="A1002" s="2" t="s">
        <v>5354</v>
      </c>
      <c r="B1002" s="2" t="s">
        <v>1276</v>
      </c>
      <c r="C1002" s="2" t="s">
        <v>300</v>
      </c>
      <c r="D1002" s="2" t="s">
        <v>1276</v>
      </c>
      <c r="E1002" s="2" t="s">
        <v>1276</v>
      </c>
      <c r="F1002" s="2" t="s">
        <v>5345</v>
      </c>
      <c r="G1002" s="2" t="s">
        <v>5346</v>
      </c>
      <c r="H1002" s="2" t="s">
        <v>5347</v>
      </c>
      <c r="I1002" s="2" t="s">
        <v>5348</v>
      </c>
      <c r="J1002" s="2" t="s">
        <v>1937</v>
      </c>
      <c r="K1002" s="2" t="s">
        <v>5349</v>
      </c>
      <c r="L1002" s="3">
        <v>150</v>
      </c>
      <c r="M1002" s="3">
        <v>157.5</v>
      </c>
      <c r="N1002" s="3">
        <v>319.98</v>
      </c>
      <c r="O1002" s="2" t="s">
        <v>491</v>
      </c>
      <c r="P1002" s="2" t="s">
        <v>333</v>
      </c>
      <c r="Q1002" s="2" t="s">
        <v>234</v>
      </c>
      <c r="R1002" s="2" t="s">
        <v>228</v>
      </c>
      <c r="S1002" s="2" t="s">
        <v>5350</v>
      </c>
      <c r="T1002" s="2" t="s">
        <v>228</v>
      </c>
      <c r="U1002" s="2" t="s">
        <v>416</v>
      </c>
      <c r="V1002" s="2" t="s">
        <v>1737</v>
      </c>
      <c r="W1002" s="2" t="s">
        <v>2472</v>
      </c>
      <c r="X1002" s="2" t="s">
        <v>228</v>
      </c>
      <c r="Y1002" s="2" t="s">
        <v>5351</v>
      </c>
      <c r="Z1002" s="4">
        <v>27</v>
      </c>
      <c r="AA1002" s="4">
        <f>=ROUNDDOWN(27,0)</f>
      </c>
      <c r="AB1002" s="5">
        <v>1</v>
      </c>
      <c r="AC1002" s="2" t="s">
        <v>228</v>
      </c>
      <c r="AD1002" s="4"/>
      <c r="AE1002" s="4"/>
      <c r="AF1002" s="6">
        <v>63</v>
      </c>
      <c r="AG1002" s="6"/>
      <c r="AH1002" s="7">
        <v>1</v>
      </c>
      <c r="AI1002" s="4"/>
      <c r="AJ1002" s="4">
        <f>=ROUNDDOWN({0},0)</f>
      </c>
      <c r="AK1002" s="5"/>
      <c r="AL1002" s="2" t="s">
        <v>228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228</v>
      </c>
      <c r="AW1002" s="8" t="s">
        <v>228</v>
      </c>
      <c r="AX1002" s="4" t="s">
        <v>228</v>
      </c>
      <c r="AY1002" s="8" t="s">
        <v>228</v>
      </c>
      <c r="AZ1002" s="7" t="s">
        <v>228</v>
      </c>
      <c r="BA1002" s="7" t="s">
        <v>228</v>
      </c>
      <c r="BB1002" s="7"/>
      <c r="BC1002" s="4" t="s">
        <v>228</v>
      </c>
      <c r="BD1002" s="8" t="s">
        <v>228</v>
      </c>
      <c r="BE1002" s="4" t="s">
        <v>228</v>
      </c>
      <c r="BF1002" s="8" t="s">
        <v>228</v>
      </c>
      <c r="BG1002" s="7" t="s">
        <v>228</v>
      </c>
      <c r="BH1002" s="7" t="s">
        <v>228</v>
      </c>
      <c r="BI1002" s="7"/>
      <c r="BJ1002" s="4">
        <v>4</v>
      </c>
      <c r="BK1002" s="8">
        <v>630</v>
      </c>
      <c r="BL1002" s="2" t="s">
        <v>5355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5356</v>
      </c>
      <c r="BV1002" s="2" t="s">
        <v>228</v>
      </c>
      <c r="BW1002" s="2" t="s">
        <v>228</v>
      </c>
      <c r="BX1002" s="2" t="s">
        <v>337</v>
      </c>
      <c r="BY1002" s="2" t="s">
        <v>274</v>
      </c>
      <c r="BZ1002" s="2" t="s">
        <v>240</v>
      </c>
      <c r="CA1002" s="2" t="s">
        <v>5353</v>
      </c>
      <c r="CB1002" s="2" t="s">
        <v>3300</v>
      </c>
      <c r="CC1002" s="2" t="s">
        <v>241</v>
      </c>
      <c r="CD1002" s="2" t="s">
        <v>228</v>
      </c>
      <c r="CE1002" s="4"/>
      <c r="CF1002" s="4">
        <v>27</v>
      </c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</row>
    <row r="1003">
      <c r="A1003" s="2" t="s">
        <v>5357</v>
      </c>
      <c r="B1003" s="2" t="s">
        <v>848</v>
      </c>
      <c r="C1003" s="2" t="s">
        <v>849</v>
      </c>
      <c r="D1003" s="2" t="s">
        <v>850</v>
      </c>
      <c r="E1003" s="2" t="s">
        <v>851</v>
      </c>
      <c r="F1003" s="2" t="s">
        <v>5358</v>
      </c>
      <c r="G1003" s="2" t="s">
        <v>5359</v>
      </c>
      <c r="H1003" s="2" t="s">
        <v>5360</v>
      </c>
      <c r="I1003" s="2" t="s">
        <v>5361</v>
      </c>
      <c r="J1003" s="2" t="s">
        <v>856</v>
      </c>
      <c r="K1003" s="2" t="s">
        <v>556</v>
      </c>
      <c r="L1003" s="3">
        <v>27.6</v>
      </c>
      <c r="M1003" s="3">
        <v>28.98</v>
      </c>
      <c r="N1003" s="3">
        <v>59.99</v>
      </c>
      <c r="O1003" s="2" t="s">
        <v>240</v>
      </c>
      <c r="P1003" s="2" t="s">
        <v>889</v>
      </c>
      <c r="Q1003" s="2" t="s">
        <v>234</v>
      </c>
      <c r="R1003" s="2" t="s">
        <v>228</v>
      </c>
      <c r="S1003" s="2" t="s">
        <v>5362</v>
      </c>
      <c r="T1003" s="2" t="s">
        <v>3400</v>
      </c>
      <c r="U1003" s="2" t="s">
        <v>500</v>
      </c>
      <c r="V1003" s="2" t="s">
        <v>236</v>
      </c>
      <c r="W1003" s="2" t="s">
        <v>309</v>
      </c>
      <c r="X1003" s="2" t="s">
        <v>1906</v>
      </c>
      <c r="Y1003" s="2" t="s">
        <v>5363</v>
      </c>
      <c r="Z1003" s="4">
        <v>462</v>
      </c>
      <c r="AA1003" s="4">
        <f>=ROUNDDOWN(66,0)</f>
      </c>
      <c r="AB1003" s="5">
        <v>7</v>
      </c>
      <c r="AC1003" s="2" t="s">
        <v>1352</v>
      </c>
      <c r="AD1003" s="4">
        <v>90</v>
      </c>
      <c r="AE1003" s="4">
        <v>270</v>
      </c>
      <c r="AF1003" s="6">
        <v>64</v>
      </c>
      <c r="AG1003" s="6">
        <v>47</v>
      </c>
      <c r="AH1003" s="7">
        <v>1</v>
      </c>
      <c r="AI1003" s="4"/>
      <c r="AJ1003" s="4">
        <f>=ROUNDDOWN({0},0)</f>
      </c>
      <c r="AK1003" s="5"/>
      <c r="AL1003" s="2" t="s">
        <v>228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228</v>
      </c>
      <c r="AW1003" s="8" t="s">
        <v>228</v>
      </c>
      <c r="AX1003" s="4" t="s">
        <v>228</v>
      </c>
      <c r="AY1003" s="8" t="s">
        <v>228</v>
      </c>
      <c r="AZ1003" s="7" t="s">
        <v>228</v>
      </c>
      <c r="BA1003" s="7" t="s">
        <v>228</v>
      </c>
      <c r="BB1003" s="7"/>
      <c r="BC1003" s="4" t="s">
        <v>228</v>
      </c>
      <c r="BD1003" s="8" t="s">
        <v>228</v>
      </c>
      <c r="BE1003" s="4" t="s">
        <v>228</v>
      </c>
      <c r="BF1003" s="8" t="s">
        <v>228</v>
      </c>
      <c r="BG1003" s="7" t="s">
        <v>228</v>
      </c>
      <c r="BH1003" s="7" t="s">
        <v>228</v>
      </c>
      <c r="BI1003" s="7"/>
      <c r="BJ1003" s="4">
        <v>25</v>
      </c>
      <c r="BK1003" s="8">
        <v>747.06</v>
      </c>
      <c r="BL1003" s="2" t="s">
        <v>5364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5365</v>
      </c>
      <c r="BV1003" s="2" t="s">
        <v>228</v>
      </c>
      <c r="BW1003" s="2" t="s">
        <v>228</v>
      </c>
      <c r="BX1003" s="2" t="s">
        <v>273</v>
      </c>
      <c r="BY1003" s="2" t="s">
        <v>274</v>
      </c>
      <c r="BZ1003" s="2" t="s">
        <v>240</v>
      </c>
      <c r="CA1003" s="2" t="s">
        <v>5366</v>
      </c>
      <c r="CB1003" s="2" t="s">
        <v>5367</v>
      </c>
      <c r="CC1003" s="2" t="s">
        <v>241</v>
      </c>
      <c r="CD1003" s="2" t="s">
        <v>228</v>
      </c>
      <c r="CE1003" s="4">
        <v>236</v>
      </c>
      <c r="CF1003" s="4"/>
      <c r="CG1003" s="4"/>
      <c r="CH1003" s="4">
        <v>226</v>
      </c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>
        <v>90</v>
      </c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>
        <v>90</v>
      </c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>
        <v>90</v>
      </c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</row>
    <row r="1004">
      <c r="A1004" s="2" t="s">
        <v>5368</v>
      </c>
      <c r="B1004" s="2" t="s">
        <v>848</v>
      </c>
      <c r="C1004" s="2" t="s">
        <v>849</v>
      </c>
      <c r="D1004" s="2" t="s">
        <v>850</v>
      </c>
      <c r="E1004" s="2" t="s">
        <v>851</v>
      </c>
      <c r="F1004" s="2" t="s">
        <v>5358</v>
      </c>
      <c r="G1004" s="2" t="s">
        <v>5359</v>
      </c>
      <c r="H1004" s="2" t="s">
        <v>5360</v>
      </c>
      <c r="I1004" s="2" t="s">
        <v>5361</v>
      </c>
      <c r="J1004" s="2" t="s">
        <v>1043</v>
      </c>
      <c r="K1004" s="2" t="s">
        <v>556</v>
      </c>
      <c r="L1004" s="3">
        <v>36.75</v>
      </c>
      <c r="M1004" s="3">
        <v>38.59</v>
      </c>
      <c r="N1004" s="3">
        <v>74.99</v>
      </c>
      <c r="O1004" s="2" t="s">
        <v>240</v>
      </c>
      <c r="P1004" s="2" t="s">
        <v>889</v>
      </c>
      <c r="Q1004" s="2" t="s">
        <v>234</v>
      </c>
      <c r="R1004" s="2" t="s">
        <v>228</v>
      </c>
      <c r="S1004" s="2" t="s">
        <v>5362</v>
      </c>
      <c r="T1004" s="2" t="s">
        <v>3400</v>
      </c>
      <c r="U1004" s="2" t="s">
        <v>308</v>
      </c>
      <c r="V1004" s="2" t="s">
        <v>236</v>
      </c>
      <c r="W1004" s="2" t="s">
        <v>309</v>
      </c>
      <c r="X1004" s="2" t="s">
        <v>1906</v>
      </c>
      <c r="Y1004" s="2" t="s">
        <v>5369</v>
      </c>
      <c r="Z1004" s="4">
        <v>314</v>
      </c>
      <c r="AA1004" s="4">
        <f>=ROUNDDOWN(52.3333333333333,0)</f>
      </c>
      <c r="AB1004" s="5">
        <v>6</v>
      </c>
      <c r="AC1004" s="2" t="s">
        <v>1947</v>
      </c>
      <c r="AD1004" s="4">
        <v>50</v>
      </c>
      <c r="AE1004" s="4">
        <v>220</v>
      </c>
      <c r="AF1004" s="6">
        <v>64</v>
      </c>
      <c r="AG1004" s="6"/>
      <c r="AH1004" s="7">
        <v>1</v>
      </c>
      <c r="AI1004" s="4"/>
      <c r="AJ1004" s="4">
        <f>=ROUNDDOWN({0},0)</f>
      </c>
      <c r="AK1004" s="5"/>
      <c r="AL1004" s="2" t="s">
        <v>228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228</v>
      </c>
      <c r="AW1004" s="8" t="s">
        <v>228</v>
      </c>
      <c r="AX1004" s="4" t="s">
        <v>228</v>
      </c>
      <c r="AY1004" s="8" t="s">
        <v>228</v>
      </c>
      <c r="AZ1004" s="7" t="s">
        <v>228</v>
      </c>
      <c r="BA1004" s="7" t="s">
        <v>228</v>
      </c>
      <c r="BB1004" s="7"/>
      <c r="BC1004" s="4" t="s">
        <v>228</v>
      </c>
      <c r="BD1004" s="8" t="s">
        <v>228</v>
      </c>
      <c r="BE1004" s="4" t="s">
        <v>228</v>
      </c>
      <c r="BF1004" s="8" t="s">
        <v>228</v>
      </c>
      <c r="BG1004" s="7" t="s">
        <v>228</v>
      </c>
      <c r="BH1004" s="7" t="s">
        <v>228</v>
      </c>
      <c r="BI1004" s="7"/>
      <c r="BJ1004" s="4">
        <v>25</v>
      </c>
      <c r="BK1004" s="8">
        <v>985.64</v>
      </c>
      <c r="BL1004" s="2" t="s">
        <v>5370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5371</v>
      </c>
      <c r="BV1004" s="2" t="s">
        <v>228</v>
      </c>
      <c r="BW1004" s="2" t="s">
        <v>228</v>
      </c>
      <c r="BX1004" s="2" t="s">
        <v>273</v>
      </c>
      <c r="BY1004" s="2" t="s">
        <v>274</v>
      </c>
      <c r="BZ1004" s="2" t="s">
        <v>240</v>
      </c>
      <c r="CA1004" s="2" t="s">
        <v>5369</v>
      </c>
      <c r="CB1004" s="2" t="s">
        <v>5372</v>
      </c>
      <c r="CC1004" s="2" t="s">
        <v>241</v>
      </c>
      <c r="CD1004" s="2" t="s">
        <v>228</v>
      </c>
      <c r="CE1004" s="4">
        <v>138</v>
      </c>
      <c r="CF1004" s="4">
        <v>176</v>
      </c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>
        <v>50</v>
      </c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>
        <v>85</v>
      </c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>
        <v>85</v>
      </c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</row>
    <row r="1005">
      <c r="A1005" s="2" t="s">
        <v>5373</v>
      </c>
      <c r="B1005" s="2" t="s">
        <v>848</v>
      </c>
      <c r="C1005" s="2" t="s">
        <v>849</v>
      </c>
      <c r="D1005" s="2" t="s">
        <v>850</v>
      </c>
      <c r="E1005" s="2" t="s">
        <v>851</v>
      </c>
      <c r="F1005" s="2" t="s">
        <v>5358</v>
      </c>
      <c r="G1005" s="2" t="s">
        <v>5359</v>
      </c>
      <c r="H1005" s="2" t="s">
        <v>5360</v>
      </c>
      <c r="I1005" s="2" t="s">
        <v>5361</v>
      </c>
      <c r="J1005" s="2" t="s">
        <v>856</v>
      </c>
      <c r="K1005" s="2" t="s">
        <v>1967</v>
      </c>
      <c r="L1005" s="3">
        <v>27.6</v>
      </c>
      <c r="M1005" s="3">
        <v>28.98</v>
      </c>
      <c r="N1005" s="3">
        <v>59.99</v>
      </c>
      <c r="O1005" s="2" t="s">
        <v>240</v>
      </c>
      <c r="P1005" s="2" t="s">
        <v>233</v>
      </c>
      <c r="Q1005" s="2" t="s">
        <v>234</v>
      </c>
      <c r="R1005" s="2" t="s">
        <v>228</v>
      </c>
      <c r="S1005" s="2" t="s">
        <v>5374</v>
      </c>
      <c r="T1005" s="2" t="s">
        <v>3400</v>
      </c>
      <c r="U1005" s="2" t="s">
        <v>500</v>
      </c>
      <c r="V1005" s="2" t="s">
        <v>236</v>
      </c>
      <c r="W1005" s="2" t="s">
        <v>309</v>
      </c>
      <c r="X1005" s="2" t="s">
        <v>1906</v>
      </c>
      <c r="Y1005" s="2" t="s">
        <v>2664</v>
      </c>
      <c r="Z1005" s="4">
        <v>44</v>
      </c>
      <c r="AA1005" s="4">
        <f>=ROUNDDOWN(220,0)</f>
      </c>
      <c r="AB1005" s="5">
        <v>0.2</v>
      </c>
      <c r="AC1005" s="2" t="s">
        <v>228</v>
      </c>
      <c r="AD1005" s="4"/>
      <c r="AE1005" s="4"/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228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228</v>
      </c>
      <c r="AW1005" s="8" t="s">
        <v>228</v>
      </c>
      <c r="AX1005" s="4" t="s">
        <v>228</v>
      </c>
      <c r="AY1005" s="8" t="s">
        <v>228</v>
      </c>
      <c r="AZ1005" s="7" t="s">
        <v>228</v>
      </c>
      <c r="BA1005" s="7" t="s">
        <v>228</v>
      </c>
      <c r="BB1005" s="7"/>
      <c r="BC1005" s="4" t="s">
        <v>228</v>
      </c>
      <c r="BD1005" s="8" t="s">
        <v>228</v>
      </c>
      <c r="BE1005" s="4" t="s">
        <v>228</v>
      </c>
      <c r="BF1005" s="8" t="s">
        <v>228</v>
      </c>
      <c r="BG1005" s="7" t="s">
        <v>228</v>
      </c>
      <c r="BH1005" s="7" t="s">
        <v>228</v>
      </c>
      <c r="BI1005" s="7"/>
      <c r="BJ1005" s="4">
        <v>3</v>
      </c>
      <c r="BK1005" s="8">
        <v>94.34</v>
      </c>
      <c r="BL1005" s="2" t="s">
        <v>2894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5375</v>
      </c>
      <c r="BV1005" s="2" t="s">
        <v>228</v>
      </c>
      <c r="BW1005" s="2" t="s">
        <v>228</v>
      </c>
      <c r="BX1005" s="2" t="s">
        <v>273</v>
      </c>
      <c r="BY1005" s="2" t="s">
        <v>274</v>
      </c>
      <c r="BZ1005" s="2" t="s">
        <v>240</v>
      </c>
      <c r="CA1005" s="2" t="s">
        <v>3161</v>
      </c>
      <c r="CB1005" s="2" t="s">
        <v>228</v>
      </c>
      <c r="CC1005" s="2" t="s">
        <v>241</v>
      </c>
      <c r="CD1005" s="2" t="s">
        <v>228</v>
      </c>
      <c r="CE1005" s="4">
        <v>44</v>
      </c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</row>
    <row r="1006">
      <c r="A1006" s="2" t="s">
        <v>5376</v>
      </c>
      <c r="B1006" s="2" t="s">
        <v>848</v>
      </c>
      <c r="C1006" s="2" t="s">
        <v>849</v>
      </c>
      <c r="D1006" s="2" t="s">
        <v>850</v>
      </c>
      <c r="E1006" s="2" t="s">
        <v>851</v>
      </c>
      <c r="F1006" s="2" t="s">
        <v>5358</v>
      </c>
      <c r="G1006" s="2" t="s">
        <v>5359</v>
      </c>
      <c r="H1006" s="2" t="s">
        <v>5360</v>
      </c>
      <c r="I1006" s="2" t="s">
        <v>5361</v>
      </c>
      <c r="J1006" s="2" t="s">
        <v>1189</v>
      </c>
      <c r="K1006" s="2" t="s">
        <v>1967</v>
      </c>
      <c r="L1006" s="3">
        <v>33.6</v>
      </c>
      <c r="M1006" s="3">
        <v>35.28</v>
      </c>
      <c r="N1006" s="3">
        <v>69.99</v>
      </c>
      <c r="O1006" s="2" t="s">
        <v>240</v>
      </c>
      <c r="P1006" s="2" t="s">
        <v>233</v>
      </c>
      <c r="Q1006" s="2" t="s">
        <v>234</v>
      </c>
      <c r="R1006" s="2" t="s">
        <v>228</v>
      </c>
      <c r="S1006" s="2" t="s">
        <v>5374</v>
      </c>
      <c r="T1006" s="2" t="s">
        <v>3400</v>
      </c>
      <c r="U1006" s="2" t="s">
        <v>308</v>
      </c>
      <c r="V1006" s="2" t="s">
        <v>236</v>
      </c>
      <c r="W1006" s="2" t="s">
        <v>309</v>
      </c>
      <c r="X1006" s="2" t="s">
        <v>1906</v>
      </c>
      <c r="Y1006" s="2" t="s">
        <v>2664</v>
      </c>
      <c r="Z1006" s="4">
        <v>65</v>
      </c>
      <c r="AA1006" s="4">
        <f>=ROUNDDOWN(12.2641509433962,0)</f>
      </c>
      <c r="AB1006" s="5">
        <v>5.3</v>
      </c>
      <c r="AC1006" s="2" t="s">
        <v>228</v>
      </c>
      <c r="AD1006" s="4"/>
      <c r="AE1006" s="4"/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228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228</v>
      </c>
      <c r="AW1006" s="8" t="s">
        <v>228</v>
      </c>
      <c r="AX1006" s="4" t="s">
        <v>228</v>
      </c>
      <c r="AY1006" s="8" t="s">
        <v>228</v>
      </c>
      <c r="AZ1006" s="7" t="s">
        <v>228</v>
      </c>
      <c r="BA1006" s="7" t="s">
        <v>228</v>
      </c>
      <c r="BB1006" s="7"/>
      <c r="BC1006" s="4" t="s">
        <v>228</v>
      </c>
      <c r="BD1006" s="8" t="s">
        <v>228</v>
      </c>
      <c r="BE1006" s="4" t="s">
        <v>228</v>
      </c>
      <c r="BF1006" s="8" t="s">
        <v>228</v>
      </c>
      <c r="BG1006" s="7" t="s">
        <v>228</v>
      </c>
      <c r="BH1006" s="7" t="s">
        <v>228</v>
      </c>
      <c r="BI1006" s="7"/>
      <c r="BJ1006" s="4">
        <v>8</v>
      </c>
      <c r="BK1006" s="8">
        <v>296.25</v>
      </c>
      <c r="BL1006" s="2" t="s">
        <v>3138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5377</v>
      </c>
      <c r="BV1006" s="2" t="s">
        <v>228</v>
      </c>
      <c r="BW1006" s="2" t="s">
        <v>228</v>
      </c>
      <c r="BX1006" s="2" t="s">
        <v>273</v>
      </c>
      <c r="BY1006" s="2" t="s">
        <v>274</v>
      </c>
      <c r="BZ1006" s="2" t="s">
        <v>240</v>
      </c>
      <c r="CA1006" s="2" t="s">
        <v>3161</v>
      </c>
      <c r="CB1006" s="2" t="s">
        <v>228</v>
      </c>
      <c r="CC1006" s="2" t="s">
        <v>241</v>
      </c>
      <c r="CD1006" s="2" t="s">
        <v>228</v>
      </c>
      <c r="CE1006" s="4">
        <v>65</v>
      </c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</row>
    <row r="1007">
      <c r="A1007" s="2" t="s">
        <v>5378</v>
      </c>
      <c r="B1007" s="2" t="s">
        <v>848</v>
      </c>
      <c r="C1007" s="2" t="s">
        <v>849</v>
      </c>
      <c r="D1007" s="2" t="s">
        <v>850</v>
      </c>
      <c r="E1007" s="2" t="s">
        <v>851</v>
      </c>
      <c r="F1007" s="2" t="s">
        <v>5358</v>
      </c>
      <c r="G1007" s="2" t="s">
        <v>5359</v>
      </c>
      <c r="H1007" s="2" t="s">
        <v>5360</v>
      </c>
      <c r="I1007" s="2" t="s">
        <v>5361</v>
      </c>
      <c r="J1007" s="2" t="s">
        <v>1043</v>
      </c>
      <c r="K1007" s="2" t="s">
        <v>1967</v>
      </c>
      <c r="L1007" s="3">
        <v>36.75</v>
      </c>
      <c r="M1007" s="3">
        <v>38.59</v>
      </c>
      <c r="N1007" s="3">
        <v>74.99</v>
      </c>
      <c r="O1007" s="2" t="s">
        <v>240</v>
      </c>
      <c r="P1007" s="2" t="s">
        <v>233</v>
      </c>
      <c r="Q1007" s="2" t="s">
        <v>234</v>
      </c>
      <c r="R1007" s="2" t="s">
        <v>228</v>
      </c>
      <c r="S1007" s="2" t="s">
        <v>5374</v>
      </c>
      <c r="T1007" s="2" t="s">
        <v>3400</v>
      </c>
      <c r="U1007" s="2" t="s">
        <v>308</v>
      </c>
      <c r="V1007" s="2" t="s">
        <v>236</v>
      </c>
      <c r="W1007" s="2" t="s">
        <v>309</v>
      </c>
      <c r="X1007" s="2" t="s">
        <v>1906</v>
      </c>
      <c r="Y1007" s="2" t="s">
        <v>2664</v>
      </c>
      <c r="Z1007" s="4">
        <v>19</v>
      </c>
      <c r="AA1007" s="4">
        <f>=ROUNDDOWN(7.91666666666667,0)</f>
      </c>
      <c r="AB1007" s="5">
        <v>2.4</v>
      </c>
      <c r="AC1007" s="2" t="s">
        <v>228</v>
      </c>
      <c r="AD1007" s="4"/>
      <c r="AE1007" s="4"/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228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228</v>
      </c>
      <c r="AW1007" s="8" t="s">
        <v>228</v>
      </c>
      <c r="AX1007" s="4" t="s">
        <v>228</v>
      </c>
      <c r="AY1007" s="8" t="s">
        <v>228</v>
      </c>
      <c r="AZ1007" s="7" t="s">
        <v>228</v>
      </c>
      <c r="BA1007" s="7" t="s">
        <v>228</v>
      </c>
      <c r="BB1007" s="7"/>
      <c r="BC1007" s="4" t="s">
        <v>228</v>
      </c>
      <c r="BD1007" s="8" t="s">
        <v>228</v>
      </c>
      <c r="BE1007" s="4" t="s">
        <v>228</v>
      </c>
      <c r="BF1007" s="8" t="s">
        <v>228</v>
      </c>
      <c r="BG1007" s="7" t="s">
        <v>228</v>
      </c>
      <c r="BH1007" s="7" t="s">
        <v>228</v>
      </c>
      <c r="BI1007" s="7"/>
      <c r="BJ1007" s="4">
        <v>17</v>
      </c>
      <c r="BK1007" s="8">
        <v>718.61</v>
      </c>
      <c r="BL1007" s="2" t="s">
        <v>5379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5380</v>
      </c>
      <c r="BV1007" s="2" t="s">
        <v>228</v>
      </c>
      <c r="BW1007" s="2" t="s">
        <v>228</v>
      </c>
      <c r="BX1007" s="2" t="s">
        <v>273</v>
      </c>
      <c r="BY1007" s="2" t="s">
        <v>274</v>
      </c>
      <c r="BZ1007" s="2" t="s">
        <v>240</v>
      </c>
      <c r="CA1007" s="2" t="s">
        <v>3161</v>
      </c>
      <c r="CB1007" s="2" t="s">
        <v>1160</v>
      </c>
      <c r="CC1007" s="2" t="s">
        <v>241</v>
      </c>
      <c r="CD1007" s="2" t="s">
        <v>228</v>
      </c>
      <c r="CE1007" s="4">
        <v>19</v>
      </c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</row>
    <row r="1008">
      <c r="A1008" s="2" t="s">
        <v>5381</v>
      </c>
      <c r="B1008" s="2" t="s">
        <v>848</v>
      </c>
      <c r="C1008" s="2" t="s">
        <v>849</v>
      </c>
      <c r="D1008" s="2" t="s">
        <v>850</v>
      </c>
      <c r="E1008" s="2" t="s">
        <v>851</v>
      </c>
      <c r="F1008" s="2" t="s">
        <v>5358</v>
      </c>
      <c r="G1008" s="2" t="s">
        <v>5359</v>
      </c>
      <c r="H1008" s="2" t="s">
        <v>5360</v>
      </c>
      <c r="I1008" s="2" t="s">
        <v>5361</v>
      </c>
      <c r="J1008" s="2" t="s">
        <v>856</v>
      </c>
      <c r="K1008" s="2" t="s">
        <v>460</v>
      </c>
      <c r="L1008" s="3">
        <v>27.6</v>
      </c>
      <c r="M1008" s="3">
        <v>28.98</v>
      </c>
      <c r="N1008" s="3">
        <v>59.99</v>
      </c>
      <c r="O1008" s="2" t="s">
        <v>240</v>
      </c>
      <c r="P1008" s="2" t="s">
        <v>233</v>
      </c>
      <c r="Q1008" s="2" t="s">
        <v>234</v>
      </c>
      <c r="R1008" s="2" t="s">
        <v>228</v>
      </c>
      <c r="S1008" s="2" t="s">
        <v>5382</v>
      </c>
      <c r="T1008" s="2" t="s">
        <v>3400</v>
      </c>
      <c r="U1008" s="2" t="s">
        <v>500</v>
      </c>
      <c r="V1008" s="2" t="s">
        <v>236</v>
      </c>
      <c r="W1008" s="2" t="s">
        <v>309</v>
      </c>
      <c r="X1008" s="2" t="s">
        <v>1906</v>
      </c>
      <c r="Y1008" s="2" t="s">
        <v>2664</v>
      </c>
      <c r="Z1008" s="4">
        <v>35</v>
      </c>
      <c r="AA1008" s="4">
        <f>=ROUNDDOWN({0},0)</f>
      </c>
      <c r="AB1008" s="5"/>
      <c r="AC1008" s="2" t="s">
        <v>228</v>
      </c>
      <c r="AD1008" s="4"/>
      <c r="AE1008" s="4"/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228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228</v>
      </c>
      <c r="AW1008" s="8" t="s">
        <v>228</v>
      </c>
      <c r="AX1008" s="4" t="s">
        <v>228</v>
      </c>
      <c r="AY1008" s="8" t="s">
        <v>228</v>
      </c>
      <c r="AZ1008" s="7" t="s">
        <v>228</v>
      </c>
      <c r="BA1008" s="7" t="s">
        <v>228</v>
      </c>
      <c r="BB1008" s="7"/>
      <c r="BC1008" s="4" t="s">
        <v>228</v>
      </c>
      <c r="BD1008" s="8" t="s">
        <v>228</v>
      </c>
      <c r="BE1008" s="4" t="s">
        <v>228</v>
      </c>
      <c r="BF1008" s="8" t="s">
        <v>228</v>
      </c>
      <c r="BG1008" s="7" t="s">
        <v>228</v>
      </c>
      <c r="BH1008" s="7" t="s">
        <v>228</v>
      </c>
      <c r="BI1008" s="7"/>
      <c r="BJ1008" s="4">
        <v>2</v>
      </c>
      <c r="BK1008" s="8">
        <v>63.04</v>
      </c>
      <c r="BL1008" s="2" t="s">
        <v>2894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5383</v>
      </c>
      <c r="BV1008" s="2" t="s">
        <v>228</v>
      </c>
      <c r="BW1008" s="2" t="s">
        <v>228</v>
      </c>
      <c r="BX1008" s="2" t="s">
        <v>273</v>
      </c>
      <c r="BY1008" s="2" t="s">
        <v>274</v>
      </c>
      <c r="BZ1008" s="2" t="s">
        <v>240</v>
      </c>
      <c r="CA1008" s="2" t="s">
        <v>3161</v>
      </c>
      <c r="CB1008" s="2" t="s">
        <v>228</v>
      </c>
      <c r="CC1008" s="2" t="s">
        <v>241</v>
      </c>
      <c r="CD1008" s="2" t="s">
        <v>228</v>
      </c>
      <c r="CE1008" s="4">
        <v>35</v>
      </c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</row>
    <row r="1009">
      <c r="A1009" s="2" t="s">
        <v>5384</v>
      </c>
      <c r="B1009" s="2" t="s">
        <v>848</v>
      </c>
      <c r="C1009" s="2" t="s">
        <v>849</v>
      </c>
      <c r="D1009" s="2" t="s">
        <v>1112</v>
      </c>
      <c r="E1009" s="2" t="s">
        <v>1165</v>
      </c>
      <c r="F1009" s="2" t="s">
        <v>5358</v>
      </c>
      <c r="G1009" s="2" t="s">
        <v>5359</v>
      </c>
      <c r="H1009" s="2" t="s">
        <v>5360</v>
      </c>
      <c r="I1009" s="2" t="s">
        <v>5385</v>
      </c>
      <c r="J1009" s="2" t="s">
        <v>1189</v>
      </c>
      <c r="K1009" s="2" t="s">
        <v>460</v>
      </c>
      <c r="L1009" s="3">
        <v>36.72</v>
      </c>
      <c r="M1009" s="3">
        <v>38.56</v>
      </c>
      <c r="N1009" s="3">
        <v>69.99</v>
      </c>
      <c r="O1009" s="2" t="s">
        <v>240</v>
      </c>
      <c r="P1009" s="2" t="s">
        <v>266</v>
      </c>
      <c r="Q1009" s="2" t="s">
        <v>234</v>
      </c>
      <c r="R1009" s="2" t="s">
        <v>228</v>
      </c>
      <c r="S1009" s="2" t="s">
        <v>5382</v>
      </c>
      <c r="T1009" s="2" t="s">
        <v>3400</v>
      </c>
      <c r="U1009" s="2" t="s">
        <v>308</v>
      </c>
      <c r="V1009" s="2" t="s">
        <v>236</v>
      </c>
      <c r="W1009" s="2" t="s">
        <v>309</v>
      </c>
      <c r="X1009" s="2" t="s">
        <v>1906</v>
      </c>
      <c r="Y1009" s="2" t="s">
        <v>2664</v>
      </c>
      <c r="Z1009" s="4">
        <v>301</v>
      </c>
      <c r="AA1009" s="4">
        <f>=ROUNDDOWN(86,0)</f>
      </c>
      <c r="AB1009" s="5">
        <v>3.5</v>
      </c>
      <c r="AC1009" s="2" t="s">
        <v>228</v>
      </c>
      <c r="AD1009" s="4"/>
      <c r="AE1009" s="4"/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228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228</v>
      </c>
      <c r="AW1009" s="8" t="s">
        <v>228</v>
      </c>
      <c r="AX1009" s="4" t="s">
        <v>228</v>
      </c>
      <c r="AY1009" s="8" t="s">
        <v>228</v>
      </c>
      <c r="AZ1009" s="7" t="s">
        <v>228</v>
      </c>
      <c r="BA1009" s="7" t="s">
        <v>228</v>
      </c>
      <c r="BB1009" s="7" t="s">
        <v>228</v>
      </c>
      <c r="BC1009" s="4" t="s">
        <v>228</v>
      </c>
      <c r="BD1009" s="8" t="s">
        <v>228</v>
      </c>
      <c r="BE1009" s="4" t="s">
        <v>228</v>
      </c>
      <c r="BF1009" s="8" t="s">
        <v>228</v>
      </c>
      <c r="BG1009" s="7" t="s">
        <v>228</v>
      </c>
      <c r="BH1009" s="7" t="s">
        <v>228</v>
      </c>
      <c r="BI1009" s="7"/>
      <c r="BJ1009" s="4">
        <v>15</v>
      </c>
      <c r="BK1009" s="8">
        <v>563.86</v>
      </c>
      <c r="BL1009" s="2" t="s">
        <v>5386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5387</v>
      </c>
      <c r="BV1009" s="2" t="s">
        <v>228</v>
      </c>
      <c r="BW1009" s="2" t="s">
        <v>228</v>
      </c>
      <c r="BX1009" s="2" t="s">
        <v>735</v>
      </c>
      <c r="BY1009" s="2" t="s">
        <v>274</v>
      </c>
      <c r="BZ1009" s="2" t="s">
        <v>240</v>
      </c>
      <c r="CA1009" s="2" t="s">
        <v>2664</v>
      </c>
      <c r="CB1009" s="2" t="s">
        <v>2491</v>
      </c>
      <c r="CC1009" s="2" t="s">
        <v>241</v>
      </c>
      <c r="CD1009" s="2" t="s">
        <v>228</v>
      </c>
      <c r="CE1009" s="4">
        <v>301</v>
      </c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</row>
    <row r="1010">
      <c r="A1010" s="2" t="s">
        <v>5388</v>
      </c>
      <c r="B1010" s="2" t="s">
        <v>848</v>
      </c>
      <c r="C1010" s="2" t="s">
        <v>849</v>
      </c>
      <c r="D1010" s="2" t="s">
        <v>850</v>
      </c>
      <c r="E1010" s="2" t="s">
        <v>851</v>
      </c>
      <c r="F1010" s="2" t="s">
        <v>5358</v>
      </c>
      <c r="G1010" s="2" t="s">
        <v>5359</v>
      </c>
      <c r="H1010" s="2" t="s">
        <v>5360</v>
      </c>
      <c r="I1010" s="2" t="s">
        <v>5361</v>
      </c>
      <c r="J1010" s="2" t="s">
        <v>1189</v>
      </c>
      <c r="K1010" s="2" t="s">
        <v>460</v>
      </c>
      <c r="L1010" s="3">
        <v>33.6</v>
      </c>
      <c r="M1010" s="3">
        <v>35.28</v>
      </c>
      <c r="N1010" s="3">
        <v>69.99</v>
      </c>
      <c r="O1010" s="2" t="s">
        <v>240</v>
      </c>
      <c r="P1010" s="2" t="s">
        <v>233</v>
      </c>
      <c r="Q1010" s="2" t="s">
        <v>234</v>
      </c>
      <c r="R1010" s="2" t="s">
        <v>228</v>
      </c>
      <c r="S1010" s="2" t="s">
        <v>5382</v>
      </c>
      <c r="T1010" s="2" t="s">
        <v>3400</v>
      </c>
      <c r="U1010" s="2" t="s">
        <v>308</v>
      </c>
      <c r="V1010" s="2" t="s">
        <v>236</v>
      </c>
      <c r="W1010" s="2" t="s">
        <v>309</v>
      </c>
      <c r="X1010" s="2" t="s">
        <v>1906</v>
      </c>
      <c r="Y1010" s="2" t="s">
        <v>2664</v>
      </c>
      <c r="Z1010" s="4">
        <v>40</v>
      </c>
      <c r="AA1010" s="4">
        <f>=ROUNDDOWN(12.1212121212121,0)</f>
      </c>
      <c r="AB1010" s="5">
        <v>3.3</v>
      </c>
      <c r="AC1010" s="2" t="s">
        <v>228</v>
      </c>
      <c r="AD1010" s="4"/>
      <c r="AE1010" s="4"/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228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228</v>
      </c>
      <c r="AW1010" s="8" t="s">
        <v>228</v>
      </c>
      <c r="AX1010" s="4" t="s">
        <v>228</v>
      </c>
      <c r="AY1010" s="8" t="s">
        <v>228</v>
      </c>
      <c r="AZ1010" s="7" t="s">
        <v>228</v>
      </c>
      <c r="BA1010" s="7" t="s">
        <v>228</v>
      </c>
      <c r="BB1010" s="7" t="s">
        <v>228</v>
      </c>
      <c r="BC1010" s="4" t="s">
        <v>228</v>
      </c>
      <c r="BD1010" s="8" t="s">
        <v>228</v>
      </c>
      <c r="BE1010" s="4" t="s">
        <v>228</v>
      </c>
      <c r="BF1010" s="8" t="s">
        <v>228</v>
      </c>
      <c r="BG1010" s="7" t="s">
        <v>228</v>
      </c>
      <c r="BH1010" s="7" t="s">
        <v>228</v>
      </c>
      <c r="BI1010" s="7"/>
      <c r="BJ1010" s="4">
        <v>5</v>
      </c>
      <c r="BK1010" s="8">
        <v>185.15</v>
      </c>
      <c r="BL1010" s="2" t="s">
        <v>2804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5389</v>
      </c>
      <c r="BV1010" s="2" t="s">
        <v>228</v>
      </c>
      <c r="BW1010" s="2" t="s">
        <v>228</v>
      </c>
      <c r="BX1010" s="2" t="s">
        <v>273</v>
      </c>
      <c r="BY1010" s="2" t="s">
        <v>274</v>
      </c>
      <c r="BZ1010" s="2" t="s">
        <v>240</v>
      </c>
      <c r="CA1010" s="2" t="s">
        <v>3161</v>
      </c>
      <c r="CB1010" s="2" t="s">
        <v>1217</v>
      </c>
      <c r="CC1010" s="2" t="s">
        <v>241</v>
      </c>
      <c r="CD1010" s="2" t="s">
        <v>228</v>
      </c>
      <c r="CE1010" s="4">
        <v>40</v>
      </c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</row>
    <row r="1011">
      <c r="A1011" s="2" t="s">
        <v>5390</v>
      </c>
      <c r="B1011" s="2" t="s">
        <v>848</v>
      </c>
      <c r="C1011" s="2" t="s">
        <v>849</v>
      </c>
      <c r="D1011" s="2" t="s">
        <v>850</v>
      </c>
      <c r="E1011" s="2" t="s">
        <v>851</v>
      </c>
      <c r="F1011" s="2" t="s">
        <v>5358</v>
      </c>
      <c r="G1011" s="2" t="s">
        <v>5359</v>
      </c>
      <c r="H1011" s="2" t="s">
        <v>5360</v>
      </c>
      <c r="I1011" s="2" t="s">
        <v>5361</v>
      </c>
      <c r="J1011" s="2" t="s">
        <v>1043</v>
      </c>
      <c r="K1011" s="2" t="s">
        <v>460</v>
      </c>
      <c r="L1011" s="3">
        <v>36.75</v>
      </c>
      <c r="M1011" s="3">
        <v>38.59</v>
      </c>
      <c r="N1011" s="3">
        <v>74.99</v>
      </c>
      <c r="O1011" s="2" t="s">
        <v>240</v>
      </c>
      <c r="P1011" s="2" t="s">
        <v>233</v>
      </c>
      <c r="Q1011" s="2" t="s">
        <v>234</v>
      </c>
      <c r="R1011" s="2" t="s">
        <v>228</v>
      </c>
      <c r="S1011" s="2" t="s">
        <v>5382</v>
      </c>
      <c r="T1011" s="2" t="s">
        <v>3400</v>
      </c>
      <c r="U1011" s="2" t="s">
        <v>308</v>
      </c>
      <c r="V1011" s="2" t="s">
        <v>236</v>
      </c>
      <c r="W1011" s="2" t="s">
        <v>309</v>
      </c>
      <c r="X1011" s="2" t="s">
        <v>1906</v>
      </c>
      <c r="Y1011" s="2" t="s">
        <v>2664</v>
      </c>
      <c r="Z1011" s="4">
        <v>23</v>
      </c>
      <c r="AA1011" s="4">
        <f>=ROUNDDOWN(76.6666666666667,0)</f>
      </c>
      <c r="AB1011" s="5">
        <v>0.3</v>
      </c>
      <c r="AC1011" s="2" t="s">
        <v>228</v>
      </c>
      <c r="AD1011" s="4"/>
      <c r="AE1011" s="4"/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228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228</v>
      </c>
      <c r="AW1011" s="8" t="s">
        <v>228</v>
      </c>
      <c r="AX1011" s="4" t="s">
        <v>228</v>
      </c>
      <c r="AY1011" s="8" t="s">
        <v>228</v>
      </c>
      <c r="AZ1011" s="7" t="s">
        <v>228</v>
      </c>
      <c r="BA1011" s="7" t="s">
        <v>228</v>
      </c>
      <c r="BB1011" s="7"/>
      <c r="BC1011" s="4" t="s">
        <v>228</v>
      </c>
      <c r="BD1011" s="8" t="s">
        <v>228</v>
      </c>
      <c r="BE1011" s="4" t="s">
        <v>228</v>
      </c>
      <c r="BF1011" s="8" t="s">
        <v>228</v>
      </c>
      <c r="BG1011" s="7" t="s">
        <v>228</v>
      </c>
      <c r="BH1011" s="7" t="s">
        <v>228</v>
      </c>
      <c r="BI1011" s="7"/>
      <c r="BJ1011" s="4"/>
      <c r="BK1011" s="8"/>
      <c r="BL1011" s="2" t="s">
        <v>228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5391</v>
      </c>
      <c r="BV1011" s="2" t="s">
        <v>228</v>
      </c>
      <c r="BW1011" s="2" t="s">
        <v>228</v>
      </c>
      <c r="BX1011" s="2" t="s">
        <v>273</v>
      </c>
      <c r="BY1011" s="2" t="s">
        <v>274</v>
      </c>
      <c r="BZ1011" s="2" t="s">
        <v>240</v>
      </c>
      <c r="CA1011" s="2" t="s">
        <v>3161</v>
      </c>
      <c r="CB1011" s="2" t="s">
        <v>1109</v>
      </c>
      <c r="CC1011" s="2" t="s">
        <v>241</v>
      </c>
      <c r="CD1011" s="2" t="s">
        <v>228</v>
      </c>
      <c r="CE1011" s="4">
        <v>23</v>
      </c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</row>
    <row r="1012">
      <c r="A1012" s="2" t="s">
        <v>5392</v>
      </c>
      <c r="B1012" s="2" t="s">
        <v>848</v>
      </c>
      <c r="C1012" s="2" t="s">
        <v>849</v>
      </c>
      <c r="D1012" s="2" t="s">
        <v>850</v>
      </c>
      <c r="E1012" s="2" t="s">
        <v>851</v>
      </c>
      <c r="F1012" s="2" t="s">
        <v>5358</v>
      </c>
      <c r="G1012" s="2" t="s">
        <v>5359</v>
      </c>
      <c r="H1012" s="2" t="s">
        <v>5360</v>
      </c>
      <c r="I1012" s="2" t="s">
        <v>5361</v>
      </c>
      <c r="J1012" s="2" t="s">
        <v>856</v>
      </c>
      <c r="K1012" s="2" t="s">
        <v>249</v>
      </c>
      <c r="L1012" s="3">
        <v>27.6</v>
      </c>
      <c r="M1012" s="3">
        <v>28.98</v>
      </c>
      <c r="N1012" s="3">
        <v>59.99</v>
      </c>
      <c r="O1012" s="2" t="s">
        <v>240</v>
      </c>
      <c r="P1012" s="2" t="s">
        <v>266</v>
      </c>
      <c r="Q1012" s="2" t="s">
        <v>234</v>
      </c>
      <c r="R1012" s="2" t="s">
        <v>228</v>
      </c>
      <c r="S1012" s="2" t="s">
        <v>5393</v>
      </c>
      <c r="T1012" s="2" t="s">
        <v>3400</v>
      </c>
      <c r="U1012" s="2" t="s">
        <v>500</v>
      </c>
      <c r="V1012" s="2" t="s">
        <v>236</v>
      </c>
      <c r="W1012" s="2" t="s">
        <v>309</v>
      </c>
      <c r="X1012" s="2" t="s">
        <v>1906</v>
      </c>
      <c r="Y1012" s="2" t="s">
        <v>5121</v>
      </c>
      <c r="Z1012" s="4">
        <v>132</v>
      </c>
      <c r="AA1012" s="4">
        <f>=ROUNDDOWN(44,0)</f>
      </c>
      <c r="AB1012" s="5">
        <v>3</v>
      </c>
      <c r="AC1012" s="2" t="s">
        <v>1461</v>
      </c>
      <c r="AD1012" s="4">
        <v>70</v>
      </c>
      <c r="AE1012" s="4">
        <v>200</v>
      </c>
      <c r="AF1012" s="6">
        <v>64</v>
      </c>
      <c r="AG1012" s="6"/>
      <c r="AH1012" s="7">
        <v>1</v>
      </c>
      <c r="AI1012" s="4"/>
      <c r="AJ1012" s="4">
        <f>=ROUNDDOWN({0},0)</f>
      </c>
      <c r="AK1012" s="5"/>
      <c r="AL1012" s="2" t="s">
        <v>228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228</v>
      </c>
      <c r="AW1012" s="8" t="s">
        <v>228</v>
      </c>
      <c r="AX1012" s="4" t="s">
        <v>228</v>
      </c>
      <c r="AY1012" s="8" t="s">
        <v>228</v>
      </c>
      <c r="AZ1012" s="7" t="s">
        <v>228</v>
      </c>
      <c r="BA1012" s="7" t="s">
        <v>228</v>
      </c>
      <c r="BB1012" s="7"/>
      <c r="BC1012" s="4" t="s">
        <v>228</v>
      </c>
      <c r="BD1012" s="8" t="s">
        <v>228</v>
      </c>
      <c r="BE1012" s="4" t="s">
        <v>228</v>
      </c>
      <c r="BF1012" s="8" t="s">
        <v>228</v>
      </c>
      <c r="BG1012" s="7" t="s">
        <v>228</v>
      </c>
      <c r="BH1012" s="7" t="s">
        <v>228</v>
      </c>
      <c r="BI1012" s="7"/>
      <c r="BJ1012" s="4">
        <v>8</v>
      </c>
      <c r="BK1012" s="8">
        <v>235.91</v>
      </c>
      <c r="BL1012" s="2" t="s">
        <v>3971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5394</v>
      </c>
      <c r="BV1012" s="2" t="s">
        <v>228</v>
      </c>
      <c r="BW1012" s="2" t="s">
        <v>228</v>
      </c>
      <c r="BX1012" s="2" t="s">
        <v>273</v>
      </c>
      <c r="BY1012" s="2" t="s">
        <v>274</v>
      </c>
      <c r="BZ1012" s="2" t="s">
        <v>240</v>
      </c>
      <c r="CA1012" s="2" t="s">
        <v>5395</v>
      </c>
      <c r="CB1012" s="2" t="s">
        <v>5396</v>
      </c>
      <c r="CC1012" s="2" t="s">
        <v>241</v>
      </c>
      <c r="CD1012" s="2" t="s">
        <v>228</v>
      </c>
      <c r="CE1012" s="4">
        <v>132</v>
      </c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>
        <v>70</v>
      </c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>
        <v>130</v>
      </c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</row>
    <row r="1013">
      <c r="A1013" s="2" t="s">
        <v>5397</v>
      </c>
      <c r="B1013" s="2" t="s">
        <v>848</v>
      </c>
      <c r="C1013" s="2" t="s">
        <v>849</v>
      </c>
      <c r="D1013" s="2" t="s">
        <v>1316</v>
      </c>
      <c r="E1013" s="2" t="s">
        <v>1317</v>
      </c>
      <c r="F1013" s="2" t="s">
        <v>5358</v>
      </c>
      <c r="G1013" s="2" t="s">
        <v>5359</v>
      </c>
      <c r="H1013" s="2" t="s">
        <v>5360</v>
      </c>
      <c r="I1013" s="2" t="s">
        <v>5398</v>
      </c>
      <c r="J1013" s="2" t="s">
        <v>1189</v>
      </c>
      <c r="K1013" s="2" t="s">
        <v>249</v>
      </c>
      <c r="L1013" s="3">
        <v>30.95</v>
      </c>
      <c r="M1013" s="3">
        <v>32.5</v>
      </c>
      <c r="N1013" s="3">
        <v>64.99</v>
      </c>
      <c r="O1013" s="2" t="s">
        <v>461</v>
      </c>
      <c r="P1013" s="2" t="s">
        <v>333</v>
      </c>
      <c r="Q1013" s="2" t="s">
        <v>234</v>
      </c>
      <c r="R1013" s="2" t="s">
        <v>228</v>
      </c>
      <c r="S1013" s="2" t="s">
        <v>5393</v>
      </c>
      <c r="T1013" s="2" t="s">
        <v>3400</v>
      </c>
      <c r="U1013" s="2" t="s">
        <v>500</v>
      </c>
      <c r="V1013" s="2" t="s">
        <v>236</v>
      </c>
      <c r="W1013" s="2" t="s">
        <v>309</v>
      </c>
      <c r="X1013" s="2" t="s">
        <v>1906</v>
      </c>
      <c r="Y1013" s="2" t="s">
        <v>5399</v>
      </c>
      <c r="Z1013" s="4">
        <v>121</v>
      </c>
      <c r="AA1013" s="4">
        <f>=ROUNDDOWN(80.6666666666667,0)</f>
      </c>
      <c r="AB1013" s="5">
        <v>1.5</v>
      </c>
      <c r="AC1013" s="2" t="s">
        <v>228</v>
      </c>
      <c r="AD1013" s="4"/>
      <c r="AE1013" s="4"/>
      <c r="AF1013" s="6">
        <v>64</v>
      </c>
      <c r="AG1013" s="6"/>
      <c r="AH1013" s="7">
        <v>1</v>
      </c>
      <c r="AI1013" s="4"/>
      <c r="AJ1013" s="4">
        <f>=ROUNDDOWN({0},0)</f>
      </c>
      <c r="AK1013" s="5"/>
      <c r="AL1013" s="2" t="s">
        <v>228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228</v>
      </c>
      <c r="AW1013" s="8" t="s">
        <v>228</v>
      </c>
      <c r="AX1013" s="4" t="s">
        <v>228</v>
      </c>
      <c r="AY1013" s="8" t="s">
        <v>228</v>
      </c>
      <c r="AZ1013" s="7" t="s">
        <v>228</v>
      </c>
      <c r="BA1013" s="7" t="s">
        <v>228</v>
      </c>
      <c r="BB1013" s="7" t="s">
        <v>228</v>
      </c>
      <c r="BC1013" s="4" t="s">
        <v>228</v>
      </c>
      <c r="BD1013" s="8" t="s">
        <v>228</v>
      </c>
      <c r="BE1013" s="4" t="s">
        <v>228</v>
      </c>
      <c r="BF1013" s="8" t="s">
        <v>228</v>
      </c>
      <c r="BG1013" s="7" t="s">
        <v>228</v>
      </c>
      <c r="BH1013" s="7" t="s">
        <v>228</v>
      </c>
      <c r="BI1013" s="7"/>
      <c r="BJ1013" s="4">
        <v>6</v>
      </c>
      <c r="BK1013" s="8">
        <v>166.71</v>
      </c>
      <c r="BL1013" s="2" t="s">
        <v>1045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5400</v>
      </c>
      <c r="BV1013" s="2" t="s">
        <v>228</v>
      </c>
      <c r="BW1013" s="2" t="s">
        <v>228</v>
      </c>
      <c r="BX1013" s="2" t="s">
        <v>337</v>
      </c>
      <c r="BY1013" s="2" t="s">
        <v>274</v>
      </c>
      <c r="BZ1013" s="2" t="s">
        <v>240</v>
      </c>
      <c r="CA1013" s="2" t="s">
        <v>5401</v>
      </c>
      <c r="CB1013" s="2" t="s">
        <v>5402</v>
      </c>
      <c r="CC1013" s="2" t="s">
        <v>241</v>
      </c>
      <c r="CD1013" s="2" t="s">
        <v>228</v>
      </c>
      <c r="CE1013" s="4">
        <v>121</v>
      </c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</row>
    <row r="1014">
      <c r="A1014" s="2" t="s">
        <v>5403</v>
      </c>
      <c r="B1014" s="2" t="s">
        <v>848</v>
      </c>
      <c r="C1014" s="2" t="s">
        <v>849</v>
      </c>
      <c r="D1014" s="2" t="s">
        <v>850</v>
      </c>
      <c r="E1014" s="2" t="s">
        <v>851</v>
      </c>
      <c r="F1014" s="2" t="s">
        <v>5358</v>
      </c>
      <c r="G1014" s="2" t="s">
        <v>5359</v>
      </c>
      <c r="H1014" s="2" t="s">
        <v>5360</v>
      </c>
      <c r="I1014" s="2" t="s">
        <v>5361</v>
      </c>
      <c r="J1014" s="2" t="s">
        <v>1189</v>
      </c>
      <c r="K1014" s="2" t="s">
        <v>249</v>
      </c>
      <c r="L1014" s="3">
        <v>33.6</v>
      </c>
      <c r="M1014" s="3">
        <v>35.28</v>
      </c>
      <c r="N1014" s="3">
        <v>69.99</v>
      </c>
      <c r="O1014" s="2" t="s">
        <v>240</v>
      </c>
      <c r="P1014" s="2" t="s">
        <v>266</v>
      </c>
      <c r="Q1014" s="2" t="s">
        <v>234</v>
      </c>
      <c r="R1014" s="2" t="s">
        <v>228</v>
      </c>
      <c r="S1014" s="2" t="s">
        <v>5393</v>
      </c>
      <c r="T1014" s="2" t="s">
        <v>3400</v>
      </c>
      <c r="U1014" s="2" t="s">
        <v>308</v>
      </c>
      <c r="V1014" s="2" t="s">
        <v>236</v>
      </c>
      <c r="W1014" s="2" t="s">
        <v>309</v>
      </c>
      <c r="X1014" s="2" t="s">
        <v>1906</v>
      </c>
      <c r="Y1014" s="2" t="s">
        <v>5121</v>
      </c>
      <c r="Z1014" s="4">
        <v>178</v>
      </c>
      <c r="AA1014" s="4">
        <f>=ROUNDDOWN(29.6666666666667,0)</f>
      </c>
      <c r="AB1014" s="5">
        <v>6</v>
      </c>
      <c r="AC1014" s="2" t="s">
        <v>1461</v>
      </c>
      <c r="AD1014" s="4">
        <v>140</v>
      </c>
      <c r="AE1014" s="4">
        <v>350</v>
      </c>
      <c r="AF1014" s="6">
        <v>64</v>
      </c>
      <c r="AG1014" s="6"/>
      <c r="AH1014" s="7">
        <v>1</v>
      </c>
      <c r="AI1014" s="4"/>
      <c r="AJ1014" s="4">
        <f>=ROUNDDOWN({0},0)</f>
      </c>
      <c r="AK1014" s="5"/>
      <c r="AL1014" s="2" t="s">
        <v>228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228</v>
      </c>
      <c r="AW1014" s="8" t="s">
        <v>228</v>
      </c>
      <c r="AX1014" s="4" t="s">
        <v>228</v>
      </c>
      <c r="AY1014" s="8" t="s">
        <v>228</v>
      </c>
      <c r="AZ1014" s="7" t="s">
        <v>228</v>
      </c>
      <c r="BA1014" s="7" t="s">
        <v>228</v>
      </c>
      <c r="BB1014" s="7" t="s">
        <v>228</v>
      </c>
      <c r="BC1014" s="4" t="s">
        <v>228</v>
      </c>
      <c r="BD1014" s="8" t="s">
        <v>228</v>
      </c>
      <c r="BE1014" s="4" t="s">
        <v>228</v>
      </c>
      <c r="BF1014" s="8" t="s">
        <v>228</v>
      </c>
      <c r="BG1014" s="7" t="s">
        <v>228</v>
      </c>
      <c r="BH1014" s="7" t="s">
        <v>228</v>
      </c>
      <c r="BI1014" s="7"/>
      <c r="BJ1014" s="4">
        <v>15</v>
      </c>
      <c r="BK1014" s="8">
        <v>512.7</v>
      </c>
      <c r="BL1014" s="2" t="s">
        <v>5404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5405</v>
      </c>
      <c r="BV1014" s="2" t="s">
        <v>228</v>
      </c>
      <c r="BW1014" s="2" t="s">
        <v>228</v>
      </c>
      <c r="BX1014" s="2" t="s">
        <v>273</v>
      </c>
      <c r="BY1014" s="2" t="s">
        <v>274</v>
      </c>
      <c r="BZ1014" s="2" t="s">
        <v>240</v>
      </c>
      <c r="CA1014" s="2" t="s">
        <v>5395</v>
      </c>
      <c r="CB1014" s="2" t="s">
        <v>5367</v>
      </c>
      <c r="CC1014" s="2" t="s">
        <v>241</v>
      </c>
      <c r="CD1014" s="2" t="s">
        <v>228</v>
      </c>
      <c r="CE1014" s="4">
        <v>178</v>
      </c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>
        <v>140</v>
      </c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>
        <v>140</v>
      </c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>
        <v>70</v>
      </c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</row>
    <row r="1015">
      <c r="A1015" s="2" t="s">
        <v>5406</v>
      </c>
      <c r="B1015" s="2" t="s">
        <v>848</v>
      </c>
      <c r="C1015" s="2" t="s">
        <v>849</v>
      </c>
      <c r="D1015" s="2" t="s">
        <v>850</v>
      </c>
      <c r="E1015" s="2" t="s">
        <v>851</v>
      </c>
      <c r="F1015" s="2" t="s">
        <v>5358</v>
      </c>
      <c r="G1015" s="2" t="s">
        <v>5359</v>
      </c>
      <c r="H1015" s="2" t="s">
        <v>5360</v>
      </c>
      <c r="I1015" s="2" t="s">
        <v>5361</v>
      </c>
      <c r="J1015" s="2" t="s">
        <v>856</v>
      </c>
      <c r="K1015" s="2" t="s">
        <v>2796</v>
      </c>
      <c r="L1015" s="3">
        <v>27.6</v>
      </c>
      <c r="M1015" s="3">
        <v>28.98</v>
      </c>
      <c r="N1015" s="3">
        <v>59.99</v>
      </c>
      <c r="O1015" s="2" t="s">
        <v>240</v>
      </c>
      <c r="P1015" s="2" t="s">
        <v>233</v>
      </c>
      <c r="Q1015" s="2" t="s">
        <v>234</v>
      </c>
      <c r="R1015" s="2" t="s">
        <v>228</v>
      </c>
      <c r="S1015" s="2" t="s">
        <v>5407</v>
      </c>
      <c r="T1015" s="2" t="s">
        <v>3400</v>
      </c>
      <c r="U1015" s="2" t="s">
        <v>500</v>
      </c>
      <c r="V1015" s="2" t="s">
        <v>236</v>
      </c>
      <c r="W1015" s="2" t="s">
        <v>309</v>
      </c>
      <c r="X1015" s="2" t="s">
        <v>1906</v>
      </c>
      <c r="Y1015" s="2" t="s">
        <v>2664</v>
      </c>
      <c r="Z1015" s="4">
        <v>36</v>
      </c>
      <c r="AA1015" s="4">
        <f>=ROUNDDOWN(180,0)</f>
      </c>
      <c r="AB1015" s="5">
        <v>0.2</v>
      </c>
      <c r="AC1015" s="2" t="s">
        <v>228</v>
      </c>
      <c r="AD1015" s="4"/>
      <c r="AE1015" s="4"/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228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228</v>
      </c>
      <c r="AW1015" s="8" t="s">
        <v>228</v>
      </c>
      <c r="AX1015" s="4" t="s">
        <v>228</v>
      </c>
      <c r="AY1015" s="8" t="s">
        <v>228</v>
      </c>
      <c r="AZ1015" s="7" t="s">
        <v>228</v>
      </c>
      <c r="BA1015" s="7" t="s">
        <v>228</v>
      </c>
      <c r="BB1015" s="7"/>
      <c r="BC1015" s="4" t="s">
        <v>228</v>
      </c>
      <c r="BD1015" s="8" t="s">
        <v>228</v>
      </c>
      <c r="BE1015" s="4" t="s">
        <v>228</v>
      </c>
      <c r="BF1015" s="8" t="s">
        <v>228</v>
      </c>
      <c r="BG1015" s="7" t="s">
        <v>228</v>
      </c>
      <c r="BH1015" s="7" t="s">
        <v>228</v>
      </c>
      <c r="BI1015" s="7"/>
      <c r="BJ1015" s="4">
        <v>1</v>
      </c>
      <c r="BK1015" s="8">
        <v>31.74</v>
      </c>
      <c r="BL1015" s="2" t="s">
        <v>727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5408</v>
      </c>
      <c r="BV1015" s="2" t="s">
        <v>228</v>
      </c>
      <c r="BW1015" s="2" t="s">
        <v>228</v>
      </c>
      <c r="BX1015" s="2" t="s">
        <v>273</v>
      </c>
      <c r="BY1015" s="2" t="s">
        <v>274</v>
      </c>
      <c r="BZ1015" s="2" t="s">
        <v>240</v>
      </c>
      <c r="CA1015" s="2" t="s">
        <v>3161</v>
      </c>
      <c r="CB1015" s="2" t="s">
        <v>228</v>
      </c>
      <c r="CC1015" s="2" t="s">
        <v>241</v>
      </c>
      <c r="CD1015" s="2" t="s">
        <v>228</v>
      </c>
      <c r="CE1015" s="4">
        <v>36</v>
      </c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</row>
    <row r="1016">
      <c r="A1016" s="2" t="s">
        <v>5409</v>
      </c>
      <c r="B1016" s="2" t="s">
        <v>848</v>
      </c>
      <c r="C1016" s="2" t="s">
        <v>849</v>
      </c>
      <c r="D1016" s="2" t="s">
        <v>850</v>
      </c>
      <c r="E1016" s="2" t="s">
        <v>851</v>
      </c>
      <c r="F1016" s="2" t="s">
        <v>5358</v>
      </c>
      <c r="G1016" s="2" t="s">
        <v>5359</v>
      </c>
      <c r="H1016" s="2" t="s">
        <v>5360</v>
      </c>
      <c r="I1016" s="2" t="s">
        <v>5361</v>
      </c>
      <c r="J1016" s="2" t="s">
        <v>1043</v>
      </c>
      <c r="K1016" s="2" t="s">
        <v>2796</v>
      </c>
      <c r="L1016" s="3">
        <v>36.75</v>
      </c>
      <c r="M1016" s="3">
        <v>38.59</v>
      </c>
      <c r="N1016" s="3">
        <v>74.99</v>
      </c>
      <c r="O1016" s="2" t="s">
        <v>240</v>
      </c>
      <c r="P1016" s="2" t="s">
        <v>233</v>
      </c>
      <c r="Q1016" s="2" t="s">
        <v>234</v>
      </c>
      <c r="R1016" s="2" t="s">
        <v>228</v>
      </c>
      <c r="S1016" s="2" t="s">
        <v>5407</v>
      </c>
      <c r="T1016" s="2" t="s">
        <v>3400</v>
      </c>
      <c r="U1016" s="2" t="s">
        <v>308</v>
      </c>
      <c r="V1016" s="2" t="s">
        <v>236</v>
      </c>
      <c r="W1016" s="2" t="s">
        <v>309</v>
      </c>
      <c r="X1016" s="2" t="s">
        <v>1906</v>
      </c>
      <c r="Y1016" s="2" t="s">
        <v>2664</v>
      </c>
      <c r="Z1016" s="4">
        <v>36</v>
      </c>
      <c r="AA1016" s="4">
        <f>=ROUNDDOWN(13.3333333333333,0)</f>
      </c>
      <c r="AB1016" s="5">
        <v>2.7</v>
      </c>
      <c r="AC1016" s="2" t="s">
        <v>228</v>
      </c>
      <c r="AD1016" s="4"/>
      <c r="AE1016" s="4"/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228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228</v>
      </c>
      <c r="AW1016" s="8" t="s">
        <v>228</v>
      </c>
      <c r="AX1016" s="4" t="s">
        <v>228</v>
      </c>
      <c r="AY1016" s="8" t="s">
        <v>228</v>
      </c>
      <c r="AZ1016" s="7" t="s">
        <v>228</v>
      </c>
      <c r="BA1016" s="7" t="s">
        <v>228</v>
      </c>
      <c r="BB1016" s="7"/>
      <c r="BC1016" s="4" t="s">
        <v>228</v>
      </c>
      <c r="BD1016" s="8" t="s">
        <v>228</v>
      </c>
      <c r="BE1016" s="4" t="s">
        <v>228</v>
      </c>
      <c r="BF1016" s="8" t="s">
        <v>228</v>
      </c>
      <c r="BG1016" s="7" t="s">
        <v>228</v>
      </c>
      <c r="BH1016" s="7" t="s">
        <v>228</v>
      </c>
      <c r="BI1016" s="7"/>
      <c r="BJ1016" s="4">
        <v>9</v>
      </c>
      <c r="BK1016" s="8">
        <v>376.64</v>
      </c>
      <c r="BL1016" s="2" t="s">
        <v>2636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5410</v>
      </c>
      <c r="BV1016" s="2" t="s">
        <v>228</v>
      </c>
      <c r="BW1016" s="2" t="s">
        <v>228</v>
      </c>
      <c r="BX1016" s="2" t="s">
        <v>273</v>
      </c>
      <c r="BY1016" s="2" t="s">
        <v>274</v>
      </c>
      <c r="BZ1016" s="2" t="s">
        <v>240</v>
      </c>
      <c r="CA1016" s="2" t="s">
        <v>3161</v>
      </c>
      <c r="CB1016" s="2" t="s">
        <v>228</v>
      </c>
      <c r="CC1016" s="2" t="s">
        <v>241</v>
      </c>
      <c r="CD1016" s="2" t="s">
        <v>228</v>
      </c>
      <c r="CE1016" s="4">
        <v>36</v>
      </c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</row>
    <row r="1017">
      <c r="A1017" s="2" t="s">
        <v>5411</v>
      </c>
      <c r="B1017" s="2" t="s">
        <v>848</v>
      </c>
      <c r="C1017" s="2" t="s">
        <v>849</v>
      </c>
      <c r="D1017" s="2" t="s">
        <v>850</v>
      </c>
      <c r="E1017" s="2" t="s">
        <v>851</v>
      </c>
      <c r="F1017" s="2" t="s">
        <v>5358</v>
      </c>
      <c r="G1017" s="2" t="s">
        <v>5359</v>
      </c>
      <c r="H1017" s="2" t="s">
        <v>5360</v>
      </c>
      <c r="I1017" s="2" t="s">
        <v>5361</v>
      </c>
      <c r="J1017" s="2" t="s">
        <v>1189</v>
      </c>
      <c r="K1017" s="2" t="s">
        <v>650</v>
      </c>
      <c r="L1017" s="3">
        <v>33.6</v>
      </c>
      <c r="M1017" s="3">
        <v>35.28</v>
      </c>
      <c r="N1017" s="3">
        <v>69.99</v>
      </c>
      <c r="O1017" s="2" t="s">
        <v>240</v>
      </c>
      <c r="P1017" s="2" t="s">
        <v>266</v>
      </c>
      <c r="Q1017" s="2" t="s">
        <v>234</v>
      </c>
      <c r="R1017" s="2" t="s">
        <v>228</v>
      </c>
      <c r="S1017" s="2" t="s">
        <v>5412</v>
      </c>
      <c r="T1017" s="2" t="s">
        <v>3400</v>
      </c>
      <c r="U1017" s="2" t="s">
        <v>308</v>
      </c>
      <c r="V1017" s="2" t="s">
        <v>236</v>
      </c>
      <c r="W1017" s="2" t="s">
        <v>309</v>
      </c>
      <c r="X1017" s="2" t="s">
        <v>1906</v>
      </c>
      <c r="Y1017" s="2" t="s">
        <v>5413</v>
      </c>
      <c r="Z1017" s="4">
        <v>304</v>
      </c>
      <c r="AA1017" s="4">
        <f>=ROUNDDOWN(101.333333333333,0)</f>
      </c>
      <c r="AB1017" s="5">
        <v>3</v>
      </c>
      <c r="AC1017" s="2" t="s">
        <v>1516</v>
      </c>
      <c r="AD1017" s="4">
        <v>70</v>
      </c>
      <c r="AE1017" s="4">
        <v>130</v>
      </c>
      <c r="AF1017" s="6">
        <v>64</v>
      </c>
      <c r="AG1017" s="6"/>
      <c r="AH1017" s="7">
        <v>1</v>
      </c>
      <c r="AI1017" s="4"/>
      <c r="AJ1017" s="4">
        <f>=ROUNDDOWN({0},0)</f>
      </c>
      <c r="AK1017" s="5"/>
      <c r="AL1017" s="2" t="s">
        <v>228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228</v>
      </c>
      <c r="AW1017" s="8" t="s">
        <v>228</v>
      </c>
      <c r="AX1017" s="4" t="s">
        <v>228</v>
      </c>
      <c r="AY1017" s="8" t="s">
        <v>228</v>
      </c>
      <c r="AZ1017" s="7" t="s">
        <v>228</v>
      </c>
      <c r="BA1017" s="7" t="s">
        <v>228</v>
      </c>
      <c r="BB1017" s="7"/>
      <c r="BC1017" s="4" t="s">
        <v>228</v>
      </c>
      <c r="BD1017" s="8" t="s">
        <v>228</v>
      </c>
      <c r="BE1017" s="4" t="s">
        <v>228</v>
      </c>
      <c r="BF1017" s="8" t="s">
        <v>228</v>
      </c>
      <c r="BG1017" s="7" t="s">
        <v>228</v>
      </c>
      <c r="BH1017" s="7" t="s">
        <v>228</v>
      </c>
      <c r="BI1017" s="7"/>
      <c r="BJ1017" s="4">
        <v>7</v>
      </c>
      <c r="BK1017" s="8">
        <v>227.72</v>
      </c>
      <c r="BL1017" s="2" t="s">
        <v>5414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5415</v>
      </c>
      <c r="BV1017" s="2" t="s">
        <v>228</v>
      </c>
      <c r="BW1017" s="2" t="s">
        <v>228</v>
      </c>
      <c r="BX1017" s="2" t="s">
        <v>273</v>
      </c>
      <c r="BY1017" s="2" t="s">
        <v>274</v>
      </c>
      <c r="BZ1017" s="2" t="s">
        <v>240</v>
      </c>
      <c r="CA1017" s="2" t="s">
        <v>5413</v>
      </c>
      <c r="CB1017" s="2" t="s">
        <v>5416</v>
      </c>
      <c r="CC1017" s="2" t="s">
        <v>241</v>
      </c>
      <c r="CD1017" s="2" t="s">
        <v>228</v>
      </c>
      <c r="CE1017" s="4">
        <v>304</v>
      </c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>
        <v>70</v>
      </c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>
        <v>60</v>
      </c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</row>
    <row r="1018">
      <c r="A1018" s="2" t="s">
        <v>5417</v>
      </c>
      <c r="B1018" s="2" t="s">
        <v>848</v>
      </c>
      <c r="C1018" s="2" t="s">
        <v>849</v>
      </c>
      <c r="D1018" s="2" t="s">
        <v>850</v>
      </c>
      <c r="E1018" s="2" t="s">
        <v>851</v>
      </c>
      <c r="F1018" s="2" t="s">
        <v>5358</v>
      </c>
      <c r="G1018" s="2" t="s">
        <v>5359</v>
      </c>
      <c r="H1018" s="2" t="s">
        <v>5360</v>
      </c>
      <c r="I1018" s="2" t="s">
        <v>5361</v>
      </c>
      <c r="J1018" s="2" t="s">
        <v>1043</v>
      </c>
      <c r="K1018" s="2" t="s">
        <v>650</v>
      </c>
      <c r="L1018" s="3">
        <v>36.75</v>
      </c>
      <c r="M1018" s="3">
        <v>38.59</v>
      </c>
      <c r="N1018" s="3">
        <v>74.99</v>
      </c>
      <c r="O1018" s="2" t="s">
        <v>240</v>
      </c>
      <c r="P1018" s="2" t="s">
        <v>266</v>
      </c>
      <c r="Q1018" s="2" t="s">
        <v>234</v>
      </c>
      <c r="R1018" s="2" t="s">
        <v>228</v>
      </c>
      <c r="S1018" s="2" t="s">
        <v>5412</v>
      </c>
      <c r="T1018" s="2" t="s">
        <v>3400</v>
      </c>
      <c r="U1018" s="2" t="s">
        <v>308</v>
      </c>
      <c r="V1018" s="2" t="s">
        <v>236</v>
      </c>
      <c r="W1018" s="2" t="s">
        <v>309</v>
      </c>
      <c r="X1018" s="2" t="s">
        <v>1906</v>
      </c>
      <c r="Y1018" s="2" t="s">
        <v>5418</v>
      </c>
      <c r="Z1018" s="4">
        <v>156</v>
      </c>
      <c r="AA1018" s="4">
        <f>=ROUNDDOWN(52,0)</f>
      </c>
      <c r="AB1018" s="5">
        <v>3</v>
      </c>
      <c r="AC1018" s="2" t="s">
        <v>1516</v>
      </c>
      <c r="AD1018" s="4">
        <v>40</v>
      </c>
      <c r="AE1018" s="4">
        <v>80</v>
      </c>
      <c r="AF1018" s="6">
        <v>64</v>
      </c>
      <c r="AG1018" s="6"/>
      <c r="AH1018" s="7">
        <v>1</v>
      </c>
      <c r="AI1018" s="4"/>
      <c r="AJ1018" s="4">
        <f>=ROUNDDOWN({0},0)</f>
      </c>
      <c r="AK1018" s="5"/>
      <c r="AL1018" s="2" t="s">
        <v>228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228</v>
      </c>
      <c r="AW1018" s="8" t="s">
        <v>228</v>
      </c>
      <c r="AX1018" s="4" t="s">
        <v>228</v>
      </c>
      <c r="AY1018" s="8" t="s">
        <v>228</v>
      </c>
      <c r="AZ1018" s="7" t="s">
        <v>228</v>
      </c>
      <c r="BA1018" s="7" t="s">
        <v>228</v>
      </c>
      <c r="BB1018" s="7"/>
      <c r="BC1018" s="4" t="s">
        <v>228</v>
      </c>
      <c r="BD1018" s="8" t="s">
        <v>228</v>
      </c>
      <c r="BE1018" s="4" t="s">
        <v>228</v>
      </c>
      <c r="BF1018" s="8" t="s">
        <v>228</v>
      </c>
      <c r="BG1018" s="7" t="s">
        <v>228</v>
      </c>
      <c r="BH1018" s="7" t="s">
        <v>228</v>
      </c>
      <c r="BI1018" s="7"/>
      <c r="BJ1018" s="4">
        <v>8</v>
      </c>
      <c r="BK1018" s="8">
        <v>302.57</v>
      </c>
      <c r="BL1018" s="2" t="s">
        <v>3532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5419</v>
      </c>
      <c r="BV1018" s="2" t="s">
        <v>228</v>
      </c>
      <c r="BW1018" s="2" t="s">
        <v>228</v>
      </c>
      <c r="BX1018" s="2" t="s">
        <v>273</v>
      </c>
      <c r="BY1018" s="2" t="s">
        <v>274</v>
      </c>
      <c r="BZ1018" s="2" t="s">
        <v>240</v>
      </c>
      <c r="CA1018" s="2" t="s">
        <v>5418</v>
      </c>
      <c r="CB1018" s="2" t="s">
        <v>5420</v>
      </c>
      <c r="CC1018" s="2" t="s">
        <v>241</v>
      </c>
      <c r="CD1018" s="2" t="s">
        <v>228</v>
      </c>
      <c r="CE1018" s="4">
        <v>156</v>
      </c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>
        <v>40</v>
      </c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>
        <v>40</v>
      </c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</row>
    <row r="1019">
      <c r="A1019" s="2" t="s">
        <v>5421</v>
      </c>
      <c r="B1019" s="2" t="s">
        <v>958</v>
      </c>
      <c r="C1019" s="2" t="s">
        <v>835</v>
      </c>
      <c r="D1019" s="2" t="s">
        <v>959</v>
      </c>
      <c r="E1019" s="2" t="s">
        <v>3094</v>
      </c>
      <c r="F1019" s="2" t="s">
        <v>5422</v>
      </c>
      <c r="G1019" s="2" t="s">
        <v>5422</v>
      </c>
      <c r="H1019" s="2" t="s">
        <v>5422</v>
      </c>
      <c r="I1019" s="2" t="s">
        <v>5423</v>
      </c>
      <c r="J1019" s="2" t="s">
        <v>840</v>
      </c>
      <c r="K1019" s="2" t="s">
        <v>1421</v>
      </c>
      <c r="L1019" s="3">
        <v>205.2</v>
      </c>
      <c r="M1019" s="3">
        <v>215.46</v>
      </c>
      <c r="N1019" s="3">
        <v>429</v>
      </c>
      <c r="O1019" s="2" t="s">
        <v>240</v>
      </c>
      <c r="P1019" s="2" t="s">
        <v>333</v>
      </c>
      <c r="Q1019" s="2" t="s">
        <v>234</v>
      </c>
      <c r="R1019" s="2" t="s">
        <v>228</v>
      </c>
      <c r="S1019" s="2" t="s">
        <v>228</v>
      </c>
      <c r="T1019" s="2" t="s">
        <v>228</v>
      </c>
      <c r="U1019" s="2" t="s">
        <v>416</v>
      </c>
      <c r="V1019" s="2" t="s">
        <v>842</v>
      </c>
      <c r="W1019" s="2" t="s">
        <v>463</v>
      </c>
      <c r="X1019" s="2" t="s">
        <v>743</v>
      </c>
      <c r="Y1019" s="2" t="s">
        <v>1596</v>
      </c>
      <c r="Z1019" s="4">
        <v>111</v>
      </c>
      <c r="AA1019" s="4">
        <f>=ROUNDDOWN(111,0)</f>
      </c>
      <c r="AB1019" s="5">
        <v>1</v>
      </c>
      <c r="AC1019" s="2" t="s">
        <v>228</v>
      </c>
      <c r="AD1019" s="4"/>
      <c r="AE1019" s="4"/>
      <c r="AF1019" s="6">
        <v>66</v>
      </c>
      <c r="AG1019" s="6"/>
      <c r="AH1019" s="7">
        <v>1</v>
      </c>
      <c r="AI1019" s="4"/>
      <c r="AJ1019" s="4">
        <f>=ROUNDDOWN({0},0)</f>
      </c>
      <c r="AK1019" s="5"/>
      <c r="AL1019" s="2" t="s">
        <v>228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/>
      <c r="AW1019" s="8"/>
      <c r="AX1019" s="4"/>
      <c r="AY1019" s="8"/>
      <c r="AZ1019" s="7"/>
      <c r="BA1019" s="7"/>
      <c r="BB1019" s="7"/>
      <c r="BC1019" s="4"/>
      <c r="BD1019" s="8"/>
      <c r="BE1019" s="4"/>
      <c r="BF1019" s="8"/>
      <c r="BG1019" s="7"/>
      <c r="BH1019" s="7"/>
      <c r="BI1019" s="7"/>
      <c r="BJ1019" s="4"/>
      <c r="BK1019" s="8"/>
      <c r="BL1019" s="2" t="s">
        <v>995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5424</v>
      </c>
      <c r="BV1019" s="2" t="s">
        <v>228</v>
      </c>
      <c r="BW1019" s="2" t="s">
        <v>228</v>
      </c>
      <c r="BX1019" s="2" t="s">
        <v>337</v>
      </c>
      <c r="BY1019" s="2" t="s">
        <v>274</v>
      </c>
      <c r="BZ1019" s="2" t="s">
        <v>240</v>
      </c>
      <c r="CA1019" s="2" t="s">
        <v>1596</v>
      </c>
      <c r="CB1019" s="2" t="s">
        <v>539</v>
      </c>
      <c r="CC1019" s="2" t="s">
        <v>241</v>
      </c>
      <c r="CD1019" s="2" t="s">
        <v>228</v>
      </c>
      <c r="CE1019" s="4"/>
      <c r="CF1019" s="4">
        <v>111</v>
      </c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</row>
    <row r="1020">
      <c r="A1020" s="2" t="s">
        <v>5425</v>
      </c>
      <c r="B1020" s="2" t="s">
        <v>958</v>
      </c>
      <c r="C1020" s="2" t="s">
        <v>885</v>
      </c>
      <c r="D1020" s="2" t="s">
        <v>1795</v>
      </c>
      <c r="E1020" s="2" t="s">
        <v>1796</v>
      </c>
      <c r="F1020" s="2" t="s">
        <v>5426</v>
      </c>
      <c r="G1020" s="2" t="s">
        <v>5426</v>
      </c>
      <c r="H1020" s="2" t="s">
        <v>5426</v>
      </c>
      <c r="I1020" s="2" t="s">
        <v>5427</v>
      </c>
      <c r="J1020" s="2" t="s">
        <v>840</v>
      </c>
      <c r="K1020" s="2" t="s">
        <v>2350</v>
      </c>
      <c r="L1020" s="3">
        <v>145.35</v>
      </c>
      <c r="M1020" s="3">
        <v>152.62</v>
      </c>
      <c r="N1020" s="3">
        <v>299</v>
      </c>
      <c r="O1020" s="2" t="s">
        <v>240</v>
      </c>
      <c r="P1020" s="2" t="s">
        <v>1012</v>
      </c>
      <c r="Q1020" s="2" t="s">
        <v>234</v>
      </c>
      <c r="R1020" s="2" t="s">
        <v>228</v>
      </c>
      <c r="S1020" s="2" t="s">
        <v>228</v>
      </c>
      <c r="T1020" s="2" t="s">
        <v>228</v>
      </c>
      <c r="U1020" s="2" t="s">
        <v>520</v>
      </c>
      <c r="V1020" s="2" t="s">
        <v>842</v>
      </c>
      <c r="W1020" s="2" t="s">
        <v>1761</v>
      </c>
      <c r="X1020" s="2" t="s">
        <v>892</v>
      </c>
      <c r="Y1020" s="2" t="s">
        <v>1596</v>
      </c>
      <c r="Z1020" s="4">
        <v>153</v>
      </c>
      <c r="AA1020" s="4">
        <f>=ROUNDDOWN(76.5,0)</f>
      </c>
      <c r="AB1020" s="5">
        <v>2</v>
      </c>
      <c r="AC1020" s="2" t="s">
        <v>228</v>
      </c>
      <c r="AD1020" s="4"/>
      <c r="AE1020" s="4"/>
      <c r="AF1020" s="6">
        <v>74</v>
      </c>
      <c r="AG1020" s="6"/>
      <c r="AH1020" s="7">
        <v>1</v>
      </c>
      <c r="AI1020" s="4"/>
      <c r="AJ1020" s="4">
        <f>=ROUNDDOWN({0},0)</f>
      </c>
      <c r="AK1020" s="5"/>
      <c r="AL1020" s="2" t="s">
        <v>228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/>
      <c r="AW1020" s="8"/>
      <c r="AX1020" s="4"/>
      <c r="AY1020" s="8"/>
      <c r="AZ1020" s="7"/>
      <c r="BA1020" s="7"/>
      <c r="BB1020" s="7"/>
      <c r="BC1020" s="4"/>
      <c r="BD1020" s="8"/>
      <c r="BE1020" s="4"/>
      <c r="BF1020" s="8"/>
      <c r="BG1020" s="7"/>
      <c r="BH1020" s="7"/>
      <c r="BI1020" s="7"/>
      <c r="BJ1020" s="4">
        <v>8</v>
      </c>
      <c r="BK1020" s="8">
        <v>1583.8</v>
      </c>
      <c r="BL1020" s="2" t="s">
        <v>5428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5429</v>
      </c>
      <c r="BV1020" s="2" t="s">
        <v>228</v>
      </c>
      <c r="BW1020" s="2" t="s">
        <v>228</v>
      </c>
      <c r="BX1020" s="2" t="s">
        <v>273</v>
      </c>
      <c r="BY1020" s="2" t="s">
        <v>274</v>
      </c>
      <c r="BZ1020" s="2" t="s">
        <v>240</v>
      </c>
      <c r="CA1020" s="2" t="s">
        <v>1596</v>
      </c>
      <c r="CB1020" s="2" t="s">
        <v>3811</v>
      </c>
      <c r="CC1020" s="2" t="s">
        <v>241</v>
      </c>
      <c r="CD1020" s="2" t="s">
        <v>228</v>
      </c>
      <c r="CE1020" s="4"/>
      <c r="CF1020" s="4">
        <v>153</v>
      </c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</row>
    <row r="1021">
      <c r="A1021" s="2" t="s">
        <v>5430</v>
      </c>
      <c r="B1021" s="2" t="s">
        <v>866</v>
      </c>
      <c r="C1021" s="2" t="s">
        <v>300</v>
      </c>
      <c r="D1021" s="2" t="s">
        <v>907</v>
      </c>
      <c r="E1021" s="2" t="s">
        <v>4844</v>
      </c>
      <c r="F1021" s="2" t="s">
        <v>5431</v>
      </c>
      <c r="G1021" s="2" t="s">
        <v>5431</v>
      </c>
      <c r="H1021" s="2" t="s">
        <v>5431</v>
      </c>
      <c r="I1021" s="2" t="s">
        <v>5432</v>
      </c>
      <c r="J1021" s="2" t="s">
        <v>5433</v>
      </c>
      <c r="K1021" s="2" t="s">
        <v>912</v>
      </c>
      <c r="L1021" s="3">
        <v>50.43</v>
      </c>
      <c r="M1021" s="3">
        <v>52.95</v>
      </c>
      <c r="N1021" s="3">
        <v>93.49</v>
      </c>
      <c r="O1021" s="2" t="s">
        <v>240</v>
      </c>
      <c r="P1021" s="2" t="s">
        <v>889</v>
      </c>
      <c r="Q1021" s="2" t="s">
        <v>234</v>
      </c>
      <c r="R1021" s="2" t="s">
        <v>228</v>
      </c>
      <c r="S1021" s="2" t="s">
        <v>228</v>
      </c>
      <c r="T1021" s="2" t="s">
        <v>228</v>
      </c>
      <c r="U1021" s="2" t="s">
        <v>416</v>
      </c>
      <c r="V1021" s="2" t="s">
        <v>859</v>
      </c>
      <c r="W1021" s="2" t="s">
        <v>228</v>
      </c>
      <c r="X1021" s="2" t="s">
        <v>228</v>
      </c>
      <c r="Y1021" s="2" t="s">
        <v>1055</v>
      </c>
      <c r="Z1021" s="4">
        <v>102</v>
      </c>
      <c r="AA1021" s="4">
        <f>=ROUNDDOWN(6.8,0)</f>
      </c>
      <c r="AB1021" s="5">
        <v>15</v>
      </c>
      <c r="AC1021" s="2" t="s">
        <v>159</v>
      </c>
      <c r="AD1021" s="4">
        <v>160</v>
      </c>
      <c r="AE1021" s="4">
        <v>300</v>
      </c>
      <c r="AF1021" s="6">
        <v>65</v>
      </c>
      <c r="AG1021" s="6">
        <v>48</v>
      </c>
      <c r="AH1021" s="7">
        <v>1</v>
      </c>
      <c r="AI1021" s="4"/>
      <c r="AJ1021" s="4">
        <f>=ROUNDDOWN({0},0)</f>
      </c>
      <c r="AK1021" s="5"/>
      <c r="AL1021" s="2" t="s">
        <v>228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/>
      <c r="AW1021" s="8"/>
      <c r="AX1021" s="4"/>
      <c r="AY1021" s="8"/>
      <c r="AZ1021" s="7"/>
      <c r="BA1021" s="7"/>
      <c r="BB1021" s="7"/>
      <c r="BC1021" s="4" t="s">
        <v>228</v>
      </c>
      <c r="BD1021" s="8" t="s">
        <v>228</v>
      </c>
      <c r="BE1021" s="4" t="s">
        <v>228</v>
      </c>
      <c r="BF1021" s="8" t="s">
        <v>228</v>
      </c>
      <c r="BG1021" s="7" t="s">
        <v>228</v>
      </c>
      <c r="BH1021" s="7" t="s">
        <v>228</v>
      </c>
      <c r="BI1021" s="7"/>
      <c r="BJ1021" s="4">
        <v>66</v>
      </c>
      <c r="BK1021" s="8">
        <v>3621.75</v>
      </c>
      <c r="BL1021" s="2" t="s">
        <v>5434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5435</v>
      </c>
      <c r="BV1021" s="2" t="s">
        <v>228</v>
      </c>
      <c r="BW1021" s="2" t="s">
        <v>228</v>
      </c>
      <c r="BX1021" s="2" t="s">
        <v>273</v>
      </c>
      <c r="BY1021" s="2" t="s">
        <v>274</v>
      </c>
      <c r="BZ1021" s="2" t="s">
        <v>240</v>
      </c>
      <c r="CA1021" s="2" t="s">
        <v>2459</v>
      </c>
      <c r="CB1021" s="2" t="s">
        <v>1064</v>
      </c>
      <c r="CC1021" s="2" t="s">
        <v>241</v>
      </c>
      <c r="CD1021" s="2" t="s">
        <v>228</v>
      </c>
      <c r="CE1021" s="4"/>
      <c r="CF1021" s="4">
        <v>102</v>
      </c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>
        <v>160</v>
      </c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>
        <v>140</v>
      </c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</row>
    <row r="1022">
      <c r="A1022" s="2" t="s">
        <v>5436</v>
      </c>
      <c r="B1022" s="2" t="s">
        <v>866</v>
      </c>
      <c r="C1022" s="2" t="s">
        <v>300</v>
      </c>
      <c r="D1022" s="2" t="s">
        <v>907</v>
      </c>
      <c r="E1022" s="2" t="s">
        <v>4844</v>
      </c>
      <c r="F1022" s="2" t="s">
        <v>5431</v>
      </c>
      <c r="G1022" s="2" t="s">
        <v>5431</v>
      </c>
      <c r="H1022" s="2" t="s">
        <v>5431</v>
      </c>
      <c r="I1022" s="2" t="s">
        <v>5432</v>
      </c>
      <c r="J1022" s="2" t="s">
        <v>5433</v>
      </c>
      <c r="K1022" s="2" t="s">
        <v>823</v>
      </c>
      <c r="L1022" s="3">
        <v>50.43</v>
      </c>
      <c r="M1022" s="3">
        <v>52.95</v>
      </c>
      <c r="N1022" s="3">
        <v>93.49</v>
      </c>
      <c r="O1022" s="2" t="s">
        <v>240</v>
      </c>
      <c r="P1022" s="2" t="s">
        <v>1012</v>
      </c>
      <c r="Q1022" s="2" t="s">
        <v>234</v>
      </c>
      <c r="R1022" s="2" t="s">
        <v>228</v>
      </c>
      <c r="S1022" s="2" t="s">
        <v>5437</v>
      </c>
      <c r="T1022" s="2" t="s">
        <v>228</v>
      </c>
      <c r="U1022" s="2" t="s">
        <v>416</v>
      </c>
      <c r="V1022" s="2" t="s">
        <v>859</v>
      </c>
      <c r="W1022" s="2" t="s">
        <v>417</v>
      </c>
      <c r="X1022" s="2" t="s">
        <v>309</v>
      </c>
      <c r="Y1022" s="2" t="s">
        <v>4626</v>
      </c>
      <c r="Z1022" s="4">
        <v>151</v>
      </c>
      <c r="AA1022" s="4">
        <f>=ROUNDDOWN(79.4736842105263,0)</f>
      </c>
      <c r="AB1022" s="5">
        <v>1.9</v>
      </c>
      <c r="AC1022" s="2" t="s">
        <v>228</v>
      </c>
      <c r="AD1022" s="4"/>
      <c r="AE1022" s="4"/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228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/>
      <c r="AW1022" s="8"/>
      <c r="AX1022" s="4"/>
      <c r="AY1022" s="8"/>
      <c r="AZ1022" s="7"/>
      <c r="BA1022" s="7"/>
      <c r="BB1022" s="7"/>
      <c r="BC1022" s="4" t="s">
        <v>228</v>
      </c>
      <c r="BD1022" s="8" t="s">
        <v>228</v>
      </c>
      <c r="BE1022" s="4" t="s">
        <v>228</v>
      </c>
      <c r="BF1022" s="8" t="s">
        <v>228</v>
      </c>
      <c r="BG1022" s="7" t="s">
        <v>228</v>
      </c>
      <c r="BH1022" s="7" t="s">
        <v>228</v>
      </c>
      <c r="BI1022" s="7"/>
      <c r="BJ1022" s="4">
        <v>4</v>
      </c>
      <c r="BK1022" s="8">
        <v>256.2</v>
      </c>
      <c r="BL1022" s="2" t="s">
        <v>5438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5439</v>
      </c>
      <c r="BV1022" s="2" t="s">
        <v>228</v>
      </c>
      <c r="BW1022" s="2" t="s">
        <v>228</v>
      </c>
      <c r="BX1022" s="2" t="s">
        <v>273</v>
      </c>
      <c r="BY1022" s="2" t="s">
        <v>274</v>
      </c>
      <c r="BZ1022" s="2" t="s">
        <v>240</v>
      </c>
      <c r="CA1022" s="2" t="s">
        <v>2662</v>
      </c>
      <c r="CB1022" s="2" t="s">
        <v>5440</v>
      </c>
      <c r="CC1022" s="2" t="s">
        <v>241</v>
      </c>
      <c r="CD1022" s="2" t="s">
        <v>228</v>
      </c>
      <c r="CE1022" s="4"/>
      <c r="CF1022" s="4">
        <v>151</v>
      </c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</row>
    <row r="1023">
      <c r="A1023" s="2" t="s">
        <v>5441</v>
      </c>
      <c r="B1023" s="2" t="s">
        <v>223</v>
      </c>
      <c r="C1023" s="2" t="s">
        <v>3635</v>
      </c>
      <c r="D1023" s="2" t="s">
        <v>1407</v>
      </c>
      <c r="E1023" s="2" t="s">
        <v>1408</v>
      </c>
      <c r="F1023" s="2" t="s">
        <v>5442</v>
      </c>
      <c r="G1023" s="2" t="s">
        <v>5442</v>
      </c>
      <c r="H1023" s="2" t="s">
        <v>5442</v>
      </c>
      <c r="I1023" s="2" t="s">
        <v>5443</v>
      </c>
      <c r="J1023" s="2" t="s">
        <v>1412</v>
      </c>
      <c r="K1023" s="2" t="s">
        <v>265</v>
      </c>
      <c r="L1023" s="3">
        <v>30.02</v>
      </c>
      <c r="M1023" s="3">
        <v>31.52</v>
      </c>
      <c r="N1023" s="3">
        <v>64.99</v>
      </c>
      <c r="O1023" s="2" t="s">
        <v>240</v>
      </c>
      <c r="P1023" s="2" t="s">
        <v>266</v>
      </c>
      <c r="Q1023" s="2" t="s">
        <v>234</v>
      </c>
      <c r="R1023" s="2" t="s">
        <v>228</v>
      </c>
      <c r="S1023" s="2" t="s">
        <v>228</v>
      </c>
      <c r="T1023" s="2" t="s">
        <v>675</v>
      </c>
      <c r="U1023" s="2" t="s">
        <v>416</v>
      </c>
      <c r="V1023" s="2" t="s">
        <v>236</v>
      </c>
      <c r="W1023" s="2" t="s">
        <v>269</v>
      </c>
      <c r="X1023" s="2" t="s">
        <v>228</v>
      </c>
      <c r="Y1023" s="2" t="s">
        <v>5444</v>
      </c>
      <c r="Z1023" s="4">
        <v>419</v>
      </c>
      <c r="AA1023" s="4">
        <f>=ROUNDDOWN(9.74418604651163,0)</f>
      </c>
      <c r="AB1023" s="5">
        <v>43</v>
      </c>
      <c r="AC1023" s="2" t="s">
        <v>1461</v>
      </c>
      <c r="AD1023" s="4">
        <v>470</v>
      </c>
      <c r="AE1023" s="4">
        <v>1700</v>
      </c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228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/>
      <c r="AW1023" s="8"/>
      <c r="AX1023" s="4"/>
      <c r="AY1023" s="8"/>
      <c r="AZ1023" s="7"/>
      <c r="BA1023" s="7"/>
      <c r="BB1023" s="7"/>
      <c r="BC1023" s="4" t="s">
        <v>228</v>
      </c>
      <c r="BD1023" s="8" t="s">
        <v>228</v>
      </c>
      <c r="BE1023" s="4" t="s">
        <v>228</v>
      </c>
      <c r="BF1023" s="8" t="s">
        <v>228</v>
      </c>
      <c r="BG1023" s="7" t="s">
        <v>228</v>
      </c>
      <c r="BH1023" s="7" t="s">
        <v>228</v>
      </c>
      <c r="BI1023" s="7"/>
      <c r="BJ1023" s="4">
        <v>17</v>
      </c>
      <c r="BK1023" s="8">
        <v>554.75</v>
      </c>
      <c r="BL1023" s="2" t="s">
        <v>4779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5445</v>
      </c>
      <c r="BV1023" s="2" t="s">
        <v>228</v>
      </c>
      <c r="BW1023" s="2" t="s">
        <v>228</v>
      </c>
      <c r="BX1023" s="2" t="s">
        <v>273</v>
      </c>
      <c r="BY1023" s="2" t="s">
        <v>274</v>
      </c>
      <c r="BZ1023" s="2" t="s">
        <v>240</v>
      </c>
      <c r="CA1023" s="2" t="s">
        <v>5446</v>
      </c>
      <c r="CB1023" s="2" t="s">
        <v>5447</v>
      </c>
      <c r="CC1023" s="2" t="s">
        <v>241</v>
      </c>
      <c r="CD1023" s="2" t="s">
        <v>228</v>
      </c>
      <c r="CE1023" s="4">
        <v>419</v>
      </c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>
        <v>470</v>
      </c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>
        <v>680</v>
      </c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>
        <v>330</v>
      </c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>
        <v>220</v>
      </c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</row>
    <row r="1024">
      <c r="A1024" s="2" t="s">
        <v>5448</v>
      </c>
      <c r="B1024" s="2" t="s">
        <v>223</v>
      </c>
      <c r="C1024" s="2" t="s">
        <v>3635</v>
      </c>
      <c r="D1024" s="2" t="s">
        <v>1407</v>
      </c>
      <c r="E1024" s="2" t="s">
        <v>3636</v>
      </c>
      <c r="F1024" s="2" t="s">
        <v>5442</v>
      </c>
      <c r="G1024" s="2" t="s">
        <v>5442</v>
      </c>
      <c r="H1024" s="2" t="s">
        <v>5442</v>
      </c>
      <c r="I1024" s="2" t="s">
        <v>3638</v>
      </c>
      <c r="J1024" s="2" t="s">
        <v>284</v>
      </c>
      <c r="K1024" s="2" t="s">
        <v>1421</v>
      </c>
      <c r="L1024" s="3">
        <v>47.3</v>
      </c>
      <c r="M1024" s="3">
        <v>49.66</v>
      </c>
      <c r="N1024" s="3">
        <v>101.99</v>
      </c>
      <c r="O1024" s="2" t="s">
        <v>240</v>
      </c>
      <c r="P1024" s="2" t="s">
        <v>266</v>
      </c>
      <c r="Q1024" s="2" t="s">
        <v>234</v>
      </c>
      <c r="R1024" s="2" t="s">
        <v>228</v>
      </c>
      <c r="S1024" s="2" t="s">
        <v>228</v>
      </c>
      <c r="T1024" s="2" t="s">
        <v>675</v>
      </c>
      <c r="U1024" s="2" t="s">
        <v>416</v>
      </c>
      <c r="V1024" s="2" t="s">
        <v>236</v>
      </c>
      <c r="W1024" s="2" t="s">
        <v>269</v>
      </c>
      <c r="X1024" s="2" t="s">
        <v>228</v>
      </c>
      <c r="Y1024" s="2" t="s">
        <v>5449</v>
      </c>
      <c r="Z1024" s="4">
        <v>886</v>
      </c>
      <c r="AA1024" s="4">
        <f>=ROUNDDOWN(443,0)</f>
      </c>
      <c r="AB1024" s="5">
        <v>2</v>
      </c>
      <c r="AC1024" s="2" t="s">
        <v>4983</v>
      </c>
      <c r="AD1024" s="4">
        <v>480</v>
      </c>
      <c r="AE1024" s="4">
        <v>480</v>
      </c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228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228</v>
      </c>
      <c r="AW1024" s="8" t="s">
        <v>228</v>
      </c>
      <c r="AX1024" s="4" t="s">
        <v>228</v>
      </c>
      <c r="AY1024" s="8" t="s">
        <v>228</v>
      </c>
      <c r="AZ1024" s="7" t="s">
        <v>228</v>
      </c>
      <c r="BA1024" s="7" t="s">
        <v>228</v>
      </c>
      <c r="BB1024" s="7"/>
      <c r="BC1024" s="4" t="s">
        <v>228</v>
      </c>
      <c r="BD1024" s="8" t="s">
        <v>228</v>
      </c>
      <c r="BE1024" s="4" t="s">
        <v>228</v>
      </c>
      <c r="BF1024" s="8" t="s">
        <v>228</v>
      </c>
      <c r="BG1024" s="7" t="s">
        <v>228</v>
      </c>
      <c r="BH1024" s="7" t="s">
        <v>228</v>
      </c>
      <c r="BI1024" s="7"/>
      <c r="BJ1024" s="4">
        <v>2</v>
      </c>
      <c r="BK1024" s="8">
        <v>101.71</v>
      </c>
      <c r="BL1024" s="2" t="s">
        <v>5450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5451</v>
      </c>
      <c r="BV1024" s="2" t="s">
        <v>228</v>
      </c>
      <c r="BW1024" s="2" t="s">
        <v>228</v>
      </c>
      <c r="BX1024" s="2" t="s">
        <v>3813</v>
      </c>
      <c r="BY1024" s="2" t="s">
        <v>274</v>
      </c>
      <c r="BZ1024" s="2" t="s">
        <v>240</v>
      </c>
      <c r="CA1024" s="2" t="s">
        <v>1285</v>
      </c>
      <c r="CB1024" s="2" t="s">
        <v>5452</v>
      </c>
      <c r="CC1024" s="2" t="s">
        <v>241</v>
      </c>
      <c r="CD1024" s="2" t="s">
        <v>228</v>
      </c>
      <c r="CE1024" s="4">
        <v>886</v>
      </c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>
        <v>480</v>
      </c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</row>
    <row r="1025">
      <c r="A1025" s="2" t="s">
        <v>5453</v>
      </c>
      <c r="B1025" s="2" t="s">
        <v>223</v>
      </c>
      <c r="C1025" s="2" t="s">
        <v>3635</v>
      </c>
      <c r="D1025" s="2" t="s">
        <v>1407</v>
      </c>
      <c r="E1025" s="2" t="s">
        <v>3636</v>
      </c>
      <c r="F1025" s="2" t="s">
        <v>5442</v>
      </c>
      <c r="G1025" s="2" t="s">
        <v>5442</v>
      </c>
      <c r="H1025" s="2" t="s">
        <v>5442</v>
      </c>
      <c r="I1025" s="2" t="s">
        <v>3638</v>
      </c>
      <c r="J1025" s="2" t="s">
        <v>289</v>
      </c>
      <c r="K1025" s="2" t="s">
        <v>1421</v>
      </c>
      <c r="L1025" s="3">
        <v>69.56</v>
      </c>
      <c r="M1025" s="3">
        <v>73.04</v>
      </c>
      <c r="N1025" s="3">
        <v>149.99</v>
      </c>
      <c r="O1025" s="2" t="s">
        <v>240</v>
      </c>
      <c r="P1025" s="2" t="s">
        <v>266</v>
      </c>
      <c r="Q1025" s="2" t="s">
        <v>234</v>
      </c>
      <c r="R1025" s="2" t="s">
        <v>228</v>
      </c>
      <c r="S1025" s="2" t="s">
        <v>228</v>
      </c>
      <c r="T1025" s="2" t="s">
        <v>675</v>
      </c>
      <c r="U1025" s="2" t="s">
        <v>416</v>
      </c>
      <c r="V1025" s="2" t="s">
        <v>236</v>
      </c>
      <c r="W1025" s="2" t="s">
        <v>269</v>
      </c>
      <c r="X1025" s="2" t="s">
        <v>228</v>
      </c>
      <c r="Y1025" s="2" t="s">
        <v>5449</v>
      </c>
      <c r="Z1025" s="4">
        <v>240</v>
      </c>
      <c r="AA1025" s="4">
        <f>=ROUNDDOWN(29.2682926829268,0)</f>
      </c>
      <c r="AB1025" s="5">
        <v>8.2</v>
      </c>
      <c r="AC1025" s="2" t="s">
        <v>1270</v>
      </c>
      <c r="AD1025" s="4">
        <v>160</v>
      </c>
      <c r="AE1025" s="4">
        <v>300</v>
      </c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228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228</v>
      </c>
      <c r="AW1025" s="8" t="s">
        <v>228</v>
      </c>
      <c r="AX1025" s="4" t="s">
        <v>228</v>
      </c>
      <c r="AY1025" s="8" t="s">
        <v>228</v>
      </c>
      <c r="AZ1025" s="7" t="s">
        <v>228</v>
      </c>
      <c r="BA1025" s="7" t="s">
        <v>228</v>
      </c>
      <c r="BB1025" s="7"/>
      <c r="BC1025" s="4" t="s">
        <v>228</v>
      </c>
      <c r="BD1025" s="8" t="s">
        <v>228</v>
      </c>
      <c r="BE1025" s="4" t="s">
        <v>228</v>
      </c>
      <c r="BF1025" s="8" t="s">
        <v>228</v>
      </c>
      <c r="BG1025" s="7" t="s">
        <v>228</v>
      </c>
      <c r="BH1025" s="7" t="s">
        <v>228</v>
      </c>
      <c r="BI1025" s="7"/>
      <c r="BJ1025" s="4">
        <v>9</v>
      </c>
      <c r="BK1025" s="8">
        <v>671.99</v>
      </c>
      <c r="BL1025" s="2" t="s">
        <v>5454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5455</v>
      </c>
      <c r="BV1025" s="2" t="s">
        <v>228</v>
      </c>
      <c r="BW1025" s="2" t="s">
        <v>228</v>
      </c>
      <c r="BX1025" s="2" t="s">
        <v>3813</v>
      </c>
      <c r="BY1025" s="2" t="s">
        <v>274</v>
      </c>
      <c r="BZ1025" s="2" t="s">
        <v>240</v>
      </c>
      <c r="CA1025" s="2" t="s">
        <v>1285</v>
      </c>
      <c r="CB1025" s="2" t="s">
        <v>2955</v>
      </c>
      <c r="CC1025" s="2" t="s">
        <v>241</v>
      </c>
      <c r="CD1025" s="2" t="s">
        <v>228</v>
      </c>
      <c r="CE1025" s="4">
        <v>240</v>
      </c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>
        <v>160</v>
      </c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>
        <v>140</v>
      </c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</row>
    <row r="1026">
      <c r="A1026" s="2" t="s">
        <v>5456</v>
      </c>
      <c r="B1026" s="2" t="s">
        <v>223</v>
      </c>
      <c r="C1026" s="2" t="s">
        <v>3635</v>
      </c>
      <c r="D1026" s="2" t="s">
        <v>1407</v>
      </c>
      <c r="E1026" s="2" t="s">
        <v>3636</v>
      </c>
      <c r="F1026" s="2" t="s">
        <v>5442</v>
      </c>
      <c r="G1026" s="2" t="s">
        <v>5442</v>
      </c>
      <c r="H1026" s="2" t="s">
        <v>5442</v>
      </c>
      <c r="I1026" s="2" t="s">
        <v>3638</v>
      </c>
      <c r="J1026" s="2" t="s">
        <v>294</v>
      </c>
      <c r="K1026" s="2" t="s">
        <v>1421</v>
      </c>
      <c r="L1026" s="3">
        <v>75.13</v>
      </c>
      <c r="M1026" s="3">
        <v>78.89</v>
      </c>
      <c r="N1026" s="3">
        <v>159.99</v>
      </c>
      <c r="O1026" s="2" t="s">
        <v>240</v>
      </c>
      <c r="P1026" s="2" t="s">
        <v>266</v>
      </c>
      <c r="Q1026" s="2" t="s">
        <v>234</v>
      </c>
      <c r="R1026" s="2" t="s">
        <v>228</v>
      </c>
      <c r="S1026" s="2" t="s">
        <v>228</v>
      </c>
      <c r="T1026" s="2" t="s">
        <v>675</v>
      </c>
      <c r="U1026" s="2" t="s">
        <v>416</v>
      </c>
      <c r="V1026" s="2" t="s">
        <v>236</v>
      </c>
      <c r="W1026" s="2" t="s">
        <v>269</v>
      </c>
      <c r="X1026" s="2" t="s">
        <v>228</v>
      </c>
      <c r="Y1026" s="2" t="s">
        <v>5449</v>
      </c>
      <c r="Z1026" s="4">
        <v>460</v>
      </c>
      <c r="AA1026" s="4">
        <f>=ROUNDDOWN(46,0)</f>
      </c>
      <c r="AB1026" s="5">
        <v>10</v>
      </c>
      <c r="AC1026" s="2" t="s">
        <v>228</v>
      </c>
      <c r="AD1026" s="4"/>
      <c r="AE1026" s="4"/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228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228</v>
      </c>
      <c r="AW1026" s="8" t="s">
        <v>228</v>
      </c>
      <c r="AX1026" s="4" t="s">
        <v>228</v>
      </c>
      <c r="AY1026" s="8" t="s">
        <v>228</v>
      </c>
      <c r="AZ1026" s="7" t="s">
        <v>228</v>
      </c>
      <c r="BA1026" s="7" t="s">
        <v>228</v>
      </c>
      <c r="BB1026" s="7"/>
      <c r="BC1026" s="4" t="s">
        <v>228</v>
      </c>
      <c r="BD1026" s="8" t="s">
        <v>228</v>
      </c>
      <c r="BE1026" s="4" t="s">
        <v>228</v>
      </c>
      <c r="BF1026" s="8" t="s">
        <v>228</v>
      </c>
      <c r="BG1026" s="7" t="s">
        <v>228</v>
      </c>
      <c r="BH1026" s="7" t="s">
        <v>228</v>
      </c>
      <c r="BI1026" s="7"/>
      <c r="BJ1026" s="4">
        <v>6</v>
      </c>
      <c r="BK1026" s="8">
        <v>492.46</v>
      </c>
      <c r="BL1026" s="2" t="s">
        <v>2193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5457</v>
      </c>
      <c r="BV1026" s="2" t="s">
        <v>228</v>
      </c>
      <c r="BW1026" s="2" t="s">
        <v>228</v>
      </c>
      <c r="BX1026" s="2" t="s">
        <v>3813</v>
      </c>
      <c r="BY1026" s="2" t="s">
        <v>274</v>
      </c>
      <c r="BZ1026" s="2" t="s">
        <v>240</v>
      </c>
      <c r="CA1026" s="2" t="s">
        <v>1285</v>
      </c>
      <c r="CB1026" s="2" t="s">
        <v>5458</v>
      </c>
      <c r="CC1026" s="2" t="s">
        <v>241</v>
      </c>
      <c r="CD1026" s="2" t="s">
        <v>228</v>
      </c>
      <c r="CE1026" s="4">
        <v>460</v>
      </c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</row>
    <row r="1027">
      <c r="A1027" s="2" t="s">
        <v>5459</v>
      </c>
      <c r="B1027" s="2" t="s">
        <v>223</v>
      </c>
      <c r="C1027" s="2" t="s">
        <v>3635</v>
      </c>
      <c r="D1027" s="2" t="s">
        <v>1407</v>
      </c>
      <c r="E1027" s="2" t="s">
        <v>3636</v>
      </c>
      <c r="F1027" s="2" t="s">
        <v>5442</v>
      </c>
      <c r="G1027" s="2" t="s">
        <v>5442</v>
      </c>
      <c r="H1027" s="2" t="s">
        <v>5442</v>
      </c>
      <c r="I1027" s="2" t="s">
        <v>3638</v>
      </c>
      <c r="J1027" s="2" t="s">
        <v>264</v>
      </c>
      <c r="K1027" s="2" t="s">
        <v>2350</v>
      </c>
      <c r="L1027" s="3">
        <v>41.73</v>
      </c>
      <c r="M1027" s="3">
        <v>43.82</v>
      </c>
      <c r="N1027" s="3">
        <v>89.99</v>
      </c>
      <c r="O1027" s="2" t="s">
        <v>240</v>
      </c>
      <c r="P1027" s="2" t="s">
        <v>266</v>
      </c>
      <c r="Q1027" s="2" t="s">
        <v>234</v>
      </c>
      <c r="R1027" s="2" t="s">
        <v>228</v>
      </c>
      <c r="S1027" s="2" t="s">
        <v>228</v>
      </c>
      <c r="T1027" s="2" t="s">
        <v>675</v>
      </c>
      <c r="U1027" s="2" t="s">
        <v>416</v>
      </c>
      <c r="V1027" s="2" t="s">
        <v>236</v>
      </c>
      <c r="W1027" s="2" t="s">
        <v>269</v>
      </c>
      <c r="X1027" s="2" t="s">
        <v>228</v>
      </c>
      <c r="Y1027" s="2" t="s">
        <v>5449</v>
      </c>
      <c r="Z1027" s="4">
        <v>209</v>
      </c>
      <c r="AA1027" s="4">
        <f>=ROUNDDOWN(26.125,0)</f>
      </c>
      <c r="AB1027" s="5">
        <v>8</v>
      </c>
      <c r="AC1027" s="2" t="s">
        <v>4983</v>
      </c>
      <c r="AD1027" s="4">
        <v>150</v>
      </c>
      <c r="AE1027" s="4">
        <v>150</v>
      </c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228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/>
      <c r="AW1027" s="8"/>
      <c r="AX1027" s="4"/>
      <c r="AY1027" s="8"/>
      <c r="AZ1027" s="7"/>
      <c r="BA1027" s="7"/>
      <c r="BB1027" s="7"/>
      <c r="BC1027" s="4" t="s">
        <v>228</v>
      </c>
      <c r="BD1027" s="8" t="s">
        <v>228</v>
      </c>
      <c r="BE1027" s="4" t="s">
        <v>228</v>
      </c>
      <c r="BF1027" s="8" t="s">
        <v>228</v>
      </c>
      <c r="BG1027" s="7" t="s">
        <v>228</v>
      </c>
      <c r="BH1027" s="7" t="s">
        <v>228</v>
      </c>
      <c r="BI1027" s="7"/>
      <c r="BJ1027" s="4">
        <v>1</v>
      </c>
      <c r="BK1027" s="8">
        <v>44.76</v>
      </c>
      <c r="BL1027" s="2" t="s">
        <v>2193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5460</v>
      </c>
      <c r="BV1027" s="2" t="s">
        <v>228</v>
      </c>
      <c r="BW1027" s="2" t="s">
        <v>228</v>
      </c>
      <c r="BX1027" s="2" t="s">
        <v>3813</v>
      </c>
      <c r="BY1027" s="2" t="s">
        <v>274</v>
      </c>
      <c r="BZ1027" s="2" t="s">
        <v>240</v>
      </c>
      <c r="CA1027" s="2" t="s">
        <v>1285</v>
      </c>
      <c r="CB1027" s="2" t="s">
        <v>5324</v>
      </c>
      <c r="CC1027" s="2" t="s">
        <v>241</v>
      </c>
      <c r="CD1027" s="2" t="s">
        <v>228</v>
      </c>
      <c r="CE1027" s="4">
        <v>209</v>
      </c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>
        <v>150</v>
      </c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</row>
    <row r="1028">
      <c r="A1028" s="2" t="s">
        <v>5461</v>
      </c>
      <c r="B1028" s="2" t="s">
        <v>1150</v>
      </c>
      <c r="C1028" s="2" t="s">
        <v>835</v>
      </c>
      <c r="D1028" s="2" t="s">
        <v>1862</v>
      </c>
      <c r="E1028" s="2" t="s">
        <v>2767</v>
      </c>
      <c r="F1028" s="2" t="s">
        <v>5462</v>
      </c>
      <c r="G1028" s="2" t="s">
        <v>228</v>
      </c>
      <c r="H1028" s="2" t="s">
        <v>228</v>
      </c>
      <c r="I1028" s="2" t="s">
        <v>3048</v>
      </c>
      <c r="J1028" s="2" t="s">
        <v>2317</v>
      </c>
      <c r="K1028" s="2" t="s">
        <v>251</v>
      </c>
      <c r="L1028" s="3">
        <v>14.4</v>
      </c>
      <c r="M1028" s="3">
        <v>15.12</v>
      </c>
      <c r="N1028" s="3">
        <v>31.99</v>
      </c>
      <c r="O1028" s="2" t="s">
        <v>240</v>
      </c>
      <c r="P1028" s="2" t="s">
        <v>333</v>
      </c>
      <c r="Q1028" s="2" t="s">
        <v>234</v>
      </c>
      <c r="R1028" s="2" t="s">
        <v>228</v>
      </c>
      <c r="S1028" s="2" t="s">
        <v>5463</v>
      </c>
      <c r="T1028" s="2" t="s">
        <v>228</v>
      </c>
      <c r="U1028" s="2" t="s">
        <v>228</v>
      </c>
      <c r="V1028" s="2" t="s">
        <v>1681</v>
      </c>
      <c r="W1028" s="2" t="s">
        <v>269</v>
      </c>
      <c r="X1028" s="2" t="s">
        <v>5464</v>
      </c>
      <c r="Y1028" s="2" t="s">
        <v>270</v>
      </c>
      <c r="Z1028" s="4">
        <v>270</v>
      </c>
      <c r="AA1028" s="4">
        <f>=ROUNDDOWN(54,0)</f>
      </c>
      <c r="AB1028" s="5">
        <v>5</v>
      </c>
      <c r="AC1028" s="2" t="s">
        <v>228</v>
      </c>
      <c r="AD1028" s="4"/>
      <c r="AE1028" s="4"/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228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/>
      <c r="AW1028" s="8"/>
      <c r="AX1028" s="4"/>
      <c r="AY1028" s="8"/>
      <c r="AZ1028" s="7"/>
      <c r="BA1028" s="7"/>
      <c r="BB1028" s="7"/>
      <c r="BC1028" s="4"/>
      <c r="BD1028" s="8"/>
      <c r="BE1028" s="4"/>
      <c r="BF1028" s="8"/>
      <c r="BG1028" s="7"/>
      <c r="BH1028" s="7"/>
      <c r="BI1028" s="7"/>
      <c r="BJ1028" s="4">
        <v>16</v>
      </c>
      <c r="BK1028" s="8">
        <v>226.32</v>
      </c>
      <c r="BL1028" s="2" t="s">
        <v>5465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5466</v>
      </c>
      <c r="BV1028" s="2" t="s">
        <v>228</v>
      </c>
      <c r="BW1028" s="2" t="s">
        <v>228</v>
      </c>
      <c r="BX1028" s="2" t="s">
        <v>337</v>
      </c>
      <c r="BY1028" s="2" t="s">
        <v>274</v>
      </c>
      <c r="BZ1028" s="2" t="s">
        <v>240</v>
      </c>
      <c r="CA1028" s="2" t="s">
        <v>275</v>
      </c>
      <c r="CB1028" s="2" t="s">
        <v>5467</v>
      </c>
      <c r="CC1028" s="2" t="s">
        <v>241</v>
      </c>
      <c r="CD1028" s="2" t="s">
        <v>228</v>
      </c>
      <c r="CE1028" s="4">
        <v>270</v>
      </c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</row>
    <row r="1029">
      <c r="A1029" s="2" t="s">
        <v>5468</v>
      </c>
      <c r="B1029" s="2" t="s">
        <v>834</v>
      </c>
      <c r="C1029" s="2" t="s">
        <v>835</v>
      </c>
      <c r="D1029" s="2" t="s">
        <v>1101</v>
      </c>
      <c r="E1029" s="2" t="s">
        <v>1102</v>
      </c>
      <c r="F1029" s="2" t="s">
        <v>5469</v>
      </c>
      <c r="G1029" s="2" t="s">
        <v>5469</v>
      </c>
      <c r="H1029" s="2" t="s">
        <v>5469</v>
      </c>
      <c r="I1029" s="2" t="s">
        <v>5470</v>
      </c>
      <c r="J1029" s="2" t="s">
        <v>840</v>
      </c>
      <c r="K1029" s="2" t="s">
        <v>5471</v>
      </c>
      <c r="L1029" s="3">
        <v>49</v>
      </c>
      <c r="M1029" s="3">
        <v>51.45</v>
      </c>
      <c r="N1029" s="3">
        <v>99.99</v>
      </c>
      <c r="O1029" s="2" t="s">
        <v>240</v>
      </c>
      <c r="P1029" s="2" t="s">
        <v>233</v>
      </c>
      <c r="Q1029" s="2" t="s">
        <v>234</v>
      </c>
      <c r="R1029" s="2" t="s">
        <v>228</v>
      </c>
      <c r="S1029" s="2" t="s">
        <v>228</v>
      </c>
      <c r="T1029" s="2" t="s">
        <v>228</v>
      </c>
      <c r="U1029" s="2" t="s">
        <v>416</v>
      </c>
      <c r="V1029" s="2" t="s">
        <v>842</v>
      </c>
      <c r="W1029" s="2" t="s">
        <v>417</v>
      </c>
      <c r="X1029" s="2" t="s">
        <v>269</v>
      </c>
      <c r="Y1029" s="2" t="s">
        <v>5472</v>
      </c>
      <c r="Z1029" s="4">
        <v>66</v>
      </c>
      <c r="AA1029" s="4">
        <f>=ROUNDDOWN(33,0)</f>
      </c>
      <c r="AB1029" s="5">
        <v>2</v>
      </c>
      <c r="AC1029" s="2" t="s">
        <v>228</v>
      </c>
      <c r="AD1029" s="4"/>
      <c r="AE1029" s="4"/>
      <c r="AF1029" s="6">
        <v>63</v>
      </c>
      <c r="AG1029" s="6"/>
      <c r="AH1029" s="7">
        <v>1</v>
      </c>
      <c r="AI1029" s="4"/>
      <c r="AJ1029" s="4">
        <f>=ROUNDDOWN({0},0)</f>
      </c>
      <c r="AK1029" s="5"/>
      <c r="AL1029" s="2" t="s">
        <v>228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/>
      <c r="AW1029" s="8"/>
      <c r="AX1029" s="4"/>
      <c r="AY1029" s="8"/>
      <c r="AZ1029" s="7"/>
      <c r="BA1029" s="7"/>
      <c r="BB1029" s="7"/>
      <c r="BC1029" s="4"/>
      <c r="BD1029" s="8"/>
      <c r="BE1029" s="4"/>
      <c r="BF1029" s="8"/>
      <c r="BG1029" s="7"/>
      <c r="BH1029" s="7"/>
      <c r="BI1029" s="7"/>
      <c r="BJ1029" s="4">
        <v>4</v>
      </c>
      <c r="BK1029" s="8">
        <v>210.94</v>
      </c>
      <c r="BL1029" s="2" t="s">
        <v>4465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5473</v>
      </c>
      <c r="BV1029" s="2" t="s">
        <v>228</v>
      </c>
      <c r="BW1029" s="2" t="s">
        <v>228</v>
      </c>
      <c r="BX1029" s="2" t="s">
        <v>273</v>
      </c>
      <c r="BY1029" s="2" t="s">
        <v>274</v>
      </c>
      <c r="BZ1029" s="2" t="s">
        <v>240</v>
      </c>
      <c r="CA1029" s="2" t="s">
        <v>2323</v>
      </c>
      <c r="CB1029" s="2" t="s">
        <v>2990</v>
      </c>
      <c r="CC1029" s="2" t="s">
        <v>241</v>
      </c>
      <c r="CD1029" s="2" t="s">
        <v>228</v>
      </c>
      <c r="CE1029" s="4"/>
      <c r="CF1029" s="4">
        <v>66</v>
      </c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</row>
    <row r="1030">
      <c r="A1030" s="2" t="s">
        <v>5474</v>
      </c>
      <c r="B1030" s="2" t="s">
        <v>1150</v>
      </c>
      <c r="C1030" s="2" t="s">
        <v>2217</v>
      </c>
      <c r="D1030" s="2" t="s">
        <v>1862</v>
      </c>
      <c r="E1030" s="2" t="s">
        <v>1863</v>
      </c>
      <c r="F1030" s="2" t="s">
        <v>5475</v>
      </c>
      <c r="G1030" s="2" t="s">
        <v>5475</v>
      </c>
      <c r="H1030" s="2" t="s">
        <v>5475</v>
      </c>
      <c r="I1030" s="2" t="s">
        <v>2316</v>
      </c>
      <c r="J1030" s="2" t="s">
        <v>2317</v>
      </c>
      <c r="K1030" s="2" t="s">
        <v>316</v>
      </c>
      <c r="L1030" s="3">
        <v>21.66</v>
      </c>
      <c r="M1030" s="3">
        <v>22.74</v>
      </c>
      <c r="N1030" s="3">
        <v>69.99</v>
      </c>
      <c r="O1030" s="2" t="s">
        <v>240</v>
      </c>
      <c r="P1030" s="2" t="s">
        <v>333</v>
      </c>
      <c r="Q1030" s="2" t="s">
        <v>234</v>
      </c>
      <c r="R1030" s="2" t="s">
        <v>228</v>
      </c>
      <c r="S1030" s="2" t="s">
        <v>228</v>
      </c>
      <c r="T1030" s="2" t="s">
        <v>3067</v>
      </c>
      <c r="U1030" s="2" t="s">
        <v>228</v>
      </c>
      <c r="V1030" s="2" t="s">
        <v>5476</v>
      </c>
      <c r="W1030" s="2" t="s">
        <v>463</v>
      </c>
      <c r="X1030" s="2" t="s">
        <v>228</v>
      </c>
      <c r="Y1030" s="2" t="s">
        <v>2824</v>
      </c>
      <c r="Z1030" s="4">
        <v>101</v>
      </c>
      <c r="AA1030" s="4">
        <f>=ROUNDDOWN(50.5,0)</f>
      </c>
      <c r="AB1030" s="5">
        <v>2</v>
      </c>
      <c r="AC1030" s="2" t="s">
        <v>228</v>
      </c>
      <c r="AD1030" s="4"/>
      <c r="AE1030" s="4"/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228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/>
      <c r="AW1030" s="8"/>
      <c r="AX1030" s="4"/>
      <c r="AY1030" s="8"/>
      <c r="AZ1030" s="7"/>
      <c r="BA1030" s="7"/>
      <c r="BB1030" s="7"/>
      <c r="BC1030" s="4"/>
      <c r="BD1030" s="8"/>
      <c r="BE1030" s="4"/>
      <c r="BF1030" s="8"/>
      <c r="BG1030" s="7"/>
      <c r="BH1030" s="7"/>
      <c r="BI1030" s="7"/>
      <c r="BJ1030" s="4">
        <v>10</v>
      </c>
      <c r="BK1030" s="8">
        <v>197.07</v>
      </c>
      <c r="BL1030" s="2" t="s">
        <v>1968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5477</v>
      </c>
      <c r="BV1030" s="2" t="s">
        <v>228</v>
      </c>
      <c r="BW1030" s="2" t="s">
        <v>228</v>
      </c>
      <c r="BX1030" s="2" t="s">
        <v>337</v>
      </c>
      <c r="BY1030" s="2" t="s">
        <v>274</v>
      </c>
      <c r="BZ1030" s="2" t="s">
        <v>240</v>
      </c>
      <c r="CA1030" s="2" t="s">
        <v>1469</v>
      </c>
      <c r="CB1030" s="2" t="s">
        <v>5478</v>
      </c>
      <c r="CC1030" s="2" t="s">
        <v>241</v>
      </c>
      <c r="CD1030" s="2" t="s">
        <v>228</v>
      </c>
      <c r="CE1030" s="4">
        <v>101</v>
      </c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</row>
    <row r="1031">
      <c r="A1031" s="2" t="s">
        <v>5479</v>
      </c>
      <c r="B1031" s="2" t="s">
        <v>866</v>
      </c>
      <c r="C1031" s="2" t="s">
        <v>885</v>
      </c>
      <c r="D1031" s="2" t="s">
        <v>899</v>
      </c>
      <c r="E1031" s="2" t="s">
        <v>877</v>
      </c>
      <c r="F1031" s="2" t="s">
        <v>5480</v>
      </c>
      <c r="G1031" s="2" t="s">
        <v>5480</v>
      </c>
      <c r="H1031" s="2" t="s">
        <v>5480</v>
      </c>
      <c r="I1031" s="2" t="s">
        <v>901</v>
      </c>
      <c r="J1031" s="2" t="s">
        <v>840</v>
      </c>
      <c r="K1031" s="2" t="s">
        <v>888</v>
      </c>
      <c r="L1031" s="3">
        <v>27.4</v>
      </c>
      <c r="M1031" s="3">
        <v>28.77</v>
      </c>
      <c r="N1031" s="3">
        <v>59.49</v>
      </c>
      <c r="O1031" s="2" t="s">
        <v>240</v>
      </c>
      <c r="P1031" s="2" t="s">
        <v>333</v>
      </c>
      <c r="Q1031" s="2" t="s">
        <v>234</v>
      </c>
      <c r="R1031" s="2" t="s">
        <v>228</v>
      </c>
      <c r="S1031" s="2" t="s">
        <v>5481</v>
      </c>
      <c r="T1031" s="2" t="s">
        <v>228</v>
      </c>
      <c r="U1031" s="2" t="s">
        <v>416</v>
      </c>
      <c r="V1031" s="2" t="s">
        <v>891</v>
      </c>
      <c r="W1031" s="2" t="s">
        <v>743</v>
      </c>
      <c r="X1031" s="2" t="s">
        <v>892</v>
      </c>
      <c r="Y1031" s="2" t="s">
        <v>893</v>
      </c>
      <c r="Z1031" s="4">
        <v>45</v>
      </c>
      <c r="AA1031" s="4">
        <f>=ROUNDDOWN(21.4285714285714,0)</f>
      </c>
      <c r="AB1031" s="5">
        <v>2.1</v>
      </c>
      <c r="AC1031" s="2" t="s">
        <v>228</v>
      </c>
      <c r="AD1031" s="4"/>
      <c r="AE1031" s="4"/>
      <c r="AF1031" s="6">
        <v>63</v>
      </c>
      <c r="AG1031" s="6"/>
      <c r="AH1031" s="7">
        <v>1</v>
      </c>
      <c r="AI1031" s="4"/>
      <c r="AJ1031" s="4">
        <f>=ROUNDDOWN({0},0)</f>
      </c>
      <c r="AK1031" s="5"/>
      <c r="AL1031" s="2" t="s">
        <v>228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/>
      <c r="AW1031" s="8"/>
      <c r="AX1031" s="4"/>
      <c r="AY1031" s="8"/>
      <c r="AZ1031" s="7"/>
      <c r="BA1031" s="7"/>
      <c r="BB1031" s="7"/>
      <c r="BC1031" s="4"/>
      <c r="BD1031" s="8"/>
      <c r="BE1031" s="4"/>
      <c r="BF1031" s="8"/>
      <c r="BG1031" s="7"/>
      <c r="BH1031" s="7"/>
      <c r="BI1031" s="7"/>
      <c r="BJ1031" s="4">
        <v>5</v>
      </c>
      <c r="BK1031" s="8">
        <v>148.59</v>
      </c>
      <c r="BL1031" s="2" t="s">
        <v>5482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5483</v>
      </c>
      <c r="BV1031" s="2" t="s">
        <v>228</v>
      </c>
      <c r="BW1031" s="2" t="s">
        <v>228</v>
      </c>
      <c r="BX1031" s="2" t="s">
        <v>337</v>
      </c>
      <c r="BY1031" s="2" t="s">
        <v>274</v>
      </c>
      <c r="BZ1031" s="2" t="s">
        <v>240</v>
      </c>
      <c r="CA1031" s="2" t="s">
        <v>896</v>
      </c>
      <c r="CB1031" s="2" t="s">
        <v>5484</v>
      </c>
      <c r="CC1031" s="2" t="s">
        <v>241</v>
      </c>
      <c r="CD1031" s="2" t="s">
        <v>228</v>
      </c>
      <c r="CE1031" s="4"/>
      <c r="CF1031" s="4">
        <v>45</v>
      </c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</row>
    <row r="1032">
      <c r="A1032" s="2" t="s">
        <v>5485</v>
      </c>
      <c r="B1032" s="2" t="s">
        <v>223</v>
      </c>
      <c r="C1032" s="2" t="s">
        <v>731</v>
      </c>
      <c r="D1032" s="2" t="s">
        <v>1407</v>
      </c>
      <c r="E1032" s="2" t="s">
        <v>1408</v>
      </c>
      <c r="F1032" s="2" t="s">
        <v>5486</v>
      </c>
      <c r="G1032" s="2" t="s">
        <v>5486</v>
      </c>
      <c r="H1032" s="2" t="s">
        <v>5486</v>
      </c>
      <c r="I1032" s="2" t="s">
        <v>5487</v>
      </c>
      <c r="J1032" s="2" t="s">
        <v>5488</v>
      </c>
      <c r="K1032" s="2" t="s">
        <v>231</v>
      </c>
      <c r="L1032" s="3">
        <v>32.76</v>
      </c>
      <c r="M1032" s="3">
        <v>34.4</v>
      </c>
      <c r="N1032" s="3">
        <v>69.99</v>
      </c>
      <c r="O1032" s="2" t="s">
        <v>461</v>
      </c>
      <c r="P1032" s="2" t="s">
        <v>1116</v>
      </c>
      <c r="Q1032" s="2" t="s">
        <v>234</v>
      </c>
      <c r="R1032" s="2" t="s">
        <v>727</v>
      </c>
      <c r="S1032" s="2" t="s">
        <v>5489</v>
      </c>
      <c r="T1032" s="2" t="s">
        <v>3112</v>
      </c>
      <c r="U1032" s="2" t="s">
        <v>416</v>
      </c>
      <c r="V1032" s="2" t="s">
        <v>236</v>
      </c>
      <c r="W1032" s="2" t="s">
        <v>269</v>
      </c>
      <c r="X1032" s="2" t="s">
        <v>1268</v>
      </c>
      <c r="Y1032" s="2" t="s">
        <v>5490</v>
      </c>
      <c r="Z1032" s="4">
        <v>5464</v>
      </c>
      <c r="AA1032" s="4">
        <f>=ROUNDDOWN(2185.6,0)</f>
      </c>
      <c r="AB1032" s="5">
        <v>2.5</v>
      </c>
      <c r="AC1032" s="2" t="s">
        <v>228</v>
      </c>
      <c r="AD1032" s="4"/>
      <c r="AE1032" s="4"/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228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/>
      <c r="AW1032" s="8"/>
      <c r="AX1032" s="4"/>
      <c r="AY1032" s="8"/>
      <c r="AZ1032" s="7"/>
      <c r="BA1032" s="7"/>
      <c r="BB1032" s="7"/>
      <c r="BC1032" s="4" t="s">
        <v>228</v>
      </c>
      <c r="BD1032" s="8" t="s">
        <v>228</v>
      </c>
      <c r="BE1032" s="4" t="s">
        <v>228</v>
      </c>
      <c r="BF1032" s="8" t="s">
        <v>228</v>
      </c>
      <c r="BG1032" s="7" t="s">
        <v>228</v>
      </c>
      <c r="BH1032" s="7" t="s">
        <v>228</v>
      </c>
      <c r="BI1032" s="7"/>
      <c r="BJ1032" s="4">
        <v>4</v>
      </c>
      <c r="BK1032" s="8">
        <v>44.44</v>
      </c>
      <c r="BL1032" s="2" t="s">
        <v>699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5491</v>
      </c>
      <c r="BV1032" s="2" t="s">
        <v>228</v>
      </c>
      <c r="BW1032" s="2" t="s">
        <v>228</v>
      </c>
      <c r="BX1032" s="2" t="s">
        <v>273</v>
      </c>
      <c r="BY1032" s="2" t="s">
        <v>274</v>
      </c>
      <c r="BZ1032" s="2" t="s">
        <v>240</v>
      </c>
      <c r="CA1032" s="2" t="s">
        <v>5492</v>
      </c>
      <c r="CB1032" s="2" t="s">
        <v>5493</v>
      </c>
      <c r="CC1032" s="2" t="s">
        <v>241</v>
      </c>
      <c r="CD1032" s="2" t="s">
        <v>228</v>
      </c>
      <c r="CE1032" s="4">
        <v>5464</v>
      </c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</row>
    <row r="1033">
      <c r="A1033" s="2" t="s">
        <v>5494</v>
      </c>
      <c r="B1033" s="2" t="s">
        <v>223</v>
      </c>
      <c r="C1033" s="2" t="s">
        <v>731</v>
      </c>
      <c r="D1033" s="2" t="s">
        <v>1407</v>
      </c>
      <c r="E1033" s="2" t="s">
        <v>1408</v>
      </c>
      <c r="F1033" s="2" t="s">
        <v>5486</v>
      </c>
      <c r="G1033" s="2" t="s">
        <v>5486</v>
      </c>
      <c r="H1033" s="2" t="s">
        <v>5486</v>
      </c>
      <c r="I1033" s="2" t="s">
        <v>5487</v>
      </c>
      <c r="J1033" s="2" t="s">
        <v>5488</v>
      </c>
      <c r="K1033" s="2" t="s">
        <v>480</v>
      </c>
      <c r="L1033" s="3">
        <v>32.76</v>
      </c>
      <c r="M1033" s="3">
        <v>34.4</v>
      </c>
      <c r="N1033" s="3">
        <v>69.99</v>
      </c>
      <c r="O1033" s="2" t="s">
        <v>461</v>
      </c>
      <c r="P1033" s="2" t="s">
        <v>1116</v>
      </c>
      <c r="Q1033" s="2" t="s">
        <v>234</v>
      </c>
      <c r="R1033" s="2" t="s">
        <v>727</v>
      </c>
      <c r="S1033" s="2" t="s">
        <v>5495</v>
      </c>
      <c r="T1033" s="2" t="s">
        <v>3112</v>
      </c>
      <c r="U1033" s="2" t="s">
        <v>416</v>
      </c>
      <c r="V1033" s="2" t="s">
        <v>236</v>
      </c>
      <c r="W1033" s="2" t="s">
        <v>269</v>
      </c>
      <c r="X1033" s="2" t="s">
        <v>1268</v>
      </c>
      <c r="Y1033" s="2" t="s">
        <v>5490</v>
      </c>
      <c r="Z1033" s="4">
        <v>1265</v>
      </c>
      <c r="AA1033" s="4">
        <f>=ROUNDDOWN(84.3333333333333,0)</f>
      </c>
      <c r="AB1033" s="5">
        <v>15</v>
      </c>
      <c r="AC1033" s="2" t="s">
        <v>228</v>
      </c>
      <c r="AD1033" s="4"/>
      <c r="AE1033" s="4"/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228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/>
      <c r="AW1033" s="8"/>
      <c r="AX1033" s="4"/>
      <c r="AY1033" s="8"/>
      <c r="AZ1033" s="7"/>
      <c r="BA1033" s="7"/>
      <c r="BB1033" s="7"/>
      <c r="BC1033" s="4" t="s">
        <v>228</v>
      </c>
      <c r="BD1033" s="8" t="s">
        <v>228</v>
      </c>
      <c r="BE1033" s="4" t="s">
        <v>228</v>
      </c>
      <c r="BF1033" s="8" t="s">
        <v>228</v>
      </c>
      <c r="BG1033" s="7" t="s">
        <v>228</v>
      </c>
      <c r="BH1033" s="7" t="s">
        <v>228</v>
      </c>
      <c r="BI1033" s="7"/>
      <c r="BJ1033" s="4">
        <v>16</v>
      </c>
      <c r="BK1033" s="8">
        <v>177.76</v>
      </c>
      <c r="BL1033" s="2" t="s">
        <v>727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5496</v>
      </c>
      <c r="BV1033" s="2" t="s">
        <v>228</v>
      </c>
      <c r="BW1033" s="2" t="s">
        <v>228</v>
      </c>
      <c r="BX1033" s="2" t="s">
        <v>273</v>
      </c>
      <c r="BY1033" s="2" t="s">
        <v>274</v>
      </c>
      <c r="BZ1033" s="2" t="s">
        <v>240</v>
      </c>
      <c r="CA1033" s="2" t="s">
        <v>5492</v>
      </c>
      <c r="CB1033" s="2" t="s">
        <v>5493</v>
      </c>
      <c r="CC1033" s="2" t="s">
        <v>241</v>
      </c>
      <c r="CD1033" s="2" t="s">
        <v>228</v>
      </c>
      <c r="CE1033" s="4">
        <v>1014</v>
      </c>
      <c r="CF1033" s="4"/>
      <c r="CG1033" s="4"/>
      <c r="CH1033" s="4">
        <v>251</v>
      </c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</row>
    <row r="1034">
      <c r="A1034" s="2" t="s">
        <v>5497</v>
      </c>
      <c r="B1034" s="2" t="s">
        <v>258</v>
      </c>
      <c r="C1034" s="2" t="s">
        <v>4000</v>
      </c>
      <c r="D1034" s="2" t="s">
        <v>225</v>
      </c>
      <c r="E1034" s="2" t="s">
        <v>2943</v>
      </c>
      <c r="F1034" s="2" t="s">
        <v>5498</v>
      </c>
      <c r="G1034" s="2" t="s">
        <v>5498</v>
      </c>
      <c r="H1034" s="2" t="s">
        <v>5498</v>
      </c>
      <c r="I1034" s="2" t="s">
        <v>5499</v>
      </c>
      <c r="J1034" s="2" t="s">
        <v>264</v>
      </c>
      <c r="K1034" s="2" t="s">
        <v>316</v>
      </c>
      <c r="L1034" s="3">
        <v>28.57</v>
      </c>
      <c r="M1034" s="3">
        <v>30</v>
      </c>
      <c r="N1034" s="3">
        <v>59.99</v>
      </c>
      <c r="O1034" s="2" t="s">
        <v>240</v>
      </c>
      <c r="P1034" s="2" t="s">
        <v>333</v>
      </c>
      <c r="Q1034" s="2" t="s">
        <v>234</v>
      </c>
      <c r="R1034" s="2" t="s">
        <v>228</v>
      </c>
      <c r="S1034" s="2" t="s">
        <v>5500</v>
      </c>
      <c r="T1034" s="2" t="s">
        <v>228</v>
      </c>
      <c r="U1034" s="2" t="s">
        <v>228</v>
      </c>
      <c r="V1034" s="2" t="s">
        <v>236</v>
      </c>
      <c r="W1034" s="2" t="s">
        <v>269</v>
      </c>
      <c r="X1034" s="2" t="s">
        <v>228</v>
      </c>
      <c r="Y1034" s="2" t="s">
        <v>4467</v>
      </c>
      <c r="Z1034" s="4">
        <v>174</v>
      </c>
      <c r="AA1034" s="4">
        <f>=ROUNDDOWN(34.8,0)</f>
      </c>
      <c r="AB1034" s="5">
        <v>5</v>
      </c>
      <c r="AC1034" s="2" t="s">
        <v>228</v>
      </c>
      <c r="AD1034" s="4"/>
      <c r="AE1034" s="4"/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228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228</v>
      </c>
      <c r="AW1034" s="8" t="s">
        <v>228</v>
      </c>
      <c r="AX1034" s="4" t="s">
        <v>228</v>
      </c>
      <c r="AY1034" s="8" t="s">
        <v>228</v>
      </c>
      <c r="AZ1034" s="7" t="s">
        <v>228</v>
      </c>
      <c r="BA1034" s="7" t="s">
        <v>228</v>
      </c>
      <c r="BB1034" s="7"/>
      <c r="BC1034" s="4" t="s">
        <v>228</v>
      </c>
      <c r="BD1034" s="8" t="s">
        <v>228</v>
      </c>
      <c r="BE1034" s="4" t="s">
        <v>228</v>
      </c>
      <c r="BF1034" s="8" t="s">
        <v>228</v>
      </c>
      <c r="BG1034" s="7" t="s">
        <v>228</v>
      </c>
      <c r="BH1034" s="7" t="s">
        <v>228</v>
      </c>
      <c r="BI1034" s="7"/>
      <c r="BJ1034" s="4">
        <v>10</v>
      </c>
      <c r="BK1034" s="8">
        <v>344.5</v>
      </c>
      <c r="BL1034" s="2" t="s">
        <v>5501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5502</v>
      </c>
      <c r="BV1034" s="2" t="s">
        <v>228</v>
      </c>
      <c r="BW1034" s="2" t="s">
        <v>228</v>
      </c>
      <c r="BX1034" s="2" t="s">
        <v>337</v>
      </c>
      <c r="BY1034" s="2" t="s">
        <v>274</v>
      </c>
      <c r="BZ1034" s="2" t="s">
        <v>240</v>
      </c>
      <c r="CA1034" s="2" t="s">
        <v>5503</v>
      </c>
      <c r="CB1034" s="2" t="s">
        <v>5504</v>
      </c>
      <c r="CC1034" s="2" t="s">
        <v>241</v>
      </c>
      <c r="CD1034" s="2" t="s">
        <v>228</v>
      </c>
      <c r="CE1034" s="4">
        <v>174</v>
      </c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</row>
    <row r="1035">
      <c r="A1035" s="2" t="s">
        <v>5505</v>
      </c>
      <c r="B1035" s="2" t="s">
        <v>258</v>
      </c>
      <c r="C1035" s="2" t="s">
        <v>4000</v>
      </c>
      <c r="D1035" s="2" t="s">
        <v>225</v>
      </c>
      <c r="E1035" s="2" t="s">
        <v>2943</v>
      </c>
      <c r="F1035" s="2" t="s">
        <v>5498</v>
      </c>
      <c r="G1035" s="2" t="s">
        <v>5498</v>
      </c>
      <c r="H1035" s="2" t="s">
        <v>5498</v>
      </c>
      <c r="I1035" s="2" t="s">
        <v>5499</v>
      </c>
      <c r="J1035" s="2" t="s">
        <v>1189</v>
      </c>
      <c r="K1035" s="2" t="s">
        <v>316</v>
      </c>
      <c r="L1035" s="3">
        <v>33.33</v>
      </c>
      <c r="M1035" s="3">
        <v>35</v>
      </c>
      <c r="N1035" s="3">
        <v>69.99</v>
      </c>
      <c r="O1035" s="2" t="s">
        <v>240</v>
      </c>
      <c r="P1035" s="2" t="s">
        <v>333</v>
      </c>
      <c r="Q1035" s="2" t="s">
        <v>234</v>
      </c>
      <c r="R1035" s="2" t="s">
        <v>228</v>
      </c>
      <c r="S1035" s="2" t="s">
        <v>5500</v>
      </c>
      <c r="T1035" s="2" t="s">
        <v>228</v>
      </c>
      <c r="U1035" s="2" t="s">
        <v>228</v>
      </c>
      <c r="V1035" s="2" t="s">
        <v>236</v>
      </c>
      <c r="W1035" s="2" t="s">
        <v>269</v>
      </c>
      <c r="X1035" s="2" t="s">
        <v>228</v>
      </c>
      <c r="Y1035" s="2" t="s">
        <v>4467</v>
      </c>
      <c r="Z1035" s="4">
        <v>178</v>
      </c>
      <c r="AA1035" s="4">
        <f>=ROUNDDOWN(13.6923076923077,0)</f>
      </c>
      <c r="AB1035" s="5">
        <v>13</v>
      </c>
      <c r="AC1035" s="2" t="s">
        <v>228</v>
      </c>
      <c r="AD1035" s="4"/>
      <c r="AE1035" s="4"/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228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228</v>
      </c>
      <c r="AW1035" s="8" t="s">
        <v>228</v>
      </c>
      <c r="AX1035" s="4" t="s">
        <v>228</v>
      </c>
      <c r="AY1035" s="8" t="s">
        <v>228</v>
      </c>
      <c r="AZ1035" s="7" t="s">
        <v>228</v>
      </c>
      <c r="BA1035" s="7" t="s">
        <v>228</v>
      </c>
      <c r="BB1035" s="7"/>
      <c r="BC1035" s="4" t="s">
        <v>228</v>
      </c>
      <c r="BD1035" s="8" t="s">
        <v>228</v>
      </c>
      <c r="BE1035" s="4" t="s">
        <v>228</v>
      </c>
      <c r="BF1035" s="8" t="s">
        <v>228</v>
      </c>
      <c r="BG1035" s="7" t="s">
        <v>228</v>
      </c>
      <c r="BH1035" s="7" t="s">
        <v>228</v>
      </c>
      <c r="BI1035" s="7"/>
      <c r="BJ1035" s="4">
        <v>34</v>
      </c>
      <c r="BK1035" s="8">
        <v>1152.54</v>
      </c>
      <c r="BL1035" s="2" t="s">
        <v>5506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5507</v>
      </c>
      <c r="BV1035" s="2" t="s">
        <v>228</v>
      </c>
      <c r="BW1035" s="2" t="s">
        <v>228</v>
      </c>
      <c r="BX1035" s="2" t="s">
        <v>337</v>
      </c>
      <c r="BY1035" s="2" t="s">
        <v>274</v>
      </c>
      <c r="BZ1035" s="2" t="s">
        <v>240</v>
      </c>
      <c r="CA1035" s="2" t="s">
        <v>5503</v>
      </c>
      <c r="CB1035" s="2" t="s">
        <v>1833</v>
      </c>
      <c r="CC1035" s="2" t="s">
        <v>241</v>
      </c>
      <c r="CD1035" s="2" t="s">
        <v>228</v>
      </c>
      <c r="CE1035" s="4">
        <v>178</v>
      </c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</row>
    <row r="1036">
      <c r="A1036" s="2" t="s">
        <v>5508</v>
      </c>
      <c r="B1036" s="2" t="s">
        <v>1276</v>
      </c>
      <c r="C1036" s="2" t="s">
        <v>300</v>
      </c>
      <c r="D1036" s="2" t="s">
        <v>1276</v>
      </c>
      <c r="E1036" s="2" t="s">
        <v>1276</v>
      </c>
      <c r="F1036" s="2" t="s">
        <v>5509</v>
      </c>
      <c r="G1036" s="2" t="s">
        <v>5510</v>
      </c>
      <c r="H1036" s="2" t="s">
        <v>5511</v>
      </c>
      <c r="I1036" s="2" t="s">
        <v>5512</v>
      </c>
      <c r="J1036" s="2" t="s">
        <v>1711</v>
      </c>
      <c r="K1036" s="2" t="s">
        <v>249</v>
      </c>
      <c r="L1036" s="3">
        <v>49.11</v>
      </c>
      <c r="M1036" s="3">
        <v>51.57</v>
      </c>
      <c r="N1036" s="3">
        <v>109.99</v>
      </c>
      <c r="O1036" s="2" t="s">
        <v>240</v>
      </c>
      <c r="P1036" s="2" t="s">
        <v>333</v>
      </c>
      <c r="Q1036" s="2" t="s">
        <v>234</v>
      </c>
      <c r="R1036" s="2" t="s">
        <v>228</v>
      </c>
      <c r="S1036" s="2" t="s">
        <v>5513</v>
      </c>
      <c r="T1036" s="2" t="s">
        <v>228</v>
      </c>
      <c r="U1036" s="2" t="s">
        <v>416</v>
      </c>
      <c r="V1036" s="2" t="s">
        <v>1681</v>
      </c>
      <c r="W1036" s="2" t="s">
        <v>743</v>
      </c>
      <c r="X1036" s="2" t="s">
        <v>228</v>
      </c>
      <c r="Y1036" s="2" t="s">
        <v>5514</v>
      </c>
      <c r="Z1036" s="4">
        <v>1</v>
      </c>
      <c r="AA1036" s="4">
        <f>=ROUNDDOWN(5,0)</f>
      </c>
      <c r="AB1036" s="5">
        <v>0.2</v>
      </c>
      <c r="AC1036" s="2" t="s">
        <v>228</v>
      </c>
      <c r="AD1036" s="4"/>
      <c r="AE1036" s="4"/>
      <c r="AF1036" s="6">
        <v>63</v>
      </c>
      <c r="AG1036" s="6"/>
      <c r="AH1036" s="7">
        <v>1</v>
      </c>
      <c r="AI1036" s="4"/>
      <c r="AJ1036" s="4">
        <f>=ROUNDDOWN({0},0)</f>
      </c>
      <c r="AK1036" s="5"/>
      <c r="AL1036" s="2" t="s">
        <v>228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/>
      <c r="AW1036" s="8"/>
      <c r="AX1036" s="4"/>
      <c r="AY1036" s="8"/>
      <c r="AZ1036" s="7"/>
      <c r="BA1036" s="7"/>
      <c r="BB1036" s="7"/>
      <c r="BC1036" s="4"/>
      <c r="BD1036" s="8"/>
      <c r="BE1036" s="4"/>
      <c r="BF1036" s="8"/>
      <c r="BG1036" s="7"/>
      <c r="BH1036" s="7"/>
      <c r="BI1036" s="7"/>
      <c r="BJ1036" s="4">
        <v>1</v>
      </c>
      <c r="BK1036" s="8">
        <v>59.3</v>
      </c>
      <c r="BL1036" s="2" t="s">
        <v>622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5515</v>
      </c>
      <c r="BV1036" s="2" t="s">
        <v>228</v>
      </c>
      <c r="BW1036" s="2" t="s">
        <v>228</v>
      </c>
      <c r="BX1036" s="2" t="s">
        <v>337</v>
      </c>
      <c r="BY1036" s="2" t="s">
        <v>274</v>
      </c>
      <c r="BZ1036" s="2" t="s">
        <v>240</v>
      </c>
      <c r="CA1036" s="2" t="s">
        <v>5351</v>
      </c>
      <c r="CB1036" s="2" t="s">
        <v>5516</v>
      </c>
      <c r="CC1036" s="2" t="s">
        <v>241</v>
      </c>
      <c r="CD1036" s="2" t="s">
        <v>228</v>
      </c>
      <c r="CE1036" s="4"/>
      <c r="CF1036" s="4">
        <v>1</v>
      </c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</row>
    <row r="1037">
      <c r="A1037" s="2" t="s">
        <v>5517</v>
      </c>
      <c r="B1037" s="2" t="s">
        <v>958</v>
      </c>
      <c r="C1037" s="2" t="s">
        <v>835</v>
      </c>
      <c r="D1037" s="2" t="s">
        <v>5518</v>
      </c>
      <c r="E1037" s="2" t="s">
        <v>5519</v>
      </c>
      <c r="F1037" s="2" t="s">
        <v>5520</v>
      </c>
      <c r="G1037" s="2" t="s">
        <v>5520</v>
      </c>
      <c r="H1037" s="2" t="s">
        <v>5520</v>
      </c>
      <c r="I1037" s="2" t="s">
        <v>5519</v>
      </c>
      <c r="J1037" s="2" t="s">
        <v>840</v>
      </c>
      <c r="K1037" s="2" t="s">
        <v>1421</v>
      </c>
      <c r="L1037" s="3">
        <v>115.2</v>
      </c>
      <c r="M1037" s="3">
        <v>120.96</v>
      </c>
      <c r="N1037" s="3">
        <v>249</v>
      </c>
      <c r="O1037" s="2" t="s">
        <v>240</v>
      </c>
      <c r="P1037" s="2" t="s">
        <v>1012</v>
      </c>
      <c r="Q1037" s="2" t="s">
        <v>234</v>
      </c>
      <c r="R1037" s="2" t="s">
        <v>228</v>
      </c>
      <c r="S1037" s="2" t="s">
        <v>228</v>
      </c>
      <c r="T1037" s="2" t="s">
        <v>228</v>
      </c>
      <c r="U1037" s="2" t="s">
        <v>416</v>
      </c>
      <c r="V1037" s="2" t="s">
        <v>842</v>
      </c>
      <c r="W1037" s="2" t="s">
        <v>269</v>
      </c>
      <c r="X1037" s="2" t="s">
        <v>417</v>
      </c>
      <c r="Y1037" s="2" t="s">
        <v>2151</v>
      </c>
      <c r="Z1037" s="4">
        <v>72</v>
      </c>
      <c r="AA1037" s="4">
        <f>=ROUNDDOWN(72,0)</f>
      </c>
      <c r="AB1037" s="5">
        <v>1</v>
      </c>
      <c r="AC1037" s="2" t="s">
        <v>228</v>
      </c>
      <c r="AD1037" s="4"/>
      <c r="AE1037" s="4"/>
      <c r="AF1037" s="6">
        <v>74</v>
      </c>
      <c r="AG1037" s="6"/>
      <c r="AH1037" s="7">
        <v>1</v>
      </c>
      <c r="AI1037" s="4"/>
      <c r="AJ1037" s="4">
        <f>=ROUNDDOWN({0},0)</f>
      </c>
      <c r="AK1037" s="5"/>
      <c r="AL1037" s="2" t="s">
        <v>228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/>
      <c r="AW1037" s="8"/>
      <c r="AX1037" s="4"/>
      <c r="AY1037" s="8"/>
      <c r="AZ1037" s="7"/>
      <c r="BA1037" s="7"/>
      <c r="BB1037" s="7"/>
      <c r="BC1037" s="4" t="s">
        <v>228</v>
      </c>
      <c r="BD1037" s="8" t="s">
        <v>228</v>
      </c>
      <c r="BE1037" s="4" t="s">
        <v>228</v>
      </c>
      <c r="BF1037" s="8" t="s">
        <v>228</v>
      </c>
      <c r="BG1037" s="7" t="s">
        <v>228</v>
      </c>
      <c r="BH1037" s="7" t="s">
        <v>228</v>
      </c>
      <c r="BI1037" s="7"/>
      <c r="BJ1037" s="4"/>
      <c r="BK1037" s="8"/>
      <c r="BL1037" s="2" t="s">
        <v>228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5521</v>
      </c>
      <c r="BV1037" s="2" t="s">
        <v>228</v>
      </c>
      <c r="BW1037" s="2" t="s">
        <v>228</v>
      </c>
      <c r="BX1037" s="2" t="s">
        <v>273</v>
      </c>
      <c r="BY1037" s="2" t="s">
        <v>274</v>
      </c>
      <c r="BZ1037" s="2" t="s">
        <v>240</v>
      </c>
      <c r="CA1037" s="2" t="s">
        <v>5522</v>
      </c>
      <c r="CB1037" s="2" t="s">
        <v>1840</v>
      </c>
      <c r="CC1037" s="2" t="s">
        <v>241</v>
      </c>
      <c r="CD1037" s="2" t="s">
        <v>228</v>
      </c>
      <c r="CE1037" s="4"/>
      <c r="CF1037" s="4">
        <v>72</v>
      </c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</row>
    <row r="1038">
      <c r="A1038" s="2" t="s">
        <v>5523</v>
      </c>
      <c r="B1038" s="2" t="s">
        <v>958</v>
      </c>
      <c r="C1038" s="2" t="s">
        <v>835</v>
      </c>
      <c r="D1038" s="2" t="s">
        <v>1795</v>
      </c>
      <c r="E1038" s="2" t="s">
        <v>1796</v>
      </c>
      <c r="F1038" s="2" t="s">
        <v>5520</v>
      </c>
      <c r="G1038" s="2" t="s">
        <v>5520</v>
      </c>
      <c r="H1038" s="2" t="s">
        <v>5520</v>
      </c>
      <c r="I1038" s="2" t="s">
        <v>5524</v>
      </c>
      <c r="J1038" s="2" t="s">
        <v>840</v>
      </c>
      <c r="K1038" s="2" t="s">
        <v>231</v>
      </c>
      <c r="L1038" s="3">
        <v>215</v>
      </c>
      <c r="M1038" s="3">
        <v>225.75</v>
      </c>
      <c r="N1038" s="3">
        <v>449</v>
      </c>
      <c r="O1038" s="2" t="s">
        <v>240</v>
      </c>
      <c r="P1038" s="2" t="s">
        <v>266</v>
      </c>
      <c r="Q1038" s="2" t="s">
        <v>234</v>
      </c>
      <c r="R1038" s="2" t="s">
        <v>228</v>
      </c>
      <c r="S1038" s="2" t="s">
        <v>228</v>
      </c>
      <c r="T1038" s="2" t="s">
        <v>228</v>
      </c>
      <c r="U1038" s="2" t="s">
        <v>520</v>
      </c>
      <c r="V1038" s="2" t="s">
        <v>842</v>
      </c>
      <c r="W1038" s="2" t="s">
        <v>269</v>
      </c>
      <c r="X1038" s="2" t="s">
        <v>417</v>
      </c>
      <c r="Y1038" s="2" t="s">
        <v>5525</v>
      </c>
      <c r="Z1038" s="4">
        <v>96</v>
      </c>
      <c r="AA1038" s="4">
        <f>=ROUNDDOWN(26.6666666666667,0)</f>
      </c>
      <c r="AB1038" s="5">
        <v>3.6</v>
      </c>
      <c r="AC1038" s="2" t="s">
        <v>1590</v>
      </c>
      <c r="AD1038" s="4">
        <v>110</v>
      </c>
      <c r="AE1038" s="4">
        <v>110</v>
      </c>
      <c r="AF1038" s="6">
        <v>74</v>
      </c>
      <c r="AG1038" s="6"/>
      <c r="AH1038" s="7">
        <v>1</v>
      </c>
      <c r="AI1038" s="4"/>
      <c r="AJ1038" s="4">
        <f>=ROUNDDOWN({0},0)</f>
      </c>
      <c r="AK1038" s="5"/>
      <c r="AL1038" s="2" t="s">
        <v>228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/>
      <c r="AW1038" s="8"/>
      <c r="AX1038" s="4"/>
      <c r="AY1038" s="8"/>
      <c r="AZ1038" s="7"/>
      <c r="BA1038" s="7"/>
      <c r="BB1038" s="7"/>
      <c r="BC1038" s="4" t="s">
        <v>228</v>
      </c>
      <c r="BD1038" s="8" t="s">
        <v>228</v>
      </c>
      <c r="BE1038" s="4" t="s">
        <v>228</v>
      </c>
      <c r="BF1038" s="8" t="s">
        <v>228</v>
      </c>
      <c r="BG1038" s="7" t="s">
        <v>228</v>
      </c>
      <c r="BH1038" s="7" t="s">
        <v>228</v>
      </c>
      <c r="BI1038" s="7"/>
      <c r="BJ1038" s="4">
        <v>12</v>
      </c>
      <c r="BK1038" s="8">
        <v>2623.22</v>
      </c>
      <c r="BL1038" s="2" t="s">
        <v>5261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5526</v>
      </c>
      <c r="BV1038" s="2" t="s">
        <v>228</v>
      </c>
      <c r="BW1038" s="2" t="s">
        <v>228</v>
      </c>
      <c r="BX1038" s="2" t="s">
        <v>273</v>
      </c>
      <c r="BY1038" s="2" t="s">
        <v>274</v>
      </c>
      <c r="BZ1038" s="2" t="s">
        <v>240</v>
      </c>
      <c r="CA1038" s="2" t="s">
        <v>2334</v>
      </c>
      <c r="CB1038" s="2" t="s">
        <v>5527</v>
      </c>
      <c r="CC1038" s="2" t="s">
        <v>241</v>
      </c>
      <c r="CD1038" s="2" t="s">
        <v>228</v>
      </c>
      <c r="CE1038" s="4"/>
      <c r="CF1038" s="4">
        <v>96</v>
      </c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>
        <v>110</v>
      </c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</row>
    <row r="1039">
      <c r="A1039" s="2" t="s">
        <v>5528</v>
      </c>
      <c r="B1039" s="2" t="s">
        <v>1150</v>
      </c>
      <c r="C1039" s="2" t="s">
        <v>300</v>
      </c>
      <c r="D1039" s="2" t="s">
        <v>1316</v>
      </c>
      <c r="E1039" s="2" t="s">
        <v>1317</v>
      </c>
      <c r="F1039" s="2" t="s">
        <v>5529</v>
      </c>
      <c r="G1039" s="2" t="s">
        <v>5530</v>
      </c>
      <c r="H1039" s="2" t="s">
        <v>1718</v>
      </c>
      <c r="I1039" s="2" t="s">
        <v>5531</v>
      </c>
      <c r="J1039" s="2" t="s">
        <v>1043</v>
      </c>
      <c r="K1039" s="2" t="s">
        <v>251</v>
      </c>
      <c r="L1039" s="3">
        <v>42.85</v>
      </c>
      <c r="M1039" s="3">
        <v>44.99</v>
      </c>
      <c r="N1039" s="3">
        <v>89.99</v>
      </c>
      <c r="O1039" s="2" t="s">
        <v>461</v>
      </c>
      <c r="P1039" s="2" t="s">
        <v>333</v>
      </c>
      <c r="Q1039" s="2" t="s">
        <v>234</v>
      </c>
      <c r="R1039" s="2" t="s">
        <v>228</v>
      </c>
      <c r="S1039" s="2" t="s">
        <v>5532</v>
      </c>
      <c r="T1039" s="2" t="s">
        <v>228</v>
      </c>
      <c r="U1039" s="2" t="s">
        <v>500</v>
      </c>
      <c r="V1039" s="2" t="s">
        <v>236</v>
      </c>
      <c r="W1039" s="2" t="s">
        <v>269</v>
      </c>
      <c r="X1039" s="2" t="s">
        <v>1761</v>
      </c>
      <c r="Y1039" s="2" t="s">
        <v>5030</v>
      </c>
      <c r="Z1039" s="4">
        <v>219</v>
      </c>
      <c r="AA1039" s="4">
        <f>=ROUNDDOWN(219,0)</f>
      </c>
      <c r="AB1039" s="5">
        <v>1</v>
      </c>
      <c r="AC1039" s="2" t="s">
        <v>228</v>
      </c>
      <c r="AD1039" s="4"/>
      <c r="AE1039" s="4"/>
      <c r="AF1039" s="6">
        <v>64</v>
      </c>
      <c r="AG1039" s="6"/>
      <c r="AH1039" s="7">
        <v>1</v>
      </c>
      <c r="AI1039" s="4"/>
      <c r="AJ1039" s="4">
        <f>=ROUNDDOWN({0},0)</f>
      </c>
      <c r="AK1039" s="5"/>
      <c r="AL1039" s="2" t="s">
        <v>228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/>
      <c r="AW1039" s="8"/>
      <c r="AX1039" s="4"/>
      <c r="AY1039" s="8"/>
      <c r="AZ1039" s="7"/>
      <c r="BA1039" s="7"/>
      <c r="BB1039" s="7"/>
      <c r="BC1039" s="4"/>
      <c r="BD1039" s="8"/>
      <c r="BE1039" s="4"/>
      <c r="BF1039" s="8"/>
      <c r="BG1039" s="7"/>
      <c r="BH1039" s="7"/>
      <c r="BI1039" s="7"/>
      <c r="BJ1039" s="4">
        <v>8</v>
      </c>
      <c r="BK1039" s="8">
        <v>296.98</v>
      </c>
      <c r="BL1039" s="2" t="s">
        <v>5533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5534</v>
      </c>
      <c r="BV1039" s="2" t="s">
        <v>228</v>
      </c>
      <c r="BW1039" s="2" t="s">
        <v>228</v>
      </c>
      <c r="BX1039" s="2" t="s">
        <v>337</v>
      </c>
      <c r="BY1039" s="2" t="s">
        <v>274</v>
      </c>
      <c r="BZ1039" s="2" t="s">
        <v>240</v>
      </c>
      <c r="CA1039" s="2" t="s">
        <v>5535</v>
      </c>
      <c r="CB1039" s="2" t="s">
        <v>5536</v>
      </c>
      <c r="CC1039" s="2" t="s">
        <v>241</v>
      </c>
      <c r="CD1039" s="2" t="s">
        <v>228</v>
      </c>
      <c r="CE1039" s="4">
        <v>219</v>
      </c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</row>
    <row r="1040">
      <c r="A1040" s="2" t="s">
        <v>5537</v>
      </c>
      <c r="B1040" s="2" t="s">
        <v>1150</v>
      </c>
      <c r="C1040" s="2" t="s">
        <v>300</v>
      </c>
      <c r="D1040" s="2" t="s">
        <v>1112</v>
      </c>
      <c r="E1040" s="2" t="s">
        <v>1165</v>
      </c>
      <c r="F1040" s="2" t="s">
        <v>5538</v>
      </c>
      <c r="G1040" s="2" t="s">
        <v>5539</v>
      </c>
      <c r="H1040" s="2" t="s">
        <v>1167</v>
      </c>
      <c r="I1040" s="2" t="s">
        <v>5540</v>
      </c>
      <c r="J1040" s="2" t="s">
        <v>1189</v>
      </c>
      <c r="K1040" s="2" t="s">
        <v>5541</v>
      </c>
      <c r="L1040" s="3">
        <v>38.09</v>
      </c>
      <c r="M1040" s="3">
        <v>39.99</v>
      </c>
      <c r="N1040" s="3">
        <v>79.99</v>
      </c>
      <c r="O1040" s="2" t="s">
        <v>240</v>
      </c>
      <c r="P1040" s="2" t="s">
        <v>233</v>
      </c>
      <c r="Q1040" s="2" t="s">
        <v>234</v>
      </c>
      <c r="R1040" s="2" t="s">
        <v>228</v>
      </c>
      <c r="S1040" s="2" t="s">
        <v>5542</v>
      </c>
      <c r="T1040" s="2" t="s">
        <v>415</v>
      </c>
      <c r="U1040" s="2" t="s">
        <v>1170</v>
      </c>
      <c r="V1040" s="2" t="s">
        <v>980</v>
      </c>
      <c r="W1040" s="2" t="s">
        <v>5215</v>
      </c>
      <c r="X1040" s="2" t="s">
        <v>269</v>
      </c>
      <c r="Y1040" s="2" t="s">
        <v>5543</v>
      </c>
      <c r="Z1040" s="4">
        <v>337</v>
      </c>
      <c r="AA1040" s="4">
        <f>=ROUNDDOWN(80.2380952380952,0)</f>
      </c>
      <c r="AB1040" s="5">
        <v>4.2</v>
      </c>
      <c r="AC1040" s="2" t="s">
        <v>228</v>
      </c>
      <c r="AD1040" s="4"/>
      <c r="AE1040" s="4"/>
      <c r="AF1040" s="6">
        <v>64</v>
      </c>
      <c r="AG1040" s="6"/>
      <c r="AH1040" s="7">
        <v>1</v>
      </c>
      <c r="AI1040" s="4"/>
      <c r="AJ1040" s="4">
        <f>=ROUNDDOWN({0},0)</f>
      </c>
      <c r="AK1040" s="5"/>
      <c r="AL1040" s="2" t="s">
        <v>228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228</v>
      </c>
      <c r="AW1040" s="8" t="s">
        <v>228</v>
      </c>
      <c r="AX1040" s="4" t="s">
        <v>228</v>
      </c>
      <c r="AY1040" s="8" t="s">
        <v>228</v>
      </c>
      <c r="AZ1040" s="7" t="s">
        <v>228</v>
      </c>
      <c r="BA1040" s="7" t="s">
        <v>228</v>
      </c>
      <c r="BB1040" s="7" t="s">
        <v>228</v>
      </c>
      <c r="BC1040" s="4" t="s">
        <v>228</v>
      </c>
      <c r="BD1040" s="8" t="s">
        <v>228</v>
      </c>
      <c r="BE1040" s="4" t="s">
        <v>228</v>
      </c>
      <c r="BF1040" s="8" t="s">
        <v>228</v>
      </c>
      <c r="BG1040" s="7" t="s">
        <v>228</v>
      </c>
      <c r="BH1040" s="7" t="s">
        <v>228</v>
      </c>
      <c r="BI1040" s="7"/>
      <c r="BJ1040" s="4">
        <v>12</v>
      </c>
      <c r="BK1040" s="8">
        <v>499.88</v>
      </c>
      <c r="BL1040" s="2" t="s">
        <v>1322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5544</v>
      </c>
      <c r="BV1040" s="2" t="s">
        <v>228</v>
      </c>
      <c r="BW1040" s="2" t="s">
        <v>228</v>
      </c>
      <c r="BX1040" s="2" t="s">
        <v>273</v>
      </c>
      <c r="BY1040" s="2" t="s">
        <v>274</v>
      </c>
      <c r="BZ1040" s="2" t="s">
        <v>240</v>
      </c>
      <c r="CA1040" s="2" t="s">
        <v>812</v>
      </c>
      <c r="CB1040" s="2" t="s">
        <v>228</v>
      </c>
      <c r="CC1040" s="2" t="s">
        <v>241</v>
      </c>
      <c r="CD1040" s="2" t="s">
        <v>228</v>
      </c>
      <c r="CE1040" s="4">
        <v>162</v>
      </c>
      <c r="CF1040" s="4"/>
      <c r="CG1040" s="4"/>
      <c r="CH1040" s="4"/>
      <c r="CI1040" s="4"/>
      <c r="CJ1040" s="4"/>
      <c r="CK1040" s="4">
        <v>175</v>
      </c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</row>
    <row r="1041">
      <c r="A1041" s="2" t="s">
        <v>5545</v>
      </c>
      <c r="B1041" s="2" t="s">
        <v>1150</v>
      </c>
      <c r="C1041" s="2" t="s">
        <v>300</v>
      </c>
      <c r="D1041" s="2" t="s">
        <v>1316</v>
      </c>
      <c r="E1041" s="2" t="s">
        <v>1317</v>
      </c>
      <c r="F1041" s="2" t="s">
        <v>5538</v>
      </c>
      <c r="G1041" s="2" t="s">
        <v>5539</v>
      </c>
      <c r="H1041" s="2" t="s">
        <v>1167</v>
      </c>
      <c r="I1041" s="2" t="s">
        <v>5546</v>
      </c>
      <c r="J1041" s="2" t="s">
        <v>1189</v>
      </c>
      <c r="K1041" s="2" t="s">
        <v>5541</v>
      </c>
      <c r="L1041" s="3">
        <v>38.09</v>
      </c>
      <c r="M1041" s="3">
        <v>39.99</v>
      </c>
      <c r="N1041" s="3">
        <v>79.99</v>
      </c>
      <c r="O1041" s="2" t="s">
        <v>240</v>
      </c>
      <c r="P1041" s="2" t="s">
        <v>233</v>
      </c>
      <c r="Q1041" s="2" t="s">
        <v>234</v>
      </c>
      <c r="R1041" s="2" t="s">
        <v>228</v>
      </c>
      <c r="S1041" s="2" t="s">
        <v>5542</v>
      </c>
      <c r="T1041" s="2" t="s">
        <v>415</v>
      </c>
      <c r="U1041" s="2" t="s">
        <v>500</v>
      </c>
      <c r="V1041" s="2" t="s">
        <v>980</v>
      </c>
      <c r="W1041" s="2" t="s">
        <v>5215</v>
      </c>
      <c r="X1041" s="2" t="s">
        <v>5547</v>
      </c>
      <c r="Y1041" s="2" t="s">
        <v>5543</v>
      </c>
      <c r="Z1041" s="4">
        <v>286</v>
      </c>
      <c r="AA1041" s="4">
        <f>=ROUNDDOWN(102.142857142857,0)</f>
      </c>
      <c r="AB1041" s="5">
        <v>2.8</v>
      </c>
      <c r="AC1041" s="2" t="s">
        <v>228</v>
      </c>
      <c r="AD1041" s="4"/>
      <c r="AE1041" s="4"/>
      <c r="AF1041" s="6">
        <v>64</v>
      </c>
      <c r="AG1041" s="6"/>
      <c r="AH1041" s="7">
        <v>1</v>
      </c>
      <c r="AI1041" s="4"/>
      <c r="AJ1041" s="4">
        <f>=ROUNDDOWN({0},0)</f>
      </c>
      <c r="AK1041" s="5"/>
      <c r="AL1041" s="2" t="s">
        <v>228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228</v>
      </c>
      <c r="AW1041" s="8" t="s">
        <v>228</v>
      </c>
      <c r="AX1041" s="4" t="s">
        <v>228</v>
      </c>
      <c r="AY1041" s="8" t="s">
        <v>228</v>
      </c>
      <c r="AZ1041" s="7" t="s">
        <v>228</v>
      </c>
      <c r="BA1041" s="7" t="s">
        <v>228</v>
      </c>
      <c r="BB1041" s="7" t="s">
        <v>228</v>
      </c>
      <c r="BC1041" s="4" t="s">
        <v>228</v>
      </c>
      <c r="BD1041" s="8" t="s">
        <v>228</v>
      </c>
      <c r="BE1041" s="4" t="s">
        <v>228</v>
      </c>
      <c r="BF1041" s="8" t="s">
        <v>228</v>
      </c>
      <c r="BG1041" s="7" t="s">
        <v>228</v>
      </c>
      <c r="BH1041" s="7" t="s">
        <v>228</v>
      </c>
      <c r="BI1041" s="7"/>
      <c r="BJ1041" s="4">
        <v>12</v>
      </c>
      <c r="BK1041" s="8">
        <v>483.69</v>
      </c>
      <c r="BL1041" s="2" t="s">
        <v>690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5548</v>
      </c>
      <c r="BV1041" s="2" t="s">
        <v>228</v>
      </c>
      <c r="BW1041" s="2" t="s">
        <v>228</v>
      </c>
      <c r="BX1041" s="2" t="s">
        <v>273</v>
      </c>
      <c r="BY1041" s="2" t="s">
        <v>274</v>
      </c>
      <c r="BZ1041" s="2" t="s">
        <v>240</v>
      </c>
      <c r="CA1041" s="2" t="s">
        <v>812</v>
      </c>
      <c r="CB1041" s="2" t="s">
        <v>228</v>
      </c>
      <c r="CC1041" s="2" t="s">
        <v>241</v>
      </c>
      <c r="CD1041" s="2" t="s">
        <v>228</v>
      </c>
      <c r="CE1041" s="4">
        <v>136</v>
      </c>
      <c r="CF1041" s="4"/>
      <c r="CG1041" s="4"/>
      <c r="CH1041" s="4"/>
      <c r="CI1041" s="4"/>
      <c r="CJ1041" s="4"/>
      <c r="CK1041" s="4">
        <v>150</v>
      </c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</row>
    <row r="1042">
      <c r="A1042" s="2" t="s">
        <v>5549</v>
      </c>
      <c r="B1042" s="2" t="s">
        <v>1150</v>
      </c>
      <c r="C1042" s="2" t="s">
        <v>300</v>
      </c>
      <c r="D1042" s="2" t="s">
        <v>1112</v>
      </c>
      <c r="E1042" s="2" t="s">
        <v>1165</v>
      </c>
      <c r="F1042" s="2" t="s">
        <v>5538</v>
      </c>
      <c r="G1042" s="2" t="s">
        <v>5539</v>
      </c>
      <c r="H1042" s="2" t="s">
        <v>1167</v>
      </c>
      <c r="I1042" s="2" t="s">
        <v>5540</v>
      </c>
      <c r="J1042" s="2" t="s">
        <v>1043</v>
      </c>
      <c r="K1042" s="2" t="s">
        <v>5541</v>
      </c>
      <c r="L1042" s="3">
        <v>41.14</v>
      </c>
      <c r="M1042" s="3">
        <v>43.2</v>
      </c>
      <c r="N1042" s="3">
        <v>89.99</v>
      </c>
      <c r="O1042" s="2" t="s">
        <v>240</v>
      </c>
      <c r="P1042" s="2" t="s">
        <v>233</v>
      </c>
      <c r="Q1042" s="2" t="s">
        <v>234</v>
      </c>
      <c r="R1042" s="2" t="s">
        <v>228</v>
      </c>
      <c r="S1042" s="2" t="s">
        <v>5542</v>
      </c>
      <c r="T1042" s="2" t="s">
        <v>415</v>
      </c>
      <c r="U1042" s="2" t="s">
        <v>1170</v>
      </c>
      <c r="V1042" s="2" t="s">
        <v>980</v>
      </c>
      <c r="W1042" s="2" t="s">
        <v>5215</v>
      </c>
      <c r="X1042" s="2" t="s">
        <v>269</v>
      </c>
      <c r="Y1042" s="2" t="s">
        <v>5543</v>
      </c>
      <c r="Z1042" s="4">
        <v>370</v>
      </c>
      <c r="AA1042" s="4">
        <f>=ROUNDDOWN(28.4615384615385,0)</f>
      </c>
      <c r="AB1042" s="5">
        <v>13</v>
      </c>
      <c r="AC1042" s="2" t="s">
        <v>228</v>
      </c>
      <c r="AD1042" s="4"/>
      <c r="AE1042" s="4"/>
      <c r="AF1042" s="6">
        <v>64</v>
      </c>
      <c r="AG1042" s="6"/>
      <c r="AH1042" s="7">
        <v>1</v>
      </c>
      <c r="AI1042" s="4"/>
      <c r="AJ1042" s="4">
        <f>=ROUNDDOWN({0},0)</f>
      </c>
      <c r="AK1042" s="5"/>
      <c r="AL1042" s="2" t="s">
        <v>228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228</v>
      </c>
      <c r="AW1042" s="8" t="s">
        <v>228</v>
      </c>
      <c r="AX1042" s="4" t="s">
        <v>228</v>
      </c>
      <c r="AY1042" s="8" t="s">
        <v>228</v>
      </c>
      <c r="AZ1042" s="7" t="s">
        <v>228</v>
      </c>
      <c r="BA1042" s="7" t="s">
        <v>228</v>
      </c>
      <c r="BB1042" s="7"/>
      <c r="BC1042" s="4" t="s">
        <v>228</v>
      </c>
      <c r="BD1042" s="8" t="s">
        <v>228</v>
      </c>
      <c r="BE1042" s="4" t="s">
        <v>228</v>
      </c>
      <c r="BF1042" s="8" t="s">
        <v>228</v>
      </c>
      <c r="BG1042" s="7" t="s">
        <v>228</v>
      </c>
      <c r="BH1042" s="7" t="s">
        <v>228</v>
      </c>
      <c r="BI1042" s="7"/>
      <c r="BJ1042" s="4">
        <v>13</v>
      </c>
      <c r="BK1042" s="8">
        <v>586.41</v>
      </c>
      <c r="BL1042" s="2" t="s">
        <v>1209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5550</v>
      </c>
      <c r="BV1042" s="2" t="s">
        <v>228</v>
      </c>
      <c r="BW1042" s="2" t="s">
        <v>228</v>
      </c>
      <c r="BX1042" s="2" t="s">
        <v>273</v>
      </c>
      <c r="BY1042" s="2" t="s">
        <v>274</v>
      </c>
      <c r="BZ1042" s="2" t="s">
        <v>240</v>
      </c>
      <c r="CA1042" s="2" t="s">
        <v>812</v>
      </c>
      <c r="CB1042" s="2" t="s">
        <v>2113</v>
      </c>
      <c r="CC1042" s="2" t="s">
        <v>241</v>
      </c>
      <c r="CD1042" s="2" t="s">
        <v>228</v>
      </c>
      <c r="CE1042" s="4">
        <v>175</v>
      </c>
      <c r="CF1042" s="4"/>
      <c r="CG1042" s="4"/>
      <c r="CH1042" s="4"/>
      <c r="CI1042" s="4"/>
      <c r="CJ1042" s="4"/>
      <c r="CK1042" s="4">
        <v>195</v>
      </c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</row>
    <row r="1043">
      <c r="A1043" s="2" t="s">
        <v>5551</v>
      </c>
      <c r="B1043" s="2" t="s">
        <v>958</v>
      </c>
      <c r="C1043" s="2" t="s">
        <v>835</v>
      </c>
      <c r="D1043" s="2" t="s">
        <v>1790</v>
      </c>
      <c r="E1043" s="2" t="s">
        <v>3370</v>
      </c>
      <c r="F1043" s="2" t="s">
        <v>5552</v>
      </c>
      <c r="G1043" s="2" t="s">
        <v>5552</v>
      </c>
      <c r="H1043" s="2" t="s">
        <v>228</v>
      </c>
      <c r="I1043" s="2" t="s">
        <v>5553</v>
      </c>
      <c r="J1043" s="2" t="s">
        <v>840</v>
      </c>
      <c r="K1043" s="2" t="s">
        <v>1421</v>
      </c>
      <c r="L1043" s="3">
        <v>81</v>
      </c>
      <c r="M1043" s="3">
        <v>85.05</v>
      </c>
      <c r="N1043" s="3">
        <v>169</v>
      </c>
      <c r="O1043" s="2" t="s">
        <v>240</v>
      </c>
      <c r="P1043" s="2" t="s">
        <v>333</v>
      </c>
      <c r="Q1043" s="2" t="s">
        <v>234</v>
      </c>
      <c r="R1043" s="2" t="s">
        <v>228</v>
      </c>
      <c r="S1043" s="2" t="s">
        <v>5554</v>
      </c>
      <c r="T1043" s="2" t="s">
        <v>228</v>
      </c>
      <c r="U1043" s="2" t="s">
        <v>228</v>
      </c>
      <c r="V1043" s="2" t="s">
        <v>236</v>
      </c>
      <c r="W1043" s="2" t="s">
        <v>3057</v>
      </c>
      <c r="X1043" s="2" t="s">
        <v>228</v>
      </c>
      <c r="Y1043" s="2" t="s">
        <v>270</v>
      </c>
      <c r="Z1043" s="4">
        <v>64</v>
      </c>
      <c r="AA1043" s="4">
        <f>=ROUNDDOWN(4.84848484848485,0)</f>
      </c>
      <c r="AB1043" s="5">
        <v>13.2</v>
      </c>
      <c r="AC1043" s="2" t="s">
        <v>5555</v>
      </c>
      <c r="AD1043" s="4">
        <v>120</v>
      </c>
      <c r="AE1043" s="4">
        <v>120</v>
      </c>
      <c r="AF1043" s="6">
        <v>74</v>
      </c>
      <c r="AG1043" s="6">
        <v>60</v>
      </c>
      <c r="AH1043" s="7">
        <v>1</v>
      </c>
      <c r="AI1043" s="4"/>
      <c r="AJ1043" s="4">
        <f>=ROUNDDOWN({0},0)</f>
      </c>
      <c r="AK1043" s="5"/>
      <c r="AL1043" s="2" t="s">
        <v>228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228</v>
      </c>
      <c r="AW1043" s="8" t="s">
        <v>228</v>
      </c>
      <c r="AX1043" s="4" t="s">
        <v>228</v>
      </c>
      <c r="AY1043" s="8" t="s">
        <v>228</v>
      </c>
      <c r="AZ1043" s="7" t="s">
        <v>228</v>
      </c>
      <c r="BA1043" s="7" t="s">
        <v>228</v>
      </c>
      <c r="BB1043" s="7" t="s">
        <v>228</v>
      </c>
      <c r="BC1043" s="4" t="s">
        <v>228</v>
      </c>
      <c r="BD1043" s="8" t="s">
        <v>228</v>
      </c>
      <c r="BE1043" s="4" t="s">
        <v>228</v>
      </c>
      <c r="BF1043" s="8" t="s">
        <v>228</v>
      </c>
      <c r="BG1043" s="7" t="s">
        <v>228</v>
      </c>
      <c r="BH1043" s="7" t="s">
        <v>228</v>
      </c>
      <c r="BI1043" s="7"/>
      <c r="BJ1043" s="4">
        <v>31</v>
      </c>
      <c r="BK1043" s="8">
        <v>2155.48</v>
      </c>
      <c r="BL1043" s="2" t="s">
        <v>5556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5557</v>
      </c>
      <c r="BV1043" s="2" t="s">
        <v>228</v>
      </c>
      <c r="BW1043" s="2" t="s">
        <v>228</v>
      </c>
      <c r="BX1043" s="2" t="s">
        <v>337</v>
      </c>
      <c r="BY1043" s="2" t="s">
        <v>274</v>
      </c>
      <c r="BZ1043" s="2" t="s">
        <v>240</v>
      </c>
      <c r="CA1043" s="2" t="s">
        <v>5558</v>
      </c>
      <c r="CB1043" s="2" t="s">
        <v>5559</v>
      </c>
      <c r="CC1043" s="2" t="s">
        <v>241</v>
      </c>
      <c r="CD1043" s="2" t="s">
        <v>228</v>
      </c>
      <c r="CE1043" s="4"/>
      <c r="CF1043" s="4">
        <v>64</v>
      </c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>
        <v>120</v>
      </c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</row>
    <row r="1044">
      <c r="A1044" s="2" t="s">
        <v>5560</v>
      </c>
      <c r="B1044" s="2" t="s">
        <v>958</v>
      </c>
      <c r="C1044" s="2" t="s">
        <v>835</v>
      </c>
      <c r="D1044" s="2" t="s">
        <v>1790</v>
      </c>
      <c r="E1044" s="2" t="s">
        <v>3370</v>
      </c>
      <c r="F1044" s="2" t="s">
        <v>5552</v>
      </c>
      <c r="G1044" s="2" t="s">
        <v>5552</v>
      </c>
      <c r="H1044" s="2" t="s">
        <v>5552</v>
      </c>
      <c r="I1044" s="2" t="s">
        <v>5561</v>
      </c>
      <c r="J1044" s="2" t="s">
        <v>840</v>
      </c>
      <c r="K1044" s="2" t="s">
        <v>1421</v>
      </c>
      <c r="L1044" s="3">
        <v>126</v>
      </c>
      <c r="M1044" s="3">
        <v>132.3</v>
      </c>
      <c r="N1044" s="3">
        <v>269</v>
      </c>
      <c r="O1044" s="2" t="s">
        <v>461</v>
      </c>
      <c r="P1044" s="2" t="s">
        <v>333</v>
      </c>
      <c r="Q1044" s="2" t="s">
        <v>234</v>
      </c>
      <c r="R1044" s="2" t="s">
        <v>228</v>
      </c>
      <c r="S1044" s="2" t="s">
        <v>228</v>
      </c>
      <c r="T1044" s="2" t="s">
        <v>228</v>
      </c>
      <c r="U1044" s="2" t="s">
        <v>416</v>
      </c>
      <c r="V1044" s="2" t="s">
        <v>236</v>
      </c>
      <c r="W1044" s="2" t="s">
        <v>843</v>
      </c>
      <c r="X1044" s="2" t="s">
        <v>228</v>
      </c>
      <c r="Y1044" s="2" t="s">
        <v>5562</v>
      </c>
      <c r="Z1044" s="4">
        <v>33</v>
      </c>
      <c r="AA1044" s="4">
        <f>=ROUNDDOWN(23.5714285714286,0)</f>
      </c>
      <c r="AB1044" s="5">
        <v>1.4</v>
      </c>
      <c r="AC1044" s="2" t="s">
        <v>228</v>
      </c>
      <c r="AD1044" s="4"/>
      <c r="AE1044" s="4"/>
      <c r="AF1044" s="6">
        <v>74</v>
      </c>
      <c r="AG1044" s="6">
        <v>60</v>
      </c>
      <c r="AH1044" s="7">
        <v>1</v>
      </c>
      <c r="AI1044" s="4"/>
      <c r="AJ1044" s="4">
        <f>=ROUNDDOWN({0},0)</f>
      </c>
      <c r="AK1044" s="5"/>
      <c r="AL1044" s="2" t="s">
        <v>228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228</v>
      </c>
      <c r="AW1044" s="8" t="s">
        <v>228</v>
      </c>
      <c r="AX1044" s="4" t="s">
        <v>228</v>
      </c>
      <c r="AY1044" s="8" t="s">
        <v>228</v>
      </c>
      <c r="AZ1044" s="7" t="s">
        <v>228</v>
      </c>
      <c r="BA1044" s="7" t="s">
        <v>228</v>
      </c>
      <c r="BB1044" s="7" t="s">
        <v>228</v>
      </c>
      <c r="BC1044" s="4" t="s">
        <v>228</v>
      </c>
      <c r="BD1044" s="8" t="s">
        <v>228</v>
      </c>
      <c r="BE1044" s="4" t="s">
        <v>228</v>
      </c>
      <c r="BF1044" s="8" t="s">
        <v>228</v>
      </c>
      <c r="BG1044" s="7" t="s">
        <v>228</v>
      </c>
      <c r="BH1044" s="7" t="s">
        <v>228</v>
      </c>
      <c r="BI1044" s="7"/>
      <c r="BJ1044" s="4">
        <v>9</v>
      </c>
      <c r="BK1044" s="8">
        <v>766.29</v>
      </c>
      <c r="BL1044" s="2" t="s">
        <v>5563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5564</v>
      </c>
      <c r="BV1044" s="2" t="s">
        <v>228</v>
      </c>
      <c r="BW1044" s="2" t="s">
        <v>228</v>
      </c>
      <c r="BX1044" s="2" t="s">
        <v>337</v>
      </c>
      <c r="BY1044" s="2" t="s">
        <v>274</v>
      </c>
      <c r="BZ1044" s="2" t="s">
        <v>240</v>
      </c>
      <c r="CA1044" s="2" t="s">
        <v>1910</v>
      </c>
      <c r="CB1044" s="2" t="s">
        <v>5565</v>
      </c>
      <c r="CC1044" s="2" t="s">
        <v>241</v>
      </c>
      <c r="CD1044" s="2" t="s">
        <v>228</v>
      </c>
      <c r="CE1044" s="4"/>
      <c r="CF1044" s="4">
        <v>33</v>
      </c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</row>
    <row r="1045">
      <c r="A1045" s="2" t="s">
        <v>5566</v>
      </c>
      <c r="B1045" s="2" t="s">
        <v>958</v>
      </c>
      <c r="C1045" s="2" t="s">
        <v>835</v>
      </c>
      <c r="D1045" s="2" t="s">
        <v>1795</v>
      </c>
      <c r="E1045" s="2" t="s">
        <v>1796</v>
      </c>
      <c r="F1045" s="2" t="s">
        <v>5552</v>
      </c>
      <c r="G1045" s="2" t="s">
        <v>5552</v>
      </c>
      <c r="H1045" s="2" t="s">
        <v>228</v>
      </c>
      <c r="I1045" s="2" t="s">
        <v>5567</v>
      </c>
      <c r="J1045" s="2" t="s">
        <v>840</v>
      </c>
      <c r="K1045" s="2" t="s">
        <v>1421</v>
      </c>
      <c r="L1045" s="3">
        <v>163.35</v>
      </c>
      <c r="M1045" s="3">
        <v>171.52</v>
      </c>
      <c r="N1045" s="3">
        <v>349</v>
      </c>
      <c r="O1045" s="2" t="s">
        <v>240</v>
      </c>
      <c r="P1045" s="2" t="s">
        <v>333</v>
      </c>
      <c r="Q1045" s="2" t="s">
        <v>234</v>
      </c>
      <c r="R1045" s="2" t="s">
        <v>228</v>
      </c>
      <c r="S1045" s="2" t="s">
        <v>5568</v>
      </c>
      <c r="T1045" s="2" t="s">
        <v>228</v>
      </c>
      <c r="U1045" s="2" t="s">
        <v>228</v>
      </c>
      <c r="V1045" s="2" t="s">
        <v>236</v>
      </c>
      <c r="W1045" s="2" t="s">
        <v>3057</v>
      </c>
      <c r="X1045" s="2" t="s">
        <v>228</v>
      </c>
      <c r="Y1045" s="2" t="s">
        <v>5569</v>
      </c>
      <c r="Z1045" s="4">
        <v>155</v>
      </c>
      <c r="AA1045" s="4">
        <f>=ROUNDDOWN(51.6666666666667,0)</f>
      </c>
      <c r="AB1045" s="5">
        <v>3</v>
      </c>
      <c r="AC1045" s="2" t="s">
        <v>228</v>
      </c>
      <c r="AD1045" s="4"/>
      <c r="AE1045" s="4"/>
      <c r="AF1045" s="6">
        <v>74</v>
      </c>
      <c r="AG1045" s="6">
        <v>60</v>
      </c>
      <c r="AH1045" s="7">
        <v>1</v>
      </c>
      <c r="AI1045" s="4"/>
      <c r="AJ1045" s="4">
        <f>=ROUNDDOWN({0},0)</f>
      </c>
      <c r="AK1045" s="5"/>
      <c r="AL1045" s="2" t="s">
        <v>228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228</v>
      </c>
      <c r="AW1045" s="8" t="s">
        <v>228</v>
      </c>
      <c r="AX1045" s="4" t="s">
        <v>228</v>
      </c>
      <c r="AY1045" s="8" t="s">
        <v>228</v>
      </c>
      <c r="AZ1045" s="7" t="s">
        <v>228</v>
      </c>
      <c r="BA1045" s="7" t="s">
        <v>228</v>
      </c>
      <c r="BB1045" s="7" t="s">
        <v>228</v>
      </c>
      <c r="BC1045" s="4" t="s">
        <v>228</v>
      </c>
      <c r="BD1045" s="8" t="s">
        <v>228</v>
      </c>
      <c r="BE1045" s="4" t="s">
        <v>228</v>
      </c>
      <c r="BF1045" s="8" t="s">
        <v>228</v>
      </c>
      <c r="BG1045" s="7" t="s">
        <v>228</v>
      </c>
      <c r="BH1045" s="7" t="s">
        <v>228</v>
      </c>
      <c r="BI1045" s="7"/>
      <c r="BJ1045" s="4">
        <v>21</v>
      </c>
      <c r="BK1045" s="8">
        <v>2001.75</v>
      </c>
      <c r="BL1045" s="2" t="s">
        <v>2978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5570</v>
      </c>
      <c r="BV1045" s="2" t="s">
        <v>228</v>
      </c>
      <c r="BW1045" s="2" t="s">
        <v>228</v>
      </c>
      <c r="BX1045" s="2" t="s">
        <v>337</v>
      </c>
      <c r="BY1045" s="2" t="s">
        <v>274</v>
      </c>
      <c r="BZ1045" s="2" t="s">
        <v>240</v>
      </c>
      <c r="CA1045" s="2" t="s">
        <v>5558</v>
      </c>
      <c r="CB1045" s="2" t="s">
        <v>2285</v>
      </c>
      <c r="CC1045" s="2" t="s">
        <v>241</v>
      </c>
      <c r="CD1045" s="2" t="s">
        <v>228</v>
      </c>
      <c r="CE1045" s="4"/>
      <c r="CF1045" s="4">
        <v>155</v>
      </c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</row>
    <row r="1046">
      <c r="A1046" s="2" t="s">
        <v>5571</v>
      </c>
      <c r="B1046" s="2" t="s">
        <v>958</v>
      </c>
      <c r="C1046" s="2" t="s">
        <v>300</v>
      </c>
      <c r="D1046" s="2" t="s">
        <v>959</v>
      </c>
      <c r="E1046" s="2" t="s">
        <v>960</v>
      </c>
      <c r="F1046" s="2" t="s">
        <v>5572</v>
      </c>
      <c r="G1046" s="2" t="s">
        <v>5573</v>
      </c>
      <c r="H1046" s="2" t="s">
        <v>1718</v>
      </c>
      <c r="I1046" s="2" t="s">
        <v>5574</v>
      </c>
      <c r="J1046" s="2" t="s">
        <v>840</v>
      </c>
      <c r="K1046" s="2" t="s">
        <v>1105</v>
      </c>
      <c r="L1046" s="3">
        <v>180.5</v>
      </c>
      <c r="M1046" s="3">
        <v>189.52</v>
      </c>
      <c r="N1046" s="3">
        <v>379</v>
      </c>
      <c r="O1046" s="2" t="s">
        <v>240</v>
      </c>
      <c r="P1046" s="2" t="s">
        <v>333</v>
      </c>
      <c r="Q1046" s="2" t="s">
        <v>234</v>
      </c>
      <c r="R1046" s="2" t="s">
        <v>228</v>
      </c>
      <c r="S1046" s="2" t="s">
        <v>5575</v>
      </c>
      <c r="T1046" s="2" t="s">
        <v>228</v>
      </c>
      <c r="U1046" s="2" t="s">
        <v>228</v>
      </c>
      <c r="V1046" s="2" t="s">
        <v>236</v>
      </c>
      <c r="W1046" s="2" t="s">
        <v>417</v>
      </c>
      <c r="X1046" s="2" t="s">
        <v>228</v>
      </c>
      <c r="Y1046" s="2" t="s">
        <v>270</v>
      </c>
      <c r="Z1046" s="4">
        <v>63</v>
      </c>
      <c r="AA1046" s="4">
        <f>=ROUNDDOWN(31.5,0)</f>
      </c>
      <c r="AB1046" s="5">
        <v>2</v>
      </c>
      <c r="AC1046" s="2" t="s">
        <v>228</v>
      </c>
      <c r="AD1046" s="4"/>
      <c r="AE1046" s="4"/>
      <c r="AF1046" s="6">
        <v>66</v>
      </c>
      <c r="AG1046" s="6"/>
      <c r="AH1046" s="7">
        <v>1</v>
      </c>
      <c r="AI1046" s="4"/>
      <c r="AJ1046" s="4">
        <f>=ROUNDDOWN({0},0)</f>
      </c>
      <c r="AK1046" s="5"/>
      <c r="AL1046" s="2" t="s">
        <v>228</v>
      </c>
      <c r="AM1046" s="4"/>
      <c r="AN1046" s="4"/>
      <c r="AO1046" s="7">
        <v>0.5484</v>
      </c>
      <c r="AP1046" s="4"/>
      <c r="AQ1046" s="8"/>
      <c r="AR1046" s="4"/>
      <c r="AS1046" s="8"/>
      <c r="AT1046" s="7"/>
      <c r="AU1046" s="7"/>
      <c r="AV1046" s="4"/>
      <c r="AW1046" s="8"/>
      <c r="AX1046" s="4"/>
      <c r="AY1046" s="8"/>
      <c r="AZ1046" s="7"/>
      <c r="BA1046" s="7"/>
      <c r="BB1046" s="7"/>
      <c r="BC1046" s="4"/>
      <c r="BD1046" s="8"/>
      <c r="BE1046" s="4"/>
      <c r="BF1046" s="8"/>
      <c r="BG1046" s="7"/>
      <c r="BH1046" s="7"/>
      <c r="BI1046" s="7"/>
      <c r="BJ1046" s="4">
        <v>2</v>
      </c>
      <c r="BK1046" s="8">
        <v>390.21</v>
      </c>
      <c r="BL1046" s="2" t="s">
        <v>5576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5577</v>
      </c>
      <c r="BV1046" s="2" t="s">
        <v>228</v>
      </c>
      <c r="BW1046" s="2" t="s">
        <v>228</v>
      </c>
      <c r="BX1046" s="2" t="s">
        <v>337</v>
      </c>
      <c r="BY1046" s="2" t="s">
        <v>274</v>
      </c>
      <c r="BZ1046" s="2" t="s">
        <v>240</v>
      </c>
      <c r="CA1046" s="2" t="s">
        <v>275</v>
      </c>
      <c r="CB1046" s="2" t="s">
        <v>641</v>
      </c>
      <c r="CC1046" s="2" t="s">
        <v>241</v>
      </c>
      <c r="CD1046" s="2" t="s">
        <v>228</v>
      </c>
      <c r="CE1046" s="4"/>
      <c r="CF1046" s="4">
        <v>63</v>
      </c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</row>
    <row r="1047">
      <c r="A1047" s="2" t="s">
        <v>5578</v>
      </c>
      <c r="B1047" s="2" t="s">
        <v>866</v>
      </c>
      <c r="C1047" s="2" t="s">
        <v>885</v>
      </c>
      <c r="D1047" s="2" t="s">
        <v>899</v>
      </c>
      <c r="E1047" s="2" t="s">
        <v>877</v>
      </c>
      <c r="F1047" s="2" t="s">
        <v>5579</v>
      </c>
      <c r="G1047" s="2" t="s">
        <v>5579</v>
      </c>
      <c r="H1047" s="2" t="s">
        <v>5579</v>
      </c>
      <c r="I1047" s="2" t="s">
        <v>5580</v>
      </c>
      <c r="J1047" s="2" t="s">
        <v>840</v>
      </c>
      <c r="K1047" s="2" t="s">
        <v>888</v>
      </c>
      <c r="L1047" s="3">
        <v>29.92</v>
      </c>
      <c r="M1047" s="3">
        <v>31.42</v>
      </c>
      <c r="N1047" s="3">
        <v>63.74</v>
      </c>
      <c r="O1047" s="2" t="s">
        <v>240</v>
      </c>
      <c r="P1047" s="2" t="s">
        <v>266</v>
      </c>
      <c r="Q1047" s="2" t="s">
        <v>234</v>
      </c>
      <c r="R1047" s="2" t="s">
        <v>228</v>
      </c>
      <c r="S1047" s="2" t="s">
        <v>228</v>
      </c>
      <c r="T1047" s="2" t="s">
        <v>228</v>
      </c>
      <c r="U1047" s="2" t="s">
        <v>520</v>
      </c>
      <c r="V1047" s="2" t="s">
        <v>387</v>
      </c>
      <c r="W1047" s="2" t="s">
        <v>463</v>
      </c>
      <c r="X1047" s="2" t="s">
        <v>892</v>
      </c>
      <c r="Y1047" s="2" t="s">
        <v>2209</v>
      </c>
      <c r="Z1047" s="4">
        <v>64</v>
      </c>
      <c r="AA1047" s="4">
        <f>=ROUNDDOWN(10.6666666666667,0)</f>
      </c>
      <c r="AB1047" s="5">
        <v>6</v>
      </c>
      <c r="AC1047" s="2" t="s">
        <v>4983</v>
      </c>
      <c r="AD1047" s="4">
        <v>100</v>
      </c>
      <c r="AE1047" s="4">
        <v>100</v>
      </c>
      <c r="AF1047" s="6">
        <v>63</v>
      </c>
      <c r="AG1047" s="6"/>
      <c r="AH1047" s="7">
        <v>1</v>
      </c>
      <c r="AI1047" s="4"/>
      <c r="AJ1047" s="4">
        <f>=ROUNDDOWN({0},0)</f>
      </c>
      <c r="AK1047" s="5"/>
      <c r="AL1047" s="2" t="s">
        <v>228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/>
      <c r="AW1047" s="8"/>
      <c r="AX1047" s="4"/>
      <c r="AY1047" s="8"/>
      <c r="AZ1047" s="7"/>
      <c r="BA1047" s="7"/>
      <c r="BB1047" s="7"/>
      <c r="BC1047" s="4"/>
      <c r="BD1047" s="8"/>
      <c r="BE1047" s="4"/>
      <c r="BF1047" s="8"/>
      <c r="BG1047" s="7"/>
      <c r="BH1047" s="7"/>
      <c r="BI1047" s="7"/>
      <c r="BJ1047" s="4">
        <v>29</v>
      </c>
      <c r="BK1047" s="8">
        <v>1008.31</v>
      </c>
      <c r="BL1047" s="2" t="s">
        <v>5581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5582</v>
      </c>
      <c r="BV1047" s="2" t="s">
        <v>228</v>
      </c>
      <c r="BW1047" s="2" t="s">
        <v>228</v>
      </c>
      <c r="BX1047" s="2" t="s">
        <v>273</v>
      </c>
      <c r="BY1047" s="2" t="s">
        <v>274</v>
      </c>
      <c r="BZ1047" s="2" t="s">
        <v>240</v>
      </c>
      <c r="CA1047" s="2" t="s">
        <v>5583</v>
      </c>
      <c r="CB1047" s="2" t="s">
        <v>5484</v>
      </c>
      <c r="CC1047" s="2" t="s">
        <v>241</v>
      </c>
      <c r="CD1047" s="2" t="s">
        <v>228</v>
      </c>
      <c r="CE1047" s="4"/>
      <c r="CF1047" s="4">
        <v>64</v>
      </c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>
        <v>100</v>
      </c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</row>
    <row r="1048">
      <c r="A1048" s="2" t="s">
        <v>5584</v>
      </c>
      <c r="B1048" s="2" t="s">
        <v>223</v>
      </c>
      <c r="C1048" s="2" t="s">
        <v>300</v>
      </c>
      <c r="D1048" s="2" t="s">
        <v>225</v>
      </c>
      <c r="E1048" s="2" t="s">
        <v>226</v>
      </c>
      <c r="F1048" s="2" t="s">
        <v>5585</v>
      </c>
      <c r="G1048" s="2" t="s">
        <v>5585</v>
      </c>
      <c r="H1048" s="2" t="s">
        <v>5585</v>
      </c>
      <c r="I1048" s="2" t="s">
        <v>5586</v>
      </c>
      <c r="J1048" s="2" t="s">
        <v>264</v>
      </c>
      <c r="K1048" s="2" t="s">
        <v>460</v>
      </c>
      <c r="L1048" s="3">
        <v>18.39</v>
      </c>
      <c r="M1048" s="3">
        <v>19.31</v>
      </c>
      <c r="N1048" s="3">
        <v>34.99</v>
      </c>
      <c r="O1048" s="2" t="s">
        <v>240</v>
      </c>
      <c r="P1048" s="2" t="s">
        <v>266</v>
      </c>
      <c r="Q1048" s="2" t="s">
        <v>234</v>
      </c>
      <c r="R1048" s="2" t="s">
        <v>228</v>
      </c>
      <c r="S1048" s="2" t="s">
        <v>5587</v>
      </c>
      <c r="T1048" s="2" t="s">
        <v>350</v>
      </c>
      <c r="U1048" s="2" t="s">
        <v>416</v>
      </c>
      <c r="V1048" s="2" t="s">
        <v>236</v>
      </c>
      <c r="W1048" s="2" t="s">
        <v>269</v>
      </c>
      <c r="X1048" s="2" t="s">
        <v>228</v>
      </c>
      <c r="Y1048" s="2" t="s">
        <v>3465</v>
      </c>
      <c r="Z1048" s="4">
        <v>83</v>
      </c>
      <c r="AA1048" s="4">
        <f>=ROUNDDOWN(6.38461538461538,0)</f>
      </c>
      <c r="AB1048" s="5">
        <v>13</v>
      </c>
      <c r="AC1048" s="2" t="s">
        <v>1191</v>
      </c>
      <c r="AD1048" s="4">
        <v>270</v>
      </c>
      <c r="AE1048" s="4">
        <v>410</v>
      </c>
      <c r="AF1048" s="6">
        <v>65</v>
      </c>
      <c r="AG1048" s="6"/>
      <c r="AH1048" s="7">
        <v>0.6129</v>
      </c>
      <c r="AI1048" s="4"/>
      <c r="AJ1048" s="4">
        <f>=ROUNDDOWN({0},0)</f>
      </c>
      <c r="AK1048" s="5"/>
      <c r="AL1048" s="2" t="s">
        <v>228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228</v>
      </c>
      <c r="AW1048" s="8" t="s">
        <v>228</v>
      </c>
      <c r="AX1048" s="4" t="s">
        <v>228</v>
      </c>
      <c r="AY1048" s="8" t="s">
        <v>228</v>
      </c>
      <c r="AZ1048" s="7" t="s">
        <v>228</v>
      </c>
      <c r="BA1048" s="7" t="s">
        <v>228</v>
      </c>
      <c r="BB1048" s="7"/>
      <c r="BC1048" s="4" t="s">
        <v>228</v>
      </c>
      <c r="BD1048" s="8" t="s">
        <v>228</v>
      </c>
      <c r="BE1048" s="4" t="s">
        <v>228</v>
      </c>
      <c r="BF1048" s="8" t="s">
        <v>228</v>
      </c>
      <c r="BG1048" s="7" t="s">
        <v>228</v>
      </c>
      <c r="BH1048" s="7" t="s">
        <v>228</v>
      </c>
      <c r="BI1048" s="7"/>
      <c r="BJ1048" s="4">
        <v>11</v>
      </c>
      <c r="BK1048" s="8">
        <v>217.96</v>
      </c>
      <c r="BL1048" s="2" t="s">
        <v>1444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5588</v>
      </c>
      <c r="BV1048" s="2" t="s">
        <v>228</v>
      </c>
      <c r="BW1048" s="2" t="s">
        <v>228</v>
      </c>
      <c r="BX1048" s="2" t="s">
        <v>273</v>
      </c>
      <c r="BY1048" s="2" t="s">
        <v>274</v>
      </c>
      <c r="BZ1048" s="2" t="s">
        <v>240</v>
      </c>
      <c r="CA1048" s="2" t="s">
        <v>2370</v>
      </c>
      <c r="CB1048" s="2" t="s">
        <v>228</v>
      </c>
      <c r="CC1048" s="2" t="s">
        <v>241</v>
      </c>
      <c r="CD1048" s="2" t="s">
        <v>228</v>
      </c>
      <c r="CE1048" s="4">
        <v>83</v>
      </c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>
        <v>270</v>
      </c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>
        <v>140</v>
      </c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</row>
    <row r="1049">
      <c r="A1049" s="2" t="s">
        <v>5589</v>
      </c>
      <c r="B1049" s="2" t="s">
        <v>223</v>
      </c>
      <c r="C1049" s="2" t="s">
        <v>300</v>
      </c>
      <c r="D1049" s="2" t="s">
        <v>225</v>
      </c>
      <c r="E1049" s="2" t="s">
        <v>226</v>
      </c>
      <c r="F1049" s="2" t="s">
        <v>5585</v>
      </c>
      <c r="G1049" s="2" t="s">
        <v>5585</v>
      </c>
      <c r="H1049" s="2" t="s">
        <v>5585</v>
      </c>
      <c r="I1049" s="2" t="s">
        <v>5586</v>
      </c>
      <c r="J1049" s="2" t="s">
        <v>294</v>
      </c>
      <c r="K1049" s="2" t="s">
        <v>460</v>
      </c>
      <c r="L1049" s="3">
        <v>24.14</v>
      </c>
      <c r="M1049" s="3">
        <v>25.35</v>
      </c>
      <c r="N1049" s="3">
        <v>44.99</v>
      </c>
      <c r="O1049" s="2" t="s">
        <v>240</v>
      </c>
      <c r="P1049" s="2" t="s">
        <v>266</v>
      </c>
      <c r="Q1049" s="2" t="s">
        <v>234</v>
      </c>
      <c r="R1049" s="2" t="s">
        <v>228</v>
      </c>
      <c r="S1049" s="2" t="s">
        <v>5587</v>
      </c>
      <c r="T1049" s="2" t="s">
        <v>350</v>
      </c>
      <c r="U1049" s="2" t="s">
        <v>416</v>
      </c>
      <c r="V1049" s="2" t="s">
        <v>236</v>
      </c>
      <c r="W1049" s="2" t="s">
        <v>269</v>
      </c>
      <c r="X1049" s="2" t="s">
        <v>228</v>
      </c>
      <c r="Y1049" s="2" t="s">
        <v>3465</v>
      </c>
      <c r="Z1049" s="4">
        <v>309</v>
      </c>
      <c r="AA1049" s="4">
        <f>=ROUNDDOWN(25.75,0)</f>
      </c>
      <c r="AB1049" s="5">
        <v>12</v>
      </c>
      <c r="AC1049" s="2" t="s">
        <v>1191</v>
      </c>
      <c r="AD1049" s="4">
        <v>60</v>
      </c>
      <c r="AE1049" s="4">
        <v>240</v>
      </c>
      <c r="AF1049" s="6">
        <v>65</v>
      </c>
      <c r="AG1049" s="6"/>
      <c r="AH1049" s="7">
        <v>1</v>
      </c>
      <c r="AI1049" s="4"/>
      <c r="AJ1049" s="4">
        <f>=ROUNDDOWN({0},0)</f>
      </c>
      <c r="AK1049" s="5"/>
      <c r="AL1049" s="2" t="s">
        <v>228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228</v>
      </c>
      <c r="AW1049" s="8" t="s">
        <v>228</v>
      </c>
      <c r="AX1049" s="4" t="s">
        <v>228</v>
      </c>
      <c r="AY1049" s="8" t="s">
        <v>228</v>
      </c>
      <c r="AZ1049" s="7" t="s">
        <v>228</v>
      </c>
      <c r="BA1049" s="7" t="s">
        <v>228</v>
      </c>
      <c r="BB1049" s="7"/>
      <c r="BC1049" s="4" t="s">
        <v>228</v>
      </c>
      <c r="BD1049" s="8" t="s">
        <v>228</v>
      </c>
      <c r="BE1049" s="4" t="s">
        <v>228</v>
      </c>
      <c r="BF1049" s="8" t="s">
        <v>228</v>
      </c>
      <c r="BG1049" s="7" t="s">
        <v>228</v>
      </c>
      <c r="BH1049" s="7" t="s">
        <v>228</v>
      </c>
      <c r="BI1049" s="7"/>
      <c r="BJ1049" s="4">
        <v>32</v>
      </c>
      <c r="BK1049" s="8">
        <v>713.85</v>
      </c>
      <c r="BL1049" s="2" t="s">
        <v>5590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5591</v>
      </c>
      <c r="BV1049" s="2" t="s">
        <v>228</v>
      </c>
      <c r="BW1049" s="2" t="s">
        <v>228</v>
      </c>
      <c r="BX1049" s="2" t="s">
        <v>273</v>
      </c>
      <c r="BY1049" s="2" t="s">
        <v>274</v>
      </c>
      <c r="BZ1049" s="2" t="s">
        <v>240</v>
      </c>
      <c r="CA1049" s="2" t="s">
        <v>2370</v>
      </c>
      <c r="CB1049" s="2" t="s">
        <v>1109</v>
      </c>
      <c r="CC1049" s="2" t="s">
        <v>241</v>
      </c>
      <c r="CD1049" s="2" t="s">
        <v>228</v>
      </c>
      <c r="CE1049" s="4">
        <v>309</v>
      </c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>
        <v>60</v>
      </c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>
        <v>180</v>
      </c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</row>
    <row r="1050">
      <c r="A1050" s="2" t="s">
        <v>5592</v>
      </c>
      <c r="B1050" s="2" t="s">
        <v>223</v>
      </c>
      <c r="C1050" s="2" t="s">
        <v>300</v>
      </c>
      <c r="D1050" s="2" t="s">
        <v>225</v>
      </c>
      <c r="E1050" s="2" t="s">
        <v>226</v>
      </c>
      <c r="F1050" s="2" t="s">
        <v>5585</v>
      </c>
      <c r="G1050" s="2" t="s">
        <v>5585</v>
      </c>
      <c r="H1050" s="2" t="s">
        <v>5585</v>
      </c>
      <c r="I1050" s="2" t="s">
        <v>5586</v>
      </c>
      <c r="J1050" s="2" t="s">
        <v>264</v>
      </c>
      <c r="K1050" s="2" t="s">
        <v>249</v>
      </c>
      <c r="L1050" s="3">
        <v>18.39</v>
      </c>
      <c r="M1050" s="3">
        <v>19.31</v>
      </c>
      <c r="N1050" s="3">
        <v>34.99</v>
      </c>
      <c r="O1050" s="2" t="s">
        <v>240</v>
      </c>
      <c r="P1050" s="2" t="s">
        <v>266</v>
      </c>
      <c r="Q1050" s="2" t="s">
        <v>234</v>
      </c>
      <c r="R1050" s="2" t="s">
        <v>228</v>
      </c>
      <c r="S1050" s="2" t="s">
        <v>5593</v>
      </c>
      <c r="T1050" s="2" t="s">
        <v>350</v>
      </c>
      <c r="U1050" s="2" t="s">
        <v>228</v>
      </c>
      <c r="V1050" s="2" t="s">
        <v>236</v>
      </c>
      <c r="W1050" s="2" t="s">
        <v>269</v>
      </c>
      <c r="X1050" s="2" t="s">
        <v>228</v>
      </c>
      <c r="Y1050" s="2" t="s">
        <v>2785</v>
      </c>
      <c r="Z1050" s="4">
        <v>283</v>
      </c>
      <c r="AA1050" s="4">
        <f>=ROUNDDOWN(10.8846153846154,0)</f>
      </c>
      <c r="AB1050" s="5">
        <v>26</v>
      </c>
      <c r="AC1050" s="2" t="s">
        <v>3815</v>
      </c>
      <c r="AD1050" s="4">
        <v>280</v>
      </c>
      <c r="AE1050" s="4">
        <v>780</v>
      </c>
      <c r="AF1050" s="6">
        <v>65</v>
      </c>
      <c r="AG1050" s="6"/>
      <c r="AH1050" s="7">
        <v>1</v>
      </c>
      <c r="AI1050" s="4"/>
      <c r="AJ1050" s="4">
        <f>=ROUNDDOWN({0},0)</f>
      </c>
      <c r="AK1050" s="5"/>
      <c r="AL1050" s="2" t="s">
        <v>228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228</v>
      </c>
      <c r="AW1050" s="8" t="s">
        <v>228</v>
      </c>
      <c r="AX1050" s="4" t="s">
        <v>228</v>
      </c>
      <c r="AY1050" s="8" t="s">
        <v>228</v>
      </c>
      <c r="AZ1050" s="7" t="s">
        <v>228</v>
      </c>
      <c r="BA1050" s="7" t="s">
        <v>228</v>
      </c>
      <c r="BB1050" s="7"/>
      <c r="BC1050" s="4" t="s">
        <v>228</v>
      </c>
      <c r="BD1050" s="8" t="s">
        <v>228</v>
      </c>
      <c r="BE1050" s="4" t="s">
        <v>228</v>
      </c>
      <c r="BF1050" s="8" t="s">
        <v>228</v>
      </c>
      <c r="BG1050" s="7" t="s">
        <v>228</v>
      </c>
      <c r="BH1050" s="7" t="s">
        <v>228</v>
      </c>
      <c r="BI1050" s="7"/>
      <c r="BJ1050" s="4">
        <v>64</v>
      </c>
      <c r="BK1050" s="8">
        <v>964.26</v>
      </c>
      <c r="BL1050" s="2" t="s">
        <v>5594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5595</v>
      </c>
      <c r="BV1050" s="2" t="s">
        <v>228</v>
      </c>
      <c r="BW1050" s="2" t="s">
        <v>228</v>
      </c>
      <c r="BX1050" s="2" t="s">
        <v>273</v>
      </c>
      <c r="BY1050" s="2" t="s">
        <v>274</v>
      </c>
      <c r="BZ1050" s="2" t="s">
        <v>240</v>
      </c>
      <c r="CA1050" s="2" t="s">
        <v>275</v>
      </c>
      <c r="CB1050" s="2" t="s">
        <v>5596</v>
      </c>
      <c r="CC1050" s="2" t="s">
        <v>241</v>
      </c>
      <c r="CD1050" s="2" t="s">
        <v>228</v>
      </c>
      <c r="CE1050" s="4">
        <v>283</v>
      </c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>
        <v>280</v>
      </c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>
        <v>320</v>
      </c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>
        <v>180</v>
      </c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</row>
    <row r="1051">
      <c r="A1051" s="2" t="s">
        <v>5597</v>
      </c>
      <c r="B1051" s="2" t="s">
        <v>223</v>
      </c>
      <c r="C1051" s="2" t="s">
        <v>300</v>
      </c>
      <c r="D1051" s="2" t="s">
        <v>225</v>
      </c>
      <c r="E1051" s="2" t="s">
        <v>226</v>
      </c>
      <c r="F1051" s="2" t="s">
        <v>5585</v>
      </c>
      <c r="G1051" s="2" t="s">
        <v>5585</v>
      </c>
      <c r="H1051" s="2" t="s">
        <v>5585</v>
      </c>
      <c r="I1051" s="2" t="s">
        <v>5586</v>
      </c>
      <c r="J1051" s="2" t="s">
        <v>294</v>
      </c>
      <c r="K1051" s="2" t="s">
        <v>249</v>
      </c>
      <c r="L1051" s="3">
        <v>24.14</v>
      </c>
      <c r="M1051" s="3">
        <v>25.35</v>
      </c>
      <c r="N1051" s="3">
        <v>44.99</v>
      </c>
      <c r="O1051" s="2" t="s">
        <v>240</v>
      </c>
      <c r="P1051" s="2" t="s">
        <v>266</v>
      </c>
      <c r="Q1051" s="2" t="s">
        <v>234</v>
      </c>
      <c r="R1051" s="2" t="s">
        <v>228</v>
      </c>
      <c r="S1051" s="2" t="s">
        <v>5593</v>
      </c>
      <c r="T1051" s="2" t="s">
        <v>350</v>
      </c>
      <c r="U1051" s="2" t="s">
        <v>228</v>
      </c>
      <c r="V1051" s="2" t="s">
        <v>236</v>
      </c>
      <c r="W1051" s="2" t="s">
        <v>269</v>
      </c>
      <c r="X1051" s="2" t="s">
        <v>228</v>
      </c>
      <c r="Y1051" s="2" t="s">
        <v>270</v>
      </c>
      <c r="Z1051" s="4">
        <v>178</v>
      </c>
      <c r="AA1051" s="4">
        <f>=ROUNDDOWN(8.47619047619048,0)</f>
      </c>
      <c r="AB1051" s="5">
        <v>21</v>
      </c>
      <c r="AC1051" s="2" t="s">
        <v>3815</v>
      </c>
      <c r="AD1051" s="4">
        <v>550</v>
      </c>
      <c r="AE1051" s="4">
        <v>1200</v>
      </c>
      <c r="AF1051" s="6">
        <v>65</v>
      </c>
      <c r="AG1051" s="6"/>
      <c r="AH1051" s="7">
        <v>1</v>
      </c>
      <c r="AI1051" s="4"/>
      <c r="AJ1051" s="4">
        <f>=ROUNDDOWN({0},0)</f>
      </c>
      <c r="AK1051" s="5"/>
      <c r="AL1051" s="2" t="s">
        <v>228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228</v>
      </c>
      <c r="AW1051" s="8" t="s">
        <v>228</v>
      </c>
      <c r="AX1051" s="4" t="s">
        <v>228</v>
      </c>
      <c r="AY1051" s="8" t="s">
        <v>228</v>
      </c>
      <c r="AZ1051" s="7" t="s">
        <v>228</v>
      </c>
      <c r="BA1051" s="7" t="s">
        <v>228</v>
      </c>
      <c r="BB1051" s="7"/>
      <c r="BC1051" s="4" t="s">
        <v>228</v>
      </c>
      <c r="BD1051" s="8" t="s">
        <v>228</v>
      </c>
      <c r="BE1051" s="4" t="s">
        <v>228</v>
      </c>
      <c r="BF1051" s="8" t="s">
        <v>228</v>
      </c>
      <c r="BG1051" s="7" t="s">
        <v>228</v>
      </c>
      <c r="BH1051" s="7" t="s">
        <v>228</v>
      </c>
      <c r="BI1051" s="7"/>
      <c r="BJ1051" s="4">
        <v>52</v>
      </c>
      <c r="BK1051" s="8">
        <v>1146.56</v>
      </c>
      <c r="BL1051" s="2" t="s">
        <v>5598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5599</v>
      </c>
      <c r="BV1051" s="2" t="s">
        <v>228</v>
      </c>
      <c r="BW1051" s="2" t="s">
        <v>228</v>
      </c>
      <c r="BX1051" s="2" t="s">
        <v>273</v>
      </c>
      <c r="BY1051" s="2" t="s">
        <v>274</v>
      </c>
      <c r="BZ1051" s="2" t="s">
        <v>240</v>
      </c>
      <c r="CA1051" s="2" t="s">
        <v>275</v>
      </c>
      <c r="CB1051" s="2" t="s">
        <v>5600</v>
      </c>
      <c r="CC1051" s="2" t="s">
        <v>241</v>
      </c>
      <c r="CD1051" s="2" t="s">
        <v>228</v>
      </c>
      <c r="CE1051" s="4">
        <v>178</v>
      </c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>
        <v>550</v>
      </c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>
        <v>200</v>
      </c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>
        <v>250</v>
      </c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>
        <v>200</v>
      </c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</row>
    <row r="1052">
      <c r="A1052" s="2" t="s">
        <v>5601</v>
      </c>
      <c r="B1052" s="2" t="s">
        <v>834</v>
      </c>
      <c r="C1052" s="2" t="s">
        <v>835</v>
      </c>
      <c r="D1052" s="2" t="s">
        <v>1101</v>
      </c>
      <c r="E1052" s="2" t="s">
        <v>1102</v>
      </c>
      <c r="F1052" s="2" t="s">
        <v>5602</v>
      </c>
      <c r="G1052" s="2" t="s">
        <v>5602</v>
      </c>
      <c r="H1052" s="2" t="s">
        <v>5602</v>
      </c>
      <c r="I1052" s="2" t="s">
        <v>5603</v>
      </c>
      <c r="J1052" s="2" t="s">
        <v>840</v>
      </c>
      <c r="K1052" s="2" t="s">
        <v>5604</v>
      </c>
      <c r="L1052" s="3">
        <v>108.45</v>
      </c>
      <c r="M1052" s="3">
        <v>113.87</v>
      </c>
      <c r="N1052" s="3">
        <v>249.99</v>
      </c>
      <c r="O1052" s="2" t="s">
        <v>240</v>
      </c>
      <c r="P1052" s="2" t="s">
        <v>266</v>
      </c>
      <c r="Q1052" s="2" t="s">
        <v>234</v>
      </c>
      <c r="R1052" s="2" t="s">
        <v>228</v>
      </c>
      <c r="S1052" s="2" t="s">
        <v>228</v>
      </c>
      <c r="T1052" s="2" t="s">
        <v>228</v>
      </c>
      <c r="U1052" s="2" t="s">
        <v>416</v>
      </c>
      <c r="V1052" s="2" t="s">
        <v>842</v>
      </c>
      <c r="W1052" s="2" t="s">
        <v>463</v>
      </c>
      <c r="X1052" s="2" t="s">
        <v>228</v>
      </c>
      <c r="Y1052" s="2" t="s">
        <v>5605</v>
      </c>
      <c r="Z1052" s="4">
        <v>53</v>
      </c>
      <c r="AA1052" s="4">
        <f>=ROUNDDOWN(53,0)</f>
      </c>
      <c r="AB1052" s="5">
        <v>1</v>
      </c>
      <c r="AC1052" s="2" t="s">
        <v>228</v>
      </c>
      <c r="AD1052" s="4"/>
      <c r="AE1052" s="4"/>
      <c r="AF1052" s="6">
        <v>65</v>
      </c>
      <c r="AG1052" s="6"/>
      <c r="AH1052" s="7">
        <v>1</v>
      </c>
      <c r="AI1052" s="4"/>
      <c r="AJ1052" s="4">
        <f>=ROUNDDOWN({0},0)</f>
      </c>
      <c r="AK1052" s="5"/>
      <c r="AL1052" s="2" t="s">
        <v>228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/>
      <c r="AW1052" s="8"/>
      <c r="AX1052" s="4"/>
      <c r="AY1052" s="8"/>
      <c r="AZ1052" s="7"/>
      <c r="BA1052" s="7"/>
      <c r="BB1052" s="7"/>
      <c r="BC1052" s="4"/>
      <c r="BD1052" s="8"/>
      <c r="BE1052" s="4"/>
      <c r="BF1052" s="8"/>
      <c r="BG1052" s="7"/>
      <c r="BH1052" s="7"/>
      <c r="BI1052" s="7"/>
      <c r="BJ1052" s="4">
        <v>2</v>
      </c>
      <c r="BK1052" s="8">
        <v>227.74</v>
      </c>
      <c r="BL1052" s="2" t="s">
        <v>5606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5607</v>
      </c>
      <c r="BV1052" s="2" t="s">
        <v>228</v>
      </c>
      <c r="BW1052" s="2" t="s">
        <v>228</v>
      </c>
      <c r="BX1052" s="2" t="s">
        <v>273</v>
      </c>
      <c r="BY1052" s="2" t="s">
        <v>274</v>
      </c>
      <c r="BZ1052" s="2" t="s">
        <v>240</v>
      </c>
      <c r="CA1052" s="2" t="s">
        <v>5608</v>
      </c>
      <c r="CB1052" s="2" t="s">
        <v>5609</v>
      </c>
      <c r="CC1052" s="2" t="s">
        <v>241</v>
      </c>
      <c r="CD1052" s="2" t="s">
        <v>228</v>
      </c>
      <c r="CE1052" s="4"/>
      <c r="CF1052" s="4">
        <v>53</v>
      </c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</row>
    <row r="1053">
      <c r="A1053" s="2" t="s">
        <v>5610</v>
      </c>
      <c r="B1053" s="2" t="s">
        <v>970</v>
      </c>
      <c r="C1053" s="2" t="s">
        <v>300</v>
      </c>
      <c r="D1053" s="2" t="s">
        <v>971</v>
      </c>
      <c r="E1053" s="2" t="s">
        <v>3486</v>
      </c>
      <c r="F1053" s="2" t="s">
        <v>5611</v>
      </c>
      <c r="G1053" s="2" t="s">
        <v>5612</v>
      </c>
      <c r="H1053" s="2" t="s">
        <v>5613</v>
      </c>
      <c r="I1053" s="2" t="s">
        <v>5614</v>
      </c>
      <c r="J1053" s="2" t="s">
        <v>5615</v>
      </c>
      <c r="K1053" s="2" t="s">
        <v>265</v>
      </c>
      <c r="L1053" s="3">
        <v>23.75</v>
      </c>
      <c r="M1053" s="3">
        <v>24.94</v>
      </c>
      <c r="N1053" s="3">
        <v>53.99</v>
      </c>
      <c r="O1053" s="2" t="s">
        <v>240</v>
      </c>
      <c r="P1053" s="2" t="s">
        <v>266</v>
      </c>
      <c r="Q1053" s="2" t="s">
        <v>234</v>
      </c>
      <c r="R1053" s="2" t="s">
        <v>228</v>
      </c>
      <c r="S1053" s="2" t="s">
        <v>5616</v>
      </c>
      <c r="T1053" s="2" t="s">
        <v>415</v>
      </c>
      <c r="U1053" s="2" t="s">
        <v>416</v>
      </c>
      <c r="V1053" s="2" t="s">
        <v>236</v>
      </c>
      <c r="W1053" s="2" t="s">
        <v>269</v>
      </c>
      <c r="X1053" s="2" t="s">
        <v>228</v>
      </c>
      <c r="Y1053" s="2" t="s">
        <v>5617</v>
      </c>
      <c r="Z1053" s="4">
        <v>145</v>
      </c>
      <c r="AA1053" s="4">
        <f>=ROUNDDOWN(29,0)</f>
      </c>
      <c r="AB1053" s="5">
        <v>5</v>
      </c>
      <c r="AC1053" s="2" t="s">
        <v>159</v>
      </c>
      <c r="AD1053" s="4">
        <v>60</v>
      </c>
      <c r="AE1053" s="4">
        <v>124</v>
      </c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228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228</v>
      </c>
      <c r="AW1053" s="8" t="s">
        <v>228</v>
      </c>
      <c r="AX1053" s="4" t="s">
        <v>228</v>
      </c>
      <c r="AY1053" s="8" t="s">
        <v>228</v>
      </c>
      <c r="AZ1053" s="7" t="s">
        <v>228</v>
      </c>
      <c r="BA1053" s="7" t="s">
        <v>228</v>
      </c>
      <c r="BB1053" s="7"/>
      <c r="BC1053" s="4" t="s">
        <v>228</v>
      </c>
      <c r="BD1053" s="8" t="s">
        <v>228</v>
      </c>
      <c r="BE1053" s="4" t="s">
        <v>228</v>
      </c>
      <c r="BF1053" s="8" t="s">
        <v>228</v>
      </c>
      <c r="BG1053" s="7" t="s">
        <v>228</v>
      </c>
      <c r="BH1053" s="7" t="s">
        <v>228</v>
      </c>
      <c r="BI1053" s="7"/>
      <c r="BJ1053" s="4">
        <v>17</v>
      </c>
      <c r="BK1053" s="8">
        <v>460.76</v>
      </c>
      <c r="BL1053" s="2" t="s">
        <v>5618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5619</v>
      </c>
      <c r="BV1053" s="2" t="s">
        <v>228</v>
      </c>
      <c r="BW1053" s="2" t="s">
        <v>228</v>
      </c>
      <c r="BX1053" s="2" t="s">
        <v>5060</v>
      </c>
      <c r="BY1053" s="2" t="s">
        <v>274</v>
      </c>
      <c r="BZ1053" s="2" t="s">
        <v>240</v>
      </c>
      <c r="CA1053" s="2" t="s">
        <v>4953</v>
      </c>
      <c r="CB1053" s="2" t="s">
        <v>3382</v>
      </c>
      <c r="CC1053" s="2" t="s">
        <v>241</v>
      </c>
      <c r="CD1053" s="2" t="s">
        <v>228</v>
      </c>
      <c r="CE1053" s="4">
        <v>91</v>
      </c>
      <c r="CF1053" s="4"/>
      <c r="CG1053" s="4"/>
      <c r="CH1053" s="4"/>
      <c r="CI1053" s="4"/>
      <c r="CJ1053" s="4"/>
      <c r="CK1053" s="4">
        <v>54</v>
      </c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>
        <v>60</v>
      </c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>
        <v>64</v>
      </c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</row>
    <row r="1054">
      <c r="A1054" s="2" t="s">
        <v>5620</v>
      </c>
      <c r="B1054" s="2" t="s">
        <v>970</v>
      </c>
      <c r="C1054" s="2" t="s">
        <v>300</v>
      </c>
      <c r="D1054" s="2" t="s">
        <v>971</v>
      </c>
      <c r="E1054" s="2" t="s">
        <v>3486</v>
      </c>
      <c r="F1054" s="2" t="s">
        <v>5611</v>
      </c>
      <c r="G1054" s="2" t="s">
        <v>5612</v>
      </c>
      <c r="H1054" s="2" t="s">
        <v>5613</v>
      </c>
      <c r="I1054" s="2" t="s">
        <v>5614</v>
      </c>
      <c r="J1054" s="2" t="s">
        <v>5621</v>
      </c>
      <c r="K1054" s="2" t="s">
        <v>265</v>
      </c>
      <c r="L1054" s="3">
        <v>28.5</v>
      </c>
      <c r="M1054" s="3">
        <v>29.93</v>
      </c>
      <c r="N1054" s="3">
        <v>62.99</v>
      </c>
      <c r="O1054" s="2" t="s">
        <v>240</v>
      </c>
      <c r="P1054" s="2" t="s">
        <v>266</v>
      </c>
      <c r="Q1054" s="2" t="s">
        <v>234</v>
      </c>
      <c r="R1054" s="2" t="s">
        <v>228</v>
      </c>
      <c r="S1054" s="2" t="s">
        <v>5616</v>
      </c>
      <c r="T1054" s="2" t="s">
        <v>415</v>
      </c>
      <c r="U1054" s="2" t="s">
        <v>416</v>
      </c>
      <c r="V1054" s="2" t="s">
        <v>236</v>
      </c>
      <c r="W1054" s="2" t="s">
        <v>269</v>
      </c>
      <c r="X1054" s="2" t="s">
        <v>228</v>
      </c>
      <c r="Y1054" s="2" t="s">
        <v>5617</v>
      </c>
      <c r="Z1054" s="4">
        <v>116</v>
      </c>
      <c r="AA1054" s="4">
        <f>=ROUNDDOWN(16.5714285714286,0)</f>
      </c>
      <c r="AB1054" s="5">
        <v>7</v>
      </c>
      <c r="AC1054" s="2" t="s">
        <v>159</v>
      </c>
      <c r="AD1054" s="4">
        <v>78</v>
      </c>
      <c r="AE1054" s="4">
        <v>146</v>
      </c>
      <c r="AF1054" s="6">
        <v>65</v>
      </c>
      <c r="AG1054" s="6"/>
      <c r="AH1054" s="7">
        <v>1</v>
      </c>
      <c r="AI1054" s="4"/>
      <c r="AJ1054" s="4">
        <f>=ROUNDDOWN({0},0)</f>
      </c>
      <c r="AK1054" s="5"/>
      <c r="AL1054" s="2" t="s">
        <v>228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228</v>
      </c>
      <c r="AW1054" s="8" t="s">
        <v>228</v>
      </c>
      <c r="AX1054" s="4" t="s">
        <v>228</v>
      </c>
      <c r="AY1054" s="8" t="s">
        <v>228</v>
      </c>
      <c r="AZ1054" s="7" t="s">
        <v>228</v>
      </c>
      <c r="BA1054" s="7" t="s">
        <v>228</v>
      </c>
      <c r="BB1054" s="7"/>
      <c r="BC1054" s="4" t="s">
        <v>228</v>
      </c>
      <c r="BD1054" s="8" t="s">
        <v>228</v>
      </c>
      <c r="BE1054" s="4" t="s">
        <v>228</v>
      </c>
      <c r="BF1054" s="8" t="s">
        <v>228</v>
      </c>
      <c r="BG1054" s="7" t="s">
        <v>228</v>
      </c>
      <c r="BH1054" s="7" t="s">
        <v>228</v>
      </c>
      <c r="BI1054" s="7"/>
      <c r="BJ1054" s="4">
        <v>13</v>
      </c>
      <c r="BK1054" s="8">
        <v>423.68</v>
      </c>
      <c r="BL1054" s="2" t="s">
        <v>5622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5623</v>
      </c>
      <c r="BV1054" s="2" t="s">
        <v>228</v>
      </c>
      <c r="BW1054" s="2" t="s">
        <v>228</v>
      </c>
      <c r="BX1054" s="2" t="s">
        <v>5060</v>
      </c>
      <c r="BY1054" s="2" t="s">
        <v>274</v>
      </c>
      <c r="BZ1054" s="2" t="s">
        <v>240</v>
      </c>
      <c r="CA1054" s="2" t="s">
        <v>4953</v>
      </c>
      <c r="CB1054" s="2" t="s">
        <v>2037</v>
      </c>
      <c r="CC1054" s="2" t="s">
        <v>241</v>
      </c>
      <c r="CD1054" s="2" t="s">
        <v>228</v>
      </c>
      <c r="CE1054" s="4">
        <v>62</v>
      </c>
      <c r="CF1054" s="4"/>
      <c r="CG1054" s="4"/>
      <c r="CH1054" s="4"/>
      <c r="CI1054" s="4"/>
      <c r="CJ1054" s="4"/>
      <c r="CK1054" s="4">
        <v>54</v>
      </c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>
        <v>78</v>
      </c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>
        <v>68</v>
      </c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</row>
    <row r="1055">
      <c r="A1055" s="2" t="s">
        <v>5624</v>
      </c>
      <c r="B1055" s="2" t="s">
        <v>970</v>
      </c>
      <c r="C1055" s="2" t="s">
        <v>300</v>
      </c>
      <c r="D1055" s="2" t="s">
        <v>971</v>
      </c>
      <c r="E1055" s="2" t="s">
        <v>3486</v>
      </c>
      <c r="F1055" s="2" t="s">
        <v>5611</v>
      </c>
      <c r="G1055" s="2" t="s">
        <v>5612</v>
      </c>
      <c r="H1055" s="2" t="s">
        <v>5613</v>
      </c>
      <c r="I1055" s="2" t="s">
        <v>5614</v>
      </c>
      <c r="J1055" s="2" t="s">
        <v>3516</v>
      </c>
      <c r="K1055" s="2" t="s">
        <v>265</v>
      </c>
      <c r="L1055" s="3">
        <v>34.5</v>
      </c>
      <c r="M1055" s="3">
        <v>36.22</v>
      </c>
      <c r="N1055" s="3">
        <v>74.99</v>
      </c>
      <c r="O1055" s="2" t="s">
        <v>240</v>
      </c>
      <c r="P1055" s="2" t="s">
        <v>266</v>
      </c>
      <c r="Q1055" s="2" t="s">
        <v>234</v>
      </c>
      <c r="R1055" s="2" t="s">
        <v>228</v>
      </c>
      <c r="S1055" s="2" t="s">
        <v>5616</v>
      </c>
      <c r="T1055" s="2" t="s">
        <v>415</v>
      </c>
      <c r="U1055" s="2" t="s">
        <v>416</v>
      </c>
      <c r="V1055" s="2" t="s">
        <v>236</v>
      </c>
      <c r="W1055" s="2" t="s">
        <v>269</v>
      </c>
      <c r="X1055" s="2" t="s">
        <v>228</v>
      </c>
      <c r="Y1055" s="2" t="s">
        <v>761</v>
      </c>
      <c r="Z1055" s="4">
        <v>357</v>
      </c>
      <c r="AA1055" s="4">
        <f>=ROUNDDOWN(27.4615384615385,0)</f>
      </c>
      <c r="AB1055" s="5">
        <v>13</v>
      </c>
      <c r="AC1055" s="2" t="s">
        <v>192</v>
      </c>
      <c r="AD1055" s="4">
        <v>160</v>
      </c>
      <c r="AE1055" s="4">
        <v>160</v>
      </c>
      <c r="AF1055" s="6">
        <v>65</v>
      </c>
      <c r="AG1055" s="6"/>
      <c r="AH1055" s="7">
        <v>0.7419</v>
      </c>
      <c r="AI1055" s="4"/>
      <c r="AJ1055" s="4">
        <f>=ROUNDDOWN({0},0)</f>
      </c>
      <c r="AK1055" s="5"/>
      <c r="AL1055" s="2" t="s">
        <v>228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228</v>
      </c>
      <c r="AW1055" s="8" t="s">
        <v>228</v>
      </c>
      <c r="AX1055" s="4" t="s">
        <v>228</v>
      </c>
      <c r="AY1055" s="8" t="s">
        <v>228</v>
      </c>
      <c r="AZ1055" s="7" t="s">
        <v>228</v>
      </c>
      <c r="BA1055" s="7" t="s">
        <v>228</v>
      </c>
      <c r="BB1055" s="7"/>
      <c r="BC1055" s="4" t="s">
        <v>228</v>
      </c>
      <c r="BD1055" s="8" t="s">
        <v>228</v>
      </c>
      <c r="BE1055" s="4" t="s">
        <v>228</v>
      </c>
      <c r="BF1055" s="8" t="s">
        <v>228</v>
      </c>
      <c r="BG1055" s="7" t="s">
        <v>228</v>
      </c>
      <c r="BH1055" s="7" t="s">
        <v>228</v>
      </c>
      <c r="BI1055" s="7"/>
      <c r="BJ1055" s="4">
        <v>51</v>
      </c>
      <c r="BK1055" s="8">
        <v>1984.77</v>
      </c>
      <c r="BL1055" s="2" t="s">
        <v>5625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5626</v>
      </c>
      <c r="BV1055" s="2" t="s">
        <v>228</v>
      </c>
      <c r="BW1055" s="2" t="s">
        <v>228</v>
      </c>
      <c r="BX1055" s="2" t="s">
        <v>5060</v>
      </c>
      <c r="BY1055" s="2" t="s">
        <v>274</v>
      </c>
      <c r="BZ1055" s="2" t="s">
        <v>240</v>
      </c>
      <c r="CA1055" s="2" t="s">
        <v>761</v>
      </c>
      <c r="CB1055" s="2" t="s">
        <v>5627</v>
      </c>
      <c r="CC1055" s="2" t="s">
        <v>241</v>
      </c>
      <c r="CD1055" s="2" t="s">
        <v>228</v>
      </c>
      <c r="CE1055" s="4">
        <v>105</v>
      </c>
      <c r="CF1055" s="4"/>
      <c r="CG1055" s="4"/>
      <c r="CH1055" s="4"/>
      <c r="CI1055" s="4"/>
      <c r="CJ1055" s="4"/>
      <c r="CK1055" s="4">
        <v>252</v>
      </c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>
        <v>160</v>
      </c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</row>
    <row r="1056">
      <c r="A1056" s="2" t="s">
        <v>5628</v>
      </c>
      <c r="B1056" s="2" t="s">
        <v>970</v>
      </c>
      <c r="C1056" s="2" t="s">
        <v>300</v>
      </c>
      <c r="D1056" s="2" t="s">
        <v>971</v>
      </c>
      <c r="E1056" s="2" t="s">
        <v>3486</v>
      </c>
      <c r="F1056" s="2" t="s">
        <v>5611</v>
      </c>
      <c r="G1056" s="2" t="s">
        <v>5612</v>
      </c>
      <c r="H1056" s="2" t="s">
        <v>5613</v>
      </c>
      <c r="I1056" s="2" t="s">
        <v>5614</v>
      </c>
      <c r="J1056" s="2" t="s">
        <v>3496</v>
      </c>
      <c r="K1056" s="2" t="s">
        <v>265</v>
      </c>
      <c r="L1056" s="3">
        <v>38.4</v>
      </c>
      <c r="M1056" s="3">
        <v>40.32</v>
      </c>
      <c r="N1056" s="3">
        <v>79.99</v>
      </c>
      <c r="O1056" s="2" t="s">
        <v>240</v>
      </c>
      <c r="P1056" s="2" t="s">
        <v>266</v>
      </c>
      <c r="Q1056" s="2" t="s">
        <v>234</v>
      </c>
      <c r="R1056" s="2" t="s">
        <v>228</v>
      </c>
      <c r="S1056" s="2" t="s">
        <v>5616</v>
      </c>
      <c r="T1056" s="2" t="s">
        <v>415</v>
      </c>
      <c r="U1056" s="2" t="s">
        <v>416</v>
      </c>
      <c r="V1056" s="2" t="s">
        <v>236</v>
      </c>
      <c r="W1056" s="2" t="s">
        <v>269</v>
      </c>
      <c r="X1056" s="2" t="s">
        <v>228</v>
      </c>
      <c r="Y1056" s="2" t="s">
        <v>761</v>
      </c>
      <c r="Z1056" s="4">
        <v>212</v>
      </c>
      <c r="AA1056" s="4">
        <f>=ROUNDDOWN(30.2857142857143,0)</f>
      </c>
      <c r="AB1056" s="5">
        <v>7</v>
      </c>
      <c r="AC1056" s="2" t="s">
        <v>159</v>
      </c>
      <c r="AD1056" s="4">
        <v>108</v>
      </c>
      <c r="AE1056" s="4">
        <v>192</v>
      </c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228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228</v>
      </c>
      <c r="AW1056" s="8" t="s">
        <v>228</v>
      </c>
      <c r="AX1056" s="4" t="s">
        <v>228</v>
      </c>
      <c r="AY1056" s="8" t="s">
        <v>228</v>
      </c>
      <c r="AZ1056" s="7" t="s">
        <v>228</v>
      </c>
      <c r="BA1056" s="7" t="s">
        <v>228</v>
      </c>
      <c r="BB1056" s="7"/>
      <c r="BC1056" s="4" t="s">
        <v>228</v>
      </c>
      <c r="BD1056" s="8" t="s">
        <v>228</v>
      </c>
      <c r="BE1056" s="4" t="s">
        <v>228</v>
      </c>
      <c r="BF1056" s="8" t="s">
        <v>228</v>
      </c>
      <c r="BG1056" s="7" t="s">
        <v>228</v>
      </c>
      <c r="BH1056" s="7" t="s">
        <v>228</v>
      </c>
      <c r="BI1056" s="7"/>
      <c r="BJ1056" s="4">
        <v>13</v>
      </c>
      <c r="BK1056" s="8">
        <v>547.82</v>
      </c>
      <c r="BL1056" s="2" t="s">
        <v>3532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5629</v>
      </c>
      <c r="BV1056" s="2" t="s">
        <v>228</v>
      </c>
      <c r="BW1056" s="2" t="s">
        <v>228</v>
      </c>
      <c r="BX1056" s="2" t="s">
        <v>5060</v>
      </c>
      <c r="BY1056" s="2" t="s">
        <v>274</v>
      </c>
      <c r="BZ1056" s="2" t="s">
        <v>240</v>
      </c>
      <c r="CA1056" s="2" t="s">
        <v>761</v>
      </c>
      <c r="CB1056" s="2" t="s">
        <v>5630</v>
      </c>
      <c r="CC1056" s="2" t="s">
        <v>241</v>
      </c>
      <c r="CD1056" s="2" t="s">
        <v>228</v>
      </c>
      <c r="CE1056" s="4">
        <v>86</v>
      </c>
      <c r="CF1056" s="4"/>
      <c r="CG1056" s="4"/>
      <c r="CH1056" s="4"/>
      <c r="CI1056" s="4"/>
      <c r="CJ1056" s="4"/>
      <c r="CK1056" s="4">
        <v>126</v>
      </c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>
        <v>108</v>
      </c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>
        <v>84</v>
      </c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</row>
    <row r="1057">
      <c r="A1057" s="2" t="s">
        <v>5631</v>
      </c>
      <c r="B1057" s="2" t="s">
        <v>970</v>
      </c>
      <c r="C1057" s="2" t="s">
        <v>300</v>
      </c>
      <c r="D1057" s="2" t="s">
        <v>971</v>
      </c>
      <c r="E1057" s="2" t="s">
        <v>3486</v>
      </c>
      <c r="F1057" s="2" t="s">
        <v>5611</v>
      </c>
      <c r="G1057" s="2" t="s">
        <v>5612</v>
      </c>
      <c r="H1057" s="2" t="s">
        <v>5613</v>
      </c>
      <c r="I1057" s="2" t="s">
        <v>5614</v>
      </c>
      <c r="J1057" s="2" t="s">
        <v>3506</v>
      </c>
      <c r="K1057" s="2" t="s">
        <v>1466</v>
      </c>
      <c r="L1057" s="3">
        <v>29.25</v>
      </c>
      <c r="M1057" s="3">
        <v>30.71</v>
      </c>
      <c r="N1057" s="3">
        <v>64.99</v>
      </c>
      <c r="O1057" s="2" t="s">
        <v>240</v>
      </c>
      <c r="P1057" s="2" t="s">
        <v>333</v>
      </c>
      <c r="Q1057" s="2" t="s">
        <v>234</v>
      </c>
      <c r="R1057" s="2" t="s">
        <v>228</v>
      </c>
      <c r="S1057" s="2" t="s">
        <v>228</v>
      </c>
      <c r="T1057" s="2" t="s">
        <v>415</v>
      </c>
      <c r="U1057" s="2" t="s">
        <v>416</v>
      </c>
      <c r="V1057" s="2" t="s">
        <v>236</v>
      </c>
      <c r="W1057" s="2" t="s">
        <v>269</v>
      </c>
      <c r="X1057" s="2" t="s">
        <v>228</v>
      </c>
      <c r="Y1057" s="2" t="s">
        <v>5632</v>
      </c>
      <c r="Z1057" s="4">
        <v>80</v>
      </c>
      <c r="AA1057" s="4">
        <f>=ROUNDDOWN(400,0)</f>
      </c>
      <c r="AB1057" s="5">
        <v>0.2</v>
      </c>
      <c r="AC1057" s="2" t="s">
        <v>228</v>
      </c>
      <c r="AD1057" s="4"/>
      <c r="AE1057" s="4"/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228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/>
      <c r="AW1057" s="8"/>
      <c r="AX1057" s="4"/>
      <c r="AY1057" s="8"/>
      <c r="AZ1057" s="7"/>
      <c r="BA1057" s="7"/>
      <c r="BB1057" s="7"/>
      <c r="BC1057" s="4" t="s">
        <v>228</v>
      </c>
      <c r="BD1057" s="8" t="s">
        <v>228</v>
      </c>
      <c r="BE1057" s="4" t="s">
        <v>228</v>
      </c>
      <c r="BF1057" s="8" t="s">
        <v>228</v>
      </c>
      <c r="BG1057" s="7" t="s">
        <v>228</v>
      </c>
      <c r="BH1057" s="7" t="s">
        <v>228</v>
      </c>
      <c r="BI1057" s="7"/>
      <c r="BJ1057" s="4">
        <v>1</v>
      </c>
      <c r="BK1057" s="8">
        <v>15.71</v>
      </c>
      <c r="BL1057" s="2" t="s">
        <v>5633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5634</v>
      </c>
      <c r="BV1057" s="2" t="s">
        <v>228</v>
      </c>
      <c r="BW1057" s="2" t="s">
        <v>228</v>
      </c>
      <c r="BX1057" s="2" t="s">
        <v>337</v>
      </c>
      <c r="BY1057" s="2" t="s">
        <v>274</v>
      </c>
      <c r="BZ1057" s="2" t="s">
        <v>240</v>
      </c>
      <c r="CA1057" s="2" t="s">
        <v>2581</v>
      </c>
      <c r="CB1057" s="2" t="s">
        <v>2582</v>
      </c>
      <c r="CC1057" s="2" t="s">
        <v>241</v>
      </c>
      <c r="CD1057" s="2" t="s">
        <v>228</v>
      </c>
      <c r="CE1057" s="4">
        <v>80</v>
      </c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</row>
    <row r="1058">
      <c r="A1058" s="2" t="s">
        <v>5635</v>
      </c>
      <c r="B1058" s="2" t="s">
        <v>970</v>
      </c>
      <c r="C1058" s="2" t="s">
        <v>300</v>
      </c>
      <c r="D1058" s="2" t="s">
        <v>971</v>
      </c>
      <c r="E1058" s="2" t="s">
        <v>3486</v>
      </c>
      <c r="F1058" s="2" t="s">
        <v>5611</v>
      </c>
      <c r="G1058" s="2" t="s">
        <v>5612</v>
      </c>
      <c r="H1058" s="2" t="s">
        <v>5613</v>
      </c>
      <c r="I1058" s="2" t="s">
        <v>5614</v>
      </c>
      <c r="J1058" s="2" t="s">
        <v>5615</v>
      </c>
      <c r="K1058" s="2" t="s">
        <v>249</v>
      </c>
      <c r="L1058" s="3">
        <v>23.75</v>
      </c>
      <c r="M1058" s="3">
        <v>24.94</v>
      </c>
      <c r="N1058" s="3">
        <v>53.99</v>
      </c>
      <c r="O1058" s="2" t="s">
        <v>240</v>
      </c>
      <c r="P1058" s="2" t="s">
        <v>266</v>
      </c>
      <c r="Q1058" s="2" t="s">
        <v>234</v>
      </c>
      <c r="R1058" s="2" t="s">
        <v>228</v>
      </c>
      <c r="S1058" s="2" t="s">
        <v>5636</v>
      </c>
      <c r="T1058" s="2" t="s">
        <v>415</v>
      </c>
      <c r="U1058" s="2" t="s">
        <v>416</v>
      </c>
      <c r="V1058" s="2" t="s">
        <v>236</v>
      </c>
      <c r="W1058" s="2" t="s">
        <v>269</v>
      </c>
      <c r="X1058" s="2" t="s">
        <v>228</v>
      </c>
      <c r="Y1058" s="2" t="s">
        <v>5637</v>
      </c>
      <c r="Z1058" s="4">
        <v>185</v>
      </c>
      <c r="AA1058" s="4">
        <f>=ROUNDDOWN(23.125,0)</f>
      </c>
      <c r="AB1058" s="5">
        <v>8</v>
      </c>
      <c r="AC1058" s="2" t="s">
        <v>782</v>
      </c>
      <c r="AD1058" s="4">
        <v>86</v>
      </c>
      <c r="AE1058" s="4">
        <v>86</v>
      </c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228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228</v>
      </c>
      <c r="AW1058" s="8" t="s">
        <v>228</v>
      </c>
      <c r="AX1058" s="4" t="s">
        <v>228</v>
      </c>
      <c r="AY1058" s="8" t="s">
        <v>228</v>
      </c>
      <c r="AZ1058" s="7" t="s">
        <v>228</v>
      </c>
      <c r="BA1058" s="7" t="s">
        <v>228</v>
      </c>
      <c r="BB1058" s="7"/>
      <c r="BC1058" s="4" t="s">
        <v>228</v>
      </c>
      <c r="BD1058" s="8" t="s">
        <v>228</v>
      </c>
      <c r="BE1058" s="4" t="s">
        <v>228</v>
      </c>
      <c r="BF1058" s="8" t="s">
        <v>228</v>
      </c>
      <c r="BG1058" s="7" t="s">
        <v>228</v>
      </c>
      <c r="BH1058" s="7" t="s">
        <v>228</v>
      </c>
      <c r="BI1058" s="7"/>
      <c r="BJ1058" s="4">
        <v>48</v>
      </c>
      <c r="BK1058" s="8">
        <v>1255.78</v>
      </c>
      <c r="BL1058" s="2" t="s">
        <v>5638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5639</v>
      </c>
      <c r="BV1058" s="2" t="s">
        <v>228</v>
      </c>
      <c r="BW1058" s="2" t="s">
        <v>228</v>
      </c>
      <c r="BX1058" s="2" t="s">
        <v>5060</v>
      </c>
      <c r="BY1058" s="2" t="s">
        <v>274</v>
      </c>
      <c r="BZ1058" s="2" t="s">
        <v>240</v>
      </c>
      <c r="CA1058" s="2" t="s">
        <v>3338</v>
      </c>
      <c r="CB1058" s="2" t="s">
        <v>5640</v>
      </c>
      <c r="CC1058" s="2" t="s">
        <v>241</v>
      </c>
      <c r="CD1058" s="2" t="s">
        <v>228</v>
      </c>
      <c r="CE1058" s="4">
        <v>185</v>
      </c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>
        <v>86</v>
      </c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</row>
    <row r="1059">
      <c r="A1059" s="2" t="s">
        <v>5641</v>
      </c>
      <c r="B1059" s="2" t="s">
        <v>970</v>
      </c>
      <c r="C1059" s="2" t="s">
        <v>300</v>
      </c>
      <c r="D1059" s="2" t="s">
        <v>971</v>
      </c>
      <c r="E1059" s="2" t="s">
        <v>3486</v>
      </c>
      <c r="F1059" s="2" t="s">
        <v>5611</v>
      </c>
      <c r="G1059" s="2" t="s">
        <v>5612</v>
      </c>
      <c r="H1059" s="2" t="s">
        <v>5613</v>
      </c>
      <c r="I1059" s="2" t="s">
        <v>5614</v>
      </c>
      <c r="J1059" s="2" t="s">
        <v>3506</v>
      </c>
      <c r="K1059" s="2" t="s">
        <v>249</v>
      </c>
      <c r="L1059" s="3">
        <v>29.25</v>
      </c>
      <c r="M1059" s="3">
        <v>30.71</v>
      </c>
      <c r="N1059" s="3">
        <v>64.99</v>
      </c>
      <c r="O1059" s="2" t="s">
        <v>240</v>
      </c>
      <c r="P1059" s="2" t="s">
        <v>815</v>
      </c>
      <c r="Q1059" s="2" t="s">
        <v>234</v>
      </c>
      <c r="R1059" s="2" t="s">
        <v>228</v>
      </c>
      <c r="S1059" s="2" t="s">
        <v>5636</v>
      </c>
      <c r="T1059" s="2" t="s">
        <v>415</v>
      </c>
      <c r="U1059" s="2" t="s">
        <v>416</v>
      </c>
      <c r="V1059" s="2" t="s">
        <v>236</v>
      </c>
      <c r="W1059" s="2" t="s">
        <v>269</v>
      </c>
      <c r="X1059" s="2" t="s">
        <v>228</v>
      </c>
      <c r="Y1059" s="2" t="s">
        <v>5642</v>
      </c>
      <c r="Z1059" s="4">
        <v>312</v>
      </c>
      <c r="AA1059" s="4">
        <f>=ROUNDDOWN(14.1818181818182,0)</f>
      </c>
      <c r="AB1059" s="5">
        <v>22</v>
      </c>
      <c r="AC1059" s="2" t="s">
        <v>1352</v>
      </c>
      <c r="AD1059" s="4">
        <v>300</v>
      </c>
      <c r="AE1059" s="4">
        <v>450</v>
      </c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228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228</v>
      </c>
      <c r="AW1059" s="8" t="s">
        <v>228</v>
      </c>
      <c r="AX1059" s="4" t="s">
        <v>228</v>
      </c>
      <c r="AY1059" s="8" t="s">
        <v>228</v>
      </c>
      <c r="AZ1059" s="7" t="s">
        <v>228</v>
      </c>
      <c r="BA1059" s="7" t="s">
        <v>228</v>
      </c>
      <c r="BB1059" s="7"/>
      <c r="BC1059" s="4" t="s">
        <v>228</v>
      </c>
      <c r="BD1059" s="8" t="s">
        <v>228</v>
      </c>
      <c r="BE1059" s="4" t="s">
        <v>228</v>
      </c>
      <c r="BF1059" s="8" t="s">
        <v>228</v>
      </c>
      <c r="BG1059" s="7" t="s">
        <v>228</v>
      </c>
      <c r="BH1059" s="7" t="s">
        <v>228</v>
      </c>
      <c r="BI1059" s="7"/>
      <c r="BJ1059" s="4">
        <v>97</v>
      </c>
      <c r="BK1059" s="8">
        <v>3115.43</v>
      </c>
      <c r="BL1059" s="2" t="s">
        <v>5643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5644</v>
      </c>
      <c r="BV1059" s="2" t="s">
        <v>228</v>
      </c>
      <c r="BW1059" s="2" t="s">
        <v>228</v>
      </c>
      <c r="BX1059" s="2" t="s">
        <v>5060</v>
      </c>
      <c r="BY1059" s="2" t="s">
        <v>274</v>
      </c>
      <c r="BZ1059" s="2" t="s">
        <v>240</v>
      </c>
      <c r="CA1059" s="2" t="s">
        <v>5645</v>
      </c>
      <c r="CB1059" s="2" t="s">
        <v>5646</v>
      </c>
      <c r="CC1059" s="2" t="s">
        <v>241</v>
      </c>
      <c r="CD1059" s="2" t="s">
        <v>228</v>
      </c>
      <c r="CE1059" s="4">
        <v>312</v>
      </c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>
        <v>300</v>
      </c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>
        <v>150</v>
      </c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</row>
    <row r="1060">
      <c r="A1060" s="2" t="s">
        <v>5647</v>
      </c>
      <c r="B1060" s="2" t="s">
        <v>970</v>
      </c>
      <c r="C1060" s="2" t="s">
        <v>300</v>
      </c>
      <c r="D1060" s="2" t="s">
        <v>971</v>
      </c>
      <c r="E1060" s="2" t="s">
        <v>3486</v>
      </c>
      <c r="F1060" s="2" t="s">
        <v>5611</v>
      </c>
      <c r="G1060" s="2" t="s">
        <v>5612</v>
      </c>
      <c r="H1060" s="2" t="s">
        <v>5613</v>
      </c>
      <c r="I1060" s="2" t="s">
        <v>5614</v>
      </c>
      <c r="J1060" s="2" t="s">
        <v>3496</v>
      </c>
      <c r="K1060" s="2" t="s">
        <v>249</v>
      </c>
      <c r="L1060" s="3">
        <v>38.4</v>
      </c>
      <c r="M1060" s="3">
        <v>40.32</v>
      </c>
      <c r="N1060" s="3">
        <v>79.99</v>
      </c>
      <c r="O1060" s="2" t="s">
        <v>240</v>
      </c>
      <c r="P1060" s="2" t="s">
        <v>266</v>
      </c>
      <c r="Q1060" s="2" t="s">
        <v>234</v>
      </c>
      <c r="R1060" s="2" t="s">
        <v>228</v>
      </c>
      <c r="S1060" s="2" t="s">
        <v>5636</v>
      </c>
      <c r="T1060" s="2" t="s">
        <v>415</v>
      </c>
      <c r="U1060" s="2" t="s">
        <v>416</v>
      </c>
      <c r="V1060" s="2" t="s">
        <v>236</v>
      </c>
      <c r="W1060" s="2" t="s">
        <v>269</v>
      </c>
      <c r="X1060" s="2" t="s">
        <v>228</v>
      </c>
      <c r="Y1060" s="2" t="s">
        <v>5289</v>
      </c>
      <c r="Z1060" s="4">
        <v>297</v>
      </c>
      <c r="AA1060" s="4">
        <f>=ROUNDDOWN(37.125,0)</f>
      </c>
      <c r="AB1060" s="5">
        <v>8</v>
      </c>
      <c r="AC1060" s="2" t="s">
        <v>1352</v>
      </c>
      <c r="AD1060" s="4">
        <v>60</v>
      </c>
      <c r="AE1060" s="4">
        <v>166</v>
      </c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228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228</v>
      </c>
      <c r="AW1060" s="8" t="s">
        <v>228</v>
      </c>
      <c r="AX1060" s="4" t="s">
        <v>228</v>
      </c>
      <c r="AY1060" s="8" t="s">
        <v>228</v>
      </c>
      <c r="AZ1060" s="7" t="s">
        <v>228</v>
      </c>
      <c r="BA1060" s="7" t="s">
        <v>228</v>
      </c>
      <c r="BB1060" s="7"/>
      <c r="BC1060" s="4" t="s">
        <v>228</v>
      </c>
      <c r="BD1060" s="8" t="s">
        <v>228</v>
      </c>
      <c r="BE1060" s="4" t="s">
        <v>228</v>
      </c>
      <c r="BF1060" s="8" t="s">
        <v>228</v>
      </c>
      <c r="BG1060" s="7" t="s">
        <v>228</v>
      </c>
      <c r="BH1060" s="7" t="s">
        <v>228</v>
      </c>
      <c r="BI1060" s="7"/>
      <c r="BJ1060" s="4">
        <v>36</v>
      </c>
      <c r="BK1060" s="8">
        <v>1454.65</v>
      </c>
      <c r="BL1060" s="2" t="s">
        <v>5648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5649</v>
      </c>
      <c r="BV1060" s="2" t="s">
        <v>228</v>
      </c>
      <c r="BW1060" s="2" t="s">
        <v>228</v>
      </c>
      <c r="BX1060" s="2" t="s">
        <v>5060</v>
      </c>
      <c r="BY1060" s="2" t="s">
        <v>274</v>
      </c>
      <c r="BZ1060" s="2" t="s">
        <v>240</v>
      </c>
      <c r="CA1060" s="2" t="s">
        <v>1017</v>
      </c>
      <c r="CB1060" s="2" t="s">
        <v>5650</v>
      </c>
      <c r="CC1060" s="2" t="s">
        <v>241</v>
      </c>
      <c r="CD1060" s="2" t="s">
        <v>228</v>
      </c>
      <c r="CE1060" s="4">
        <v>297</v>
      </c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>
        <v>60</v>
      </c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>
        <v>106</v>
      </c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</row>
    <row r="1061">
      <c r="A1061" s="2" t="s">
        <v>5651</v>
      </c>
      <c r="B1061" s="2" t="s">
        <v>970</v>
      </c>
      <c r="C1061" s="2" t="s">
        <v>300</v>
      </c>
      <c r="D1061" s="2" t="s">
        <v>971</v>
      </c>
      <c r="E1061" s="2" t="s">
        <v>3486</v>
      </c>
      <c r="F1061" s="2" t="s">
        <v>5611</v>
      </c>
      <c r="G1061" s="2" t="s">
        <v>5612</v>
      </c>
      <c r="H1061" s="2" t="s">
        <v>5613</v>
      </c>
      <c r="I1061" s="2" t="s">
        <v>5652</v>
      </c>
      <c r="J1061" s="2" t="s">
        <v>5653</v>
      </c>
      <c r="K1061" s="2" t="s">
        <v>249</v>
      </c>
      <c r="L1061" s="3">
        <v>28.5</v>
      </c>
      <c r="M1061" s="3">
        <v>29.93</v>
      </c>
      <c r="N1061" s="3">
        <v>64.99</v>
      </c>
      <c r="O1061" s="2" t="s">
        <v>461</v>
      </c>
      <c r="P1061" s="2" t="s">
        <v>333</v>
      </c>
      <c r="Q1061" s="2" t="s">
        <v>234</v>
      </c>
      <c r="R1061" s="2" t="s">
        <v>228</v>
      </c>
      <c r="S1061" s="2" t="s">
        <v>5636</v>
      </c>
      <c r="T1061" s="2" t="s">
        <v>415</v>
      </c>
      <c r="U1061" s="2" t="s">
        <v>416</v>
      </c>
      <c r="V1061" s="2" t="s">
        <v>236</v>
      </c>
      <c r="W1061" s="2" t="s">
        <v>269</v>
      </c>
      <c r="X1061" s="2" t="s">
        <v>228</v>
      </c>
      <c r="Y1061" s="2" t="s">
        <v>2080</v>
      </c>
      <c r="Z1061" s="4">
        <v>192</v>
      </c>
      <c r="AA1061" s="4">
        <f>=ROUNDDOWN(22.3255813953488,0)</f>
      </c>
      <c r="AB1061" s="5">
        <v>8.6</v>
      </c>
      <c r="AC1061" s="2" t="s">
        <v>228</v>
      </c>
      <c r="AD1061" s="4"/>
      <c r="AE1061" s="4"/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228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228</v>
      </c>
      <c r="AW1061" s="8" t="s">
        <v>228</v>
      </c>
      <c r="AX1061" s="4" t="s">
        <v>228</v>
      </c>
      <c r="AY1061" s="8" t="s">
        <v>228</v>
      </c>
      <c r="AZ1061" s="7" t="s">
        <v>228</v>
      </c>
      <c r="BA1061" s="7" t="s">
        <v>228</v>
      </c>
      <c r="BB1061" s="7"/>
      <c r="BC1061" s="4" t="s">
        <v>228</v>
      </c>
      <c r="BD1061" s="8" t="s">
        <v>228</v>
      </c>
      <c r="BE1061" s="4" t="s">
        <v>228</v>
      </c>
      <c r="BF1061" s="8" t="s">
        <v>228</v>
      </c>
      <c r="BG1061" s="7" t="s">
        <v>228</v>
      </c>
      <c r="BH1061" s="7" t="s">
        <v>228</v>
      </c>
      <c r="BI1061" s="7"/>
      <c r="BJ1061" s="4">
        <v>34</v>
      </c>
      <c r="BK1061" s="8">
        <v>773.54</v>
      </c>
      <c r="BL1061" s="2" t="s">
        <v>5654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5655</v>
      </c>
      <c r="BV1061" s="2" t="s">
        <v>228</v>
      </c>
      <c r="BW1061" s="2" t="s">
        <v>228</v>
      </c>
      <c r="BX1061" s="2" t="s">
        <v>337</v>
      </c>
      <c r="BY1061" s="2" t="s">
        <v>274</v>
      </c>
      <c r="BZ1061" s="2" t="s">
        <v>240</v>
      </c>
      <c r="CA1061" s="2" t="s">
        <v>1091</v>
      </c>
      <c r="CB1061" s="2" t="s">
        <v>3462</v>
      </c>
      <c r="CC1061" s="2" t="s">
        <v>241</v>
      </c>
      <c r="CD1061" s="2" t="s">
        <v>228</v>
      </c>
      <c r="CE1061" s="4">
        <v>192</v>
      </c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</row>
    <row r="1062">
      <c r="A1062" s="2" t="s">
        <v>5656</v>
      </c>
      <c r="B1062" s="2" t="s">
        <v>970</v>
      </c>
      <c r="C1062" s="2" t="s">
        <v>300</v>
      </c>
      <c r="D1062" s="2" t="s">
        <v>971</v>
      </c>
      <c r="E1062" s="2" t="s">
        <v>3486</v>
      </c>
      <c r="F1062" s="2" t="s">
        <v>5611</v>
      </c>
      <c r="G1062" s="2" t="s">
        <v>5612</v>
      </c>
      <c r="H1062" s="2" t="s">
        <v>5613</v>
      </c>
      <c r="I1062" s="2" t="s">
        <v>5652</v>
      </c>
      <c r="J1062" s="2" t="s">
        <v>5657</v>
      </c>
      <c r="K1062" s="2" t="s">
        <v>249</v>
      </c>
      <c r="L1062" s="3">
        <v>32</v>
      </c>
      <c r="M1062" s="3">
        <v>33.6</v>
      </c>
      <c r="N1062" s="3">
        <v>69.99</v>
      </c>
      <c r="O1062" s="2" t="s">
        <v>461</v>
      </c>
      <c r="P1062" s="2" t="s">
        <v>333</v>
      </c>
      <c r="Q1062" s="2" t="s">
        <v>234</v>
      </c>
      <c r="R1062" s="2" t="s">
        <v>228</v>
      </c>
      <c r="S1062" s="2" t="s">
        <v>5636</v>
      </c>
      <c r="T1062" s="2" t="s">
        <v>415</v>
      </c>
      <c r="U1062" s="2" t="s">
        <v>416</v>
      </c>
      <c r="V1062" s="2" t="s">
        <v>236</v>
      </c>
      <c r="W1062" s="2" t="s">
        <v>269</v>
      </c>
      <c r="X1062" s="2" t="s">
        <v>228</v>
      </c>
      <c r="Y1062" s="2" t="s">
        <v>2080</v>
      </c>
      <c r="Z1062" s="4">
        <v>149</v>
      </c>
      <c r="AA1062" s="4">
        <f>=ROUNDDOWN(17.9518072289157,0)</f>
      </c>
      <c r="AB1062" s="5">
        <v>8.3</v>
      </c>
      <c r="AC1062" s="2" t="s">
        <v>228</v>
      </c>
      <c r="AD1062" s="4"/>
      <c r="AE1062" s="4"/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228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228</v>
      </c>
      <c r="AW1062" s="8" t="s">
        <v>228</v>
      </c>
      <c r="AX1062" s="4" t="s">
        <v>228</v>
      </c>
      <c r="AY1062" s="8" t="s">
        <v>228</v>
      </c>
      <c r="AZ1062" s="7" t="s">
        <v>228</v>
      </c>
      <c r="BA1062" s="7" t="s">
        <v>228</v>
      </c>
      <c r="BB1062" s="7"/>
      <c r="BC1062" s="4" t="s">
        <v>228</v>
      </c>
      <c r="BD1062" s="8" t="s">
        <v>228</v>
      </c>
      <c r="BE1062" s="4" t="s">
        <v>228</v>
      </c>
      <c r="BF1062" s="8" t="s">
        <v>228</v>
      </c>
      <c r="BG1062" s="7" t="s">
        <v>228</v>
      </c>
      <c r="BH1062" s="7" t="s">
        <v>228</v>
      </c>
      <c r="BI1062" s="7"/>
      <c r="BJ1062" s="4">
        <v>18</v>
      </c>
      <c r="BK1062" s="8">
        <v>447.36</v>
      </c>
      <c r="BL1062" s="2" t="s">
        <v>1098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5658</v>
      </c>
      <c r="BV1062" s="2" t="s">
        <v>228</v>
      </c>
      <c r="BW1062" s="2" t="s">
        <v>228</v>
      </c>
      <c r="BX1062" s="2" t="s">
        <v>337</v>
      </c>
      <c r="BY1062" s="2" t="s">
        <v>274</v>
      </c>
      <c r="BZ1062" s="2" t="s">
        <v>240</v>
      </c>
      <c r="CA1062" s="2" t="s">
        <v>1091</v>
      </c>
      <c r="CB1062" s="2" t="s">
        <v>5659</v>
      </c>
      <c r="CC1062" s="2" t="s">
        <v>241</v>
      </c>
      <c r="CD1062" s="2" t="s">
        <v>228</v>
      </c>
      <c r="CE1062" s="4">
        <v>149</v>
      </c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</row>
    <row r="1063">
      <c r="A1063" s="2" t="s">
        <v>5660</v>
      </c>
      <c r="B1063" s="2" t="s">
        <v>970</v>
      </c>
      <c r="C1063" s="2" t="s">
        <v>300</v>
      </c>
      <c r="D1063" s="2" t="s">
        <v>971</v>
      </c>
      <c r="E1063" s="2" t="s">
        <v>1121</v>
      </c>
      <c r="F1063" s="2" t="s">
        <v>5611</v>
      </c>
      <c r="G1063" s="2" t="s">
        <v>5612</v>
      </c>
      <c r="H1063" s="2" t="s">
        <v>5613</v>
      </c>
      <c r="I1063" s="2" t="s">
        <v>5661</v>
      </c>
      <c r="J1063" s="2" t="s">
        <v>5662</v>
      </c>
      <c r="K1063" s="2" t="s">
        <v>480</v>
      </c>
      <c r="L1063" s="3">
        <v>19</v>
      </c>
      <c r="M1063" s="3">
        <v>19.95</v>
      </c>
      <c r="N1063" s="3">
        <v>39.99</v>
      </c>
      <c r="O1063" s="2" t="s">
        <v>240</v>
      </c>
      <c r="P1063" s="2" t="s">
        <v>266</v>
      </c>
      <c r="Q1063" s="2" t="s">
        <v>234</v>
      </c>
      <c r="R1063" s="2" t="s">
        <v>228</v>
      </c>
      <c r="S1063" s="2" t="s">
        <v>5663</v>
      </c>
      <c r="T1063" s="2" t="s">
        <v>228</v>
      </c>
      <c r="U1063" s="2" t="s">
        <v>520</v>
      </c>
      <c r="V1063" s="2" t="s">
        <v>236</v>
      </c>
      <c r="W1063" s="2" t="s">
        <v>269</v>
      </c>
      <c r="X1063" s="2" t="s">
        <v>3401</v>
      </c>
      <c r="Y1063" s="2" t="s">
        <v>1519</v>
      </c>
      <c r="Z1063" s="4">
        <v>120</v>
      </c>
      <c r="AA1063" s="4">
        <f>=ROUNDDOWN(12,0)</f>
      </c>
      <c r="AB1063" s="5">
        <v>10</v>
      </c>
      <c r="AC1063" s="2" t="s">
        <v>1352</v>
      </c>
      <c r="AD1063" s="4">
        <v>56</v>
      </c>
      <c r="AE1063" s="4">
        <v>256</v>
      </c>
      <c r="AF1063" s="6">
        <v>65</v>
      </c>
      <c r="AG1063" s="6"/>
      <c r="AH1063" s="7">
        <v>0.3226</v>
      </c>
      <c r="AI1063" s="4"/>
      <c r="AJ1063" s="4">
        <f>=ROUNDDOWN({0},0)</f>
      </c>
      <c r="AK1063" s="5"/>
      <c r="AL1063" s="2" t="s">
        <v>228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228</v>
      </c>
      <c r="AW1063" s="8" t="s">
        <v>228</v>
      </c>
      <c r="AX1063" s="4" t="s">
        <v>228</v>
      </c>
      <c r="AY1063" s="8" t="s">
        <v>228</v>
      </c>
      <c r="AZ1063" s="7" t="s">
        <v>228</v>
      </c>
      <c r="BA1063" s="7" t="s">
        <v>228</v>
      </c>
      <c r="BB1063" s="7"/>
      <c r="BC1063" s="4" t="s">
        <v>228</v>
      </c>
      <c r="BD1063" s="8" t="s">
        <v>228</v>
      </c>
      <c r="BE1063" s="4" t="s">
        <v>228</v>
      </c>
      <c r="BF1063" s="8" t="s">
        <v>228</v>
      </c>
      <c r="BG1063" s="7" t="s">
        <v>228</v>
      </c>
      <c r="BH1063" s="7" t="s">
        <v>228</v>
      </c>
      <c r="BI1063" s="7"/>
      <c r="BJ1063" s="4">
        <v>21</v>
      </c>
      <c r="BK1063" s="8">
        <v>711.68</v>
      </c>
      <c r="BL1063" s="2" t="s">
        <v>5664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5665</v>
      </c>
      <c r="BV1063" s="2" t="s">
        <v>228</v>
      </c>
      <c r="BW1063" s="2" t="s">
        <v>228</v>
      </c>
      <c r="BX1063" s="2" t="s">
        <v>5060</v>
      </c>
      <c r="BY1063" s="2" t="s">
        <v>274</v>
      </c>
      <c r="BZ1063" s="2" t="s">
        <v>240</v>
      </c>
      <c r="CA1063" s="2" t="s">
        <v>5666</v>
      </c>
      <c r="CB1063" s="2" t="s">
        <v>5667</v>
      </c>
      <c r="CC1063" s="2" t="s">
        <v>241</v>
      </c>
      <c r="CD1063" s="2" t="s">
        <v>228</v>
      </c>
      <c r="CE1063" s="4">
        <v>120</v>
      </c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>
        <v>56</v>
      </c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>
        <v>60</v>
      </c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>
        <v>60</v>
      </c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>
        <v>40</v>
      </c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>
        <v>40</v>
      </c>
    </row>
    <row r="1064">
      <c r="A1064" s="2" t="s">
        <v>5668</v>
      </c>
      <c r="B1064" s="2" t="s">
        <v>970</v>
      </c>
      <c r="C1064" s="2" t="s">
        <v>300</v>
      </c>
      <c r="D1064" s="2" t="s">
        <v>971</v>
      </c>
      <c r="E1064" s="2" t="s">
        <v>3486</v>
      </c>
      <c r="F1064" s="2" t="s">
        <v>5611</v>
      </c>
      <c r="G1064" s="2" t="s">
        <v>5612</v>
      </c>
      <c r="H1064" s="2" t="s">
        <v>5613</v>
      </c>
      <c r="I1064" s="2" t="s">
        <v>5614</v>
      </c>
      <c r="J1064" s="2" t="s">
        <v>3491</v>
      </c>
      <c r="K1064" s="2" t="s">
        <v>480</v>
      </c>
      <c r="L1064" s="3">
        <v>27</v>
      </c>
      <c r="M1064" s="3">
        <v>28.35</v>
      </c>
      <c r="N1064" s="3">
        <v>59.99</v>
      </c>
      <c r="O1064" s="2" t="s">
        <v>240</v>
      </c>
      <c r="P1064" s="2" t="s">
        <v>3731</v>
      </c>
      <c r="Q1064" s="2" t="s">
        <v>234</v>
      </c>
      <c r="R1064" s="2" t="s">
        <v>228</v>
      </c>
      <c r="S1064" s="2" t="s">
        <v>5663</v>
      </c>
      <c r="T1064" s="2" t="s">
        <v>415</v>
      </c>
      <c r="U1064" s="2" t="s">
        <v>416</v>
      </c>
      <c r="V1064" s="2" t="s">
        <v>236</v>
      </c>
      <c r="W1064" s="2" t="s">
        <v>269</v>
      </c>
      <c r="X1064" s="2" t="s">
        <v>228</v>
      </c>
      <c r="Y1064" s="2" t="s">
        <v>5642</v>
      </c>
      <c r="Z1064" s="4">
        <v>1465</v>
      </c>
      <c r="AA1064" s="4">
        <f>=ROUNDDOWN(29.8979591836735,0)</f>
      </c>
      <c r="AB1064" s="5">
        <v>49</v>
      </c>
      <c r="AC1064" s="2" t="s">
        <v>1352</v>
      </c>
      <c r="AD1064" s="4">
        <v>294</v>
      </c>
      <c r="AE1064" s="4">
        <v>860</v>
      </c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228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228</v>
      </c>
      <c r="AW1064" s="8" t="s">
        <v>228</v>
      </c>
      <c r="AX1064" s="4" t="s">
        <v>228</v>
      </c>
      <c r="AY1064" s="8" t="s">
        <v>228</v>
      </c>
      <c r="AZ1064" s="7" t="s">
        <v>228</v>
      </c>
      <c r="BA1064" s="7" t="s">
        <v>228</v>
      </c>
      <c r="BB1064" s="7"/>
      <c r="BC1064" s="4" t="s">
        <v>228</v>
      </c>
      <c r="BD1064" s="8" t="s">
        <v>228</v>
      </c>
      <c r="BE1064" s="4" t="s">
        <v>228</v>
      </c>
      <c r="BF1064" s="8" t="s">
        <v>228</v>
      </c>
      <c r="BG1064" s="7" t="s">
        <v>228</v>
      </c>
      <c r="BH1064" s="7" t="s">
        <v>228</v>
      </c>
      <c r="BI1064" s="7"/>
      <c r="BJ1064" s="4">
        <v>135</v>
      </c>
      <c r="BK1064" s="8">
        <v>3926.36</v>
      </c>
      <c r="BL1064" s="2" t="s">
        <v>5669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5670</v>
      </c>
      <c r="BV1064" s="2" t="s">
        <v>228</v>
      </c>
      <c r="BW1064" s="2" t="s">
        <v>228</v>
      </c>
      <c r="BX1064" s="2" t="s">
        <v>5060</v>
      </c>
      <c r="BY1064" s="2" t="s">
        <v>274</v>
      </c>
      <c r="BZ1064" s="2" t="s">
        <v>240</v>
      </c>
      <c r="CA1064" s="2" t="s">
        <v>5645</v>
      </c>
      <c r="CB1064" s="2" t="s">
        <v>5121</v>
      </c>
      <c r="CC1064" s="2" t="s">
        <v>241</v>
      </c>
      <c r="CD1064" s="2" t="s">
        <v>228</v>
      </c>
      <c r="CE1064" s="4">
        <v>1465</v>
      </c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>
        <v>294</v>
      </c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>
        <v>240</v>
      </c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>
        <v>206</v>
      </c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>
        <v>120</v>
      </c>
    </row>
    <row r="1065">
      <c r="A1065" s="2" t="s">
        <v>5671</v>
      </c>
      <c r="B1065" s="2" t="s">
        <v>970</v>
      </c>
      <c r="C1065" s="2" t="s">
        <v>300</v>
      </c>
      <c r="D1065" s="2" t="s">
        <v>971</v>
      </c>
      <c r="E1065" s="2" t="s">
        <v>3486</v>
      </c>
      <c r="F1065" s="2" t="s">
        <v>5611</v>
      </c>
      <c r="G1065" s="2" t="s">
        <v>5612</v>
      </c>
      <c r="H1065" s="2" t="s">
        <v>5613</v>
      </c>
      <c r="I1065" s="2" t="s">
        <v>5614</v>
      </c>
      <c r="J1065" s="2" t="s">
        <v>3491</v>
      </c>
      <c r="K1065" s="2" t="s">
        <v>829</v>
      </c>
      <c r="L1065" s="3">
        <v>27</v>
      </c>
      <c r="M1065" s="3">
        <v>28.35</v>
      </c>
      <c r="N1065" s="3">
        <v>59.99</v>
      </c>
      <c r="O1065" s="2" t="s">
        <v>240</v>
      </c>
      <c r="P1065" s="2" t="s">
        <v>266</v>
      </c>
      <c r="Q1065" s="2" t="s">
        <v>234</v>
      </c>
      <c r="R1065" s="2" t="s">
        <v>228</v>
      </c>
      <c r="S1065" s="2" t="s">
        <v>5672</v>
      </c>
      <c r="T1065" s="2" t="s">
        <v>415</v>
      </c>
      <c r="U1065" s="2" t="s">
        <v>416</v>
      </c>
      <c r="V1065" s="2" t="s">
        <v>236</v>
      </c>
      <c r="W1065" s="2" t="s">
        <v>269</v>
      </c>
      <c r="X1065" s="2" t="s">
        <v>228</v>
      </c>
      <c r="Y1065" s="2" t="s">
        <v>761</v>
      </c>
      <c r="Z1065" s="4">
        <v>3</v>
      </c>
      <c r="AA1065" s="4">
        <f>=ROUNDDOWN(0.1,0)</f>
      </c>
      <c r="AB1065" s="5">
        <v>30</v>
      </c>
      <c r="AC1065" s="2" t="s">
        <v>1352</v>
      </c>
      <c r="AD1065" s="4">
        <v>54</v>
      </c>
      <c r="AE1065" s="4">
        <v>540</v>
      </c>
      <c r="AF1065" s="6">
        <v>65</v>
      </c>
      <c r="AG1065" s="6"/>
      <c r="AH1065" s="7">
        <v>0</v>
      </c>
      <c r="AI1065" s="4"/>
      <c r="AJ1065" s="4">
        <f>=ROUNDDOWN({0},0)</f>
      </c>
      <c r="AK1065" s="5"/>
      <c r="AL1065" s="2" t="s">
        <v>228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228</v>
      </c>
      <c r="AW1065" s="8" t="s">
        <v>228</v>
      </c>
      <c r="AX1065" s="4" t="s">
        <v>228</v>
      </c>
      <c r="AY1065" s="8" t="s">
        <v>228</v>
      </c>
      <c r="AZ1065" s="7" t="s">
        <v>228</v>
      </c>
      <c r="BA1065" s="7" t="s">
        <v>228</v>
      </c>
      <c r="BB1065" s="7"/>
      <c r="BC1065" s="4" t="s">
        <v>228</v>
      </c>
      <c r="BD1065" s="8" t="s">
        <v>228</v>
      </c>
      <c r="BE1065" s="4" t="s">
        <v>228</v>
      </c>
      <c r="BF1065" s="8" t="s">
        <v>228</v>
      </c>
      <c r="BG1065" s="7" t="s">
        <v>228</v>
      </c>
      <c r="BH1065" s="7" t="s">
        <v>228</v>
      </c>
      <c r="BI1065" s="7"/>
      <c r="BJ1065" s="4"/>
      <c r="BK1065" s="8"/>
      <c r="BL1065" s="2" t="s">
        <v>3626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5673</v>
      </c>
      <c r="BV1065" s="2" t="s">
        <v>228</v>
      </c>
      <c r="BW1065" s="2" t="s">
        <v>228</v>
      </c>
      <c r="BX1065" s="2" t="s">
        <v>5060</v>
      </c>
      <c r="BY1065" s="2" t="s">
        <v>274</v>
      </c>
      <c r="BZ1065" s="2" t="s">
        <v>240</v>
      </c>
      <c r="CA1065" s="2" t="s">
        <v>761</v>
      </c>
      <c r="CB1065" s="2" t="s">
        <v>5627</v>
      </c>
      <c r="CC1065" s="2" t="s">
        <v>241</v>
      </c>
      <c r="CD1065" s="2" t="s">
        <v>228</v>
      </c>
      <c r="CE1065" s="4">
        <v>3</v>
      </c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>
        <v>54</v>
      </c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>
        <v>366</v>
      </c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>
        <v>120</v>
      </c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</row>
    <row r="1066">
      <c r="A1066" s="2" t="s">
        <v>5674</v>
      </c>
      <c r="B1066" s="2" t="s">
        <v>970</v>
      </c>
      <c r="C1066" s="2" t="s">
        <v>300</v>
      </c>
      <c r="D1066" s="2" t="s">
        <v>971</v>
      </c>
      <c r="E1066" s="2" t="s">
        <v>3486</v>
      </c>
      <c r="F1066" s="2" t="s">
        <v>5611</v>
      </c>
      <c r="G1066" s="2" t="s">
        <v>5612</v>
      </c>
      <c r="H1066" s="2" t="s">
        <v>5613</v>
      </c>
      <c r="I1066" s="2" t="s">
        <v>5614</v>
      </c>
      <c r="J1066" s="2" t="s">
        <v>5621</v>
      </c>
      <c r="K1066" s="2" t="s">
        <v>829</v>
      </c>
      <c r="L1066" s="3">
        <v>28.5</v>
      </c>
      <c r="M1066" s="3">
        <v>29.93</v>
      </c>
      <c r="N1066" s="3">
        <v>62.99</v>
      </c>
      <c r="O1066" s="2" t="s">
        <v>240</v>
      </c>
      <c r="P1066" s="2" t="s">
        <v>266</v>
      </c>
      <c r="Q1066" s="2" t="s">
        <v>234</v>
      </c>
      <c r="R1066" s="2" t="s">
        <v>228</v>
      </c>
      <c r="S1066" s="2" t="s">
        <v>5672</v>
      </c>
      <c r="T1066" s="2" t="s">
        <v>415</v>
      </c>
      <c r="U1066" s="2" t="s">
        <v>416</v>
      </c>
      <c r="V1066" s="2" t="s">
        <v>236</v>
      </c>
      <c r="W1066" s="2" t="s">
        <v>269</v>
      </c>
      <c r="X1066" s="2" t="s">
        <v>228</v>
      </c>
      <c r="Y1066" s="2" t="s">
        <v>5617</v>
      </c>
      <c r="Z1066" s="4">
        <v>371</v>
      </c>
      <c r="AA1066" s="4">
        <f>=ROUNDDOWN(37.1,0)</f>
      </c>
      <c r="AB1066" s="5">
        <v>10</v>
      </c>
      <c r="AC1066" s="2" t="s">
        <v>173</v>
      </c>
      <c r="AD1066" s="4">
        <v>50</v>
      </c>
      <c r="AE1066" s="4">
        <v>50</v>
      </c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228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228</v>
      </c>
      <c r="AW1066" s="8" t="s">
        <v>228</v>
      </c>
      <c r="AX1066" s="4" t="s">
        <v>228</v>
      </c>
      <c r="AY1066" s="8" t="s">
        <v>228</v>
      </c>
      <c r="AZ1066" s="7" t="s">
        <v>228</v>
      </c>
      <c r="BA1066" s="7" t="s">
        <v>228</v>
      </c>
      <c r="BB1066" s="7"/>
      <c r="BC1066" s="4" t="s">
        <v>228</v>
      </c>
      <c r="BD1066" s="8" t="s">
        <v>228</v>
      </c>
      <c r="BE1066" s="4" t="s">
        <v>228</v>
      </c>
      <c r="BF1066" s="8" t="s">
        <v>228</v>
      </c>
      <c r="BG1066" s="7" t="s">
        <v>228</v>
      </c>
      <c r="BH1066" s="7" t="s">
        <v>228</v>
      </c>
      <c r="BI1066" s="7"/>
      <c r="BJ1066" s="4">
        <v>28</v>
      </c>
      <c r="BK1066" s="8">
        <v>878.47</v>
      </c>
      <c r="BL1066" s="2" t="s">
        <v>5675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5676</v>
      </c>
      <c r="BV1066" s="2" t="s">
        <v>228</v>
      </c>
      <c r="BW1066" s="2" t="s">
        <v>228</v>
      </c>
      <c r="BX1066" s="2" t="s">
        <v>5060</v>
      </c>
      <c r="BY1066" s="2" t="s">
        <v>274</v>
      </c>
      <c r="BZ1066" s="2" t="s">
        <v>240</v>
      </c>
      <c r="CA1066" s="2" t="s">
        <v>4953</v>
      </c>
      <c r="CB1066" s="2" t="s">
        <v>5677</v>
      </c>
      <c r="CC1066" s="2" t="s">
        <v>241</v>
      </c>
      <c r="CD1066" s="2" t="s">
        <v>228</v>
      </c>
      <c r="CE1066" s="4">
        <v>371</v>
      </c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>
        <v>50</v>
      </c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</row>
    <row r="1067">
      <c r="A1067" s="2" t="s">
        <v>5678</v>
      </c>
      <c r="B1067" s="2" t="s">
        <v>970</v>
      </c>
      <c r="C1067" s="2" t="s">
        <v>300</v>
      </c>
      <c r="D1067" s="2" t="s">
        <v>971</v>
      </c>
      <c r="E1067" s="2" t="s">
        <v>3486</v>
      </c>
      <c r="F1067" s="2" t="s">
        <v>5611</v>
      </c>
      <c r="G1067" s="2" t="s">
        <v>5612</v>
      </c>
      <c r="H1067" s="2" t="s">
        <v>5613</v>
      </c>
      <c r="I1067" s="2" t="s">
        <v>5614</v>
      </c>
      <c r="J1067" s="2" t="s">
        <v>3511</v>
      </c>
      <c r="K1067" s="2" t="s">
        <v>829</v>
      </c>
      <c r="L1067" s="3">
        <v>32.2</v>
      </c>
      <c r="M1067" s="3">
        <v>33.81</v>
      </c>
      <c r="N1067" s="3">
        <v>69.99</v>
      </c>
      <c r="O1067" s="2" t="s">
        <v>240</v>
      </c>
      <c r="P1067" s="2" t="s">
        <v>266</v>
      </c>
      <c r="Q1067" s="2" t="s">
        <v>234</v>
      </c>
      <c r="R1067" s="2" t="s">
        <v>228</v>
      </c>
      <c r="S1067" s="2" t="s">
        <v>5672</v>
      </c>
      <c r="T1067" s="2" t="s">
        <v>415</v>
      </c>
      <c r="U1067" s="2" t="s">
        <v>416</v>
      </c>
      <c r="V1067" s="2" t="s">
        <v>236</v>
      </c>
      <c r="W1067" s="2" t="s">
        <v>269</v>
      </c>
      <c r="X1067" s="2" t="s">
        <v>228</v>
      </c>
      <c r="Y1067" s="2" t="s">
        <v>761</v>
      </c>
      <c r="Z1067" s="4">
        <v>71</v>
      </c>
      <c r="AA1067" s="4">
        <f>=ROUNDDOWN(2.95833333333333,0)</f>
      </c>
      <c r="AB1067" s="5">
        <v>24</v>
      </c>
      <c r="AC1067" s="2" t="s">
        <v>1352</v>
      </c>
      <c r="AD1067" s="4">
        <v>54</v>
      </c>
      <c r="AE1067" s="4">
        <v>558</v>
      </c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228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228</v>
      </c>
      <c r="AW1067" s="8" t="s">
        <v>228</v>
      </c>
      <c r="AX1067" s="4" t="s">
        <v>228</v>
      </c>
      <c r="AY1067" s="8" t="s">
        <v>228</v>
      </c>
      <c r="AZ1067" s="7" t="s">
        <v>228</v>
      </c>
      <c r="BA1067" s="7" t="s">
        <v>228</v>
      </c>
      <c r="BB1067" s="7"/>
      <c r="BC1067" s="4" t="s">
        <v>228</v>
      </c>
      <c r="BD1067" s="8" t="s">
        <v>228</v>
      </c>
      <c r="BE1067" s="4" t="s">
        <v>228</v>
      </c>
      <c r="BF1067" s="8" t="s">
        <v>228</v>
      </c>
      <c r="BG1067" s="7" t="s">
        <v>228</v>
      </c>
      <c r="BH1067" s="7" t="s">
        <v>228</v>
      </c>
      <c r="BI1067" s="7"/>
      <c r="BJ1067" s="4">
        <v>76</v>
      </c>
      <c r="BK1067" s="8">
        <v>2599.79</v>
      </c>
      <c r="BL1067" s="2" t="s">
        <v>5679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5680</v>
      </c>
      <c r="BV1067" s="2" t="s">
        <v>228</v>
      </c>
      <c r="BW1067" s="2" t="s">
        <v>228</v>
      </c>
      <c r="BX1067" s="2" t="s">
        <v>5060</v>
      </c>
      <c r="BY1067" s="2" t="s">
        <v>274</v>
      </c>
      <c r="BZ1067" s="2" t="s">
        <v>240</v>
      </c>
      <c r="CA1067" s="2" t="s">
        <v>761</v>
      </c>
      <c r="CB1067" s="2" t="s">
        <v>5681</v>
      </c>
      <c r="CC1067" s="2" t="s">
        <v>241</v>
      </c>
      <c r="CD1067" s="2" t="s">
        <v>228</v>
      </c>
      <c r="CE1067" s="4">
        <v>71</v>
      </c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>
        <v>54</v>
      </c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>
        <v>324</v>
      </c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>
        <v>180</v>
      </c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</row>
    <row r="1068">
      <c r="A1068" s="2" t="s">
        <v>5682</v>
      </c>
      <c r="B1068" s="2" t="s">
        <v>970</v>
      </c>
      <c r="C1068" s="2" t="s">
        <v>300</v>
      </c>
      <c r="D1068" s="2" t="s">
        <v>971</v>
      </c>
      <c r="E1068" s="2" t="s">
        <v>1121</v>
      </c>
      <c r="F1068" s="2" t="s">
        <v>5611</v>
      </c>
      <c r="G1068" s="2" t="s">
        <v>5612</v>
      </c>
      <c r="H1068" s="2" t="s">
        <v>5613</v>
      </c>
      <c r="I1068" s="2" t="s">
        <v>5661</v>
      </c>
      <c r="J1068" s="2" t="s">
        <v>5662</v>
      </c>
      <c r="K1068" s="2" t="s">
        <v>316</v>
      </c>
      <c r="L1068" s="3">
        <v>19</v>
      </c>
      <c r="M1068" s="3">
        <v>19.95</v>
      </c>
      <c r="N1068" s="3">
        <v>39.99</v>
      </c>
      <c r="O1068" s="2" t="s">
        <v>240</v>
      </c>
      <c r="P1068" s="2" t="s">
        <v>266</v>
      </c>
      <c r="Q1068" s="2" t="s">
        <v>234</v>
      </c>
      <c r="R1068" s="2" t="s">
        <v>228</v>
      </c>
      <c r="S1068" s="2" t="s">
        <v>5683</v>
      </c>
      <c r="T1068" s="2" t="s">
        <v>228</v>
      </c>
      <c r="U1068" s="2" t="s">
        <v>520</v>
      </c>
      <c r="V1068" s="2" t="s">
        <v>236</v>
      </c>
      <c r="W1068" s="2" t="s">
        <v>269</v>
      </c>
      <c r="X1068" s="2" t="s">
        <v>3401</v>
      </c>
      <c r="Y1068" s="2" t="s">
        <v>2079</v>
      </c>
      <c r="Z1068" s="4">
        <v>28</v>
      </c>
      <c r="AA1068" s="4">
        <f>=ROUNDDOWN(4,0)</f>
      </c>
      <c r="AB1068" s="5">
        <v>7</v>
      </c>
      <c r="AC1068" s="2" t="s">
        <v>1352</v>
      </c>
      <c r="AD1068" s="4">
        <v>256</v>
      </c>
      <c r="AE1068" s="4">
        <v>256</v>
      </c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228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228</v>
      </c>
      <c r="AW1068" s="8" t="s">
        <v>228</v>
      </c>
      <c r="AX1068" s="4" t="s">
        <v>228</v>
      </c>
      <c r="AY1068" s="8" t="s">
        <v>228</v>
      </c>
      <c r="AZ1068" s="7" t="s">
        <v>228</v>
      </c>
      <c r="BA1068" s="7" t="s">
        <v>228</v>
      </c>
      <c r="BB1068" s="7"/>
      <c r="BC1068" s="4" t="s">
        <v>228</v>
      </c>
      <c r="BD1068" s="8" t="s">
        <v>228</v>
      </c>
      <c r="BE1068" s="4" t="s">
        <v>228</v>
      </c>
      <c r="BF1068" s="8" t="s">
        <v>228</v>
      </c>
      <c r="BG1068" s="7" t="s">
        <v>228</v>
      </c>
      <c r="BH1068" s="7" t="s">
        <v>228</v>
      </c>
      <c r="BI1068" s="7"/>
      <c r="BJ1068" s="4">
        <v>18</v>
      </c>
      <c r="BK1068" s="8">
        <v>493.07</v>
      </c>
      <c r="BL1068" s="2" t="s">
        <v>5684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5685</v>
      </c>
      <c r="BV1068" s="2" t="s">
        <v>228</v>
      </c>
      <c r="BW1068" s="2" t="s">
        <v>228</v>
      </c>
      <c r="BX1068" s="2" t="s">
        <v>5060</v>
      </c>
      <c r="BY1068" s="2" t="s">
        <v>274</v>
      </c>
      <c r="BZ1068" s="2" t="s">
        <v>240</v>
      </c>
      <c r="CA1068" s="2" t="s">
        <v>5666</v>
      </c>
      <c r="CB1068" s="2" t="s">
        <v>880</v>
      </c>
      <c r="CC1068" s="2" t="s">
        <v>241</v>
      </c>
      <c r="CD1068" s="2" t="s">
        <v>228</v>
      </c>
      <c r="CE1068" s="4">
        <v>28</v>
      </c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>
        <v>256</v>
      </c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</row>
    <row r="1069">
      <c r="A1069" s="2" t="s">
        <v>5686</v>
      </c>
      <c r="B1069" s="2" t="s">
        <v>970</v>
      </c>
      <c r="C1069" s="2" t="s">
        <v>300</v>
      </c>
      <c r="D1069" s="2" t="s">
        <v>971</v>
      </c>
      <c r="E1069" s="2" t="s">
        <v>3486</v>
      </c>
      <c r="F1069" s="2" t="s">
        <v>5611</v>
      </c>
      <c r="G1069" s="2" t="s">
        <v>5612</v>
      </c>
      <c r="H1069" s="2" t="s">
        <v>5613</v>
      </c>
      <c r="I1069" s="2" t="s">
        <v>5614</v>
      </c>
      <c r="J1069" s="2" t="s">
        <v>3506</v>
      </c>
      <c r="K1069" s="2" t="s">
        <v>316</v>
      </c>
      <c r="L1069" s="3">
        <v>29.25</v>
      </c>
      <c r="M1069" s="3">
        <v>30.71</v>
      </c>
      <c r="N1069" s="3">
        <v>64.99</v>
      </c>
      <c r="O1069" s="2" t="s">
        <v>240</v>
      </c>
      <c r="P1069" s="2" t="s">
        <v>815</v>
      </c>
      <c r="Q1069" s="2" t="s">
        <v>234</v>
      </c>
      <c r="R1069" s="2" t="s">
        <v>228</v>
      </c>
      <c r="S1069" s="2" t="s">
        <v>5683</v>
      </c>
      <c r="T1069" s="2" t="s">
        <v>415</v>
      </c>
      <c r="U1069" s="2" t="s">
        <v>416</v>
      </c>
      <c r="V1069" s="2" t="s">
        <v>236</v>
      </c>
      <c r="W1069" s="2" t="s">
        <v>269</v>
      </c>
      <c r="X1069" s="2" t="s">
        <v>228</v>
      </c>
      <c r="Y1069" s="2" t="s">
        <v>5687</v>
      </c>
      <c r="Z1069" s="4">
        <v>552</v>
      </c>
      <c r="AA1069" s="4">
        <f>=ROUNDDOWN(25.0909090909091,0)</f>
      </c>
      <c r="AB1069" s="5">
        <v>22</v>
      </c>
      <c r="AC1069" s="2" t="s">
        <v>1352</v>
      </c>
      <c r="AD1069" s="4">
        <v>264</v>
      </c>
      <c r="AE1069" s="4">
        <v>624</v>
      </c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228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228</v>
      </c>
      <c r="AW1069" s="8" t="s">
        <v>228</v>
      </c>
      <c r="AX1069" s="4" t="s">
        <v>228</v>
      </c>
      <c r="AY1069" s="8" t="s">
        <v>228</v>
      </c>
      <c r="AZ1069" s="7" t="s">
        <v>228</v>
      </c>
      <c r="BA1069" s="7" t="s">
        <v>228</v>
      </c>
      <c r="BB1069" s="7"/>
      <c r="BC1069" s="4" t="s">
        <v>228</v>
      </c>
      <c r="BD1069" s="8" t="s">
        <v>228</v>
      </c>
      <c r="BE1069" s="4" t="s">
        <v>228</v>
      </c>
      <c r="BF1069" s="8" t="s">
        <v>228</v>
      </c>
      <c r="BG1069" s="7" t="s">
        <v>228</v>
      </c>
      <c r="BH1069" s="7" t="s">
        <v>228</v>
      </c>
      <c r="BI1069" s="7"/>
      <c r="BJ1069" s="4">
        <v>62</v>
      </c>
      <c r="BK1069" s="8">
        <v>2050.7</v>
      </c>
      <c r="BL1069" s="2" t="s">
        <v>5688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5689</v>
      </c>
      <c r="BV1069" s="2" t="s">
        <v>228</v>
      </c>
      <c r="BW1069" s="2" t="s">
        <v>228</v>
      </c>
      <c r="BX1069" s="2" t="s">
        <v>5060</v>
      </c>
      <c r="BY1069" s="2" t="s">
        <v>274</v>
      </c>
      <c r="BZ1069" s="2" t="s">
        <v>240</v>
      </c>
      <c r="CA1069" s="2" t="s">
        <v>5690</v>
      </c>
      <c r="CB1069" s="2" t="s">
        <v>4557</v>
      </c>
      <c r="CC1069" s="2" t="s">
        <v>241</v>
      </c>
      <c r="CD1069" s="2" t="s">
        <v>228</v>
      </c>
      <c r="CE1069" s="4">
        <v>552</v>
      </c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>
        <v>264</v>
      </c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>
        <v>60</v>
      </c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>
        <v>300</v>
      </c>
    </row>
    <row r="1070">
      <c r="A1070" s="2" t="s">
        <v>5691</v>
      </c>
      <c r="B1070" s="2" t="s">
        <v>970</v>
      </c>
      <c r="C1070" s="2" t="s">
        <v>300</v>
      </c>
      <c r="D1070" s="2" t="s">
        <v>971</v>
      </c>
      <c r="E1070" s="2" t="s">
        <v>3486</v>
      </c>
      <c r="F1070" s="2" t="s">
        <v>5611</v>
      </c>
      <c r="G1070" s="2" t="s">
        <v>5612</v>
      </c>
      <c r="H1070" s="2" t="s">
        <v>5613</v>
      </c>
      <c r="I1070" s="2" t="s">
        <v>5652</v>
      </c>
      <c r="J1070" s="2" t="s">
        <v>5653</v>
      </c>
      <c r="K1070" s="2" t="s">
        <v>316</v>
      </c>
      <c r="L1070" s="3">
        <v>28.5</v>
      </c>
      <c r="M1070" s="3">
        <v>29.93</v>
      </c>
      <c r="N1070" s="3">
        <v>64.99</v>
      </c>
      <c r="O1070" s="2" t="s">
        <v>461</v>
      </c>
      <c r="P1070" s="2" t="s">
        <v>333</v>
      </c>
      <c r="Q1070" s="2" t="s">
        <v>234</v>
      </c>
      <c r="R1070" s="2" t="s">
        <v>228</v>
      </c>
      <c r="S1070" s="2" t="s">
        <v>5683</v>
      </c>
      <c r="T1070" s="2" t="s">
        <v>415</v>
      </c>
      <c r="U1070" s="2" t="s">
        <v>416</v>
      </c>
      <c r="V1070" s="2" t="s">
        <v>236</v>
      </c>
      <c r="W1070" s="2" t="s">
        <v>269</v>
      </c>
      <c r="X1070" s="2" t="s">
        <v>228</v>
      </c>
      <c r="Y1070" s="2" t="s">
        <v>4467</v>
      </c>
      <c r="Z1070" s="4">
        <v>190</v>
      </c>
      <c r="AA1070" s="4">
        <f>=ROUNDDOWN(46.3414634146341,0)</f>
      </c>
      <c r="AB1070" s="5">
        <v>4.1</v>
      </c>
      <c r="AC1070" s="2" t="s">
        <v>228</v>
      </c>
      <c r="AD1070" s="4"/>
      <c r="AE1070" s="4"/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228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228</v>
      </c>
      <c r="AW1070" s="8" t="s">
        <v>228</v>
      </c>
      <c r="AX1070" s="4" t="s">
        <v>228</v>
      </c>
      <c r="AY1070" s="8" t="s">
        <v>228</v>
      </c>
      <c r="AZ1070" s="7" t="s">
        <v>228</v>
      </c>
      <c r="BA1070" s="7" t="s">
        <v>228</v>
      </c>
      <c r="BB1070" s="7"/>
      <c r="BC1070" s="4" t="s">
        <v>228</v>
      </c>
      <c r="BD1070" s="8" t="s">
        <v>228</v>
      </c>
      <c r="BE1070" s="4" t="s">
        <v>228</v>
      </c>
      <c r="BF1070" s="8" t="s">
        <v>228</v>
      </c>
      <c r="BG1070" s="7" t="s">
        <v>228</v>
      </c>
      <c r="BH1070" s="7" t="s">
        <v>228</v>
      </c>
      <c r="BI1070" s="7"/>
      <c r="BJ1070" s="4">
        <v>17</v>
      </c>
      <c r="BK1070" s="8">
        <v>448.33</v>
      </c>
      <c r="BL1070" s="2" t="s">
        <v>3497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5692</v>
      </c>
      <c r="BV1070" s="2" t="s">
        <v>228</v>
      </c>
      <c r="BW1070" s="2" t="s">
        <v>228</v>
      </c>
      <c r="BX1070" s="2" t="s">
        <v>337</v>
      </c>
      <c r="BY1070" s="2" t="s">
        <v>274</v>
      </c>
      <c r="BZ1070" s="2" t="s">
        <v>240</v>
      </c>
      <c r="CA1070" s="2" t="s">
        <v>3224</v>
      </c>
      <c r="CB1070" s="2" t="s">
        <v>927</v>
      </c>
      <c r="CC1070" s="2" t="s">
        <v>241</v>
      </c>
      <c r="CD1070" s="2" t="s">
        <v>228</v>
      </c>
      <c r="CE1070" s="4">
        <v>190</v>
      </c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</row>
    <row r="1071">
      <c r="A1071" s="2" t="s">
        <v>5693</v>
      </c>
      <c r="B1071" s="2" t="s">
        <v>970</v>
      </c>
      <c r="C1071" s="2" t="s">
        <v>300</v>
      </c>
      <c r="D1071" s="2" t="s">
        <v>971</v>
      </c>
      <c r="E1071" s="2" t="s">
        <v>3486</v>
      </c>
      <c r="F1071" s="2" t="s">
        <v>5611</v>
      </c>
      <c r="G1071" s="2" t="s">
        <v>5612</v>
      </c>
      <c r="H1071" s="2" t="s">
        <v>5613</v>
      </c>
      <c r="I1071" s="2" t="s">
        <v>5652</v>
      </c>
      <c r="J1071" s="2" t="s">
        <v>5657</v>
      </c>
      <c r="K1071" s="2" t="s">
        <v>316</v>
      </c>
      <c r="L1071" s="3">
        <v>32</v>
      </c>
      <c r="M1071" s="3">
        <v>33.6</v>
      </c>
      <c r="N1071" s="3">
        <v>69.99</v>
      </c>
      <c r="O1071" s="2" t="s">
        <v>240</v>
      </c>
      <c r="P1071" s="2" t="s">
        <v>333</v>
      </c>
      <c r="Q1071" s="2" t="s">
        <v>234</v>
      </c>
      <c r="R1071" s="2" t="s">
        <v>228</v>
      </c>
      <c r="S1071" s="2" t="s">
        <v>5683</v>
      </c>
      <c r="T1071" s="2" t="s">
        <v>415</v>
      </c>
      <c r="U1071" s="2" t="s">
        <v>416</v>
      </c>
      <c r="V1071" s="2" t="s">
        <v>236</v>
      </c>
      <c r="W1071" s="2" t="s">
        <v>269</v>
      </c>
      <c r="X1071" s="2" t="s">
        <v>228</v>
      </c>
      <c r="Y1071" s="2" t="s">
        <v>4467</v>
      </c>
      <c r="Z1071" s="4">
        <v>105</v>
      </c>
      <c r="AA1071" s="4">
        <f>=ROUNDDOWN(10.5,0)</f>
      </c>
      <c r="AB1071" s="5">
        <v>10</v>
      </c>
      <c r="AC1071" s="2" t="s">
        <v>228</v>
      </c>
      <c r="AD1071" s="4"/>
      <c r="AE1071" s="4"/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228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228</v>
      </c>
      <c r="AW1071" s="8" t="s">
        <v>228</v>
      </c>
      <c r="AX1071" s="4" t="s">
        <v>228</v>
      </c>
      <c r="AY1071" s="8" t="s">
        <v>228</v>
      </c>
      <c r="AZ1071" s="7" t="s">
        <v>228</v>
      </c>
      <c r="BA1071" s="7" t="s">
        <v>228</v>
      </c>
      <c r="BB1071" s="7"/>
      <c r="BC1071" s="4" t="s">
        <v>228</v>
      </c>
      <c r="BD1071" s="8" t="s">
        <v>228</v>
      </c>
      <c r="BE1071" s="4" t="s">
        <v>228</v>
      </c>
      <c r="BF1071" s="8" t="s">
        <v>228</v>
      </c>
      <c r="BG1071" s="7" t="s">
        <v>228</v>
      </c>
      <c r="BH1071" s="7" t="s">
        <v>228</v>
      </c>
      <c r="BI1071" s="7"/>
      <c r="BJ1071" s="4">
        <v>41</v>
      </c>
      <c r="BK1071" s="8">
        <v>1181.16</v>
      </c>
      <c r="BL1071" s="2" t="s">
        <v>3503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5694</v>
      </c>
      <c r="BV1071" s="2" t="s">
        <v>228</v>
      </c>
      <c r="BW1071" s="2" t="s">
        <v>228</v>
      </c>
      <c r="BX1071" s="2" t="s">
        <v>337</v>
      </c>
      <c r="BY1071" s="2" t="s">
        <v>274</v>
      </c>
      <c r="BZ1071" s="2" t="s">
        <v>240</v>
      </c>
      <c r="CA1071" s="2" t="s">
        <v>3224</v>
      </c>
      <c r="CB1071" s="2" t="s">
        <v>5695</v>
      </c>
      <c r="CC1071" s="2" t="s">
        <v>241</v>
      </c>
      <c r="CD1071" s="2" t="s">
        <v>228</v>
      </c>
      <c r="CE1071" s="4">
        <v>105</v>
      </c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</row>
    <row r="1072">
      <c r="A1072" s="2" t="s">
        <v>5696</v>
      </c>
      <c r="B1072" s="2" t="s">
        <v>970</v>
      </c>
      <c r="C1072" s="2" t="s">
        <v>300</v>
      </c>
      <c r="D1072" s="2" t="s">
        <v>971</v>
      </c>
      <c r="E1072" s="2" t="s">
        <v>3486</v>
      </c>
      <c r="F1072" s="2" t="s">
        <v>5611</v>
      </c>
      <c r="G1072" s="2" t="s">
        <v>5612</v>
      </c>
      <c r="H1072" s="2" t="s">
        <v>5613</v>
      </c>
      <c r="I1072" s="2" t="s">
        <v>5652</v>
      </c>
      <c r="J1072" s="2" t="s">
        <v>5697</v>
      </c>
      <c r="K1072" s="2" t="s">
        <v>316</v>
      </c>
      <c r="L1072" s="3">
        <v>38.5</v>
      </c>
      <c r="M1072" s="3">
        <v>40.43</v>
      </c>
      <c r="N1072" s="3">
        <v>81.99</v>
      </c>
      <c r="O1072" s="2" t="s">
        <v>240</v>
      </c>
      <c r="P1072" s="2" t="s">
        <v>333</v>
      </c>
      <c r="Q1072" s="2" t="s">
        <v>234</v>
      </c>
      <c r="R1072" s="2" t="s">
        <v>228</v>
      </c>
      <c r="S1072" s="2" t="s">
        <v>5683</v>
      </c>
      <c r="T1072" s="2" t="s">
        <v>415</v>
      </c>
      <c r="U1072" s="2" t="s">
        <v>416</v>
      </c>
      <c r="V1072" s="2" t="s">
        <v>236</v>
      </c>
      <c r="W1072" s="2" t="s">
        <v>269</v>
      </c>
      <c r="X1072" s="2" t="s">
        <v>228</v>
      </c>
      <c r="Y1072" s="2" t="s">
        <v>4467</v>
      </c>
      <c r="Z1072" s="4">
        <v>44</v>
      </c>
      <c r="AA1072" s="4">
        <f>=ROUNDDOWN(4.63157894736842,0)</f>
      </c>
      <c r="AB1072" s="5">
        <v>9.5</v>
      </c>
      <c r="AC1072" s="2" t="s">
        <v>228</v>
      </c>
      <c r="AD1072" s="4"/>
      <c r="AE1072" s="4"/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228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228</v>
      </c>
      <c r="AW1072" s="8" t="s">
        <v>228</v>
      </c>
      <c r="AX1072" s="4" t="s">
        <v>228</v>
      </c>
      <c r="AY1072" s="8" t="s">
        <v>228</v>
      </c>
      <c r="AZ1072" s="7" t="s">
        <v>228</v>
      </c>
      <c r="BA1072" s="7" t="s">
        <v>228</v>
      </c>
      <c r="BB1072" s="7"/>
      <c r="BC1072" s="4" t="s">
        <v>228</v>
      </c>
      <c r="BD1072" s="8" t="s">
        <v>228</v>
      </c>
      <c r="BE1072" s="4" t="s">
        <v>228</v>
      </c>
      <c r="BF1072" s="8" t="s">
        <v>228</v>
      </c>
      <c r="BG1072" s="7" t="s">
        <v>228</v>
      </c>
      <c r="BH1072" s="7" t="s">
        <v>228</v>
      </c>
      <c r="BI1072" s="7"/>
      <c r="BJ1072" s="4">
        <v>38</v>
      </c>
      <c r="BK1072" s="8">
        <v>1496.85</v>
      </c>
      <c r="BL1072" s="2" t="s">
        <v>5698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5699</v>
      </c>
      <c r="BV1072" s="2" t="s">
        <v>228</v>
      </c>
      <c r="BW1072" s="2" t="s">
        <v>228</v>
      </c>
      <c r="BX1072" s="2" t="s">
        <v>337</v>
      </c>
      <c r="BY1072" s="2" t="s">
        <v>274</v>
      </c>
      <c r="BZ1072" s="2" t="s">
        <v>240</v>
      </c>
      <c r="CA1072" s="2" t="s">
        <v>3224</v>
      </c>
      <c r="CB1072" s="2" t="s">
        <v>5700</v>
      </c>
      <c r="CC1072" s="2" t="s">
        <v>241</v>
      </c>
      <c r="CD1072" s="2" t="s">
        <v>228</v>
      </c>
      <c r="CE1072" s="4">
        <v>44</v>
      </c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</row>
    <row r="1073">
      <c r="A1073" s="2" t="s">
        <v>5701</v>
      </c>
      <c r="B1073" s="2" t="s">
        <v>958</v>
      </c>
      <c r="C1073" s="2" t="s">
        <v>300</v>
      </c>
      <c r="D1073" s="2" t="s">
        <v>1795</v>
      </c>
      <c r="E1073" s="2" t="s">
        <v>1796</v>
      </c>
      <c r="F1073" s="2" t="s">
        <v>5702</v>
      </c>
      <c r="G1073" s="2" t="s">
        <v>5703</v>
      </c>
      <c r="H1073" s="2" t="s">
        <v>5704</v>
      </c>
      <c r="I1073" s="2" t="s">
        <v>5705</v>
      </c>
      <c r="J1073" s="2" t="s">
        <v>840</v>
      </c>
      <c r="K1073" s="2" t="s">
        <v>2480</v>
      </c>
      <c r="L1073" s="3">
        <v>142.6</v>
      </c>
      <c r="M1073" s="3">
        <v>149.73</v>
      </c>
      <c r="N1073" s="3">
        <v>299</v>
      </c>
      <c r="O1073" s="2" t="s">
        <v>240</v>
      </c>
      <c r="P1073" s="2" t="s">
        <v>1012</v>
      </c>
      <c r="Q1073" s="2" t="s">
        <v>234</v>
      </c>
      <c r="R1073" s="2" t="s">
        <v>228</v>
      </c>
      <c r="S1073" s="2" t="s">
        <v>5706</v>
      </c>
      <c r="T1073" s="2" t="s">
        <v>228</v>
      </c>
      <c r="U1073" s="2" t="s">
        <v>228</v>
      </c>
      <c r="V1073" s="2" t="s">
        <v>236</v>
      </c>
      <c r="W1073" s="2" t="s">
        <v>417</v>
      </c>
      <c r="X1073" s="2" t="s">
        <v>228</v>
      </c>
      <c r="Y1073" s="2" t="s">
        <v>270</v>
      </c>
      <c r="Z1073" s="4">
        <v>179</v>
      </c>
      <c r="AA1073" s="4">
        <f>=ROUNDDOWN(59.6666666666667,0)</f>
      </c>
      <c r="AB1073" s="5">
        <v>3</v>
      </c>
      <c r="AC1073" s="2" t="s">
        <v>228</v>
      </c>
      <c r="AD1073" s="4"/>
      <c r="AE1073" s="4"/>
      <c r="AF1073" s="6">
        <v>74</v>
      </c>
      <c r="AG1073" s="6"/>
      <c r="AH1073" s="7">
        <v>1</v>
      </c>
      <c r="AI1073" s="4"/>
      <c r="AJ1073" s="4">
        <f>=ROUNDDOWN({0},0)</f>
      </c>
      <c r="AK1073" s="5"/>
      <c r="AL1073" s="2" t="s">
        <v>228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/>
      <c r="AW1073" s="8"/>
      <c r="AX1073" s="4"/>
      <c r="AY1073" s="8"/>
      <c r="AZ1073" s="7"/>
      <c r="BA1073" s="7"/>
      <c r="BB1073" s="7"/>
      <c r="BC1073" s="4" t="s">
        <v>228</v>
      </c>
      <c r="BD1073" s="8" t="s">
        <v>228</v>
      </c>
      <c r="BE1073" s="4" t="s">
        <v>228</v>
      </c>
      <c r="BF1073" s="8" t="s">
        <v>228</v>
      </c>
      <c r="BG1073" s="7" t="s">
        <v>228</v>
      </c>
      <c r="BH1073" s="7" t="s">
        <v>228</v>
      </c>
      <c r="BI1073" s="7"/>
      <c r="BJ1073" s="4">
        <v>7</v>
      </c>
      <c r="BK1073" s="8">
        <v>998.14</v>
      </c>
      <c r="BL1073" s="2" t="s">
        <v>5707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5708</v>
      </c>
      <c r="BV1073" s="2" t="s">
        <v>228</v>
      </c>
      <c r="BW1073" s="2" t="s">
        <v>228</v>
      </c>
      <c r="BX1073" s="2" t="s">
        <v>273</v>
      </c>
      <c r="BY1073" s="2" t="s">
        <v>274</v>
      </c>
      <c r="BZ1073" s="2" t="s">
        <v>240</v>
      </c>
      <c r="CA1073" s="2" t="s">
        <v>275</v>
      </c>
      <c r="CB1073" s="2" t="s">
        <v>3283</v>
      </c>
      <c r="CC1073" s="2" t="s">
        <v>241</v>
      </c>
      <c r="CD1073" s="2" t="s">
        <v>228</v>
      </c>
      <c r="CE1073" s="4"/>
      <c r="CF1073" s="4">
        <v>179</v>
      </c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/>
      <c r="HB1073" s="4"/>
      <c r="HC1073" s="4"/>
      <c r="HD1073" s="4"/>
      <c r="HE1073" s="4"/>
    </row>
    <row r="1074">
      <c r="A1074" s="2" t="s">
        <v>5709</v>
      </c>
      <c r="B1074" s="2" t="s">
        <v>958</v>
      </c>
      <c r="C1074" s="2" t="s">
        <v>300</v>
      </c>
      <c r="D1074" s="2" t="s">
        <v>1795</v>
      </c>
      <c r="E1074" s="2" t="s">
        <v>1796</v>
      </c>
      <c r="F1074" s="2" t="s">
        <v>5702</v>
      </c>
      <c r="G1074" s="2" t="s">
        <v>5703</v>
      </c>
      <c r="H1074" s="2" t="s">
        <v>5704</v>
      </c>
      <c r="I1074" s="2" t="s">
        <v>5705</v>
      </c>
      <c r="J1074" s="2" t="s">
        <v>840</v>
      </c>
      <c r="K1074" s="2" t="s">
        <v>1466</v>
      </c>
      <c r="L1074" s="3">
        <v>142.6</v>
      </c>
      <c r="M1074" s="3">
        <v>149.73</v>
      </c>
      <c r="N1074" s="3">
        <v>299</v>
      </c>
      <c r="O1074" s="2" t="s">
        <v>240</v>
      </c>
      <c r="P1074" s="2" t="s">
        <v>1012</v>
      </c>
      <c r="Q1074" s="2" t="s">
        <v>234</v>
      </c>
      <c r="R1074" s="2" t="s">
        <v>228</v>
      </c>
      <c r="S1074" s="2" t="s">
        <v>5710</v>
      </c>
      <c r="T1074" s="2" t="s">
        <v>228</v>
      </c>
      <c r="U1074" s="2" t="s">
        <v>228</v>
      </c>
      <c r="V1074" s="2" t="s">
        <v>236</v>
      </c>
      <c r="W1074" s="2" t="s">
        <v>417</v>
      </c>
      <c r="X1074" s="2" t="s">
        <v>228</v>
      </c>
      <c r="Y1074" s="2" t="s">
        <v>270</v>
      </c>
      <c r="Z1074" s="4">
        <v>150</v>
      </c>
      <c r="AA1074" s="4">
        <f>=ROUNDDOWN(50,0)</f>
      </c>
      <c r="AB1074" s="5">
        <v>3</v>
      </c>
      <c r="AC1074" s="2" t="s">
        <v>228</v>
      </c>
      <c r="AD1074" s="4"/>
      <c r="AE1074" s="4"/>
      <c r="AF1074" s="6">
        <v>74</v>
      </c>
      <c r="AG1074" s="6"/>
      <c r="AH1074" s="7">
        <v>1</v>
      </c>
      <c r="AI1074" s="4"/>
      <c r="AJ1074" s="4">
        <f>=ROUNDDOWN({0},0)</f>
      </c>
      <c r="AK1074" s="5"/>
      <c r="AL1074" s="2" t="s">
        <v>228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/>
      <c r="AW1074" s="8"/>
      <c r="AX1074" s="4"/>
      <c r="AY1074" s="8"/>
      <c r="AZ1074" s="7"/>
      <c r="BA1074" s="7"/>
      <c r="BB1074" s="7"/>
      <c r="BC1074" s="4" t="s">
        <v>228</v>
      </c>
      <c r="BD1074" s="8" t="s">
        <v>228</v>
      </c>
      <c r="BE1074" s="4" t="s">
        <v>228</v>
      </c>
      <c r="BF1074" s="8" t="s">
        <v>228</v>
      </c>
      <c r="BG1074" s="7" t="s">
        <v>228</v>
      </c>
      <c r="BH1074" s="7" t="s">
        <v>228</v>
      </c>
      <c r="BI1074" s="7"/>
      <c r="BJ1074" s="4">
        <v>10</v>
      </c>
      <c r="BK1074" s="8">
        <v>1471.62</v>
      </c>
      <c r="BL1074" s="2" t="s">
        <v>5711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5712</v>
      </c>
      <c r="BV1074" s="2" t="s">
        <v>228</v>
      </c>
      <c r="BW1074" s="2" t="s">
        <v>228</v>
      </c>
      <c r="BX1074" s="2" t="s">
        <v>273</v>
      </c>
      <c r="BY1074" s="2" t="s">
        <v>274</v>
      </c>
      <c r="BZ1074" s="2" t="s">
        <v>240</v>
      </c>
      <c r="CA1074" s="2" t="s">
        <v>275</v>
      </c>
      <c r="CB1074" s="2" t="s">
        <v>5713</v>
      </c>
      <c r="CC1074" s="2" t="s">
        <v>241</v>
      </c>
      <c r="CD1074" s="2" t="s">
        <v>228</v>
      </c>
      <c r="CE1074" s="4"/>
      <c r="CF1074" s="4">
        <v>150</v>
      </c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</row>
    <row r="1075">
      <c r="A1075" s="2" t="s">
        <v>5714</v>
      </c>
      <c r="B1075" s="2" t="s">
        <v>958</v>
      </c>
      <c r="C1075" s="2" t="s">
        <v>300</v>
      </c>
      <c r="D1075" s="2" t="s">
        <v>1795</v>
      </c>
      <c r="E1075" s="2" t="s">
        <v>1796</v>
      </c>
      <c r="F1075" s="2" t="s">
        <v>5702</v>
      </c>
      <c r="G1075" s="2" t="s">
        <v>5703</v>
      </c>
      <c r="H1075" s="2" t="s">
        <v>5704</v>
      </c>
      <c r="I1075" s="2" t="s">
        <v>5705</v>
      </c>
      <c r="J1075" s="2" t="s">
        <v>840</v>
      </c>
      <c r="K1075" s="2" t="s">
        <v>249</v>
      </c>
      <c r="L1075" s="3">
        <v>142.6</v>
      </c>
      <c r="M1075" s="3">
        <v>149.73</v>
      </c>
      <c r="N1075" s="3">
        <v>299</v>
      </c>
      <c r="O1075" s="2" t="s">
        <v>240</v>
      </c>
      <c r="P1075" s="2" t="s">
        <v>1012</v>
      </c>
      <c r="Q1075" s="2" t="s">
        <v>234</v>
      </c>
      <c r="R1075" s="2" t="s">
        <v>228</v>
      </c>
      <c r="S1075" s="2" t="s">
        <v>5715</v>
      </c>
      <c r="T1075" s="2" t="s">
        <v>228</v>
      </c>
      <c r="U1075" s="2" t="s">
        <v>228</v>
      </c>
      <c r="V1075" s="2" t="s">
        <v>236</v>
      </c>
      <c r="W1075" s="2" t="s">
        <v>417</v>
      </c>
      <c r="X1075" s="2" t="s">
        <v>228</v>
      </c>
      <c r="Y1075" s="2" t="s">
        <v>270</v>
      </c>
      <c r="Z1075" s="4">
        <v>184</v>
      </c>
      <c r="AA1075" s="4">
        <f>=ROUNDDOWN(70.7692307692308,0)</f>
      </c>
      <c r="AB1075" s="5">
        <v>2.6</v>
      </c>
      <c r="AC1075" s="2" t="s">
        <v>228</v>
      </c>
      <c r="AD1075" s="4"/>
      <c r="AE1075" s="4"/>
      <c r="AF1075" s="6">
        <v>74</v>
      </c>
      <c r="AG1075" s="6"/>
      <c r="AH1075" s="7">
        <v>1</v>
      </c>
      <c r="AI1075" s="4"/>
      <c r="AJ1075" s="4">
        <f>=ROUNDDOWN({0},0)</f>
      </c>
      <c r="AK1075" s="5"/>
      <c r="AL1075" s="2" t="s">
        <v>228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/>
      <c r="AW1075" s="8"/>
      <c r="AX1075" s="4"/>
      <c r="AY1075" s="8"/>
      <c r="AZ1075" s="7"/>
      <c r="BA1075" s="7"/>
      <c r="BB1075" s="7"/>
      <c r="BC1075" s="4" t="s">
        <v>228</v>
      </c>
      <c r="BD1075" s="8" t="s">
        <v>228</v>
      </c>
      <c r="BE1075" s="4" t="s">
        <v>228</v>
      </c>
      <c r="BF1075" s="8" t="s">
        <v>228</v>
      </c>
      <c r="BG1075" s="7" t="s">
        <v>228</v>
      </c>
      <c r="BH1075" s="7" t="s">
        <v>228</v>
      </c>
      <c r="BI1075" s="7"/>
      <c r="BJ1075" s="4">
        <v>16</v>
      </c>
      <c r="BK1075" s="8">
        <v>2030.86</v>
      </c>
      <c r="BL1075" s="2" t="s">
        <v>5716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5717</v>
      </c>
      <c r="BV1075" s="2" t="s">
        <v>228</v>
      </c>
      <c r="BW1075" s="2" t="s">
        <v>228</v>
      </c>
      <c r="BX1075" s="2" t="s">
        <v>273</v>
      </c>
      <c r="BY1075" s="2" t="s">
        <v>274</v>
      </c>
      <c r="BZ1075" s="2" t="s">
        <v>240</v>
      </c>
      <c r="CA1075" s="2" t="s">
        <v>275</v>
      </c>
      <c r="CB1075" s="2" t="s">
        <v>5718</v>
      </c>
      <c r="CC1075" s="2" t="s">
        <v>241</v>
      </c>
      <c r="CD1075" s="2" t="s">
        <v>228</v>
      </c>
      <c r="CE1075" s="4"/>
      <c r="CF1075" s="4">
        <v>184</v>
      </c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/>
      <c r="HB1075" s="4"/>
      <c r="HC1075" s="4"/>
      <c r="HD1075" s="4"/>
      <c r="HE1075" s="4"/>
    </row>
    <row r="1076">
      <c r="A1076" s="2" t="s">
        <v>5719</v>
      </c>
      <c r="B1076" s="2" t="s">
        <v>834</v>
      </c>
      <c r="C1076" s="2" t="s">
        <v>835</v>
      </c>
      <c r="D1076" s="2" t="s">
        <v>836</v>
      </c>
      <c r="E1076" s="2" t="s">
        <v>837</v>
      </c>
      <c r="F1076" s="2" t="s">
        <v>5720</v>
      </c>
      <c r="G1076" s="2" t="s">
        <v>5720</v>
      </c>
      <c r="H1076" s="2" t="s">
        <v>5720</v>
      </c>
      <c r="I1076" s="2" t="s">
        <v>5721</v>
      </c>
      <c r="J1076" s="2" t="s">
        <v>840</v>
      </c>
      <c r="K1076" s="2" t="s">
        <v>5341</v>
      </c>
      <c r="L1076" s="3">
        <v>87.4</v>
      </c>
      <c r="M1076" s="3">
        <v>91.77</v>
      </c>
      <c r="N1076" s="3">
        <v>199.99</v>
      </c>
      <c r="O1076" s="2" t="s">
        <v>461</v>
      </c>
      <c r="P1076" s="2" t="s">
        <v>333</v>
      </c>
      <c r="Q1076" s="2" t="s">
        <v>234</v>
      </c>
      <c r="R1076" s="2" t="s">
        <v>228</v>
      </c>
      <c r="S1076" s="2" t="s">
        <v>228</v>
      </c>
      <c r="T1076" s="2" t="s">
        <v>228</v>
      </c>
      <c r="U1076" s="2" t="s">
        <v>416</v>
      </c>
      <c r="V1076" s="2" t="s">
        <v>842</v>
      </c>
      <c r="W1076" s="2" t="s">
        <v>417</v>
      </c>
      <c r="X1076" s="2" t="s">
        <v>843</v>
      </c>
      <c r="Y1076" s="2" t="s">
        <v>472</v>
      </c>
      <c r="Z1076" s="4">
        <v>97</v>
      </c>
      <c r="AA1076" s="4">
        <f>=ROUNDDOWN({0},0)</f>
      </c>
      <c r="AB1076" s="5"/>
      <c r="AC1076" s="2" t="s">
        <v>228</v>
      </c>
      <c r="AD1076" s="4"/>
      <c r="AE1076" s="4"/>
      <c r="AF1076" s="6">
        <v>63</v>
      </c>
      <c r="AG1076" s="6"/>
      <c r="AH1076" s="7">
        <v>1</v>
      </c>
      <c r="AI1076" s="4"/>
      <c r="AJ1076" s="4">
        <f>=ROUNDDOWN({0},0)</f>
      </c>
      <c r="AK1076" s="5"/>
      <c r="AL1076" s="2" t="s">
        <v>228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/>
      <c r="AW1076" s="8"/>
      <c r="AX1076" s="4"/>
      <c r="AY1076" s="8"/>
      <c r="AZ1076" s="7"/>
      <c r="BA1076" s="7"/>
      <c r="BB1076" s="7"/>
      <c r="BC1076" s="4"/>
      <c r="BD1076" s="8"/>
      <c r="BE1076" s="4"/>
      <c r="BF1076" s="8"/>
      <c r="BG1076" s="7"/>
      <c r="BH1076" s="7"/>
      <c r="BI1076" s="7"/>
      <c r="BJ1076" s="4"/>
      <c r="BK1076" s="8"/>
      <c r="BL1076" s="2" t="s">
        <v>228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5722</v>
      </c>
      <c r="BV1076" s="2" t="s">
        <v>228</v>
      </c>
      <c r="BW1076" s="2" t="s">
        <v>228</v>
      </c>
      <c r="BX1076" s="2" t="s">
        <v>337</v>
      </c>
      <c r="BY1076" s="2" t="s">
        <v>274</v>
      </c>
      <c r="BZ1076" s="2" t="s">
        <v>240</v>
      </c>
      <c r="CA1076" s="2" t="s">
        <v>845</v>
      </c>
      <c r="CB1076" s="2" t="s">
        <v>228</v>
      </c>
      <c r="CC1076" s="2" t="s">
        <v>241</v>
      </c>
      <c r="CD1076" s="2" t="s">
        <v>228</v>
      </c>
      <c r="CE1076" s="4"/>
      <c r="CF1076" s="4">
        <v>97</v>
      </c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</row>
    <row r="1077">
      <c r="A1077" s="2" t="s">
        <v>5723</v>
      </c>
      <c r="B1077" s="2" t="s">
        <v>958</v>
      </c>
      <c r="C1077" s="2" t="s">
        <v>300</v>
      </c>
      <c r="D1077" s="2" t="s">
        <v>959</v>
      </c>
      <c r="E1077" s="2" t="s">
        <v>3094</v>
      </c>
      <c r="F1077" s="2" t="s">
        <v>5724</v>
      </c>
      <c r="G1077" s="2" t="s">
        <v>2171</v>
      </c>
      <c r="H1077" s="2" t="s">
        <v>5725</v>
      </c>
      <c r="I1077" s="2" t="s">
        <v>5726</v>
      </c>
      <c r="J1077" s="2" t="s">
        <v>840</v>
      </c>
      <c r="K1077" s="2" t="s">
        <v>1421</v>
      </c>
      <c r="L1077" s="3">
        <v>214.2</v>
      </c>
      <c r="M1077" s="3">
        <v>224.91</v>
      </c>
      <c r="N1077" s="3">
        <v>449</v>
      </c>
      <c r="O1077" s="2" t="s">
        <v>240</v>
      </c>
      <c r="P1077" s="2" t="s">
        <v>333</v>
      </c>
      <c r="Q1077" s="2" t="s">
        <v>234</v>
      </c>
      <c r="R1077" s="2" t="s">
        <v>228</v>
      </c>
      <c r="S1077" s="2" t="s">
        <v>228</v>
      </c>
      <c r="T1077" s="2" t="s">
        <v>228</v>
      </c>
      <c r="U1077" s="2" t="s">
        <v>416</v>
      </c>
      <c r="V1077" s="2" t="s">
        <v>842</v>
      </c>
      <c r="W1077" s="2" t="s">
        <v>463</v>
      </c>
      <c r="X1077" s="2" t="s">
        <v>417</v>
      </c>
      <c r="Y1077" s="2" t="s">
        <v>5351</v>
      </c>
      <c r="Z1077" s="4">
        <v>24</v>
      </c>
      <c r="AA1077" s="4">
        <f>=ROUNDDOWN(24,0)</f>
      </c>
      <c r="AB1077" s="5">
        <v>1</v>
      </c>
      <c r="AC1077" s="2" t="s">
        <v>228</v>
      </c>
      <c r="AD1077" s="4"/>
      <c r="AE1077" s="4"/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228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/>
      <c r="AW1077" s="8"/>
      <c r="AX1077" s="4"/>
      <c r="AY1077" s="8"/>
      <c r="AZ1077" s="7"/>
      <c r="BA1077" s="7"/>
      <c r="BB1077" s="7"/>
      <c r="BC1077" s="4"/>
      <c r="BD1077" s="8"/>
      <c r="BE1077" s="4"/>
      <c r="BF1077" s="8"/>
      <c r="BG1077" s="7"/>
      <c r="BH1077" s="7"/>
      <c r="BI1077" s="7"/>
      <c r="BJ1077" s="4">
        <v>3</v>
      </c>
      <c r="BK1077" s="8">
        <v>498.76</v>
      </c>
      <c r="BL1077" s="2" t="s">
        <v>5727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5728</v>
      </c>
      <c r="BV1077" s="2" t="s">
        <v>228</v>
      </c>
      <c r="BW1077" s="2" t="s">
        <v>228</v>
      </c>
      <c r="BX1077" s="2" t="s">
        <v>337</v>
      </c>
      <c r="BY1077" s="2" t="s">
        <v>274</v>
      </c>
      <c r="BZ1077" s="2" t="s">
        <v>240</v>
      </c>
      <c r="CA1077" s="2" t="s">
        <v>5351</v>
      </c>
      <c r="CB1077" s="2" t="s">
        <v>228</v>
      </c>
      <c r="CC1077" s="2" t="s">
        <v>241</v>
      </c>
      <c r="CD1077" s="2" t="s">
        <v>228</v>
      </c>
      <c r="CE1077" s="4"/>
      <c r="CF1077" s="4">
        <v>24</v>
      </c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</row>
    <row r="1078">
      <c r="A1078" s="2" t="s">
        <v>5729</v>
      </c>
      <c r="B1078" s="2" t="s">
        <v>1150</v>
      </c>
      <c r="C1078" s="2" t="s">
        <v>1463</v>
      </c>
      <c r="D1078" s="2" t="s">
        <v>1316</v>
      </c>
      <c r="E1078" s="2" t="s">
        <v>2396</v>
      </c>
      <c r="F1078" s="2" t="s">
        <v>5730</v>
      </c>
      <c r="G1078" s="2" t="s">
        <v>5730</v>
      </c>
      <c r="H1078" s="2" t="s">
        <v>5730</v>
      </c>
      <c r="I1078" s="2" t="s">
        <v>5731</v>
      </c>
      <c r="J1078" s="2" t="s">
        <v>1189</v>
      </c>
      <c r="K1078" s="2" t="s">
        <v>231</v>
      </c>
      <c r="L1078" s="3">
        <v>68.09</v>
      </c>
      <c r="M1078" s="3">
        <v>71.49</v>
      </c>
      <c r="N1078" s="3">
        <v>199.99</v>
      </c>
      <c r="O1078" s="2" t="s">
        <v>240</v>
      </c>
      <c r="P1078" s="2" t="s">
        <v>333</v>
      </c>
      <c r="Q1078" s="2" t="s">
        <v>234</v>
      </c>
      <c r="R1078" s="2" t="s">
        <v>228</v>
      </c>
      <c r="S1078" s="2" t="s">
        <v>228</v>
      </c>
      <c r="T1078" s="2" t="s">
        <v>350</v>
      </c>
      <c r="U1078" s="2" t="s">
        <v>228</v>
      </c>
      <c r="V1078" s="2" t="s">
        <v>236</v>
      </c>
      <c r="W1078" s="2" t="s">
        <v>269</v>
      </c>
      <c r="X1078" s="2" t="s">
        <v>228</v>
      </c>
      <c r="Y1078" s="2" t="s">
        <v>1467</v>
      </c>
      <c r="Z1078" s="4">
        <v>57</v>
      </c>
      <c r="AA1078" s="4">
        <f>=ROUNDDOWN(57,0)</f>
      </c>
      <c r="AB1078" s="5">
        <v>1</v>
      </c>
      <c r="AC1078" s="2" t="s">
        <v>228</v>
      </c>
      <c r="AD1078" s="4"/>
      <c r="AE1078" s="4"/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228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228</v>
      </c>
      <c r="AW1078" s="8" t="s">
        <v>228</v>
      </c>
      <c r="AX1078" s="4" t="s">
        <v>228</v>
      </c>
      <c r="AY1078" s="8" t="s">
        <v>228</v>
      </c>
      <c r="AZ1078" s="7" t="s">
        <v>228</v>
      </c>
      <c r="BA1078" s="7" t="s">
        <v>228</v>
      </c>
      <c r="BB1078" s="7"/>
      <c r="BC1078" s="4" t="s">
        <v>228</v>
      </c>
      <c r="BD1078" s="8" t="s">
        <v>228</v>
      </c>
      <c r="BE1078" s="4" t="s">
        <v>228</v>
      </c>
      <c r="BF1078" s="8" t="s">
        <v>228</v>
      </c>
      <c r="BG1078" s="7" t="s">
        <v>228</v>
      </c>
      <c r="BH1078" s="7" t="s">
        <v>228</v>
      </c>
      <c r="BI1078" s="7"/>
      <c r="BJ1078" s="4"/>
      <c r="BK1078" s="8"/>
      <c r="BL1078" s="2" t="s">
        <v>228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5732</v>
      </c>
      <c r="BV1078" s="2" t="s">
        <v>228</v>
      </c>
      <c r="BW1078" s="2" t="s">
        <v>228</v>
      </c>
      <c r="BX1078" s="2" t="s">
        <v>337</v>
      </c>
      <c r="BY1078" s="2" t="s">
        <v>274</v>
      </c>
      <c r="BZ1078" s="2" t="s">
        <v>240</v>
      </c>
      <c r="CA1078" s="2" t="s">
        <v>5733</v>
      </c>
      <c r="CB1078" s="2" t="s">
        <v>5734</v>
      </c>
      <c r="CC1078" s="2" t="s">
        <v>241</v>
      </c>
      <c r="CD1078" s="2" t="s">
        <v>228</v>
      </c>
      <c r="CE1078" s="4">
        <v>57</v>
      </c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4"/>
      <c r="GT1078" s="4"/>
      <c r="GU1078" s="4"/>
      <c r="GV1078" s="4"/>
      <c r="GW1078" s="4"/>
      <c r="GX1078" s="4"/>
      <c r="GY1078" s="4"/>
      <c r="GZ1078" s="4"/>
      <c r="HA1078" s="4"/>
      <c r="HB1078" s="4"/>
      <c r="HC1078" s="4"/>
      <c r="HD1078" s="4"/>
      <c r="HE1078" s="4"/>
    </row>
    <row r="1079">
      <c r="A1079" s="2" t="s">
        <v>5735</v>
      </c>
      <c r="B1079" s="2" t="s">
        <v>1150</v>
      </c>
      <c r="C1079" s="2" t="s">
        <v>1463</v>
      </c>
      <c r="D1079" s="2" t="s">
        <v>1316</v>
      </c>
      <c r="E1079" s="2" t="s">
        <v>2396</v>
      </c>
      <c r="F1079" s="2" t="s">
        <v>5730</v>
      </c>
      <c r="G1079" s="2" t="s">
        <v>5730</v>
      </c>
      <c r="H1079" s="2" t="s">
        <v>5730</v>
      </c>
      <c r="I1079" s="2" t="s">
        <v>5731</v>
      </c>
      <c r="J1079" s="2" t="s">
        <v>1043</v>
      </c>
      <c r="K1079" s="2" t="s">
        <v>231</v>
      </c>
      <c r="L1079" s="3">
        <v>85.12</v>
      </c>
      <c r="M1079" s="3">
        <v>89.38</v>
      </c>
      <c r="N1079" s="3">
        <v>249.99</v>
      </c>
      <c r="O1079" s="2" t="s">
        <v>240</v>
      </c>
      <c r="P1079" s="2" t="s">
        <v>333</v>
      </c>
      <c r="Q1079" s="2" t="s">
        <v>234</v>
      </c>
      <c r="R1079" s="2" t="s">
        <v>228</v>
      </c>
      <c r="S1079" s="2" t="s">
        <v>228</v>
      </c>
      <c r="T1079" s="2" t="s">
        <v>350</v>
      </c>
      <c r="U1079" s="2" t="s">
        <v>228</v>
      </c>
      <c r="V1079" s="2" t="s">
        <v>236</v>
      </c>
      <c r="W1079" s="2" t="s">
        <v>269</v>
      </c>
      <c r="X1079" s="2" t="s">
        <v>228</v>
      </c>
      <c r="Y1079" s="2" t="s">
        <v>1467</v>
      </c>
      <c r="Z1079" s="4">
        <v>4</v>
      </c>
      <c r="AA1079" s="4">
        <f>=ROUNDDOWN(2,0)</f>
      </c>
      <c r="AB1079" s="5">
        <v>2</v>
      </c>
      <c r="AC1079" s="2" t="s">
        <v>228</v>
      </c>
      <c r="AD1079" s="4"/>
      <c r="AE1079" s="4"/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228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228</v>
      </c>
      <c r="AW1079" s="8" t="s">
        <v>228</v>
      </c>
      <c r="AX1079" s="4" t="s">
        <v>228</v>
      </c>
      <c r="AY1079" s="8" t="s">
        <v>228</v>
      </c>
      <c r="AZ1079" s="7" t="s">
        <v>228</v>
      </c>
      <c r="BA1079" s="7" t="s">
        <v>228</v>
      </c>
      <c r="BB1079" s="7"/>
      <c r="BC1079" s="4" t="s">
        <v>228</v>
      </c>
      <c r="BD1079" s="8" t="s">
        <v>228</v>
      </c>
      <c r="BE1079" s="4" t="s">
        <v>228</v>
      </c>
      <c r="BF1079" s="8" t="s">
        <v>228</v>
      </c>
      <c r="BG1079" s="7" t="s">
        <v>228</v>
      </c>
      <c r="BH1079" s="7" t="s">
        <v>228</v>
      </c>
      <c r="BI1079" s="7"/>
      <c r="BJ1079" s="4">
        <v>4</v>
      </c>
      <c r="BK1079" s="8">
        <v>287.78</v>
      </c>
      <c r="BL1079" s="2" t="s">
        <v>5736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5737</v>
      </c>
      <c r="BV1079" s="2" t="s">
        <v>228</v>
      </c>
      <c r="BW1079" s="2" t="s">
        <v>228</v>
      </c>
      <c r="BX1079" s="2" t="s">
        <v>337</v>
      </c>
      <c r="BY1079" s="2" t="s">
        <v>274</v>
      </c>
      <c r="BZ1079" s="2" t="s">
        <v>240</v>
      </c>
      <c r="CA1079" s="2" t="s">
        <v>5733</v>
      </c>
      <c r="CB1079" s="2" t="s">
        <v>3296</v>
      </c>
      <c r="CC1079" s="2" t="s">
        <v>241</v>
      </c>
      <c r="CD1079" s="2" t="s">
        <v>228</v>
      </c>
      <c r="CE1079" s="4">
        <v>4</v>
      </c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</row>
    <row r="1080">
      <c r="A1080" s="2" t="s">
        <v>5738</v>
      </c>
      <c r="B1080" s="2" t="s">
        <v>1150</v>
      </c>
      <c r="C1080" s="2" t="s">
        <v>1463</v>
      </c>
      <c r="D1080" s="2" t="s">
        <v>3290</v>
      </c>
      <c r="E1080" s="2" t="s">
        <v>3291</v>
      </c>
      <c r="F1080" s="2" t="s">
        <v>5730</v>
      </c>
      <c r="G1080" s="2" t="s">
        <v>5730</v>
      </c>
      <c r="H1080" s="2" t="s">
        <v>5730</v>
      </c>
      <c r="I1080" s="2" t="s">
        <v>3293</v>
      </c>
      <c r="J1080" s="2" t="s">
        <v>2601</v>
      </c>
      <c r="K1080" s="2" t="s">
        <v>249</v>
      </c>
      <c r="L1080" s="3">
        <v>15.48</v>
      </c>
      <c r="M1080" s="3">
        <v>16.25</v>
      </c>
      <c r="N1080" s="3">
        <v>49.99</v>
      </c>
      <c r="O1080" s="2" t="s">
        <v>240</v>
      </c>
      <c r="P1080" s="2" t="s">
        <v>333</v>
      </c>
      <c r="Q1080" s="2" t="s">
        <v>234</v>
      </c>
      <c r="R1080" s="2" t="s">
        <v>228</v>
      </c>
      <c r="S1080" s="2" t="s">
        <v>228</v>
      </c>
      <c r="T1080" s="2" t="s">
        <v>350</v>
      </c>
      <c r="U1080" s="2" t="s">
        <v>228</v>
      </c>
      <c r="V1080" s="2" t="s">
        <v>236</v>
      </c>
      <c r="W1080" s="2" t="s">
        <v>269</v>
      </c>
      <c r="X1080" s="2" t="s">
        <v>228</v>
      </c>
      <c r="Y1080" s="2" t="s">
        <v>1467</v>
      </c>
      <c r="Z1080" s="4">
        <v>35</v>
      </c>
      <c r="AA1080" s="4">
        <f>=ROUNDDOWN(17.5,0)</f>
      </c>
      <c r="AB1080" s="5">
        <v>2</v>
      </c>
      <c r="AC1080" s="2" t="s">
        <v>228</v>
      </c>
      <c r="AD1080" s="4"/>
      <c r="AE1080" s="4"/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228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/>
      <c r="AW1080" s="8"/>
      <c r="AX1080" s="4"/>
      <c r="AY1080" s="8"/>
      <c r="AZ1080" s="7"/>
      <c r="BA1080" s="7"/>
      <c r="BB1080" s="7"/>
      <c r="BC1080" s="4" t="s">
        <v>228</v>
      </c>
      <c r="BD1080" s="8" t="s">
        <v>228</v>
      </c>
      <c r="BE1080" s="4" t="s">
        <v>228</v>
      </c>
      <c r="BF1080" s="8" t="s">
        <v>228</v>
      </c>
      <c r="BG1080" s="7" t="s">
        <v>228</v>
      </c>
      <c r="BH1080" s="7" t="s">
        <v>228</v>
      </c>
      <c r="BI1080" s="7"/>
      <c r="BJ1080" s="4"/>
      <c r="BK1080" s="8"/>
      <c r="BL1080" s="2" t="s">
        <v>1033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5739</v>
      </c>
      <c r="BV1080" s="2" t="s">
        <v>228</v>
      </c>
      <c r="BW1080" s="2" t="s">
        <v>228</v>
      </c>
      <c r="BX1080" s="2" t="s">
        <v>337</v>
      </c>
      <c r="BY1080" s="2" t="s">
        <v>274</v>
      </c>
      <c r="BZ1080" s="2" t="s">
        <v>240</v>
      </c>
      <c r="CA1080" s="2" t="s">
        <v>1469</v>
      </c>
      <c r="CB1080" s="2" t="s">
        <v>5740</v>
      </c>
      <c r="CC1080" s="2" t="s">
        <v>241</v>
      </c>
      <c r="CD1080" s="2" t="s">
        <v>228</v>
      </c>
      <c r="CE1080" s="4">
        <v>35</v>
      </c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</row>
    <row r="1081">
      <c r="A1081" s="2" t="s">
        <v>5741</v>
      </c>
      <c r="B1081" s="2" t="s">
        <v>1150</v>
      </c>
      <c r="C1081" s="2" t="s">
        <v>1463</v>
      </c>
      <c r="D1081" s="2" t="s">
        <v>1316</v>
      </c>
      <c r="E1081" s="2" t="s">
        <v>2396</v>
      </c>
      <c r="F1081" s="2" t="s">
        <v>5730</v>
      </c>
      <c r="G1081" s="2" t="s">
        <v>5730</v>
      </c>
      <c r="H1081" s="2" t="s">
        <v>5730</v>
      </c>
      <c r="I1081" s="2" t="s">
        <v>5742</v>
      </c>
      <c r="J1081" s="2" t="s">
        <v>1189</v>
      </c>
      <c r="K1081" s="2" t="s">
        <v>5743</v>
      </c>
      <c r="L1081" s="3">
        <v>68.09</v>
      </c>
      <c r="M1081" s="3">
        <v>71.49</v>
      </c>
      <c r="N1081" s="3">
        <v>199.99</v>
      </c>
      <c r="O1081" s="2" t="s">
        <v>240</v>
      </c>
      <c r="P1081" s="2" t="s">
        <v>333</v>
      </c>
      <c r="Q1081" s="2" t="s">
        <v>234</v>
      </c>
      <c r="R1081" s="2" t="s">
        <v>228</v>
      </c>
      <c r="S1081" s="2" t="s">
        <v>228</v>
      </c>
      <c r="T1081" s="2" t="s">
        <v>350</v>
      </c>
      <c r="U1081" s="2" t="s">
        <v>228</v>
      </c>
      <c r="V1081" s="2" t="s">
        <v>236</v>
      </c>
      <c r="W1081" s="2" t="s">
        <v>269</v>
      </c>
      <c r="X1081" s="2" t="s">
        <v>228</v>
      </c>
      <c r="Y1081" s="2" t="s">
        <v>1467</v>
      </c>
      <c r="Z1081" s="4">
        <v>51</v>
      </c>
      <c r="AA1081" s="4">
        <f>=ROUNDDOWN(51,0)</f>
      </c>
      <c r="AB1081" s="5">
        <v>1</v>
      </c>
      <c r="AC1081" s="2" t="s">
        <v>228</v>
      </c>
      <c r="AD1081" s="4"/>
      <c r="AE1081" s="4"/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228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228</v>
      </c>
      <c r="AW1081" s="8" t="s">
        <v>228</v>
      </c>
      <c r="AX1081" s="4" t="s">
        <v>228</v>
      </c>
      <c r="AY1081" s="8" t="s">
        <v>228</v>
      </c>
      <c r="AZ1081" s="7" t="s">
        <v>228</v>
      </c>
      <c r="BA1081" s="7" t="s">
        <v>228</v>
      </c>
      <c r="BB1081" s="7"/>
      <c r="BC1081" s="4" t="s">
        <v>228</v>
      </c>
      <c r="BD1081" s="8" t="s">
        <v>228</v>
      </c>
      <c r="BE1081" s="4" t="s">
        <v>228</v>
      </c>
      <c r="BF1081" s="8" t="s">
        <v>228</v>
      </c>
      <c r="BG1081" s="7" t="s">
        <v>228</v>
      </c>
      <c r="BH1081" s="7" t="s">
        <v>228</v>
      </c>
      <c r="BI1081" s="7"/>
      <c r="BJ1081" s="4">
        <v>2</v>
      </c>
      <c r="BK1081" s="8">
        <v>131.07</v>
      </c>
      <c r="BL1081" s="2" t="s">
        <v>2995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5744</v>
      </c>
      <c r="BV1081" s="2" t="s">
        <v>228</v>
      </c>
      <c r="BW1081" s="2" t="s">
        <v>228</v>
      </c>
      <c r="BX1081" s="2" t="s">
        <v>337</v>
      </c>
      <c r="BY1081" s="2" t="s">
        <v>274</v>
      </c>
      <c r="BZ1081" s="2" t="s">
        <v>240</v>
      </c>
      <c r="CA1081" s="2" t="s">
        <v>5733</v>
      </c>
      <c r="CB1081" s="2" t="s">
        <v>5745</v>
      </c>
      <c r="CC1081" s="2" t="s">
        <v>241</v>
      </c>
      <c r="CD1081" s="2" t="s">
        <v>228</v>
      </c>
      <c r="CE1081" s="4">
        <v>51</v>
      </c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/>
      <c r="GZ1081" s="4"/>
      <c r="HA1081" s="4"/>
      <c r="HB1081" s="4"/>
      <c r="HC1081" s="4"/>
      <c r="HD1081" s="4"/>
      <c r="HE1081" s="4"/>
    </row>
    <row r="1082">
      <c r="A1082" s="2" t="s">
        <v>5746</v>
      </c>
      <c r="B1082" s="2" t="s">
        <v>1150</v>
      </c>
      <c r="C1082" s="2" t="s">
        <v>1463</v>
      </c>
      <c r="D1082" s="2" t="s">
        <v>3290</v>
      </c>
      <c r="E1082" s="2" t="s">
        <v>3291</v>
      </c>
      <c r="F1082" s="2" t="s">
        <v>5730</v>
      </c>
      <c r="G1082" s="2" t="s">
        <v>5730</v>
      </c>
      <c r="H1082" s="2" t="s">
        <v>5730</v>
      </c>
      <c r="I1082" s="2" t="s">
        <v>3293</v>
      </c>
      <c r="J1082" s="2" t="s">
        <v>2601</v>
      </c>
      <c r="K1082" s="2" t="s">
        <v>5743</v>
      </c>
      <c r="L1082" s="3">
        <v>15.48</v>
      </c>
      <c r="M1082" s="3">
        <v>16.25</v>
      </c>
      <c r="N1082" s="3">
        <v>49.99</v>
      </c>
      <c r="O1082" s="2" t="s">
        <v>240</v>
      </c>
      <c r="P1082" s="2" t="s">
        <v>333</v>
      </c>
      <c r="Q1082" s="2" t="s">
        <v>234</v>
      </c>
      <c r="R1082" s="2" t="s">
        <v>228</v>
      </c>
      <c r="S1082" s="2" t="s">
        <v>228</v>
      </c>
      <c r="T1082" s="2" t="s">
        <v>350</v>
      </c>
      <c r="U1082" s="2" t="s">
        <v>228</v>
      </c>
      <c r="V1082" s="2" t="s">
        <v>236</v>
      </c>
      <c r="W1082" s="2" t="s">
        <v>269</v>
      </c>
      <c r="X1082" s="2" t="s">
        <v>228</v>
      </c>
      <c r="Y1082" s="2" t="s">
        <v>1467</v>
      </c>
      <c r="Z1082" s="4">
        <v>50</v>
      </c>
      <c r="AA1082" s="4">
        <f>=ROUNDDOWN(50,0)</f>
      </c>
      <c r="AB1082" s="5">
        <v>1</v>
      </c>
      <c r="AC1082" s="2" t="s">
        <v>228</v>
      </c>
      <c r="AD1082" s="4"/>
      <c r="AE1082" s="4"/>
      <c r="AF1082" s="6">
        <v>65</v>
      </c>
      <c r="AG1082" s="6"/>
      <c r="AH1082" s="7">
        <v>1</v>
      </c>
      <c r="AI1082" s="4"/>
      <c r="AJ1082" s="4">
        <f>=ROUNDDOWN({0},0)</f>
      </c>
      <c r="AK1082" s="5"/>
      <c r="AL1082" s="2" t="s">
        <v>228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228</v>
      </c>
      <c r="AW1082" s="8" t="s">
        <v>228</v>
      </c>
      <c r="AX1082" s="4" t="s">
        <v>228</v>
      </c>
      <c r="AY1082" s="8" t="s">
        <v>228</v>
      </c>
      <c r="AZ1082" s="7" t="s">
        <v>228</v>
      </c>
      <c r="BA1082" s="7" t="s">
        <v>228</v>
      </c>
      <c r="BB1082" s="7"/>
      <c r="BC1082" s="4" t="s">
        <v>228</v>
      </c>
      <c r="BD1082" s="8" t="s">
        <v>228</v>
      </c>
      <c r="BE1082" s="4" t="s">
        <v>228</v>
      </c>
      <c r="BF1082" s="8" t="s">
        <v>228</v>
      </c>
      <c r="BG1082" s="7" t="s">
        <v>228</v>
      </c>
      <c r="BH1082" s="7" t="s">
        <v>228</v>
      </c>
      <c r="BI1082" s="7"/>
      <c r="BJ1082" s="4">
        <v>9</v>
      </c>
      <c r="BK1082" s="8">
        <v>133.29</v>
      </c>
      <c r="BL1082" s="2" t="s">
        <v>2995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5747</v>
      </c>
      <c r="BV1082" s="2" t="s">
        <v>228</v>
      </c>
      <c r="BW1082" s="2" t="s">
        <v>228</v>
      </c>
      <c r="BX1082" s="2" t="s">
        <v>337</v>
      </c>
      <c r="BY1082" s="2" t="s">
        <v>274</v>
      </c>
      <c r="BZ1082" s="2" t="s">
        <v>240</v>
      </c>
      <c r="CA1082" s="2" t="s">
        <v>1469</v>
      </c>
      <c r="CB1082" s="2" t="s">
        <v>228</v>
      </c>
      <c r="CC1082" s="2" t="s">
        <v>241</v>
      </c>
      <c r="CD1082" s="2" t="s">
        <v>228</v>
      </c>
      <c r="CE1082" s="4">
        <v>50</v>
      </c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</row>
    <row r="1083">
      <c r="A1083" s="2" t="s">
        <v>5748</v>
      </c>
      <c r="B1083" s="2" t="s">
        <v>1150</v>
      </c>
      <c r="C1083" s="2" t="s">
        <v>300</v>
      </c>
      <c r="D1083" s="2" t="s">
        <v>850</v>
      </c>
      <c r="E1083" s="2" t="s">
        <v>1038</v>
      </c>
      <c r="F1083" s="2" t="s">
        <v>5749</v>
      </c>
      <c r="G1083" s="2" t="s">
        <v>3266</v>
      </c>
      <c r="H1083" s="2" t="s">
        <v>5750</v>
      </c>
      <c r="I1083" s="2" t="s">
        <v>5751</v>
      </c>
      <c r="J1083" s="2" t="s">
        <v>1189</v>
      </c>
      <c r="K1083" s="2" t="s">
        <v>5752</v>
      </c>
      <c r="L1083" s="3">
        <v>33.33</v>
      </c>
      <c r="M1083" s="3">
        <v>35</v>
      </c>
      <c r="N1083" s="3">
        <v>69.99</v>
      </c>
      <c r="O1083" s="2" t="s">
        <v>240</v>
      </c>
      <c r="P1083" s="2" t="s">
        <v>333</v>
      </c>
      <c r="Q1083" s="2" t="s">
        <v>234</v>
      </c>
      <c r="R1083" s="2" t="s">
        <v>228</v>
      </c>
      <c r="S1083" s="2" t="s">
        <v>5753</v>
      </c>
      <c r="T1083" s="2" t="s">
        <v>228</v>
      </c>
      <c r="U1083" s="2" t="s">
        <v>500</v>
      </c>
      <c r="V1083" s="2" t="s">
        <v>1156</v>
      </c>
      <c r="W1083" s="2" t="s">
        <v>1268</v>
      </c>
      <c r="X1083" s="2" t="s">
        <v>1761</v>
      </c>
      <c r="Y1083" s="2" t="s">
        <v>2428</v>
      </c>
      <c r="Z1083" s="4">
        <v>9</v>
      </c>
      <c r="AA1083" s="4">
        <f>=ROUNDDOWN(4.5,0)</f>
      </c>
      <c r="AB1083" s="5">
        <v>2</v>
      </c>
      <c r="AC1083" s="2" t="s">
        <v>228</v>
      </c>
      <c r="AD1083" s="4"/>
      <c r="AE1083" s="4"/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228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/>
      <c r="AW1083" s="8"/>
      <c r="AX1083" s="4"/>
      <c r="AY1083" s="8"/>
      <c r="AZ1083" s="7"/>
      <c r="BA1083" s="7"/>
      <c r="BB1083" s="7"/>
      <c r="BC1083" s="4"/>
      <c r="BD1083" s="8"/>
      <c r="BE1083" s="4"/>
      <c r="BF1083" s="8"/>
      <c r="BG1083" s="7"/>
      <c r="BH1083" s="7"/>
      <c r="BI1083" s="7"/>
      <c r="BJ1083" s="4">
        <v>3</v>
      </c>
      <c r="BK1083" s="8">
        <v>112.32</v>
      </c>
      <c r="BL1083" s="2" t="s">
        <v>861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5754</v>
      </c>
      <c r="BV1083" s="2" t="s">
        <v>228</v>
      </c>
      <c r="BW1083" s="2" t="s">
        <v>228</v>
      </c>
      <c r="BX1083" s="2" t="s">
        <v>337</v>
      </c>
      <c r="BY1083" s="2" t="s">
        <v>274</v>
      </c>
      <c r="BZ1083" s="2" t="s">
        <v>240</v>
      </c>
      <c r="CA1083" s="2" t="s">
        <v>1001</v>
      </c>
      <c r="CB1083" s="2" t="s">
        <v>846</v>
      </c>
      <c r="CC1083" s="2" t="s">
        <v>241</v>
      </c>
      <c r="CD1083" s="2" t="s">
        <v>228</v>
      </c>
      <c r="CE1083" s="4">
        <v>9</v>
      </c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  <c r="GS1083" s="4"/>
      <c r="GT1083" s="4"/>
      <c r="GU1083" s="4"/>
      <c r="GV1083" s="4"/>
      <c r="GW1083" s="4"/>
      <c r="GX1083" s="4"/>
      <c r="GY1083" s="4"/>
      <c r="GZ1083" s="4"/>
      <c r="HA1083" s="4"/>
      <c r="HB1083" s="4"/>
      <c r="HC1083" s="4"/>
      <c r="HD1083" s="4"/>
      <c r="HE1083" s="4"/>
    </row>
    <row r="1084">
      <c r="A1084" s="2" t="s">
        <v>5755</v>
      </c>
      <c r="B1084" s="2" t="s">
        <v>1150</v>
      </c>
      <c r="C1084" s="2" t="s">
        <v>300</v>
      </c>
      <c r="D1084" s="2" t="s">
        <v>1112</v>
      </c>
      <c r="E1084" s="2" t="s">
        <v>1165</v>
      </c>
      <c r="F1084" s="2" t="s">
        <v>5756</v>
      </c>
      <c r="G1084" s="2" t="s">
        <v>1708</v>
      </c>
      <c r="H1084" s="2" t="s">
        <v>2258</v>
      </c>
      <c r="I1084" s="2" t="s">
        <v>1329</v>
      </c>
      <c r="J1084" s="2" t="s">
        <v>312</v>
      </c>
      <c r="K1084" s="2" t="s">
        <v>265</v>
      </c>
      <c r="L1084" s="3">
        <v>66.15</v>
      </c>
      <c r="M1084" s="3">
        <v>69.45</v>
      </c>
      <c r="N1084" s="3">
        <v>134.99</v>
      </c>
      <c r="O1084" s="2" t="s">
        <v>240</v>
      </c>
      <c r="P1084" s="2" t="s">
        <v>266</v>
      </c>
      <c r="Q1084" s="2" t="s">
        <v>234</v>
      </c>
      <c r="R1084" s="2" t="s">
        <v>228</v>
      </c>
      <c r="S1084" s="2" t="s">
        <v>5757</v>
      </c>
      <c r="T1084" s="2" t="s">
        <v>228</v>
      </c>
      <c r="U1084" s="2" t="s">
        <v>1331</v>
      </c>
      <c r="V1084" s="2" t="s">
        <v>5029</v>
      </c>
      <c r="W1084" s="2" t="s">
        <v>463</v>
      </c>
      <c r="X1084" s="2" t="s">
        <v>743</v>
      </c>
      <c r="Y1084" s="2" t="s">
        <v>270</v>
      </c>
      <c r="Z1084" s="4">
        <v>265</v>
      </c>
      <c r="AA1084" s="4">
        <f>=ROUNDDOWN(26.5,0)</f>
      </c>
      <c r="AB1084" s="5">
        <v>10</v>
      </c>
      <c r="AC1084" s="2" t="s">
        <v>192</v>
      </c>
      <c r="AD1084" s="4">
        <v>50</v>
      </c>
      <c r="AE1084" s="4">
        <v>130</v>
      </c>
      <c r="AF1084" s="6">
        <v>64</v>
      </c>
      <c r="AG1084" s="6">
        <v>47</v>
      </c>
      <c r="AH1084" s="7">
        <v>1</v>
      </c>
      <c r="AI1084" s="4"/>
      <c r="AJ1084" s="4">
        <f>=ROUNDDOWN({0},0)</f>
      </c>
      <c r="AK1084" s="5"/>
      <c r="AL1084" s="2" t="s">
        <v>228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/>
      <c r="AW1084" s="8"/>
      <c r="AX1084" s="4"/>
      <c r="AY1084" s="8"/>
      <c r="AZ1084" s="7"/>
      <c r="BA1084" s="7"/>
      <c r="BB1084" s="7"/>
      <c r="BC1084" s="4"/>
      <c r="BD1084" s="8"/>
      <c r="BE1084" s="4"/>
      <c r="BF1084" s="8"/>
      <c r="BG1084" s="7"/>
      <c r="BH1084" s="7"/>
      <c r="BI1084" s="7"/>
      <c r="BJ1084" s="4">
        <v>40</v>
      </c>
      <c r="BK1084" s="8">
        <v>2645.41</v>
      </c>
      <c r="BL1084" s="2" t="s">
        <v>5758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5759</v>
      </c>
      <c r="BV1084" s="2" t="s">
        <v>228</v>
      </c>
      <c r="BW1084" s="2" t="s">
        <v>228</v>
      </c>
      <c r="BX1084" s="2" t="s">
        <v>273</v>
      </c>
      <c r="BY1084" s="2" t="s">
        <v>274</v>
      </c>
      <c r="BZ1084" s="2" t="s">
        <v>240</v>
      </c>
      <c r="CA1084" s="2" t="s">
        <v>275</v>
      </c>
      <c r="CB1084" s="2" t="s">
        <v>5760</v>
      </c>
      <c r="CC1084" s="2" t="s">
        <v>241</v>
      </c>
      <c r="CD1084" s="2" t="s">
        <v>228</v>
      </c>
      <c r="CE1084" s="4">
        <v>111</v>
      </c>
      <c r="CF1084" s="4"/>
      <c r="CG1084" s="4"/>
      <c r="CH1084" s="4">
        <v>154</v>
      </c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>
        <v>50</v>
      </c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>
        <v>80</v>
      </c>
      <c r="HD1084" s="4"/>
      <c r="HE1084" s="4"/>
    </row>
    <row r="1085">
      <c r="A1085" s="2" t="s">
        <v>5761</v>
      </c>
      <c r="B1085" s="2" t="s">
        <v>1196</v>
      </c>
      <c r="C1085" s="2" t="s">
        <v>1197</v>
      </c>
      <c r="D1085" s="2" t="s">
        <v>1198</v>
      </c>
      <c r="E1085" s="2" t="s">
        <v>1199</v>
      </c>
      <c r="F1085" s="2" t="s">
        <v>5762</v>
      </c>
      <c r="G1085" s="2" t="s">
        <v>5762</v>
      </c>
      <c r="H1085" s="2" t="s">
        <v>5762</v>
      </c>
      <c r="I1085" s="2" t="s">
        <v>5763</v>
      </c>
      <c r="J1085" s="2" t="s">
        <v>840</v>
      </c>
      <c r="K1085" s="2" t="s">
        <v>5764</v>
      </c>
      <c r="L1085" s="3">
        <v>20.81</v>
      </c>
      <c r="M1085" s="3">
        <v>21.85</v>
      </c>
      <c r="N1085" s="3">
        <v>29.99</v>
      </c>
      <c r="O1085" s="2" t="s">
        <v>240</v>
      </c>
      <c r="P1085" s="2" t="s">
        <v>266</v>
      </c>
      <c r="Q1085" s="2" t="s">
        <v>234</v>
      </c>
      <c r="R1085" s="2" t="s">
        <v>228</v>
      </c>
      <c r="S1085" s="2" t="s">
        <v>228</v>
      </c>
      <c r="T1085" s="2" t="s">
        <v>228</v>
      </c>
      <c r="U1085" s="2" t="s">
        <v>416</v>
      </c>
      <c r="V1085" s="2" t="s">
        <v>842</v>
      </c>
      <c r="W1085" s="2" t="s">
        <v>269</v>
      </c>
      <c r="X1085" s="2" t="s">
        <v>228</v>
      </c>
      <c r="Y1085" s="2" t="s">
        <v>5765</v>
      </c>
      <c r="Z1085" s="4">
        <v>592</v>
      </c>
      <c r="AA1085" s="4">
        <f>=ROUNDDOWN(296,0)</f>
      </c>
      <c r="AB1085" s="5">
        <v>2</v>
      </c>
      <c r="AC1085" s="2" t="s">
        <v>228</v>
      </c>
      <c r="AD1085" s="4"/>
      <c r="AE1085" s="4"/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228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/>
      <c r="AW1085" s="8"/>
      <c r="AX1085" s="4"/>
      <c r="AY1085" s="8"/>
      <c r="AZ1085" s="7"/>
      <c r="BA1085" s="7"/>
      <c r="BB1085" s="7"/>
      <c r="BC1085" s="4"/>
      <c r="BD1085" s="8"/>
      <c r="BE1085" s="4"/>
      <c r="BF1085" s="8"/>
      <c r="BG1085" s="7"/>
      <c r="BH1085" s="7"/>
      <c r="BI1085" s="7"/>
      <c r="BJ1085" s="4"/>
      <c r="BK1085" s="8"/>
      <c r="BL1085" s="2" t="s">
        <v>228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5766</v>
      </c>
      <c r="BV1085" s="2" t="s">
        <v>228</v>
      </c>
      <c r="BW1085" s="2" t="s">
        <v>228</v>
      </c>
      <c r="BX1085" s="2" t="s">
        <v>273</v>
      </c>
      <c r="BY1085" s="2" t="s">
        <v>274</v>
      </c>
      <c r="BZ1085" s="2" t="s">
        <v>240</v>
      </c>
      <c r="CA1085" s="2" t="s">
        <v>3618</v>
      </c>
      <c r="CB1085" s="2" t="s">
        <v>228</v>
      </c>
      <c r="CC1085" s="2" t="s">
        <v>241</v>
      </c>
      <c r="CD1085" s="2" t="s">
        <v>228</v>
      </c>
      <c r="CE1085" s="4"/>
      <c r="CF1085" s="4">
        <v>293</v>
      </c>
      <c r="CG1085" s="4"/>
      <c r="CH1085" s="4">
        <v>299</v>
      </c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  <c r="GS1085" s="4"/>
      <c r="GT1085" s="4"/>
      <c r="GU1085" s="4"/>
      <c r="GV1085" s="4"/>
      <c r="GW1085" s="4"/>
      <c r="GX1085" s="4"/>
      <c r="GY1085" s="4"/>
      <c r="GZ1085" s="4"/>
      <c r="HA1085" s="4"/>
      <c r="HB1085" s="4"/>
      <c r="HC1085" s="4"/>
      <c r="HD1085" s="4"/>
      <c r="HE1085" s="4"/>
    </row>
    <row r="1086">
      <c r="A1086" s="2" t="s">
        <v>5767</v>
      </c>
      <c r="B1086" s="2" t="s">
        <v>223</v>
      </c>
      <c r="C1086" s="2" t="s">
        <v>300</v>
      </c>
      <c r="D1086" s="2" t="s">
        <v>1112</v>
      </c>
      <c r="E1086" s="2" t="s">
        <v>1113</v>
      </c>
      <c r="F1086" s="2" t="s">
        <v>5768</v>
      </c>
      <c r="G1086" s="2" t="s">
        <v>5769</v>
      </c>
      <c r="H1086" s="2" t="s">
        <v>5769</v>
      </c>
      <c r="I1086" s="2" t="s">
        <v>5770</v>
      </c>
      <c r="J1086" s="2" t="s">
        <v>856</v>
      </c>
      <c r="K1086" s="2" t="s">
        <v>305</v>
      </c>
      <c r="L1086" s="3">
        <v>28.8</v>
      </c>
      <c r="M1086" s="3">
        <v>30.24</v>
      </c>
      <c r="N1086" s="3">
        <v>59.99</v>
      </c>
      <c r="O1086" s="2" t="s">
        <v>240</v>
      </c>
      <c r="P1086" s="2" t="s">
        <v>779</v>
      </c>
      <c r="Q1086" s="2" t="s">
        <v>234</v>
      </c>
      <c r="R1086" s="2" t="s">
        <v>228</v>
      </c>
      <c r="S1086" s="2" t="s">
        <v>5771</v>
      </c>
      <c r="T1086" s="2" t="s">
        <v>1608</v>
      </c>
      <c r="U1086" s="2" t="s">
        <v>520</v>
      </c>
      <c r="V1086" s="2" t="s">
        <v>236</v>
      </c>
      <c r="W1086" s="2" t="s">
        <v>309</v>
      </c>
      <c r="X1086" s="2" t="s">
        <v>463</v>
      </c>
      <c r="Y1086" s="2" t="s">
        <v>228</v>
      </c>
      <c r="Z1086" s="4"/>
      <c r="AA1086" s="4">
        <f>=ROUNDDOWN({0},0)</f>
      </c>
      <c r="AB1086" s="5"/>
      <c r="AC1086" s="2" t="s">
        <v>161</v>
      </c>
      <c r="AD1086" s="4">
        <v>88</v>
      </c>
      <c r="AE1086" s="4">
        <v>350</v>
      </c>
      <c r="AF1086" s="6">
        <v>66</v>
      </c>
      <c r="AG1086" s="6"/>
      <c r="AH1086" s="7"/>
      <c r="AI1086" s="4"/>
      <c r="AJ1086" s="4">
        <f>=ROUNDDOWN({0},0)</f>
      </c>
      <c r="AK1086" s="5"/>
      <c r="AL1086" s="2" t="s">
        <v>228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228</v>
      </c>
      <c r="AW1086" s="8" t="s">
        <v>228</v>
      </c>
      <c r="AX1086" s="4" t="s">
        <v>228</v>
      </c>
      <c r="AY1086" s="8" t="s">
        <v>228</v>
      </c>
      <c r="AZ1086" s="7" t="s">
        <v>228</v>
      </c>
      <c r="BA1086" s="7" t="s">
        <v>228</v>
      </c>
      <c r="BB1086" s="7"/>
      <c r="BC1086" s="4" t="s">
        <v>228</v>
      </c>
      <c r="BD1086" s="8" t="s">
        <v>228</v>
      </c>
      <c r="BE1086" s="4" t="s">
        <v>228</v>
      </c>
      <c r="BF1086" s="8" t="s">
        <v>228</v>
      </c>
      <c r="BG1086" s="7" t="s">
        <v>228</v>
      </c>
      <c r="BH1086" s="7" t="s">
        <v>228</v>
      </c>
      <c r="BI1086" s="7"/>
      <c r="BJ1086" s="4"/>
      <c r="BK1086" s="8"/>
      <c r="BL1086" s="2" t="s">
        <v>228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238</v>
      </c>
      <c r="BV1086" s="2" t="s">
        <v>228</v>
      </c>
      <c r="BW1086" s="2" t="s">
        <v>228</v>
      </c>
      <c r="BX1086" s="2" t="s">
        <v>238</v>
      </c>
      <c r="BY1086" s="2" t="s">
        <v>239</v>
      </c>
      <c r="BZ1086" s="2" t="s">
        <v>240</v>
      </c>
      <c r="CA1086" s="2" t="s">
        <v>228</v>
      </c>
      <c r="CB1086" s="2" t="s">
        <v>228</v>
      </c>
      <c r="CC1086" s="2" t="s">
        <v>241</v>
      </c>
      <c r="CD1086" s="2" t="s">
        <v>228</v>
      </c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>
        <v>88</v>
      </c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>
        <v>88</v>
      </c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>
        <v>174</v>
      </c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</row>
    <row r="1087">
      <c r="A1087" s="2" t="s">
        <v>5772</v>
      </c>
      <c r="B1087" s="2" t="s">
        <v>223</v>
      </c>
      <c r="C1087" s="2" t="s">
        <v>300</v>
      </c>
      <c r="D1087" s="2" t="s">
        <v>1112</v>
      </c>
      <c r="E1087" s="2" t="s">
        <v>1113</v>
      </c>
      <c r="F1087" s="2" t="s">
        <v>5768</v>
      </c>
      <c r="G1087" s="2" t="s">
        <v>5769</v>
      </c>
      <c r="H1087" s="2" t="s">
        <v>5769</v>
      </c>
      <c r="I1087" s="2" t="s">
        <v>5770</v>
      </c>
      <c r="J1087" s="2" t="s">
        <v>1189</v>
      </c>
      <c r="K1087" s="2" t="s">
        <v>305</v>
      </c>
      <c r="L1087" s="3">
        <v>38.4</v>
      </c>
      <c r="M1087" s="3">
        <v>40.32</v>
      </c>
      <c r="N1087" s="3">
        <v>79.99</v>
      </c>
      <c r="O1087" s="2" t="s">
        <v>240</v>
      </c>
      <c r="P1087" s="2" t="s">
        <v>779</v>
      </c>
      <c r="Q1087" s="2" t="s">
        <v>234</v>
      </c>
      <c r="R1087" s="2" t="s">
        <v>228</v>
      </c>
      <c r="S1087" s="2" t="s">
        <v>5771</v>
      </c>
      <c r="T1087" s="2" t="s">
        <v>1608</v>
      </c>
      <c r="U1087" s="2" t="s">
        <v>500</v>
      </c>
      <c r="V1087" s="2" t="s">
        <v>236</v>
      </c>
      <c r="W1087" s="2" t="s">
        <v>309</v>
      </c>
      <c r="X1087" s="2" t="s">
        <v>463</v>
      </c>
      <c r="Y1087" s="2" t="s">
        <v>228</v>
      </c>
      <c r="Z1087" s="4"/>
      <c r="AA1087" s="4">
        <f>=ROUNDDOWN({0},0)</f>
      </c>
      <c r="AB1087" s="5"/>
      <c r="AC1087" s="2" t="s">
        <v>161</v>
      </c>
      <c r="AD1087" s="4">
        <v>250</v>
      </c>
      <c r="AE1087" s="4">
        <v>1070</v>
      </c>
      <c r="AF1087" s="6">
        <v>66</v>
      </c>
      <c r="AG1087" s="6"/>
      <c r="AH1087" s="7"/>
      <c r="AI1087" s="4"/>
      <c r="AJ1087" s="4">
        <f>=ROUNDDOWN({0},0)</f>
      </c>
      <c r="AK1087" s="5"/>
      <c r="AL1087" s="2" t="s">
        <v>228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228</v>
      </c>
      <c r="AW1087" s="8" t="s">
        <v>228</v>
      </c>
      <c r="AX1087" s="4" t="s">
        <v>228</v>
      </c>
      <c r="AY1087" s="8" t="s">
        <v>228</v>
      </c>
      <c r="AZ1087" s="7" t="s">
        <v>228</v>
      </c>
      <c r="BA1087" s="7" t="s">
        <v>228</v>
      </c>
      <c r="BB1087" s="7"/>
      <c r="BC1087" s="4" t="s">
        <v>228</v>
      </c>
      <c r="BD1087" s="8" t="s">
        <v>228</v>
      </c>
      <c r="BE1087" s="4" t="s">
        <v>228</v>
      </c>
      <c r="BF1087" s="8" t="s">
        <v>228</v>
      </c>
      <c r="BG1087" s="7" t="s">
        <v>228</v>
      </c>
      <c r="BH1087" s="7" t="s">
        <v>228</v>
      </c>
      <c r="BI1087" s="7"/>
      <c r="BJ1087" s="4"/>
      <c r="BK1087" s="8"/>
      <c r="BL1087" s="2" t="s">
        <v>228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238</v>
      </c>
      <c r="BV1087" s="2" t="s">
        <v>228</v>
      </c>
      <c r="BW1087" s="2" t="s">
        <v>228</v>
      </c>
      <c r="BX1087" s="2" t="s">
        <v>238</v>
      </c>
      <c r="BY1087" s="2" t="s">
        <v>239</v>
      </c>
      <c r="BZ1087" s="2" t="s">
        <v>240</v>
      </c>
      <c r="CA1087" s="2" t="s">
        <v>228</v>
      </c>
      <c r="CB1087" s="2" t="s">
        <v>228</v>
      </c>
      <c r="CC1087" s="2" t="s">
        <v>241</v>
      </c>
      <c r="CD1087" s="2" t="s">
        <v>228</v>
      </c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>
        <v>250</v>
      </c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>
        <v>250</v>
      </c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>
        <v>570</v>
      </c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</row>
    <row r="1088">
      <c r="A1088" s="2" t="s">
        <v>5773</v>
      </c>
      <c r="B1088" s="2" t="s">
        <v>223</v>
      </c>
      <c r="C1088" s="2" t="s">
        <v>300</v>
      </c>
      <c r="D1088" s="2" t="s">
        <v>1112</v>
      </c>
      <c r="E1088" s="2" t="s">
        <v>1113</v>
      </c>
      <c r="F1088" s="2" t="s">
        <v>5768</v>
      </c>
      <c r="G1088" s="2" t="s">
        <v>5769</v>
      </c>
      <c r="H1088" s="2" t="s">
        <v>5769</v>
      </c>
      <c r="I1088" s="2" t="s">
        <v>5770</v>
      </c>
      <c r="J1088" s="2" t="s">
        <v>1043</v>
      </c>
      <c r="K1088" s="2" t="s">
        <v>305</v>
      </c>
      <c r="L1088" s="3">
        <v>45</v>
      </c>
      <c r="M1088" s="3">
        <v>47.25</v>
      </c>
      <c r="N1088" s="3">
        <v>89.99</v>
      </c>
      <c r="O1088" s="2" t="s">
        <v>240</v>
      </c>
      <c r="P1088" s="2" t="s">
        <v>779</v>
      </c>
      <c r="Q1088" s="2" t="s">
        <v>234</v>
      </c>
      <c r="R1088" s="2" t="s">
        <v>228</v>
      </c>
      <c r="S1088" s="2" t="s">
        <v>5771</v>
      </c>
      <c r="T1088" s="2" t="s">
        <v>1608</v>
      </c>
      <c r="U1088" s="2" t="s">
        <v>500</v>
      </c>
      <c r="V1088" s="2" t="s">
        <v>236</v>
      </c>
      <c r="W1088" s="2" t="s">
        <v>309</v>
      </c>
      <c r="X1088" s="2" t="s">
        <v>463</v>
      </c>
      <c r="Y1088" s="2" t="s">
        <v>228</v>
      </c>
      <c r="Z1088" s="4"/>
      <c r="AA1088" s="4">
        <f>=ROUNDDOWN({0},0)</f>
      </c>
      <c r="AB1088" s="5"/>
      <c r="AC1088" s="2" t="s">
        <v>161</v>
      </c>
      <c r="AD1088" s="4">
        <v>250</v>
      </c>
      <c r="AE1088" s="4">
        <v>1110</v>
      </c>
      <c r="AF1088" s="6">
        <v>66</v>
      </c>
      <c r="AG1088" s="6"/>
      <c r="AH1088" s="7"/>
      <c r="AI1088" s="4"/>
      <c r="AJ1088" s="4">
        <f>=ROUNDDOWN({0},0)</f>
      </c>
      <c r="AK1088" s="5"/>
      <c r="AL1088" s="2" t="s">
        <v>228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228</v>
      </c>
      <c r="AW1088" s="8" t="s">
        <v>228</v>
      </c>
      <c r="AX1088" s="4" t="s">
        <v>228</v>
      </c>
      <c r="AY1088" s="8" t="s">
        <v>228</v>
      </c>
      <c r="AZ1088" s="7" t="s">
        <v>228</v>
      </c>
      <c r="BA1088" s="7" t="s">
        <v>228</v>
      </c>
      <c r="BB1088" s="7"/>
      <c r="BC1088" s="4" t="s">
        <v>228</v>
      </c>
      <c r="BD1088" s="8" t="s">
        <v>228</v>
      </c>
      <c r="BE1088" s="4" t="s">
        <v>228</v>
      </c>
      <c r="BF1088" s="8" t="s">
        <v>228</v>
      </c>
      <c r="BG1088" s="7" t="s">
        <v>228</v>
      </c>
      <c r="BH1088" s="7" t="s">
        <v>228</v>
      </c>
      <c r="BI1088" s="7"/>
      <c r="BJ1088" s="4"/>
      <c r="BK1088" s="8"/>
      <c r="BL1088" s="2" t="s">
        <v>228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238</v>
      </c>
      <c r="BV1088" s="2" t="s">
        <v>228</v>
      </c>
      <c r="BW1088" s="2" t="s">
        <v>228</v>
      </c>
      <c r="BX1088" s="2" t="s">
        <v>238</v>
      </c>
      <c r="BY1088" s="2" t="s">
        <v>239</v>
      </c>
      <c r="BZ1088" s="2" t="s">
        <v>240</v>
      </c>
      <c r="CA1088" s="2" t="s">
        <v>228</v>
      </c>
      <c r="CB1088" s="2" t="s">
        <v>228</v>
      </c>
      <c r="CC1088" s="2" t="s">
        <v>241</v>
      </c>
      <c r="CD1088" s="2" t="s">
        <v>228</v>
      </c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>
        <v>250</v>
      </c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>
        <v>250</v>
      </c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>
        <v>610</v>
      </c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</row>
    <row r="1089">
      <c r="A1089" s="2" t="s">
        <v>5774</v>
      </c>
      <c r="B1089" s="2" t="s">
        <v>223</v>
      </c>
      <c r="C1089" s="2" t="s">
        <v>300</v>
      </c>
      <c r="D1089" s="2" t="s">
        <v>1112</v>
      </c>
      <c r="E1089" s="2" t="s">
        <v>1113</v>
      </c>
      <c r="F1089" s="2" t="s">
        <v>5768</v>
      </c>
      <c r="G1089" s="2" t="s">
        <v>5769</v>
      </c>
      <c r="H1089" s="2" t="s">
        <v>5769</v>
      </c>
      <c r="I1089" s="2" t="s">
        <v>5770</v>
      </c>
      <c r="J1089" s="2" t="s">
        <v>856</v>
      </c>
      <c r="K1089" s="2" t="s">
        <v>231</v>
      </c>
      <c r="L1089" s="3">
        <v>28.8</v>
      </c>
      <c r="M1089" s="3">
        <v>30.24</v>
      </c>
      <c r="N1089" s="3">
        <v>59.99</v>
      </c>
      <c r="O1089" s="2" t="s">
        <v>240</v>
      </c>
      <c r="P1089" s="2" t="s">
        <v>779</v>
      </c>
      <c r="Q1089" s="2" t="s">
        <v>234</v>
      </c>
      <c r="R1089" s="2" t="s">
        <v>228</v>
      </c>
      <c r="S1089" s="2" t="s">
        <v>5775</v>
      </c>
      <c r="T1089" s="2" t="s">
        <v>1608</v>
      </c>
      <c r="U1089" s="2" t="s">
        <v>520</v>
      </c>
      <c r="V1089" s="2" t="s">
        <v>236</v>
      </c>
      <c r="W1089" s="2" t="s">
        <v>309</v>
      </c>
      <c r="X1089" s="2" t="s">
        <v>463</v>
      </c>
      <c r="Y1089" s="2" t="s">
        <v>228</v>
      </c>
      <c r="Z1089" s="4"/>
      <c r="AA1089" s="4">
        <f>=ROUNDDOWN({0},0)</f>
      </c>
      <c r="AB1089" s="5"/>
      <c r="AC1089" s="2" t="s">
        <v>161</v>
      </c>
      <c r="AD1089" s="4">
        <v>88</v>
      </c>
      <c r="AE1089" s="4">
        <v>350</v>
      </c>
      <c r="AF1089" s="6">
        <v>66</v>
      </c>
      <c r="AG1089" s="6"/>
      <c r="AH1089" s="7"/>
      <c r="AI1089" s="4"/>
      <c r="AJ1089" s="4">
        <f>=ROUNDDOWN({0},0)</f>
      </c>
      <c r="AK1089" s="5"/>
      <c r="AL1089" s="2" t="s">
        <v>228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228</v>
      </c>
      <c r="AW1089" s="8" t="s">
        <v>228</v>
      </c>
      <c r="AX1089" s="4" t="s">
        <v>228</v>
      </c>
      <c r="AY1089" s="8" t="s">
        <v>228</v>
      </c>
      <c r="AZ1089" s="7" t="s">
        <v>228</v>
      </c>
      <c r="BA1089" s="7" t="s">
        <v>228</v>
      </c>
      <c r="BB1089" s="7"/>
      <c r="BC1089" s="4" t="s">
        <v>228</v>
      </c>
      <c r="BD1089" s="8" t="s">
        <v>228</v>
      </c>
      <c r="BE1089" s="4" t="s">
        <v>228</v>
      </c>
      <c r="BF1089" s="8" t="s">
        <v>228</v>
      </c>
      <c r="BG1089" s="7" t="s">
        <v>228</v>
      </c>
      <c r="BH1089" s="7" t="s">
        <v>228</v>
      </c>
      <c r="BI1089" s="7"/>
      <c r="BJ1089" s="4"/>
      <c r="BK1089" s="8"/>
      <c r="BL1089" s="2" t="s">
        <v>228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238</v>
      </c>
      <c r="BV1089" s="2" t="s">
        <v>228</v>
      </c>
      <c r="BW1089" s="2" t="s">
        <v>228</v>
      </c>
      <c r="BX1089" s="2" t="s">
        <v>238</v>
      </c>
      <c r="BY1089" s="2" t="s">
        <v>239</v>
      </c>
      <c r="BZ1089" s="2" t="s">
        <v>240</v>
      </c>
      <c r="CA1089" s="2" t="s">
        <v>228</v>
      </c>
      <c r="CB1089" s="2" t="s">
        <v>228</v>
      </c>
      <c r="CC1089" s="2" t="s">
        <v>241</v>
      </c>
      <c r="CD1089" s="2" t="s">
        <v>228</v>
      </c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>
        <v>88</v>
      </c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>
        <v>88</v>
      </c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>
        <v>174</v>
      </c>
      <c r="GH1089" s="4"/>
      <c r="GI1089" s="4"/>
      <c r="GJ1089" s="4"/>
      <c r="GK1089" s="4"/>
      <c r="GL1089" s="4"/>
      <c r="GM1089" s="4"/>
      <c r="GN1089" s="4"/>
      <c r="GO1089" s="4"/>
      <c r="GP1089" s="4"/>
      <c r="GQ1089" s="4"/>
      <c r="GR1089" s="4"/>
      <c r="GS1089" s="4"/>
      <c r="GT1089" s="4"/>
      <c r="GU1089" s="4"/>
      <c r="GV1089" s="4"/>
      <c r="GW1089" s="4"/>
      <c r="GX1089" s="4"/>
      <c r="GY1089" s="4"/>
      <c r="GZ1089" s="4"/>
      <c r="HA1089" s="4"/>
      <c r="HB1089" s="4"/>
      <c r="HC1089" s="4"/>
      <c r="HD1089" s="4"/>
      <c r="HE1089" s="4"/>
    </row>
    <row r="1090">
      <c r="A1090" s="2" t="s">
        <v>5776</v>
      </c>
      <c r="B1090" s="2" t="s">
        <v>223</v>
      </c>
      <c r="C1090" s="2" t="s">
        <v>300</v>
      </c>
      <c r="D1090" s="2" t="s">
        <v>1112</v>
      </c>
      <c r="E1090" s="2" t="s">
        <v>1113</v>
      </c>
      <c r="F1090" s="2" t="s">
        <v>5768</v>
      </c>
      <c r="G1090" s="2" t="s">
        <v>5769</v>
      </c>
      <c r="H1090" s="2" t="s">
        <v>5769</v>
      </c>
      <c r="I1090" s="2" t="s">
        <v>5770</v>
      </c>
      <c r="J1090" s="2" t="s">
        <v>1189</v>
      </c>
      <c r="K1090" s="2" t="s">
        <v>231</v>
      </c>
      <c r="L1090" s="3">
        <v>38.4</v>
      </c>
      <c r="M1090" s="3">
        <v>40.32</v>
      </c>
      <c r="N1090" s="3">
        <v>79.99</v>
      </c>
      <c r="O1090" s="2" t="s">
        <v>240</v>
      </c>
      <c r="P1090" s="2" t="s">
        <v>779</v>
      </c>
      <c r="Q1090" s="2" t="s">
        <v>234</v>
      </c>
      <c r="R1090" s="2" t="s">
        <v>228</v>
      </c>
      <c r="S1090" s="2" t="s">
        <v>5775</v>
      </c>
      <c r="T1090" s="2" t="s">
        <v>1608</v>
      </c>
      <c r="U1090" s="2" t="s">
        <v>500</v>
      </c>
      <c r="V1090" s="2" t="s">
        <v>236</v>
      </c>
      <c r="W1090" s="2" t="s">
        <v>309</v>
      </c>
      <c r="X1090" s="2" t="s">
        <v>463</v>
      </c>
      <c r="Y1090" s="2" t="s">
        <v>228</v>
      </c>
      <c r="Z1090" s="4"/>
      <c r="AA1090" s="4">
        <f>=ROUNDDOWN({0},0)</f>
      </c>
      <c r="AB1090" s="5"/>
      <c r="AC1090" s="2" t="s">
        <v>161</v>
      </c>
      <c r="AD1090" s="4">
        <v>250</v>
      </c>
      <c r="AE1090" s="4">
        <v>1070</v>
      </c>
      <c r="AF1090" s="6">
        <v>66</v>
      </c>
      <c r="AG1090" s="6"/>
      <c r="AH1090" s="7"/>
      <c r="AI1090" s="4"/>
      <c r="AJ1090" s="4">
        <f>=ROUNDDOWN({0},0)</f>
      </c>
      <c r="AK1090" s="5"/>
      <c r="AL1090" s="2" t="s">
        <v>228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228</v>
      </c>
      <c r="AW1090" s="8" t="s">
        <v>228</v>
      </c>
      <c r="AX1090" s="4" t="s">
        <v>228</v>
      </c>
      <c r="AY1090" s="8" t="s">
        <v>228</v>
      </c>
      <c r="AZ1090" s="7" t="s">
        <v>228</v>
      </c>
      <c r="BA1090" s="7" t="s">
        <v>228</v>
      </c>
      <c r="BB1090" s="7"/>
      <c r="BC1090" s="4" t="s">
        <v>228</v>
      </c>
      <c r="BD1090" s="8" t="s">
        <v>228</v>
      </c>
      <c r="BE1090" s="4" t="s">
        <v>228</v>
      </c>
      <c r="BF1090" s="8" t="s">
        <v>228</v>
      </c>
      <c r="BG1090" s="7" t="s">
        <v>228</v>
      </c>
      <c r="BH1090" s="7" t="s">
        <v>228</v>
      </c>
      <c r="BI1090" s="7"/>
      <c r="BJ1090" s="4"/>
      <c r="BK1090" s="8"/>
      <c r="BL1090" s="2" t="s">
        <v>228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238</v>
      </c>
      <c r="BV1090" s="2" t="s">
        <v>228</v>
      </c>
      <c r="BW1090" s="2" t="s">
        <v>228</v>
      </c>
      <c r="BX1090" s="2" t="s">
        <v>238</v>
      </c>
      <c r="BY1090" s="2" t="s">
        <v>239</v>
      </c>
      <c r="BZ1090" s="2" t="s">
        <v>240</v>
      </c>
      <c r="CA1090" s="2" t="s">
        <v>228</v>
      </c>
      <c r="CB1090" s="2" t="s">
        <v>228</v>
      </c>
      <c r="CC1090" s="2" t="s">
        <v>241</v>
      </c>
      <c r="CD1090" s="2" t="s">
        <v>228</v>
      </c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>
        <v>250</v>
      </c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>
        <v>250</v>
      </c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>
        <v>570</v>
      </c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</row>
    <row r="1091">
      <c r="A1091" s="2" t="s">
        <v>5777</v>
      </c>
      <c r="B1091" s="2" t="s">
        <v>223</v>
      </c>
      <c r="C1091" s="2" t="s">
        <v>300</v>
      </c>
      <c r="D1091" s="2" t="s">
        <v>1112</v>
      </c>
      <c r="E1091" s="2" t="s">
        <v>1113</v>
      </c>
      <c r="F1091" s="2" t="s">
        <v>5768</v>
      </c>
      <c r="G1091" s="2" t="s">
        <v>5769</v>
      </c>
      <c r="H1091" s="2" t="s">
        <v>5769</v>
      </c>
      <c r="I1091" s="2" t="s">
        <v>5770</v>
      </c>
      <c r="J1091" s="2" t="s">
        <v>1043</v>
      </c>
      <c r="K1091" s="2" t="s">
        <v>231</v>
      </c>
      <c r="L1091" s="3">
        <v>45</v>
      </c>
      <c r="M1091" s="3">
        <v>47.25</v>
      </c>
      <c r="N1091" s="3">
        <v>89.99</v>
      </c>
      <c r="O1091" s="2" t="s">
        <v>240</v>
      </c>
      <c r="P1091" s="2" t="s">
        <v>779</v>
      </c>
      <c r="Q1091" s="2" t="s">
        <v>234</v>
      </c>
      <c r="R1091" s="2" t="s">
        <v>228</v>
      </c>
      <c r="S1091" s="2" t="s">
        <v>5775</v>
      </c>
      <c r="T1091" s="2" t="s">
        <v>1608</v>
      </c>
      <c r="U1091" s="2" t="s">
        <v>500</v>
      </c>
      <c r="V1091" s="2" t="s">
        <v>236</v>
      </c>
      <c r="W1091" s="2" t="s">
        <v>309</v>
      </c>
      <c r="X1091" s="2" t="s">
        <v>463</v>
      </c>
      <c r="Y1091" s="2" t="s">
        <v>228</v>
      </c>
      <c r="Z1091" s="4"/>
      <c r="AA1091" s="4">
        <f>=ROUNDDOWN({0},0)</f>
      </c>
      <c r="AB1091" s="5"/>
      <c r="AC1091" s="2" t="s">
        <v>161</v>
      </c>
      <c r="AD1091" s="4">
        <v>250</v>
      </c>
      <c r="AE1091" s="4">
        <v>1110</v>
      </c>
      <c r="AF1091" s="6">
        <v>66</v>
      </c>
      <c r="AG1091" s="6"/>
      <c r="AH1091" s="7"/>
      <c r="AI1091" s="4"/>
      <c r="AJ1091" s="4">
        <f>=ROUNDDOWN({0},0)</f>
      </c>
      <c r="AK1091" s="5"/>
      <c r="AL1091" s="2" t="s">
        <v>228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228</v>
      </c>
      <c r="AW1091" s="8" t="s">
        <v>228</v>
      </c>
      <c r="AX1091" s="4" t="s">
        <v>228</v>
      </c>
      <c r="AY1091" s="8" t="s">
        <v>228</v>
      </c>
      <c r="AZ1091" s="7" t="s">
        <v>228</v>
      </c>
      <c r="BA1091" s="7" t="s">
        <v>228</v>
      </c>
      <c r="BB1091" s="7"/>
      <c r="BC1091" s="4" t="s">
        <v>228</v>
      </c>
      <c r="BD1091" s="8" t="s">
        <v>228</v>
      </c>
      <c r="BE1091" s="4" t="s">
        <v>228</v>
      </c>
      <c r="BF1091" s="8" t="s">
        <v>228</v>
      </c>
      <c r="BG1091" s="7" t="s">
        <v>228</v>
      </c>
      <c r="BH1091" s="7" t="s">
        <v>228</v>
      </c>
      <c r="BI1091" s="7"/>
      <c r="BJ1091" s="4"/>
      <c r="BK1091" s="8"/>
      <c r="BL1091" s="2" t="s">
        <v>228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238</v>
      </c>
      <c r="BV1091" s="2" t="s">
        <v>228</v>
      </c>
      <c r="BW1091" s="2" t="s">
        <v>228</v>
      </c>
      <c r="BX1091" s="2" t="s">
        <v>238</v>
      </c>
      <c r="BY1091" s="2" t="s">
        <v>239</v>
      </c>
      <c r="BZ1091" s="2" t="s">
        <v>240</v>
      </c>
      <c r="CA1091" s="2" t="s">
        <v>228</v>
      </c>
      <c r="CB1091" s="2" t="s">
        <v>228</v>
      </c>
      <c r="CC1091" s="2" t="s">
        <v>241</v>
      </c>
      <c r="CD1091" s="2" t="s">
        <v>228</v>
      </c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>
        <v>250</v>
      </c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>
        <v>250</v>
      </c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>
        <v>610</v>
      </c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</row>
    <row r="1092">
      <c r="A1092" s="2" t="s">
        <v>5778</v>
      </c>
      <c r="B1092" s="2" t="s">
        <v>866</v>
      </c>
      <c r="C1092" s="2" t="s">
        <v>1037</v>
      </c>
      <c r="D1092" s="2" t="s">
        <v>899</v>
      </c>
      <c r="E1092" s="2" t="s">
        <v>877</v>
      </c>
      <c r="F1092" s="2" t="s">
        <v>5779</v>
      </c>
      <c r="G1092" s="2" t="s">
        <v>5779</v>
      </c>
      <c r="H1092" s="2" t="s">
        <v>5779</v>
      </c>
      <c r="I1092" s="2" t="s">
        <v>5780</v>
      </c>
      <c r="J1092" s="2" t="s">
        <v>840</v>
      </c>
      <c r="K1092" s="2" t="s">
        <v>1077</v>
      </c>
      <c r="L1092" s="3">
        <v>44.05</v>
      </c>
      <c r="M1092" s="3">
        <v>46.25</v>
      </c>
      <c r="N1092" s="3">
        <v>84.99</v>
      </c>
      <c r="O1092" s="2" t="s">
        <v>240</v>
      </c>
      <c r="P1092" s="2" t="s">
        <v>1012</v>
      </c>
      <c r="Q1092" s="2" t="s">
        <v>234</v>
      </c>
      <c r="R1092" s="2" t="s">
        <v>228</v>
      </c>
      <c r="S1092" s="2" t="s">
        <v>5781</v>
      </c>
      <c r="T1092" s="2" t="s">
        <v>228</v>
      </c>
      <c r="U1092" s="2" t="s">
        <v>520</v>
      </c>
      <c r="V1092" s="2" t="s">
        <v>3007</v>
      </c>
      <c r="W1092" s="2" t="s">
        <v>2472</v>
      </c>
      <c r="X1092" s="2" t="s">
        <v>228</v>
      </c>
      <c r="Y1092" s="2" t="s">
        <v>270</v>
      </c>
      <c r="Z1092" s="4">
        <v>49</v>
      </c>
      <c r="AA1092" s="4">
        <f>=ROUNDDOWN(18.1481481481481,0)</f>
      </c>
      <c r="AB1092" s="5">
        <v>2.7</v>
      </c>
      <c r="AC1092" s="2" t="s">
        <v>228</v>
      </c>
      <c r="AD1092" s="4"/>
      <c r="AE1092" s="4"/>
      <c r="AF1092" s="6">
        <v>63</v>
      </c>
      <c r="AG1092" s="6"/>
      <c r="AH1092" s="7">
        <v>1</v>
      </c>
      <c r="AI1092" s="4"/>
      <c r="AJ1092" s="4">
        <f>=ROUNDDOWN({0},0)</f>
      </c>
      <c r="AK1092" s="5"/>
      <c r="AL1092" s="2" t="s">
        <v>228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/>
      <c r="AW1092" s="8"/>
      <c r="AX1092" s="4"/>
      <c r="AY1092" s="8"/>
      <c r="AZ1092" s="7"/>
      <c r="BA1092" s="7"/>
      <c r="BB1092" s="7"/>
      <c r="BC1092" s="4"/>
      <c r="BD1092" s="8"/>
      <c r="BE1092" s="4"/>
      <c r="BF1092" s="8"/>
      <c r="BG1092" s="7"/>
      <c r="BH1092" s="7"/>
      <c r="BI1092" s="7"/>
      <c r="BJ1092" s="4">
        <v>12</v>
      </c>
      <c r="BK1092" s="8">
        <v>618.23</v>
      </c>
      <c r="BL1092" s="2" t="s">
        <v>5782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5783</v>
      </c>
      <c r="BV1092" s="2" t="s">
        <v>228</v>
      </c>
      <c r="BW1092" s="2" t="s">
        <v>228</v>
      </c>
      <c r="BX1092" s="2" t="s">
        <v>273</v>
      </c>
      <c r="BY1092" s="2" t="s">
        <v>274</v>
      </c>
      <c r="BZ1092" s="2" t="s">
        <v>240</v>
      </c>
      <c r="CA1092" s="2" t="s">
        <v>5784</v>
      </c>
      <c r="CB1092" s="2" t="s">
        <v>3872</v>
      </c>
      <c r="CC1092" s="2" t="s">
        <v>241</v>
      </c>
      <c r="CD1092" s="2" t="s">
        <v>228</v>
      </c>
      <c r="CE1092" s="4"/>
      <c r="CF1092" s="4">
        <v>49</v>
      </c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  <c r="GI1092" s="4"/>
      <c r="GJ1092" s="4"/>
      <c r="GK1092" s="4"/>
      <c r="GL1092" s="4"/>
      <c r="GM1092" s="4"/>
      <c r="GN1092" s="4"/>
      <c r="GO1092" s="4"/>
      <c r="GP1092" s="4"/>
      <c r="GQ1092" s="4"/>
      <c r="GR1092" s="4"/>
      <c r="GS1092" s="4"/>
      <c r="GT1092" s="4"/>
      <c r="GU1092" s="4"/>
      <c r="GV1092" s="4"/>
      <c r="GW1092" s="4"/>
      <c r="GX1092" s="4"/>
      <c r="GY1092" s="4"/>
      <c r="GZ1092" s="4"/>
      <c r="HA1092" s="4"/>
      <c r="HB1092" s="4"/>
      <c r="HC1092" s="4"/>
      <c r="HD1092" s="4"/>
      <c r="HE1092" s="4"/>
    </row>
    <row r="1093">
      <c r="A1093" s="2" t="s">
        <v>5785</v>
      </c>
      <c r="B1093" s="2" t="s">
        <v>866</v>
      </c>
      <c r="C1093" s="2" t="s">
        <v>300</v>
      </c>
      <c r="D1093" s="2" t="s">
        <v>899</v>
      </c>
      <c r="E1093" s="2" t="s">
        <v>877</v>
      </c>
      <c r="F1093" s="2" t="s">
        <v>5786</v>
      </c>
      <c r="G1093" s="2" t="s">
        <v>5786</v>
      </c>
      <c r="H1093" s="2" t="s">
        <v>5786</v>
      </c>
      <c r="I1093" s="2" t="s">
        <v>5787</v>
      </c>
      <c r="J1093" s="2" t="s">
        <v>840</v>
      </c>
      <c r="K1093" s="2" t="s">
        <v>5788</v>
      </c>
      <c r="L1093" s="3">
        <v>42.18</v>
      </c>
      <c r="M1093" s="3">
        <v>44.29</v>
      </c>
      <c r="N1093" s="3">
        <v>84.99</v>
      </c>
      <c r="O1093" s="2" t="s">
        <v>240</v>
      </c>
      <c r="P1093" s="2" t="s">
        <v>333</v>
      </c>
      <c r="Q1093" s="2" t="s">
        <v>234</v>
      </c>
      <c r="R1093" s="2" t="s">
        <v>228</v>
      </c>
      <c r="S1093" s="2" t="s">
        <v>5789</v>
      </c>
      <c r="T1093" s="2" t="s">
        <v>228</v>
      </c>
      <c r="U1093" s="2" t="s">
        <v>416</v>
      </c>
      <c r="V1093" s="2" t="s">
        <v>2042</v>
      </c>
      <c r="W1093" s="2" t="s">
        <v>309</v>
      </c>
      <c r="X1093" s="2" t="s">
        <v>463</v>
      </c>
      <c r="Y1093" s="2" t="s">
        <v>5790</v>
      </c>
      <c r="Z1093" s="4">
        <v>4</v>
      </c>
      <c r="AA1093" s="4">
        <f>=ROUNDDOWN(1.37931034482759,0)</f>
      </c>
      <c r="AB1093" s="5">
        <v>2.9</v>
      </c>
      <c r="AC1093" s="2" t="s">
        <v>228</v>
      </c>
      <c r="AD1093" s="4"/>
      <c r="AE1093" s="4"/>
      <c r="AF1093" s="6">
        <v>63</v>
      </c>
      <c r="AG1093" s="6"/>
      <c r="AH1093" s="7">
        <v>1</v>
      </c>
      <c r="AI1093" s="4"/>
      <c r="AJ1093" s="4">
        <f>=ROUNDDOWN({0},0)</f>
      </c>
      <c r="AK1093" s="5"/>
      <c r="AL1093" s="2" t="s">
        <v>228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/>
      <c r="AW1093" s="8"/>
      <c r="AX1093" s="4"/>
      <c r="AY1093" s="8"/>
      <c r="AZ1093" s="7"/>
      <c r="BA1093" s="7"/>
      <c r="BB1093" s="7"/>
      <c r="BC1093" s="4"/>
      <c r="BD1093" s="8"/>
      <c r="BE1093" s="4"/>
      <c r="BF1093" s="8"/>
      <c r="BG1093" s="7"/>
      <c r="BH1093" s="7"/>
      <c r="BI1093" s="7"/>
      <c r="BJ1093" s="4">
        <v>12</v>
      </c>
      <c r="BK1093" s="8">
        <v>585.63</v>
      </c>
      <c r="BL1093" s="2" t="s">
        <v>5791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5792</v>
      </c>
      <c r="BV1093" s="2" t="s">
        <v>228</v>
      </c>
      <c r="BW1093" s="2" t="s">
        <v>228</v>
      </c>
      <c r="BX1093" s="2" t="s">
        <v>337</v>
      </c>
      <c r="BY1093" s="2" t="s">
        <v>274</v>
      </c>
      <c r="BZ1093" s="2" t="s">
        <v>240</v>
      </c>
      <c r="CA1093" s="2" t="s">
        <v>5793</v>
      </c>
      <c r="CB1093" s="2" t="s">
        <v>5794</v>
      </c>
      <c r="CC1093" s="2" t="s">
        <v>241</v>
      </c>
      <c r="CD1093" s="2" t="s">
        <v>228</v>
      </c>
      <c r="CE1093" s="4"/>
      <c r="CF1093" s="4">
        <v>4</v>
      </c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</row>
    <row r="1094">
      <c r="A1094" s="2" t="s">
        <v>5795</v>
      </c>
      <c r="B1094" s="2" t="s">
        <v>866</v>
      </c>
      <c r="C1094" s="2" t="s">
        <v>885</v>
      </c>
      <c r="D1094" s="2" t="s">
        <v>867</v>
      </c>
      <c r="E1094" s="2" t="s">
        <v>868</v>
      </c>
      <c r="F1094" s="2" t="s">
        <v>5796</v>
      </c>
      <c r="G1094" s="2" t="s">
        <v>5796</v>
      </c>
      <c r="H1094" s="2" t="s">
        <v>5796</v>
      </c>
      <c r="I1094" s="2" t="s">
        <v>5797</v>
      </c>
      <c r="J1094" s="2" t="s">
        <v>840</v>
      </c>
      <c r="K1094" s="2" t="s">
        <v>841</v>
      </c>
      <c r="L1094" s="3">
        <v>25.71</v>
      </c>
      <c r="M1094" s="3">
        <v>27</v>
      </c>
      <c r="N1094" s="3">
        <v>59.99</v>
      </c>
      <c r="O1094" s="2" t="s">
        <v>240</v>
      </c>
      <c r="P1094" s="2" t="s">
        <v>233</v>
      </c>
      <c r="Q1094" s="2" t="s">
        <v>234</v>
      </c>
      <c r="R1094" s="2" t="s">
        <v>228</v>
      </c>
      <c r="S1094" s="2" t="s">
        <v>228</v>
      </c>
      <c r="T1094" s="2" t="s">
        <v>228</v>
      </c>
      <c r="U1094" s="2" t="s">
        <v>500</v>
      </c>
      <c r="V1094" s="2" t="s">
        <v>1946</v>
      </c>
      <c r="W1094" s="2" t="s">
        <v>4981</v>
      </c>
      <c r="X1094" s="2" t="s">
        <v>743</v>
      </c>
      <c r="Y1094" s="2" t="s">
        <v>5798</v>
      </c>
      <c r="Z1094" s="4">
        <v>72</v>
      </c>
      <c r="AA1094" s="4">
        <f>=ROUNDDOWN(72,0)</f>
      </c>
      <c r="AB1094" s="5">
        <v>1</v>
      </c>
      <c r="AC1094" s="2" t="s">
        <v>228</v>
      </c>
      <c r="AD1094" s="4"/>
      <c r="AE1094" s="4"/>
      <c r="AF1094" s="6">
        <v>63</v>
      </c>
      <c r="AG1094" s="6"/>
      <c r="AH1094" s="7">
        <v>1</v>
      </c>
      <c r="AI1094" s="4"/>
      <c r="AJ1094" s="4">
        <f>=ROUNDDOWN({0},0)</f>
      </c>
      <c r="AK1094" s="5"/>
      <c r="AL1094" s="2" t="s">
        <v>228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/>
      <c r="AW1094" s="8"/>
      <c r="AX1094" s="4"/>
      <c r="AY1094" s="8"/>
      <c r="AZ1094" s="7"/>
      <c r="BA1094" s="7"/>
      <c r="BB1094" s="7"/>
      <c r="BC1094" s="4"/>
      <c r="BD1094" s="8"/>
      <c r="BE1094" s="4"/>
      <c r="BF1094" s="8"/>
      <c r="BG1094" s="7"/>
      <c r="BH1094" s="7"/>
      <c r="BI1094" s="7"/>
      <c r="BJ1094" s="4">
        <v>6</v>
      </c>
      <c r="BK1094" s="8">
        <v>175.89</v>
      </c>
      <c r="BL1094" s="2" t="s">
        <v>5799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5800</v>
      </c>
      <c r="BV1094" s="2" t="s">
        <v>228</v>
      </c>
      <c r="BW1094" s="2" t="s">
        <v>228</v>
      </c>
      <c r="BX1094" s="2" t="s">
        <v>273</v>
      </c>
      <c r="BY1094" s="2" t="s">
        <v>274</v>
      </c>
      <c r="BZ1094" s="2" t="s">
        <v>240</v>
      </c>
      <c r="CA1094" s="2" t="s">
        <v>5801</v>
      </c>
      <c r="CB1094" s="2" t="s">
        <v>228</v>
      </c>
      <c r="CC1094" s="2" t="s">
        <v>241</v>
      </c>
      <c r="CD1094" s="2" t="s">
        <v>228</v>
      </c>
      <c r="CE1094" s="4"/>
      <c r="CF1094" s="4">
        <v>72</v>
      </c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</row>
    <row r="1095">
      <c r="A1095" s="2" t="s">
        <v>5802</v>
      </c>
      <c r="B1095" s="2" t="s">
        <v>958</v>
      </c>
      <c r="C1095" s="2" t="s">
        <v>300</v>
      </c>
      <c r="D1095" s="2" t="s">
        <v>1790</v>
      </c>
      <c r="E1095" s="2" t="s">
        <v>1791</v>
      </c>
      <c r="F1095" s="2" t="s">
        <v>5803</v>
      </c>
      <c r="G1095" s="2" t="s">
        <v>5804</v>
      </c>
      <c r="H1095" s="2" t="s">
        <v>5805</v>
      </c>
      <c r="I1095" s="2" t="s">
        <v>5806</v>
      </c>
      <c r="J1095" s="2" t="s">
        <v>840</v>
      </c>
      <c r="K1095" s="2" t="s">
        <v>249</v>
      </c>
      <c r="L1095" s="3">
        <v>190</v>
      </c>
      <c r="M1095" s="3">
        <v>199.5</v>
      </c>
      <c r="N1095" s="3">
        <v>399</v>
      </c>
      <c r="O1095" s="2" t="s">
        <v>240</v>
      </c>
      <c r="P1095" s="2" t="s">
        <v>1012</v>
      </c>
      <c r="Q1095" s="2" t="s">
        <v>234</v>
      </c>
      <c r="R1095" s="2" t="s">
        <v>228</v>
      </c>
      <c r="S1095" s="2" t="s">
        <v>228</v>
      </c>
      <c r="T1095" s="2" t="s">
        <v>228</v>
      </c>
      <c r="U1095" s="2" t="s">
        <v>416</v>
      </c>
      <c r="V1095" s="2" t="s">
        <v>236</v>
      </c>
      <c r="W1095" s="2" t="s">
        <v>417</v>
      </c>
      <c r="X1095" s="2" t="s">
        <v>463</v>
      </c>
      <c r="Y1095" s="2" t="s">
        <v>5807</v>
      </c>
      <c r="Z1095" s="4">
        <v>78</v>
      </c>
      <c r="AA1095" s="4">
        <f>=ROUNDDOWN(26,0)</f>
      </c>
      <c r="AB1095" s="5">
        <v>3</v>
      </c>
      <c r="AC1095" s="2" t="s">
        <v>196</v>
      </c>
      <c r="AD1095" s="4">
        <v>100</v>
      </c>
      <c r="AE1095" s="4">
        <v>100</v>
      </c>
      <c r="AF1095" s="6">
        <v>66</v>
      </c>
      <c r="AG1095" s="6"/>
      <c r="AH1095" s="7">
        <v>1</v>
      </c>
      <c r="AI1095" s="4"/>
      <c r="AJ1095" s="4">
        <f>=ROUNDDOWN({0},0)</f>
      </c>
      <c r="AK1095" s="5"/>
      <c r="AL1095" s="2" t="s">
        <v>228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/>
      <c r="AW1095" s="8"/>
      <c r="AX1095" s="4"/>
      <c r="AY1095" s="8"/>
      <c r="AZ1095" s="7"/>
      <c r="BA1095" s="7"/>
      <c r="BB1095" s="7"/>
      <c r="BC1095" s="4"/>
      <c r="BD1095" s="8"/>
      <c r="BE1095" s="4"/>
      <c r="BF1095" s="8"/>
      <c r="BG1095" s="7"/>
      <c r="BH1095" s="7"/>
      <c r="BI1095" s="7"/>
      <c r="BJ1095" s="4">
        <v>15</v>
      </c>
      <c r="BK1095" s="8">
        <v>2673.45</v>
      </c>
      <c r="BL1095" s="2" t="s">
        <v>2978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5808</v>
      </c>
      <c r="BV1095" s="2" t="s">
        <v>228</v>
      </c>
      <c r="BW1095" s="2" t="s">
        <v>228</v>
      </c>
      <c r="BX1095" s="2" t="s">
        <v>735</v>
      </c>
      <c r="BY1095" s="2" t="s">
        <v>274</v>
      </c>
      <c r="BZ1095" s="2" t="s">
        <v>240</v>
      </c>
      <c r="CA1095" s="2" t="s">
        <v>5809</v>
      </c>
      <c r="CB1095" s="2" t="s">
        <v>5264</v>
      </c>
      <c r="CC1095" s="2" t="s">
        <v>241</v>
      </c>
      <c r="CD1095" s="2" t="s">
        <v>228</v>
      </c>
      <c r="CE1095" s="4"/>
      <c r="CF1095" s="4">
        <v>78</v>
      </c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>
        <v>100</v>
      </c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/>
      <c r="HA1095" s="4"/>
      <c r="HB1095" s="4"/>
      <c r="HC1095" s="4"/>
      <c r="HD1095" s="4"/>
      <c r="HE1095" s="4"/>
    </row>
    <row r="1096">
      <c r="A1096" s="2" t="s">
        <v>5810</v>
      </c>
      <c r="B1096" s="2" t="s">
        <v>866</v>
      </c>
      <c r="C1096" s="2" t="s">
        <v>300</v>
      </c>
      <c r="D1096" s="2" t="s">
        <v>899</v>
      </c>
      <c r="E1096" s="2" t="s">
        <v>1891</v>
      </c>
      <c r="F1096" s="2" t="s">
        <v>5811</v>
      </c>
      <c r="G1096" s="2" t="s">
        <v>5811</v>
      </c>
      <c r="H1096" s="2" t="s">
        <v>5811</v>
      </c>
      <c r="I1096" s="2" t="s">
        <v>5812</v>
      </c>
      <c r="J1096" s="2" t="s">
        <v>5813</v>
      </c>
      <c r="K1096" s="2" t="s">
        <v>823</v>
      </c>
      <c r="L1096" s="3">
        <v>54.23</v>
      </c>
      <c r="M1096" s="3">
        <v>56.94</v>
      </c>
      <c r="N1096" s="3">
        <v>118.99</v>
      </c>
      <c r="O1096" s="2" t="s">
        <v>240</v>
      </c>
      <c r="P1096" s="2" t="s">
        <v>889</v>
      </c>
      <c r="Q1096" s="2" t="s">
        <v>234</v>
      </c>
      <c r="R1096" s="2" t="s">
        <v>228</v>
      </c>
      <c r="S1096" s="2" t="s">
        <v>5814</v>
      </c>
      <c r="T1096" s="2" t="s">
        <v>228</v>
      </c>
      <c r="U1096" s="2" t="s">
        <v>520</v>
      </c>
      <c r="V1096" s="2" t="s">
        <v>859</v>
      </c>
      <c r="W1096" s="2" t="s">
        <v>309</v>
      </c>
      <c r="X1096" s="2" t="s">
        <v>417</v>
      </c>
      <c r="Y1096" s="2" t="s">
        <v>1313</v>
      </c>
      <c r="Z1096" s="4">
        <v>229</v>
      </c>
      <c r="AA1096" s="4">
        <f>=ROUNDDOWN(20.8181818181818,0)</f>
      </c>
      <c r="AB1096" s="5">
        <v>11</v>
      </c>
      <c r="AC1096" s="2" t="s">
        <v>168</v>
      </c>
      <c r="AD1096" s="4">
        <v>100</v>
      </c>
      <c r="AE1096" s="4">
        <v>100</v>
      </c>
      <c r="AF1096" s="6">
        <v>63</v>
      </c>
      <c r="AG1096" s="6">
        <v>46</v>
      </c>
      <c r="AH1096" s="7">
        <v>1</v>
      </c>
      <c r="AI1096" s="4"/>
      <c r="AJ1096" s="4">
        <f>=ROUNDDOWN({0},0)</f>
      </c>
      <c r="AK1096" s="5"/>
      <c r="AL1096" s="2" t="s">
        <v>228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/>
      <c r="AW1096" s="8"/>
      <c r="AX1096" s="4"/>
      <c r="AY1096" s="8"/>
      <c r="AZ1096" s="7"/>
      <c r="BA1096" s="7"/>
      <c r="BB1096" s="7"/>
      <c r="BC1096" s="4"/>
      <c r="BD1096" s="8"/>
      <c r="BE1096" s="4"/>
      <c r="BF1096" s="8"/>
      <c r="BG1096" s="7"/>
      <c r="BH1096" s="7"/>
      <c r="BI1096" s="7"/>
      <c r="BJ1096" s="4">
        <v>52</v>
      </c>
      <c r="BK1096" s="8">
        <v>3234.81</v>
      </c>
      <c r="BL1096" s="2" t="s">
        <v>5815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5816</v>
      </c>
      <c r="BV1096" s="2" t="s">
        <v>228</v>
      </c>
      <c r="BW1096" s="2" t="s">
        <v>228</v>
      </c>
      <c r="BX1096" s="2" t="s">
        <v>735</v>
      </c>
      <c r="BY1096" s="2" t="s">
        <v>274</v>
      </c>
      <c r="BZ1096" s="2" t="s">
        <v>240</v>
      </c>
      <c r="CA1096" s="2" t="s">
        <v>5817</v>
      </c>
      <c r="CB1096" s="2" t="s">
        <v>2662</v>
      </c>
      <c r="CC1096" s="2" t="s">
        <v>241</v>
      </c>
      <c r="CD1096" s="2" t="s">
        <v>228</v>
      </c>
      <c r="CE1096" s="4"/>
      <c r="CF1096" s="4">
        <v>229</v>
      </c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>
        <v>100</v>
      </c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  <c r="GI1096" s="4"/>
      <c r="GJ1096" s="4"/>
      <c r="GK1096" s="4"/>
      <c r="GL1096" s="4"/>
      <c r="GM1096" s="4"/>
      <c r="GN1096" s="4"/>
      <c r="GO1096" s="4"/>
      <c r="GP1096" s="4"/>
      <c r="GQ1096" s="4"/>
      <c r="GR1096" s="4"/>
      <c r="GS1096" s="4"/>
      <c r="GT1096" s="4"/>
      <c r="GU1096" s="4"/>
      <c r="GV1096" s="4"/>
      <c r="GW1096" s="4"/>
      <c r="GX1096" s="4"/>
      <c r="GY1096" s="4"/>
      <c r="GZ1096" s="4"/>
      <c r="HA1096" s="4"/>
      <c r="HB1096" s="4"/>
      <c r="HC1096" s="4"/>
      <c r="HD1096" s="4"/>
      <c r="HE1096" s="4"/>
    </row>
    <row r="1097">
      <c r="A1097" s="2" t="s">
        <v>5818</v>
      </c>
      <c r="B1097" s="2" t="s">
        <v>1276</v>
      </c>
      <c r="C1097" s="2" t="s">
        <v>300</v>
      </c>
      <c r="D1097" s="2" t="s">
        <v>1276</v>
      </c>
      <c r="E1097" s="2" t="s">
        <v>1276</v>
      </c>
      <c r="F1097" s="2" t="s">
        <v>5819</v>
      </c>
      <c r="G1097" s="2" t="s">
        <v>5820</v>
      </c>
      <c r="H1097" s="2" t="s">
        <v>5821</v>
      </c>
      <c r="I1097" s="2" t="s">
        <v>5822</v>
      </c>
      <c r="J1097" s="2" t="s">
        <v>1711</v>
      </c>
      <c r="K1097" s="2" t="s">
        <v>265</v>
      </c>
      <c r="L1097" s="3">
        <v>60.49</v>
      </c>
      <c r="M1097" s="3">
        <v>63.51</v>
      </c>
      <c r="N1097" s="3">
        <v>134.99</v>
      </c>
      <c r="O1097" s="2" t="s">
        <v>461</v>
      </c>
      <c r="P1097" s="2" t="s">
        <v>333</v>
      </c>
      <c r="Q1097" s="2" t="s">
        <v>234</v>
      </c>
      <c r="R1097" s="2" t="s">
        <v>228</v>
      </c>
      <c r="S1097" s="2" t="s">
        <v>228</v>
      </c>
      <c r="T1097" s="2" t="s">
        <v>228</v>
      </c>
      <c r="U1097" s="2" t="s">
        <v>416</v>
      </c>
      <c r="V1097" s="2" t="s">
        <v>859</v>
      </c>
      <c r="W1097" s="2" t="s">
        <v>463</v>
      </c>
      <c r="X1097" s="2" t="s">
        <v>228</v>
      </c>
      <c r="Y1097" s="2" t="s">
        <v>5823</v>
      </c>
      <c r="Z1097" s="4">
        <v>320</v>
      </c>
      <c r="AA1097" s="4">
        <f>=ROUNDDOWN(640,0)</f>
      </c>
      <c r="AB1097" s="5">
        <v>0.5</v>
      </c>
      <c r="AC1097" s="2" t="s">
        <v>228</v>
      </c>
      <c r="AD1097" s="4"/>
      <c r="AE1097" s="4"/>
      <c r="AF1097" s="6">
        <v>63</v>
      </c>
      <c r="AG1097" s="6"/>
      <c r="AH1097" s="7">
        <v>1</v>
      </c>
      <c r="AI1097" s="4"/>
      <c r="AJ1097" s="4">
        <f>=ROUNDDOWN({0},0)</f>
      </c>
      <c r="AK1097" s="5"/>
      <c r="AL1097" s="2" t="s">
        <v>228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228</v>
      </c>
      <c r="AW1097" s="8" t="s">
        <v>228</v>
      </c>
      <c r="AX1097" s="4" t="s">
        <v>228</v>
      </c>
      <c r="AY1097" s="8" t="s">
        <v>228</v>
      </c>
      <c r="AZ1097" s="7" t="s">
        <v>228</v>
      </c>
      <c r="BA1097" s="7" t="s">
        <v>228</v>
      </c>
      <c r="BB1097" s="7"/>
      <c r="BC1097" s="4" t="s">
        <v>228</v>
      </c>
      <c r="BD1097" s="8" t="s">
        <v>228</v>
      </c>
      <c r="BE1097" s="4" t="s">
        <v>228</v>
      </c>
      <c r="BF1097" s="8" t="s">
        <v>228</v>
      </c>
      <c r="BG1097" s="7" t="s">
        <v>228</v>
      </c>
      <c r="BH1097" s="7" t="s">
        <v>228</v>
      </c>
      <c r="BI1097" s="7"/>
      <c r="BJ1097" s="4">
        <v>3</v>
      </c>
      <c r="BK1097" s="8">
        <v>189.88</v>
      </c>
      <c r="BL1097" s="2" t="s">
        <v>5824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5825</v>
      </c>
      <c r="BV1097" s="2" t="s">
        <v>228</v>
      </c>
      <c r="BW1097" s="2" t="s">
        <v>228</v>
      </c>
      <c r="BX1097" s="2" t="s">
        <v>337</v>
      </c>
      <c r="BY1097" s="2" t="s">
        <v>274</v>
      </c>
      <c r="BZ1097" s="2" t="s">
        <v>240</v>
      </c>
      <c r="CA1097" s="2" t="s">
        <v>1286</v>
      </c>
      <c r="CB1097" s="2" t="s">
        <v>4054</v>
      </c>
      <c r="CC1097" s="2" t="s">
        <v>241</v>
      </c>
      <c r="CD1097" s="2" t="s">
        <v>228</v>
      </c>
      <c r="CE1097" s="4"/>
      <c r="CF1097" s="4">
        <v>320</v>
      </c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</row>
    <row r="1098">
      <c r="A1098" s="2" t="s">
        <v>5826</v>
      </c>
      <c r="B1098" s="2" t="s">
        <v>1276</v>
      </c>
      <c r="C1098" s="2" t="s">
        <v>300</v>
      </c>
      <c r="D1098" s="2" t="s">
        <v>1276</v>
      </c>
      <c r="E1098" s="2" t="s">
        <v>1276</v>
      </c>
      <c r="F1098" s="2" t="s">
        <v>5819</v>
      </c>
      <c r="G1098" s="2" t="s">
        <v>5820</v>
      </c>
      <c r="H1098" s="2" t="s">
        <v>5821</v>
      </c>
      <c r="I1098" s="2" t="s">
        <v>5822</v>
      </c>
      <c r="J1098" s="2" t="s">
        <v>1280</v>
      </c>
      <c r="K1098" s="2" t="s">
        <v>265</v>
      </c>
      <c r="L1098" s="3">
        <v>94.67</v>
      </c>
      <c r="M1098" s="3">
        <v>99.4</v>
      </c>
      <c r="N1098" s="3">
        <v>214.99</v>
      </c>
      <c r="O1098" s="2" t="s">
        <v>461</v>
      </c>
      <c r="P1098" s="2" t="s">
        <v>333</v>
      </c>
      <c r="Q1098" s="2" t="s">
        <v>234</v>
      </c>
      <c r="R1098" s="2" t="s">
        <v>228</v>
      </c>
      <c r="S1098" s="2" t="s">
        <v>228</v>
      </c>
      <c r="T1098" s="2" t="s">
        <v>228</v>
      </c>
      <c r="U1098" s="2" t="s">
        <v>416</v>
      </c>
      <c r="V1098" s="2" t="s">
        <v>859</v>
      </c>
      <c r="W1098" s="2" t="s">
        <v>463</v>
      </c>
      <c r="X1098" s="2" t="s">
        <v>228</v>
      </c>
      <c r="Y1098" s="2" t="s">
        <v>5823</v>
      </c>
      <c r="Z1098" s="4">
        <v>44</v>
      </c>
      <c r="AA1098" s="4">
        <f>=ROUNDDOWN(55,0)</f>
      </c>
      <c r="AB1098" s="5">
        <v>0.8</v>
      </c>
      <c r="AC1098" s="2" t="s">
        <v>228</v>
      </c>
      <c r="AD1098" s="4"/>
      <c r="AE1098" s="4"/>
      <c r="AF1098" s="6">
        <v>63</v>
      </c>
      <c r="AG1098" s="6"/>
      <c r="AH1098" s="7">
        <v>1</v>
      </c>
      <c r="AI1098" s="4"/>
      <c r="AJ1098" s="4">
        <f>=ROUNDDOWN({0},0)</f>
      </c>
      <c r="AK1098" s="5"/>
      <c r="AL1098" s="2" t="s">
        <v>228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228</v>
      </c>
      <c r="AW1098" s="8" t="s">
        <v>228</v>
      </c>
      <c r="AX1098" s="4" t="s">
        <v>228</v>
      </c>
      <c r="AY1098" s="8" t="s">
        <v>228</v>
      </c>
      <c r="AZ1098" s="7" t="s">
        <v>228</v>
      </c>
      <c r="BA1098" s="7" t="s">
        <v>228</v>
      </c>
      <c r="BB1098" s="7"/>
      <c r="BC1098" s="4" t="s">
        <v>228</v>
      </c>
      <c r="BD1098" s="8" t="s">
        <v>228</v>
      </c>
      <c r="BE1098" s="4" t="s">
        <v>228</v>
      </c>
      <c r="BF1098" s="8" t="s">
        <v>228</v>
      </c>
      <c r="BG1098" s="7" t="s">
        <v>228</v>
      </c>
      <c r="BH1098" s="7" t="s">
        <v>228</v>
      </c>
      <c r="BI1098" s="7"/>
      <c r="BJ1098" s="4">
        <v>4</v>
      </c>
      <c r="BK1098" s="8">
        <v>425.44</v>
      </c>
      <c r="BL1098" s="2" t="s">
        <v>5827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5828</v>
      </c>
      <c r="BV1098" s="2" t="s">
        <v>228</v>
      </c>
      <c r="BW1098" s="2" t="s">
        <v>228</v>
      </c>
      <c r="BX1098" s="2" t="s">
        <v>337</v>
      </c>
      <c r="BY1098" s="2" t="s">
        <v>274</v>
      </c>
      <c r="BZ1098" s="2" t="s">
        <v>240</v>
      </c>
      <c r="CA1098" s="2" t="s">
        <v>1286</v>
      </c>
      <c r="CB1098" s="2" t="s">
        <v>5829</v>
      </c>
      <c r="CC1098" s="2" t="s">
        <v>241</v>
      </c>
      <c r="CD1098" s="2" t="s">
        <v>228</v>
      </c>
      <c r="CE1098" s="4"/>
      <c r="CF1098" s="4">
        <v>44</v>
      </c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  <c r="GH1098" s="4"/>
      <c r="GI1098" s="4"/>
      <c r="GJ1098" s="4"/>
      <c r="GK1098" s="4"/>
      <c r="GL1098" s="4"/>
      <c r="GM1098" s="4"/>
      <c r="GN1098" s="4"/>
      <c r="GO1098" s="4"/>
      <c r="GP1098" s="4"/>
      <c r="GQ1098" s="4"/>
      <c r="GR1098" s="4"/>
      <c r="GS1098" s="4"/>
      <c r="GT1098" s="4"/>
      <c r="GU1098" s="4"/>
      <c r="GV1098" s="4"/>
      <c r="GW1098" s="4"/>
      <c r="GX1098" s="4"/>
      <c r="GY1098" s="4"/>
      <c r="GZ1098" s="4"/>
      <c r="HA1098" s="4"/>
      <c r="HB1098" s="4"/>
      <c r="HC1098" s="4"/>
      <c r="HD1098" s="4"/>
      <c r="HE1098" s="4"/>
    </row>
    <row r="1099">
      <c r="A1099" s="2" t="s">
        <v>5830</v>
      </c>
      <c r="B1099" s="2" t="s">
        <v>1276</v>
      </c>
      <c r="C1099" s="2" t="s">
        <v>300</v>
      </c>
      <c r="D1099" s="2" t="s">
        <v>1276</v>
      </c>
      <c r="E1099" s="2" t="s">
        <v>1276</v>
      </c>
      <c r="F1099" s="2" t="s">
        <v>5819</v>
      </c>
      <c r="G1099" s="2" t="s">
        <v>5820</v>
      </c>
      <c r="H1099" s="2" t="s">
        <v>5821</v>
      </c>
      <c r="I1099" s="2" t="s">
        <v>5822</v>
      </c>
      <c r="J1099" s="2" t="s">
        <v>1937</v>
      </c>
      <c r="K1099" s="2" t="s">
        <v>265</v>
      </c>
      <c r="L1099" s="3">
        <v>130.14</v>
      </c>
      <c r="M1099" s="3">
        <v>136.65</v>
      </c>
      <c r="N1099" s="3">
        <v>289.99</v>
      </c>
      <c r="O1099" s="2" t="s">
        <v>461</v>
      </c>
      <c r="P1099" s="2" t="s">
        <v>333</v>
      </c>
      <c r="Q1099" s="2" t="s">
        <v>234</v>
      </c>
      <c r="R1099" s="2" t="s">
        <v>228</v>
      </c>
      <c r="S1099" s="2" t="s">
        <v>228</v>
      </c>
      <c r="T1099" s="2" t="s">
        <v>228</v>
      </c>
      <c r="U1099" s="2" t="s">
        <v>416</v>
      </c>
      <c r="V1099" s="2" t="s">
        <v>859</v>
      </c>
      <c r="W1099" s="2" t="s">
        <v>463</v>
      </c>
      <c r="X1099" s="2" t="s">
        <v>228</v>
      </c>
      <c r="Y1099" s="2" t="s">
        <v>5823</v>
      </c>
      <c r="Z1099" s="4">
        <v>132</v>
      </c>
      <c r="AA1099" s="4">
        <f>=ROUNDDOWN(77.6470588235294,0)</f>
      </c>
      <c r="AB1099" s="5">
        <v>1.7</v>
      </c>
      <c r="AC1099" s="2" t="s">
        <v>228</v>
      </c>
      <c r="AD1099" s="4"/>
      <c r="AE1099" s="4"/>
      <c r="AF1099" s="6">
        <v>63</v>
      </c>
      <c r="AG1099" s="6"/>
      <c r="AH1099" s="7">
        <v>1</v>
      </c>
      <c r="AI1099" s="4"/>
      <c r="AJ1099" s="4">
        <f>=ROUNDDOWN({0},0)</f>
      </c>
      <c r="AK1099" s="5"/>
      <c r="AL1099" s="2" t="s">
        <v>228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228</v>
      </c>
      <c r="AW1099" s="8" t="s">
        <v>228</v>
      </c>
      <c r="AX1099" s="4" t="s">
        <v>228</v>
      </c>
      <c r="AY1099" s="8" t="s">
        <v>228</v>
      </c>
      <c r="AZ1099" s="7" t="s">
        <v>228</v>
      </c>
      <c r="BA1099" s="7" t="s">
        <v>228</v>
      </c>
      <c r="BB1099" s="7"/>
      <c r="BC1099" s="4" t="s">
        <v>228</v>
      </c>
      <c r="BD1099" s="8" t="s">
        <v>228</v>
      </c>
      <c r="BE1099" s="4" t="s">
        <v>228</v>
      </c>
      <c r="BF1099" s="8" t="s">
        <v>228</v>
      </c>
      <c r="BG1099" s="7" t="s">
        <v>228</v>
      </c>
      <c r="BH1099" s="7" t="s">
        <v>228</v>
      </c>
      <c r="BI1099" s="7"/>
      <c r="BJ1099" s="4">
        <v>8</v>
      </c>
      <c r="BK1099" s="8">
        <v>1186.02</v>
      </c>
      <c r="BL1099" s="2" t="s">
        <v>5831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5832</v>
      </c>
      <c r="BV1099" s="2" t="s">
        <v>228</v>
      </c>
      <c r="BW1099" s="2" t="s">
        <v>228</v>
      </c>
      <c r="BX1099" s="2" t="s">
        <v>337</v>
      </c>
      <c r="BY1099" s="2" t="s">
        <v>274</v>
      </c>
      <c r="BZ1099" s="2" t="s">
        <v>240</v>
      </c>
      <c r="CA1099" s="2" t="s">
        <v>1286</v>
      </c>
      <c r="CB1099" s="2" t="s">
        <v>2036</v>
      </c>
      <c r="CC1099" s="2" t="s">
        <v>241</v>
      </c>
      <c r="CD1099" s="2" t="s">
        <v>228</v>
      </c>
      <c r="CE1099" s="4"/>
      <c r="CF1099" s="4">
        <v>132</v>
      </c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</row>
    <row r="1100">
      <c r="A1100" s="2" t="s">
        <v>5833</v>
      </c>
      <c r="B1100" s="2" t="s">
        <v>1374</v>
      </c>
      <c r="C1100" s="2" t="s">
        <v>300</v>
      </c>
      <c r="D1100" s="2" t="s">
        <v>1399</v>
      </c>
      <c r="E1100" s="2" t="s">
        <v>1400</v>
      </c>
      <c r="F1100" s="2" t="s">
        <v>5819</v>
      </c>
      <c r="G1100" s="2" t="s">
        <v>5834</v>
      </c>
      <c r="H1100" s="2" t="s">
        <v>852</v>
      </c>
      <c r="I1100" s="2" t="s">
        <v>5835</v>
      </c>
      <c r="J1100" s="2" t="s">
        <v>1402</v>
      </c>
      <c r="K1100" s="2" t="s">
        <v>316</v>
      </c>
      <c r="L1100" s="3">
        <v>13.2</v>
      </c>
      <c r="M1100" s="3">
        <v>13.86</v>
      </c>
      <c r="N1100" s="3">
        <v>29.99</v>
      </c>
      <c r="O1100" s="2" t="s">
        <v>240</v>
      </c>
      <c r="P1100" s="2" t="s">
        <v>266</v>
      </c>
      <c r="Q1100" s="2" t="s">
        <v>234</v>
      </c>
      <c r="R1100" s="2" t="s">
        <v>228</v>
      </c>
      <c r="S1100" s="2" t="s">
        <v>3181</v>
      </c>
      <c r="T1100" s="2" t="s">
        <v>228</v>
      </c>
      <c r="U1100" s="2" t="s">
        <v>228</v>
      </c>
      <c r="V1100" s="2" t="s">
        <v>236</v>
      </c>
      <c r="W1100" s="2" t="s">
        <v>1268</v>
      </c>
      <c r="X1100" s="2" t="s">
        <v>228</v>
      </c>
      <c r="Y1100" s="2" t="s">
        <v>5836</v>
      </c>
      <c r="Z1100" s="4">
        <v>3</v>
      </c>
      <c r="AA1100" s="4">
        <f>=ROUNDDOWN(0.0196078431372549,0)</f>
      </c>
      <c r="AB1100" s="5">
        <v>153</v>
      </c>
      <c r="AC1100" s="2" t="s">
        <v>1461</v>
      </c>
      <c r="AD1100" s="4">
        <v>400</v>
      </c>
      <c r="AE1100" s="4">
        <v>5000</v>
      </c>
      <c r="AF1100" s="6">
        <v>65</v>
      </c>
      <c r="AG1100" s="6"/>
      <c r="AH1100" s="7">
        <v>0</v>
      </c>
      <c r="AI1100" s="4"/>
      <c r="AJ1100" s="4">
        <f>=ROUNDDOWN({0},0)</f>
      </c>
      <c r="AK1100" s="5"/>
      <c r="AL1100" s="2" t="s">
        <v>228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/>
      <c r="AW1100" s="8"/>
      <c r="AX1100" s="4"/>
      <c r="AY1100" s="8"/>
      <c r="AZ1100" s="7"/>
      <c r="BA1100" s="7"/>
      <c r="BB1100" s="7"/>
      <c r="BC1100" s="4" t="s">
        <v>228</v>
      </c>
      <c r="BD1100" s="8" t="s">
        <v>228</v>
      </c>
      <c r="BE1100" s="4" t="s">
        <v>228</v>
      </c>
      <c r="BF1100" s="8" t="s">
        <v>228</v>
      </c>
      <c r="BG1100" s="7" t="s">
        <v>228</v>
      </c>
      <c r="BH1100" s="7" t="s">
        <v>228</v>
      </c>
      <c r="BI1100" s="7"/>
      <c r="BJ1100" s="4">
        <v>7</v>
      </c>
      <c r="BK1100" s="8">
        <v>117.23</v>
      </c>
      <c r="BL1100" s="2" t="s">
        <v>5837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5838</v>
      </c>
      <c r="BV1100" s="2" t="s">
        <v>228</v>
      </c>
      <c r="BW1100" s="2" t="s">
        <v>228</v>
      </c>
      <c r="BX1100" s="2" t="s">
        <v>273</v>
      </c>
      <c r="BY1100" s="2" t="s">
        <v>274</v>
      </c>
      <c r="BZ1100" s="2" t="s">
        <v>240</v>
      </c>
      <c r="CA1100" s="2" t="s">
        <v>795</v>
      </c>
      <c r="CB1100" s="2" t="s">
        <v>819</v>
      </c>
      <c r="CC1100" s="2" t="s">
        <v>241</v>
      </c>
      <c r="CD1100" s="2" t="s">
        <v>228</v>
      </c>
      <c r="CE1100" s="4">
        <v>3</v>
      </c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>
        <v>400</v>
      </c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>
        <v>600</v>
      </c>
      <c r="DQ1100" s="4"/>
      <c r="DR1100" s="4"/>
      <c r="DS1100" s="4"/>
      <c r="DT1100" s="4"/>
      <c r="DU1100" s="4"/>
      <c r="DV1100" s="4"/>
      <c r="DW1100" s="4"/>
      <c r="DX1100" s="4"/>
      <c r="DY1100" s="4"/>
      <c r="DZ1100" s="4">
        <v>600</v>
      </c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>
        <v>700</v>
      </c>
      <c r="EU1100" s="4"/>
      <c r="EV1100" s="4"/>
      <c r="EW1100" s="4"/>
      <c r="EX1100" s="4"/>
      <c r="EY1100" s="4"/>
      <c r="EZ1100" s="4"/>
      <c r="FA1100" s="4"/>
      <c r="FB1100" s="4">
        <v>600</v>
      </c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>
        <v>2100</v>
      </c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  <c r="GH1100" s="4"/>
      <c r="GI1100" s="4"/>
      <c r="GJ1100" s="4"/>
      <c r="GK1100" s="4"/>
      <c r="GL1100" s="4"/>
      <c r="GM1100" s="4"/>
      <c r="GN1100" s="4"/>
      <c r="GO1100" s="4"/>
      <c r="GP1100" s="4"/>
      <c r="GQ1100" s="4"/>
      <c r="GR1100" s="4"/>
      <c r="GS1100" s="4"/>
      <c r="GT1100" s="4"/>
      <c r="GU1100" s="4"/>
      <c r="GV1100" s="4"/>
      <c r="GW1100" s="4"/>
      <c r="GX1100" s="4"/>
      <c r="GY1100" s="4"/>
      <c r="GZ1100" s="4"/>
      <c r="HA1100" s="4"/>
      <c r="HB1100" s="4"/>
      <c r="HC1100" s="4"/>
      <c r="HD1100" s="4"/>
      <c r="HE1100" s="4"/>
    </row>
    <row r="1101">
      <c r="A1101" s="2" t="s">
        <v>5839</v>
      </c>
      <c r="B1101" s="2" t="s">
        <v>958</v>
      </c>
      <c r="C1101" s="2" t="s">
        <v>300</v>
      </c>
      <c r="D1101" s="2" t="s">
        <v>959</v>
      </c>
      <c r="E1101" s="2" t="s">
        <v>3094</v>
      </c>
      <c r="F1101" s="2" t="s">
        <v>5840</v>
      </c>
      <c r="G1101" s="2" t="s">
        <v>5841</v>
      </c>
      <c r="H1101" s="2" t="s">
        <v>5842</v>
      </c>
      <c r="I1101" s="2" t="s">
        <v>5843</v>
      </c>
      <c r="J1101" s="2" t="s">
        <v>840</v>
      </c>
      <c r="K1101" s="2" t="s">
        <v>525</v>
      </c>
      <c r="L1101" s="3">
        <v>143</v>
      </c>
      <c r="M1101" s="3">
        <v>150.15</v>
      </c>
      <c r="N1101" s="3">
        <v>299</v>
      </c>
      <c r="O1101" s="2" t="s">
        <v>461</v>
      </c>
      <c r="P1101" s="2" t="s">
        <v>333</v>
      </c>
      <c r="Q1101" s="2" t="s">
        <v>234</v>
      </c>
      <c r="R1101" s="2" t="s">
        <v>228</v>
      </c>
      <c r="S1101" s="2" t="s">
        <v>228</v>
      </c>
      <c r="T1101" s="2" t="s">
        <v>228</v>
      </c>
      <c r="U1101" s="2" t="s">
        <v>416</v>
      </c>
      <c r="V1101" s="2" t="s">
        <v>842</v>
      </c>
      <c r="W1101" s="2" t="s">
        <v>463</v>
      </c>
      <c r="X1101" s="2" t="s">
        <v>228</v>
      </c>
      <c r="Y1101" s="2" t="s">
        <v>4851</v>
      </c>
      <c r="Z1101" s="4">
        <v>65</v>
      </c>
      <c r="AA1101" s="4">
        <f>=ROUNDDOWN({0},0)</f>
      </c>
      <c r="AB1101" s="5"/>
      <c r="AC1101" s="2" t="s">
        <v>228</v>
      </c>
      <c r="AD1101" s="4"/>
      <c r="AE1101" s="4"/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228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/>
      <c r="AW1101" s="8"/>
      <c r="AX1101" s="4"/>
      <c r="AY1101" s="8"/>
      <c r="AZ1101" s="7"/>
      <c r="BA1101" s="7"/>
      <c r="BB1101" s="7"/>
      <c r="BC1101" s="4"/>
      <c r="BD1101" s="8"/>
      <c r="BE1101" s="4"/>
      <c r="BF1101" s="8"/>
      <c r="BG1101" s="7"/>
      <c r="BH1101" s="7"/>
      <c r="BI1101" s="7"/>
      <c r="BJ1101" s="4"/>
      <c r="BK1101" s="8"/>
      <c r="BL1101" s="2" t="s">
        <v>1033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5844</v>
      </c>
      <c r="BV1101" s="2" t="s">
        <v>228</v>
      </c>
      <c r="BW1101" s="2" t="s">
        <v>228</v>
      </c>
      <c r="BX1101" s="2" t="s">
        <v>337</v>
      </c>
      <c r="BY1101" s="2" t="s">
        <v>274</v>
      </c>
      <c r="BZ1101" s="2" t="s">
        <v>240</v>
      </c>
      <c r="CA1101" s="2" t="s">
        <v>5845</v>
      </c>
      <c r="CB1101" s="2" t="s">
        <v>4417</v>
      </c>
      <c r="CC1101" s="2" t="s">
        <v>241</v>
      </c>
      <c r="CD1101" s="2" t="s">
        <v>228</v>
      </c>
      <c r="CE1101" s="4"/>
      <c r="CF1101" s="4">
        <v>65</v>
      </c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</row>
    <row r="1102">
      <c r="A1102" s="2" t="s">
        <v>5846</v>
      </c>
      <c r="B1102" s="2" t="s">
        <v>970</v>
      </c>
      <c r="C1102" s="2" t="s">
        <v>1111</v>
      </c>
      <c r="D1102" s="2" t="s">
        <v>971</v>
      </c>
      <c r="E1102" s="2" t="s">
        <v>972</v>
      </c>
      <c r="F1102" s="2" t="s">
        <v>5847</v>
      </c>
      <c r="G1102" s="2" t="s">
        <v>228</v>
      </c>
      <c r="H1102" s="2" t="s">
        <v>228</v>
      </c>
      <c r="I1102" s="2" t="s">
        <v>5848</v>
      </c>
      <c r="J1102" s="2" t="s">
        <v>5849</v>
      </c>
      <c r="K1102" s="2" t="s">
        <v>249</v>
      </c>
      <c r="L1102" s="3">
        <v>19.53</v>
      </c>
      <c r="M1102" s="3">
        <v>20.51</v>
      </c>
      <c r="N1102" s="3">
        <v>34.99</v>
      </c>
      <c r="O1102" s="2" t="s">
        <v>491</v>
      </c>
      <c r="P1102" s="2" t="s">
        <v>1116</v>
      </c>
      <c r="Q1102" s="2" t="s">
        <v>234</v>
      </c>
      <c r="R1102" s="2" t="s">
        <v>727</v>
      </c>
      <c r="S1102" s="2" t="s">
        <v>228</v>
      </c>
      <c r="T1102" s="2" t="s">
        <v>228</v>
      </c>
      <c r="U1102" s="2" t="s">
        <v>228</v>
      </c>
      <c r="V1102" s="2" t="s">
        <v>842</v>
      </c>
      <c r="W1102" s="2" t="s">
        <v>228</v>
      </c>
      <c r="X1102" s="2" t="s">
        <v>228</v>
      </c>
      <c r="Y1102" s="2" t="s">
        <v>707</v>
      </c>
      <c r="Z1102" s="4">
        <v>109</v>
      </c>
      <c r="AA1102" s="4">
        <f>=ROUNDDOWN(545,0)</f>
      </c>
      <c r="AB1102" s="5">
        <v>0.2</v>
      </c>
      <c r="AC1102" s="2" t="s">
        <v>228</v>
      </c>
      <c r="AD1102" s="4"/>
      <c r="AE1102" s="4"/>
      <c r="AF1102" s="6">
        <v>64</v>
      </c>
      <c r="AG1102" s="6"/>
      <c r="AH1102" s="7">
        <v>1</v>
      </c>
      <c r="AI1102" s="4"/>
      <c r="AJ1102" s="4">
        <f>=ROUNDDOWN({0},0)</f>
      </c>
      <c r="AK1102" s="5"/>
      <c r="AL1102" s="2" t="s">
        <v>228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/>
      <c r="AW1102" s="8"/>
      <c r="AX1102" s="4"/>
      <c r="AY1102" s="8"/>
      <c r="AZ1102" s="7"/>
      <c r="BA1102" s="7"/>
      <c r="BB1102" s="7"/>
      <c r="BC1102" s="4" t="s">
        <v>228</v>
      </c>
      <c r="BD1102" s="8" t="s">
        <v>228</v>
      </c>
      <c r="BE1102" s="4" t="s">
        <v>228</v>
      </c>
      <c r="BF1102" s="8" t="s">
        <v>228</v>
      </c>
      <c r="BG1102" s="7" t="s">
        <v>228</v>
      </c>
      <c r="BH1102" s="7" t="s">
        <v>228</v>
      </c>
      <c r="BI1102" s="7"/>
      <c r="BJ1102" s="4"/>
      <c r="BK1102" s="8"/>
      <c r="BL1102" s="2" t="s">
        <v>228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5850</v>
      </c>
      <c r="BV1102" s="2" t="s">
        <v>228</v>
      </c>
      <c r="BW1102" s="2" t="s">
        <v>228</v>
      </c>
      <c r="BX1102" s="2" t="s">
        <v>273</v>
      </c>
      <c r="BY1102" s="2" t="s">
        <v>274</v>
      </c>
      <c r="BZ1102" s="2" t="s">
        <v>240</v>
      </c>
      <c r="CA1102" s="2" t="s">
        <v>5851</v>
      </c>
      <c r="CB1102" s="2" t="s">
        <v>228</v>
      </c>
      <c r="CC1102" s="2" t="s">
        <v>241</v>
      </c>
      <c r="CD1102" s="2" t="s">
        <v>228</v>
      </c>
      <c r="CE1102" s="4">
        <v>109</v>
      </c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/>
      <c r="GE1102" s="4"/>
      <c r="GF1102" s="4"/>
      <c r="GG1102" s="4"/>
      <c r="GH1102" s="4"/>
      <c r="GI1102" s="4"/>
      <c r="GJ1102" s="4"/>
      <c r="GK1102" s="4"/>
      <c r="GL1102" s="4"/>
      <c r="GM1102" s="4"/>
      <c r="GN1102" s="4"/>
      <c r="GO1102" s="4"/>
      <c r="GP1102" s="4"/>
      <c r="GQ1102" s="4"/>
      <c r="GR1102" s="4"/>
      <c r="GS1102" s="4"/>
      <c r="GT1102" s="4"/>
      <c r="GU1102" s="4"/>
      <c r="GV1102" s="4"/>
      <c r="GW1102" s="4"/>
      <c r="GX1102" s="4"/>
      <c r="GY1102" s="4"/>
      <c r="GZ1102" s="4"/>
      <c r="HA1102" s="4"/>
      <c r="HB1102" s="4"/>
      <c r="HC1102" s="4"/>
      <c r="HD1102" s="4"/>
      <c r="HE1102" s="4"/>
    </row>
    <row r="1103">
      <c r="A1103" s="2" t="s">
        <v>5852</v>
      </c>
      <c r="B1103" s="2" t="s">
        <v>970</v>
      </c>
      <c r="C1103" s="2" t="s">
        <v>1111</v>
      </c>
      <c r="D1103" s="2" t="s">
        <v>971</v>
      </c>
      <c r="E1103" s="2" t="s">
        <v>972</v>
      </c>
      <c r="F1103" s="2" t="s">
        <v>5847</v>
      </c>
      <c r="G1103" s="2" t="s">
        <v>5847</v>
      </c>
      <c r="H1103" s="2" t="s">
        <v>5847</v>
      </c>
      <c r="I1103" s="2" t="s">
        <v>5848</v>
      </c>
      <c r="J1103" s="2" t="s">
        <v>5853</v>
      </c>
      <c r="K1103" s="2" t="s">
        <v>316</v>
      </c>
      <c r="L1103" s="3">
        <v>17.42</v>
      </c>
      <c r="M1103" s="3">
        <v>18.29</v>
      </c>
      <c r="N1103" s="3">
        <v>29.99</v>
      </c>
      <c r="O1103" s="2" t="s">
        <v>491</v>
      </c>
      <c r="P1103" s="2" t="s">
        <v>1116</v>
      </c>
      <c r="Q1103" s="2" t="s">
        <v>234</v>
      </c>
      <c r="R1103" s="2" t="s">
        <v>727</v>
      </c>
      <c r="S1103" s="2" t="s">
        <v>228</v>
      </c>
      <c r="T1103" s="2" t="s">
        <v>228</v>
      </c>
      <c r="U1103" s="2" t="s">
        <v>228</v>
      </c>
      <c r="V1103" s="2" t="s">
        <v>842</v>
      </c>
      <c r="W1103" s="2" t="s">
        <v>228</v>
      </c>
      <c r="X1103" s="2" t="s">
        <v>228</v>
      </c>
      <c r="Y1103" s="2" t="s">
        <v>4216</v>
      </c>
      <c r="Z1103" s="4">
        <v>128</v>
      </c>
      <c r="AA1103" s="4">
        <f>=ROUNDDOWN(160,0)</f>
      </c>
      <c r="AB1103" s="5">
        <v>0.8</v>
      </c>
      <c r="AC1103" s="2" t="s">
        <v>228</v>
      </c>
      <c r="AD1103" s="4"/>
      <c r="AE1103" s="4"/>
      <c r="AF1103" s="6">
        <v>64</v>
      </c>
      <c r="AG1103" s="6"/>
      <c r="AH1103" s="7">
        <v>1</v>
      </c>
      <c r="AI1103" s="4"/>
      <c r="AJ1103" s="4">
        <f>=ROUNDDOWN({0},0)</f>
      </c>
      <c r="AK1103" s="5"/>
      <c r="AL1103" s="2" t="s">
        <v>228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/>
      <c r="AW1103" s="8"/>
      <c r="AX1103" s="4"/>
      <c r="AY1103" s="8"/>
      <c r="AZ1103" s="7"/>
      <c r="BA1103" s="7"/>
      <c r="BB1103" s="7"/>
      <c r="BC1103" s="4" t="s">
        <v>228</v>
      </c>
      <c r="BD1103" s="8" t="s">
        <v>228</v>
      </c>
      <c r="BE1103" s="4" t="s">
        <v>228</v>
      </c>
      <c r="BF1103" s="8" t="s">
        <v>228</v>
      </c>
      <c r="BG1103" s="7" t="s">
        <v>228</v>
      </c>
      <c r="BH1103" s="7" t="s">
        <v>228</v>
      </c>
      <c r="BI1103" s="7"/>
      <c r="BJ1103" s="4"/>
      <c r="BK1103" s="8"/>
      <c r="BL1103" s="2" t="s">
        <v>228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5854</v>
      </c>
      <c r="BV1103" s="2" t="s">
        <v>228</v>
      </c>
      <c r="BW1103" s="2" t="s">
        <v>228</v>
      </c>
      <c r="BX1103" s="2" t="s">
        <v>273</v>
      </c>
      <c r="BY1103" s="2" t="s">
        <v>274</v>
      </c>
      <c r="BZ1103" s="2" t="s">
        <v>240</v>
      </c>
      <c r="CA1103" s="2" t="s">
        <v>3720</v>
      </c>
      <c r="CB1103" s="2" t="s">
        <v>228</v>
      </c>
      <c r="CC1103" s="2" t="s">
        <v>241</v>
      </c>
      <c r="CD1103" s="2" t="s">
        <v>228</v>
      </c>
      <c r="CE1103" s="4">
        <v>128</v>
      </c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/>
      <c r="HA1103" s="4"/>
      <c r="HB1103" s="4"/>
      <c r="HC1103" s="4"/>
      <c r="HD1103" s="4"/>
      <c r="HE1103" s="4"/>
    </row>
    <row r="1104">
      <c r="A1104" s="2" t="s">
        <v>5855</v>
      </c>
      <c r="B1104" s="2" t="s">
        <v>958</v>
      </c>
      <c r="C1104" s="2" t="s">
        <v>300</v>
      </c>
      <c r="D1104" s="2" t="s">
        <v>1564</v>
      </c>
      <c r="E1104" s="2" t="s">
        <v>1692</v>
      </c>
      <c r="F1104" s="2" t="s">
        <v>5856</v>
      </c>
      <c r="G1104" s="2" t="s">
        <v>5857</v>
      </c>
      <c r="H1104" s="2" t="s">
        <v>5858</v>
      </c>
      <c r="I1104" s="2" t="s">
        <v>5859</v>
      </c>
      <c r="J1104" s="2" t="s">
        <v>840</v>
      </c>
      <c r="K1104" s="2" t="s">
        <v>5860</v>
      </c>
      <c r="L1104" s="3">
        <v>108</v>
      </c>
      <c r="M1104" s="3">
        <v>113.4</v>
      </c>
      <c r="N1104" s="3">
        <v>229</v>
      </c>
      <c r="O1104" s="2" t="s">
        <v>240</v>
      </c>
      <c r="P1104" s="2" t="s">
        <v>1012</v>
      </c>
      <c r="Q1104" s="2" t="s">
        <v>234</v>
      </c>
      <c r="R1104" s="2" t="s">
        <v>228</v>
      </c>
      <c r="S1104" s="2" t="s">
        <v>228</v>
      </c>
      <c r="T1104" s="2" t="s">
        <v>228</v>
      </c>
      <c r="U1104" s="2" t="s">
        <v>416</v>
      </c>
      <c r="V1104" s="2" t="s">
        <v>236</v>
      </c>
      <c r="W1104" s="2" t="s">
        <v>843</v>
      </c>
      <c r="X1104" s="2" t="s">
        <v>417</v>
      </c>
      <c r="Y1104" s="2" t="s">
        <v>5861</v>
      </c>
      <c r="Z1104" s="4">
        <v>301</v>
      </c>
      <c r="AA1104" s="4">
        <f>=ROUNDDOWN(75.25,0)</f>
      </c>
      <c r="AB1104" s="5">
        <v>4</v>
      </c>
      <c r="AC1104" s="2" t="s">
        <v>228</v>
      </c>
      <c r="AD1104" s="4"/>
      <c r="AE1104" s="4"/>
      <c r="AF1104" s="6">
        <v>66</v>
      </c>
      <c r="AG1104" s="6"/>
      <c r="AH1104" s="7">
        <v>1</v>
      </c>
      <c r="AI1104" s="4"/>
      <c r="AJ1104" s="4">
        <f>=ROUNDDOWN({0},0)</f>
      </c>
      <c r="AK1104" s="5"/>
      <c r="AL1104" s="2" t="s">
        <v>228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/>
      <c r="AW1104" s="8"/>
      <c r="AX1104" s="4"/>
      <c r="AY1104" s="8"/>
      <c r="AZ1104" s="7"/>
      <c r="BA1104" s="7"/>
      <c r="BB1104" s="7"/>
      <c r="BC1104" s="4"/>
      <c r="BD1104" s="8"/>
      <c r="BE1104" s="4"/>
      <c r="BF1104" s="8"/>
      <c r="BG1104" s="7"/>
      <c r="BH1104" s="7"/>
      <c r="BI1104" s="7"/>
      <c r="BJ1104" s="4">
        <v>15</v>
      </c>
      <c r="BK1104" s="8">
        <v>1669.89</v>
      </c>
      <c r="BL1104" s="2" t="s">
        <v>5862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5863</v>
      </c>
      <c r="BV1104" s="2" t="s">
        <v>228</v>
      </c>
      <c r="BW1104" s="2" t="s">
        <v>228</v>
      </c>
      <c r="BX1104" s="2" t="s">
        <v>273</v>
      </c>
      <c r="BY1104" s="2" t="s">
        <v>274</v>
      </c>
      <c r="BZ1104" s="2" t="s">
        <v>240</v>
      </c>
      <c r="CA1104" s="2" t="s">
        <v>5861</v>
      </c>
      <c r="CB1104" s="2" t="s">
        <v>4831</v>
      </c>
      <c r="CC1104" s="2" t="s">
        <v>241</v>
      </c>
      <c r="CD1104" s="2" t="s">
        <v>228</v>
      </c>
      <c r="CE1104" s="4"/>
      <c r="CF1104" s="4">
        <v>301</v>
      </c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/>
      <c r="HA1104" s="4"/>
      <c r="HB1104" s="4"/>
      <c r="HC1104" s="4"/>
      <c r="HD1104" s="4"/>
      <c r="HE1104" s="4"/>
    </row>
    <row r="1105">
      <c r="A1105" s="2" t="s">
        <v>5864</v>
      </c>
      <c r="B1105" s="2" t="s">
        <v>866</v>
      </c>
      <c r="C1105" s="2" t="s">
        <v>1037</v>
      </c>
      <c r="D1105" s="2" t="s">
        <v>899</v>
      </c>
      <c r="E1105" s="2" t="s">
        <v>877</v>
      </c>
      <c r="F1105" s="2" t="s">
        <v>5865</v>
      </c>
      <c r="G1105" s="2" t="s">
        <v>5865</v>
      </c>
      <c r="H1105" s="2" t="s">
        <v>5865</v>
      </c>
      <c r="I1105" s="2" t="s">
        <v>5866</v>
      </c>
      <c r="J1105" s="2" t="s">
        <v>840</v>
      </c>
      <c r="K1105" s="2" t="s">
        <v>888</v>
      </c>
      <c r="L1105" s="3">
        <v>45.32</v>
      </c>
      <c r="M1105" s="3">
        <v>47.59</v>
      </c>
      <c r="N1105" s="3">
        <v>92.49</v>
      </c>
      <c r="O1105" s="2" t="s">
        <v>491</v>
      </c>
      <c r="P1105" s="2" t="s">
        <v>333</v>
      </c>
      <c r="Q1105" s="2" t="s">
        <v>234</v>
      </c>
      <c r="R1105" s="2" t="s">
        <v>228</v>
      </c>
      <c r="S1105" s="2" t="s">
        <v>5867</v>
      </c>
      <c r="T1105" s="2" t="s">
        <v>228</v>
      </c>
      <c r="U1105" s="2" t="s">
        <v>520</v>
      </c>
      <c r="V1105" s="2" t="s">
        <v>859</v>
      </c>
      <c r="W1105" s="2" t="s">
        <v>417</v>
      </c>
      <c r="X1105" s="2" t="s">
        <v>228</v>
      </c>
      <c r="Y1105" s="2" t="s">
        <v>2456</v>
      </c>
      <c r="Z1105" s="4">
        <v>72</v>
      </c>
      <c r="AA1105" s="4">
        <f>=ROUNDDOWN(90,0)</f>
      </c>
      <c r="AB1105" s="5">
        <v>0.8</v>
      </c>
      <c r="AC1105" s="2" t="s">
        <v>228</v>
      </c>
      <c r="AD1105" s="4"/>
      <c r="AE1105" s="4"/>
      <c r="AF1105" s="6">
        <v>63</v>
      </c>
      <c r="AG1105" s="6"/>
      <c r="AH1105" s="7">
        <v>0.7742</v>
      </c>
      <c r="AI1105" s="4"/>
      <c r="AJ1105" s="4">
        <f>=ROUNDDOWN({0},0)</f>
      </c>
      <c r="AK1105" s="5"/>
      <c r="AL1105" s="2" t="s">
        <v>228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/>
      <c r="AW1105" s="8"/>
      <c r="AX1105" s="4"/>
      <c r="AY1105" s="8"/>
      <c r="AZ1105" s="7"/>
      <c r="BA1105" s="7"/>
      <c r="BB1105" s="7"/>
      <c r="BC1105" s="4"/>
      <c r="BD1105" s="8"/>
      <c r="BE1105" s="4"/>
      <c r="BF1105" s="8"/>
      <c r="BG1105" s="7"/>
      <c r="BH1105" s="7"/>
      <c r="BI1105" s="7"/>
      <c r="BJ1105" s="4">
        <v>1</v>
      </c>
      <c r="BK1105" s="8">
        <v>55</v>
      </c>
      <c r="BL1105" s="2" t="s">
        <v>5868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5869</v>
      </c>
      <c r="BV1105" s="2" t="s">
        <v>228</v>
      </c>
      <c r="BW1105" s="2" t="s">
        <v>228</v>
      </c>
      <c r="BX1105" s="2" t="s">
        <v>337</v>
      </c>
      <c r="BY1105" s="2" t="s">
        <v>274</v>
      </c>
      <c r="BZ1105" s="2" t="s">
        <v>240</v>
      </c>
      <c r="CA1105" s="2" t="s">
        <v>2459</v>
      </c>
      <c r="CB1105" s="2" t="s">
        <v>5870</v>
      </c>
      <c r="CC1105" s="2" t="s">
        <v>241</v>
      </c>
      <c r="CD1105" s="2" t="s">
        <v>228</v>
      </c>
      <c r="CE1105" s="4"/>
      <c r="CF1105" s="4">
        <v>72</v>
      </c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/>
      <c r="HC1105" s="4"/>
      <c r="HD1105" s="4"/>
      <c r="HE1105" s="4"/>
    </row>
    <row r="1106">
      <c r="A1106" s="2" t="s">
        <v>5871</v>
      </c>
      <c r="B1106" s="2" t="s">
        <v>866</v>
      </c>
      <c r="C1106" s="2" t="s">
        <v>300</v>
      </c>
      <c r="D1106" s="2" t="s">
        <v>899</v>
      </c>
      <c r="E1106" s="2" t="s">
        <v>1891</v>
      </c>
      <c r="F1106" s="2" t="s">
        <v>5872</v>
      </c>
      <c r="G1106" s="2" t="s">
        <v>5872</v>
      </c>
      <c r="H1106" s="2" t="s">
        <v>5872</v>
      </c>
      <c r="I1106" s="2" t="s">
        <v>5873</v>
      </c>
      <c r="J1106" s="2" t="s">
        <v>840</v>
      </c>
      <c r="K1106" s="2" t="s">
        <v>5874</v>
      </c>
      <c r="L1106" s="3">
        <v>6.66</v>
      </c>
      <c r="M1106" s="3">
        <v>6.99</v>
      </c>
      <c r="N1106" s="3">
        <v>19.99</v>
      </c>
      <c r="O1106" s="2" t="s">
        <v>240</v>
      </c>
      <c r="P1106" s="2" t="s">
        <v>233</v>
      </c>
      <c r="Q1106" s="2" t="s">
        <v>234</v>
      </c>
      <c r="R1106" s="2" t="s">
        <v>228</v>
      </c>
      <c r="S1106" s="2" t="s">
        <v>228</v>
      </c>
      <c r="T1106" s="2" t="s">
        <v>228</v>
      </c>
      <c r="U1106" s="2" t="s">
        <v>416</v>
      </c>
      <c r="V1106" s="2" t="s">
        <v>2042</v>
      </c>
      <c r="W1106" s="2" t="s">
        <v>417</v>
      </c>
      <c r="X1106" s="2" t="s">
        <v>269</v>
      </c>
      <c r="Y1106" s="2" t="s">
        <v>5875</v>
      </c>
      <c r="Z1106" s="4">
        <v>33</v>
      </c>
      <c r="AA1106" s="4">
        <f>=ROUNDDOWN(33,0)</f>
      </c>
      <c r="AB1106" s="5">
        <v>1</v>
      </c>
      <c r="AC1106" s="2" t="s">
        <v>228</v>
      </c>
      <c r="AD1106" s="4"/>
      <c r="AE1106" s="4"/>
      <c r="AF1106" s="6">
        <v>63</v>
      </c>
      <c r="AG1106" s="6"/>
      <c r="AH1106" s="7">
        <v>1</v>
      </c>
      <c r="AI1106" s="4"/>
      <c r="AJ1106" s="4">
        <f>=ROUNDDOWN({0},0)</f>
      </c>
      <c r="AK1106" s="5"/>
      <c r="AL1106" s="2" t="s">
        <v>228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/>
      <c r="AW1106" s="8"/>
      <c r="AX1106" s="4"/>
      <c r="AY1106" s="8"/>
      <c r="AZ1106" s="7"/>
      <c r="BA1106" s="7"/>
      <c r="BB1106" s="7"/>
      <c r="BC1106" s="4" t="s">
        <v>228</v>
      </c>
      <c r="BD1106" s="8" t="s">
        <v>228</v>
      </c>
      <c r="BE1106" s="4" t="s">
        <v>228</v>
      </c>
      <c r="BF1106" s="8" t="s">
        <v>228</v>
      </c>
      <c r="BG1106" s="7" t="s">
        <v>228</v>
      </c>
      <c r="BH1106" s="7" t="s">
        <v>228</v>
      </c>
      <c r="BI1106" s="7"/>
      <c r="BJ1106" s="4">
        <v>5</v>
      </c>
      <c r="BK1106" s="8">
        <v>43.5</v>
      </c>
      <c r="BL1106" s="2" t="s">
        <v>2493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5876</v>
      </c>
      <c r="BV1106" s="2" t="s">
        <v>228</v>
      </c>
      <c r="BW1106" s="2" t="s">
        <v>228</v>
      </c>
      <c r="BX1106" s="2" t="s">
        <v>273</v>
      </c>
      <c r="BY1106" s="2" t="s">
        <v>274</v>
      </c>
      <c r="BZ1106" s="2" t="s">
        <v>240</v>
      </c>
      <c r="CA1106" s="2" t="s">
        <v>4520</v>
      </c>
      <c r="CB1106" s="2" t="s">
        <v>228</v>
      </c>
      <c r="CC1106" s="2" t="s">
        <v>241</v>
      </c>
      <c r="CD1106" s="2" t="s">
        <v>228</v>
      </c>
      <c r="CE1106" s="4"/>
      <c r="CF1106" s="4">
        <v>33</v>
      </c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  <c r="GS1106" s="4"/>
      <c r="GT1106" s="4"/>
      <c r="GU1106" s="4"/>
      <c r="GV1106" s="4"/>
      <c r="GW1106" s="4"/>
      <c r="GX1106" s="4"/>
      <c r="GY1106" s="4"/>
      <c r="GZ1106" s="4"/>
      <c r="HA1106" s="4"/>
      <c r="HB1106" s="4"/>
      <c r="HC1106" s="4"/>
      <c r="HD1106" s="4"/>
      <c r="HE1106" s="4"/>
    </row>
    <row r="1107">
      <c r="A1107" s="2" t="s">
        <v>5877</v>
      </c>
      <c r="B1107" s="2" t="s">
        <v>866</v>
      </c>
      <c r="C1107" s="2" t="s">
        <v>300</v>
      </c>
      <c r="D1107" s="2" t="s">
        <v>899</v>
      </c>
      <c r="E1107" s="2" t="s">
        <v>1891</v>
      </c>
      <c r="F1107" s="2" t="s">
        <v>5872</v>
      </c>
      <c r="G1107" s="2" t="s">
        <v>5872</v>
      </c>
      <c r="H1107" s="2" t="s">
        <v>5872</v>
      </c>
      <c r="I1107" s="2" t="s">
        <v>5878</v>
      </c>
      <c r="J1107" s="2" t="s">
        <v>840</v>
      </c>
      <c r="K1107" s="2" t="s">
        <v>5879</v>
      </c>
      <c r="L1107" s="3">
        <v>6.66</v>
      </c>
      <c r="M1107" s="3">
        <v>6.99</v>
      </c>
      <c r="N1107" s="3">
        <v>19.99</v>
      </c>
      <c r="O1107" s="2" t="s">
        <v>240</v>
      </c>
      <c r="P1107" s="2" t="s">
        <v>233</v>
      </c>
      <c r="Q1107" s="2" t="s">
        <v>234</v>
      </c>
      <c r="R1107" s="2" t="s">
        <v>228</v>
      </c>
      <c r="S1107" s="2" t="s">
        <v>228</v>
      </c>
      <c r="T1107" s="2" t="s">
        <v>228</v>
      </c>
      <c r="U1107" s="2" t="s">
        <v>416</v>
      </c>
      <c r="V1107" s="2" t="s">
        <v>2042</v>
      </c>
      <c r="W1107" s="2" t="s">
        <v>417</v>
      </c>
      <c r="X1107" s="2" t="s">
        <v>269</v>
      </c>
      <c r="Y1107" s="2" t="s">
        <v>5875</v>
      </c>
      <c r="Z1107" s="4">
        <v>76</v>
      </c>
      <c r="AA1107" s="4">
        <f>=ROUNDDOWN(95,0)</f>
      </c>
      <c r="AB1107" s="5">
        <v>0.8</v>
      </c>
      <c r="AC1107" s="2" t="s">
        <v>228</v>
      </c>
      <c r="AD1107" s="4"/>
      <c r="AE1107" s="4"/>
      <c r="AF1107" s="6">
        <v>63</v>
      </c>
      <c r="AG1107" s="6"/>
      <c r="AH1107" s="7">
        <v>1</v>
      </c>
      <c r="AI1107" s="4"/>
      <c r="AJ1107" s="4">
        <f>=ROUNDDOWN({0},0)</f>
      </c>
      <c r="AK1107" s="5"/>
      <c r="AL1107" s="2" t="s">
        <v>228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/>
      <c r="AW1107" s="8"/>
      <c r="AX1107" s="4"/>
      <c r="AY1107" s="8"/>
      <c r="AZ1107" s="7"/>
      <c r="BA1107" s="7"/>
      <c r="BB1107" s="7"/>
      <c r="BC1107" s="4" t="s">
        <v>228</v>
      </c>
      <c r="BD1107" s="8" t="s">
        <v>228</v>
      </c>
      <c r="BE1107" s="4" t="s">
        <v>228</v>
      </c>
      <c r="BF1107" s="8" t="s">
        <v>228</v>
      </c>
      <c r="BG1107" s="7" t="s">
        <v>228</v>
      </c>
      <c r="BH1107" s="7" t="s">
        <v>228</v>
      </c>
      <c r="BI1107" s="7"/>
      <c r="BJ1107" s="4">
        <v>1</v>
      </c>
      <c r="BK1107" s="8">
        <v>7.83</v>
      </c>
      <c r="BL1107" s="2" t="s">
        <v>622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5880</v>
      </c>
      <c r="BV1107" s="2" t="s">
        <v>228</v>
      </c>
      <c r="BW1107" s="2" t="s">
        <v>228</v>
      </c>
      <c r="BX1107" s="2" t="s">
        <v>273</v>
      </c>
      <c r="BY1107" s="2" t="s">
        <v>274</v>
      </c>
      <c r="BZ1107" s="2" t="s">
        <v>240</v>
      </c>
      <c r="CA1107" s="2" t="s">
        <v>4520</v>
      </c>
      <c r="CB1107" s="2" t="s">
        <v>228</v>
      </c>
      <c r="CC1107" s="2" t="s">
        <v>241</v>
      </c>
      <c r="CD1107" s="2" t="s">
        <v>228</v>
      </c>
      <c r="CE1107" s="4"/>
      <c r="CF1107" s="4">
        <v>76</v>
      </c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/>
      <c r="GZ1107" s="4"/>
      <c r="HA1107" s="4"/>
      <c r="HB1107" s="4"/>
      <c r="HC1107" s="4"/>
      <c r="HD1107" s="4"/>
      <c r="HE1107" s="4"/>
    </row>
    <row r="1108">
      <c r="A1108" s="2" t="s">
        <v>5881</v>
      </c>
      <c r="B1108" s="2" t="s">
        <v>866</v>
      </c>
      <c r="C1108" s="2" t="s">
        <v>300</v>
      </c>
      <c r="D1108" s="2" t="s">
        <v>899</v>
      </c>
      <c r="E1108" s="2" t="s">
        <v>1891</v>
      </c>
      <c r="F1108" s="2" t="s">
        <v>5872</v>
      </c>
      <c r="G1108" s="2" t="s">
        <v>5872</v>
      </c>
      <c r="H1108" s="2" t="s">
        <v>5872</v>
      </c>
      <c r="I1108" s="2" t="s">
        <v>5882</v>
      </c>
      <c r="J1108" s="2" t="s">
        <v>840</v>
      </c>
      <c r="K1108" s="2" t="s">
        <v>5883</v>
      </c>
      <c r="L1108" s="3">
        <v>6.66</v>
      </c>
      <c r="M1108" s="3">
        <v>6.99</v>
      </c>
      <c r="N1108" s="3">
        <v>19.99</v>
      </c>
      <c r="O1108" s="2" t="s">
        <v>240</v>
      </c>
      <c r="P1108" s="2" t="s">
        <v>233</v>
      </c>
      <c r="Q1108" s="2" t="s">
        <v>234</v>
      </c>
      <c r="R1108" s="2" t="s">
        <v>228</v>
      </c>
      <c r="S1108" s="2" t="s">
        <v>228</v>
      </c>
      <c r="T1108" s="2" t="s">
        <v>228</v>
      </c>
      <c r="U1108" s="2" t="s">
        <v>416</v>
      </c>
      <c r="V1108" s="2" t="s">
        <v>2042</v>
      </c>
      <c r="W1108" s="2" t="s">
        <v>417</v>
      </c>
      <c r="X1108" s="2" t="s">
        <v>269</v>
      </c>
      <c r="Y1108" s="2" t="s">
        <v>5875</v>
      </c>
      <c r="Z1108" s="4">
        <v>56</v>
      </c>
      <c r="AA1108" s="4">
        <f>=ROUNDDOWN(56,0)</f>
      </c>
      <c r="AB1108" s="5">
        <v>1</v>
      </c>
      <c r="AC1108" s="2" t="s">
        <v>228</v>
      </c>
      <c r="AD1108" s="4"/>
      <c r="AE1108" s="4"/>
      <c r="AF1108" s="6">
        <v>63</v>
      </c>
      <c r="AG1108" s="6"/>
      <c r="AH1108" s="7">
        <v>1</v>
      </c>
      <c r="AI1108" s="4"/>
      <c r="AJ1108" s="4">
        <f>=ROUNDDOWN({0},0)</f>
      </c>
      <c r="AK1108" s="5"/>
      <c r="AL1108" s="2" t="s">
        <v>228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/>
      <c r="AW1108" s="8"/>
      <c r="AX1108" s="4"/>
      <c r="AY1108" s="8"/>
      <c r="AZ1108" s="7"/>
      <c r="BA1108" s="7"/>
      <c r="BB1108" s="7"/>
      <c r="BC1108" s="4" t="s">
        <v>228</v>
      </c>
      <c r="BD1108" s="8" t="s">
        <v>228</v>
      </c>
      <c r="BE1108" s="4" t="s">
        <v>228</v>
      </c>
      <c r="BF1108" s="8" t="s">
        <v>228</v>
      </c>
      <c r="BG1108" s="7" t="s">
        <v>228</v>
      </c>
      <c r="BH1108" s="7" t="s">
        <v>228</v>
      </c>
      <c r="BI1108" s="7"/>
      <c r="BJ1108" s="4"/>
      <c r="BK1108" s="8"/>
      <c r="BL1108" s="2" t="s">
        <v>228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5884</v>
      </c>
      <c r="BV1108" s="2" t="s">
        <v>228</v>
      </c>
      <c r="BW1108" s="2" t="s">
        <v>228</v>
      </c>
      <c r="BX1108" s="2" t="s">
        <v>273</v>
      </c>
      <c r="BY1108" s="2" t="s">
        <v>274</v>
      </c>
      <c r="BZ1108" s="2" t="s">
        <v>240</v>
      </c>
      <c r="CA1108" s="2" t="s">
        <v>4520</v>
      </c>
      <c r="CB1108" s="2" t="s">
        <v>228</v>
      </c>
      <c r="CC1108" s="2" t="s">
        <v>241</v>
      </c>
      <c r="CD1108" s="2" t="s">
        <v>228</v>
      </c>
      <c r="CE1108" s="4"/>
      <c r="CF1108" s="4">
        <v>56</v>
      </c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/>
      <c r="GH1108" s="4"/>
      <c r="GI1108" s="4"/>
      <c r="GJ1108" s="4"/>
      <c r="GK1108" s="4"/>
      <c r="GL1108" s="4"/>
      <c r="GM1108" s="4"/>
      <c r="GN1108" s="4"/>
      <c r="GO1108" s="4"/>
      <c r="GP1108" s="4"/>
      <c r="GQ1108" s="4"/>
      <c r="GR1108" s="4"/>
      <c r="GS1108" s="4"/>
      <c r="GT1108" s="4"/>
      <c r="GU1108" s="4"/>
      <c r="GV1108" s="4"/>
      <c r="GW1108" s="4"/>
      <c r="GX1108" s="4"/>
      <c r="GY1108" s="4"/>
      <c r="GZ1108" s="4"/>
      <c r="HA1108" s="4"/>
      <c r="HB1108" s="4"/>
      <c r="HC1108" s="4"/>
      <c r="HD1108" s="4"/>
      <c r="HE1108" s="4"/>
    </row>
    <row r="1109">
      <c r="A1109" s="2" t="s">
        <v>5885</v>
      </c>
      <c r="B1109" s="2" t="s">
        <v>866</v>
      </c>
      <c r="C1109" s="2" t="s">
        <v>300</v>
      </c>
      <c r="D1109" s="2" t="s">
        <v>899</v>
      </c>
      <c r="E1109" s="2" t="s">
        <v>1891</v>
      </c>
      <c r="F1109" s="2" t="s">
        <v>5872</v>
      </c>
      <c r="G1109" s="2" t="s">
        <v>5872</v>
      </c>
      <c r="H1109" s="2" t="s">
        <v>5872</v>
      </c>
      <c r="I1109" s="2" t="s">
        <v>5886</v>
      </c>
      <c r="J1109" s="2" t="s">
        <v>840</v>
      </c>
      <c r="K1109" s="2" t="s">
        <v>5887</v>
      </c>
      <c r="L1109" s="3">
        <v>6.66</v>
      </c>
      <c r="M1109" s="3">
        <v>6.99</v>
      </c>
      <c r="N1109" s="3">
        <v>19.99</v>
      </c>
      <c r="O1109" s="2" t="s">
        <v>240</v>
      </c>
      <c r="P1109" s="2" t="s">
        <v>233</v>
      </c>
      <c r="Q1109" s="2" t="s">
        <v>234</v>
      </c>
      <c r="R1109" s="2" t="s">
        <v>228</v>
      </c>
      <c r="S1109" s="2" t="s">
        <v>228</v>
      </c>
      <c r="T1109" s="2" t="s">
        <v>228</v>
      </c>
      <c r="U1109" s="2" t="s">
        <v>416</v>
      </c>
      <c r="V1109" s="2" t="s">
        <v>2042</v>
      </c>
      <c r="W1109" s="2" t="s">
        <v>417</v>
      </c>
      <c r="X1109" s="2" t="s">
        <v>269</v>
      </c>
      <c r="Y1109" s="2" t="s">
        <v>5875</v>
      </c>
      <c r="Z1109" s="4">
        <v>68</v>
      </c>
      <c r="AA1109" s="4">
        <f>=ROUNDDOWN(68,0)</f>
      </c>
      <c r="AB1109" s="5">
        <v>1</v>
      </c>
      <c r="AC1109" s="2" t="s">
        <v>228</v>
      </c>
      <c r="AD1109" s="4"/>
      <c r="AE1109" s="4"/>
      <c r="AF1109" s="6">
        <v>63</v>
      </c>
      <c r="AG1109" s="6"/>
      <c r="AH1109" s="7">
        <v>1</v>
      </c>
      <c r="AI1109" s="4"/>
      <c r="AJ1109" s="4">
        <f>=ROUNDDOWN({0},0)</f>
      </c>
      <c r="AK1109" s="5"/>
      <c r="AL1109" s="2" t="s">
        <v>228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/>
      <c r="AW1109" s="8"/>
      <c r="AX1109" s="4"/>
      <c r="AY1109" s="8"/>
      <c r="AZ1109" s="7"/>
      <c r="BA1109" s="7"/>
      <c r="BB1109" s="7"/>
      <c r="BC1109" s="4" t="s">
        <v>228</v>
      </c>
      <c r="BD1109" s="8" t="s">
        <v>228</v>
      </c>
      <c r="BE1109" s="4" t="s">
        <v>228</v>
      </c>
      <c r="BF1109" s="8" t="s">
        <v>228</v>
      </c>
      <c r="BG1109" s="7" t="s">
        <v>228</v>
      </c>
      <c r="BH1109" s="7" t="s">
        <v>228</v>
      </c>
      <c r="BI1109" s="7"/>
      <c r="BJ1109" s="4"/>
      <c r="BK1109" s="8"/>
      <c r="BL1109" s="2" t="s">
        <v>228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5888</v>
      </c>
      <c r="BV1109" s="2" t="s">
        <v>228</v>
      </c>
      <c r="BW1109" s="2" t="s">
        <v>228</v>
      </c>
      <c r="BX1109" s="2" t="s">
        <v>273</v>
      </c>
      <c r="BY1109" s="2" t="s">
        <v>274</v>
      </c>
      <c r="BZ1109" s="2" t="s">
        <v>240</v>
      </c>
      <c r="CA1109" s="2" t="s">
        <v>4520</v>
      </c>
      <c r="CB1109" s="2" t="s">
        <v>228</v>
      </c>
      <c r="CC1109" s="2" t="s">
        <v>241</v>
      </c>
      <c r="CD1109" s="2" t="s">
        <v>228</v>
      </c>
      <c r="CE1109" s="4"/>
      <c r="CF1109" s="4">
        <v>68</v>
      </c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4"/>
      <c r="HE1109" s="4"/>
    </row>
    <row r="1110">
      <c r="A1110" s="2" t="s">
        <v>5889</v>
      </c>
      <c r="B1110" s="2" t="s">
        <v>866</v>
      </c>
      <c r="C1110" s="2" t="s">
        <v>300</v>
      </c>
      <c r="D1110" s="2" t="s">
        <v>899</v>
      </c>
      <c r="E1110" s="2" t="s">
        <v>1891</v>
      </c>
      <c r="F1110" s="2" t="s">
        <v>5872</v>
      </c>
      <c r="G1110" s="2" t="s">
        <v>5872</v>
      </c>
      <c r="H1110" s="2" t="s">
        <v>5872</v>
      </c>
      <c r="I1110" s="2" t="s">
        <v>5890</v>
      </c>
      <c r="J1110" s="2" t="s">
        <v>840</v>
      </c>
      <c r="K1110" s="2" t="s">
        <v>5891</v>
      </c>
      <c r="L1110" s="3">
        <v>6.66</v>
      </c>
      <c r="M1110" s="3">
        <v>6.99</v>
      </c>
      <c r="N1110" s="3">
        <v>19.99</v>
      </c>
      <c r="O1110" s="2" t="s">
        <v>240</v>
      </c>
      <c r="P1110" s="2" t="s">
        <v>233</v>
      </c>
      <c r="Q1110" s="2" t="s">
        <v>234</v>
      </c>
      <c r="R1110" s="2" t="s">
        <v>228</v>
      </c>
      <c r="S1110" s="2" t="s">
        <v>228</v>
      </c>
      <c r="T1110" s="2" t="s">
        <v>228</v>
      </c>
      <c r="U1110" s="2" t="s">
        <v>416</v>
      </c>
      <c r="V1110" s="2" t="s">
        <v>2042</v>
      </c>
      <c r="W1110" s="2" t="s">
        <v>417</v>
      </c>
      <c r="X1110" s="2" t="s">
        <v>269</v>
      </c>
      <c r="Y1110" s="2" t="s">
        <v>5875</v>
      </c>
      <c r="Z1110" s="4">
        <v>111</v>
      </c>
      <c r="AA1110" s="4">
        <f>=ROUNDDOWN(100.909090909091,0)</f>
      </c>
      <c r="AB1110" s="5">
        <v>1.1</v>
      </c>
      <c r="AC1110" s="2" t="s">
        <v>228</v>
      </c>
      <c r="AD1110" s="4"/>
      <c r="AE1110" s="4"/>
      <c r="AF1110" s="6">
        <v>63</v>
      </c>
      <c r="AG1110" s="6"/>
      <c r="AH1110" s="7">
        <v>1</v>
      </c>
      <c r="AI1110" s="4"/>
      <c r="AJ1110" s="4">
        <f>=ROUNDDOWN({0},0)</f>
      </c>
      <c r="AK1110" s="5"/>
      <c r="AL1110" s="2" t="s">
        <v>228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/>
      <c r="AW1110" s="8"/>
      <c r="AX1110" s="4"/>
      <c r="AY1110" s="8"/>
      <c r="AZ1110" s="7"/>
      <c r="BA1110" s="7"/>
      <c r="BB1110" s="7"/>
      <c r="BC1110" s="4" t="s">
        <v>228</v>
      </c>
      <c r="BD1110" s="8" t="s">
        <v>228</v>
      </c>
      <c r="BE1110" s="4" t="s">
        <v>228</v>
      </c>
      <c r="BF1110" s="8" t="s">
        <v>228</v>
      </c>
      <c r="BG1110" s="7" t="s">
        <v>228</v>
      </c>
      <c r="BH1110" s="7" t="s">
        <v>228</v>
      </c>
      <c r="BI1110" s="7"/>
      <c r="BJ1110" s="4">
        <v>2</v>
      </c>
      <c r="BK1110" s="8">
        <v>15.66</v>
      </c>
      <c r="BL1110" s="2" t="s">
        <v>622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5892</v>
      </c>
      <c r="BV1110" s="2" t="s">
        <v>228</v>
      </c>
      <c r="BW1110" s="2" t="s">
        <v>228</v>
      </c>
      <c r="BX1110" s="2" t="s">
        <v>273</v>
      </c>
      <c r="BY1110" s="2" t="s">
        <v>274</v>
      </c>
      <c r="BZ1110" s="2" t="s">
        <v>240</v>
      </c>
      <c r="CA1110" s="2" t="s">
        <v>4520</v>
      </c>
      <c r="CB1110" s="2" t="s">
        <v>228</v>
      </c>
      <c r="CC1110" s="2" t="s">
        <v>241</v>
      </c>
      <c r="CD1110" s="2" t="s">
        <v>228</v>
      </c>
      <c r="CE1110" s="4"/>
      <c r="CF1110" s="4">
        <v>111</v>
      </c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4"/>
      <c r="HE1110" s="4"/>
    </row>
    <row r="1111">
      <c r="A1111" s="2" t="s">
        <v>5893</v>
      </c>
      <c r="B1111" s="2" t="s">
        <v>866</v>
      </c>
      <c r="C1111" s="2" t="s">
        <v>300</v>
      </c>
      <c r="D1111" s="2" t="s">
        <v>899</v>
      </c>
      <c r="E1111" s="2" t="s">
        <v>1891</v>
      </c>
      <c r="F1111" s="2" t="s">
        <v>5872</v>
      </c>
      <c r="G1111" s="2" t="s">
        <v>5872</v>
      </c>
      <c r="H1111" s="2" t="s">
        <v>5872</v>
      </c>
      <c r="I1111" s="2" t="s">
        <v>5894</v>
      </c>
      <c r="J1111" s="2" t="s">
        <v>840</v>
      </c>
      <c r="K1111" s="2" t="s">
        <v>5895</v>
      </c>
      <c r="L1111" s="3">
        <v>6.66</v>
      </c>
      <c r="M1111" s="3">
        <v>6.99</v>
      </c>
      <c r="N1111" s="3">
        <v>19.99</v>
      </c>
      <c r="O1111" s="2" t="s">
        <v>240</v>
      </c>
      <c r="P1111" s="2" t="s">
        <v>233</v>
      </c>
      <c r="Q1111" s="2" t="s">
        <v>234</v>
      </c>
      <c r="R1111" s="2" t="s">
        <v>228</v>
      </c>
      <c r="S1111" s="2" t="s">
        <v>228</v>
      </c>
      <c r="T1111" s="2" t="s">
        <v>228</v>
      </c>
      <c r="U1111" s="2" t="s">
        <v>416</v>
      </c>
      <c r="V1111" s="2" t="s">
        <v>2042</v>
      </c>
      <c r="W1111" s="2" t="s">
        <v>417</v>
      </c>
      <c r="X1111" s="2" t="s">
        <v>269</v>
      </c>
      <c r="Y1111" s="2" t="s">
        <v>5875</v>
      </c>
      <c r="Z1111" s="4">
        <v>59</v>
      </c>
      <c r="AA1111" s="4">
        <f>=ROUNDDOWN(59,0)</f>
      </c>
      <c r="AB1111" s="5">
        <v>1</v>
      </c>
      <c r="AC1111" s="2" t="s">
        <v>228</v>
      </c>
      <c r="AD1111" s="4"/>
      <c r="AE1111" s="4"/>
      <c r="AF1111" s="6">
        <v>63</v>
      </c>
      <c r="AG1111" s="6"/>
      <c r="AH1111" s="7">
        <v>1</v>
      </c>
      <c r="AI1111" s="4"/>
      <c r="AJ1111" s="4">
        <f>=ROUNDDOWN({0},0)</f>
      </c>
      <c r="AK1111" s="5"/>
      <c r="AL1111" s="2" t="s">
        <v>228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/>
      <c r="AW1111" s="8"/>
      <c r="AX1111" s="4"/>
      <c r="AY1111" s="8"/>
      <c r="AZ1111" s="7"/>
      <c r="BA1111" s="7"/>
      <c r="BB1111" s="7"/>
      <c r="BC1111" s="4" t="s">
        <v>228</v>
      </c>
      <c r="BD1111" s="8" t="s">
        <v>228</v>
      </c>
      <c r="BE1111" s="4" t="s">
        <v>228</v>
      </c>
      <c r="BF1111" s="8" t="s">
        <v>228</v>
      </c>
      <c r="BG1111" s="7" t="s">
        <v>228</v>
      </c>
      <c r="BH1111" s="7" t="s">
        <v>228</v>
      </c>
      <c r="BI1111" s="7"/>
      <c r="BJ1111" s="4">
        <v>2</v>
      </c>
      <c r="BK1111" s="8">
        <v>16.26</v>
      </c>
      <c r="BL1111" s="2" t="s">
        <v>366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5896</v>
      </c>
      <c r="BV1111" s="2" t="s">
        <v>228</v>
      </c>
      <c r="BW1111" s="2" t="s">
        <v>228</v>
      </c>
      <c r="BX1111" s="2" t="s">
        <v>273</v>
      </c>
      <c r="BY1111" s="2" t="s">
        <v>274</v>
      </c>
      <c r="BZ1111" s="2" t="s">
        <v>240</v>
      </c>
      <c r="CA1111" s="2" t="s">
        <v>4520</v>
      </c>
      <c r="CB1111" s="2" t="s">
        <v>228</v>
      </c>
      <c r="CC1111" s="2" t="s">
        <v>241</v>
      </c>
      <c r="CD1111" s="2" t="s">
        <v>228</v>
      </c>
      <c r="CE1111" s="4"/>
      <c r="CF1111" s="4">
        <v>59</v>
      </c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/>
      <c r="GT1111" s="4"/>
      <c r="GU1111" s="4"/>
      <c r="GV1111" s="4"/>
      <c r="GW1111" s="4"/>
      <c r="GX1111" s="4"/>
      <c r="GY1111" s="4"/>
      <c r="GZ1111" s="4"/>
      <c r="HA1111" s="4"/>
      <c r="HB1111" s="4"/>
      <c r="HC1111" s="4"/>
      <c r="HD1111" s="4"/>
      <c r="HE1111" s="4"/>
    </row>
    <row r="1112">
      <c r="A1112" s="2" t="s">
        <v>5897</v>
      </c>
      <c r="B1112" s="2" t="s">
        <v>866</v>
      </c>
      <c r="C1112" s="2" t="s">
        <v>300</v>
      </c>
      <c r="D1112" s="2" t="s">
        <v>899</v>
      </c>
      <c r="E1112" s="2" t="s">
        <v>1891</v>
      </c>
      <c r="F1112" s="2" t="s">
        <v>5872</v>
      </c>
      <c r="G1112" s="2" t="s">
        <v>5872</v>
      </c>
      <c r="H1112" s="2" t="s">
        <v>5872</v>
      </c>
      <c r="I1112" s="2" t="s">
        <v>5898</v>
      </c>
      <c r="J1112" s="2" t="s">
        <v>840</v>
      </c>
      <c r="K1112" s="2" t="s">
        <v>5899</v>
      </c>
      <c r="L1112" s="3">
        <v>6.66</v>
      </c>
      <c r="M1112" s="3">
        <v>6.99</v>
      </c>
      <c r="N1112" s="3">
        <v>19.99</v>
      </c>
      <c r="O1112" s="2" t="s">
        <v>240</v>
      </c>
      <c r="P1112" s="2" t="s">
        <v>233</v>
      </c>
      <c r="Q1112" s="2" t="s">
        <v>234</v>
      </c>
      <c r="R1112" s="2" t="s">
        <v>228</v>
      </c>
      <c r="S1112" s="2" t="s">
        <v>228</v>
      </c>
      <c r="T1112" s="2" t="s">
        <v>228</v>
      </c>
      <c r="U1112" s="2" t="s">
        <v>416</v>
      </c>
      <c r="V1112" s="2" t="s">
        <v>2042</v>
      </c>
      <c r="W1112" s="2" t="s">
        <v>417</v>
      </c>
      <c r="X1112" s="2" t="s">
        <v>269</v>
      </c>
      <c r="Y1112" s="2" t="s">
        <v>5875</v>
      </c>
      <c r="Z1112" s="4">
        <v>75</v>
      </c>
      <c r="AA1112" s="4">
        <f>=ROUNDDOWN(150,0)</f>
      </c>
      <c r="AB1112" s="5">
        <v>0.5</v>
      </c>
      <c r="AC1112" s="2" t="s">
        <v>228</v>
      </c>
      <c r="AD1112" s="4"/>
      <c r="AE1112" s="4"/>
      <c r="AF1112" s="6">
        <v>63</v>
      </c>
      <c r="AG1112" s="6"/>
      <c r="AH1112" s="7">
        <v>1</v>
      </c>
      <c r="AI1112" s="4"/>
      <c r="AJ1112" s="4">
        <f>=ROUNDDOWN({0},0)</f>
      </c>
      <c r="AK1112" s="5"/>
      <c r="AL1112" s="2" t="s">
        <v>228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/>
      <c r="AW1112" s="8"/>
      <c r="AX1112" s="4"/>
      <c r="AY1112" s="8"/>
      <c r="AZ1112" s="7"/>
      <c r="BA1112" s="7"/>
      <c r="BB1112" s="7"/>
      <c r="BC1112" s="4" t="s">
        <v>228</v>
      </c>
      <c r="BD1112" s="8" t="s">
        <v>228</v>
      </c>
      <c r="BE1112" s="4" t="s">
        <v>228</v>
      </c>
      <c r="BF1112" s="8" t="s">
        <v>228</v>
      </c>
      <c r="BG1112" s="7" t="s">
        <v>228</v>
      </c>
      <c r="BH1112" s="7" t="s">
        <v>228</v>
      </c>
      <c r="BI1112" s="7"/>
      <c r="BJ1112" s="4">
        <v>1</v>
      </c>
      <c r="BK1112" s="8">
        <v>7.83</v>
      </c>
      <c r="BL1112" s="2" t="s">
        <v>622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5900</v>
      </c>
      <c r="BV1112" s="2" t="s">
        <v>228</v>
      </c>
      <c r="BW1112" s="2" t="s">
        <v>228</v>
      </c>
      <c r="BX1112" s="2" t="s">
        <v>273</v>
      </c>
      <c r="BY1112" s="2" t="s">
        <v>274</v>
      </c>
      <c r="BZ1112" s="2" t="s">
        <v>240</v>
      </c>
      <c r="CA1112" s="2" t="s">
        <v>4520</v>
      </c>
      <c r="CB1112" s="2" t="s">
        <v>228</v>
      </c>
      <c r="CC1112" s="2" t="s">
        <v>241</v>
      </c>
      <c r="CD1112" s="2" t="s">
        <v>228</v>
      </c>
      <c r="CE1112" s="4"/>
      <c r="CF1112" s="4">
        <v>75</v>
      </c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  <c r="GH1112" s="4"/>
      <c r="GI1112" s="4"/>
      <c r="GJ1112" s="4"/>
      <c r="GK1112" s="4"/>
      <c r="GL1112" s="4"/>
      <c r="GM1112" s="4"/>
      <c r="GN1112" s="4"/>
      <c r="GO1112" s="4"/>
      <c r="GP1112" s="4"/>
      <c r="GQ1112" s="4"/>
      <c r="GR1112" s="4"/>
      <c r="GS1112" s="4"/>
      <c r="GT1112" s="4"/>
      <c r="GU1112" s="4"/>
      <c r="GV1112" s="4"/>
      <c r="GW1112" s="4"/>
      <c r="GX1112" s="4"/>
      <c r="GY1112" s="4"/>
      <c r="GZ1112" s="4"/>
      <c r="HA1112" s="4"/>
      <c r="HB1112" s="4"/>
      <c r="HC1112" s="4"/>
      <c r="HD1112" s="4"/>
      <c r="HE1112" s="4"/>
    </row>
    <row r="1113">
      <c r="A1113" s="2" t="s">
        <v>5901</v>
      </c>
      <c r="B1113" s="2" t="s">
        <v>1150</v>
      </c>
      <c r="C1113" s="2" t="s">
        <v>731</v>
      </c>
      <c r="D1113" s="2" t="s">
        <v>1316</v>
      </c>
      <c r="E1113" s="2" t="s">
        <v>1317</v>
      </c>
      <c r="F1113" s="2" t="s">
        <v>5902</v>
      </c>
      <c r="G1113" s="2" t="s">
        <v>5902</v>
      </c>
      <c r="H1113" s="2" t="s">
        <v>5902</v>
      </c>
      <c r="I1113" s="2" t="s">
        <v>5903</v>
      </c>
      <c r="J1113" s="2" t="s">
        <v>1043</v>
      </c>
      <c r="K1113" s="2" t="s">
        <v>265</v>
      </c>
      <c r="L1113" s="3">
        <v>45.71</v>
      </c>
      <c r="M1113" s="3">
        <v>48</v>
      </c>
      <c r="N1113" s="3">
        <v>99.99</v>
      </c>
      <c r="O1113" s="2" t="s">
        <v>240</v>
      </c>
      <c r="P1113" s="2" t="s">
        <v>333</v>
      </c>
      <c r="Q1113" s="2" t="s">
        <v>234</v>
      </c>
      <c r="R1113" s="2" t="s">
        <v>228</v>
      </c>
      <c r="S1113" s="2" t="s">
        <v>5904</v>
      </c>
      <c r="T1113" s="2" t="s">
        <v>228</v>
      </c>
      <c r="U1113" s="2" t="s">
        <v>500</v>
      </c>
      <c r="V1113" s="2" t="s">
        <v>236</v>
      </c>
      <c r="W1113" s="2" t="s">
        <v>269</v>
      </c>
      <c r="X1113" s="2" t="s">
        <v>228</v>
      </c>
      <c r="Y1113" s="2" t="s">
        <v>1480</v>
      </c>
      <c r="Z1113" s="4">
        <v>123</v>
      </c>
      <c r="AA1113" s="4">
        <f>=ROUNDDOWN(51.25,0)</f>
      </c>
      <c r="AB1113" s="5">
        <v>2.4</v>
      </c>
      <c r="AC1113" s="2" t="s">
        <v>228</v>
      </c>
      <c r="AD1113" s="4"/>
      <c r="AE1113" s="4"/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228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/>
      <c r="AW1113" s="8"/>
      <c r="AX1113" s="4"/>
      <c r="AY1113" s="8"/>
      <c r="AZ1113" s="7"/>
      <c r="BA1113" s="7"/>
      <c r="BB1113" s="7"/>
      <c r="BC1113" s="4" t="s">
        <v>228</v>
      </c>
      <c r="BD1113" s="8" t="s">
        <v>228</v>
      </c>
      <c r="BE1113" s="4" t="s">
        <v>228</v>
      </c>
      <c r="BF1113" s="8" t="s">
        <v>228</v>
      </c>
      <c r="BG1113" s="7" t="s">
        <v>228</v>
      </c>
      <c r="BH1113" s="7" t="s">
        <v>228</v>
      </c>
      <c r="BI1113" s="7"/>
      <c r="BJ1113" s="4">
        <v>10</v>
      </c>
      <c r="BK1113" s="8">
        <v>382.59</v>
      </c>
      <c r="BL1113" s="2" t="s">
        <v>5905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5906</v>
      </c>
      <c r="BV1113" s="2" t="s">
        <v>228</v>
      </c>
      <c r="BW1113" s="2" t="s">
        <v>228</v>
      </c>
      <c r="BX1113" s="2" t="s">
        <v>337</v>
      </c>
      <c r="BY1113" s="2" t="s">
        <v>274</v>
      </c>
      <c r="BZ1113" s="2" t="s">
        <v>240</v>
      </c>
      <c r="CA1113" s="2" t="s">
        <v>1484</v>
      </c>
      <c r="CB1113" s="2" t="s">
        <v>3514</v>
      </c>
      <c r="CC1113" s="2" t="s">
        <v>241</v>
      </c>
      <c r="CD1113" s="2" t="s">
        <v>228</v>
      </c>
      <c r="CE1113" s="4">
        <v>123</v>
      </c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</row>
    <row r="1114">
      <c r="A1114" s="2" t="s">
        <v>5907</v>
      </c>
      <c r="B1114" s="2" t="s">
        <v>1150</v>
      </c>
      <c r="C1114" s="2" t="s">
        <v>731</v>
      </c>
      <c r="D1114" s="2" t="s">
        <v>1316</v>
      </c>
      <c r="E1114" s="2" t="s">
        <v>1317</v>
      </c>
      <c r="F1114" s="2" t="s">
        <v>5902</v>
      </c>
      <c r="G1114" s="2" t="s">
        <v>5902</v>
      </c>
      <c r="H1114" s="2" t="s">
        <v>5902</v>
      </c>
      <c r="I1114" s="2" t="s">
        <v>5903</v>
      </c>
      <c r="J1114" s="2" t="s">
        <v>1189</v>
      </c>
      <c r="K1114" s="2" t="s">
        <v>1357</v>
      </c>
      <c r="L1114" s="3">
        <v>41.14</v>
      </c>
      <c r="M1114" s="3">
        <v>43.2</v>
      </c>
      <c r="N1114" s="3">
        <v>89.99</v>
      </c>
      <c r="O1114" s="2" t="s">
        <v>461</v>
      </c>
      <c r="P1114" s="2" t="s">
        <v>333</v>
      </c>
      <c r="Q1114" s="2" t="s">
        <v>234</v>
      </c>
      <c r="R1114" s="2" t="s">
        <v>228</v>
      </c>
      <c r="S1114" s="2" t="s">
        <v>5908</v>
      </c>
      <c r="T1114" s="2" t="s">
        <v>228</v>
      </c>
      <c r="U1114" s="2" t="s">
        <v>500</v>
      </c>
      <c r="V1114" s="2" t="s">
        <v>236</v>
      </c>
      <c r="W1114" s="2" t="s">
        <v>269</v>
      </c>
      <c r="X1114" s="2" t="s">
        <v>228</v>
      </c>
      <c r="Y1114" s="2" t="s">
        <v>1480</v>
      </c>
      <c r="Z1114" s="4">
        <v>61</v>
      </c>
      <c r="AA1114" s="4">
        <f>=ROUNDDOWN(15.6410256410256,0)</f>
      </c>
      <c r="AB1114" s="5">
        <v>3.9</v>
      </c>
      <c r="AC1114" s="2" t="s">
        <v>228</v>
      </c>
      <c r="AD1114" s="4"/>
      <c r="AE1114" s="4"/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228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/>
      <c r="AW1114" s="8"/>
      <c r="AX1114" s="4"/>
      <c r="AY1114" s="8"/>
      <c r="AZ1114" s="7"/>
      <c r="BA1114" s="7"/>
      <c r="BB1114" s="7"/>
      <c r="BC1114" s="4" t="s">
        <v>228</v>
      </c>
      <c r="BD1114" s="8" t="s">
        <v>228</v>
      </c>
      <c r="BE1114" s="4" t="s">
        <v>228</v>
      </c>
      <c r="BF1114" s="8" t="s">
        <v>228</v>
      </c>
      <c r="BG1114" s="7" t="s">
        <v>228</v>
      </c>
      <c r="BH1114" s="7" t="s">
        <v>228</v>
      </c>
      <c r="BI1114" s="7"/>
      <c r="BJ1114" s="4">
        <v>29</v>
      </c>
      <c r="BK1114" s="8">
        <v>1212.78</v>
      </c>
      <c r="BL1114" s="2" t="s">
        <v>1482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5909</v>
      </c>
      <c r="BV1114" s="2" t="s">
        <v>228</v>
      </c>
      <c r="BW1114" s="2" t="s">
        <v>228</v>
      </c>
      <c r="BX1114" s="2" t="s">
        <v>337</v>
      </c>
      <c r="BY1114" s="2" t="s">
        <v>274</v>
      </c>
      <c r="BZ1114" s="2" t="s">
        <v>240</v>
      </c>
      <c r="CA1114" s="2" t="s">
        <v>1484</v>
      </c>
      <c r="CB1114" s="2" t="s">
        <v>5910</v>
      </c>
      <c r="CC1114" s="2" t="s">
        <v>241</v>
      </c>
      <c r="CD1114" s="2" t="s">
        <v>228</v>
      </c>
      <c r="CE1114" s="4">
        <v>61</v>
      </c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GZ1114" s="4"/>
      <c r="HA1114" s="4"/>
      <c r="HB1114" s="4"/>
      <c r="HC1114" s="4"/>
      <c r="HD1114" s="4"/>
      <c r="HE1114" s="4"/>
    </row>
    <row r="1115">
      <c r="A1115" s="2" t="s">
        <v>5911</v>
      </c>
      <c r="B1115" s="2" t="s">
        <v>848</v>
      </c>
      <c r="C1115" s="2" t="s">
        <v>849</v>
      </c>
      <c r="D1115" s="2" t="s">
        <v>1112</v>
      </c>
      <c r="E1115" s="2" t="s">
        <v>1165</v>
      </c>
      <c r="F1115" s="2" t="s">
        <v>5912</v>
      </c>
      <c r="G1115" s="2" t="s">
        <v>5913</v>
      </c>
      <c r="H1115" s="2" t="s">
        <v>5914</v>
      </c>
      <c r="I1115" s="2" t="s">
        <v>5915</v>
      </c>
      <c r="J1115" s="2" t="s">
        <v>856</v>
      </c>
      <c r="K1115" s="2" t="s">
        <v>460</v>
      </c>
      <c r="L1115" s="3">
        <v>23.8</v>
      </c>
      <c r="M1115" s="3">
        <v>24.99</v>
      </c>
      <c r="N1115" s="3">
        <v>49.99</v>
      </c>
      <c r="O1115" s="2" t="s">
        <v>240</v>
      </c>
      <c r="P1115" s="2" t="s">
        <v>266</v>
      </c>
      <c r="Q1115" s="2" t="s">
        <v>234</v>
      </c>
      <c r="R1115" s="2" t="s">
        <v>228</v>
      </c>
      <c r="S1115" s="2" t="s">
        <v>5916</v>
      </c>
      <c r="T1115" s="2" t="s">
        <v>415</v>
      </c>
      <c r="U1115" s="2" t="s">
        <v>500</v>
      </c>
      <c r="V1115" s="2" t="s">
        <v>387</v>
      </c>
      <c r="W1115" s="2" t="s">
        <v>269</v>
      </c>
      <c r="X1115" s="2" t="s">
        <v>228</v>
      </c>
      <c r="Y1115" s="2" t="s">
        <v>5917</v>
      </c>
      <c r="Z1115" s="4"/>
      <c r="AA1115" s="4">
        <f>=ROUNDDOWN({0},0)</f>
      </c>
      <c r="AB1115" s="5">
        <v>46</v>
      </c>
      <c r="AC1115" s="2" t="s">
        <v>1788</v>
      </c>
      <c r="AD1115" s="4">
        <v>260</v>
      </c>
      <c r="AE1115" s="4">
        <v>1510</v>
      </c>
      <c r="AF1115" s="6">
        <v>64</v>
      </c>
      <c r="AG1115" s="6"/>
      <c r="AH1115" s="7">
        <v>0</v>
      </c>
      <c r="AI1115" s="4"/>
      <c r="AJ1115" s="4">
        <f>=ROUNDDOWN({0},0)</f>
      </c>
      <c r="AK1115" s="5"/>
      <c r="AL1115" s="2" t="s">
        <v>228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228</v>
      </c>
      <c r="AW1115" s="8" t="s">
        <v>228</v>
      </c>
      <c r="AX1115" s="4" t="s">
        <v>228</v>
      </c>
      <c r="AY1115" s="8" t="s">
        <v>228</v>
      </c>
      <c r="AZ1115" s="7" t="s">
        <v>228</v>
      </c>
      <c r="BA1115" s="7" t="s">
        <v>228</v>
      </c>
      <c r="BB1115" s="7"/>
      <c r="BC1115" s="4" t="s">
        <v>228</v>
      </c>
      <c r="BD1115" s="8" t="s">
        <v>228</v>
      </c>
      <c r="BE1115" s="4" t="s">
        <v>228</v>
      </c>
      <c r="BF1115" s="8" t="s">
        <v>228</v>
      </c>
      <c r="BG1115" s="7" t="s">
        <v>228</v>
      </c>
      <c r="BH1115" s="7" t="s">
        <v>228</v>
      </c>
      <c r="BI1115" s="7"/>
      <c r="BJ1115" s="4"/>
      <c r="BK1115" s="8"/>
      <c r="BL1115" s="2" t="s">
        <v>228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5918</v>
      </c>
      <c r="BV1115" s="2" t="s">
        <v>228</v>
      </c>
      <c r="BW1115" s="2" t="s">
        <v>228</v>
      </c>
      <c r="BX1115" s="2" t="s">
        <v>273</v>
      </c>
      <c r="BY1115" s="2" t="s">
        <v>274</v>
      </c>
      <c r="BZ1115" s="2" t="s">
        <v>240</v>
      </c>
      <c r="CA1115" s="2" t="s">
        <v>3206</v>
      </c>
      <c r="CB1115" s="2" t="s">
        <v>5919</v>
      </c>
      <c r="CC1115" s="2" t="s">
        <v>241</v>
      </c>
      <c r="CD1115" s="2" t="s">
        <v>228</v>
      </c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>
        <v>260</v>
      </c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>
        <v>400</v>
      </c>
      <c r="EV1115" s="4"/>
      <c r="EW1115" s="4"/>
      <c r="EX1115" s="4"/>
      <c r="EY1115" s="4"/>
      <c r="EZ1115" s="4"/>
      <c r="FA1115" s="4"/>
      <c r="FB1115" s="4">
        <v>400</v>
      </c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>
        <v>450</v>
      </c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/>
      <c r="HB1115" s="4"/>
      <c r="HC1115" s="4"/>
      <c r="HD1115" s="4"/>
      <c r="HE1115" s="4"/>
    </row>
    <row r="1116">
      <c r="A1116" s="2" t="s">
        <v>5920</v>
      </c>
      <c r="B1116" s="2" t="s">
        <v>848</v>
      </c>
      <c r="C1116" s="2" t="s">
        <v>849</v>
      </c>
      <c r="D1116" s="2" t="s">
        <v>1112</v>
      </c>
      <c r="E1116" s="2" t="s">
        <v>1165</v>
      </c>
      <c r="F1116" s="2" t="s">
        <v>5912</v>
      </c>
      <c r="G1116" s="2" t="s">
        <v>5913</v>
      </c>
      <c r="H1116" s="2" t="s">
        <v>5914</v>
      </c>
      <c r="I1116" s="2" t="s">
        <v>5915</v>
      </c>
      <c r="J1116" s="2" t="s">
        <v>1189</v>
      </c>
      <c r="K1116" s="2" t="s">
        <v>460</v>
      </c>
      <c r="L1116" s="3">
        <v>28.57</v>
      </c>
      <c r="M1116" s="3">
        <v>30</v>
      </c>
      <c r="N1116" s="3">
        <v>59.99</v>
      </c>
      <c r="O1116" s="2" t="s">
        <v>240</v>
      </c>
      <c r="P1116" s="2" t="s">
        <v>266</v>
      </c>
      <c r="Q1116" s="2" t="s">
        <v>234</v>
      </c>
      <c r="R1116" s="2" t="s">
        <v>228</v>
      </c>
      <c r="S1116" s="2" t="s">
        <v>5916</v>
      </c>
      <c r="T1116" s="2" t="s">
        <v>415</v>
      </c>
      <c r="U1116" s="2" t="s">
        <v>308</v>
      </c>
      <c r="V1116" s="2" t="s">
        <v>387</v>
      </c>
      <c r="W1116" s="2" t="s">
        <v>269</v>
      </c>
      <c r="X1116" s="2" t="s">
        <v>228</v>
      </c>
      <c r="Y1116" s="2" t="s">
        <v>2490</v>
      </c>
      <c r="Z1116" s="4"/>
      <c r="AA1116" s="4">
        <f>=ROUNDDOWN({0},0)</f>
      </c>
      <c r="AB1116" s="5">
        <v>61</v>
      </c>
      <c r="AC1116" s="2" t="s">
        <v>1788</v>
      </c>
      <c r="AD1116" s="4">
        <v>440</v>
      </c>
      <c r="AE1116" s="4">
        <v>2090</v>
      </c>
      <c r="AF1116" s="6">
        <v>64</v>
      </c>
      <c r="AG1116" s="6"/>
      <c r="AH1116" s="7">
        <v>0</v>
      </c>
      <c r="AI1116" s="4"/>
      <c r="AJ1116" s="4">
        <f>=ROUNDDOWN({0},0)</f>
      </c>
      <c r="AK1116" s="5"/>
      <c r="AL1116" s="2" t="s">
        <v>228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228</v>
      </c>
      <c r="AW1116" s="8" t="s">
        <v>228</v>
      </c>
      <c r="AX1116" s="4" t="s">
        <v>228</v>
      </c>
      <c r="AY1116" s="8" t="s">
        <v>228</v>
      </c>
      <c r="AZ1116" s="7" t="s">
        <v>228</v>
      </c>
      <c r="BA1116" s="7" t="s">
        <v>228</v>
      </c>
      <c r="BB1116" s="7"/>
      <c r="BC1116" s="4" t="s">
        <v>228</v>
      </c>
      <c r="BD1116" s="8" t="s">
        <v>228</v>
      </c>
      <c r="BE1116" s="4" t="s">
        <v>228</v>
      </c>
      <c r="BF1116" s="8" t="s">
        <v>228</v>
      </c>
      <c r="BG1116" s="7" t="s">
        <v>228</v>
      </c>
      <c r="BH1116" s="7" t="s">
        <v>228</v>
      </c>
      <c r="BI1116" s="7"/>
      <c r="BJ1116" s="4"/>
      <c r="BK1116" s="8"/>
      <c r="BL1116" s="2" t="s">
        <v>228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5921</v>
      </c>
      <c r="BV1116" s="2" t="s">
        <v>228</v>
      </c>
      <c r="BW1116" s="2" t="s">
        <v>228</v>
      </c>
      <c r="BX1116" s="2" t="s">
        <v>273</v>
      </c>
      <c r="BY1116" s="2" t="s">
        <v>274</v>
      </c>
      <c r="BZ1116" s="2" t="s">
        <v>240</v>
      </c>
      <c r="CA1116" s="2" t="s">
        <v>3206</v>
      </c>
      <c r="CB1116" s="2" t="s">
        <v>5922</v>
      </c>
      <c r="CC1116" s="2" t="s">
        <v>241</v>
      </c>
      <c r="CD1116" s="2" t="s">
        <v>228</v>
      </c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>
        <v>440</v>
      </c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>
        <v>550</v>
      </c>
      <c r="EV1116" s="4"/>
      <c r="EW1116" s="4"/>
      <c r="EX1116" s="4"/>
      <c r="EY1116" s="4"/>
      <c r="EZ1116" s="4"/>
      <c r="FA1116" s="4"/>
      <c r="FB1116" s="4">
        <v>550</v>
      </c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  <c r="GG1116" s="4"/>
      <c r="GH1116" s="4"/>
      <c r="GI1116" s="4"/>
      <c r="GJ1116" s="4"/>
      <c r="GK1116" s="4"/>
      <c r="GL1116" s="4"/>
      <c r="GM1116" s="4"/>
      <c r="GN1116" s="4">
        <v>550</v>
      </c>
      <c r="GO1116" s="4"/>
      <c r="GP1116" s="4"/>
      <c r="GQ1116" s="4"/>
      <c r="GR1116" s="4"/>
      <c r="GS1116" s="4"/>
      <c r="GT1116" s="4"/>
      <c r="GU1116" s="4"/>
      <c r="GV1116" s="4"/>
      <c r="GW1116" s="4"/>
      <c r="GX1116" s="4"/>
      <c r="GY1116" s="4"/>
      <c r="GZ1116" s="4"/>
      <c r="HA1116" s="4"/>
      <c r="HB1116" s="4"/>
      <c r="HC1116" s="4"/>
      <c r="HD1116" s="4"/>
      <c r="HE1116" s="4"/>
    </row>
    <row r="1117">
      <c r="A1117" s="2" t="s">
        <v>5923</v>
      </c>
      <c r="B1117" s="2" t="s">
        <v>258</v>
      </c>
      <c r="C1117" s="2" t="s">
        <v>4000</v>
      </c>
      <c r="D1117" s="2" t="s">
        <v>1601</v>
      </c>
      <c r="E1117" s="2" t="s">
        <v>2943</v>
      </c>
      <c r="F1117" s="2" t="s">
        <v>5924</v>
      </c>
      <c r="G1117" s="2" t="s">
        <v>5924</v>
      </c>
      <c r="H1117" s="2" t="s">
        <v>5924</v>
      </c>
      <c r="I1117" s="2" t="s">
        <v>5925</v>
      </c>
      <c r="J1117" s="2" t="s">
        <v>5926</v>
      </c>
      <c r="K1117" s="2" t="s">
        <v>249</v>
      </c>
      <c r="L1117" s="3">
        <v>25.14</v>
      </c>
      <c r="M1117" s="3">
        <v>26.4</v>
      </c>
      <c r="N1117" s="3">
        <v>54.99</v>
      </c>
      <c r="O1117" s="2" t="s">
        <v>240</v>
      </c>
      <c r="P1117" s="2" t="s">
        <v>715</v>
      </c>
      <c r="Q1117" s="2" t="s">
        <v>234</v>
      </c>
      <c r="R1117" s="2" t="s">
        <v>228</v>
      </c>
      <c r="S1117" s="2" t="s">
        <v>5927</v>
      </c>
      <c r="T1117" s="2" t="s">
        <v>228</v>
      </c>
      <c r="U1117" s="2" t="s">
        <v>228</v>
      </c>
      <c r="V1117" s="2" t="s">
        <v>236</v>
      </c>
      <c r="W1117" s="2" t="s">
        <v>269</v>
      </c>
      <c r="X1117" s="2" t="s">
        <v>228</v>
      </c>
      <c r="Y1117" s="2" t="s">
        <v>4467</v>
      </c>
      <c r="Z1117" s="4">
        <v>759</v>
      </c>
      <c r="AA1117" s="4">
        <f>=ROUNDDOWN(69,0)</f>
      </c>
      <c r="AB1117" s="5">
        <v>11</v>
      </c>
      <c r="AC1117" s="2" t="s">
        <v>228</v>
      </c>
      <c r="AD1117" s="4"/>
      <c r="AE1117" s="4"/>
      <c r="AF1117" s="6">
        <v>65</v>
      </c>
      <c r="AG1117" s="6"/>
      <c r="AH1117" s="7">
        <v>1</v>
      </c>
      <c r="AI1117" s="4"/>
      <c r="AJ1117" s="4">
        <f>=ROUNDDOWN({0},0)</f>
      </c>
      <c r="AK1117" s="5"/>
      <c r="AL1117" s="2" t="s">
        <v>228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/>
      <c r="AW1117" s="8"/>
      <c r="AX1117" s="4"/>
      <c r="AY1117" s="8"/>
      <c r="AZ1117" s="7"/>
      <c r="BA1117" s="7"/>
      <c r="BB1117" s="7"/>
      <c r="BC1117" s="4" t="s">
        <v>228</v>
      </c>
      <c r="BD1117" s="8" t="s">
        <v>228</v>
      </c>
      <c r="BE1117" s="4" t="s">
        <v>228</v>
      </c>
      <c r="BF1117" s="8" t="s">
        <v>228</v>
      </c>
      <c r="BG1117" s="7" t="s">
        <v>228</v>
      </c>
      <c r="BH1117" s="7" t="s">
        <v>228</v>
      </c>
      <c r="BI1117" s="7"/>
      <c r="BJ1117" s="4">
        <v>13</v>
      </c>
      <c r="BK1117" s="8">
        <v>374.24</v>
      </c>
      <c r="BL1117" s="2" t="s">
        <v>5928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5929</v>
      </c>
      <c r="BV1117" s="2" t="s">
        <v>228</v>
      </c>
      <c r="BW1117" s="2" t="s">
        <v>228</v>
      </c>
      <c r="BX1117" s="2" t="s">
        <v>273</v>
      </c>
      <c r="BY1117" s="2" t="s">
        <v>274</v>
      </c>
      <c r="BZ1117" s="2" t="s">
        <v>240</v>
      </c>
      <c r="CA1117" s="2" t="s">
        <v>5503</v>
      </c>
      <c r="CB1117" s="2" t="s">
        <v>5930</v>
      </c>
      <c r="CC1117" s="2" t="s">
        <v>241</v>
      </c>
      <c r="CD1117" s="2" t="s">
        <v>228</v>
      </c>
      <c r="CE1117" s="4">
        <v>759</v>
      </c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GZ1117" s="4"/>
      <c r="HA1117" s="4"/>
      <c r="HB1117" s="4"/>
      <c r="HC1117" s="4"/>
      <c r="HD1117" s="4"/>
      <c r="HE1117" s="4"/>
    </row>
    <row r="1118">
      <c r="A1118" s="2" t="s">
        <v>5931</v>
      </c>
      <c r="B1118" s="2" t="s">
        <v>258</v>
      </c>
      <c r="C1118" s="2" t="s">
        <v>4000</v>
      </c>
      <c r="D1118" s="2" t="s">
        <v>1601</v>
      </c>
      <c r="E1118" s="2" t="s">
        <v>2943</v>
      </c>
      <c r="F1118" s="2" t="s">
        <v>5924</v>
      </c>
      <c r="G1118" s="2" t="s">
        <v>5924</v>
      </c>
      <c r="H1118" s="2" t="s">
        <v>5924</v>
      </c>
      <c r="I1118" s="2" t="s">
        <v>5925</v>
      </c>
      <c r="J1118" s="2" t="s">
        <v>5926</v>
      </c>
      <c r="K1118" s="2" t="s">
        <v>2303</v>
      </c>
      <c r="L1118" s="3">
        <v>25.14</v>
      </c>
      <c r="M1118" s="3">
        <v>26.4</v>
      </c>
      <c r="N1118" s="3">
        <v>54.99</v>
      </c>
      <c r="O1118" s="2" t="s">
        <v>240</v>
      </c>
      <c r="P1118" s="2" t="s">
        <v>266</v>
      </c>
      <c r="Q1118" s="2" t="s">
        <v>234</v>
      </c>
      <c r="R1118" s="2" t="s">
        <v>228</v>
      </c>
      <c r="S1118" s="2" t="s">
        <v>5932</v>
      </c>
      <c r="T1118" s="2" t="s">
        <v>228</v>
      </c>
      <c r="U1118" s="2" t="s">
        <v>228</v>
      </c>
      <c r="V1118" s="2" t="s">
        <v>236</v>
      </c>
      <c r="W1118" s="2" t="s">
        <v>269</v>
      </c>
      <c r="X1118" s="2" t="s">
        <v>228</v>
      </c>
      <c r="Y1118" s="2" t="s">
        <v>4467</v>
      </c>
      <c r="Z1118" s="4">
        <v>500</v>
      </c>
      <c r="AA1118" s="4">
        <f>=ROUNDDOWN(38.4615384615385,0)</f>
      </c>
      <c r="AB1118" s="5">
        <v>13</v>
      </c>
      <c r="AC1118" s="2" t="s">
        <v>228</v>
      </c>
      <c r="AD1118" s="4"/>
      <c r="AE1118" s="4"/>
      <c r="AF1118" s="6">
        <v>65</v>
      </c>
      <c r="AG1118" s="6"/>
      <c r="AH1118" s="7">
        <v>1</v>
      </c>
      <c r="AI1118" s="4"/>
      <c r="AJ1118" s="4">
        <f>=ROUNDDOWN({0},0)</f>
      </c>
      <c r="AK1118" s="5"/>
      <c r="AL1118" s="2" t="s">
        <v>228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/>
      <c r="AW1118" s="8"/>
      <c r="AX1118" s="4"/>
      <c r="AY1118" s="8"/>
      <c r="AZ1118" s="7"/>
      <c r="BA1118" s="7"/>
      <c r="BB1118" s="7"/>
      <c r="BC1118" s="4" t="s">
        <v>228</v>
      </c>
      <c r="BD1118" s="8" t="s">
        <v>228</v>
      </c>
      <c r="BE1118" s="4" t="s">
        <v>228</v>
      </c>
      <c r="BF1118" s="8" t="s">
        <v>228</v>
      </c>
      <c r="BG1118" s="7" t="s">
        <v>228</v>
      </c>
      <c r="BH1118" s="7" t="s">
        <v>228</v>
      </c>
      <c r="BI1118" s="7"/>
      <c r="BJ1118" s="4">
        <v>13</v>
      </c>
      <c r="BK1118" s="8">
        <v>423.14</v>
      </c>
      <c r="BL1118" s="2" t="s">
        <v>5933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5934</v>
      </c>
      <c r="BV1118" s="2" t="s">
        <v>228</v>
      </c>
      <c r="BW1118" s="2" t="s">
        <v>228</v>
      </c>
      <c r="BX1118" s="2" t="s">
        <v>273</v>
      </c>
      <c r="BY1118" s="2" t="s">
        <v>274</v>
      </c>
      <c r="BZ1118" s="2" t="s">
        <v>240</v>
      </c>
      <c r="CA1118" s="2" t="s">
        <v>5503</v>
      </c>
      <c r="CB1118" s="2" t="s">
        <v>3225</v>
      </c>
      <c r="CC1118" s="2" t="s">
        <v>241</v>
      </c>
      <c r="CD1118" s="2" t="s">
        <v>228</v>
      </c>
      <c r="CE1118" s="4">
        <v>500</v>
      </c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/>
      <c r="GG1118" s="4"/>
      <c r="GH1118" s="4"/>
      <c r="GI1118" s="4"/>
      <c r="GJ1118" s="4"/>
      <c r="GK1118" s="4"/>
      <c r="GL1118" s="4"/>
      <c r="GM1118" s="4"/>
      <c r="GN1118" s="4"/>
      <c r="GO1118" s="4"/>
      <c r="GP1118" s="4"/>
      <c r="GQ1118" s="4"/>
      <c r="GR1118" s="4"/>
      <c r="GS1118" s="4"/>
      <c r="GT1118" s="4"/>
      <c r="GU1118" s="4"/>
      <c r="GV1118" s="4"/>
      <c r="GW1118" s="4"/>
      <c r="GX1118" s="4"/>
      <c r="GY1118" s="4"/>
      <c r="GZ1118" s="4"/>
      <c r="HA1118" s="4"/>
      <c r="HB1118" s="4"/>
      <c r="HC1118" s="4"/>
      <c r="HD1118" s="4"/>
      <c r="HE1118" s="4"/>
    </row>
    <row r="1119">
      <c r="A1119" s="2" t="s">
        <v>5935</v>
      </c>
      <c r="B1119" s="2" t="s">
        <v>258</v>
      </c>
      <c r="C1119" s="2" t="s">
        <v>4000</v>
      </c>
      <c r="D1119" s="2" t="s">
        <v>1601</v>
      </c>
      <c r="E1119" s="2" t="s">
        <v>2943</v>
      </c>
      <c r="F1119" s="2" t="s">
        <v>5924</v>
      </c>
      <c r="G1119" s="2" t="s">
        <v>5924</v>
      </c>
      <c r="H1119" s="2" t="s">
        <v>5924</v>
      </c>
      <c r="I1119" s="2" t="s">
        <v>5925</v>
      </c>
      <c r="J1119" s="2" t="s">
        <v>5926</v>
      </c>
      <c r="K1119" s="2" t="s">
        <v>1390</v>
      </c>
      <c r="L1119" s="3">
        <v>25.14</v>
      </c>
      <c r="M1119" s="3">
        <v>26.4</v>
      </c>
      <c r="N1119" s="3">
        <v>54.99</v>
      </c>
      <c r="O1119" s="2" t="s">
        <v>240</v>
      </c>
      <c r="P1119" s="2" t="s">
        <v>266</v>
      </c>
      <c r="Q1119" s="2" t="s">
        <v>234</v>
      </c>
      <c r="R1119" s="2" t="s">
        <v>228</v>
      </c>
      <c r="S1119" s="2" t="s">
        <v>5936</v>
      </c>
      <c r="T1119" s="2" t="s">
        <v>228</v>
      </c>
      <c r="U1119" s="2" t="s">
        <v>228</v>
      </c>
      <c r="V1119" s="2" t="s">
        <v>236</v>
      </c>
      <c r="W1119" s="2" t="s">
        <v>269</v>
      </c>
      <c r="X1119" s="2" t="s">
        <v>228</v>
      </c>
      <c r="Y1119" s="2" t="s">
        <v>4467</v>
      </c>
      <c r="Z1119" s="4">
        <v>768</v>
      </c>
      <c r="AA1119" s="4">
        <f>=ROUNDDOWN(128,0)</f>
      </c>
      <c r="AB1119" s="5">
        <v>6</v>
      </c>
      <c r="AC1119" s="2" t="s">
        <v>228</v>
      </c>
      <c r="AD1119" s="4"/>
      <c r="AE1119" s="4"/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228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/>
      <c r="AW1119" s="8"/>
      <c r="AX1119" s="4"/>
      <c r="AY1119" s="8"/>
      <c r="AZ1119" s="7"/>
      <c r="BA1119" s="7"/>
      <c r="BB1119" s="7"/>
      <c r="BC1119" s="4" t="s">
        <v>228</v>
      </c>
      <c r="BD1119" s="8" t="s">
        <v>228</v>
      </c>
      <c r="BE1119" s="4" t="s">
        <v>228</v>
      </c>
      <c r="BF1119" s="8" t="s">
        <v>228</v>
      </c>
      <c r="BG1119" s="7" t="s">
        <v>228</v>
      </c>
      <c r="BH1119" s="7" t="s">
        <v>228</v>
      </c>
      <c r="BI1119" s="7"/>
      <c r="BJ1119" s="4">
        <v>5</v>
      </c>
      <c r="BK1119" s="8">
        <v>152.06</v>
      </c>
      <c r="BL1119" s="2" t="s">
        <v>5937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5938</v>
      </c>
      <c r="BV1119" s="2" t="s">
        <v>228</v>
      </c>
      <c r="BW1119" s="2" t="s">
        <v>228</v>
      </c>
      <c r="BX1119" s="2" t="s">
        <v>273</v>
      </c>
      <c r="BY1119" s="2" t="s">
        <v>274</v>
      </c>
      <c r="BZ1119" s="2" t="s">
        <v>240</v>
      </c>
      <c r="CA1119" s="2" t="s">
        <v>5503</v>
      </c>
      <c r="CB1119" s="2" t="s">
        <v>846</v>
      </c>
      <c r="CC1119" s="2" t="s">
        <v>241</v>
      </c>
      <c r="CD1119" s="2" t="s">
        <v>228</v>
      </c>
      <c r="CE1119" s="4">
        <v>768</v>
      </c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/>
      <c r="HA1119" s="4"/>
      <c r="HB1119" s="4"/>
      <c r="HC1119" s="4"/>
      <c r="HD1119" s="4"/>
      <c r="HE1119" s="4"/>
    </row>
    <row r="1120">
      <c r="A1120" s="2" t="s">
        <v>5939</v>
      </c>
      <c r="B1120" s="2" t="s">
        <v>1276</v>
      </c>
      <c r="C1120" s="2" t="s">
        <v>300</v>
      </c>
      <c r="D1120" s="2" t="s">
        <v>1276</v>
      </c>
      <c r="E1120" s="2" t="s">
        <v>1276</v>
      </c>
      <c r="F1120" s="2" t="s">
        <v>5940</v>
      </c>
      <c r="G1120" s="2" t="s">
        <v>5941</v>
      </c>
      <c r="H1120" s="2" t="s">
        <v>5942</v>
      </c>
      <c r="I1120" s="2" t="s">
        <v>5943</v>
      </c>
      <c r="J1120" s="2" t="s">
        <v>1711</v>
      </c>
      <c r="K1120" s="2" t="s">
        <v>5944</v>
      </c>
      <c r="L1120" s="3">
        <v>65.45</v>
      </c>
      <c r="M1120" s="3">
        <v>68.72</v>
      </c>
      <c r="N1120" s="3">
        <v>149.99</v>
      </c>
      <c r="O1120" s="2" t="s">
        <v>461</v>
      </c>
      <c r="P1120" s="2" t="s">
        <v>333</v>
      </c>
      <c r="Q1120" s="2" t="s">
        <v>234</v>
      </c>
      <c r="R1120" s="2" t="s">
        <v>228</v>
      </c>
      <c r="S1120" s="2" t="s">
        <v>228</v>
      </c>
      <c r="T1120" s="2" t="s">
        <v>228</v>
      </c>
      <c r="U1120" s="2" t="s">
        <v>416</v>
      </c>
      <c r="V1120" s="2" t="s">
        <v>859</v>
      </c>
      <c r="W1120" s="2" t="s">
        <v>417</v>
      </c>
      <c r="X1120" s="2" t="s">
        <v>228</v>
      </c>
      <c r="Y1120" s="2" t="s">
        <v>5003</v>
      </c>
      <c r="Z1120" s="4">
        <v>314</v>
      </c>
      <c r="AA1120" s="4">
        <f>=ROUNDDOWN(157,0)</f>
      </c>
      <c r="AB1120" s="5">
        <v>2</v>
      </c>
      <c r="AC1120" s="2" t="s">
        <v>228</v>
      </c>
      <c r="AD1120" s="4"/>
      <c r="AE1120" s="4"/>
      <c r="AF1120" s="6">
        <v>63</v>
      </c>
      <c r="AG1120" s="6"/>
      <c r="AH1120" s="7">
        <v>1</v>
      </c>
      <c r="AI1120" s="4"/>
      <c r="AJ1120" s="4">
        <f>=ROUNDDOWN({0},0)</f>
      </c>
      <c r="AK1120" s="5"/>
      <c r="AL1120" s="2" t="s">
        <v>228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228</v>
      </c>
      <c r="AW1120" s="8" t="s">
        <v>228</v>
      </c>
      <c r="AX1120" s="4" t="s">
        <v>228</v>
      </c>
      <c r="AY1120" s="8" t="s">
        <v>228</v>
      </c>
      <c r="AZ1120" s="7" t="s">
        <v>228</v>
      </c>
      <c r="BA1120" s="7" t="s">
        <v>228</v>
      </c>
      <c r="BB1120" s="7"/>
      <c r="BC1120" s="4" t="s">
        <v>228</v>
      </c>
      <c r="BD1120" s="8" t="s">
        <v>228</v>
      </c>
      <c r="BE1120" s="4" t="s">
        <v>228</v>
      </c>
      <c r="BF1120" s="8" t="s">
        <v>228</v>
      </c>
      <c r="BG1120" s="7" t="s">
        <v>228</v>
      </c>
      <c r="BH1120" s="7" t="s">
        <v>228</v>
      </c>
      <c r="BI1120" s="7"/>
      <c r="BJ1120" s="4">
        <v>4</v>
      </c>
      <c r="BK1120" s="8">
        <v>230.76</v>
      </c>
      <c r="BL1120" s="2" t="s">
        <v>1322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5945</v>
      </c>
      <c r="BV1120" s="2" t="s">
        <v>228</v>
      </c>
      <c r="BW1120" s="2" t="s">
        <v>228</v>
      </c>
      <c r="BX1120" s="2" t="s">
        <v>337</v>
      </c>
      <c r="BY1120" s="2" t="s">
        <v>274</v>
      </c>
      <c r="BZ1120" s="2" t="s">
        <v>240</v>
      </c>
      <c r="CA1120" s="2" t="s">
        <v>2948</v>
      </c>
      <c r="CB1120" s="2" t="s">
        <v>1559</v>
      </c>
      <c r="CC1120" s="2" t="s">
        <v>241</v>
      </c>
      <c r="CD1120" s="2" t="s">
        <v>228</v>
      </c>
      <c r="CE1120" s="4"/>
      <c r="CF1120" s="4">
        <v>314</v>
      </c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4"/>
      <c r="GH1120" s="4"/>
      <c r="GI1120" s="4"/>
      <c r="GJ1120" s="4"/>
      <c r="GK1120" s="4"/>
      <c r="GL1120" s="4"/>
      <c r="GM1120" s="4"/>
      <c r="GN1120" s="4"/>
      <c r="GO1120" s="4"/>
      <c r="GP1120" s="4"/>
      <c r="GQ1120" s="4"/>
      <c r="GR1120" s="4"/>
      <c r="GS1120" s="4"/>
      <c r="GT1120" s="4"/>
      <c r="GU1120" s="4"/>
      <c r="GV1120" s="4"/>
      <c r="GW1120" s="4"/>
      <c r="GX1120" s="4"/>
      <c r="GY1120" s="4"/>
      <c r="GZ1120" s="4"/>
      <c r="HA1120" s="4"/>
      <c r="HB1120" s="4"/>
      <c r="HC1120" s="4"/>
      <c r="HD1120" s="4"/>
      <c r="HE1120" s="4"/>
    </row>
    <row r="1121">
      <c r="A1121" s="2" t="s">
        <v>5946</v>
      </c>
      <c r="B1121" s="2" t="s">
        <v>1276</v>
      </c>
      <c r="C1121" s="2" t="s">
        <v>300</v>
      </c>
      <c r="D1121" s="2" t="s">
        <v>1276</v>
      </c>
      <c r="E1121" s="2" t="s">
        <v>1276</v>
      </c>
      <c r="F1121" s="2" t="s">
        <v>5940</v>
      </c>
      <c r="G1121" s="2" t="s">
        <v>5941</v>
      </c>
      <c r="H1121" s="2" t="s">
        <v>5942</v>
      </c>
      <c r="I1121" s="2" t="s">
        <v>5943</v>
      </c>
      <c r="J1121" s="2" t="s">
        <v>1280</v>
      </c>
      <c r="K1121" s="2" t="s">
        <v>5944</v>
      </c>
      <c r="L1121" s="3">
        <v>99.93</v>
      </c>
      <c r="M1121" s="3">
        <v>104.93</v>
      </c>
      <c r="N1121" s="3">
        <v>224.99</v>
      </c>
      <c r="O1121" s="2" t="s">
        <v>461</v>
      </c>
      <c r="P1121" s="2" t="s">
        <v>333</v>
      </c>
      <c r="Q1121" s="2" t="s">
        <v>234</v>
      </c>
      <c r="R1121" s="2" t="s">
        <v>228</v>
      </c>
      <c r="S1121" s="2" t="s">
        <v>228</v>
      </c>
      <c r="T1121" s="2" t="s">
        <v>228</v>
      </c>
      <c r="U1121" s="2" t="s">
        <v>416</v>
      </c>
      <c r="V1121" s="2" t="s">
        <v>859</v>
      </c>
      <c r="W1121" s="2" t="s">
        <v>417</v>
      </c>
      <c r="X1121" s="2" t="s">
        <v>228</v>
      </c>
      <c r="Y1121" s="2" t="s">
        <v>5003</v>
      </c>
      <c r="Z1121" s="4">
        <v>253</v>
      </c>
      <c r="AA1121" s="4">
        <f>=ROUNDDOWN(210.833333333333,0)</f>
      </c>
      <c r="AB1121" s="5">
        <v>1.2</v>
      </c>
      <c r="AC1121" s="2" t="s">
        <v>228</v>
      </c>
      <c r="AD1121" s="4"/>
      <c r="AE1121" s="4"/>
      <c r="AF1121" s="6">
        <v>63</v>
      </c>
      <c r="AG1121" s="6"/>
      <c r="AH1121" s="7">
        <v>1</v>
      </c>
      <c r="AI1121" s="4"/>
      <c r="AJ1121" s="4">
        <f>=ROUNDDOWN({0},0)</f>
      </c>
      <c r="AK1121" s="5"/>
      <c r="AL1121" s="2" t="s">
        <v>228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228</v>
      </c>
      <c r="AW1121" s="8" t="s">
        <v>228</v>
      </c>
      <c r="AX1121" s="4" t="s">
        <v>228</v>
      </c>
      <c r="AY1121" s="8" t="s">
        <v>228</v>
      </c>
      <c r="AZ1121" s="7" t="s">
        <v>228</v>
      </c>
      <c r="BA1121" s="7" t="s">
        <v>228</v>
      </c>
      <c r="BB1121" s="7"/>
      <c r="BC1121" s="4" t="s">
        <v>228</v>
      </c>
      <c r="BD1121" s="8" t="s">
        <v>228</v>
      </c>
      <c r="BE1121" s="4" t="s">
        <v>228</v>
      </c>
      <c r="BF1121" s="8" t="s">
        <v>228</v>
      </c>
      <c r="BG1121" s="7" t="s">
        <v>228</v>
      </c>
      <c r="BH1121" s="7" t="s">
        <v>228</v>
      </c>
      <c r="BI1121" s="7"/>
      <c r="BJ1121" s="4">
        <v>5</v>
      </c>
      <c r="BK1121" s="8">
        <v>330.5</v>
      </c>
      <c r="BL1121" s="2" t="s">
        <v>5947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5948</v>
      </c>
      <c r="BV1121" s="2" t="s">
        <v>228</v>
      </c>
      <c r="BW1121" s="2" t="s">
        <v>228</v>
      </c>
      <c r="BX1121" s="2" t="s">
        <v>337</v>
      </c>
      <c r="BY1121" s="2" t="s">
        <v>274</v>
      </c>
      <c r="BZ1121" s="2" t="s">
        <v>240</v>
      </c>
      <c r="CA1121" s="2" t="s">
        <v>2948</v>
      </c>
      <c r="CB1121" s="2" t="s">
        <v>5949</v>
      </c>
      <c r="CC1121" s="2" t="s">
        <v>241</v>
      </c>
      <c r="CD1121" s="2" t="s">
        <v>228</v>
      </c>
      <c r="CE1121" s="4"/>
      <c r="CF1121" s="4">
        <v>253</v>
      </c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/>
    </row>
    <row r="1122">
      <c r="A1122" s="2" t="s">
        <v>5950</v>
      </c>
      <c r="B1122" s="2" t="s">
        <v>1276</v>
      </c>
      <c r="C1122" s="2" t="s">
        <v>300</v>
      </c>
      <c r="D1122" s="2" t="s">
        <v>1276</v>
      </c>
      <c r="E1122" s="2" t="s">
        <v>1276</v>
      </c>
      <c r="F1122" s="2" t="s">
        <v>5940</v>
      </c>
      <c r="G1122" s="2" t="s">
        <v>5941</v>
      </c>
      <c r="H1122" s="2" t="s">
        <v>5942</v>
      </c>
      <c r="I1122" s="2" t="s">
        <v>5943</v>
      </c>
      <c r="J1122" s="2" t="s">
        <v>5951</v>
      </c>
      <c r="K1122" s="2" t="s">
        <v>5944</v>
      </c>
      <c r="L1122" s="3">
        <v>37.65</v>
      </c>
      <c r="M1122" s="3">
        <v>39.53</v>
      </c>
      <c r="N1122" s="3">
        <v>84.99</v>
      </c>
      <c r="O1122" s="2" t="s">
        <v>461</v>
      </c>
      <c r="P1122" s="2" t="s">
        <v>333</v>
      </c>
      <c r="Q1122" s="2" t="s">
        <v>234</v>
      </c>
      <c r="R1122" s="2" t="s">
        <v>228</v>
      </c>
      <c r="S1122" s="2" t="s">
        <v>228</v>
      </c>
      <c r="T1122" s="2" t="s">
        <v>228</v>
      </c>
      <c r="U1122" s="2" t="s">
        <v>416</v>
      </c>
      <c r="V1122" s="2" t="s">
        <v>859</v>
      </c>
      <c r="W1122" s="2" t="s">
        <v>417</v>
      </c>
      <c r="X1122" s="2" t="s">
        <v>228</v>
      </c>
      <c r="Y1122" s="2" t="s">
        <v>5003</v>
      </c>
      <c r="Z1122" s="4">
        <v>50</v>
      </c>
      <c r="AA1122" s="4">
        <f>=ROUNDDOWN(500,0)</f>
      </c>
      <c r="AB1122" s="5">
        <v>0.1</v>
      </c>
      <c r="AC1122" s="2" t="s">
        <v>228</v>
      </c>
      <c r="AD1122" s="4"/>
      <c r="AE1122" s="4"/>
      <c r="AF1122" s="6">
        <v>63</v>
      </c>
      <c r="AG1122" s="6"/>
      <c r="AH1122" s="7">
        <v>1</v>
      </c>
      <c r="AI1122" s="4"/>
      <c r="AJ1122" s="4">
        <f>=ROUNDDOWN({0},0)</f>
      </c>
      <c r="AK1122" s="5"/>
      <c r="AL1122" s="2" t="s">
        <v>228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228</v>
      </c>
      <c r="AW1122" s="8" t="s">
        <v>228</v>
      </c>
      <c r="AX1122" s="4" t="s">
        <v>228</v>
      </c>
      <c r="AY1122" s="8" t="s">
        <v>228</v>
      </c>
      <c r="AZ1122" s="7" t="s">
        <v>228</v>
      </c>
      <c r="BA1122" s="7" t="s">
        <v>228</v>
      </c>
      <c r="BB1122" s="7"/>
      <c r="BC1122" s="4" t="s">
        <v>228</v>
      </c>
      <c r="BD1122" s="8" t="s">
        <v>228</v>
      </c>
      <c r="BE1122" s="4" t="s">
        <v>228</v>
      </c>
      <c r="BF1122" s="8" t="s">
        <v>228</v>
      </c>
      <c r="BG1122" s="7" t="s">
        <v>228</v>
      </c>
      <c r="BH1122" s="7" t="s">
        <v>228</v>
      </c>
      <c r="BI1122" s="7"/>
      <c r="BJ1122" s="4"/>
      <c r="BK1122" s="8"/>
      <c r="BL1122" s="2" t="s">
        <v>228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5952</v>
      </c>
      <c r="BV1122" s="2" t="s">
        <v>228</v>
      </c>
      <c r="BW1122" s="2" t="s">
        <v>228</v>
      </c>
      <c r="BX1122" s="2" t="s">
        <v>337</v>
      </c>
      <c r="BY1122" s="2" t="s">
        <v>274</v>
      </c>
      <c r="BZ1122" s="2" t="s">
        <v>240</v>
      </c>
      <c r="CA1122" s="2" t="s">
        <v>2948</v>
      </c>
      <c r="CB1122" s="2" t="s">
        <v>5953</v>
      </c>
      <c r="CC1122" s="2" t="s">
        <v>241</v>
      </c>
      <c r="CD1122" s="2" t="s">
        <v>228</v>
      </c>
      <c r="CE1122" s="4"/>
      <c r="CF1122" s="4">
        <v>50</v>
      </c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  <c r="GH1122" s="4"/>
      <c r="GI1122" s="4"/>
      <c r="GJ1122" s="4"/>
      <c r="GK1122" s="4"/>
      <c r="GL1122" s="4"/>
      <c r="GM1122" s="4"/>
      <c r="GN1122" s="4"/>
      <c r="GO1122" s="4"/>
      <c r="GP1122" s="4"/>
      <c r="GQ1122" s="4"/>
      <c r="GR1122" s="4"/>
      <c r="GS1122" s="4"/>
      <c r="GT1122" s="4"/>
      <c r="GU1122" s="4"/>
      <c r="GV1122" s="4"/>
      <c r="GW1122" s="4"/>
      <c r="GX1122" s="4"/>
      <c r="GY1122" s="4"/>
      <c r="GZ1122" s="4"/>
      <c r="HA1122" s="4"/>
      <c r="HB1122" s="4"/>
      <c r="HC1122" s="4"/>
      <c r="HD1122" s="4"/>
      <c r="HE1122" s="4"/>
    </row>
    <row r="1123">
      <c r="A1123" s="2" t="s">
        <v>5954</v>
      </c>
      <c r="B1123" s="2" t="s">
        <v>1150</v>
      </c>
      <c r="C1123" s="2" t="s">
        <v>2819</v>
      </c>
      <c r="D1123" s="2" t="s">
        <v>850</v>
      </c>
      <c r="E1123" s="2" t="s">
        <v>851</v>
      </c>
      <c r="F1123" s="2" t="s">
        <v>5955</v>
      </c>
      <c r="G1123" s="2" t="s">
        <v>5955</v>
      </c>
      <c r="H1123" s="2" t="s">
        <v>5955</v>
      </c>
      <c r="I1123" s="2" t="s">
        <v>5956</v>
      </c>
      <c r="J1123" s="2" t="s">
        <v>1189</v>
      </c>
      <c r="K1123" s="2" t="s">
        <v>249</v>
      </c>
      <c r="L1123" s="3">
        <v>75</v>
      </c>
      <c r="M1123" s="3">
        <v>78.74</v>
      </c>
      <c r="N1123" s="3">
        <v>159.99</v>
      </c>
      <c r="O1123" s="2" t="s">
        <v>240</v>
      </c>
      <c r="P1123" s="2" t="s">
        <v>715</v>
      </c>
      <c r="Q1123" s="2" t="s">
        <v>234</v>
      </c>
      <c r="R1123" s="2" t="s">
        <v>228</v>
      </c>
      <c r="S1123" s="2" t="s">
        <v>5957</v>
      </c>
      <c r="T1123" s="2" t="s">
        <v>228</v>
      </c>
      <c r="U1123" s="2" t="s">
        <v>228</v>
      </c>
      <c r="V1123" s="2" t="s">
        <v>1302</v>
      </c>
      <c r="W1123" s="2" t="s">
        <v>743</v>
      </c>
      <c r="X1123" s="2" t="s">
        <v>1268</v>
      </c>
      <c r="Y1123" s="2" t="s">
        <v>5958</v>
      </c>
      <c r="Z1123" s="4">
        <v>84</v>
      </c>
      <c r="AA1123" s="4">
        <f>=ROUNDDOWN(42,0)</f>
      </c>
      <c r="AB1123" s="5">
        <v>2</v>
      </c>
      <c r="AC1123" s="2" t="s">
        <v>173</v>
      </c>
      <c r="AD1123" s="4">
        <v>40</v>
      </c>
      <c r="AE1123" s="4">
        <v>40</v>
      </c>
      <c r="AF1123" s="6">
        <v>66</v>
      </c>
      <c r="AG1123" s="6"/>
      <c r="AH1123" s="7">
        <v>1</v>
      </c>
      <c r="AI1123" s="4"/>
      <c r="AJ1123" s="4">
        <f>=ROUNDDOWN({0},0)</f>
      </c>
      <c r="AK1123" s="5"/>
      <c r="AL1123" s="2" t="s">
        <v>228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/>
      <c r="AW1123" s="8"/>
      <c r="AX1123" s="4"/>
      <c r="AY1123" s="8"/>
      <c r="AZ1123" s="7"/>
      <c r="BA1123" s="7"/>
      <c r="BB1123" s="7"/>
      <c r="BC1123" s="4"/>
      <c r="BD1123" s="8"/>
      <c r="BE1123" s="4"/>
      <c r="BF1123" s="8"/>
      <c r="BG1123" s="7"/>
      <c r="BH1123" s="7"/>
      <c r="BI1123" s="7"/>
      <c r="BJ1123" s="4">
        <v>8</v>
      </c>
      <c r="BK1123" s="8">
        <v>619.41</v>
      </c>
      <c r="BL1123" s="2" t="s">
        <v>2193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5959</v>
      </c>
      <c r="BV1123" s="2" t="s">
        <v>228</v>
      </c>
      <c r="BW1123" s="2" t="s">
        <v>228</v>
      </c>
      <c r="BX1123" s="2" t="s">
        <v>273</v>
      </c>
      <c r="BY1123" s="2" t="s">
        <v>274</v>
      </c>
      <c r="BZ1123" s="2" t="s">
        <v>240</v>
      </c>
      <c r="CA1123" s="2" t="s">
        <v>5960</v>
      </c>
      <c r="CB1123" s="2" t="s">
        <v>5961</v>
      </c>
      <c r="CC1123" s="2" t="s">
        <v>241</v>
      </c>
      <c r="CD1123" s="2" t="s">
        <v>228</v>
      </c>
      <c r="CE1123" s="4">
        <v>84</v>
      </c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>
        <v>40</v>
      </c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4"/>
      <c r="HE1123" s="4"/>
    </row>
    <row r="1124">
      <c r="A1124" s="2" t="s">
        <v>5962</v>
      </c>
      <c r="B1124" s="2" t="s">
        <v>1150</v>
      </c>
      <c r="C1124" s="2" t="s">
        <v>3315</v>
      </c>
      <c r="D1124" s="2" t="s">
        <v>1862</v>
      </c>
      <c r="E1124" s="2" t="s">
        <v>2767</v>
      </c>
      <c r="F1124" s="2" t="s">
        <v>5963</v>
      </c>
      <c r="G1124" s="2" t="s">
        <v>5963</v>
      </c>
      <c r="H1124" s="2" t="s">
        <v>5963</v>
      </c>
      <c r="I1124" s="2" t="s">
        <v>5964</v>
      </c>
      <c r="J1124" s="2" t="s">
        <v>2592</v>
      </c>
      <c r="K1124" s="2" t="s">
        <v>249</v>
      </c>
      <c r="L1124" s="3">
        <v>18</v>
      </c>
      <c r="M1124" s="3">
        <v>18.9</v>
      </c>
      <c r="N1124" s="3">
        <v>44.99</v>
      </c>
      <c r="O1124" s="2" t="s">
        <v>240</v>
      </c>
      <c r="P1124" s="2" t="s">
        <v>889</v>
      </c>
      <c r="Q1124" s="2" t="s">
        <v>234</v>
      </c>
      <c r="R1124" s="2" t="s">
        <v>228</v>
      </c>
      <c r="S1124" s="2" t="s">
        <v>5965</v>
      </c>
      <c r="T1124" s="2" t="s">
        <v>350</v>
      </c>
      <c r="U1124" s="2" t="s">
        <v>416</v>
      </c>
      <c r="V1124" s="2" t="s">
        <v>236</v>
      </c>
      <c r="W1124" s="2" t="s">
        <v>463</v>
      </c>
      <c r="X1124" s="2" t="s">
        <v>417</v>
      </c>
      <c r="Y1124" s="2" t="s">
        <v>5966</v>
      </c>
      <c r="Z1124" s="4">
        <v>166</v>
      </c>
      <c r="AA1124" s="4">
        <f>=ROUNDDOWN(51.875,0)</f>
      </c>
      <c r="AB1124" s="5">
        <v>3.2</v>
      </c>
      <c r="AC1124" s="2" t="s">
        <v>228</v>
      </c>
      <c r="AD1124" s="4"/>
      <c r="AE1124" s="4"/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228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/>
      <c r="AW1124" s="8"/>
      <c r="AX1124" s="4"/>
      <c r="AY1124" s="8"/>
      <c r="AZ1124" s="7"/>
      <c r="BA1124" s="7"/>
      <c r="BB1124" s="7"/>
      <c r="BC1124" s="4"/>
      <c r="BD1124" s="8"/>
      <c r="BE1124" s="4"/>
      <c r="BF1124" s="8"/>
      <c r="BG1124" s="7"/>
      <c r="BH1124" s="7"/>
      <c r="BI1124" s="7"/>
      <c r="BJ1124" s="4">
        <v>17</v>
      </c>
      <c r="BK1124" s="8">
        <v>322.23</v>
      </c>
      <c r="BL1124" s="2" t="s">
        <v>5967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5968</v>
      </c>
      <c r="BV1124" s="2" t="s">
        <v>228</v>
      </c>
      <c r="BW1124" s="2" t="s">
        <v>228</v>
      </c>
      <c r="BX1124" s="2" t="s">
        <v>273</v>
      </c>
      <c r="BY1124" s="2" t="s">
        <v>274</v>
      </c>
      <c r="BZ1124" s="2" t="s">
        <v>240</v>
      </c>
      <c r="CA1124" s="2" t="s">
        <v>4224</v>
      </c>
      <c r="CB1124" s="2" t="s">
        <v>5969</v>
      </c>
      <c r="CC1124" s="2" t="s">
        <v>241</v>
      </c>
      <c r="CD1124" s="2" t="s">
        <v>228</v>
      </c>
      <c r="CE1124" s="4">
        <v>166</v>
      </c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/>
      <c r="GH1124" s="4"/>
      <c r="GI1124" s="4"/>
      <c r="GJ1124" s="4"/>
      <c r="GK1124" s="4"/>
      <c r="GL1124" s="4"/>
      <c r="GM1124" s="4"/>
      <c r="GN1124" s="4"/>
      <c r="GO1124" s="4"/>
      <c r="GP1124" s="4"/>
      <c r="GQ1124" s="4"/>
      <c r="GR1124" s="4"/>
      <c r="GS1124" s="4"/>
      <c r="GT1124" s="4"/>
      <c r="GU1124" s="4"/>
      <c r="GV1124" s="4"/>
      <c r="GW1124" s="4"/>
      <c r="GX1124" s="4"/>
      <c r="GY1124" s="4"/>
      <c r="GZ1124" s="4"/>
      <c r="HA1124" s="4"/>
      <c r="HB1124" s="4"/>
      <c r="HC1124" s="4"/>
      <c r="HD1124" s="4"/>
      <c r="HE1124" s="4"/>
    </row>
    <row r="1125">
      <c r="A1125" s="2" t="s">
        <v>5970</v>
      </c>
      <c r="B1125" s="2" t="s">
        <v>958</v>
      </c>
      <c r="C1125" s="2" t="s">
        <v>300</v>
      </c>
      <c r="D1125" s="2" t="s">
        <v>2117</v>
      </c>
      <c r="E1125" s="2" t="s">
        <v>3988</v>
      </c>
      <c r="F1125" s="2" t="s">
        <v>5971</v>
      </c>
      <c r="G1125" s="2" t="s">
        <v>5972</v>
      </c>
      <c r="H1125" s="2" t="s">
        <v>5973</v>
      </c>
      <c r="I1125" s="2" t="s">
        <v>5974</v>
      </c>
      <c r="J1125" s="2" t="s">
        <v>840</v>
      </c>
      <c r="K1125" s="2" t="s">
        <v>305</v>
      </c>
      <c r="L1125" s="3">
        <v>256.5</v>
      </c>
      <c r="M1125" s="3">
        <v>269.32</v>
      </c>
      <c r="N1125" s="3">
        <v>549</v>
      </c>
      <c r="O1125" s="2" t="s">
        <v>240</v>
      </c>
      <c r="P1125" s="2" t="s">
        <v>815</v>
      </c>
      <c r="Q1125" s="2" t="s">
        <v>234</v>
      </c>
      <c r="R1125" s="2" t="s">
        <v>228</v>
      </c>
      <c r="S1125" s="2" t="s">
        <v>228</v>
      </c>
      <c r="T1125" s="2" t="s">
        <v>228</v>
      </c>
      <c r="U1125" s="2" t="s">
        <v>416</v>
      </c>
      <c r="V1125" s="2" t="s">
        <v>236</v>
      </c>
      <c r="W1125" s="2" t="s">
        <v>743</v>
      </c>
      <c r="X1125" s="2" t="s">
        <v>228</v>
      </c>
      <c r="Y1125" s="2" t="s">
        <v>5975</v>
      </c>
      <c r="Z1125" s="4">
        <v>314</v>
      </c>
      <c r="AA1125" s="4">
        <f>=ROUNDDOWN(10.4666666666667,0)</f>
      </c>
      <c r="AB1125" s="5">
        <v>30</v>
      </c>
      <c r="AC1125" s="2" t="s">
        <v>213</v>
      </c>
      <c r="AD1125" s="4">
        <v>79</v>
      </c>
      <c r="AE1125" s="4">
        <v>79</v>
      </c>
      <c r="AF1125" s="6">
        <v>66</v>
      </c>
      <c r="AG1125" s="6">
        <v>49</v>
      </c>
      <c r="AH1125" s="7">
        <v>1</v>
      </c>
      <c r="AI1125" s="4"/>
      <c r="AJ1125" s="4">
        <f>=ROUNDDOWN({0},0)</f>
      </c>
      <c r="AK1125" s="5">
        <v>19.8</v>
      </c>
      <c r="AL1125" s="2" t="s">
        <v>228</v>
      </c>
      <c r="AM1125" s="4"/>
      <c r="AN1125" s="4"/>
      <c r="AO1125" s="7">
        <v>0.5484</v>
      </c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/>
      <c r="BD1125" s="8"/>
      <c r="BE1125" s="4"/>
      <c r="BF1125" s="8"/>
      <c r="BG1125" s="7"/>
      <c r="BH1125" s="7"/>
      <c r="BI1125" s="7"/>
      <c r="BJ1125" s="4">
        <v>96</v>
      </c>
      <c r="BK1125" s="8">
        <v>23244.91</v>
      </c>
      <c r="BL1125" s="2" t="s">
        <v>5976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5977</v>
      </c>
      <c r="BV1125" s="2" t="s">
        <v>228</v>
      </c>
      <c r="BW1125" s="2" t="s">
        <v>228</v>
      </c>
      <c r="BX1125" s="2" t="s">
        <v>273</v>
      </c>
      <c r="BY1125" s="2" t="s">
        <v>274</v>
      </c>
      <c r="BZ1125" s="2" t="s">
        <v>240</v>
      </c>
      <c r="CA1125" s="2" t="s">
        <v>4527</v>
      </c>
      <c r="CB1125" s="2" t="s">
        <v>5978</v>
      </c>
      <c r="CC1125" s="2" t="s">
        <v>241</v>
      </c>
      <c r="CD1125" s="2" t="s">
        <v>228</v>
      </c>
      <c r="CE1125" s="4"/>
      <c r="CF1125" s="4">
        <v>314</v>
      </c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>
        <v>79</v>
      </c>
      <c r="GX1125" s="4"/>
      <c r="GY1125" s="4"/>
      <c r="GZ1125" s="4"/>
      <c r="HA1125" s="4"/>
      <c r="HB1125" s="4"/>
      <c r="HC1125" s="4"/>
      <c r="HD1125" s="4"/>
      <c r="HE1125" s="4"/>
    </row>
    <row r="1126">
      <c r="A1126" s="2" t="s">
        <v>5979</v>
      </c>
      <c r="B1126" s="2" t="s">
        <v>1276</v>
      </c>
      <c r="C1126" s="2" t="s">
        <v>300</v>
      </c>
      <c r="D1126" s="2" t="s">
        <v>1276</v>
      </c>
      <c r="E1126" s="2" t="s">
        <v>1276</v>
      </c>
      <c r="F1126" s="2" t="s">
        <v>1709</v>
      </c>
      <c r="G1126" s="2" t="s">
        <v>4619</v>
      </c>
      <c r="H1126" s="2" t="s">
        <v>5980</v>
      </c>
      <c r="I1126" s="2" t="s">
        <v>5981</v>
      </c>
      <c r="J1126" s="2" t="s">
        <v>2972</v>
      </c>
      <c r="K1126" s="2" t="s">
        <v>4462</v>
      </c>
      <c r="L1126" s="3">
        <v>32.66</v>
      </c>
      <c r="M1126" s="3">
        <v>34.29</v>
      </c>
      <c r="N1126" s="3">
        <v>74.99</v>
      </c>
      <c r="O1126" s="2" t="s">
        <v>461</v>
      </c>
      <c r="P1126" s="2" t="s">
        <v>333</v>
      </c>
      <c r="Q1126" s="2" t="s">
        <v>234</v>
      </c>
      <c r="R1126" s="2" t="s">
        <v>228</v>
      </c>
      <c r="S1126" s="2" t="s">
        <v>228</v>
      </c>
      <c r="T1126" s="2" t="s">
        <v>228</v>
      </c>
      <c r="U1126" s="2" t="s">
        <v>416</v>
      </c>
      <c r="V1126" s="2" t="s">
        <v>3007</v>
      </c>
      <c r="W1126" s="2" t="s">
        <v>2472</v>
      </c>
      <c r="X1126" s="2" t="s">
        <v>228</v>
      </c>
      <c r="Y1126" s="2" t="s">
        <v>2973</v>
      </c>
      <c r="Z1126" s="4">
        <v>46</v>
      </c>
      <c r="AA1126" s="4">
        <f>=ROUNDDOWN(38.3333333333333,0)</f>
      </c>
      <c r="AB1126" s="5">
        <v>1.2</v>
      </c>
      <c r="AC1126" s="2" t="s">
        <v>228</v>
      </c>
      <c r="AD1126" s="4"/>
      <c r="AE1126" s="4"/>
      <c r="AF1126" s="6">
        <v>63</v>
      </c>
      <c r="AG1126" s="6"/>
      <c r="AH1126" s="7">
        <v>1</v>
      </c>
      <c r="AI1126" s="4"/>
      <c r="AJ1126" s="4">
        <f>=ROUNDDOWN({0},0)</f>
      </c>
      <c r="AK1126" s="5"/>
      <c r="AL1126" s="2" t="s">
        <v>228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228</v>
      </c>
      <c r="AW1126" s="8" t="s">
        <v>228</v>
      </c>
      <c r="AX1126" s="4" t="s">
        <v>228</v>
      </c>
      <c r="AY1126" s="8" t="s">
        <v>228</v>
      </c>
      <c r="AZ1126" s="7" t="s">
        <v>228</v>
      </c>
      <c r="BA1126" s="7" t="s">
        <v>228</v>
      </c>
      <c r="BB1126" s="7"/>
      <c r="BC1126" s="4" t="s">
        <v>228</v>
      </c>
      <c r="BD1126" s="8" t="s">
        <v>228</v>
      </c>
      <c r="BE1126" s="4" t="s">
        <v>228</v>
      </c>
      <c r="BF1126" s="8" t="s">
        <v>228</v>
      </c>
      <c r="BG1126" s="7" t="s">
        <v>228</v>
      </c>
      <c r="BH1126" s="7" t="s">
        <v>228</v>
      </c>
      <c r="BI1126" s="7"/>
      <c r="BJ1126" s="4">
        <v>3</v>
      </c>
      <c r="BK1126" s="8">
        <v>108.03</v>
      </c>
      <c r="BL1126" s="2" t="s">
        <v>1322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5982</v>
      </c>
      <c r="BV1126" s="2" t="s">
        <v>228</v>
      </c>
      <c r="BW1126" s="2" t="s">
        <v>228</v>
      </c>
      <c r="BX1126" s="2" t="s">
        <v>337</v>
      </c>
      <c r="BY1126" s="2" t="s">
        <v>274</v>
      </c>
      <c r="BZ1126" s="2" t="s">
        <v>240</v>
      </c>
      <c r="CA1126" s="2" t="s">
        <v>1285</v>
      </c>
      <c r="CB1126" s="2" t="s">
        <v>228</v>
      </c>
      <c r="CC1126" s="2" t="s">
        <v>241</v>
      </c>
      <c r="CD1126" s="2" t="s">
        <v>228</v>
      </c>
      <c r="CE1126" s="4"/>
      <c r="CF1126" s="4">
        <v>46</v>
      </c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/>
      <c r="GG1126" s="4"/>
      <c r="GH1126" s="4"/>
      <c r="GI1126" s="4"/>
      <c r="GJ1126" s="4"/>
      <c r="GK1126" s="4"/>
      <c r="GL1126" s="4"/>
      <c r="GM1126" s="4"/>
      <c r="GN1126" s="4"/>
      <c r="GO1126" s="4"/>
      <c r="GP1126" s="4"/>
      <c r="GQ1126" s="4"/>
      <c r="GR1126" s="4"/>
      <c r="GS1126" s="4"/>
      <c r="GT1126" s="4"/>
      <c r="GU1126" s="4"/>
      <c r="GV1126" s="4"/>
      <c r="GW1126" s="4"/>
      <c r="GX1126" s="4"/>
      <c r="GY1126" s="4"/>
      <c r="GZ1126" s="4"/>
      <c r="HA1126" s="4"/>
      <c r="HB1126" s="4"/>
      <c r="HC1126" s="4"/>
      <c r="HD1126" s="4"/>
      <c r="HE1126" s="4"/>
    </row>
    <row r="1127">
      <c r="A1127" s="2" t="s">
        <v>5983</v>
      </c>
      <c r="B1127" s="2" t="s">
        <v>1276</v>
      </c>
      <c r="C1127" s="2" t="s">
        <v>300</v>
      </c>
      <c r="D1127" s="2" t="s">
        <v>1276</v>
      </c>
      <c r="E1127" s="2" t="s">
        <v>1276</v>
      </c>
      <c r="F1127" s="2" t="s">
        <v>1709</v>
      </c>
      <c r="G1127" s="2" t="s">
        <v>4619</v>
      </c>
      <c r="H1127" s="2" t="s">
        <v>5980</v>
      </c>
      <c r="I1127" s="2" t="s">
        <v>5981</v>
      </c>
      <c r="J1127" s="2" t="s">
        <v>1711</v>
      </c>
      <c r="K1127" s="2" t="s">
        <v>4462</v>
      </c>
      <c r="L1127" s="3">
        <v>49.11</v>
      </c>
      <c r="M1127" s="3">
        <v>51.57</v>
      </c>
      <c r="N1127" s="3">
        <v>109.99</v>
      </c>
      <c r="O1127" s="2" t="s">
        <v>461</v>
      </c>
      <c r="P1127" s="2" t="s">
        <v>333</v>
      </c>
      <c r="Q1127" s="2" t="s">
        <v>234</v>
      </c>
      <c r="R1127" s="2" t="s">
        <v>228</v>
      </c>
      <c r="S1127" s="2" t="s">
        <v>228</v>
      </c>
      <c r="T1127" s="2" t="s">
        <v>228</v>
      </c>
      <c r="U1127" s="2" t="s">
        <v>416</v>
      </c>
      <c r="V1127" s="2" t="s">
        <v>3007</v>
      </c>
      <c r="W1127" s="2" t="s">
        <v>2472</v>
      </c>
      <c r="X1127" s="2" t="s">
        <v>228</v>
      </c>
      <c r="Y1127" s="2" t="s">
        <v>2973</v>
      </c>
      <c r="Z1127" s="4">
        <v>206</v>
      </c>
      <c r="AA1127" s="4">
        <f>=ROUNDDOWN(1030,0)</f>
      </c>
      <c r="AB1127" s="5">
        <v>0.2</v>
      </c>
      <c r="AC1127" s="2" t="s">
        <v>228</v>
      </c>
      <c r="AD1127" s="4"/>
      <c r="AE1127" s="4"/>
      <c r="AF1127" s="6">
        <v>63</v>
      </c>
      <c r="AG1127" s="6"/>
      <c r="AH1127" s="7">
        <v>1</v>
      </c>
      <c r="AI1127" s="4"/>
      <c r="AJ1127" s="4">
        <f>=ROUNDDOWN({0},0)</f>
      </c>
      <c r="AK1127" s="5"/>
      <c r="AL1127" s="2" t="s">
        <v>228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228</v>
      </c>
      <c r="AW1127" s="8" t="s">
        <v>228</v>
      </c>
      <c r="AX1127" s="4" t="s">
        <v>228</v>
      </c>
      <c r="AY1127" s="8" t="s">
        <v>228</v>
      </c>
      <c r="AZ1127" s="7" t="s">
        <v>228</v>
      </c>
      <c r="BA1127" s="7" t="s">
        <v>228</v>
      </c>
      <c r="BB1127" s="7"/>
      <c r="BC1127" s="4" t="s">
        <v>228</v>
      </c>
      <c r="BD1127" s="8" t="s">
        <v>228</v>
      </c>
      <c r="BE1127" s="4" t="s">
        <v>228</v>
      </c>
      <c r="BF1127" s="8" t="s">
        <v>228</v>
      </c>
      <c r="BG1127" s="7" t="s">
        <v>228</v>
      </c>
      <c r="BH1127" s="7" t="s">
        <v>228</v>
      </c>
      <c r="BI1127" s="7"/>
      <c r="BJ1127" s="4"/>
      <c r="BK1127" s="8"/>
      <c r="BL1127" s="2" t="s">
        <v>622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5984</v>
      </c>
      <c r="BV1127" s="2" t="s">
        <v>228</v>
      </c>
      <c r="BW1127" s="2" t="s">
        <v>228</v>
      </c>
      <c r="BX1127" s="2" t="s">
        <v>337</v>
      </c>
      <c r="BY1127" s="2" t="s">
        <v>274</v>
      </c>
      <c r="BZ1127" s="2" t="s">
        <v>240</v>
      </c>
      <c r="CA1127" s="2" t="s">
        <v>1285</v>
      </c>
      <c r="CB1127" s="2" t="s">
        <v>1047</v>
      </c>
      <c r="CC1127" s="2" t="s">
        <v>241</v>
      </c>
      <c r="CD1127" s="2" t="s">
        <v>228</v>
      </c>
      <c r="CE1127" s="4"/>
      <c r="CF1127" s="4">
        <v>206</v>
      </c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GZ1127" s="4"/>
      <c r="HA1127" s="4"/>
      <c r="HB1127" s="4"/>
      <c r="HC1127" s="4"/>
      <c r="HD1127" s="4"/>
      <c r="HE1127" s="4"/>
    </row>
    <row r="1128">
      <c r="A1128" s="2" t="s">
        <v>5985</v>
      </c>
      <c r="B1128" s="2" t="s">
        <v>1276</v>
      </c>
      <c r="C1128" s="2" t="s">
        <v>300</v>
      </c>
      <c r="D1128" s="2" t="s">
        <v>1276</v>
      </c>
      <c r="E1128" s="2" t="s">
        <v>1276</v>
      </c>
      <c r="F1128" s="2" t="s">
        <v>1709</v>
      </c>
      <c r="G1128" s="2" t="s">
        <v>4619</v>
      </c>
      <c r="H1128" s="2" t="s">
        <v>5980</v>
      </c>
      <c r="I1128" s="2" t="s">
        <v>5981</v>
      </c>
      <c r="J1128" s="2" t="s">
        <v>1280</v>
      </c>
      <c r="K1128" s="2" t="s">
        <v>4462</v>
      </c>
      <c r="L1128" s="3">
        <v>71.5</v>
      </c>
      <c r="M1128" s="3">
        <v>75.08</v>
      </c>
      <c r="N1128" s="3">
        <v>159.99</v>
      </c>
      <c r="O1128" s="2" t="s">
        <v>461</v>
      </c>
      <c r="P1128" s="2" t="s">
        <v>333</v>
      </c>
      <c r="Q1128" s="2" t="s">
        <v>234</v>
      </c>
      <c r="R1128" s="2" t="s">
        <v>228</v>
      </c>
      <c r="S1128" s="2" t="s">
        <v>228</v>
      </c>
      <c r="T1128" s="2" t="s">
        <v>228</v>
      </c>
      <c r="U1128" s="2" t="s">
        <v>416</v>
      </c>
      <c r="V1128" s="2" t="s">
        <v>3007</v>
      </c>
      <c r="W1128" s="2" t="s">
        <v>2472</v>
      </c>
      <c r="X1128" s="2" t="s">
        <v>228</v>
      </c>
      <c r="Y1128" s="2" t="s">
        <v>2973</v>
      </c>
      <c r="Z1128" s="4">
        <v>114</v>
      </c>
      <c r="AA1128" s="4">
        <f>=ROUNDDOWN(13.5714285714286,0)</f>
      </c>
      <c r="AB1128" s="5">
        <v>8.4</v>
      </c>
      <c r="AC1128" s="2" t="s">
        <v>228</v>
      </c>
      <c r="AD1128" s="4"/>
      <c r="AE1128" s="4"/>
      <c r="AF1128" s="6">
        <v>63</v>
      </c>
      <c r="AG1128" s="6"/>
      <c r="AH1128" s="7">
        <v>1</v>
      </c>
      <c r="AI1128" s="4"/>
      <c r="AJ1128" s="4">
        <f>=ROUNDDOWN({0},0)</f>
      </c>
      <c r="AK1128" s="5"/>
      <c r="AL1128" s="2" t="s">
        <v>228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228</v>
      </c>
      <c r="AW1128" s="8" t="s">
        <v>228</v>
      </c>
      <c r="AX1128" s="4" t="s">
        <v>228</v>
      </c>
      <c r="AY1128" s="8" t="s">
        <v>228</v>
      </c>
      <c r="AZ1128" s="7" t="s">
        <v>228</v>
      </c>
      <c r="BA1128" s="7" t="s">
        <v>228</v>
      </c>
      <c r="BB1128" s="7"/>
      <c r="BC1128" s="4" t="s">
        <v>228</v>
      </c>
      <c r="BD1128" s="8" t="s">
        <v>228</v>
      </c>
      <c r="BE1128" s="4" t="s">
        <v>228</v>
      </c>
      <c r="BF1128" s="8" t="s">
        <v>228</v>
      </c>
      <c r="BG1128" s="7" t="s">
        <v>228</v>
      </c>
      <c r="BH1128" s="7" t="s">
        <v>228</v>
      </c>
      <c r="BI1128" s="7"/>
      <c r="BJ1128" s="4">
        <v>36</v>
      </c>
      <c r="BK1128" s="8">
        <v>2905.53</v>
      </c>
      <c r="BL1128" s="2" t="s">
        <v>5986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5987</v>
      </c>
      <c r="BV1128" s="2" t="s">
        <v>228</v>
      </c>
      <c r="BW1128" s="2" t="s">
        <v>228</v>
      </c>
      <c r="BX1128" s="2" t="s">
        <v>337</v>
      </c>
      <c r="BY1128" s="2" t="s">
        <v>274</v>
      </c>
      <c r="BZ1128" s="2" t="s">
        <v>240</v>
      </c>
      <c r="CA1128" s="2" t="s">
        <v>1285</v>
      </c>
      <c r="CB1128" s="2" t="s">
        <v>5988</v>
      </c>
      <c r="CC1128" s="2" t="s">
        <v>241</v>
      </c>
      <c r="CD1128" s="2" t="s">
        <v>228</v>
      </c>
      <c r="CE1128" s="4"/>
      <c r="CF1128" s="4">
        <v>114</v>
      </c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/>
      <c r="GG1128" s="4"/>
      <c r="GH1128" s="4"/>
      <c r="GI1128" s="4"/>
      <c r="GJ1128" s="4"/>
      <c r="GK1128" s="4"/>
      <c r="GL1128" s="4"/>
      <c r="GM1128" s="4"/>
      <c r="GN1128" s="4"/>
      <c r="GO1128" s="4"/>
      <c r="GP1128" s="4"/>
      <c r="GQ1128" s="4"/>
      <c r="GR1128" s="4"/>
      <c r="GS1128" s="4"/>
      <c r="GT1128" s="4"/>
      <c r="GU1128" s="4"/>
      <c r="GV1128" s="4"/>
      <c r="GW1128" s="4"/>
      <c r="GX1128" s="4"/>
      <c r="GY1128" s="4"/>
      <c r="GZ1128" s="4"/>
      <c r="HA1128" s="4"/>
      <c r="HB1128" s="4"/>
      <c r="HC1128" s="4"/>
      <c r="HD1128" s="4"/>
      <c r="HE1128" s="4"/>
    </row>
    <row r="1129">
      <c r="A1129" s="2" t="s">
        <v>5989</v>
      </c>
      <c r="B1129" s="2" t="s">
        <v>1276</v>
      </c>
      <c r="C1129" s="2" t="s">
        <v>300</v>
      </c>
      <c r="D1129" s="2" t="s">
        <v>1276</v>
      </c>
      <c r="E1129" s="2" t="s">
        <v>1276</v>
      </c>
      <c r="F1129" s="2" t="s">
        <v>1709</v>
      </c>
      <c r="G1129" s="2" t="s">
        <v>4619</v>
      </c>
      <c r="H1129" s="2" t="s">
        <v>5980</v>
      </c>
      <c r="I1129" s="2" t="s">
        <v>5981</v>
      </c>
      <c r="J1129" s="2" t="s">
        <v>2972</v>
      </c>
      <c r="K1129" s="2" t="s">
        <v>1466</v>
      </c>
      <c r="L1129" s="3">
        <v>32.66</v>
      </c>
      <c r="M1129" s="3">
        <v>34.29</v>
      </c>
      <c r="N1129" s="3">
        <v>74.99</v>
      </c>
      <c r="O1129" s="2" t="s">
        <v>491</v>
      </c>
      <c r="P1129" s="2" t="s">
        <v>333</v>
      </c>
      <c r="Q1129" s="2" t="s">
        <v>234</v>
      </c>
      <c r="R1129" s="2" t="s">
        <v>228</v>
      </c>
      <c r="S1129" s="2" t="s">
        <v>5990</v>
      </c>
      <c r="T1129" s="2" t="s">
        <v>228</v>
      </c>
      <c r="U1129" s="2" t="s">
        <v>416</v>
      </c>
      <c r="V1129" s="2" t="s">
        <v>3007</v>
      </c>
      <c r="W1129" s="2" t="s">
        <v>2472</v>
      </c>
      <c r="X1129" s="2" t="s">
        <v>228</v>
      </c>
      <c r="Y1129" s="2" t="s">
        <v>5514</v>
      </c>
      <c r="Z1129" s="4">
        <v>28</v>
      </c>
      <c r="AA1129" s="4">
        <f>=ROUNDDOWN(56,0)</f>
      </c>
      <c r="AB1129" s="5">
        <v>0.5</v>
      </c>
      <c r="AC1129" s="2" t="s">
        <v>228</v>
      </c>
      <c r="AD1129" s="4"/>
      <c r="AE1129" s="4"/>
      <c r="AF1129" s="6">
        <v>63</v>
      </c>
      <c r="AG1129" s="6"/>
      <c r="AH1129" s="7">
        <v>1</v>
      </c>
      <c r="AI1129" s="4"/>
      <c r="AJ1129" s="4">
        <f>=ROUNDDOWN({0},0)</f>
      </c>
      <c r="AK1129" s="5"/>
      <c r="AL1129" s="2" t="s">
        <v>228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228</v>
      </c>
      <c r="AW1129" s="8" t="s">
        <v>228</v>
      </c>
      <c r="AX1129" s="4" t="s">
        <v>228</v>
      </c>
      <c r="AY1129" s="8" t="s">
        <v>228</v>
      </c>
      <c r="AZ1129" s="7" t="s">
        <v>228</v>
      </c>
      <c r="BA1129" s="7" t="s">
        <v>228</v>
      </c>
      <c r="BB1129" s="7"/>
      <c r="BC1129" s="4" t="s">
        <v>228</v>
      </c>
      <c r="BD1129" s="8" t="s">
        <v>228</v>
      </c>
      <c r="BE1129" s="4" t="s">
        <v>228</v>
      </c>
      <c r="BF1129" s="8" t="s">
        <v>228</v>
      </c>
      <c r="BG1129" s="7" t="s">
        <v>228</v>
      </c>
      <c r="BH1129" s="7" t="s">
        <v>228</v>
      </c>
      <c r="BI1129" s="7"/>
      <c r="BJ1129" s="4">
        <v>2</v>
      </c>
      <c r="BK1129" s="8">
        <v>72.02</v>
      </c>
      <c r="BL1129" s="2" t="s">
        <v>1322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5991</v>
      </c>
      <c r="BV1129" s="2" t="s">
        <v>228</v>
      </c>
      <c r="BW1129" s="2" t="s">
        <v>228</v>
      </c>
      <c r="BX1129" s="2" t="s">
        <v>337</v>
      </c>
      <c r="BY1129" s="2" t="s">
        <v>274</v>
      </c>
      <c r="BZ1129" s="2" t="s">
        <v>240</v>
      </c>
      <c r="CA1129" s="2" t="s">
        <v>5351</v>
      </c>
      <c r="CB1129" s="2" t="s">
        <v>5992</v>
      </c>
      <c r="CC1129" s="2" t="s">
        <v>241</v>
      </c>
      <c r="CD1129" s="2" t="s">
        <v>228</v>
      </c>
      <c r="CE1129" s="4"/>
      <c r="CF1129" s="4">
        <v>28</v>
      </c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/>
      <c r="HB1129" s="4"/>
      <c r="HC1129" s="4"/>
      <c r="HD1129" s="4"/>
      <c r="HE1129" s="4"/>
    </row>
    <row r="1130">
      <c r="A1130" s="2" t="s">
        <v>5993</v>
      </c>
      <c r="B1130" s="2" t="s">
        <v>1276</v>
      </c>
      <c r="C1130" s="2" t="s">
        <v>300</v>
      </c>
      <c r="D1130" s="2" t="s">
        <v>1276</v>
      </c>
      <c r="E1130" s="2" t="s">
        <v>1276</v>
      </c>
      <c r="F1130" s="2" t="s">
        <v>1709</v>
      </c>
      <c r="G1130" s="2" t="s">
        <v>4619</v>
      </c>
      <c r="H1130" s="2" t="s">
        <v>5980</v>
      </c>
      <c r="I1130" s="2" t="s">
        <v>5981</v>
      </c>
      <c r="J1130" s="2" t="s">
        <v>1711</v>
      </c>
      <c r="K1130" s="2" t="s">
        <v>1466</v>
      </c>
      <c r="L1130" s="3">
        <v>49.11</v>
      </c>
      <c r="M1130" s="3">
        <v>51.57</v>
      </c>
      <c r="N1130" s="3">
        <v>109.99</v>
      </c>
      <c r="O1130" s="2" t="s">
        <v>491</v>
      </c>
      <c r="P1130" s="2" t="s">
        <v>333</v>
      </c>
      <c r="Q1130" s="2" t="s">
        <v>234</v>
      </c>
      <c r="R1130" s="2" t="s">
        <v>228</v>
      </c>
      <c r="S1130" s="2" t="s">
        <v>5990</v>
      </c>
      <c r="T1130" s="2" t="s">
        <v>228</v>
      </c>
      <c r="U1130" s="2" t="s">
        <v>416</v>
      </c>
      <c r="V1130" s="2" t="s">
        <v>3007</v>
      </c>
      <c r="W1130" s="2" t="s">
        <v>2472</v>
      </c>
      <c r="X1130" s="2" t="s">
        <v>228</v>
      </c>
      <c r="Y1130" s="2" t="s">
        <v>5514</v>
      </c>
      <c r="Z1130" s="4">
        <v>45</v>
      </c>
      <c r="AA1130" s="4">
        <f>=ROUNDDOWN(450,0)</f>
      </c>
      <c r="AB1130" s="5">
        <v>0.1</v>
      </c>
      <c r="AC1130" s="2" t="s">
        <v>228</v>
      </c>
      <c r="AD1130" s="4"/>
      <c r="AE1130" s="4"/>
      <c r="AF1130" s="6">
        <v>63</v>
      </c>
      <c r="AG1130" s="6"/>
      <c r="AH1130" s="7">
        <v>1</v>
      </c>
      <c r="AI1130" s="4"/>
      <c r="AJ1130" s="4">
        <f>=ROUNDDOWN({0},0)</f>
      </c>
      <c r="AK1130" s="5"/>
      <c r="AL1130" s="2" t="s">
        <v>228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228</v>
      </c>
      <c r="AW1130" s="8" t="s">
        <v>228</v>
      </c>
      <c r="AX1130" s="4" t="s">
        <v>228</v>
      </c>
      <c r="AY1130" s="8" t="s">
        <v>228</v>
      </c>
      <c r="AZ1130" s="7" t="s">
        <v>228</v>
      </c>
      <c r="BA1130" s="7" t="s">
        <v>228</v>
      </c>
      <c r="BB1130" s="7"/>
      <c r="BC1130" s="4" t="s">
        <v>228</v>
      </c>
      <c r="BD1130" s="8" t="s">
        <v>228</v>
      </c>
      <c r="BE1130" s="4" t="s">
        <v>228</v>
      </c>
      <c r="BF1130" s="8" t="s">
        <v>228</v>
      </c>
      <c r="BG1130" s="7" t="s">
        <v>228</v>
      </c>
      <c r="BH1130" s="7" t="s">
        <v>228</v>
      </c>
      <c r="BI1130" s="7"/>
      <c r="BJ1130" s="4"/>
      <c r="BK1130" s="8"/>
      <c r="BL1130" s="2" t="s">
        <v>1033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5994</v>
      </c>
      <c r="BV1130" s="2" t="s">
        <v>228</v>
      </c>
      <c r="BW1130" s="2" t="s">
        <v>228</v>
      </c>
      <c r="BX1130" s="2" t="s">
        <v>337</v>
      </c>
      <c r="BY1130" s="2" t="s">
        <v>274</v>
      </c>
      <c r="BZ1130" s="2" t="s">
        <v>240</v>
      </c>
      <c r="CA1130" s="2" t="s">
        <v>5351</v>
      </c>
      <c r="CB1130" s="2" t="s">
        <v>5992</v>
      </c>
      <c r="CC1130" s="2" t="s">
        <v>241</v>
      </c>
      <c r="CD1130" s="2" t="s">
        <v>228</v>
      </c>
      <c r="CE1130" s="4"/>
      <c r="CF1130" s="4">
        <v>45</v>
      </c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/>
      <c r="GH1130" s="4"/>
      <c r="GI1130" s="4"/>
      <c r="GJ1130" s="4"/>
      <c r="GK1130" s="4"/>
      <c r="GL1130" s="4"/>
      <c r="GM1130" s="4"/>
      <c r="GN1130" s="4"/>
      <c r="GO1130" s="4"/>
      <c r="GP1130" s="4"/>
      <c r="GQ1130" s="4"/>
      <c r="GR1130" s="4"/>
      <c r="GS1130" s="4"/>
      <c r="GT1130" s="4"/>
      <c r="GU1130" s="4"/>
      <c r="GV1130" s="4"/>
      <c r="GW1130" s="4"/>
      <c r="GX1130" s="4"/>
      <c r="GY1130" s="4"/>
      <c r="GZ1130" s="4"/>
      <c r="HA1130" s="4"/>
      <c r="HB1130" s="4"/>
      <c r="HC1130" s="4"/>
      <c r="HD1130" s="4"/>
      <c r="HE1130" s="4"/>
    </row>
    <row r="1131">
      <c r="A1131" s="2" t="s">
        <v>5995</v>
      </c>
      <c r="B1131" s="2" t="s">
        <v>1276</v>
      </c>
      <c r="C1131" s="2" t="s">
        <v>300</v>
      </c>
      <c r="D1131" s="2" t="s">
        <v>1276</v>
      </c>
      <c r="E1131" s="2" t="s">
        <v>1276</v>
      </c>
      <c r="F1131" s="2" t="s">
        <v>1709</v>
      </c>
      <c r="G1131" s="2" t="s">
        <v>4619</v>
      </c>
      <c r="H1131" s="2" t="s">
        <v>5980</v>
      </c>
      <c r="I1131" s="2" t="s">
        <v>5981</v>
      </c>
      <c r="J1131" s="2" t="s">
        <v>1280</v>
      </c>
      <c r="K1131" s="2" t="s">
        <v>1466</v>
      </c>
      <c r="L1131" s="3">
        <v>71.5</v>
      </c>
      <c r="M1131" s="3">
        <v>75.08</v>
      </c>
      <c r="N1131" s="3">
        <v>159.99</v>
      </c>
      <c r="O1131" s="2" t="s">
        <v>491</v>
      </c>
      <c r="P1131" s="2" t="s">
        <v>333</v>
      </c>
      <c r="Q1131" s="2" t="s">
        <v>234</v>
      </c>
      <c r="R1131" s="2" t="s">
        <v>228</v>
      </c>
      <c r="S1131" s="2" t="s">
        <v>5990</v>
      </c>
      <c r="T1131" s="2" t="s">
        <v>228</v>
      </c>
      <c r="U1131" s="2" t="s">
        <v>416</v>
      </c>
      <c r="V1131" s="2" t="s">
        <v>3007</v>
      </c>
      <c r="W1131" s="2" t="s">
        <v>2472</v>
      </c>
      <c r="X1131" s="2" t="s">
        <v>228</v>
      </c>
      <c r="Y1131" s="2" t="s">
        <v>5514</v>
      </c>
      <c r="Z1131" s="4">
        <v>9</v>
      </c>
      <c r="AA1131" s="4">
        <f>=ROUNDDOWN(9,0)</f>
      </c>
      <c r="AB1131" s="5">
        <v>1</v>
      </c>
      <c r="AC1131" s="2" t="s">
        <v>228</v>
      </c>
      <c r="AD1131" s="4"/>
      <c r="AE1131" s="4"/>
      <c r="AF1131" s="6">
        <v>63</v>
      </c>
      <c r="AG1131" s="6"/>
      <c r="AH1131" s="7">
        <v>1</v>
      </c>
      <c r="AI1131" s="4"/>
      <c r="AJ1131" s="4">
        <f>=ROUNDDOWN({0},0)</f>
      </c>
      <c r="AK1131" s="5"/>
      <c r="AL1131" s="2" t="s">
        <v>228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228</v>
      </c>
      <c r="AW1131" s="8" t="s">
        <v>228</v>
      </c>
      <c r="AX1131" s="4" t="s">
        <v>228</v>
      </c>
      <c r="AY1131" s="8" t="s">
        <v>228</v>
      </c>
      <c r="AZ1131" s="7" t="s">
        <v>228</v>
      </c>
      <c r="BA1131" s="7" t="s">
        <v>228</v>
      </c>
      <c r="BB1131" s="7"/>
      <c r="BC1131" s="4" t="s">
        <v>228</v>
      </c>
      <c r="BD1131" s="8" t="s">
        <v>228</v>
      </c>
      <c r="BE1131" s="4" t="s">
        <v>228</v>
      </c>
      <c r="BF1131" s="8" t="s">
        <v>228</v>
      </c>
      <c r="BG1131" s="7" t="s">
        <v>228</v>
      </c>
      <c r="BH1131" s="7" t="s">
        <v>228</v>
      </c>
      <c r="BI1131" s="7"/>
      <c r="BJ1131" s="4">
        <v>4</v>
      </c>
      <c r="BK1131" s="8">
        <v>315.32</v>
      </c>
      <c r="BL1131" s="2" t="s">
        <v>1933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5996</v>
      </c>
      <c r="BV1131" s="2" t="s">
        <v>228</v>
      </c>
      <c r="BW1131" s="2" t="s">
        <v>228</v>
      </c>
      <c r="BX1131" s="2" t="s">
        <v>337</v>
      </c>
      <c r="BY1131" s="2" t="s">
        <v>274</v>
      </c>
      <c r="BZ1131" s="2" t="s">
        <v>240</v>
      </c>
      <c r="CA1131" s="2" t="s">
        <v>5351</v>
      </c>
      <c r="CB1131" s="2" t="s">
        <v>2579</v>
      </c>
      <c r="CC1131" s="2" t="s">
        <v>241</v>
      </c>
      <c r="CD1131" s="2" t="s">
        <v>228</v>
      </c>
      <c r="CE1131" s="4"/>
      <c r="CF1131" s="4">
        <v>9</v>
      </c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/>
      <c r="HB1131" s="4"/>
      <c r="HC1131" s="4"/>
      <c r="HD1131" s="4"/>
      <c r="HE1131" s="4"/>
    </row>
    <row r="1132">
      <c r="A1132" s="2" t="s">
        <v>5997</v>
      </c>
      <c r="B1132" s="2" t="s">
        <v>1276</v>
      </c>
      <c r="C1132" s="2" t="s">
        <v>300</v>
      </c>
      <c r="D1132" s="2" t="s">
        <v>1276</v>
      </c>
      <c r="E1132" s="2" t="s">
        <v>1276</v>
      </c>
      <c r="F1132" s="2" t="s">
        <v>1709</v>
      </c>
      <c r="G1132" s="2" t="s">
        <v>4619</v>
      </c>
      <c r="H1132" s="2" t="s">
        <v>5980</v>
      </c>
      <c r="I1132" s="2" t="s">
        <v>5981</v>
      </c>
      <c r="J1132" s="2" t="s">
        <v>1937</v>
      </c>
      <c r="K1132" s="2" t="s">
        <v>1466</v>
      </c>
      <c r="L1132" s="3">
        <v>103.08</v>
      </c>
      <c r="M1132" s="3">
        <v>108.23</v>
      </c>
      <c r="N1132" s="3">
        <v>229.99</v>
      </c>
      <c r="O1132" s="2" t="s">
        <v>491</v>
      </c>
      <c r="P1132" s="2" t="s">
        <v>333</v>
      </c>
      <c r="Q1132" s="2" t="s">
        <v>234</v>
      </c>
      <c r="R1132" s="2" t="s">
        <v>228</v>
      </c>
      <c r="S1132" s="2" t="s">
        <v>5990</v>
      </c>
      <c r="T1132" s="2" t="s">
        <v>228</v>
      </c>
      <c r="U1132" s="2" t="s">
        <v>416</v>
      </c>
      <c r="V1132" s="2" t="s">
        <v>3007</v>
      </c>
      <c r="W1132" s="2" t="s">
        <v>2472</v>
      </c>
      <c r="X1132" s="2" t="s">
        <v>228</v>
      </c>
      <c r="Y1132" s="2" t="s">
        <v>5514</v>
      </c>
      <c r="Z1132" s="4">
        <v>33</v>
      </c>
      <c r="AA1132" s="4">
        <f>=ROUNDDOWN(9.70588235294118,0)</f>
      </c>
      <c r="AB1132" s="5">
        <v>3.4</v>
      </c>
      <c r="AC1132" s="2" t="s">
        <v>228</v>
      </c>
      <c r="AD1132" s="4"/>
      <c r="AE1132" s="4"/>
      <c r="AF1132" s="6">
        <v>63</v>
      </c>
      <c r="AG1132" s="6"/>
      <c r="AH1132" s="7">
        <v>1</v>
      </c>
      <c r="AI1132" s="4"/>
      <c r="AJ1132" s="4">
        <f>=ROUNDDOWN({0},0)</f>
      </c>
      <c r="AK1132" s="5"/>
      <c r="AL1132" s="2" t="s">
        <v>228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228</v>
      </c>
      <c r="AW1132" s="8" t="s">
        <v>228</v>
      </c>
      <c r="AX1132" s="4" t="s">
        <v>228</v>
      </c>
      <c r="AY1132" s="8" t="s">
        <v>228</v>
      </c>
      <c r="AZ1132" s="7" t="s">
        <v>228</v>
      </c>
      <c r="BA1132" s="7" t="s">
        <v>228</v>
      </c>
      <c r="BB1132" s="7"/>
      <c r="BC1132" s="4" t="s">
        <v>228</v>
      </c>
      <c r="BD1132" s="8" t="s">
        <v>228</v>
      </c>
      <c r="BE1132" s="4" t="s">
        <v>228</v>
      </c>
      <c r="BF1132" s="8" t="s">
        <v>228</v>
      </c>
      <c r="BG1132" s="7" t="s">
        <v>228</v>
      </c>
      <c r="BH1132" s="7" t="s">
        <v>228</v>
      </c>
      <c r="BI1132" s="7"/>
      <c r="BJ1132" s="4">
        <v>14</v>
      </c>
      <c r="BK1132" s="8">
        <v>1596.51</v>
      </c>
      <c r="BL1132" s="2" t="s">
        <v>5998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5999</v>
      </c>
      <c r="BV1132" s="2" t="s">
        <v>228</v>
      </c>
      <c r="BW1132" s="2" t="s">
        <v>228</v>
      </c>
      <c r="BX1132" s="2" t="s">
        <v>337</v>
      </c>
      <c r="BY1132" s="2" t="s">
        <v>274</v>
      </c>
      <c r="BZ1132" s="2" t="s">
        <v>240</v>
      </c>
      <c r="CA1132" s="2" t="s">
        <v>5351</v>
      </c>
      <c r="CB1132" s="2" t="s">
        <v>3105</v>
      </c>
      <c r="CC1132" s="2" t="s">
        <v>241</v>
      </c>
      <c r="CD1132" s="2" t="s">
        <v>228</v>
      </c>
      <c r="CE1132" s="4"/>
      <c r="CF1132" s="4">
        <v>33</v>
      </c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/>
      <c r="HA1132" s="4"/>
      <c r="HB1132" s="4"/>
      <c r="HC1132" s="4"/>
      <c r="HD1132" s="4"/>
      <c r="HE1132" s="4"/>
    </row>
    <row r="1133">
      <c r="A1133" s="2" t="s">
        <v>6000</v>
      </c>
      <c r="B1133" s="2" t="s">
        <v>1276</v>
      </c>
      <c r="C1133" s="2" t="s">
        <v>300</v>
      </c>
      <c r="D1133" s="2" t="s">
        <v>1276</v>
      </c>
      <c r="E1133" s="2" t="s">
        <v>1276</v>
      </c>
      <c r="F1133" s="2" t="s">
        <v>6001</v>
      </c>
      <c r="G1133" s="2" t="s">
        <v>6002</v>
      </c>
      <c r="H1133" s="2" t="s">
        <v>6003</v>
      </c>
      <c r="I1133" s="2" t="s">
        <v>6004</v>
      </c>
      <c r="J1133" s="2" t="s">
        <v>2972</v>
      </c>
      <c r="K1133" s="2" t="s">
        <v>4462</v>
      </c>
      <c r="L1133" s="3">
        <v>32.66</v>
      </c>
      <c r="M1133" s="3">
        <v>34.29</v>
      </c>
      <c r="N1133" s="3">
        <v>74.99</v>
      </c>
      <c r="O1133" s="2" t="s">
        <v>461</v>
      </c>
      <c r="P1133" s="2" t="s">
        <v>333</v>
      </c>
      <c r="Q1133" s="2" t="s">
        <v>234</v>
      </c>
      <c r="R1133" s="2" t="s">
        <v>228</v>
      </c>
      <c r="S1133" s="2" t="s">
        <v>228</v>
      </c>
      <c r="T1133" s="2" t="s">
        <v>228</v>
      </c>
      <c r="U1133" s="2" t="s">
        <v>416</v>
      </c>
      <c r="V1133" s="2" t="s">
        <v>859</v>
      </c>
      <c r="W1133" s="2" t="s">
        <v>417</v>
      </c>
      <c r="X1133" s="2" t="s">
        <v>228</v>
      </c>
      <c r="Y1133" s="2" t="s">
        <v>2973</v>
      </c>
      <c r="Z1133" s="4">
        <v>7</v>
      </c>
      <c r="AA1133" s="4">
        <f>=ROUNDDOWN(35,0)</f>
      </c>
      <c r="AB1133" s="5">
        <v>0.2</v>
      </c>
      <c r="AC1133" s="2" t="s">
        <v>228</v>
      </c>
      <c r="AD1133" s="4"/>
      <c r="AE1133" s="4"/>
      <c r="AF1133" s="6">
        <v>63</v>
      </c>
      <c r="AG1133" s="6"/>
      <c r="AH1133" s="7">
        <v>1</v>
      </c>
      <c r="AI1133" s="4"/>
      <c r="AJ1133" s="4">
        <f>=ROUNDDOWN({0},0)</f>
      </c>
      <c r="AK1133" s="5"/>
      <c r="AL1133" s="2" t="s">
        <v>228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228</v>
      </c>
      <c r="AW1133" s="8" t="s">
        <v>228</v>
      </c>
      <c r="AX1133" s="4" t="s">
        <v>228</v>
      </c>
      <c r="AY1133" s="8" t="s">
        <v>228</v>
      </c>
      <c r="AZ1133" s="7" t="s">
        <v>228</v>
      </c>
      <c r="BA1133" s="7" t="s">
        <v>228</v>
      </c>
      <c r="BB1133" s="7"/>
      <c r="BC1133" s="4" t="s">
        <v>228</v>
      </c>
      <c r="BD1133" s="8" t="s">
        <v>228</v>
      </c>
      <c r="BE1133" s="4" t="s">
        <v>228</v>
      </c>
      <c r="BF1133" s="8" t="s">
        <v>228</v>
      </c>
      <c r="BG1133" s="7" t="s">
        <v>228</v>
      </c>
      <c r="BH1133" s="7" t="s">
        <v>228</v>
      </c>
      <c r="BI1133" s="7"/>
      <c r="BJ1133" s="4">
        <v>1</v>
      </c>
      <c r="BK1133" s="8">
        <v>36.01</v>
      </c>
      <c r="BL1133" s="2" t="s">
        <v>1322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6005</v>
      </c>
      <c r="BV1133" s="2" t="s">
        <v>228</v>
      </c>
      <c r="BW1133" s="2" t="s">
        <v>228</v>
      </c>
      <c r="BX1133" s="2" t="s">
        <v>337</v>
      </c>
      <c r="BY1133" s="2" t="s">
        <v>274</v>
      </c>
      <c r="BZ1133" s="2" t="s">
        <v>240</v>
      </c>
      <c r="CA1133" s="2" t="s">
        <v>6006</v>
      </c>
      <c r="CB1133" s="2" t="s">
        <v>2983</v>
      </c>
      <c r="CC1133" s="2" t="s">
        <v>241</v>
      </c>
      <c r="CD1133" s="2" t="s">
        <v>228</v>
      </c>
      <c r="CE1133" s="4"/>
      <c r="CF1133" s="4">
        <v>7</v>
      </c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  <c r="GG1133" s="4"/>
      <c r="GH1133" s="4"/>
      <c r="GI1133" s="4"/>
      <c r="GJ1133" s="4"/>
      <c r="GK1133" s="4"/>
      <c r="GL1133" s="4"/>
      <c r="GM1133" s="4"/>
      <c r="GN1133" s="4"/>
      <c r="GO1133" s="4"/>
      <c r="GP1133" s="4"/>
      <c r="GQ1133" s="4"/>
      <c r="GR1133" s="4"/>
      <c r="GS1133" s="4"/>
      <c r="GT1133" s="4"/>
      <c r="GU1133" s="4"/>
      <c r="GV1133" s="4"/>
      <c r="GW1133" s="4"/>
      <c r="GX1133" s="4"/>
      <c r="GY1133" s="4"/>
      <c r="GZ1133" s="4"/>
      <c r="HA1133" s="4"/>
      <c r="HB1133" s="4"/>
      <c r="HC1133" s="4"/>
      <c r="HD1133" s="4"/>
      <c r="HE1133" s="4"/>
    </row>
    <row r="1134">
      <c r="A1134" s="2" t="s">
        <v>6007</v>
      </c>
      <c r="B1134" s="2" t="s">
        <v>1276</v>
      </c>
      <c r="C1134" s="2" t="s">
        <v>300</v>
      </c>
      <c r="D1134" s="2" t="s">
        <v>1276</v>
      </c>
      <c r="E1134" s="2" t="s">
        <v>1276</v>
      </c>
      <c r="F1134" s="2" t="s">
        <v>6001</v>
      </c>
      <c r="G1134" s="2" t="s">
        <v>6002</v>
      </c>
      <c r="H1134" s="2" t="s">
        <v>6003</v>
      </c>
      <c r="I1134" s="2" t="s">
        <v>6004</v>
      </c>
      <c r="J1134" s="2" t="s">
        <v>1711</v>
      </c>
      <c r="K1134" s="2" t="s">
        <v>4462</v>
      </c>
      <c r="L1134" s="3">
        <v>49.11</v>
      </c>
      <c r="M1134" s="3">
        <v>51.57</v>
      </c>
      <c r="N1134" s="3">
        <v>109.99</v>
      </c>
      <c r="O1134" s="2" t="s">
        <v>461</v>
      </c>
      <c r="P1134" s="2" t="s">
        <v>333</v>
      </c>
      <c r="Q1134" s="2" t="s">
        <v>234</v>
      </c>
      <c r="R1134" s="2" t="s">
        <v>228</v>
      </c>
      <c r="S1134" s="2" t="s">
        <v>228</v>
      </c>
      <c r="T1134" s="2" t="s">
        <v>228</v>
      </c>
      <c r="U1134" s="2" t="s">
        <v>416</v>
      </c>
      <c r="V1134" s="2" t="s">
        <v>859</v>
      </c>
      <c r="W1134" s="2" t="s">
        <v>417</v>
      </c>
      <c r="X1134" s="2" t="s">
        <v>228</v>
      </c>
      <c r="Y1134" s="2" t="s">
        <v>2973</v>
      </c>
      <c r="Z1134" s="4">
        <v>33</v>
      </c>
      <c r="AA1134" s="4">
        <f>=ROUNDDOWN(25.3846153846154,0)</f>
      </c>
      <c r="AB1134" s="5">
        <v>1.3</v>
      </c>
      <c r="AC1134" s="2" t="s">
        <v>228</v>
      </c>
      <c r="AD1134" s="4"/>
      <c r="AE1134" s="4"/>
      <c r="AF1134" s="6">
        <v>63</v>
      </c>
      <c r="AG1134" s="6"/>
      <c r="AH1134" s="7">
        <v>1</v>
      </c>
      <c r="AI1134" s="4"/>
      <c r="AJ1134" s="4">
        <f>=ROUNDDOWN({0},0)</f>
      </c>
      <c r="AK1134" s="5"/>
      <c r="AL1134" s="2" t="s">
        <v>228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228</v>
      </c>
      <c r="AW1134" s="8" t="s">
        <v>228</v>
      </c>
      <c r="AX1134" s="4" t="s">
        <v>228</v>
      </c>
      <c r="AY1134" s="8" t="s">
        <v>228</v>
      </c>
      <c r="AZ1134" s="7" t="s">
        <v>228</v>
      </c>
      <c r="BA1134" s="7" t="s">
        <v>228</v>
      </c>
      <c r="BB1134" s="7"/>
      <c r="BC1134" s="4" t="s">
        <v>228</v>
      </c>
      <c r="BD1134" s="8" t="s">
        <v>228</v>
      </c>
      <c r="BE1134" s="4" t="s">
        <v>228</v>
      </c>
      <c r="BF1134" s="8" t="s">
        <v>228</v>
      </c>
      <c r="BG1134" s="7" t="s">
        <v>228</v>
      </c>
      <c r="BH1134" s="7" t="s">
        <v>228</v>
      </c>
      <c r="BI1134" s="7"/>
      <c r="BJ1134" s="4">
        <v>5</v>
      </c>
      <c r="BK1134" s="8">
        <v>268.12</v>
      </c>
      <c r="BL1134" s="2" t="s">
        <v>5831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6008</v>
      </c>
      <c r="BV1134" s="2" t="s">
        <v>228</v>
      </c>
      <c r="BW1134" s="2" t="s">
        <v>228</v>
      </c>
      <c r="BX1134" s="2" t="s">
        <v>337</v>
      </c>
      <c r="BY1134" s="2" t="s">
        <v>274</v>
      </c>
      <c r="BZ1134" s="2" t="s">
        <v>240</v>
      </c>
      <c r="CA1134" s="2" t="s">
        <v>6006</v>
      </c>
      <c r="CB1134" s="2" t="s">
        <v>6009</v>
      </c>
      <c r="CC1134" s="2" t="s">
        <v>241</v>
      </c>
      <c r="CD1134" s="2" t="s">
        <v>228</v>
      </c>
      <c r="CE1134" s="4"/>
      <c r="CF1134" s="4">
        <v>33</v>
      </c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/>
      <c r="GX1134" s="4"/>
      <c r="GY1134" s="4"/>
      <c r="GZ1134" s="4"/>
      <c r="HA1134" s="4"/>
      <c r="HB1134" s="4"/>
      <c r="HC1134" s="4"/>
      <c r="HD1134" s="4"/>
      <c r="HE1134" s="4"/>
    </row>
    <row r="1135">
      <c r="A1135" s="2" t="s">
        <v>6010</v>
      </c>
      <c r="B1135" s="2" t="s">
        <v>1150</v>
      </c>
      <c r="C1135" s="2" t="s">
        <v>300</v>
      </c>
      <c r="D1135" s="2" t="s">
        <v>1316</v>
      </c>
      <c r="E1135" s="2" t="s">
        <v>1317</v>
      </c>
      <c r="F1135" s="2" t="s">
        <v>6011</v>
      </c>
      <c r="G1135" s="2" t="s">
        <v>6012</v>
      </c>
      <c r="H1135" s="2" t="s">
        <v>6013</v>
      </c>
      <c r="I1135" s="2" t="s">
        <v>6014</v>
      </c>
      <c r="J1135" s="2" t="s">
        <v>1189</v>
      </c>
      <c r="K1135" s="2" t="s">
        <v>249</v>
      </c>
      <c r="L1135" s="3">
        <v>36.57</v>
      </c>
      <c r="M1135" s="3">
        <v>38.4</v>
      </c>
      <c r="N1135" s="3">
        <v>79.99</v>
      </c>
      <c r="O1135" s="2" t="s">
        <v>240</v>
      </c>
      <c r="P1135" s="2" t="s">
        <v>333</v>
      </c>
      <c r="Q1135" s="2" t="s">
        <v>234</v>
      </c>
      <c r="R1135" s="2" t="s">
        <v>228</v>
      </c>
      <c r="S1135" s="2" t="s">
        <v>6015</v>
      </c>
      <c r="T1135" s="2" t="s">
        <v>1414</v>
      </c>
      <c r="U1135" s="2" t="s">
        <v>500</v>
      </c>
      <c r="V1135" s="2" t="s">
        <v>980</v>
      </c>
      <c r="W1135" s="2" t="s">
        <v>269</v>
      </c>
      <c r="X1135" s="2" t="s">
        <v>228</v>
      </c>
      <c r="Y1135" s="2" t="s">
        <v>1757</v>
      </c>
      <c r="Z1135" s="4">
        <v>325</v>
      </c>
      <c r="AA1135" s="4">
        <f>=ROUNDDOWN(54.1666666666667,0)</f>
      </c>
      <c r="AB1135" s="5">
        <v>6</v>
      </c>
      <c r="AC1135" s="2" t="s">
        <v>228</v>
      </c>
      <c r="AD1135" s="4"/>
      <c r="AE1135" s="4"/>
      <c r="AF1135" s="6">
        <v>64</v>
      </c>
      <c r="AG1135" s="6"/>
      <c r="AH1135" s="7">
        <v>1</v>
      </c>
      <c r="AI1135" s="4"/>
      <c r="AJ1135" s="4">
        <f>=ROUNDDOWN({0},0)</f>
      </c>
      <c r="AK1135" s="5"/>
      <c r="AL1135" s="2" t="s">
        <v>228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228</v>
      </c>
      <c r="AW1135" s="8" t="s">
        <v>228</v>
      </c>
      <c r="AX1135" s="4" t="s">
        <v>228</v>
      </c>
      <c r="AY1135" s="8" t="s">
        <v>228</v>
      </c>
      <c r="AZ1135" s="7" t="s">
        <v>228</v>
      </c>
      <c r="BA1135" s="7" t="s">
        <v>228</v>
      </c>
      <c r="BB1135" s="7"/>
      <c r="BC1135" s="4" t="s">
        <v>228</v>
      </c>
      <c r="BD1135" s="8" t="s">
        <v>228</v>
      </c>
      <c r="BE1135" s="4" t="s">
        <v>228</v>
      </c>
      <c r="BF1135" s="8" t="s">
        <v>228</v>
      </c>
      <c r="BG1135" s="7" t="s">
        <v>228</v>
      </c>
      <c r="BH1135" s="7" t="s">
        <v>228</v>
      </c>
      <c r="BI1135" s="7"/>
      <c r="BJ1135" s="4">
        <v>4</v>
      </c>
      <c r="BK1135" s="8">
        <v>158.59</v>
      </c>
      <c r="BL1135" s="2" t="s">
        <v>1322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6016</v>
      </c>
      <c r="BV1135" s="2" t="s">
        <v>228</v>
      </c>
      <c r="BW1135" s="2" t="s">
        <v>228</v>
      </c>
      <c r="BX1135" s="2" t="s">
        <v>337</v>
      </c>
      <c r="BY1135" s="2" t="s">
        <v>274</v>
      </c>
      <c r="BZ1135" s="2" t="s">
        <v>240</v>
      </c>
      <c r="CA1135" s="2" t="s">
        <v>1001</v>
      </c>
      <c r="CB1135" s="2" t="s">
        <v>497</v>
      </c>
      <c r="CC1135" s="2" t="s">
        <v>241</v>
      </c>
      <c r="CD1135" s="2" t="s">
        <v>228</v>
      </c>
      <c r="CE1135" s="4">
        <v>325</v>
      </c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GZ1135" s="4"/>
      <c r="HA1135" s="4"/>
      <c r="HB1135" s="4"/>
      <c r="HC1135" s="4"/>
      <c r="HD1135" s="4"/>
      <c r="HE1135" s="4"/>
    </row>
    <row r="1136">
      <c r="A1136" s="2" t="s">
        <v>6017</v>
      </c>
      <c r="B1136" s="2" t="s">
        <v>1150</v>
      </c>
      <c r="C1136" s="2" t="s">
        <v>300</v>
      </c>
      <c r="D1136" s="2" t="s">
        <v>1316</v>
      </c>
      <c r="E1136" s="2" t="s">
        <v>1317</v>
      </c>
      <c r="F1136" s="2" t="s">
        <v>6011</v>
      </c>
      <c r="G1136" s="2" t="s">
        <v>6012</v>
      </c>
      <c r="H1136" s="2" t="s">
        <v>6013</v>
      </c>
      <c r="I1136" s="2" t="s">
        <v>6014</v>
      </c>
      <c r="J1136" s="2" t="s">
        <v>1043</v>
      </c>
      <c r="K1136" s="2" t="s">
        <v>249</v>
      </c>
      <c r="L1136" s="3">
        <v>41.14</v>
      </c>
      <c r="M1136" s="3">
        <v>43.2</v>
      </c>
      <c r="N1136" s="3">
        <v>89.99</v>
      </c>
      <c r="O1136" s="2" t="s">
        <v>240</v>
      </c>
      <c r="P1136" s="2" t="s">
        <v>333</v>
      </c>
      <c r="Q1136" s="2" t="s">
        <v>234</v>
      </c>
      <c r="R1136" s="2" t="s">
        <v>228</v>
      </c>
      <c r="S1136" s="2" t="s">
        <v>6015</v>
      </c>
      <c r="T1136" s="2" t="s">
        <v>1414</v>
      </c>
      <c r="U1136" s="2" t="s">
        <v>500</v>
      </c>
      <c r="V1136" s="2" t="s">
        <v>980</v>
      </c>
      <c r="W1136" s="2" t="s">
        <v>269</v>
      </c>
      <c r="X1136" s="2" t="s">
        <v>228</v>
      </c>
      <c r="Y1136" s="2" t="s">
        <v>5296</v>
      </c>
      <c r="Z1136" s="4">
        <v>402</v>
      </c>
      <c r="AA1136" s="4">
        <f>=ROUNDDOWN(201,0)</f>
      </c>
      <c r="AB1136" s="5">
        <v>2</v>
      </c>
      <c r="AC1136" s="2" t="s">
        <v>228</v>
      </c>
      <c r="AD1136" s="4"/>
      <c r="AE1136" s="4"/>
      <c r="AF1136" s="6">
        <v>64</v>
      </c>
      <c r="AG1136" s="6"/>
      <c r="AH1136" s="7">
        <v>1</v>
      </c>
      <c r="AI1136" s="4"/>
      <c r="AJ1136" s="4">
        <f>=ROUNDDOWN({0},0)</f>
      </c>
      <c r="AK1136" s="5"/>
      <c r="AL1136" s="2" t="s">
        <v>228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228</v>
      </c>
      <c r="AW1136" s="8" t="s">
        <v>228</v>
      </c>
      <c r="AX1136" s="4" t="s">
        <v>228</v>
      </c>
      <c r="AY1136" s="8" t="s">
        <v>228</v>
      </c>
      <c r="AZ1136" s="7" t="s">
        <v>228</v>
      </c>
      <c r="BA1136" s="7" t="s">
        <v>228</v>
      </c>
      <c r="BB1136" s="7"/>
      <c r="BC1136" s="4" t="s">
        <v>228</v>
      </c>
      <c r="BD1136" s="8" t="s">
        <v>228</v>
      </c>
      <c r="BE1136" s="4" t="s">
        <v>228</v>
      </c>
      <c r="BF1136" s="8" t="s">
        <v>228</v>
      </c>
      <c r="BG1136" s="7" t="s">
        <v>228</v>
      </c>
      <c r="BH1136" s="7" t="s">
        <v>228</v>
      </c>
      <c r="BI1136" s="7"/>
      <c r="BJ1136" s="4">
        <v>6</v>
      </c>
      <c r="BK1136" s="8">
        <v>279.3</v>
      </c>
      <c r="BL1136" s="2" t="s">
        <v>5070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6018</v>
      </c>
      <c r="BV1136" s="2" t="s">
        <v>228</v>
      </c>
      <c r="BW1136" s="2" t="s">
        <v>228</v>
      </c>
      <c r="BX1136" s="2" t="s">
        <v>337</v>
      </c>
      <c r="BY1136" s="2" t="s">
        <v>274</v>
      </c>
      <c r="BZ1136" s="2" t="s">
        <v>240</v>
      </c>
      <c r="CA1136" s="2" t="s">
        <v>1001</v>
      </c>
      <c r="CB1136" s="2" t="s">
        <v>2980</v>
      </c>
      <c r="CC1136" s="2" t="s">
        <v>241</v>
      </c>
      <c r="CD1136" s="2" t="s">
        <v>228</v>
      </c>
      <c r="CE1136" s="4">
        <v>402</v>
      </c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/>
      <c r="GF1136" s="4"/>
      <c r="GG1136" s="4"/>
      <c r="GH1136" s="4"/>
      <c r="GI1136" s="4"/>
      <c r="GJ1136" s="4"/>
      <c r="GK1136" s="4"/>
      <c r="GL1136" s="4"/>
      <c r="GM1136" s="4"/>
      <c r="GN1136" s="4"/>
      <c r="GO1136" s="4"/>
      <c r="GP1136" s="4"/>
      <c r="GQ1136" s="4"/>
      <c r="GR1136" s="4"/>
      <c r="GS1136" s="4"/>
      <c r="GT1136" s="4"/>
      <c r="GU1136" s="4"/>
      <c r="GV1136" s="4"/>
      <c r="GW1136" s="4"/>
      <c r="GX1136" s="4"/>
      <c r="GY1136" s="4"/>
      <c r="GZ1136" s="4"/>
      <c r="HA1136" s="4"/>
      <c r="HB1136" s="4"/>
      <c r="HC1136" s="4"/>
      <c r="HD1136" s="4"/>
      <c r="HE1136" s="4"/>
    </row>
    <row r="1137">
      <c r="A1137" s="2" t="s">
        <v>6019</v>
      </c>
      <c r="B1137" s="2" t="s">
        <v>1150</v>
      </c>
      <c r="C1137" s="2" t="s">
        <v>300</v>
      </c>
      <c r="D1137" s="2" t="s">
        <v>1316</v>
      </c>
      <c r="E1137" s="2" t="s">
        <v>1317</v>
      </c>
      <c r="F1137" s="2" t="s">
        <v>6011</v>
      </c>
      <c r="G1137" s="2" t="s">
        <v>6012</v>
      </c>
      <c r="H1137" s="2" t="s">
        <v>6013</v>
      </c>
      <c r="I1137" s="2" t="s">
        <v>6014</v>
      </c>
      <c r="J1137" s="2" t="s">
        <v>1189</v>
      </c>
      <c r="K1137" s="2" t="s">
        <v>2303</v>
      </c>
      <c r="L1137" s="3">
        <v>36.57</v>
      </c>
      <c r="M1137" s="3">
        <v>38.4</v>
      </c>
      <c r="N1137" s="3">
        <v>79.99</v>
      </c>
      <c r="O1137" s="2" t="s">
        <v>240</v>
      </c>
      <c r="P1137" s="2" t="s">
        <v>333</v>
      </c>
      <c r="Q1137" s="2" t="s">
        <v>234</v>
      </c>
      <c r="R1137" s="2" t="s">
        <v>228</v>
      </c>
      <c r="S1137" s="2" t="s">
        <v>6020</v>
      </c>
      <c r="T1137" s="2" t="s">
        <v>1414</v>
      </c>
      <c r="U1137" s="2" t="s">
        <v>500</v>
      </c>
      <c r="V1137" s="2" t="s">
        <v>980</v>
      </c>
      <c r="W1137" s="2" t="s">
        <v>269</v>
      </c>
      <c r="X1137" s="2" t="s">
        <v>228</v>
      </c>
      <c r="Y1137" s="2" t="s">
        <v>6021</v>
      </c>
      <c r="Z1137" s="4">
        <v>294</v>
      </c>
      <c r="AA1137" s="4">
        <f>=ROUNDDOWN(49,0)</f>
      </c>
      <c r="AB1137" s="5">
        <v>6</v>
      </c>
      <c r="AC1137" s="2" t="s">
        <v>228</v>
      </c>
      <c r="AD1137" s="4"/>
      <c r="AE1137" s="4"/>
      <c r="AF1137" s="6">
        <v>64</v>
      </c>
      <c r="AG1137" s="6"/>
      <c r="AH1137" s="7">
        <v>1</v>
      </c>
      <c r="AI1137" s="4"/>
      <c r="AJ1137" s="4">
        <f>=ROUNDDOWN({0},0)</f>
      </c>
      <c r="AK1137" s="5"/>
      <c r="AL1137" s="2" t="s">
        <v>228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228</v>
      </c>
      <c r="AW1137" s="8" t="s">
        <v>228</v>
      </c>
      <c r="AX1137" s="4" t="s">
        <v>228</v>
      </c>
      <c r="AY1137" s="8" t="s">
        <v>228</v>
      </c>
      <c r="AZ1137" s="7" t="s">
        <v>228</v>
      </c>
      <c r="BA1137" s="7" t="s">
        <v>228</v>
      </c>
      <c r="BB1137" s="7"/>
      <c r="BC1137" s="4" t="s">
        <v>228</v>
      </c>
      <c r="BD1137" s="8" t="s">
        <v>228</v>
      </c>
      <c r="BE1137" s="4" t="s">
        <v>228</v>
      </c>
      <c r="BF1137" s="8" t="s">
        <v>228</v>
      </c>
      <c r="BG1137" s="7" t="s">
        <v>228</v>
      </c>
      <c r="BH1137" s="7" t="s">
        <v>228</v>
      </c>
      <c r="BI1137" s="7"/>
      <c r="BJ1137" s="4">
        <v>6</v>
      </c>
      <c r="BK1137" s="8">
        <v>230.01</v>
      </c>
      <c r="BL1137" s="2" t="s">
        <v>357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6022</v>
      </c>
      <c r="BV1137" s="2" t="s">
        <v>228</v>
      </c>
      <c r="BW1137" s="2" t="s">
        <v>228</v>
      </c>
      <c r="BX1137" s="2" t="s">
        <v>337</v>
      </c>
      <c r="BY1137" s="2" t="s">
        <v>274</v>
      </c>
      <c r="BZ1137" s="2" t="s">
        <v>240</v>
      </c>
      <c r="CA1137" s="2" t="s">
        <v>1001</v>
      </c>
      <c r="CB1137" s="2" t="s">
        <v>5516</v>
      </c>
      <c r="CC1137" s="2" t="s">
        <v>241</v>
      </c>
      <c r="CD1137" s="2" t="s">
        <v>228</v>
      </c>
      <c r="CE1137" s="4">
        <v>294</v>
      </c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GZ1137" s="4"/>
      <c r="HA1137" s="4"/>
      <c r="HB1137" s="4"/>
      <c r="HC1137" s="4"/>
      <c r="HD1137" s="4"/>
      <c r="HE1137" s="4"/>
    </row>
    <row r="1138">
      <c r="A1138" s="2" t="s">
        <v>6023</v>
      </c>
      <c r="B1138" s="2" t="s">
        <v>1150</v>
      </c>
      <c r="C1138" s="2" t="s">
        <v>300</v>
      </c>
      <c r="D1138" s="2" t="s">
        <v>1316</v>
      </c>
      <c r="E1138" s="2" t="s">
        <v>1317</v>
      </c>
      <c r="F1138" s="2" t="s">
        <v>6011</v>
      </c>
      <c r="G1138" s="2" t="s">
        <v>6012</v>
      </c>
      <c r="H1138" s="2" t="s">
        <v>6013</v>
      </c>
      <c r="I1138" s="2" t="s">
        <v>6014</v>
      </c>
      <c r="J1138" s="2" t="s">
        <v>1043</v>
      </c>
      <c r="K1138" s="2" t="s">
        <v>2303</v>
      </c>
      <c r="L1138" s="3">
        <v>41.14</v>
      </c>
      <c r="M1138" s="3">
        <v>43.2</v>
      </c>
      <c r="N1138" s="3">
        <v>89.99</v>
      </c>
      <c r="O1138" s="2" t="s">
        <v>240</v>
      </c>
      <c r="P1138" s="2" t="s">
        <v>333</v>
      </c>
      <c r="Q1138" s="2" t="s">
        <v>234</v>
      </c>
      <c r="R1138" s="2" t="s">
        <v>228</v>
      </c>
      <c r="S1138" s="2" t="s">
        <v>6020</v>
      </c>
      <c r="T1138" s="2" t="s">
        <v>1414</v>
      </c>
      <c r="U1138" s="2" t="s">
        <v>500</v>
      </c>
      <c r="V1138" s="2" t="s">
        <v>980</v>
      </c>
      <c r="W1138" s="2" t="s">
        <v>269</v>
      </c>
      <c r="X1138" s="2" t="s">
        <v>228</v>
      </c>
      <c r="Y1138" s="2" t="s">
        <v>6021</v>
      </c>
      <c r="Z1138" s="4">
        <v>381</v>
      </c>
      <c r="AA1138" s="4">
        <f>=ROUNDDOWN(76.2,0)</f>
      </c>
      <c r="AB1138" s="5">
        <v>5</v>
      </c>
      <c r="AC1138" s="2" t="s">
        <v>228</v>
      </c>
      <c r="AD1138" s="4"/>
      <c r="AE1138" s="4"/>
      <c r="AF1138" s="6">
        <v>64</v>
      </c>
      <c r="AG1138" s="6"/>
      <c r="AH1138" s="7">
        <v>1</v>
      </c>
      <c r="AI1138" s="4"/>
      <c r="AJ1138" s="4">
        <f>=ROUNDDOWN({0},0)</f>
      </c>
      <c r="AK1138" s="5"/>
      <c r="AL1138" s="2" t="s">
        <v>228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228</v>
      </c>
      <c r="AW1138" s="8" t="s">
        <v>228</v>
      </c>
      <c r="AX1138" s="4" t="s">
        <v>228</v>
      </c>
      <c r="AY1138" s="8" t="s">
        <v>228</v>
      </c>
      <c r="AZ1138" s="7" t="s">
        <v>228</v>
      </c>
      <c r="BA1138" s="7" t="s">
        <v>228</v>
      </c>
      <c r="BB1138" s="7"/>
      <c r="BC1138" s="4" t="s">
        <v>228</v>
      </c>
      <c r="BD1138" s="8" t="s">
        <v>228</v>
      </c>
      <c r="BE1138" s="4" t="s">
        <v>228</v>
      </c>
      <c r="BF1138" s="8" t="s">
        <v>228</v>
      </c>
      <c r="BG1138" s="7" t="s">
        <v>228</v>
      </c>
      <c r="BH1138" s="7" t="s">
        <v>228</v>
      </c>
      <c r="BI1138" s="7"/>
      <c r="BJ1138" s="4">
        <v>4</v>
      </c>
      <c r="BK1138" s="8">
        <v>181.02</v>
      </c>
      <c r="BL1138" s="2" t="s">
        <v>914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6024</v>
      </c>
      <c r="BV1138" s="2" t="s">
        <v>228</v>
      </c>
      <c r="BW1138" s="2" t="s">
        <v>228</v>
      </c>
      <c r="BX1138" s="2" t="s">
        <v>337</v>
      </c>
      <c r="BY1138" s="2" t="s">
        <v>274</v>
      </c>
      <c r="BZ1138" s="2" t="s">
        <v>240</v>
      </c>
      <c r="CA1138" s="2" t="s">
        <v>1001</v>
      </c>
      <c r="CB1138" s="2" t="s">
        <v>228</v>
      </c>
      <c r="CC1138" s="2" t="s">
        <v>241</v>
      </c>
      <c r="CD1138" s="2" t="s">
        <v>228</v>
      </c>
      <c r="CE1138" s="4">
        <v>381</v>
      </c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/>
      <c r="GH1138" s="4"/>
      <c r="GI1138" s="4"/>
      <c r="GJ1138" s="4"/>
      <c r="GK1138" s="4"/>
      <c r="GL1138" s="4"/>
      <c r="GM1138" s="4"/>
      <c r="GN1138" s="4"/>
      <c r="GO1138" s="4"/>
      <c r="GP1138" s="4"/>
      <c r="GQ1138" s="4"/>
      <c r="GR1138" s="4"/>
      <c r="GS1138" s="4"/>
      <c r="GT1138" s="4"/>
      <c r="GU1138" s="4"/>
      <c r="GV1138" s="4"/>
      <c r="GW1138" s="4"/>
      <c r="GX1138" s="4"/>
      <c r="GY1138" s="4"/>
      <c r="GZ1138" s="4"/>
      <c r="HA1138" s="4"/>
      <c r="HB1138" s="4"/>
      <c r="HC1138" s="4"/>
      <c r="HD1138" s="4"/>
      <c r="HE1138" s="4"/>
    </row>
    <row r="1139">
      <c r="A1139" s="2" t="s">
        <v>6025</v>
      </c>
      <c r="B1139" s="2" t="s">
        <v>970</v>
      </c>
      <c r="C1139" s="2" t="s">
        <v>300</v>
      </c>
      <c r="D1139" s="2" t="s">
        <v>971</v>
      </c>
      <c r="E1139" s="2" t="s">
        <v>1084</v>
      </c>
      <c r="F1139" s="2" t="s">
        <v>6026</v>
      </c>
      <c r="G1139" s="2" t="s">
        <v>6027</v>
      </c>
      <c r="H1139" s="2" t="s">
        <v>6028</v>
      </c>
      <c r="I1139" s="2" t="s">
        <v>6029</v>
      </c>
      <c r="J1139" s="2" t="s">
        <v>6030</v>
      </c>
      <c r="K1139" s="2" t="s">
        <v>1105</v>
      </c>
      <c r="L1139" s="3">
        <v>20.25</v>
      </c>
      <c r="M1139" s="3">
        <v>21.26</v>
      </c>
      <c r="N1139" s="3">
        <v>44.99</v>
      </c>
      <c r="O1139" s="2" t="s">
        <v>240</v>
      </c>
      <c r="P1139" s="2" t="s">
        <v>715</v>
      </c>
      <c r="Q1139" s="2" t="s">
        <v>234</v>
      </c>
      <c r="R1139" s="2" t="s">
        <v>228</v>
      </c>
      <c r="S1139" s="2" t="s">
        <v>6031</v>
      </c>
      <c r="T1139" s="2" t="s">
        <v>228</v>
      </c>
      <c r="U1139" s="2" t="s">
        <v>228</v>
      </c>
      <c r="V1139" s="2" t="s">
        <v>236</v>
      </c>
      <c r="W1139" s="2" t="s">
        <v>417</v>
      </c>
      <c r="X1139" s="2" t="s">
        <v>1940</v>
      </c>
      <c r="Y1139" s="2" t="s">
        <v>6032</v>
      </c>
      <c r="Z1139" s="4">
        <v>169</v>
      </c>
      <c r="AA1139" s="4">
        <f>=ROUNDDOWN(24.1428571428571,0)</f>
      </c>
      <c r="AB1139" s="5">
        <v>7</v>
      </c>
      <c r="AC1139" s="2" t="s">
        <v>166</v>
      </c>
      <c r="AD1139" s="4">
        <v>100</v>
      </c>
      <c r="AE1139" s="4">
        <v>100</v>
      </c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228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/>
      <c r="AW1139" s="8"/>
      <c r="AX1139" s="4"/>
      <c r="AY1139" s="8"/>
      <c r="AZ1139" s="7"/>
      <c r="BA1139" s="7"/>
      <c r="BB1139" s="7"/>
      <c r="BC1139" s="4" t="s">
        <v>228</v>
      </c>
      <c r="BD1139" s="8" t="s">
        <v>228</v>
      </c>
      <c r="BE1139" s="4" t="s">
        <v>228</v>
      </c>
      <c r="BF1139" s="8" t="s">
        <v>228</v>
      </c>
      <c r="BG1139" s="7" t="s">
        <v>228</v>
      </c>
      <c r="BH1139" s="7" t="s">
        <v>228</v>
      </c>
      <c r="BI1139" s="7"/>
      <c r="BJ1139" s="4">
        <v>28</v>
      </c>
      <c r="BK1139" s="8">
        <v>817.66</v>
      </c>
      <c r="BL1139" s="2" t="s">
        <v>6033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6034</v>
      </c>
      <c r="BV1139" s="2" t="s">
        <v>228</v>
      </c>
      <c r="BW1139" s="2" t="s">
        <v>228</v>
      </c>
      <c r="BX1139" s="2" t="s">
        <v>273</v>
      </c>
      <c r="BY1139" s="2" t="s">
        <v>274</v>
      </c>
      <c r="BZ1139" s="2" t="s">
        <v>240</v>
      </c>
      <c r="CA1139" s="2" t="s">
        <v>6035</v>
      </c>
      <c r="CB1139" s="2" t="s">
        <v>6036</v>
      </c>
      <c r="CC1139" s="2" t="s">
        <v>241</v>
      </c>
      <c r="CD1139" s="2" t="s">
        <v>228</v>
      </c>
      <c r="CE1139" s="4">
        <v>169</v>
      </c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>
        <v>100</v>
      </c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GZ1139" s="4"/>
      <c r="HA1139" s="4"/>
      <c r="HB1139" s="4"/>
      <c r="HC1139" s="4"/>
      <c r="HD1139" s="4"/>
      <c r="HE1139" s="4"/>
    </row>
    <row r="1140">
      <c r="A1140" s="2" t="s">
        <v>6037</v>
      </c>
      <c r="B1140" s="2" t="s">
        <v>970</v>
      </c>
      <c r="C1140" s="2" t="s">
        <v>300</v>
      </c>
      <c r="D1140" s="2" t="s">
        <v>971</v>
      </c>
      <c r="E1140" s="2" t="s">
        <v>1084</v>
      </c>
      <c r="F1140" s="2" t="s">
        <v>6026</v>
      </c>
      <c r="G1140" s="2" t="s">
        <v>6027</v>
      </c>
      <c r="H1140" s="2" t="s">
        <v>6028</v>
      </c>
      <c r="I1140" s="2" t="s">
        <v>6029</v>
      </c>
      <c r="J1140" s="2" t="s">
        <v>1137</v>
      </c>
      <c r="K1140" s="2" t="s">
        <v>249</v>
      </c>
      <c r="L1140" s="3">
        <v>17.6</v>
      </c>
      <c r="M1140" s="3">
        <v>18.48</v>
      </c>
      <c r="N1140" s="3">
        <v>39.99</v>
      </c>
      <c r="O1140" s="2" t="s">
        <v>240</v>
      </c>
      <c r="P1140" s="2" t="s">
        <v>266</v>
      </c>
      <c r="Q1140" s="2" t="s">
        <v>234</v>
      </c>
      <c r="R1140" s="2" t="s">
        <v>228</v>
      </c>
      <c r="S1140" s="2" t="s">
        <v>6038</v>
      </c>
      <c r="T1140" s="2" t="s">
        <v>228</v>
      </c>
      <c r="U1140" s="2" t="s">
        <v>228</v>
      </c>
      <c r="V1140" s="2" t="s">
        <v>236</v>
      </c>
      <c r="W1140" s="2" t="s">
        <v>417</v>
      </c>
      <c r="X1140" s="2" t="s">
        <v>1940</v>
      </c>
      <c r="Y1140" s="2" t="s">
        <v>6032</v>
      </c>
      <c r="Z1140" s="4">
        <v>144</v>
      </c>
      <c r="AA1140" s="4">
        <f>=ROUNDDOWN(20.5714285714286,0)</f>
      </c>
      <c r="AB1140" s="5">
        <v>7</v>
      </c>
      <c r="AC1140" s="2" t="s">
        <v>162</v>
      </c>
      <c r="AD1140" s="4">
        <v>40</v>
      </c>
      <c r="AE1140" s="4">
        <v>100</v>
      </c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228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/>
      <c r="AW1140" s="8"/>
      <c r="AX1140" s="4"/>
      <c r="AY1140" s="8"/>
      <c r="AZ1140" s="7"/>
      <c r="BA1140" s="7"/>
      <c r="BB1140" s="7"/>
      <c r="BC1140" s="4" t="s">
        <v>228</v>
      </c>
      <c r="BD1140" s="8" t="s">
        <v>228</v>
      </c>
      <c r="BE1140" s="4" t="s">
        <v>228</v>
      </c>
      <c r="BF1140" s="8" t="s">
        <v>228</v>
      </c>
      <c r="BG1140" s="7" t="s">
        <v>228</v>
      </c>
      <c r="BH1140" s="7" t="s">
        <v>228</v>
      </c>
      <c r="BI1140" s="7"/>
      <c r="BJ1140" s="4">
        <v>24</v>
      </c>
      <c r="BK1140" s="8">
        <v>569.06</v>
      </c>
      <c r="BL1140" s="2" t="s">
        <v>6039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6040</v>
      </c>
      <c r="BV1140" s="2" t="s">
        <v>228</v>
      </c>
      <c r="BW1140" s="2" t="s">
        <v>228</v>
      </c>
      <c r="BX1140" s="2" t="s">
        <v>273</v>
      </c>
      <c r="BY1140" s="2" t="s">
        <v>274</v>
      </c>
      <c r="BZ1140" s="2" t="s">
        <v>240</v>
      </c>
      <c r="CA1140" s="2" t="s">
        <v>6035</v>
      </c>
      <c r="CB1140" s="2" t="s">
        <v>6041</v>
      </c>
      <c r="CC1140" s="2" t="s">
        <v>241</v>
      </c>
      <c r="CD1140" s="2" t="s">
        <v>228</v>
      </c>
      <c r="CE1140" s="4">
        <v>144</v>
      </c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>
        <v>40</v>
      </c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/>
      <c r="GH1140" s="4"/>
      <c r="GI1140" s="4"/>
      <c r="GJ1140" s="4"/>
      <c r="GK1140" s="4"/>
      <c r="GL1140" s="4"/>
      <c r="GM1140" s="4"/>
      <c r="GN1140" s="4"/>
      <c r="GO1140" s="4"/>
      <c r="GP1140" s="4"/>
      <c r="GQ1140" s="4"/>
      <c r="GR1140" s="4"/>
      <c r="GS1140" s="4"/>
      <c r="GT1140" s="4"/>
      <c r="GU1140" s="4"/>
      <c r="GV1140" s="4"/>
      <c r="GW1140" s="4"/>
      <c r="GX1140" s="4"/>
      <c r="GY1140" s="4"/>
      <c r="GZ1140" s="4">
        <v>60</v>
      </c>
      <c r="HA1140" s="4"/>
      <c r="HB1140" s="4"/>
      <c r="HC1140" s="4"/>
      <c r="HD1140" s="4"/>
      <c r="HE1140" s="4"/>
    </row>
    <row r="1141">
      <c r="A1141" s="2" t="s">
        <v>6042</v>
      </c>
      <c r="B1141" s="2" t="s">
        <v>1150</v>
      </c>
      <c r="C1141" s="2" t="s">
        <v>1667</v>
      </c>
      <c r="D1141" s="2" t="s">
        <v>1112</v>
      </c>
      <c r="E1141" s="2" t="s">
        <v>1113</v>
      </c>
      <c r="F1141" s="2" t="s">
        <v>6026</v>
      </c>
      <c r="G1141" s="2" t="s">
        <v>6026</v>
      </c>
      <c r="H1141" s="2" t="s">
        <v>6026</v>
      </c>
      <c r="I1141" s="2" t="s">
        <v>6043</v>
      </c>
      <c r="J1141" s="2" t="s">
        <v>1189</v>
      </c>
      <c r="K1141" s="2" t="s">
        <v>1357</v>
      </c>
      <c r="L1141" s="3">
        <v>102.14</v>
      </c>
      <c r="M1141" s="3">
        <v>107.25</v>
      </c>
      <c r="N1141" s="3">
        <v>299.99</v>
      </c>
      <c r="O1141" s="2" t="s">
        <v>240</v>
      </c>
      <c r="P1141" s="2" t="s">
        <v>233</v>
      </c>
      <c r="Q1141" s="2" t="s">
        <v>234</v>
      </c>
      <c r="R1141" s="2" t="s">
        <v>228</v>
      </c>
      <c r="S1141" s="2" t="s">
        <v>6044</v>
      </c>
      <c r="T1141" s="2" t="s">
        <v>350</v>
      </c>
      <c r="U1141" s="2" t="s">
        <v>500</v>
      </c>
      <c r="V1141" s="2" t="s">
        <v>980</v>
      </c>
      <c r="W1141" s="2" t="s">
        <v>417</v>
      </c>
      <c r="X1141" s="2" t="s">
        <v>269</v>
      </c>
      <c r="Y1141" s="2" t="s">
        <v>6045</v>
      </c>
      <c r="Z1141" s="4"/>
      <c r="AA1141" s="4">
        <f>=ROUNDDOWN({0},0)</f>
      </c>
      <c r="AB1141" s="5"/>
      <c r="AC1141" s="2" t="s">
        <v>916</v>
      </c>
      <c r="AD1141" s="4">
        <v>130</v>
      </c>
      <c r="AE1141" s="4">
        <v>269</v>
      </c>
      <c r="AF1141" s="6">
        <v>69</v>
      </c>
      <c r="AG1141" s="6"/>
      <c r="AH1141" s="7"/>
      <c r="AI1141" s="4"/>
      <c r="AJ1141" s="4">
        <f>=ROUNDDOWN({0},0)</f>
      </c>
      <c r="AK1141" s="5"/>
      <c r="AL1141" s="2" t="s">
        <v>228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228</v>
      </c>
      <c r="AW1141" s="8" t="s">
        <v>228</v>
      </c>
      <c r="AX1141" s="4" t="s">
        <v>228</v>
      </c>
      <c r="AY1141" s="8" t="s">
        <v>228</v>
      </c>
      <c r="AZ1141" s="7" t="s">
        <v>228</v>
      </c>
      <c r="BA1141" s="7" t="s">
        <v>228</v>
      </c>
      <c r="BB1141" s="7"/>
      <c r="BC1141" s="4" t="s">
        <v>228</v>
      </c>
      <c r="BD1141" s="8" t="s">
        <v>228</v>
      </c>
      <c r="BE1141" s="4" t="s">
        <v>228</v>
      </c>
      <c r="BF1141" s="8" t="s">
        <v>228</v>
      </c>
      <c r="BG1141" s="7" t="s">
        <v>228</v>
      </c>
      <c r="BH1141" s="7" t="s">
        <v>228</v>
      </c>
      <c r="BI1141" s="7"/>
      <c r="BJ1141" s="4"/>
      <c r="BK1141" s="8"/>
      <c r="BL1141" s="2" t="s">
        <v>228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238</v>
      </c>
      <c r="BV1141" s="2" t="s">
        <v>228</v>
      </c>
      <c r="BW1141" s="2" t="s">
        <v>228</v>
      </c>
      <c r="BX1141" s="2" t="s">
        <v>238</v>
      </c>
      <c r="BY1141" s="2" t="s">
        <v>1673</v>
      </c>
      <c r="BZ1141" s="2" t="s">
        <v>240</v>
      </c>
      <c r="CA1141" s="2" t="s">
        <v>228</v>
      </c>
      <c r="CB1141" s="2" t="s">
        <v>228</v>
      </c>
      <c r="CC1141" s="2" t="s">
        <v>241</v>
      </c>
      <c r="CD1141" s="2" t="s">
        <v>228</v>
      </c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>
        <v>130</v>
      </c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>
        <v>139</v>
      </c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GZ1141" s="4"/>
      <c r="HA1141" s="4"/>
      <c r="HB1141" s="4"/>
      <c r="HC1141" s="4"/>
      <c r="HD1141" s="4"/>
      <c r="HE1141" s="4"/>
    </row>
    <row r="1142">
      <c r="A1142" s="2" t="s">
        <v>6046</v>
      </c>
      <c r="B1142" s="2" t="s">
        <v>1150</v>
      </c>
      <c r="C1142" s="2" t="s">
        <v>1667</v>
      </c>
      <c r="D1142" s="2" t="s">
        <v>1112</v>
      </c>
      <c r="E1142" s="2" t="s">
        <v>1113</v>
      </c>
      <c r="F1142" s="2" t="s">
        <v>6026</v>
      </c>
      <c r="G1142" s="2" t="s">
        <v>6026</v>
      </c>
      <c r="H1142" s="2" t="s">
        <v>6026</v>
      </c>
      <c r="I1142" s="2" t="s">
        <v>6043</v>
      </c>
      <c r="J1142" s="2" t="s">
        <v>1043</v>
      </c>
      <c r="K1142" s="2" t="s">
        <v>1357</v>
      </c>
      <c r="L1142" s="3">
        <v>119.16</v>
      </c>
      <c r="M1142" s="3">
        <v>125.12</v>
      </c>
      <c r="N1142" s="3">
        <v>349.99</v>
      </c>
      <c r="O1142" s="2" t="s">
        <v>240</v>
      </c>
      <c r="P1142" s="2" t="s">
        <v>233</v>
      </c>
      <c r="Q1142" s="2" t="s">
        <v>234</v>
      </c>
      <c r="R1142" s="2" t="s">
        <v>228</v>
      </c>
      <c r="S1142" s="2" t="s">
        <v>6044</v>
      </c>
      <c r="T1142" s="2" t="s">
        <v>350</v>
      </c>
      <c r="U1142" s="2" t="s">
        <v>500</v>
      </c>
      <c r="V1142" s="2" t="s">
        <v>980</v>
      </c>
      <c r="W1142" s="2" t="s">
        <v>463</v>
      </c>
      <c r="X1142" s="2" t="s">
        <v>269</v>
      </c>
      <c r="Y1142" s="2" t="s">
        <v>6045</v>
      </c>
      <c r="Z1142" s="4"/>
      <c r="AA1142" s="4">
        <f>=ROUNDDOWN({0},0)</f>
      </c>
      <c r="AB1142" s="5"/>
      <c r="AC1142" s="2" t="s">
        <v>916</v>
      </c>
      <c r="AD1142" s="4">
        <v>120</v>
      </c>
      <c r="AE1142" s="4">
        <v>246</v>
      </c>
      <c r="AF1142" s="6">
        <v>69</v>
      </c>
      <c r="AG1142" s="6"/>
      <c r="AH1142" s="7"/>
      <c r="AI1142" s="4"/>
      <c r="AJ1142" s="4">
        <f>=ROUNDDOWN({0},0)</f>
      </c>
      <c r="AK1142" s="5"/>
      <c r="AL1142" s="2" t="s">
        <v>228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228</v>
      </c>
      <c r="AW1142" s="8" t="s">
        <v>228</v>
      </c>
      <c r="AX1142" s="4" t="s">
        <v>228</v>
      </c>
      <c r="AY1142" s="8" t="s">
        <v>228</v>
      </c>
      <c r="AZ1142" s="7" t="s">
        <v>228</v>
      </c>
      <c r="BA1142" s="7" t="s">
        <v>228</v>
      </c>
      <c r="BB1142" s="7"/>
      <c r="BC1142" s="4" t="s">
        <v>228</v>
      </c>
      <c r="BD1142" s="8" t="s">
        <v>228</v>
      </c>
      <c r="BE1142" s="4" t="s">
        <v>228</v>
      </c>
      <c r="BF1142" s="8" t="s">
        <v>228</v>
      </c>
      <c r="BG1142" s="7" t="s">
        <v>228</v>
      </c>
      <c r="BH1142" s="7" t="s">
        <v>228</v>
      </c>
      <c r="BI1142" s="7"/>
      <c r="BJ1142" s="4"/>
      <c r="BK1142" s="8"/>
      <c r="BL1142" s="2" t="s">
        <v>228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238</v>
      </c>
      <c r="BV1142" s="2" t="s">
        <v>228</v>
      </c>
      <c r="BW1142" s="2" t="s">
        <v>228</v>
      </c>
      <c r="BX1142" s="2" t="s">
        <v>238</v>
      </c>
      <c r="BY1142" s="2" t="s">
        <v>1673</v>
      </c>
      <c r="BZ1142" s="2" t="s">
        <v>240</v>
      </c>
      <c r="CA1142" s="2" t="s">
        <v>228</v>
      </c>
      <c r="CB1142" s="2" t="s">
        <v>228</v>
      </c>
      <c r="CC1142" s="2" t="s">
        <v>241</v>
      </c>
      <c r="CD1142" s="2" t="s">
        <v>228</v>
      </c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>
        <v>120</v>
      </c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>
        <v>126</v>
      </c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/>
      <c r="GE1142" s="4"/>
      <c r="GF1142" s="4"/>
      <c r="GG1142" s="4"/>
      <c r="GH1142" s="4"/>
      <c r="GI1142" s="4"/>
      <c r="GJ1142" s="4"/>
      <c r="GK1142" s="4"/>
      <c r="GL1142" s="4"/>
      <c r="GM1142" s="4"/>
      <c r="GN1142" s="4"/>
      <c r="GO1142" s="4"/>
      <c r="GP1142" s="4"/>
      <c r="GQ1142" s="4"/>
      <c r="GR1142" s="4"/>
      <c r="GS1142" s="4"/>
      <c r="GT1142" s="4"/>
      <c r="GU1142" s="4"/>
      <c r="GV1142" s="4"/>
      <c r="GW1142" s="4"/>
      <c r="GX1142" s="4"/>
      <c r="GY1142" s="4"/>
      <c r="GZ1142" s="4"/>
      <c r="HA1142" s="4"/>
      <c r="HB1142" s="4"/>
      <c r="HC1142" s="4"/>
      <c r="HD1142" s="4"/>
      <c r="HE1142" s="4"/>
    </row>
    <row r="1143">
      <c r="A1143" s="2" t="s">
        <v>6047</v>
      </c>
      <c r="B1143" s="2" t="s">
        <v>970</v>
      </c>
      <c r="C1143" s="2" t="s">
        <v>300</v>
      </c>
      <c r="D1143" s="2" t="s">
        <v>971</v>
      </c>
      <c r="E1143" s="2" t="s">
        <v>1084</v>
      </c>
      <c r="F1143" s="2" t="s">
        <v>6026</v>
      </c>
      <c r="G1143" s="2" t="s">
        <v>6027</v>
      </c>
      <c r="H1143" s="2" t="s">
        <v>6028</v>
      </c>
      <c r="I1143" s="2" t="s">
        <v>6029</v>
      </c>
      <c r="J1143" s="2" t="s">
        <v>6030</v>
      </c>
      <c r="K1143" s="2" t="s">
        <v>829</v>
      </c>
      <c r="L1143" s="3">
        <v>20.25</v>
      </c>
      <c r="M1143" s="3">
        <v>21.26</v>
      </c>
      <c r="N1143" s="3">
        <v>44.99</v>
      </c>
      <c r="O1143" s="2" t="s">
        <v>240</v>
      </c>
      <c r="P1143" s="2" t="s">
        <v>266</v>
      </c>
      <c r="Q1143" s="2" t="s">
        <v>234</v>
      </c>
      <c r="R1143" s="2" t="s">
        <v>228</v>
      </c>
      <c r="S1143" s="2" t="s">
        <v>6048</v>
      </c>
      <c r="T1143" s="2" t="s">
        <v>228</v>
      </c>
      <c r="U1143" s="2" t="s">
        <v>228</v>
      </c>
      <c r="V1143" s="2" t="s">
        <v>236</v>
      </c>
      <c r="W1143" s="2" t="s">
        <v>417</v>
      </c>
      <c r="X1143" s="2" t="s">
        <v>1940</v>
      </c>
      <c r="Y1143" s="2" t="s">
        <v>6032</v>
      </c>
      <c r="Z1143" s="4">
        <v>62</v>
      </c>
      <c r="AA1143" s="4">
        <f>=ROUNDDOWN(7.75,0)</f>
      </c>
      <c r="AB1143" s="5">
        <v>8</v>
      </c>
      <c r="AC1143" s="2" t="s">
        <v>1492</v>
      </c>
      <c r="AD1143" s="4">
        <v>216</v>
      </c>
      <c r="AE1143" s="4">
        <v>316</v>
      </c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228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228</v>
      </c>
      <c r="AW1143" s="8" t="s">
        <v>228</v>
      </c>
      <c r="AX1143" s="4" t="s">
        <v>228</v>
      </c>
      <c r="AY1143" s="8" t="s">
        <v>228</v>
      </c>
      <c r="AZ1143" s="7" t="s">
        <v>228</v>
      </c>
      <c r="BA1143" s="7" t="s">
        <v>228</v>
      </c>
      <c r="BB1143" s="7"/>
      <c r="BC1143" s="4" t="s">
        <v>228</v>
      </c>
      <c r="BD1143" s="8" t="s">
        <v>228</v>
      </c>
      <c r="BE1143" s="4" t="s">
        <v>228</v>
      </c>
      <c r="BF1143" s="8" t="s">
        <v>228</v>
      </c>
      <c r="BG1143" s="7" t="s">
        <v>228</v>
      </c>
      <c r="BH1143" s="7" t="s">
        <v>228</v>
      </c>
      <c r="BI1143" s="7"/>
      <c r="BJ1143" s="4">
        <v>18</v>
      </c>
      <c r="BK1143" s="8">
        <v>390.12</v>
      </c>
      <c r="BL1143" s="2" t="s">
        <v>6049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6050</v>
      </c>
      <c r="BV1143" s="2" t="s">
        <v>228</v>
      </c>
      <c r="BW1143" s="2" t="s">
        <v>228</v>
      </c>
      <c r="BX1143" s="2" t="s">
        <v>273</v>
      </c>
      <c r="BY1143" s="2" t="s">
        <v>274</v>
      </c>
      <c r="BZ1143" s="2" t="s">
        <v>240</v>
      </c>
      <c r="CA1143" s="2" t="s">
        <v>6035</v>
      </c>
      <c r="CB1143" s="2" t="s">
        <v>4362</v>
      </c>
      <c r="CC1143" s="2" t="s">
        <v>241</v>
      </c>
      <c r="CD1143" s="2" t="s">
        <v>228</v>
      </c>
      <c r="CE1143" s="4">
        <v>62</v>
      </c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>
        <v>216</v>
      </c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GX1143" s="4"/>
      <c r="GY1143" s="4"/>
      <c r="GZ1143" s="4"/>
      <c r="HA1143" s="4"/>
      <c r="HB1143" s="4"/>
      <c r="HC1143" s="4"/>
      <c r="HD1143" s="4"/>
      <c r="HE1143" s="4">
        <v>100</v>
      </c>
    </row>
    <row r="1144">
      <c r="A1144" s="2" t="s">
        <v>6051</v>
      </c>
      <c r="B1144" s="2" t="s">
        <v>970</v>
      </c>
      <c r="C1144" s="2" t="s">
        <v>300</v>
      </c>
      <c r="D1144" s="2" t="s">
        <v>971</v>
      </c>
      <c r="E1144" s="2" t="s">
        <v>6052</v>
      </c>
      <c r="F1144" s="2" t="s">
        <v>6026</v>
      </c>
      <c r="G1144" s="2" t="s">
        <v>6027</v>
      </c>
      <c r="H1144" s="2" t="s">
        <v>6028</v>
      </c>
      <c r="I1144" s="2" t="s">
        <v>6053</v>
      </c>
      <c r="J1144" s="2" t="s">
        <v>6054</v>
      </c>
      <c r="K1144" s="2" t="s">
        <v>829</v>
      </c>
      <c r="L1144" s="3">
        <v>15.05</v>
      </c>
      <c r="M1144" s="3">
        <v>15.8</v>
      </c>
      <c r="N1144" s="3">
        <v>34.99</v>
      </c>
      <c r="O1144" s="2" t="s">
        <v>240</v>
      </c>
      <c r="P1144" s="2" t="s">
        <v>266</v>
      </c>
      <c r="Q1144" s="2" t="s">
        <v>234</v>
      </c>
      <c r="R1144" s="2" t="s">
        <v>228</v>
      </c>
      <c r="S1144" s="2" t="s">
        <v>6048</v>
      </c>
      <c r="T1144" s="2" t="s">
        <v>228</v>
      </c>
      <c r="U1144" s="2" t="s">
        <v>228</v>
      </c>
      <c r="V1144" s="2" t="s">
        <v>236</v>
      </c>
      <c r="W1144" s="2" t="s">
        <v>417</v>
      </c>
      <c r="X1144" s="2" t="s">
        <v>228</v>
      </c>
      <c r="Y1144" s="2" t="s">
        <v>6032</v>
      </c>
      <c r="Z1144" s="4">
        <v>479</v>
      </c>
      <c r="AA1144" s="4">
        <f>=ROUNDDOWN(26.6111111111111,0)</f>
      </c>
      <c r="AB1144" s="5">
        <v>18</v>
      </c>
      <c r="AC1144" s="2" t="s">
        <v>1492</v>
      </c>
      <c r="AD1144" s="4">
        <v>120</v>
      </c>
      <c r="AE1144" s="4">
        <v>180</v>
      </c>
      <c r="AF1144" s="6">
        <v>65</v>
      </c>
      <c r="AG1144" s="6"/>
      <c r="AH1144" s="7">
        <v>1</v>
      </c>
      <c r="AI1144" s="4"/>
      <c r="AJ1144" s="4">
        <f>=ROUNDDOWN({0},0)</f>
      </c>
      <c r="AK1144" s="5"/>
      <c r="AL1144" s="2" t="s">
        <v>228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228</v>
      </c>
      <c r="AW1144" s="8" t="s">
        <v>228</v>
      </c>
      <c r="AX1144" s="4" t="s">
        <v>228</v>
      </c>
      <c r="AY1144" s="8" t="s">
        <v>228</v>
      </c>
      <c r="AZ1144" s="7" t="s">
        <v>228</v>
      </c>
      <c r="BA1144" s="7" t="s">
        <v>228</v>
      </c>
      <c r="BB1144" s="7"/>
      <c r="BC1144" s="4" t="s">
        <v>228</v>
      </c>
      <c r="BD1144" s="8" t="s">
        <v>228</v>
      </c>
      <c r="BE1144" s="4" t="s">
        <v>228</v>
      </c>
      <c r="BF1144" s="8" t="s">
        <v>228</v>
      </c>
      <c r="BG1144" s="7" t="s">
        <v>228</v>
      </c>
      <c r="BH1144" s="7" t="s">
        <v>228</v>
      </c>
      <c r="BI1144" s="7"/>
      <c r="BJ1144" s="4">
        <v>76</v>
      </c>
      <c r="BK1144" s="8">
        <v>1208.98</v>
      </c>
      <c r="BL1144" s="2" t="s">
        <v>3626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6055</v>
      </c>
      <c r="BV1144" s="2" t="s">
        <v>228</v>
      </c>
      <c r="BW1144" s="2" t="s">
        <v>228</v>
      </c>
      <c r="BX1144" s="2" t="s">
        <v>273</v>
      </c>
      <c r="BY1144" s="2" t="s">
        <v>274</v>
      </c>
      <c r="BZ1144" s="2" t="s">
        <v>240</v>
      </c>
      <c r="CA1144" s="2" t="s">
        <v>6035</v>
      </c>
      <c r="CB1144" s="2" t="s">
        <v>1274</v>
      </c>
      <c r="CC1144" s="2" t="s">
        <v>241</v>
      </c>
      <c r="CD1144" s="2" t="s">
        <v>228</v>
      </c>
      <c r="CE1144" s="4">
        <v>479</v>
      </c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>
        <v>120</v>
      </c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GZ1144" s="4"/>
      <c r="HA1144" s="4"/>
      <c r="HB1144" s="4"/>
      <c r="HC1144" s="4"/>
      <c r="HD1144" s="4"/>
      <c r="HE1144" s="4">
        <v>60</v>
      </c>
    </row>
    <row r="1145">
      <c r="A1145" s="2" t="s">
        <v>6056</v>
      </c>
      <c r="B1145" s="2" t="s">
        <v>970</v>
      </c>
      <c r="C1145" s="2" t="s">
        <v>300</v>
      </c>
      <c r="D1145" s="2" t="s">
        <v>971</v>
      </c>
      <c r="E1145" s="2" t="s">
        <v>1084</v>
      </c>
      <c r="F1145" s="2" t="s">
        <v>6026</v>
      </c>
      <c r="G1145" s="2" t="s">
        <v>6027</v>
      </c>
      <c r="H1145" s="2" t="s">
        <v>6028</v>
      </c>
      <c r="I1145" s="2" t="s">
        <v>6029</v>
      </c>
      <c r="J1145" s="2" t="s">
        <v>6030</v>
      </c>
      <c r="K1145" s="2" t="s">
        <v>316</v>
      </c>
      <c r="L1145" s="3">
        <v>20.25</v>
      </c>
      <c r="M1145" s="3">
        <v>21.26</v>
      </c>
      <c r="N1145" s="3">
        <v>44.99</v>
      </c>
      <c r="O1145" s="2" t="s">
        <v>240</v>
      </c>
      <c r="P1145" s="2" t="s">
        <v>266</v>
      </c>
      <c r="Q1145" s="2" t="s">
        <v>234</v>
      </c>
      <c r="R1145" s="2" t="s">
        <v>228</v>
      </c>
      <c r="S1145" s="2" t="s">
        <v>6057</v>
      </c>
      <c r="T1145" s="2" t="s">
        <v>228</v>
      </c>
      <c r="U1145" s="2" t="s">
        <v>228</v>
      </c>
      <c r="V1145" s="2" t="s">
        <v>236</v>
      </c>
      <c r="W1145" s="2" t="s">
        <v>417</v>
      </c>
      <c r="X1145" s="2" t="s">
        <v>1940</v>
      </c>
      <c r="Y1145" s="2" t="s">
        <v>6032</v>
      </c>
      <c r="Z1145" s="4">
        <v>154</v>
      </c>
      <c r="AA1145" s="4">
        <f>=ROUNDDOWN(22,0)</f>
      </c>
      <c r="AB1145" s="5">
        <v>7</v>
      </c>
      <c r="AC1145" s="2" t="s">
        <v>197</v>
      </c>
      <c r="AD1145" s="4">
        <v>56</v>
      </c>
      <c r="AE1145" s="4">
        <v>56</v>
      </c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228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/>
      <c r="AW1145" s="8"/>
      <c r="AX1145" s="4"/>
      <c r="AY1145" s="8"/>
      <c r="AZ1145" s="7"/>
      <c r="BA1145" s="7"/>
      <c r="BB1145" s="7"/>
      <c r="BC1145" s="4" t="s">
        <v>228</v>
      </c>
      <c r="BD1145" s="8" t="s">
        <v>228</v>
      </c>
      <c r="BE1145" s="4" t="s">
        <v>228</v>
      </c>
      <c r="BF1145" s="8" t="s">
        <v>228</v>
      </c>
      <c r="BG1145" s="7" t="s">
        <v>228</v>
      </c>
      <c r="BH1145" s="7" t="s">
        <v>228</v>
      </c>
      <c r="BI1145" s="7"/>
      <c r="BJ1145" s="4">
        <v>41</v>
      </c>
      <c r="BK1145" s="8">
        <v>882.3</v>
      </c>
      <c r="BL1145" s="2" t="s">
        <v>4440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6058</v>
      </c>
      <c r="BV1145" s="2" t="s">
        <v>228</v>
      </c>
      <c r="BW1145" s="2" t="s">
        <v>228</v>
      </c>
      <c r="BX1145" s="2" t="s">
        <v>273</v>
      </c>
      <c r="BY1145" s="2" t="s">
        <v>274</v>
      </c>
      <c r="BZ1145" s="2" t="s">
        <v>240</v>
      </c>
      <c r="CA1145" s="2" t="s">
        <v>6035</v>
      </c>
      <c r="CB1145" s="2" t="s">
        <v>575</v>
      </c>
      <c r="CC1145" s="2" t="s">
        <v>241</v>
      </c>
      <c r="CD1145" s="2" t="s">
        <v>228</v>
      </c>
      <c r="CE1145" s="4">
        <v>154</v>
      </c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>
        <v>56</v>
      </c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GZ1145" s="4"/>
      <c r="HA1145" s="4"/>
      <c r="HB1145" s="4"/>
      <c r="HC1145" s="4"/>
      <c r="HD1145" s="4"/>
      <c r="HE1145" s="4"/>
    </row>
    <row r="1146">
      <c r="A1146" s="2" t="s">
        <v>6059</v>
      </c>
      <c r="B1146" s="2" t="s">
        <v>958</v>
      </c>
      <c r="C1146" s="2" t="s">
        <v>300</v>
      </c>
      <c r="D1146" s="2" t="s">
        <v>1006</v>
      </c>
      <c r="E1146" s="2" t="s">
        <v>1007</v>
      </c>
      <c r="F1146" s="2" t="s">
        <v>6060</v>
      </c>
      <c r="G1146" s="2" t="s">
        <v>6061</v>
      </c>
      <c r="H1146" s="2" t="s">
        <v>6062</v>
      </c>
      <c r="I1146" s="2" t="s">
        <v>1020</v>
      </c>
      <c r="J1146" s="2" t="s">
        <v>840</v>
      </c>
      <c r="K1146" s="2" t="s">
        <v>1105</v>
      </c>
      <c r="L1146" s="3">
        <v>443.16</v>
      </c>
      <c r="M1146" s="3">
        <v>465.32</v>
      </c>
      <c r="N1146" s="3">
        <v>939</v>
      </c>
      <c r="O1146" s="2" t="s">
        <v>240</v>
      </c>
      <c r="P1146" s="2" t="s">
        <v>1022</v>
      </c>
      <c r="Q1146" s="2" t="s">
        <v>234</v>
      </c>
      <c r="R1146" s="2" t="s">
        <v>16</v>
      </c>
      <c r="S1146" s="2" t="s">
        <v>6063</v>
      </c>
      <c r="T1146" s="2" t="s">
        <v>228</v>
      </c>
      <c r="U1146" s="2" t="s">
        <v>520</v>
      </c>
      <c r="V1146" s="2" t="s">
        <v>236</v>
      </c>
      <c r="W1146" s="2" t="s">
        <v>463</v>
      </c>
      <c r="X1146" s="2" t="s">
        <v>228</v>
      </c>
      <c r="Y1146" s="2" t="s">
        <v>6064</v>
      </c>
      <c r="Z1146" s="4">
        <v>37</v>
      </c>
      <c r="AA1146" s="4">
        <f>=ROUNDDOWN({0},0)</f>
      </c>
      <c r="AB1146" s="5"/>
      <c r="AC1146" s="2" t="s">
        <v>228</v>
      </c>
      <c r="AD1146" s="4"/>
      <c r="AE1146" s="4"/>
      <c r="AF1146" s="6"/>
      <c r="AG1146" s="6"/>
      <c r="AH1146" s="7">
        <v>1</v>
      </c>
      <c r="AI1146" s="4"/>
      <c r="AJ1146" s="4">
        <f>=ROUNDDOWN({0},0)</f>
      </c>
      <c r="AK1146" s="5"/>
      <c r="AL1146" s="2" t="s">
        <v>228</v>
      </c>
      <c r="AM1146" s="4"/>
      <c r="AN1146" s="4"/>
      <c r="AO1146" s="7">
        <v>0.5484</v>
      </c>
      <c r="AP1146" s="4"/>
      <c r="AQ1146" s="8"/>
      <c r="AR1146" s="4"/>
      <c r="AS1146" s="8"/>
      <c r="AT1146" s="7"/>
      <c r="AU1146" s="7"/>
      <c r="AV1146" s="4"/>
      <c r="AW1146" s="8"/>
      <c r="AX1146" s="4"/>
      <c r="AY1146" s="8"/>
      <c r="AZ1146" s="7"/>
      <c r="BA1146" s="7"/>
      <c r="BB1146" s="7"/>
      <c r="BC1146" s="4"/>
      <c r="BD1146" s="8"/>
      <c r="BE1146" s="4"/>
      <c r="BF1146" s="8"/>
      <c r="BG1146" s="7"/>
      <c r="BH1146" s="7"/>
      <c r="BI1146" s="7"/>
      <c r="BJ1146" s="4"/>
      <c r="BK1146" s="8"/>
      <c r="BL1146" s="2" t="s">
        <v>228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6065</v>
      </c>
      <c r="BV1146" s="2" t="s">
        <v>228</v>
      </c>
      <c r="BW1146" s="2" t="s">
        <v>228</v>
      </c>
      <c r="BX1146" s="2" t="s">
        <v>273</v>
      </c>
      <c r="BY1146" s="2" t="s">
        <v>274</v>
      </c>
      <c r="BZ1146" s="2" t="s">
        <v>240</v>
      </c>
      <c r="CA1146" s="2" t="s">
        <v>1026</v>
      </c>
      <c r="CB1146" s="2" t="s">
        <v>228</v>
      </c>
      <c r="CC1146" s="2" t="s">
        <v>241</v>
      </c>
      <c r="CD1146" s="2" t="s">
        <v>228</v>
      </c>
      <c r="CE1146" s="4"/>
      <c r="CF1146" s="4">
        <v>37</v>
      </c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/>
      <c r="HA1146" s="4"/>
      <c r="HB1146" s="4"/>
      <c r="HC1146" s="4"/>
      <c r="HD1146" s="4"/>
      <c r="HE1146" s="4"/>
    </row>
    <row r="1147">
      <c r="A1147" s="2" t="s">
        <v>6066</v>
      </c>
      <c r="B1147" s="2" t="s">
        <v>223</v>
      </c>
      <c r="C1147" s="2" t="s">
        <v>300</v>
      </c>
      <c r="D1147" s="2" t="s">
        <v>1601</v>
      </c>
      <c r="E1147" s="2" t="s">
        <v>2421</v>
      </c>
      <c r="F1147" s="2" t="s">
        <v>6067</v>
      </c>
      <c r="G1147" s="2" t="s">
        <v>6068</v>
      </c>
      <c r="H1147" s="2" t="s">
        <v>6068</v>
      </c>
      <c r="I1147" s="2" t="s">
        <v>6069</v>
      </c>
      <c r="J1147" s="2" t="s">
        <v>1412</v>
      </c>
      <c r="K1147" s="2" t="s">
        <v>1421</v>
      </c>
      <c r="L1147" s="3">
        <v>15.85</v>
      </c>
      <c r="M1147" s="3">
        <v>16.64</v>
      </c>
      <c r="N1147" s="3">
        <v>36.99</v>
      </c>
      <c r="O1147" s="2" t="s">
        <v>240</v>
      </c>
      <c r="P1147" s="2" t="s">
        <v>333</v>
      </c>
      <c r="Q1147" s="2" t="s">
        <v>234</v>
      </c>
      <c r="R1147" s="2" t="s">
        <v>228</v>
      </c>
      <c r="S1147" s="2" t="s">
        <v>6070</v>
      </c>
      <c r="T1147" s="2" t="s">
        <v>1608</v>
      </c>
      <c r="U1147" s="2" t="s">
        <v>416</v>
      </c>
      <c r="V1147" s="2" t="s">
        <v>236</v>
      </c>
      <c r="W1147" s="2" t="s">
        <v>309</v>
      </c>
      <c r="X1147" s="2" t="s">
        <v>228</v>
      </c>
      <c r="Y1147" s="2" t="s">
        <v>6071</v>
      </c>
      <c r="Z1147" s="4">
        <v>18</v>
      </c>
      <c r="AA1147" s="4">
        <f>=ROUNDDOWN(9,0)</f>
      </c>
      <c r="AB1147" s="5">
        <v>2</v>
      </c>
      <c r="AC1147" s="2" t="s">
        <v>228</v>
      </c>
      <c r="AD1147" s="4"/>
      <c r="AE1147" s="4"/>
      <c r="AF1147" s="6">
        <v>64</v>
      </c>
      <c r="AG1147" s="6"/>
      <c r="AH1147" s="7">
        <v>1</v>
      </c>
      <c r="AI1147" s="4"/>
      <c r="AJ1147" s="4">
        <f>=ROUNDDOWN({0},0)</f>
      </c>
      <c r="AK1147" s="5"/>
      <c r="AL1147" s="2" t="s">
        <v>228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/>
      <c r="AW1147" s="8"/>
      <c r="AX1147" s="4"/>
      <c r="AY1147" s="8"/>
      <c r="AZ1147" s="7"/>
      <c r="BA1147" s="7"/>
      <c r="BB1147" s="7"/>
      <c r="BC1147" s="4"/>
      <c r="BD1147" s="8"/>
      <c r="BE1147" s="4"/>
      <c r="BF1147" s="8"/>
      <c r="BG1147" s="7"/>
      <c r="BH1147" s="7"/>
      <c r="BI1147" s="7"/>
      <c r="BJ1147" s="4">
        <v>22</v>
      </c>
      <c r="BK1147" s="8">
        <v>403.44</v>
      </c>
      <c r="BL1147" s="2" t="s">
        <v>6072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6073</v>
      </c>
      <c r="BV1147" s="2" t="s">
        <v>228</v>
      </c>
      <c r="BW1147" s="2" t="s">
        <v>228</v>
      </c>
      <c r="BX1147" s="2" t="s">
        <v>337</v>
      </c>
      <c r="BY1147" s="2" t="s">
        <v>274</v>
      </c>
      <c r="BZ1147" s="2" t="s">
        <v>240</v>
      </c>
      <c r="CA1147" s="2" t="s">
        <v>2336</v>
      </c>
      <c r="CB1147" s="2" t="s">
        <v>6074</v>
      </c>
      <c r="CC1147" s="2" t="s">
        <v>241</v>
      </c>
      <c r="CD1147" s="2" t="s">
        <v>228</v>
      </c>
      <c r="CE1147" s="4">
        <v>18</v>
      </c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GZ1147" s="4"/>
      <c r="HA1147" s="4"/>
      <c r="HB1147" s="4"/>
      <c r="HC1147" s="4"/>
      <c r="HD1147" s="4"/>
      <c r="HE1147" s="4"/>
    </row>
    <row r="1148">
      <c r="A1148" s="2" t="s">
        <v>6075</v>
      </c>
      <c r="B1148" s="2" t="s">
        <v>834</v>
      </c>
      <c r="C1148" s="2" t="s">
        <v>885</v>
      </c>
      <c r="D1148" s="2" t="s">
        <v>1101</v>
      </c>
      <c r="E1148" s="2" t="s">
        <v>1102</v>
      </c>
      <c r="F1148" s="2" t="s">
        <v>6076</v>
      </c>
      <c r="G1148" s="2" t="s">
        <v>6076</v>
      </c>
      <c r="H1148" s="2" t="s">
        <v>6076</v>
      </c>
      <c r="I1148" s="2" t="s">
        <v>6077</v>
      </c>
      <c r="J1148" s="2" t="s">
        <v>840</v>
      </c>
      <c r="K1148" s="2" t="s">
        <v>2718</v>
      </c>
      <c r="L1148" s="3">
        <v>48.75</v>
      </c>
      <c r="M1148" s="3">
        <v>51.19</v>
      </c>
      <c r="N1148" s="3">
        <v>99.99</v>
      </c>
      <c r="O1148" s="2" t="s">
        <v>240</v>
      </c>
      <c r="P1148" s="2" t="s">
        <v>233</v>
      </c>
      <c r="Q1148" s="2" t="s">
        <v>234</v>
      </c>
      <c r="R1148" s="2" t="s">
        <v>228</v>
      </c>
      <c r="S1148" s="2" t="s">
        <v>228</v>
      </c>
      <c r="T1148" s="2" t="s">
        <v>228</v>
      </c>
      <c r="U1148" s="2" t="s">
        <v>416</v>
      </c>
      <c r="V1148" s="2" t="s">
        <v>842</v>
      </c>
      <c r="W1148" s="2" t="s">
        <v>417</v>
      </c>
      <c r="X1148" s="2" t="s">
        <v>1514</v>
      </c>
      <c r="Y1148" s="2" t="s">
        <v>4588</v>
      </c>
      <c r="Z1148" s="4">
        <v>39</v>
      </c>
      <c r="AA1148" s="4">
        <f>=ROUNDDOWN(19.5,0)</f>
      </c>
      <c r="AB1148" s="5">
        <v>2</v>
      </c>
      <c r="AC1148" s="2" t="s">
        <v>228</v>
      </c>
      <c r="AD1148" s="4"/>
      <c r="AE1148" s="4"/>
      <c r="AF1148" s="6">
        <v>63</v>
      </c>
      <c r="AG1148" s="6"/>
      <c r="AH1148" s="7">
        <v>1</v>
      </c>
      <c r="AI1148" s="4"/>
      <c r="AJ1148" s="4">
        <f>=ROUNDDOWN({0},0)</f>
      </c>
      <c r="AK1148" s="5"/>
      <c r="AL1148" s="2" t="s">
        <v>228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/>
      <c r="AW1148" s="8"/>
      <c r="AX1148" s="4"/>
      <c r="AY1148" s="8"/>
      <c r="AZ1148" s="7"/>
      <c r="BA1148" s="7"/>
      <c r="BB1148" s="7"/>
      <c r="BC1148" s="4"/>
      <c r="BD1148" s="8"/>
      <c r="BE1148" s="4"/>
      <c r="BF1148" s="8"/>
      <c r="BG1148" s="7"/>
      <c r="BH1148" s="7"/>
      <c r="BI1148" s="7"/>
      <c r="BJ1148" s="4">
        <v>9</v>
      </c>
      <c r="BK1148" s="8">
        <v>520.19</v>
      </c>
      <c r="BL1148" s="2" t="s">
        <v>6078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6079</v>
      </c>
      <c r="BV1148" s="2" t="s">
        <v>228</v>
      </c>
      <c r="BW1148" s="2" t="s">
        <v>228</v>
      </c>
      <c r="BX1148" s="2" t="s">
        <v>273</v>
      </c>
      <c r="BY1148" s="2" t="s">
        <v>274</v>
      </c>
      <c r="BZ1148" s="2" t="s">
        <v>240</v>
      </c>
      <c r="CA1148" s="2" t="s">
        <v>6080</v>
      </c>
      <c r="CB1148" s="2" t="s">
        <v>2234</v>
      </c>
      <c r="CC1148" s="2" t="s">
        <v>241</v>
      </c>
      <c r="CD1148" s="2" t="s">
        <v>228</v>
      </c>
      <c r="CE1148" s="4"/>
      <c r="CF1148" s="4">
        <v>39</v>
      </c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/>
      <c r="HA1148" s="4"/>
      <c r="HB1148" s="4"/>
      <c r="HC1148" s="4"/>
      <c r="HD1148" s="4"/>
      <c r="HE1148" s="4"/>
    </row>
    <row r="1149">
      <c r="A1149" s="2" t="s">
        <v>6081</v>
      </c>
      <c r="B1149" s="2" t="s">
        <v>970</v>
      </c>
      <c r="C1149" s="2" t="s">
        <v>300</v>
      </c>
      <c r="D1149" s="2" t="s">
        <v>971</v>
      </c>
      <c r="E1149" s="2" t="s">
        <v>1940</v>
      </c>
      <c r="F1149" s="2" t="s">
        <v>6082</v>
      </c>
      <c r="G1149" s="2" t="s">
        <v>6083</v>
      </c>
      <c r="H1149" s="2" t="s">
        <v>6084</v>
      </c>
      <c r="I1149" s="2" t="s">
        <v>6085</v>
      </c>
      <c r="J1149" s="2" t="s">
        <v>977</v>
      </c>
      <c r="K1149" s="2" t="s">
        <v>249</v>
      </c>
      <c r="L1149" s="3">
        <v>11.07</v>
      </c>
      <c r="M1149" s="3">
        <v>11.62</v>
      </c>
      <c r="N1149" s="3">
        <v>26.99</v>
      </c>
      <c r="O1149" s="2" t="s">
        <v>240</v>
      </c>
      <c r="P1149" s="2" t="s">
        <v>922</v>
      </c>
      <c r="Q1149" s="2" t="s">
        <v>234</v>
      </c>
      <c r="R1149" s="2" t="s">
        <v>228</v>
      </c>
      <c r="S1149" s="2" t="s">
        <v>6086</v>
      </c>
      <c r="T1149" s="2" t="s">
        <v>228</v>
      </c>
      <c r="U1149" s="2" t="s">
        <v>228</v>
      </c>
      <c r="V1149" s="2" t="s">
        <v>374</v>
      </c>
      <c r="W1149" s="2" t="s">
        <v>417</v>
      </c>
      <c r="X1149" s="2" t="s">
        <v>228</v>
      </c>
      <c r="Y1149" s="2" t="s">
        <v>1351</v>
      </c>
      <c r="Z1149" s="4">
        <v>3</v>
      </c>
      <c r="AA1149" s="4">
        <f>=ROUNDDOWN(0.107142857142857,0)</f>
      </c>
      <c r="AB1149" s="5">
        <v>28</v>
      </c>
      <c r="AC1149" s="2" t="s">
        <v>228</v>
      </c>
      <c r="AD1149" s="4"/>
      <c r="AE1149" s="4"/>
      <c r="AF1149" s="6">
        <v>65</v>
      </c>
      <c r="AG1149" s="6"/>
      <c r="AH1149" s="7">
        <v>1</v>
      </c>
      <c r="AI1149" s="4"/>
      <c r="AJ1149" s="4">
        <f>=ROUNDDOWN({0},0)</f>
      </c>
      <c r="AK1149" s="5"/>
      <c r="AL1149" s="2" t="s">
        <v>228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/>
      <c r="AW1149" s="8"/>
      <c r="AX1149" s="4"/>
      <c r="AY1149" s="8"/>
      <c r="AZ1149" s="7"/>
      <c r="BA1149" s="7"/>
      <c r="BB1149" s="7"/>
      <c r="BC1149" s="4" t="s">
        <v>228</v>
      </c>
      <c r="BD1149" s="8" t="s">
        <v>228</v>
      </c>
      <c r="BE1149" s="4" t="s">
        <v>228</v>
      </c>
      <c r="BF1149" s="8" t="s">
        <v>228</v>
      </c>
      <c r="BG1149" s="7" t="s">
        <v>228</v>
      </c>
      <c r="BH1149" s="7" t="s">
        <v>228</v>
      </c>
      <c r="BI1149" s="7"/>
      <c r="BJ1149" s="4">
        <v>21</v>
      </c>
      <c r="BK1149" s="8">
        <v>230.62</v>
      </c>
      <c r="BL1149" s="2" t="s">
        <v>6087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6088</v>
      </c>
      <c r="BV1149" s="2" t="s">
        <v>228</v>
      </c>
      <c r="BW1149" s="2" t="s">
        <v>228</v>
      </c>
      <c r="BX1149" s="2" t="s">
        <v>337</v>
      </c>
      <c r="BY1149" s="2" t="s">
        <v>274</v>
      </c>
      <c r="BZ1149" s="2" t="s">
        <v>240</v>
      </c>
      <c r="CA1149" s="2" t="s">
        <v>1502</v>
      </c>
      <c r="CB1149" s="2" t="s">
        <v>1923</v>
      </c>
      <c r="CC1149" s="2" t="s">
        <v>241</v>
      </c>
      <c r="CD1149" s="2" t="s">
        <v>228</v>
      </c>
      <c r="CE1149" s="4">
        <v>1</v>
      </c>
      <c r="CF1149" s="4">
        <v>2</v>
      </c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/>
      <c r="HA1149" s="4"/>
      <c r="HB1149" s="4"/>
      <c r="HC1149" s="4"/>
      <c r="HD1149" s="4"/>
      <c r="HE1149" s="4"/>
    </row>
    <row r="1150">
      <c r="A1150" s="2" t="s">
        <v>6089</v>
      </c>
      <c r="B1150" s="2" t="s">
        <v>970</v>
      </c>
      <c r="C1150" s="2" t="s">
        <v>300</v>
      </c>
      <c r="D1150" s="2" t="s">
        <v>971</v>
      </c>
      <c r="E1150" s="2" t="s">
        <v>1940</v>
      </c>
      <c r="F1150" s="2" t="s">
        <v>6082</v>
      </c>
      <c r="G1150" s="2" t="s">
        <v>6083</v>
      </c>
      <c r="H1150" s="2" t="s">
        <v>6084</v>
      </c>
      <c r="I1150" s="2" t="s">
        <v>6085</v>
      </c>
      <c r="J1150" s="2" t="s">
        <v>1300</v>
      </c>
      <c r="K1150" s="2" t="s">
        <v>251</v>
      </c>
      <c r="L1150" s="3">
        <v>11.25</v>
      </c>
      <c r="M1150" s="3">
        <v>11.81</v>
      </c>
      <c r="N1150" s="3">
        <v>24.99</v>
      </c>
      <c r="O1150" s="2" t="s">
        <v>232</v>
      </c>
      <c r="P1150" s="2" t="s">
        <v>922</v>
      </c>
      <c r="Q1150" s="2" t="s">
        <v>234</v>
      </c>
      <c r="R1150" s="2" t="s">
        <v>228</v>
      </c>
      <c r="S1150" s="2" t="s">
        <v>6090</v>
      </c>
      <c r="T1150" s="2" t="s">
        <v>228</v>
      </c>
      <c r="U1150" s="2" t="s">
        <v>228</v>
      </c>
      <c r="V1150" s="2" t="s">
        <v>374</v>
      </c>
      <c r="W1150" s="2" t="s">
        <v>417</v>
      </c>
      <c r="X1150" s="2" t="s">
        <v>228</v>
      </c>
      <c r="Y1150" s="2" t="s">
        <v>1351</v>
      </c>
      <c r="Z1150" s="4"/>
      <c r="AA1150" s="4">
        <f>=ROUNDDOWN({0},0)</f>
      </c>
      <c r="AB1150" s="5"/>
      <c r="AC1150" s="2" t="s">
        <v>228</v>
      </c>
      <c r="AD1150" s="4"/>
      <c r="AE1150" s="4"/>
      <c r="AF1150" s="6"/>
      <c r="AG1150" s="6"/>
      <c r="AH1150" s="7"/>
      <c r="AI1150" s="4"/>
      <c r="AJ1150" s="4">
        <f>=ROUNDDOWN({0},0)</f>
      </c>
      <c r="AK1150" s="5"/>
      <c r="AL1150" s="2" t="s">
        <v>228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/>
      <c r="AW1150" s="8"/>
      <c r="AX1150" s="4"/>
      <c r="AY1150" s="8"/>
      <c r="AZ1150" s="7"/>
      <c r="BA1150" s="7"/>
      <c r="BB1150" s="7"/>
      <c r="BC1150" s="4" t="s">
        <v>228</v>
      </c>
      <c r="BD1150" s="8" t="s">
        <v>228</v>
      </c>
      <c r="BE1150" s="4" t="s">
        <v>228</v>
      </c>
      <c r="BF1150" s="8" t="s">
        <v>228</v>
      </c>
      <c r="BG1150" s="7" t="s">
        <v>228</v>
      </c>
      <c r="BH1150" s="7" t="s">
        <v>228</v>
      </c>
      <c r="BI1150" s="7"/>
      <c r="BJ1150" s="4"/>
      <c r="BK1150" s="8"/>
      <c r="BL1150" s="2" t="s">
        <v>228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6091</v>
      </c>
      <c r="BV1150" s="2" t="s">
        <v>228</v>
      </c>
      <c r="BW1150" s="2" t="s">
        <v>228</v>
      </c>
      <c r="BX1150" s="2" t="s">
        <v>337</v>
      </c>
      <c r="BY1150" s="2" t="s">
        <v>274</v>
      </c>
      <c r="BZ1150" s="2" t="s">
        <v>240</v>
      </c>
      <c r="CA1150" s="2" t="s">
        <v>1502</v>
      </c>
      <c r="CB1150" s="2" t="s">
        <v>6092</v>
      </c>
      <c r="CC1150" s="2" t="s">
        <v>241</v>
      </c>
      <c r="CD1150" s="2" t="s">
        <v>228</v>
      </c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  <c r="GG1150" s="4"/>
      <c r="GH1150" s="4"/>
      <c r="GI1150" s="4"/>
      <c r="GJ1150" s="4"/>
      <c r="GK1150" s="4"/>
      <c r="GL1150" s="4"/>
      <c r="GM1150" s="4"/>
      <c r="GN1150" s="4"/>
      <c r="GO1150" s="4"/>
      <c r="GP1150" s="4"/>
      <c r="GQ1150" s="4"/>
      <c r="GR1150" s="4"/>
      <c r="GS1150" s="4"/>
      <c r="GT1150" s="4"/>
      <c r="GU1150" s="4"/>
      <c r="GV1150" s="4"/>
      <c r="GW1150" s="4"/>
      <c r="GX1150" s="4"/>
      <c r="GY1150" s="4"/>
      <c r="GZ1150" s="4"/>
      <c r="HA1150" s="4"/>
      <c r="HB1150" s="4"/>
      <c r="HC1150" s="4"/>
      <c r="HD1150" s="4"/>
      <c r="HE1150" s="4"/>
    </row>
    <row r="1151">
      <c r="A1151" s="2" t="s">
        <v>6093</v>
      </c>
      <c r="B1151" s="2" t="s">
        <v>970</v>
      </c>
      <c r="C1151" s="2" t="s">
        <v>300</v>
      </c>
      <c r="D1151" s="2" t="s">
        <v>971</v>
      </c>
      <c r="E1151" s="2" t="s">
        <v>1940</v>
      </c>
      <c r="F1151" s="2" t="s">
        <v>6082</v>
      </c>
      <c r="G1151" s="2" t="s">
        <v>6083</v>
      </c>
      <c r="H1151" s="2" t="s">
        <v>6084</v>
      </c>
      <c r="I1151" s="2" t="s">
        <v>6085</v>
      </c>
      <c r="J1151" s="2" t="s">
        <v>977</v>
      </c>
      <c r="K1151" s="2" t="s">
        <v>6094</v>
      </c>
      <c r="L1151" s="3">
        <v>11.07</v>
      </c>
      <c r="M1151" s="3">
        <v>11.62</v>
      </c>
      <c r="N1151" s="3">
        <v>26.99</v>
      </c>
      <c r="O1151" s="2" t="s">
        <v>240</v>
      </c>
      <c r="P1151" s="2" t="s">
        <v>922</v>
      </c>
      <c r="Q1151" s="2" t="s">
        <v>234</v>
      </c>
      <c r="R1151" s="2" t="s">
        <v>228</v>
      </c>
      <c r="S1151" s="2" t="s">
        <v>6095</v>
      </c>
      <c r="T1151" s="2" t="s">
        <v>415</v>
      </c>
      <c r="U1151" s="2" t="s">
        <v>416</v>
      </c>
      <c r="V1151" s="2" t="s">
        <v>374</v>
      </c>
      <c r="W1151" s="2" t="s">
        <v>417</v>
      </c>
      <c r="X1151" s="2" t="s">
        <v>228</v>
      </c>
      <c r="Y1151" s="2" t="s">
        <v>6096</v>
      </c>
      <c r="Z1151" s="4">
        <v>234</v>
      </c>
      <c r="AA1151" s="4">
        <f>=ROUNDDOWN(11.1428571428571,0)</f>
      </c>
      <c r="AB1151" s="5">
        <v>21</v>
      </c>
      <c r="AC1151" s="2" t="s">
        <v>228</v>
      </c>
      <c r="AD1151" s="4"/>
      <c r="AE1151" s="4"/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228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/>
      <c r="AW1151" s="8"/>
      <c r="AX1151" s="4"/>
      <c r="AY1151" s="8"/>
      <c r="AZ1151" s="7"/>
      <c r="BA1151" s="7"/>
      <c r="BB1151" s="7"/>
      <c r="BC1151" s="4" t="s">
        <v>228</v>
      </c>
      <c r="BD1151" s="8" t="s">
        <v>228</v>
      </c>
      <c r="BE1151" s="4" t="s">
        <v>228</v>
      </c>
      <c r="BF1151" s="8" t="s">
        <v>228</v>
      </c>
      <c r="BG1151" s="7" t="s">
        <v>228</v>
      </c>
      <c r="BH1151" s="7" t="s">
        <v>228</v>
      </c>
      <c r="BI1151" s="7"/>
      <c r="BJ1151" s="4">
        <v>38</v>
      </c>
      <c r="BK1151" s="8">
        <v>365.3</v>
      </c>
      <c r="BL1151" s="2" t="s">
        <v>6097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6098</v>
      </c>
      <c r="BV1151" s="2" t="s">
        <v>228</v>
      </c>
      <c r="BW1151" s="2" t="s">
        <v>228</v>
      </c>
      <c r="BX1151" s="2" t="s">
        <v>337</v>
      </c>
      <c r="BY1151" s="2" t="s">
        <v>274</v>
      </c>
      <c r="BZ1151" s="2" t="s">
        <v>240</v>
      </c>
      <c r="CA1151" s="2" t="s">
        <v>4557</v>
      </c>
      <c r="CB1151" s="2" t="s">
        <v>6099</v>
      </c>
      <c r="CC1151" s="2" t="s">
        <v>241</v>
      </c>
      <c r="CD1151" s="2" t="s">
        <v>228</v>
      </c>
      <c r="CE1151" s="4">
        <v>234</v>
      </c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GZ1151" s="4"/>
      <c r="HA1151" s="4"/>
      <c r="HB1151" s="4"/>
      <c r="HC1151" s="4"/>
      <c r="HD1151" s="4"/>
      <c r="HE1151" s="4"/>
    </row>
    <row r="1152">
      <c r="A1152" s="2" t="s">
        <v>6100</v>
      </c>
      <c r="B1152" s="2" t="s">
        <v>1150</v>
      </c>
      <c r="C1152" s="2" t="s">
        <v>835</v>
      </c>
      <c r="D1152" s="2" t="s">
        <v>850</v>
      </c>
      <c r="E1152" s="2" t="s">
        <v>1038</v>
      </c>
      <c r="F1152" s="2" t="s">
        <v>6101</v>
      </c>
      <c r="G1152" s="2" t="s">
        <v>6101</v>
      </c>
      <c r="H1152" s="2" t="s">
        <v>6101</v>
      </c>
      <c r="I1152" s="2" t="s">
        <v>6102</v>
      </c>
      <c r="J1152" s="2" t="s">
        <v>1043</v>
      </c>
      <c r="K1152" s="2" t="s">
        <v>231</v>
      </c>
      <c r="L1152" s="3">
        <v>71.57</v>
      </c>
      <c r="M1152" s="3">
        <v>75.15</v>
      </c>
      <c r="N1152" s="3">
        <v>159.99</v>
      </c>
      <c r="O1152" s="2" t="s">
        <v>461</v>
      </c>
      <c r="P1152" s="2" t="s">
        <v>333</v>
      </c>
      <c r="Q1152" s="2" t="s">
        <v>234</v>
      </c>
      <c r="R1152" s="2" t="s">
        <v>228</v>
      </c>
      <c r="S1152" s="2" t="s">
        <v>6103</v>
      </c>
      <c r="T1152" s="2" t="s">
        <v>350</v>
      </c>
      <c r="U1152" s="2" t="s">
        <v>500</v>
      </c>
      <c r="V1152" s="2" t="s">
        <v>5214</v>
      </c>
      <c r="W1152" s="2" t="s">
        <v>2472</v>
      </c>
      <c r="X1152" s="2" t="s">
        <v>463</v>
      </c>
      <c r="Y1152" s="2" t="s">
        <v>4623</v>
      </c>
      <c r="Z1152" s="4">
        <v>64</v>
      </c>
      <c r="AA1152" s="4">
        <f>=ROUNDDOWN(29.0909090909091,0)</f>
      </c>
      <c r="AB1152" s="5">
        <v>2.2</v>
      </c>
      <c r="AC1152" s="2" t="s">
        <v>228</v>
      </c>
      <c r="AD1152" s="4"/>
      <c r="AE1152" s="4"/>
      <c r="AF1152" s="6">
        <v>69</v>
      </c>
      <c r="AG1152" s="6"/>
      <c r="AH1152" s="7">
        <v>1</v>
      </c>
      <c r="AI1152" s="4"/>
      <c r="AJ1152" s="4">
        <f>=ROUNDDOWN({0},0)</f>
      </c>
      <c r="AK1152" s="5"/>
      <c r="AL1152" s="2" t="s">
        <v>228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/>
      <c r="AW1152" s="8"/>
      <c r="AX1152" s="4"/>
      <c r="AY1152" s="8"/>
      <c r="AZ1152" s="7"/>
      <c r="BA1152" s="7"/>
      <c r="BB1152" s="7"/>
      <c r="BC1152" s="4"/>
      <c r="BD1152" s="8"/>
      <c r="BE1152" s="4"/>
      <c r="BF1152" s="8"/>
      <c r="BG1152" s="7"/>
      <c r="BH1152" s="7"/>
      <c r="BI1152" s="7"/>
      <c r="BJ1152" s="4">
        <v>9</v>
      </c>
      <c r="BK1152" s="8">
        <v>561.01</v>
      </c>
      <c r="BL1152" s="2" t="s">
        <v>404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6104</v>
      </c>
      <c r="BV1152" s="2" t="s">
        <v>228</v>
      </c>
      <c r="BW1152" s="2" t="s">
        <v>228</v>
      </c>
      <c r="BX1152" s="2" t="s">
        <v>337</v>
      </c>
      <c r="BY1152" s="2" t="s">
        <v>274</v>
      </c>
      <c r="BZ1152" s="2" t="s">
        <v>240</v>
      </c>
      <c r="CA1152" s="2" t="s">
        <v>4623</v>
      </c>
      <c r="CB1152" s="2" t="s">
        <v>1024</v>
      </c>
      <c r="CC1152" s="2" t="s">
        <v>241</v>
      </c>
      <c r="CD1152" s="2" t="s">
        <v>228</v>
      </c>
      <c r="CE1152" s="4">
        <v>64</v>
      </c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/>
      <c r="GG1152" s="4"/>
      <c r="GH1152" s="4"/>
      <c r="GI1152" s="4"/>
      <c r="GJ1152" s="4"/>
      <c r="GK1152" s="4"/>
      <c r="GL1152" s="4"/>
      <c r="GM1152" s="4"/>
      <c r="GN1152" s="4"/>
      <c r="GO1152" s="4"/>
      <c r="GP1152" s="4"/>
      <c r="GQ1152" s="4"/>
      <c r="GR1152" s="4"/>
      <c r="GS1152" s="4"/>
      <c r="GT1152" s="4"/>
      <c r="GU1152" s="4"/>
      <c r="GV1152" s="4"/>
      <c r="GW1152" s="4"/>
      <c r="GX1152" s="4"/>
      <c r="GY1152" s="4"/>
      <c r="GZ1152" s="4"/>
      <c r="HA1152" s="4"/>
      <c r="HB1152" s="4"/>
      <c r="HC1152" s="4"/>
      <c r="HD1152" s="4"/>
      <c r="HE1152" s="4"/>
    </row>
    <row r="1153">
      <c r="A1153" s="2" t="s">
        <v>6105</v>
      </c>
      <c r="B1153" s="2" t="s">
        <v>223</v>
      </c>
      <c r="C1153" s="2" t="s">
        <v>731</v>
      </c>
      <c r="D1153" s="2" t="s">
        <v>1407</v>
      </c>
      <c r="E1153" s="2" t="s">
        <v>6106</v>
      </c>
      <c r="F1153" s="2" t="s">
        <v>6107</v>
      </c>
      <c r="G1153" s="2" t="s">
        <v>228</v>
      </c>
      <c r="H1153" s="2" t="s">
        <v>228</v>
      </c>
      <c r="I1153" s="2" t="s">
        <v>6108</v>
      </c>
      <c r="J1153" s="2" t="s">
        <v>6109</v>
      </c>
      <c r="K1153" s="2" t="s">
        <v>3174</v>
      </c>
      <c r="L1153" s="3">
        <v>35.42</v>
      </c>
      <c r="M1153" s="3">
        <v>18.97</v>
      </c>
      <c r="N1153" s="3"/>
      <c r="O1153" s="2" t="s">
        <v>240</v>
      </c>
      <c r="P1153" s="2" t="s">
        <v>233</v>
      </c>
      <c r="Q1153" s="2" t="s">
        <v>234</v>
      </c>
      <c r="R1153" s="2" t="s">
        <v>235</v>
      </c>
      <c r="S1153" s="2" t="s">
        <v>228</v>
      </c>
      <c r="T1153" s="2" t="s">
        <v>228</v>
      </c>
      <c r="U1153" s="2" t="s">
        <v>416</v>
      </c>
      <c r="V1153" s="2" t="s">
        <v>980</v>
      </c>
      <c r="W1153" s="2" t="s">
        <v>228</v>
      </c>
      <c r="X1153" s="2" t="s">
        <v>228</v>
      </c>
      <c r="Y1153" s="2" t="s">
        <v>6110</v>
      </c>
      <c r="Z1153" s="4">
        <v>807</v>
      </c>
      <c r="AA1153" s="4">
        <f>=ROUNDDOWN(57.6428571428571,0)</f>
      </c>
      <c r="AB1153" s="5">
        <v>14</v>
      </c>
      <c r="AC1153" s="2" t="s">
        <v>1014</v>
      </c>
      <c r="AD1153" s="4">
        <v>148</v>
      </c>
      <c r="AE1153" s="4">
        <v>596</v>
      </c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228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/>
      <c r="AW1153" s="8"/>
      <c r="AX1153" s="4"/>
      <c r="AY1153" s="8"/>
      <c r="AZ1153" s="7"/>
      <c r="BA1153" s="7"/>
      <c r="BB1153" s="7"/>
      <c r="BC1153" s="4"/>
      <c r="BD1153" s="8"/>
      <c r="BE1153" s="4"/>
      <c r="BF1153" s="8"/>
      <c r="BG1153" s="7"/>
      <c r="BH1153" s="7"/>
      <c r="BI1153" s="7"/>
      <c r="BJ1153" s="4">
        <v>7</v>
      </c>
      <c r="BK1153" s="8">
        <v>247.94</v>
      </c>
      <c r="BL1153" s="2" t="s">
        <v>3722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238</v>
      </c>
      <c r="BV1153" s="2" t="s">
        <v>228</v>
      </c>
      <c r="BW1153" s="2" t="s">
        <v>228</v>
      </c>
      <c r="BX1153" s="2" t="s">
        <v>228</v>
      </c>
      <c r="BY1153" s="2" t="s">
        <v>239</v>
      </c>
      <c r="BZ1153" s="2" t="s">
        <v>240</v>
      </c>
      <c r="CA1153" s="2" t="s">
        <v>228</v>
      </c>
      <c r="CB1153" s="2" t="s">
        <v>228</v>
      </c>
      <c r="CC1153" s="2" t="s">
        <v>241</v>
      </c>
      <c r="CD1153" s="2" t="s">
        <v>228</v>
      </c>
      <c r="CE1153" s="4">
        <v>2</v>
      </c>
      <c r="CF1153" s="4"/>
      <c r="CG1153" s="4"/>
      <c r="CH1153" s="4">
        <v>805</v>
      </c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>
        <v>148</v>
      </c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>
        <v>188</v>
      </c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>
        <v>260</v>
      </c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4"/>
      <c r="HE1153" s="4"/>
    </row>
    <row r="1154">
      <c r="A1154" s="2" t="s">
        <v>6111</v>
      </c>
      <c r="B1154" s="2" t="s">
        <v>223</v>
      </c>
      <c r="C1154" s="2" t="s">
        <v>731</v>
      </c>
      <c r="D1154" s="2" t="s">
        <v>1407</v>
      </c>
      <c r="E1154" s="2" t="s">
        <v>1408</v>
      </c>
      <c r="F1154" s="2" t="s">
        <v>6112</v>
      </c>
      <c r="G1154" s="2" t="s">
        <v>6112</v>
      </c>
      <c r="H1154" s="2" t="s">
        <v>6112</v>
      </c>
      <c r="I1154" s="2" t="s">
        <v>6112</v>
      </c>
      <c r="J1154" s="2" t="s">
        <v>1412</v>
      </c>
      <c r="K1154" s="2" t="s">
        <v>1421</v>
      </c>
      <c r="L1154" s="3">
        <v>26.4</v>
      </c>
      <c r="M1154" s="3">
        <v>27.72</v>
      </c>
      <c r="N1154" s="3">
        <v>54.99</v>
      </c>
      <c r="O1154" s="2" t="s">
        <v>461</v>
      </c>
      <c r="P1154" s="2" t="s">
        <v>1116</v>
      </c>
      <c r="Q1154" s="2" t="s">
        <v>234</v>
      </c>
      <c r="R1154" s="2" t="s">
        <v>727</v>
      </c>
      <c r="S1154" s="2" t="s">
        <v>228</v>
      </c>
      <c r="T1154" s="2" t="s">
        <v>228</v>
      </c>
      <c r="U1154" s="2" t="s">
        <v>228</v>
      </c>
      <c r="V1154" s="2" t="s">
        <v>236</v>
      </c>
      <c r="W1154" s="2" t="s">
        <v>228</v>
      </c>
      <c r="X1154" s="2" t="s">
        <v>228</v>
      </c>
      <c r="Y1154" s="2" t="s">
        <v>4609</v>
      </c>
      <c r="Z1154" s="4">
        <v>116</v>
      </c>
      <c r="AA1154" s="4">
        <f>=ROUNDDOWN(11.6,0)</f>
      </c>
      <c r="AB1154" s="5">
        <v>10</v>
      </c>
      <c r="AC1154" s="2" t="s">
        <v>228</v>
      </c>
      <c r="AD1154" s="4"/>
      <c r="AE1154" s="4"/>
      <c r="AF1154" s="6">
        <v>65</v>
      </c>
      <c r="AG1154" s="6"/>
      <c r="AH1154" s="7">
        <v>1</v>
      </c>
      <c r="AI1154" s="4"/>
      <c r="AJ1154" s="4">
        <f>=ROUNDDOWN({0},0)</f>
      </c>
      <c r="AK1154" s="5"/>
      <c r="AL1154" s="2" t="s">
        <v>228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/>
      <c r="AW1154" s="8"/>
      <c r="AX1154" s="4"/>
      <c r="AY1154" s="8"/>
      <c r="AZ1154" s="7"/>
      <c r="BA1154" s="7"/>
      <c r="BB1154" s="7"/>
      <c r="BC1154" s="4" t="s">
        <v>228</v>
      </c>
      <c r="BD1154" s="8" t="s">
        <v>228</v>
      </c>
      <c r="BE1154" s="4" t="s">
        <v>228</v>
      </c>
      <c r="BF1154" s="8" t="s">
        <v>228</v>
      </c>
      <c r="BG1154" s="7" t="s">
        <v>228</v>
      </c>
      <c r="BH1154" s="7" t="s">
        <v>228</v>
      </c>
      <c r="BI1154" s="7"/>
      <c r="BJ1154" s="4">
        <v>12</v>
      </c>
      <c r="BK1154" s="8">
        <v>132.36</v>
      </c>
      <c r="BL1154" s="2" t="s">
        <v>727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6113</v>
      </c>
      <c r="BV1154" s="2" t="s">
        <v>228</v>
      </c>
      <c r="BW1154" s="2" t="s">
        <v>228</v>
      </c>
      <c r="BX1154" s="2" t="s">
        <v>273</v>
      </c>
      <c r="BY1154" s="2" t="s">
        <v>274</v>
      </c>
      <c r="BZ1154" s="2" t="s">
        <v>240</v>
      </c>
      <c r="CA1154" s="2" t="s">
        <v>1554</v>
      </c>
      <c r="CB1154" s="2" t="s">
        <v>228</v>
      </c>
      <c r="CC1154" s="2" t="s">
        <v>241</v>
      </c>
      <c r="CD1154" s="2" t="s">
        <v>228</v>
      </c>
      <c r="CE1154" s="4">
        <v>87</v>
      </c>
      <c r="CF1154" s="4"/>
      <c r="CG1154" s="4"/>
      <c r="CH1154" s="4">
        <v>29</v>
      </c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/>
      <c r="GH1154" s="4"/>
      <c r="GI1154" s="4"/>
      <c r="GJ1154" s="4"/>
      <c r="GK1154" s="4"/>
      <c r="GL1154" s="4"/>
      <c r="GM1154" s="4"/>
      <c r="GN1154" s="4"/>
      <c r="GO1154" s="4"/>
      <c r="GP1154" s="4"/>
      <c r="GQ1154" s="4"/>
      <c r="GR1154" s="4"/>
      <c r="GS1154" s="4"/>
      <c r="GT1154" s="4"/>
      <c r="GU1154" s="4"/>
      <c r="GV1154" s="4"/>
      <c r="GW1154" s="4"/>
      <c r="GX1154" s="4"/>
      <c r="GY1154" s="4"/>
      <c r="GZ1154" s="4"/>
      <c r="HA1154" s="4"/>
      <c r="HB1154" s="4"/>
      <c r="HC1154" s="4"/>
      <c r="HD1154" s="4"/>
      <c r="HE1154" s="4"/>
    </row>
    <row r="1155">
      <c r="A1155" s="2" t="s">
        <v>6114</v>
      </c>
      <c r="B1155" s="2" t="s">
        <v>223</v>
      </c>
      <c r="C1155" s="2" t="s">
        <v>731</v>
      </c>
      <c r="D1155" s="2" t="s">
        <v>1407</v>
      </c>
      <c r="E1155" s="2" t="s">
        <v>1408</v>
      </c>
      <c r="F1155" s="2" t="s">
        <v>6112</v>
      </c>
      <c r="G1155" s="2" t="s">
        <v>6112</v>
      </c>
      <c r="H1155" s="2" t="s">
        <v>6112</v>
      </c>
      <c r="I1155" s="2" t="s">
        <v>6112</v>
      </c>
      <c r="J1155" s="2" t="s">
        <v>1412</v>
      </c>
      <c r="K1155" s="2" t="s">
        <v>249</v>
      </c>
      <c r="L1155" s="3">
        <v>26.4</v>
      </c>
      <c r="M1155" s="3">
        <v>27.72</v>
      </c>
      <c r="N1155" s="3">
        <v>54.99</v>
      </c>
      <c r="O1155" s="2" t="s">
        <v>461</v>
      </c>
      <c r="P1155" s="2" t="s">
        <v>1116</v>
      </c>
      <c r="Q1155" s="2" t="s">
        <v>234</v>
      </c>
      <c r="R1155" s="2" t="s">
        <v>727</v>
      </c>
      <c r="S1155" s="2" t="s">
        <v>228</v>
      </c>
      <c r="T1155" s="2" t="s">
        <v>228</v>
      </c>
      <c r="U1155" s="2" t="s">
        <v>228</v>
      </c>
      <c r="V1155" s="2" t="s">
        <v>236</v>
      </c>
      <c r="W1155" s="2" t="s">
        <v>228</v>
      </c>
      <c r="X1155" s="2" t="s">
        <v>228</v>
      </c>
      <c r="Y1155" s="2" t="s">
        <v>4609</v>
      </c>
      <c r="Z1155" s="4">
        <v>967</v>
      </c>
      <c r="AA1155" s="4">
        <f>=ROUNDDOWN(46.4903846153846,0)</f>
      </c>
      <c r="AB1155" s="5">
        <v>20.8</v>
      </c>
      <c r="AC1155" s="2" t="s">
        <v>228</v>
      </c>
      <c r="AD1155" s="4"/>
      <c r="AE1155" s="4"/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228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/>
      <c r="AW1155" s="8"/>
      <c r="AX1155" s="4"/>
      <c r="AY1155" s="8"/>
      <c r="AZ1155" s="7"/>
      <c r="BA1155" s="7"/>
      <c r="BB1155" s="7"/>
      <c r="BC1155" s="4" t="s">
        <v>228</v>
      </c>
      <c r="BD1155" s="8" t="s">
        <v>228</v>
      </c>
      <c r="BE1155" s="4" t="s">
        <v>228</v>
      </c>
      <c r="BF1155" s="8" t="s">
        <v>228</v>
      </c>
      <c r="BG1155" s="7" t="s">
        <v>228</v>
      </c>
      <c r="BH1155" s="7" t="s">
        <v>228</v>
      </c>
      <c r="BI1155" s="7"/>
      <c r="BJ1155" s="4">
        <v>9</v>
      </c>
      <c r="BK1155" s="8">
        <v>99.27</v>
      </c>
      <c r="BL1155" s="2" t="s">
        <v>699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6115</v>
      </c>
      <c r="BV1155" s="2" t="s">
        <v>228</v>
      </c>
      <c r="BW1155" s="2" t="s">
        <v>228</v>
      </c>
      <c r="BX1155" s="2" t="s">
        <v>273</v>
      </c>
      <c r="BY1155" s="2" t="s">
        <v>274</v>
      </c>
      <c r="BZ1155" s="2" t="s">
        <v>240</v>
      </c>
      <c r="CA1155" s="2" t="s">
        <v>1554</v>
      </c>
      <c r="CB1155" s="2" t="s">
        <v>1671</v>
      </c>
      <c r="CC1155" s="2" t="s">
        <v>241</v>
      </c>
      <c r="CD1155" s="2" t="s">
        <v>228</v>
      </c>
      <c r="CE1155" s="4">
        <v>475</v>
      </c>
      <c r="CF1155" s="4"/>
      <c r="CG1155" s="4"/>
      <c r="CH1155" s="4">
        <v>492</v>
      </c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/>
      <c r="HD1155" s="4"/>
      <c r="HE1155" s="4"/>
    </row>
    <row r="1156">
      <c r="A1156" s="2" t="s">
        <v>6116</v>
      </c>
      <c r="B1156" s="2" t="s">
        <v>223</v>
      </c>
      <c r="C1156" s="2" t="s">
        <v>731</v>
      </c>
      <c r="D1156" s="2" t="s">
        <v>1407</v>
      </c>
      <c r="E1156" s="2" t="s">
        <v>1408</v>
      </c>
      <c r="F1156" s="2" t="s">
        <v>6112</v>
      </c>
      <c r="G1156" s="2" t="s">
        <v>6112</v>
      </c>
      <c r="H1156" s="2" t="s">
        <v>6112</v>
      </c>
      <c r="I1156" s="2" t="s">
        <v>6112</v>
      </c>
      <c r="J1156" s="2" t="s">
        <v>1412</v>
      </c>
      <c r="K1156" s="2" t="s">
        <v>251</v>
      </c>
      <c r="L1156" s="3">
        <v>26.4</v>
      </c>
      <c r="M1156" s="3">
        <v>27.72</v>
      </c>
      <c r="N1156" s="3">
        <v>54.99</v>
      </c>
      <c r="O1156" s="2" t="s">
        <v>461</v>
      </c>
      <c r="P1156" s="2" t="s">
        <v>1116</v>
      </c>
      <c r="Q1156" s="2" t="s">
        <v>234</v>
      </c>
      <c r="R1156" s="2" t="s">
        <v>727</v>
      </c>
      <c r="S1156" s="2" t="s">
        <v>228</v>
      </c>
      <c r="T1156" s="2" t="s">
        <v>228</v>
      </c>
      <c r="U1156" s="2" t="s">
        <v>228</v>
      </c>
      <c r="V1156" s="2" t="s">
        <v>236</v>
      </c>
      <c r="W1156" s="2" t="s">
        <v>228</v>
      </c>
      <c r="X1156" s="2" t="s">
        <v>228</v>
      </c>
      <c r="Y1156" s="2" t="s">
        <v>4609</v>
      </c>
      <c r="Z1156" s="4">
        <v>931</v>
      </c>
      <c r="AA1156" s="4">
        <f>=ROUNDDOWN(372.4,0)</f>
      </c>
      <c r="AB1156" s="5">
        <v>2.5</v>
      </c>
      <c r="AC1156" s="2" t="s">
        <v>228</v>
      </c>
      <c r="AD1156" s="4"/>
      <c r="AE1156" s="4"/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228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/>
      <c r="AW1156" s="8"/>
      <c r="AX1156" s="4"/>
      <c r="AY1156" s="8"/>
      <c r="AZ1156" s="7"/>
      <c r="BA1156" s="7"/>
      <c r="BB1156" s="7"/>
      <c r="BC1156" s="4" t="s">
        <v>228</v>
      </c>
      <c r="BD1156" s="8" t="s">
        <v>228</v>
      </c>
      <c r="BE1156" s="4" t="s">
        <v>228</v>
      </c>
      <c r="BF1156" s="8" t="s">
        <v>228</v>
      </c>
      <c r="BG1156" s="7" t="s">
        <v>228</v>
      </c>
      <c r="BH1156" s="7" t="s">
        <v>228</v>
      </c>
      <c r="BI1156" s="7"/>
      <c r="BJ1156" s="4">
        <v>4</v>
      </c>
      <c r="BK1156" s="8">
        <v>92.9</v>
      </c>
      <c r="BL1156" s="2" t="s">
        <v>3722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6117</v>
      </c>
      <c r="BV1156" s="2" t="s">
        <v>228</v>
      </c>
      <c r="BW1156" s="2" t="s">
        <v>228</v>
      </c>
      <c r="BX1156" s="2" t="s">
        <v>273</v>
      </c>
      <c r="BY1156" s="2" t="s">
        <v>274</v>
      </c>
      <c r="BZ1156" s="2" t="s">
        <v>240</v>
      </c>
      <c r="CA1156" s="2" t="s">
        <v>1554</v>
      </c>
      <c r="CB1156" s="2" t="s">
        <v>228</v>
      </c>
      <c r="CC1156" s="2" t="s">
        <v>241</v>
      </c>
      <c r="CD1156" s="2" t="s">
        <v>228</v>
      </c>
      <c r="CE1156" s="4">
        <v>931</v>
      </c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/>
      <c r="GH1156" s="4"/>
      <c r="GI1156" s="4"/>
      <c r="GJ1156" s="4"/>
      <c r="GK1156" s="4"/>
      <c r="GL1156" s="4"/>
      <c r="GM1156" s="4"/>
      <c r="GN1156" s="4"/>
      <c r="GO1156" s="4"/>
      <c r="GP1156" s="4"/>
      <c r="GQ1156" s="4"/>
      <c r="GR1156" s="4"/>
      <c r="GS1156" s="4"/>
      <c r="GT1156" s="4"/>
      <c r="GU1156" s="4"/>
      <c r="GV1156" s="4"/>
      <c r="GW1156" s="4"/>
      <c r="GX1156" s="4"/>
      <c r="GY1156" s="4"/>
      <c r="GZ1156" s="4"/>
      <c r="HA1156" s="4"/>
      <c r="HB1156" s="4"/>
      <c r="HC1156" s="4"/>
      <c r="HD1156" s="4"/>
      <c r="HE1156" s="4"/>
    </row>
    <row r="1157">
      <c r="A1157" s="2" t="s">
        <v>6118</v>
      </c>
      <c r="B1157" s="2" t="s">
        <v>223</v>
      </c>
      <c r="C1157" s="2" t="s">
        <v>731</v>
      </c>
      <c r="D1157" s="2" t="s">
        <v>1407</v>
      </c>
      <c r="E1157" s="2" t="s">
        <v>3636</v>
      </c>
      <c r="F1157" s="2" t="s">
        <v>6119</v>
      </c>
      <c r="G1157" s="2" t="s">
        <v>6119</v>
      </c>
      <c r="H1157" s="2" t="s">
        <v>228</v>
      </c>
      <c r="I1157" s="2" t="s">
        <v>226</v>
      </c>
      <c r="J1157" s="2" t="s">
        <v>264</v>
      </c>
      <c r="K1157" s="2" t="s">
        <v>265</v>
      </c>
      <c r="L1157" s="3">
        <v>54.64</v>
      </c>
      <c r="M1157" s="3">
        <v>57.37</v>
      </c>
      <c r="N1157" s="3">
        <v>104.99</v>
      </c>
      <c r="O1157" s="2" t="s">
        <v>240</v>
      </c>
      <c r="P1157" s="2" t="s">
        <v>715</v>
      </c>
      <c r="Q1157" s="2" t="s">
        <v>234</v>
      </c>
      <c r="R1157" s="2" t="s">
        <v>228</v>
      </c>
      <c r="S1157" s="2" t="s">
        <v>6120</v>
      </c>
      <c r="T1157" s="2" t="s">
        <v>1266</v>
      </c>
      <c r="U1157" s="2" t="s">
        <v>228</v>
      </c>
      <c r="V1157" s="2" t="s">
        <v>236</v>
      </c>
      <c r="W1157" s="2" t="s">
        <v>269</v>
      </c>
      <c r="X1157" s="2" t="s">
        <v>228</v>
      </c>
      <c r="Y1157" s="2" t="s">
        <v>270</v>
      </c>
      <c r="Z1157" s="4">
        <v>139</v>
      </c>
      <c r="AA1157" s="4">
        <f>=ROUNDDOWN(8.17647058823529,0)</f>
      </c>
      <c r="AB1157" s="5">
        <v>17</v>
      </c>
      <c r="AC1157" s="2" t="s">
        <v>6121</v>
      </c>
      <c r="AD1157" s="4">
        <v>150</v>
      </c>
      <c r="AE1157" s="4">
        <v>360</v>
      </c>
      <c r="AF1157" s="6">
        <v>65</v>
      </c>
      <c r="AG1157" s="6"/>
      <c r="AH1157" s="7">
        <v>1</v>
      </c>
      <c r="AI1157" s="4"/>
      <c r="AJ1157" s="4">
        <f>=ROUNDDOWN({0},0)</f>
      </c>
      <c r="AK1157" s="5"/>
      <c r="AL1157" s="2" t="s">
        <v>228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228</v>
      </c>
      <c r="AW1157" s="8" t="s">
        <v>228</v>
      </c>
      <c r="AX1157" s="4" t="s">
        <v>228</v>
      </c>
      <c r="AY1157" s="8" t="s">
        <v>228</v>
      </c>
      <c r="AZ1157" s="7" t="s">
        <v>228</v>
      </c>
      <c r="BA1157" s="7" t="s">
        <v>228</v>
      </c>
      <c r="BB1157" s="7"/>
      <c r="BC1157" s="4" t="s">
        <v>228</v>
      </c>
      <c r="BD1157" s="8" t="s">
        <v>228</v>
      </c>
      <c r="BE1157" s="4" t="s">
        <v>228</v>
      </c>
      <c r="BF1157" s="8" t="s">
        <v>228</v>
      </c>
      <c r="BG1157" s="7" t="s">
        <v>228</v>
      </c>
      <c r="BH1157" s="7" t="s">
        <v>228</v>
      </c>
      <c r="BI1157" s="7"/>
      <c r="BJ1157" s="4">
        <v>6</v>
      </c>
      <c r="BK1157" s="8">
        <v>359.38</v>
      </c>
      <c r="BL1157" s="2" t="s">
        <v>6122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6123</v>
      </c>
      <c r="BV1157" s="2" t="s">
        <v>228</v>
      </c>
      <c r="BW1157" s="2" t="s">
        <v>228</v>
      </c>
      <c r="BX1157" s="2" t="s">
        <v>273</v>
      </c>
      <c r="BY1157" s="2" t="s">
        <v>274</v>
      </c>
      <c r="BZ1157" s="2" t="s">
        <v>240</v>
      </c>
      <c r="CA1157" s="2" t="s">
        <v>2655</v>
      </c>
      <c r="CB1157" s="2" t="s">
        <v>692</v>
      </c>
      <c r="CC1157" s="2" t="s">
        <v>241</v>
      </c>
      <c r="CD1157" s="2" t="s">
        <v>228</v>
      </c>
      <c r="CE1157" s="4">
        <v>139</v>
      </c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>
        <v>150</v>
      </c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>
        <v>210</v>
      </c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/>
      <c r="GW1157" s="4"/>
      <c r="GX1157" s="4"/>
      <c r="GY1157" s="4"/>
      <c r="GZ1157" s="4"/>
      <c r="HA1157" s="4"/>
      <c r="HB1157" s="4"/>
      <c r="HC1157" s="4"/>
      <c r="HD1157" s="4"/>
      <c r="HE1157" s="4"/>
    </row>
    <row r="1158">
      <c r="A1158" s="2" t="s">
        <v>6124</v>
      </c>
      <c r="B1158" s="2" t="s">
        <v>223</v>
      </c>
      <c r="C1158" s="2" t="s">
        <v>731</v>
      </c>
      <c r="D1158" s="2" t="s">
        <v>1407</v>
      </c>
      <c r="E1158" s="2" t="s">
        <v>3636</v>
      </c>
      <c r="F1158" s="2" t="s">
        <v>6119</v>
      </c>
      <c r="G1158" s="2" t="s">
        <v>6119</v>
      </c>
      <c r="H1158" s="2" t="s">
        <v>228</v>
      </c>
      <c r="I1158" s="2" t="s">
        <v>226</v>
      </c>
      <c r="J1158" s="2" t="s">
        <v>294</v>
      </c>
      <c r="K1158" s="2" t="s">
        <v>265</v>
      </c>
      <c r="L1158" s="3">
        <v>89.41</v>
      </c>
      <c r="M1158" s="3">
        <v>93.88</v>
      </c>
      <c r="N1158" s="3">
        <v>174.99</v>
      </c>
      <c r="O1158" s="2" t="s">
        <v>240</v>
      </c>
      <c r="P1158" s="2" t="s">
        <v>715</v>
      </c>
      <c r="Q1158" s="2" t="s">
        <v>234</v>
      </c>
      <c r="R1158" s="2" t="s">
        <v>228</v>
      </c>
      <c r="S1158" s="2" t="s">
        <v>6120</v>
      </c>
      <c r="T1158" s="2" t="s">
        <v>1266</v>
      </c>
      <c r="U1158" s="2" t="s">
        <v>228</v>
      </c>
      <c r="V1158" s="2" t="s">
        <v>236</v>
      </c>
      <c r="W1158" s="2" t="s">
        <v>269</v>
      </c>
      <c r="X1158" s="2" t="s">
        <v>228</v>
      </c>
      <c r="Y1158" s="2" t="s">
        <v>6125</v>
      </c>
      <c r="Z1158" s="4">
        <v>353</v>
      </c>
      <c r="AA1158" s="4">
        <f>=ROUNDDOWN(18.5789473684211,0)</f>
      </c>
      <c r="AB1158" s="5">
        <v>19</v>
      </c>
      <c r="AC1158" s="2" t="s">
        <v>209</v>
      </c>
      <c r="AD1158" s="4">
        <v>300</v>
      </c>
      <c r="AE1158" s="4">
        <v>300</v>
      </c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228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228</v>
      </c>
      <c r="AW1158" s="8" t="s">
        <v>228</v>
      </c>
      <c r="AX1158" s="4" t="s">
        <v>228</v>
      </c>
      <c r="AY1158" s="8" t="s">
        <v>228</v>
      </c>
      <c r="AZ1158" s="7" t="s">
        <v>228</v>
      </c>
      <c r="BA1158" s="7" t="s">
        <v>228</v>
      </c>
      <c r="BB1158" s="7"/>
      <c r="BC1158" s="4" t="s">
        <v>228</v>
      </c>
      <c r="BD1158" s="8" t="s">
        <v>228</v>
      </c>
      <c r="BE1158" s="4" t="s">
        <v>228</v>
      </c>
      <c r="BF1158" s="8" t="s">
        <v>228</v>
      </c>
      <c r="BG1158" s="7" t="s">
        <v>228</v>
      </c>
      <c r="BH1158" s="7" t="s">
        <v>228</v>
      </c>
      <c r="BI1158" s="7"/>
      <c r="BJ1158" s="4">
        <v>18</v>
      </c>
      <c r="BK1158" s="8">
        <v>1873.85</v>
      </c>
      <c r="BL1158" s="2" t="s">
        <v>6126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6127</v>
      </c>
      <c r="BV1158" s="2" t="s">
        <v>228</v>
      </c>
      <c r="BW1158" s="2" t="s">
        <v>228</v>
      </c>
      <c r="BX1158" s="2" t="s">
        <v>273</v>
      </c>
      <c r="BY1158" s="2" t="s">
        <v>274</v>
      </c>
      <c r="BZ1158" s="2" t="s">
        <v>240</v>
      </c>
      <c r="CA1158" s="2" t="s">
        <v>2655</v>
      </c>
      <c r="CB1158" s="2" t="s">
        <v>1365</v>
      </c>
      <c r="CC1158" s="2" t="s">
        <v>241</v>
      </c>
      <c r="CD1158" s="2" t="s">
        <v>228</v>
      </c>
      <c r="CE1158" s="4">
        <v>353</v>
      </c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  <c r="GQ1158" s="4"/>
      <c r="GR1158" s="4"/>
      <c r="GS1158" s="4">
        <v>300</v>
      </c>
      <c r="GT1158" s="4"/>
      <c r="GU1158" s="4"/>
      <c r="GV1158" s="4"/>
      <c r="GW1158" s="4"/>
      <c r="GX1158" s="4"/>
      <c r="GY1158" s="4"/>
      <c r="GZ1158" s="4"/>
      <c r="HA1158" s="4"/>
      <c r="HB1158" s="4"/>
      <c r="HC1158" s="4"/>
      <c r="HD1158" s="4"/>
      <c r="HE1158" s="4"/>
    </row>
    <row r="1159">
      <c r="A1159" s="2" t="s">
        <v>6128</v>
      </c>
      <c r="B1159" s="2" t="s">
        <v>223</v>
      </c>
      <c r="C1159" s="2" t="s">
        <v>731</v>
      </c>
      <c r="D1159" s="2" t="s">
        <v>1407</v>
      </c>
      <c r="E1159" s="2" t="s">
        <v>1408</v>
      </c>
      <c r="F1159" s="2" t="s">
        <v>6119</v>
      </c>
      <c r="G1159" s="2" t="s">
        <v>6119</v>
      </c>
      <c r="H1159" s="2" t="s">
        <v>228</v>
      </c>
      <c r="I1159" s="2" t="s">
        <v>2421</v>
      </c>
      <c r="J1159" s="2" t="s">
        <v>4972</v>
      </c>
      <c r="K1159" s="2" t="s">
        <v>265</v>
      </c>
      <c r="L1159" s="3">
        <v>36.8</v>
      </c>
      <c r="M1159" s="3">
        <v>38.64</v>
      </c>
      <c r="N1159" s="3">
        <v>79.99</v>
      </c>
      <c r="O1159" s="2" t="s">
        <v>240</v>
      </c>
      <c r="P1159" s="2" t="s">
        <v>715</v>
      </c>
      <c r="Q1159" s="2" t="s">
        <v>234</v>
      </c>
      <c r="R1159" s="2" t="s">
        <v>228</v>
      </c>
      <c r="S1159" s="2" t="s">
        <v>6129</v>
      </c>
      <c r="T1159" s="2" t="s">
        <v>1266</v>
      </c>
      <c r="U1159" s="2" t="s">
        <v>228</v>
      </c>
      <c r="V1159" s="2" t="s">
        <v>236</v>
      </c>
      <c r="W1159" s="2" t="s">
        <v>269</v>
      </c>
      <c r="X1159" s="2" t="s">
        <v>228</v>
      </c>
      <c r="Y1159" s="2" t="s">
        <v>270</v>
      </c>
      <c r="Z1159" s="4">
        <v>87</v>
      </c>
      <c r="AA1159" s="4">
        <f>=ROUNDDOWN(5.4375,0)</f>
      </c>
      <c r="AB1159" s="5">
        <v>16</v>
      </c>
      <c r="AC1159" s="2" t="s">
        <v>1014</v>
      </c>
      <c r="AD1159" s="4">
        <v>250</v>
      </c>
      <c r="AE1159" s="4">
        <v>1300</v>
      </c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228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228</v>
      </c>
      <c r="AW1159" s="8" t="s">
        <v>228</v>
      </c>
      <c r="AX1159" s="4" t="s">
        <v>228</v>
      </c>
      <c r="AY1159" s="8" t="s">
        <v>228</v>
      </c>
      <c r="AZ1159" s="7" t="s">
        <v>228</v>
      </c>
      <c r="BA1159" s="7" t="s">
        <v>228</v>
      </c>
      <c r="BB1159" s="7"/>
      <c r="BC1159" s="4" t="s">
        <v>228</v>
      </c>
      <c r="BD1159" s="8" t="s">
        <v>228</v>
      </c>
      <c r="BE1159" s="4" t="s">
        <v>228</v>
      </c>
      <c r="BF1159" s="8" t="s">
        <v>228</v>
      </c>
      <c r="BG1159" s="7" t="s">
        <v>228</v>
      </c>
      <c r="BH1159" s="7" t="s">
        <v>228</v>
      </c>
      <c r="BI1159" s="7"/>
      <c r="BJ1159" s="4">
        <v>4</v>
      </c>
      <c r="BK1159" s="8">
        <v>150.82</v>
      </c>
      <c r="BL1159" s="2" t="s">
        <v>6130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6131</v>
      </c>
      <c r="BV1159" s="2" t="s">
        <v>228</v>
      </c>
      <c r="BW1159" s="2" t="s">
        <v>228</v>
      </c>
      <c r="BX1159" s="2" t="s">
        <v>273</v>
      </c>
      <c r="BY1159" s="2" t="s">
        <v>274</v>
      </c>
      <c r="BZ1159" s="2" t="s">
        <v>240</v>
      </c>
      <c r="CA1159" s="2" t="s">
        <v>2655</v>
      </c>
      <c r="CB1159" s="2" t="s">
        <v>1365</v>
      </c>
      <c r="CC1159" s="2" t="s">
        <v>241</v>
      </c>
      <c r="CD1159" s="2" t="s">
        <v>228</v>
      </c>
      <c r="CE1159" s="4">
        <v>87</v>
      </c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>
        <v>250</v>
      </c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>
        <v>360</v>
      </c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>
        <v>220</v>
      </c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/>
      <c r="GG1159" s="4"/>
      <c r="GH1159" s="4"/>
      <c r="GI1159" s="4"/>
      <c r="GJ1159" s="4"/>
      <c r="GK1159" s="4"/>
      <c r="GL1159" s="4"/>
      <c r="GM1159" s="4"/>
      <c r="GN1159" s="4"/>
      <c r="GO1159" s="4"/>
      <c r="GP1159" s="4"/>
      <c r="GQ1159" s="4"/>
      <c r="GR1159" s="4"/>
      <c r="GS1159" s="4">
        <v>70</v>
      </c>
      <c r="GT1159" s="4"/>
      <c r="GU1159" s="4"/>
      <c r="GV1159" s="4"/>
      <c r="GW1159" s="4"/>
      <c r="GX1159" s="4"/>
      <c r="GY1159" s="4"/>
      <c r="GZ1159" s="4">
        <v>400</v>
      </c>
      <c r="HA1159" s="4"/>
      <c r="HB1159" s="4"/>
      <c r="HC1159" s="4"/>
      <c r="HD1159" s="4"/>
      <c r="HE1159" s="4"/>
    </row>
    <row r="1160">
      <c r="A1160" s="2" t="s">
        <v>6132</v>
      </c>
      <c r="B1160" s="2" t="s">
        <v>223</v>
      </c>
      <c r="C1160" s="2" t="s">
        <v>731</v>
      </c>
      <c r="D1160" s="2" t="s">
        <v>1407</v>
      </c>
      <c r="E1160" s="2" t="s">
        <v>1408</v>
      </c>
      <c r="F1160" s="2" t="s">
        <v>6119</v>
      </c>
      <c r="G1160" s="2" t="s">
        <v>6119</v>
      </c>
      <c r="H1160" s="2" t="s">
        <v>228</v>
      </c>
      <c r="I1160" s="2" t="s">
        <v>2421</v>
      </c>
      <c r="J1160" s="2" t="s">
        <v>4972</v>
      </c>
      <c r="K1160" s="2" t="s">
        <v>1421</v>
      </c>
      <c r="L1160" s="3">
        <v>36.8</v>
      </c>
      <c r="M1160" s="3">
        <v>38.64</v>
      </c>
      <c r="N1160" s="3">
        <v>79.99</v>
      </c>
      <c r="O1160" s="2" t="s">
        <v>240</v>
      </c>
      <c r="P1160" s="2" t="s">
        <v>266</v>
      </c>
      <c r="Q1160" s="2" t="s">
        <v>234</v>
      </c>
      <c r="R1160" s="2" t="s">
        <v>228</v>
      </c>
      <c r="S1160" s="2" t="s">
        <v>6133</v>
      </c>
      <c r="T1160" s="2" t="s">
        <v>1266</v>
      </c>
      <c r="U1160" s="2" t="s">
        <v>228</v>
      </c>
      <c r="V1160" s="2" t="s">
        <v>236</v>
      </c>
      <c r="W1160" s="2" t="s">
        <v>269</v>
      </c>
      <c r="X1160" s="2" t="s">
        <v>228</v>
      </c>
      <c r="Y1160" s="2" t="s">
        <v>270</v>
      </c>
      <c r="Z1160" s="4">
        <v>755</v>
      </c>
      <c r="AA1160" s="4">
        <f>=ROUNDDOWN(53.9285714285714,0)</f>
      </c>
      <c r="AB1160" s="5">
        <v>14</v>
      </c>
      <c r="AC1160" s="2" t="s">
        <v>228</v>
      </c>
      <c r="AD1160" s="4"/>
      <c r="AE1160" s="4"/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228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/>
      <c r="AW1160" s="8"/>
      <c r="AX1160" s="4"/>
      <c r="AY1160" s="8"/>
      <c r="AZ1160" s="7"/>
      <c r="BA1160" s="7"/>
      <c r="BB1160" s="7"/>
      <c r="BC1160" s="4" t="s">
        <v>228</v>
      </c>
      <c r="BD1160" s="8" t="s">
        <v>228</v>
      </c>
      <c r="BE1160" s="4" t="s">
        <v>228</v>
      </c>
      <c r="BF1160" s="8" t="s">
        <v>228</v>
      </c>
      <c r="BG1160" s="7" t="s">
        <v>228</v>
      </c>
      <c r="BH1160" s="7" t="s">
        <v>228</v>
      </c>
      <c r="BI1160" s="7"/>
      <c r="BJ1160" s="4">
        <v>8</v>
      </c>
      <c r="BK1160" s="8">
        <v>311.7</v>
      </c>
      <c r="BL1160" s="2" t="s">
        <v>6134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6135</v>
      </c>
      <c r="BV1160" s="2" t="s">
        <v>228</v>
      </c>
      <c r="BW1160" s="2" t="s">
        <v>228</v>
      </c>
      <c r="BX1160" s="2" t="s">
        <v>273</v>
      </c>
      <c r="BY1160" s="2" t="s">
        <v>274</v>
      </c>
      <c r="BZ1160" s="2" t="s">
        <v>240</v>
      </c>
      <c r="CA1160" s="2" t="s">
        <v>2655</v>
      </c>
      <c r="CB1160" s="2" t="s">
        <v>6136</v>
      </c>
      <c r="CC1160" s="2" t="s">
        <v>241</v>
      </c>
      <c r="CD1160" s="2" t="s">
        <v>228</v>
      </c>
      <c r="CE1160" s="4">
        <v>755</v>
      </c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/>
      <c r="HB1160" s="4"/>
      <c r="HC1160" s="4"/>
      <c r="HD1160" s="4"/>
      <c r="HE1160" s="4"/>
    </row>
    <row r="1161">
      <c r="A1161" s="2" t="s">
        <v>6137</v>
      </c>
      <c r="B1161" s="2" t="s">
        <v>223</v>
      </c>
      <c r="C1161" s="2" t="s">
        <v>731</v>
      </c>
      <c r="D1161" s="2" t="s">
        <v>1407</v>
      </c>
      <c r="E1161" s="2" t="s">
        <v>3636</v>
      </c>
      <c r="F1161" s="2" t="s">
        <v>6119</v>
      </c>
      <c r="G1161" s="2" t="s">
        <v>6119</v>
      </c>
      <c r="H1161" s="2" t="s">
        <v>228</v>
      </c>
      <c r="I1161" s="2" t="s">
        <v>226</v>
      </c>
      <c r="J1161" s="2" t="s">
        <v>289</v>
      </c>
      <c r="K1161" s="2" t="s">
        <v>1606</v>
      </c>
      <c r="L1161" s="3">
        <v>79.48</v>
      </c>
      <c r="M1161" s="3">
        <v>83.45</v>
      </c>
      <c r="N1161" s="3">
        <v>154.99</v>
      </c>
      <c r="O1161" s="2" t="s">
        <v>240</v>
      </c>
      <c r="P1161" s="2" t="s">
        <v>266</v>
      </c>
      <c r="Q1161" s="2" t="s">
        <v>234</v>
      </c>
      <c r="R1161" s="2" t="s">
        <v>228</v>
      </c>
      <c r="S1161" s="2" t="s">
        <v>6138</v>
      </c>
      <c r="T1161" s="2" t="s">
        <v>1266</v>
      </c>
      <c r="U1161" s="2" t="s">
        <v>228</v>
      </c>
      <c r="V1161" s="2" t="s">
        <v>236</v>
      </c>
      <c r="W1161" s="2" t="s">
        <v>269</v>
      </c>
      <c r="X1161" s="2" t="s">
        <v>228</v>
      </c>
      <c r="Y1161" s="2" t="s">
        <v>270</v>
      </c>
      <c r="Z1161" s="4">
        <v>267</v>
      </c>
      <c r="AA1161" s="4">
        <f>=ROUNDDOWN(38.1428571428571,0)</f>
      </c>
      <c r="AB1161" s="5">
        <v>7</v>
      </c>
      <c r="AC1161" s="2" t="s">
        <v>228</v>
      </c>
      <c r="AD1161" s="4"/>
      <c r="AE1161" s="4"/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228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228</v>
      </c>
      <c r="AW1161" s="8" t="s">
        <v>228</v>
      </c>
      <c r="AX1161" s="4" t="s">
        <v>228</v>
      </c>
      <c r="AY1161" s="8" t="s">
        <v>228</v>
      </c>
      <c r="AZ1161" s="7" t="s">
        <v>228</v>
      </c>
      <c r="BA1161" s="7" t="s">
        <v>228</v>
      </c>
      <c r="BB1161" s="7"/>
      <c r="BC1161" s="4" t="s">
        <v>228</v>
      </c>
      <c r="BD1161" s="8" t="s">
        <v>228</v>
      </c>
      <c r="BE1161" s="4" t="s">
        <v>228</v>
      </c>
      <c r="BF1161" s="8" t="s">
        <v>228</v>
      </c>
      <c r="BG1161" s="7" t="s">
        <v>228</v>
      </c>
      <c r="BH1161" s="7" t="s">
        <v>228</v>
      </c>
      <c r="BI1161" s="7"/>
      <c r="BJ1161" s="4">
        <v>1</v>
      </c>
      <c r="BK1161" s="8">
        <v>75</v>
      </c>
      <c r="BL1161" s="2" t="s">
        <v>6139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6140</v>
      </c>
      <c r="BV1161" s="2" t="s">
        <v>228</v>
      </c>
      <c r="BW1161" s="2" t="s">
        <v>228</v>
      </c>
      <c r="BX1161" s="2" t="s">
        <v>273</v>
      </c>
      <c r="BY1161" s="2" t="s">
        <v>274</v>
      </c>
      <c r="BZ1161" s="2" t="s">
        <v>240</v>
      </c>
      <c r="CA1161" s="2" t="s">
        <v>2655</v>
      </c>
      <c r="CB1161" s="2" t="s">
        <v>1365</v>
      </c>
      <c r="CC1161" s="2" t="s">
        <v>241</v>
      </c>
      <c r="CD1161" s="2" t="s">
        <v>228</v>
      </c>
      <c r="CE1161" s="4">
        <v>267</v>
      </c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/>
      <c r="GG1161" s="4"/>
      <c r="GH1161" s="4"/>
      <c r="GI1161" s="4"/>
      <c r="GJ1161" s="4"/>
      <c r="GK1161" s="4"/>
      <c r="GL1161" s="4"/>
      <c r="GM1161" s="4"/>
      <c r="GN1161" s="4"/>
      <c r="GO1161" s="4"/>
      <c r="GP1161" s="4"/>
      <c r="GQ1161" s="4"/>
      <c r="GR1161" s="4"/>
      <c r="GS1161" s="4"/>
      <c r="GT1161" s="4"/>
      <c r="GU1161" s="4"/>
      <c r="GV1161" s="4"/>
      <c r="GW1161" s="4"/>
      <c r="GX1161" s="4"/>
      <c r="GY1161" s="4"/>
      <c r="GZ1161" s="4"/>
      <c r="HA1161" s="4"/>
      <c r="HB1161" s="4"/>
      <c r="HC1161" s="4"/>
      <c r="HD1161" s="4"/>
      <c r="HE1161" s="4"/>
    </row>
    <row r="1162">
      <c r="A1162" s="2" t="s">
        <v>6141</v>
      </c>
      <c r="B1162" s="2" t="s">
        <v>223</v>
      </c>
      <c r="C1162" s="2" t="s">
        <v>731</v>
      </c>
      <c r="D1162" s="2" t="s">
        <v>1407</v>
      </c>
      <c r="E1162" s="2" t="s">
        <v>3636</v>
      </c>
      <c r="F1162" s="2" t="s">
        <v>6119</v>
      </c>
      <c r="G1162" s="2" t="s">
        <v>6119</v>
      </c>
      <c r="H1162" s="2" t="s">
        <v>228</v>
      </c>
      <c r="I1162" s="2" t="s">
        <v>226</v>
      </c>
      <c r="J1162" s="2" t="s">
        <v>294</v>
      </c>
      <c r="K1162" s="2" t="s">
        <v>1606</v>
      </c>
      <c r="L1162" s="3">
        <v>89.41</v>
      </c>
      <c r="M1162" s="3">
        <v>93.88</v>
      </c>
      <c r="N1162" s="3">
        <v>174.99</v>
      </c>
      <c r="O1162" s="2" t="s">
        <v>240</v>
      </c>
      <c r="P1162" s="2" t="s">
        <v>266</v>
      </c>
      <c r="Q1162" s="2" t="s">
        <v>234</v>
      </c>
      <c r="R1162" s="2" t="s">
        <v>228</v>
      </c>
      <c r="S1162" s="2" t="s">
        <v>6138</v>
      </c>
      <c r="T1162" s="2" t="s">
        <v>1266</v>
      </c>
      <c r="U1162" s="2" t="s">
        <v>228</v>
      </c>
      <c r="V1162" s="2" t="s">
        <v>236</v>
      </c>
      <c r="W1162" s="2" t="s">
        <v>269</v>
      </c>
      <c r="X1162" s="2" t="s">
        <v>228</v>
      </c>
      <c r="Y1162" s="2" t="s">
        <v>6125</v>
      </c>
      <c r="Z1162" s="4">
        <v>430</v>
      </c>
      <c r="AA1162" s="4">
        <f>=ROUNDDOWN(35.8333333333333,0)</f>
      </c>
      <c r="AB1162" s="5">
        <v>12</v>
      </c>
      <c r="AC1162" s="2" t="s">
        <v>216</v>
      </c>
      <c r="AD1162" s="4">
        <v>300</v>
      </c>
      <c r="AE1162" s="4">
        <v>300</v>
      </c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228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228</v>
      </c>
      <c r="AW1162" s="8" t="s">
        <v>228</v>
      </c>
      <c r="AX1162" s="4" t="s">
        <v>228</v>
      </c>
      <c r="AY1162" s="8" t="s">
        <v>228</v>
      </c>
      <c r="AZ1162" s="7" t="s">
        <v>228</v>
      </c>
      <c r="BA1162" s="7" t="s">
        <v>228</v>
      </c>
      <c r="BB1162" s="7"/>
      <c r="BC1162" s="4" t="s">
        <v>228</v>
      </c>
      <c r="BD1162" s="8" t="s">
        <v>228</v>
      </c>
      <c r="BE1162" s="4" t="s">
        <v>228</v>
      </c>
      <c r="BF1162" s="8" t="s">
        <v>228</v>
      </c>
      <c r="BG1162" s="7" t="s">
        <v>228</v>
      </c>
      <c r="BH1162" s="7" t="s">
        <v>228</v>
      </c>
      <c r="BI1162" s="7"/>
      <c r="BJ1162" s="4">
        <v>7</v>
      </c>
      <c r="BK1162" s="8">
        <v>689.14</v>
      </c>
      <c r="BL1162" s="2" t="s">
        <v>6142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6143</v>
      </c>
      <c r="BV1162" s="2" t="s">
        <v>228</v>
      </c>
      <c r="BW1162" s="2" t="s">
        <v>228</v>
      </c>
      <c r="BX1162" s="2" t="s">
        <v>273</v>
      </c>
      <c r="BY1162" s="2" t="s">
        <v>274</v>
      </c>
      <c r="BZ1162" s="2" t="s">
        <v>240</v>
      </c>
      <c r="CA1162" s="2" t="s">
        <v>2655</v>
      </c>
      <c r="CB1162" s="2" t="s">
        <v>6144</v>
      </c>
      <c r="CC1162" s="2" t="s">
        <v>241</v>
      </c>
      <c r="CD1162" s="2" t="s">
        <v>228</v>
      </c>
      <c r="CE1162" s="4">
        <v>430</v>
      </c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GZ1162" s="4">
        <v>300</v>
      </c>
      <c r="HA1162" s="4"/>
      <c r="HB1162" s="4"/>
      <c r="HC1162" s="4"/>
      <c r="HD1162" s="4"/>
      <c r="HE1162" s="4"/>
    </row>
    <row r="1163">
      <c r="A1163" s="2" t="s">
        <v>6145</v>
      </c>
      <c r="B1163" s="2" t="s">
        <v>223</v>
      </c>
      <c r="C1163" s="2" t="s">
        <v>731</v>
      </c>
      <c r="D1163" s="2" t="s">
        <v>1407</v>
      </c>
      <c r="E1163" s="2" t="s">
        <v>3636</v>
      </c>
      <c r="F1163" s="2" t="s">
        <v>6119</v>
      </c>
      <c r="G1163" s="2" t="s">
        <v>6119</v>
      </c>
      <c r="H1163" s="2" t="s">
        <v>228</v>
      </c>
      <c r="I1163" s="2" t="s">
        <v>226</v>
      </c>
      <c r="J1163" s="2" t="s">
        <v>264</v>
      </c>
      <c r="K1163" s="2" t="s">
        <v>249</v>
      </c>
      <c r="L1163" s="3">
        <v>54.64</v>
      </c>
      <c r="M1163" s="3">
        <v>57.37</v>
      </c>
      <c r="N1163" s="3">
        <v>104.99</v>
      </c>
      <c r="O1163" s="2" t="s">
        <v>240</v>
      </c>
      <c r="P1163" s="2" t="s">
        <v>815</v>
      </c>
      <c r="Q1163" s="2" t="s">
        <v>234</v>
      </c>
      <c r="R1163" s="2" t="s">
        <v>228</v>
      </c>
      <c r="S1163" s="2" t="s">
        <v>6146</v>
      </c>
      <c r="T1163" s="2" t="s">
        <v>1266</v>
      </c>
      <c r="U1163" s="2" t="s">
        <v>228</v>
      </c>
      <c r="V1163" s="2" t="s">
        <v>236</v>
      </c>
      <c r="W1163" s="2" t="s">
        <v>269</v>
      </c>
      <c r="X1163" s="2" t="s">
        <v>228</v>
      </c>
      <c r="Y1163" s="2" t="s">
        <v>6125</v>
      </c>
      <c r="Z1163" s="4">
        <v>175</v>
      </c>
      <c r="AA1163" s="4">
        <f>=ROUNDDOWN(10.9375,0)</f>
      </c>
      <c r="AB1163" s="5">
        <v>16</v>
      </c>
      <c r="AC1163" s="2" t="s">
        <v>1014</v>
      </c>
      <c r="AD1163" s="4">
        <v>240</v>
      </c>
      <c r="AE1163" s="4">
        <v>350</v>
      </c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228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/>
      <c r="AW1163" s="8"/>
      <c r="AX1163" s="4"/>
      <c r="AY1163" s="8"/>
      <c r="AZ1163" s="7"/>
      <c r="BA1163" s="7"/>
      <c r="BB1163" s="7"/>
      <c r="BC1163" s="4" t="s">
        <v>228</v>
      </c>
      <c r="BD1163" s="8" t="s">
        <v>228</v>
      </c>
      <c r="BE1163" s="4" t="s">
        <v>228</v>
      </c>
      <c r="BF1163" s="8" t="s">
        <v>228</v>
      </c>
      <c r="BG1163" s="7" t="s">
        <v>228</v>
      </c>
      <c r="BH1163" s="7" t="s">
        <v>228</v>
      </c>
      <c r="BI1163" s="7"/>
      <c r="BJ1163" s="4">
        <v>15</v>
      </c>
      <c r="BK1163" s="8">
        <v>925.41</v>
      </c>
      <c r="BL1163" s="2" t="s">
        <v>6147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6148</v>
      </c>
      <c r="BV1163" s="2" t="s">
        <v>228</v>
      </c>
      <c r="BW1163" s="2" t="s">
        <v>228</v>
      </c>
      <c r="BX1163" s="2" t="s">
        <v>273</v>
      </c>
      <c r="BY1163" s="2" t="s">
        <v>274</v>
      </c>
      <c r="BZ1163" s="2" t="s">
        <v>240</v>
      </c>
      <c r="CA1163" s="2" t="s">
        <v>275</v>
      </c>
      <c r="CB1163" s="2" t="s">
        <v>6149</v>
      </c>
      <c r="CC1163" s="2" t="s">
        <v>241</v>
      </c>
      <c r="CD1163" s="2" t="s">
        <v>228</v>
      </c>
      <c r="CE1163" s="4">
        <v>175</v>
      </c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>
        <v>240</v>
      </c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  <c r="GH1163" s="4"/>
      <c r="GI1163" s="4"/>
      <c r="GJ1163" s="4"/>
      <c r="GK1163" s="4"/>
      <c r="GL1163" s="4"/>
      <c r="GM1163" s="4"/>
      <c r="GN1163" s="4"/>
      <c r="GO1163" s="4"/>
      <c r="GP1163" s="4"/>
      <c r="GQ1163" s="4"/>
      <c r="GR1163" s="4"/>
      <c r="GS1163" s="4">
        <v>110</v>
      </c>
      <c r="GT1163" s="4"/>
      <c r="GU1163" s="4"/>
      <c r="GV1163" s="4"/>
      <c r="GW1163" s="4"/>
      <c r="GX1163" s="4"/>
      <c r="GY1163" s="4"/>
      <c r="GZ1163" s="4"/>
      <c r="HA1163" s="4"/>
      <c r="HB1163" s="4"/>
      <c r="HC1163" s="4"/>
      <c r="HD1163" s="4"/>
      <c r="HE1163" s="4"/>
    </row>
    <row r="1164">
      <c r="A1164" s="2" t="s">
        <v>6150</v>
      </c>
      <c r="B1164" s="2" t="s">
        <v>223</v>
      </c>
      <c r="C1164" s="2" t="s">
        <v>731</v>
      </c>
      <c r="D1164" s="2" t="s">
        <v>1407</v>
      </c>
      <c r="E1164" s="2" t="s">
        <v>3636</v>
      </c>
      <c r="F1164" s="2" t="s">
        <v>6119</v>
      </c>
      <c r="G1164" s="2" t="s">
        <v>6119</v>
      </c>
      <c r="H1164" s="2" t="s">
        <v>228</v>
      </c>
      <c r="I1164" s="2" t="s">
        <v>226</v>
      </c>
      <c r="J1164" s="2" t="s">
        <v>264</v>
      </c>
      <c r="K1164" s="2" t="s">
        <v>2303</v>
      </c>
      <c r="L1164" s="3">
        <v>54.64</v>
      </c>
      <c r="M1164" s="3">
        <v>57.37</v>
      </c>
      <c r="N1164" s="3">
        <v>104.99</v>
      </c>
      <c r="O1164" s="2" t="s">
        <v>240</v>
      </c>
      <c r="P1164" s="2" t="s">
        <v>266</v>
      </c>
      <c r="Q1164" s="2" t="s">
        <v>234</v>
      </c>
      <c r="R1164" s="2" t="s">
        <v>228</v>
      </c>
      <c r="S1164" s="2" t="s">
        <v>6151</v>
      </c>
      <c r="T1164" s="2" t="s">
        <v>1266</v>
      </c>
      <c r="U1164" s="2" t="s">
        <v>228</v>
      </c>
      <c r="V1164" s="2" t="s">
        <v>236</v>
      </c>
      <c r="W1164" s="2" t="s">
        <v>269</v>
      </c>
      <c r="X1164" s="2" t="s">
        <v>228</v>
      </c>
      <c r="Y1164" s="2" t="s">
        <v>270</v>
      </c>
      <c r="Z1164" s="4">
        <v>177</v>
      </c>
      <c r="AA1164" s="4">
        <f>=ROUNDDOWN(22.125,0)</f>
      </c>
      <c r="AB1164" s="5">
        <v>8</v>
      </c>
      <c r="AC1164" s="2" t="s">
        <v>228</v>
      </c>
      <c r="AD1164" s="4"/>
      <c r="AE1164" s="4"/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228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228</v>
      </c>
      <c r="AW1164" s="8" t="s">
        <v>228</v>
      </c>
      <c r="AX1164" s="4" t="s">
        <v>228</v>
      </c>
      <c r="AY1164" s="8" t="s">
        <v>228</v>
      </c>
      <c r="AZ1164" s="7" t="s">
        <v>228</v>
      </c>
      <c r="BA1164" s="7" t="s">
        <v>228</v>
      </c>
      <c r="BB1164" s="7"/>
      <c r="BC1164" s="4" t="s">
        <v>228</v>
      </c>
      <c r="BD1164" s="8" t="s">
        <v>228</v>
      </c>
      <c r="BE1164" s="4" t="s">
        <v>228</v>
      </c>
      <c r="BF1164" s="8" t="s">
        <v>228</v>
      </c>
      <c r="BG1164" s="7" t="s">
        <v>228</v>
      </c>
      <c r="BH1164" s="7" t="s">
        <v>228</v>
      </c>
      <c r="BI1164" s="7"/>
      <c r="BJ1164" s="4">
        <v>13</v>
      </c>
      <c r="BK1164" s="8">
        <v>769.8</v>
      </c>
      <c r="BL1164" s="2" t="s">
        <v>6152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6153</v>
      </c>
      <c r="BV1164" s="2" t="s">
        <v>228</v>
      </c>
      <c r="BW1164" s="2" t="s">
        <v>228</v>
      </c>
      <c r="BX1164" s="2" t="s">
        <v>273</v>
      </c>
      <c r="BY1164" s="2" t="s">
        <v>274</v>
      </c>
      <c r="BZ1164" s="2" t="s">
        <v>240</v>
      </c>
      <c r="CA1164" s="2" t="s">
        <v>4976</v>
      </c>
      <c r="CB1164" s="2" t="s">
        <v>1951</v>
      </c>
      <c r="CC1164" s="2" t="s">
        <v>241</v>
      </c>
      <c r="CD1164" s="2" t="s">
        <v>228</v>
      </c>
      <c r="CE1164" s="4">
        <v>52</v>
      </c>
      <c r="CF1164" s="4"/>
      <c r="CG1164" s="4"/>
      <c r="CH1164" s="4">
        <v>125</v>
      </c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/>
      <c r="HD1164" s="4"/>
      <c r="HE1164" s="4"/>
    </row>
    <row r="1165">
      <c r="A1165" s="2" t="s">
        <v>6154</v>
      </c>
      <c r="B1165" s="2" t="s">
        <v>223</v>
      </c>
      <c r="C1165" s="2" t="s">
        <v>731</v>
      </c>
      <c r="D1165" s="2" t="s">
        <v>1407</v>
      </c>
      <c r="E1165" s="2" t="s">
        <v>3636</v>
      </c>
      <c r="F1165" s="2" t="s">
        <v>6119</v>
      </c>
      <c r="G1165" s="2" t="s">
        <v>6119</v>
      </c>
      <c r="H1165" s="2" t="s">
        <v>228</v>
      </c>
      <c r="I1165" s="2" t="s">
        <v>226</v>
      </c>
      <c r="J1165" s="2" t="s">
        <v>289</v>
      </c>
      <c r="K1165" s="2" t="s">
        <v>2303</v>
      </c>
      <c r="L1165" s="3">
        <v>79.48</v>
      </c>
      <c r="M1165" s="3">
        <v>83.45</v>
      </c>
      <c r="N1165" s="3">
        <v>154.99</v>
      </c>
      <c r="O1165" s="2" t="s">
        <v>240</v>
      </c>
      <c r="P1165" s="2" t="s">
        <v>266</v>
      </c>
      <c r="Q1165" s="2" t="s">
        <v>234</v>
      </c>
      <c r="R1165" s="2" t="s">
        <v>228</v>
      </c>
      <c r="S1165" s="2" t="s">
        <v>6151</v>
      </c>
      <c r="T1165" s="2" t="s">
        <v>1266</v>
      </c>
      <c r="U1165" s="2" t="s">
        <v>228</v>
      </c>
      <c r="V1165" s="2" t="s">
        <v>236</v>
      </c>
      <c r="W1165" s="2" t="s">
        <v>269</v>
      </c>
      <c r="X1165" s="2" t="s">
        <v>228</v>
      </c>
      <c r="Y1165" s="2" t="s">
        <v>270</v>
      </c>
      <c r="Z1165" s="4">
        <v>120</v>
      </c>
      <c r="AA1165" s="4">
        <f>=ROUNDDOWN(6.85714285714286,0)</f>
      </c>
      <c r="AB1165" s="5">
        <v>17.5</v>
      </c>
      <c r="AC1165" s="2" t="s">
        <v>1014</v>
      </c>
      <c r="AD1165" s="4">
        <v>170</v>
      </c>
      <c r="AE1165" s="4">
        <v>350</v>
      </c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228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228</v>
      </c>
      <c r="AW1165" s="8" t="s">
        <v>228</v>
      </c>
      <c r="AX1165" s="4" t="s">
        <v>228</v>
      </c>
      <c r="AY1165" s="8" t="s">
        <v>228</v>
      </c>
      <c r="AZ1165" s="7" t="s">
        <v>228</v>
      </c>
      <c r="BA1165" s="7" t="s">
        <v>228</v>
      </c>
      <c r="BB1165" s="7"/>
      <c r="BC1165" s="4" t="s">
        <v>228</v>
      </c>
      <c r="BD1165" s="8" t="s">
        <v>228</v>
      </c>
      <c r="BE1165" s="4" t="s">
        <v>228</v>
      </c>
      <c r="BF1165" s="8" t="s">
        <v>228</v>
      </c>
      <c r="BG1165" s="7" t="s">
        <v>228</v>
      </c>
      <c r="BH1165" s="7" t="s">
        <v>228</v>
      </c>
      <c r="BI1165" s="7"/>
      <c r="BJ1165" s="4">
        <v>23</v>
      </c>
      <c r="BK1165" s="8">
        <v>2009.44</v>
      </c>
      <c r="BL1165" s="2" t="s">
        <v>6155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6156</v>
      </c>
      <c r="BV1165" s="2" t="s">
        <v>228</v>
      </c>
      <c r="BW1165" s="2" t="s">
        <v>228</v>
      </c>
      <c r="BX1165" s="2" t="s">
        <v>273</v>
      </c>
      <c r="BY1165" s="2" t="s">
        <v>274</v>
      </c>
      <c r="BZ1165" s="2" t="s">
        <v>240</v>
      </c>
      <c r="CA1165" s="2" t="s">
        <v>4976</v>
      </c>
      <c r="CB1165" s="2" t="s">
        <v>6157</v>
      </c>
      <c r="CC1165" s="2" t="s">
        <v>241</v>
      </c>
      <c r="CD1165" s="2" t="s">
        <v>228</v>
      </c>
      <c r="CE1165" s="4">
        <v>120</v>
      </c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>
        <v>170</v>
      </c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>
        <v>100</v>
      </c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  <c r="GH1165" s="4"/>
      <c r="GI1165" s="4"/>
      <c r="GJ1165" s="4"/>
      <c r="GK1165" s="4"/>
      <c r="GL1165" s="4"/>
      <c r="GM1165" s="4"/>
      <c r="GN1165" s="4"/>
      <c r="GO1165" s="4"/>
      <c r="GP1165" s="4"/>
      <c r="GQ1165" s="4"/>
      <c r="GR1165" s="4"/>
      <c r="GS1165" s="4">
        <v>80</v>
      </c>
      <c r="GT1165" s="4"/>
      <c r="GU1165" s="4"/>
      <c r="GV1165" s="4"/>
      <c r="GW1165" s="4"/>
      <c r="GX1165" s="4"/>
      <c r="GY1165" s="4"/>
      <c r="GZ1165" s="4"/>
      <c r="HA1165" s="4"/>
      <c r="HB1165" s="4"/>
      <c r="HC1165" s="4"/>
      <c r="HD1165" s="4"/>
      <c r="HE1165" s="4"/>
    </row>
    <row r="1166">
      <c r="A1166" s="2" t="s">
        <v>6158</v>
      </c>
      <c r="B1166" s="2" t="s">
        <v>223</v>
      </c>
      <c r="C1166" s="2" t="s">
        <v>731</v>
      </c>
      <c r="D1166" s="2" t="s">
        <v>1407</v>
      </c>
      <c r="E1166" s="2" t="s">
        <v>3636</v>
      </c>
      <c r="F1166" s="2" t="s">
        <v>6119</v>
      </c>
      <c r="G1166" s="2" t="s">
        <v>6119</v>
      </c>
      <c r="H1166" s="2" t="s">
        <v>228</v>
      </c>
      <c r="I1166" s="2" t="s">
        <v>226</v>
      </c>
      <c r="J1166" s="2" t="s">
        <v>289</v>
      </c>
      <c r="K1166" s="2" t="s">
        <v>614</v>
      </c>
      <c r="L1166" s="3">
        <v>79.48</v>
      </c>
      <c r="M1166" s="3">
        <v>83.45</v>
      </c>
      <c r="N1166" s="3">
        <v>154.99</v>
      </c>
      <c r="O1166" s="2" t="s">
        <v>240</v>
      </c>
      <c r="P1166" s="2" t="s">
        <v>266</v>
      </c>
      <c r="Q1166" s="2" t="s">
        <v>234</v>
      </c>
      <c r="R1166" s="2" t="s">
        <v>228</v>
      </c>
      <c r="S1166" s="2" t="s">
        <v>6159</v>
      </c>
      <c r="T1166" s="2" t="s">
        <v>3112</v>
      </c>
      <c r="U1166" s="2" t="s">
        <v>416</v>
      </c>
      <c r="V1166" s="2" t="s">
        <v>236</v>
      </c>
      <c r="W1166" s="2" t="s">
        <v>269</v>
      </c>
      <c r="X1166" s="2" t="s">
        <v>228</v>
      </c>
      <c r="Y1166" s="2" t="s">
        <v>6099</v>
      </c>
      <c r="Z1166" s="4">
        <v>104</v>
      </c>
      <c r="AA1166" s="4">
        <f>=ROUNDDOWN(9.45454545454545,0)</f>
      </c>
      <c r="AB1166" s="5">
        <v>11</v>
      </c>
      <c r="AC1166" s="2" t="s">
        <v>6121</v>
      </c>
      <c r="AD1166" s="4">
        <v>150</v>
      </c>
      <c r="AE1166" s="4">
        <v>420</v>
      </c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228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228</v>
      </c>
      <c r="AW1166" s="8" t="s">
        <v>228</v>
      </c>
      <c r="AX1166" s="4" t="s">
        <v>228</v>
      </c>
      <c r="AY1166" s="8" t="s">
        <v>228</v>
      </c>
      <c r="AZ1166" s="7" t="s">
        <v>228</v>
      </c>
      <c r="BA1166" s="7" t="s">
        <v>228</v>
      </c>
      <c r="BB1166" s="7"/>
      <c r="BC1166" s="4" t="s">
        <v>228</v>
      </c>
      <c r="BD1166" s="8" t="s">
        <v>228</v>
      </c>
      <c r="BE1166" s="4" t="s">
        <v>228</v>
      </c>
      <c r="BF1166" s="8" t="s">
        <v>228</v>
      </c>
      <c r="BG1166" s="7" t="s">
        <v>228</v>
      </c>
      <c r="BH1166" s="7" t="s">
        <v>228</v>
      </c>
      <c r="BI1166" s="7"/>
      <c r="BJ1166" s="4">
        <v>41</v>
      </c>
      <c r="BK1166" s="8">
        <v>3774.22</v>
      </c>
      <c r="BL1166" s="2" t="s">
        <v>6160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6161</v>
      </c>
      <c r="BV1166" s="2" t="s">
        <v>228</v>
      </c>
      <c r="BW1166" s="2" t="s">
        <v>228</v>
      </c>
      <c r="BX1166" s="2" t="s">
        <v>273</v>
      </c>
      <c r="BY1166" s="2" t="s">
        <v>274</v>
      </c>
      <c r="BZ1166" s="2" t="s">
        <v>240</v>
      </c>
      <c r="CA1166" s="2" t="s">
        <v>6099</v>
      </c>
      <c r="CB1166" s="2" t="s">
        <v>6162</v>
      </c>
      <c r="CC1166" s="2" t="s">
        <v>241</v>
      </c>
      <c r="CD1166" s="2" t="s">
        <v>228</v>
      </c>
      <c r="CE1166" s="4">
        <v>104</v>
      </c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>
        <v>150</v>
      </c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>
        <v>150</v>
      </c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>
        <v>120</v>
      </c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GZ1166" s="4"/>
      <c r="HA1166" s="4"/>
      <c r="HB1166" s="4"/>
      <c r="HC1166" s="4"/>
      <c r="HD1166" s="4"/>
      <c r="HE1166" s="4"/>
    </row>
    <row r="1167">
      <c r="A1167" s="2" t="s">
        <v>6163</v>
      </c>
      <c r="B1167" s="2" t="s">
        <v>223</v>
      </c>
      <c r="C1167" s="2" t="s">
        <v>731</v>
      </c>
      <c r="D1167" s="2" t="s">
        <v>1407</v>
      </c>
      <c r="E1167" s="2" t="s">
        <v>1408</v>
      </c>
      <c r="F1167" s="2" t="s">
        <v>6119</v>
      </c>
      <c r="G1167" s="2" t="s">
        <v>6119</v>
      </c>
      <c r="H1167" s="2" t="s">
        <v>228</v>
      </c>
      <c r="I1167" s="2" t="s">
        <v>2421</v>
      </c>
      <c r="J1167" s="2" t="s">
        <v>4972</v>
      </c>
      <c r="K1167" s="2" t="s">
        <v>614</v>
      </c>
      <c r="L1167" s="3">
        <v>36.8</v>
      </c>
      <c r="M1167" s="3">
        <v>38.64</v>
      </c>
      <c r="N1167" s="3">
        <v>79.99</v>
      </c>
      <c r="O1167" s="2" t="s">
        <v>240</v>
      </c>
      <c r="P1167" s="2" t="s">
        <v>266</v>
      </c>
      <c r="Q1167" s="2" t="s">
        <v>234</v>
      </c>
      <c r="R1167" s="2" t="s">
        <v>228</v>
      </c>
      <c r="S1167" s="2" t="s">
        <v>6159</v>
      </c>
      <c r="T1167" s="2" t="s">
        <v>3112</v>
      </c>
      <c r="U1167" s="2" t="s">
        <v>416</v>
      </c>
      <c r="V1167" s="2" t="s">
        <v>236</v>
      </c>
      <c r="W1167" s="2" t="s">
        <v>269</v>
      </c>
      <c r="X1167" s="2" t="s">
        <v>228</v>
      </c>
      <c r="Y1167" s="2" t="s">
        <v>2095</v>
      </c>
      <c r="Z1167" s="4">
        <v>390</v>
      </c>
      <c r="AA1167" s="4">
        <f>=ROUNDDOWN(20.5263157894737,0)</f>
      </c>
      <c r="AB1167" s="5">
        <v>19</v>
      </c>
      <c r="AC1167" s="2" t="s">
        <v>1014</v>
      </c>
      <c r="AD1167" s="4">
        <v>230</v>
      </c>
      <c r="AE1167" s="4">
        <v>1000</v>
      </c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228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228</v>
      </c>
      <c r="AW1167" s="8" t="s">
        <v>228</v>
      </c>
      <c r="AX1167" s="4" t="s">
        <v>228</v>
      </c>
      <c r="AY1167" s="8" t="s">
        <v>228</v>
      </c>
      <c r="AZ1167" s="7" t="s">
        <v>228</v>
      </c>
      <c r="BA1167" s="7" t="s">
        <v>228</v>
      </c>
      <c r="BB1167" s="7"/>
      <c r="BC1167" s="4" t="s">
        <v>228</v>
      </c>
      <c r="BD1167" s="8" t="s">
        <v>228</v>
      </c>
      <c r="BE1167" s="4" t="s">
        <v>228</v>
      </c>
      <c r="BF1167" s="8" t="s">
        <v>228</v>
      </c>
      <c r="BG1167" s="7" t="s">
        <v>228</v>
      </c>
      <c r="BH1167" s="7" t="s">
        <v>228</v>
      </c>
      <c r="BI1167" s="7"/>
      <c r="BJ1167" s="4">
        <v>6</v>
      </c>
      <c r="BK1167" s="8">
        <v>239.09</v>
      </c>
      <c r="BL1167" s="2" t="s">
        <v>6164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6165</v>
      </c>
      <c r="BV1167" s="2" t="s">
        <v>228</v>
      </c>
      <c r="BW1167" s="2" t="s">
        <v>228</v>
      </c>
      <c r="BX1167" s="2" t="s">
        <v>273</v>
      </c>
      <c r="BY1167" s="2" t="s">
        <v>274</v>
      </c>
      <c r="BZ1167" s="2" t="s">
        <v>240</v>
      </c>
      <c r="CA1167" s="2" t="s">
        <v>2095</v>
      </c>
      <c r="CB1167" s="2" t="s">
        <v>6166</v>
      </c>
      <c r="CC1167" s="2" t="s">
        <v>241</v>
      </c>
      <c r="CD1167" s="2" t="s">
        <v>228</v>
      </c>
      <c r="CE1167" s="4">
        <v>390</v>
      </c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>
        <v>230</v>
      </c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>
        <v>420</v>
      </c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>
        <v>280</v>
      </c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  <c r="GG1167" s="4"/>
      <c r="GH1167" s="4"/>
      <c r="GI1167" s="4"/>
      <c r="GJ1167" s="4"/>
      <c r="GK1167" s="4"/>
      <c r="GL1167" s="4"/>
      <c r="GM1167" s="4"/>
      <c r="GN1167" s="4"/>
      <c r="GO1167" s="4"/>
      <c r="GP1167" s="4"/>
      <c r="GQ1167" s="4"/>
      <c r="GR1167" s="4"/>
      <c r="GS1167" s="4">
        <v>70</v>
      </c>
      <c r="GT1167" s="4"/>
      <c r="GU1167" s="4"/>
      <c r="GV1167" s="4"/>
      <c r="GW1167" s="4"/>
      <c r="GX1167" s="4"/>
      <c r="GY1167" s="4"/>
      <c r="GZ1167" s="4"/>
      <c r="HA1167" s="4"/>
      <c r="HB1167" s="4"/>
      <c r="HC1167" s="4"/>
      <c r="HD1167" s="4"/>
      <c r="HE1167" s="4"/>
    </row>
    <row r="1168">
      <c r="A1168" s="2" t="s">
        <v>6167</v>
      </c>
      <c r="B1168" s="2" t="s">
        <v>223</v>
      </c>
      <c r="C1168" s="2" t="s">
        <v>731</v>
      </c>
      <c r="D1168" s="2" t="s">
        <v>1407</v>
      </c>
      <c r="E1168" s="2" t="s">
        <v>3636</v>
      </c>
      <c r="F1168" s="2" t="s">
        <v>6119</v>
      </c>
      <c r="G1168" s="2" t="s">
        <v>6119</v>
      </c>
      <c r="H1168" s="2" t="s">
        <v>228</v>
      </c>
      <c r="I1168" s="2" t="s">
        <v>226</v>
      </c>
      <c r="J1168" s="2" t="s">
        <v>264</v>
      </c>
      <c r="K1168" s="2" t="s">
        <v>1390</v>
      </c>
      <c r="L1168" s="3">
        <v>54.64</v>
      </c>
      <c r="M1168" s="3">
        <v>57.37</v>
      </c>
      <c r="N1168" s="3">
        <v>104.99</v>
      </c>
      <c r="O1168" s="2" t="s">
        <v>461</v>
      </c>
      <c r="P1168" s="2" t="s">
        <v>333</v>
      </c>
      <c r="Q1168" s="2" t="s">
        <v>234</v>
      </c>
      <c r="R1168" s="2" t="s">
        <v>228</v>
      </c>
      <c r="S1168" s="2" t="s">
        <v>6168</v>
      </c>
      <c r="T1168" s="2" t="s">
        <v>1266</v>
      </c>
      <c r="U1168" s="2" t="s">
        <v>228</v>
      </c>
      <c r="V1168" s="2" t="s">
        <v>236</v>
      </c>
      <c r="W1168" s="2" t="s">
        <v>269</v>
      </c>
      <c r="X1168" s="2" t="s">
        <v>228</v>
      </c>
      <c r="Y1168" s="2" t="s">
        <v>3034</v>
      </c>
      <c r="Z1168" s="4">
        <v>255</v>
      </c>
      <c r="AA1168" s="4">
        <f>=ROUNDDOWN(51,0)</f>
      </c>
      <c r="AB1168" s="5">
        <v>5</v>
      </c>
      <c r="AC1168" s="2" t="s">
        <v>228</v>
      </c>
      <c r="AD1168" s="4"/>
      <c r="AE1168" s="4"/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228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228</v>
      </c>
      <c r="AW1168" s="8" t="s">
        <v>228</v>
      </c>
      <c r="AX1168" s="4" t="s">
        <v>228</v>
      </c>
      <c r="AY1168" s="8" t="s">
        <v>228</v>
      </c>
      <c r="AZ1168" s="7" t="s">
        <v>228</v>
      </c>
      <c r="BA1168" s="7" t="s">
        <v>228</v>
      </c>
      <c r="BB1168" s="7"/>
      <c r="BC1168" s="4" t="s">
        <v>228</v>
      </c>
      <c r="BD1168" s="8" t="s">
        <v>228</v>
      </c>
      <c r="BE1168" s="4" t="s">
        <v>228</v>
      </c>
      <c r="BF1168" s="8" t="s">
        <v>228</v>
      </c>
      <c r="BG1168" s="7" t="s">
        <v>228</v>
      </c>
      <c r="BH1168" s="7" t="s">
        <v>228</v>
      </c>
      <c r="BI1168" s="7"/>
      <c r="BJ1168" s="4">
        <v>9</v>
      </c>
      <c r="BK1168" s="8">
        <v>407.23</v>
      </c>
      <c r="BL1168" s="2" t="s">
        <v>6169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6170</v>
      </c>
      <c r="BV1168" s="2" t="s">
        <v>228</v>
      </c>
      <c r="BW1168" s="2" t="s">
        <v>228</v>
      </c>
      <c r="BX1168" s="2" t="s">
        <v>337</v>
      </c>
      <c r="BY1168" s="2" t="s">
        <v>274</v>
      </c>
      <c r="BZ1168" s="2" t="s">
        <v>240</v>
      </c>
      <c r="CA1168" s="2" t="s">
        <v>2655</v>
      </c>
      <c r="CB1168" s="2" t="s">
        <v>1365</v>
      </c>
      <c r="CC1168" s="2" t="s">
        <v>241</v>
      </c>
      <c r="CD1168" s="2" t="s">
        <v>228</v>
      </c>
      <c r="CE1168" s="4">
        <v>23</v>
      </c>
      <c r="CF1168" s="4"/>
      <c r="CG1168" s="4"/>
      <c r="CH1168" s="4">
        <v>232</v>
      </c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/>
      <c r="HB1168" s="4"/>
      <c r="HC1168" s="4"/>
      <c r="HD1168" s="4"/>
      <c r="HE1168" s="4"/>
    </row>
    <row r="1169">
      <c r="A1169" s="2" t="s">
        <v>6171</v>
      </c>
      <c r="B1169" s="2" t="s">
        <v>223</v>
      </c>
      <c r="C1169" s="2" t="s">
        <v>731</v>
      </c>
      <c r="D1169" s="2" t="s">
        <v>1407</v>
      </c>
      <c r="E1169" s="2" t="s">
        <v>3636</v>
      </c>
      <c r="F1169" s="2" t="s">
        <v>6119</v>
      </c>
      <c r="G1169" s="2" t="s">
        <v>6119</v>
      </c>
      <c r="H1169" s="2" t="s">
        <v>228</v>
      </c>
      <c r="I1169" s="2" t="s">
        <v>226</v>
      </c>
      <c r="J1169" s="2" t="s">
        <v>284</v>
      </c>
      <c r="K1169" s="2" t="s">
        <v>1390</v>
      </c>
      <c r="L1169" s="3">
        <v>59.61</v>
      </c>
      <c r="M1169" s="3">
        <v>62.59</v>
      </c>
      <c r="N1169" s="3">
        <v>114.99</v>
      </c>
      <c r="O1169" s="2" t="s">
        <v>240</v>
      </c>
      <c r="P1169" s="2" t="s">
        <v>266</v>
      </c>
      <c r="Q1169" s="2" t="s">
        <v>234</v>
      </c>
      <c r="R1169" s="2" t="s">
        <v>228</v>
      </c>
      <c r="S1169" s="2" t="s">
        <v>6168</v>
      </c>
      <c r="T1169" s="2" t="s">
        <v>1266</v>
      </c>
      <c r="U1169" s="2" t="s">
        <v>228</v>
      </c>
      <c r="V1169" s="2" t="s">
        <v>236</v>
      </c>
      <c r="W1169" s="2" t="s">
        <v>269</v>
      </c>
      <c r="X1169" s="2" t="s">
        <v>228</v>
      </c>
      <c r="Y1169" s="2" t="s">
        <v>6125</v>
      </c>
      <c r="Z1169" s="4">
        <v>155</v>
      </c>
      <c r="AA1169" s="4">
        <f>=ROUNDDOWN(10.3333333333333,0)</f>
      </c>
      <c r="AB1169" s="5">
        <v>15</v>
      </c>
      <c r="AC1169" s="2" t="s">
        <v>1014</v>
      </c>
      <c r="AD1169" s="4">
        <v>150</v>
      </c>
      <c r="AE1169" s="4">
        <v>340</v>
      </c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228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228</v>
      </c>
      <c r="AW1169" s="8" t="s">
        <v>228</v>
      </c>
      <c r="AX1169" s="4" t="s">
        <v>228</v>
      </c>
      <c r="AY1169" s="8" t="s">
        <v>228</v>
      </c>
      <c r="AZ1169" s="7" t="s">
        <v>228</v>
      </c>
      <c r="BA1169" s="7" t="s">
        <v>228</v>
      </c>
      <c r="BB1169" s="7"/>
      <c r="BC1169" s="4" t="s">
        <v>228</v>
      </c>
      <c r="BD1169" s="8" t="s">
        <v>228</v>
      </c>
      <c r="BE1169" s="4" t="s">
        <v>228</v>
      </c>
      <c r="BF1169" s="8" t="s">
        <v>228</v>
      </c>
      <c r="BG1169" s="7" t="s">
        <v>228</v>
      </c>
      <c r="BH1169" s="7" t="s">
        <v>228</v>
      </c>
      <c r="BI1169" s="7"/>
      <c r="BJ1169" s="4">
        <v>2</v>
      </c>
      <c r="BK1169" s="8">
        <v>140.56</v>
      </c>
      <c r="BL1169" s="2" t="s">
        <v>6172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6173</v>
      </c>
      <c r="BV1169" s="2" t="s">
        <v>228</v>
      </c>
      <c r="BW1169" s="2" t="s">
        <v>228</v>
      </c>
      <c r="BX1169" s="2" t="s">
        <v>273</v>
      </c>
      <c r="BY1169" s="2" t="s">
        <v>274</v>
      </c>
      <c r="BZ1169" s="2" t="s">
        <v>240</v>
      </c>
      <c r="CA1169" s="2" t="s">
        <v>2655</v>
      </c>
      <c r="CB1169" s="2" t="s">
        <v>6174</v>
      </c>
      <c r="CC1169" s="2" t="s">
        <v>241</v>
      </c>
      <c r="CD1169" s="2" t="s">
        <v>228</v>
      </c>
      <c r="CE1169" s="4">
        <v>155</v>
      </c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>
        <v>150</v>
      </c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/>
      <c r="GH1169" s="4"/>
      <c r="GI1169" s="4"/>
      <c r="GJ1169" s="4"/>
      <c r="GK1169" s="4"/>
      <c r="GL1169" s="4"/>
      <c r="GM1169" s="4"/>
      <c r="GN1169" s="4"/>
      <c r="GO1169" s="4"/>
      <c r="GP1169" s="4"/>
      <c r="GQ1169" s="4"/>
      <c r="GR1169" s="4"/>
      <c r="GS1169" s="4">
        <v>190</v>
      </c>
      <c r="GT1169" s="4"/>
      <c r="GU1169" s="4"/>
      <c r="GV1169" s="4"/>
      <c r="GW1169" s="4"/>
      <c r="GX1169" s="4"/>
      <c r="GY1169" s="4"/>
      <c r="GZ1169" s="4"/>
      <c r="HA1169" s="4"/>
      <c r="HB1169" s="4"/>
      <c r="HC1169" s="4"/>
      <c r="HD1169" s="4"/>
      <c r="HE1169" s="4"/>
    </row>
    <row r="1170">
      <c r="A1170" s="2" t="s">
        <v>6175</v>
      </c>
      <c r="B1170" s="2" t="s">
        <v>223</v>
      </c>
      <c r="C1170" s="2" t="s">
        <v>731</v>
      </c>
      <c r="D1170" s="2" t="s">
        <v>1407</v>
      </c>
      <c r="E1170" s="2" t="s">
        <v>3636</v>
      </c>
      <c r="F1170" s="2" t="s">
        <v>6119</v>
      </c>
      <c r="G1170" s="2" t="s">
        <v>6119</v>
      </c>
      <c r="H1170" s="2" t="s">
        <v>228</v>
      </c>
      <c r="I1170" s="2" t="s">
        <v>226</v>
      </c>
      <c r="J1170" s="2" t="s">
        <v>294</v>
      </c>
      <c r="K1170" s="2" t="s">
        <v>1390</v>
      </c>
      <c r="L1170" s="3">
        <v>89.41</v>
      </c>
      <c r="M1170" s="3">
        <v>93.88</v>
      </c>
      <c r="N1170" s="3">
        <v>174.99</v>
      </c>
      <c r="O1170" s="2" t="s">
        <v>240</v>
      </c>
      <c r="P1170" s="2" t="s">
        <v>266</v>
      </c>
      <c r="Q1170" s="2" t="s">
        <v>234</v>
      </c>
      <c r="R1170" s="2" t="s">
        <v>228</v>
      </c>
      <c r="S1170" s="2" t="s">
        <v>6168</v>
      </c>
      <c r="T1170" s="2" t="s">
        <v>1266</v>
      </c>
      <c r="U1170" s="2" t="s">
        <v>228</v>
      </c>
      <c r="V1170" s="2" t="s">
        <v>236</v>
      </c>
      <c r="W1170" s="2" t="s">
        <v>269</v>
      </c>
      <c r="X1170" s="2" t="s">
        <v>228</v>
      </c>
      <c r="Y1170" s="2" t="s">
        <v>6176</v>
      </c>
      <c r="Z1170" s="4">
        <v>268</v>
      </c>
      <c r="AA1170" s="4">
        <f>=ROUNDDOWN(19.1428571428571,0)</f>
      </c>
      <c r="AB1170" s="5">
        <v>14</v>
      </c>
      <c r="AC1170" s="2" t="s">
        <v>216</v>
      </c>
      <c r="AD1170" s="4">
        <v>300</v>
      </c>
      <c r="AE1170" s="4">
        <v>300</v>
      </c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228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228</v>
      </c>
      <c r="AW1170" s="8" t="s">
        <v>228</v>
      </c>
      <c r="AX1170" s="4" t="s">
        <v>228</v>
      </c>
      <c r="AY1170" s="8" t="s">
        <v>228</v>
      </c>
      <c r="AZ1170" s="7" t="s">
        <v>228</v>
      </c>
      <c r="BA1170" s="7" t="s">
        <v>228</v>
      </c>
      <c r="BB1170" s="7"/>
      <c r="BC1170" s="4" t="s">
        <v>228</v>
      </c>
      <c r="BD1170" s="8" t="s">
        <v>228</v>
      </c>
      <c r="BE1170" s="4" t="s">
        <v>228</v>
      </c>
      <c r="BF1170" s="8" t="s">
        <v>228</v>
      </c>
      <c r="BG1170" s="7" t="s">
        <v>228</v>
      </c>
      <c r="BH1170" s="7" t="s">
        <v>228</v>
      </c>
      <c r="BI1170" s="7"/>
      <c r="BJ1170" s="4">
        <v>3</v>
      </c>
      <c r="BK1170" s="8">
        <v>274.69</v>
      </c>
      <c r="BL1170" s="2" t="s">
        <v>6177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6178</v>
      </c>
      <c r="BV1170" s="2" t="s">
        <v>228</v>
      </c>
      <c r="BW1170" s="2" t="s">
        <v>228</v>
      </c>
      <c r="BX1170" s="2" t="s">
        <v>273</v>
      </c>
      <c r="BY1170" s="2" t="s">
        <v>274</v>
      </c>
      <c r="BZ1170" s="2" t="s">
        <v>240</v>
      </c>
      <c r="CA1170" s="2" t="s">
        <v>2655</v>
      </c>
      <c r="CB1170" s="2" t="s">
        <v>1365</v>
      </c>
      <c r="CC1170" s="2" t="s">
        <v>241</v>
      </c>
      <c r="CD1170" s="2" t="s">
        <v>228</v>
      </c>
      <c r="CE1170" s="4">
        <v>268</v>
      </c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GZ1170" s="4">
        <v>300</v>
      </c>
      <c r="HA1170" s="4"/>
      <c r="HB1170" s="4"/>
      <c r="HC1170" s="4"/>
      <c r="HD1170" s="4"/>
      <c r="HE1170" s="4"/>
    </row>
    <row r="1171">
      <c r="A1171" s="2" t="s">
        <v>6179</v>
      </c>
      <c r="B1171" s="2" t="s">
        <v>223</v>
      </c>
      <c r="C1171" s="2" t="s">
        <v>731</v>
      </c>
      <c r="D1171" s="2" t="s">
        <v>1407</v>
      </c>
      <c r="E1171" s="2" t="s">
        <v>3636</v>
      </c>
      <c r="F1171" s="2" t="s">
        <v>6119</v>
      </c>
      <c r="G1171" s="2" t="s">
        <v>6119</v>
      </c>
      <c r="H1171" s="2" t="s">
        <v>228</v>
      </c>
      <c r="I1171" s="2" t="s">
        <v>226</v>
      </c>
      <c r="J1171" s="2" t="s">
        <v>289</v>
      </c>
      <c r="K1171" s="2" t="s">
        <v>1478</v>
      </c>
      <c r="L1171" s="3">
        <v>79.48</v>
      </c>
      <c r="M1171" s="3">
        <v>83.45</v>
      </c>
      <c r="N1171" s="3">
        <v>154.99</v>
      </c>
      <c r="O1171" s="2" t="s">
        <v>240</v>
      </c>
      <c r="P1171" s="2" t="s">
        <v>715</v>
      </c>
      <c r="Q1171" s="2" t="s">
        <v>234</v>
      </c>
      <c r="R1171" s="2" t="s">
        <v>228</v>
      </c>
      <c r="S1171" s="2" t="s">
        <v>6180</v>
      </c>
      <c r="T1171" s="2" t="s">
        <v>1266</v>
      </c>
      <c r="U1171" s="2" t="s">
        <v>228</v>
      </c>
      <c r="V1171" s="2" t="s">
        <v>236</v>
      </c>
      <c r="W1171" s="2" t="s">
        <v>269</v>
      </c>
      <c r="X1171" s="2" t="s">
        <v>228</v>
      </c>
      <c r="Y1171" s="2" t="s">
        <v>270</v>
      </c>
      <c r="Z1171" s="4">
        <v>353</v>
      </c>
      <c r="AA1171" s="4">
        <f>=ROUNDDOWN(15.3478260869565,0)</f>
      </c>
      <c r="AB1171" s="5">
        <v>23</v>
      </c>
      <c r="AC1171" s="2" t="s">
        <v>1014</v>
      </c>
      <c r="AD1171" s="4">
        <v>150</v>
      </c>
      <c r="AE1171" s="4">
        <v>500</v>
      </c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228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/>
      <c r="AW1171" s="8"/>
      <c r="AX1171" s="4"/>
      <c r="AY1171" s="8"/>
      <c r="AZ1171" s="7"/>
      <c r="BA1171" s="7"/>
      <c r="BB1171" s="7"/>
      <c r="BC1171" s="4" t="s">
        <v>228</v>
      </c>
      <c r="BD1171" s="8" t="s">
        <v>228</v>
      </c>
      <c r="BE1171" s="4" t="s">
        <v>228</v>
      </c>
      <c r="BF1171" s="8" t="s">
        <v>228</v>
      </c>
      <c r="BG1171" s="7" t="s">
        <v>228</v>
      </c>
      <c r="BH1171" s="7" t="s">
        <v>228</v>
      </c>
      <c r="BI1171" s="7"/>
      <c r="BJ1171" s="4">
        <v>9</v>
      </c>
      <c r="BK1171" s="8">
        <v>776.6</v>
      </c>
      <c r="BL1171" s="2" t="s">
        <v>5679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6181</v>
      </c>
      <c r="BV1171" s="2" t="s">
        <v>228</v>
      </c>
      <c r="BW1171" s="2" t="s">
        <v>228</v>
      </c>
      <c r="BX1171" s="2" t="s">
        <v>273</v>
      </c>
      <c r="BY1171" s="2" t="s">
        <v>274</v>
      </c>
      <c r="BZ1171" s="2" t="s">
        <v>240</v>
      </c>
      <c r="CA1171" s="2" t="s">
        <v>2655</v>
      </c>
      <c r="CB1171" s="2" t="s">
        <v>6182</v>
      </c>
      <c r="CC1171" s="2" t="s">
        <v>241</v>
      </c>
      <c r="CD1171" s="2" t="s">
        <v>228</v>
      </c>
      <c r="CE1171" s="4">
        <v>353</v>
      </c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>
        <v>150</v>
      </c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>
        <v>150</v>
      </c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/>
      <c r="GG1171" s="4"/>
      <c r="GH1171" s="4"/>
      <c r="GI1171" s="4"/>
      <c r="GJ1171" s="4"/>
      <c r="GK1171" s="4"/>
      <c r="GL1171" s="4"/>
      <c r="GM1171" s="4"/>
      <c r="GN1171" s="4"/>
      <c r="GO1171" s="4"/>
      <c r="GP1171" s="4"/>
      <c r="GQ1171" s="4"/>
      <c r="GR1171" s="4"/>
      <c r="GS1171" s="4">
        <v>200</v>
      </c>
      <c r="GT1171" s="4"/>
      <c r="GU1171" s="4"/>
      <c r="GV1171" s="4"/>
      <c r="GW1171" s="4"/>
      <c r="GX1171" s="4"/>
      <c r="GY1171" s="4"/>
      <c r="GZ1171" s="4"/>
      <c r="HA1171" s="4"/>
      <c r="HB1171" s="4"/>
      <c r="HC1171" s="4"/>
      <c r="HD1171" s="4"/>
      <c r="HE1171" s="4"/>
    </row>
    <row r="1172">
      <c r="A1172" s="2" t="s">
        <v>6183</v>
      </c>
      <c r="B1172" s="2" t="s">
        <v>223</v>
      </c>
      <c r="C1172" s="2" t="s">
        <v>731</v>
      </c>
      <c r="D1172" s="2" t="s">
        <v>1407</v>
      </c>
      <c r="E1172" s="2" t="s">
        <v>3636</v>
      </c>
      <c r="F1172" s="2" t="s">
        <v>6119</v>
      </c>
      <c r="G1172" s="2" t="s">
        <v>6119</v>
      </c>
      <c r="H1172" s="2" t="s">
        <v>228</v>
      </c>
      <c r="I1172" s="2" t="s">
        <v>226</v>
      </c>
      <c r="J1172" s="2" t="s">
        <v>264</v>
      </c>
      <c r="K1172" s="2" t="s">
        <v>650</v>
      </c>
      <c r="L1172" s="3">
        <v>54.64</v>
      </c>
      <c r="M1172" s="3">
        <v>57.37</v>
      </c>
      <c r="N1172" s="3">
        <v>104.99</v>
      </c>
      <c r="O1172" s="2" t="s">
        <v>461</v>
      </c>
      <c r="P1172" s="2" t="s">
        <v>333</v>
      </c>
      <c r="Q1172" s="2" t="s">
        <v>234</v>
      </c>
      <c r="R1172" s="2" t="s">
        <v>228</v>
      </c>
      <c r="S1172" s="2" t="s">
        <v>6184</v>
      </c>
      <c r="T1172" s="2" t="s">
        <v>3112</v>
      </c>
      <c r="U1172" s="2" t="s">
        <v>416</v>
      </c>
      <c r="V1172" s="2" t="s">
        <v>236</v>
      </c>
      <c r="W1172" s="2" t="s">
        <v>269</v>
      </c>
      <c r="X1172" s="2" t="s">
        <v>228</v>
      </c>
      <c r="Y1172" s="2" t="s">
        <v>2095</v>
      </c>
      <c r="Z1172" s="4">
        <v>98</v>
      </c>
      <c r="AA1172" s="4">
        <f>=ROUNDDOWN(19.6,0)</f>
      </c>
      <c r="AB1172" s="5">
        <v>5</v>
      </c>
      <c r="AC1172" s="2" t="s">
        <v>228</v>
      </c>
      <c r="AD1172" s="4"/>
      <c r="AE1172" s="4"/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228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228</v>
      </c>
      <c r="AW1172" s="8" t="s">
        <v>228</v>
      </c>
      <c r="AX1172" s="4" t="s">
        <v>228</v>
      </c>
      <c r="AY1172" s="8" t="s">
        <v>228</v>
      </c>
      <c r="AZ1172" s="7" t="s">
        <v>228</v>
      </c>
      <c r="BA1172" s="7" t="s">
        <v>228</v>
      </c>
      <c r="BB1172" s="7"/>
      <c r="BC1172" s="4" t="s">
        <v>228</v>
      </c>
      <c r="BD1172" s="8" t="s">
        <v>228</v>
      </c>
      <c r="BE1172" s="4" t="s">
        <v>228</v>
      </c>
      <c r="BF1172" s="8" t="s">
        <v>228</v>
      </c>
      <c r="BG1172" s="7" t="s">
        <v>228</v>
      </c>
      <c r="BH1172" s="7" t="s">
        <v>228</v>
      </c>
      <c r="BI1172" s="7"/>
      <c r="BJ1172" s="4">
        <v>6</v>
      </c>
      <c r="BK1172" s="8">
        <v>245.94</v>
      </c>
      <c r="BL1172" s="2" t="s">
        <v>3169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6185</v>
      </c>
      <c r="BV1172" s="2" t="s">
        <v>228</v>
      </c>
      <c r="BW1172" s="2" t="s">
        <v>228</v>
      </c>
      <c r="BX1172" s="2" t="s">
        <v>337</v>
      </c>
      <c r="BY1172" s="2" t="s">
        <v>274</v>
      </c>
      <c r="BZ1172" s="2" t="s">
        <v>240</v>
      </c>
      <c r="CA1172" s="2" t="s">
        <v>2095</v>
      </c>
      <c r="CB1172" s="2" t="s">
        <v>3402</v>
      </c>
      <c r="CC1172" s="2" t="s">
        <v>241</v>
      </c>
      <c r="CD1172" s="2" t="s">
        <v>228</v>
      </c>
      <c r="CE1172" s="4">
        <v>98</v>
      </c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GZ1172" s="4"/>
      <c r="HA1172" s="4"/>
      <c r="HB1172" s="4"/>
      <c r="HC1172" s="4"/>
      <c r="HD1172" s="4"/>
      <c r="HE1172" s="4"/>
    </row>
    <row r="1173">
      <c r="A1173" s="2" t="s">
        <v>6186</v>
      </c>
      <c r="B1173" s="2" t="s">
        <v>223</v>
      </c>
      <c r="C1173" s="2" t="s">
        <v>731</v>
      </c>
      <c r="D1173" s="2" t="s">
        <v>1407</v>
      </c>
      <c r="E1173" s="2" t="s">
        <v>3636</v>
      </c>
      <c r="F1173" s="2" t="s">
        <v>6119</v>
      </c>
      <c r="G1173" s="2" t="s">
        <v>6119</v>
      </c>
      <c r="H1173" s="2" t="s">
        <v>228</v>
      </c>
      <c r="I1173" s="2" t="s">
        <v>226</v>
      </c>
      <c r="J1173" s="2" t="s">
        <v>284</v>
      </c>
      <c r="K1173" s="2" t="s">
        <v>650</v>
      </c>
      <c r="L1173" s="3">
        <v>59.61</v>
      </c>
      <c r="M1173" s="3">
        <v>62.59</v>
      </c>
      <c r="N1173" s="3">
        <v>114.99</v>
      </c>
      <c r="O1173" s="2" t="s">
        <v>461</v>
      </c>
      <c r="P1173" s="2" t="s">
        <v>333</v>
      </c>
      <c r="Q1173" s="2" t="s">
        <v>234</v>
      </c>
      <c r="R1173" s="2" t="s">
        <v>228</v>
      </c>
      <c r="S1173" s="2" t="s">
        <v>6184</v>
      </c>
      <c r="T1173" s="2" t="s">
        <v>3112</v>
      </c>
      <c r="U1173" s="2" t="s">
        <v>416</v>
      </c>
      <c r="V1173" s="2" t="s">
        <v>236</v>
      </c>
      <c r="W1173" s="2" t="s">
        <v>269</v>
      </c>
      <c r="X1173" s="2" t="s">
        <v>228</v>
      </c>
      <c r="Y1173" s="2" t="s">
        <v>2095</v>
      </c>
      <c r="Z1173" s="4">
        <v>247</v>
      </c>
      <c r="AA1173" s="4">
        <f>=ROUNDDOWN(35.2857142857143,0)</f>
      </c>
      <c r="AB1173" s="5">
        <v>7</v>
      </c>
      <c r="AC1173" s="2" t="s">
        <v>228</v>
      </c>
      <c r="AD1173" s="4"/>
      <c r="AE1173" s="4"/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228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228</v>
      </c>
      <c r="AW1173" s="8" t="s">
        <v>228</v>
      </c>
      <c r="AX1173" s="4" t="s">
        <v>228</v>
      </c>
      <c r="AY1173" s="8" t="s">
        <v>228</v>
      </c>
      <c r="AZ1173" s="7" t="s">
        <v>228</v>
      </c>
      <c r="BA1173" s="7" t="s">
        <v>228</v>
      </c>
      <c r="BB1173" s="7"/>
      <c r="BC1173" s="4" t="s">
        <v>228</v>
      </c>
      <c r="BD1173" s="8" t="s">
        <v>228</v>
      </c>
      <c r="BE1173" s="4" t="s">
        <v>228</v>
      </c>
      <c r="BF1173" s="8" t="s">
        <v>228</v>
      </c>
      <c r="BG1173" s="7" t="s">
        <v>228</v>
      </c>
      <c r="BH1173" s="7" t="s">
        <v>228</v>
      </c>
      <c r="BI1173" s="7"/>
      <c r="BJ1173" s="4">
        <v>8</v>
      </c>
      <c r="BK1173" s="8">
        <v>386.84</v>
      </c>
      <c r="BL1173" s="2" t="s">
        <v>4663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6187</v>
      </c>
      <c r="BV1173" s="2" t="s">
        <v>228</v>
      </c>
      <c r="BW1173" s="2" t="s">
        <v>228</v>
      </c>
      <c r="BX1173" s="2" t="s">
        <v>337</v>
      </c>
      <c r="BY1173" s="2" t="s">
        <v>274</v>
      </c>
      <c r="BZ1173" s="2" t="s">
        <v>240</v>
      </c>
      <c r="CA1173" s="2" t="s">
        <v>2095</v>
      </c>
      <c r="CB1173" s="2" t="s">
        <v>6188</v>
      </c>
      <c r="CC1173" s="2" t="s">
        <v>241</v>
      </c>
      <c r="CD1173" s="2" t="s">
        <v>228</v>
      </c>
      <c r="CE1173" s="4">
        <v>247</v>
      </c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"/>
      <c r="GX1173" s="4"/>
      <c r="GY1173" s="4"/>
      <c r="GZ1173" s="4"/>
      <c r="HA1173" s="4"/>
      <c r="HB1173" s="4"/>
      <c r="HC1173" s="4"/>
      <c r="HD1173" s="4"/>
      <c r="HE1173" s="4"/>
    </row>
    <row r="1174">
      <c r="A1174" s="2" t="s">
        <v>6189</v>
      </c>
      <c r="B1174" s="2" t="s">
        <v>223</v>
      </c>
      <c r="C1174" s="2" t="s">
        <v>731</v>
      </c>
      <c r="D1174" s="2" t="s">
        <v>1407</v>
      </c>
      <c r="E1174" s="2" t="s">
        <v>3636</v>
      </c>
      <c r="F1174" s="2" t="s">
        <v>6119</v>
      </c>
      <c r="G1174" s="2" t="s">
        <v>6119</v>
      </c>
      <c r="H1174" s="2" t="s">
        <v>228</v>
      </c>
      <c r="I1174" s="2" t="s">
        <v>226</v>
      </c>
      <c r="J1174" s="2" t="s">
        <v>289</v>
      </c>
      <c r="K1174" s="2" t="s">
        <v>650</v>
      </c>
      <c r="L1174" s="3">
        <v>79.48</v>
      </c>
      <c r="M1174" s="3">
        <v>83.45</v>
      </c>
      <c r="N1174" s="3">
        <v>154.99</v>
      </c>
      <c r="O1174" s="2" t="s">
        <v>461</v>
      </c>
      <c r="P1174" s="2" t="s">
        <v>333</v>
      </c>
      <c r="Q1174" s="2" t="s">
        <v>234</v>
      </c>
      <c r="R1174" s="2" t="s">
        <v>228</v>
      </c>
      <c r="S1174" s="2" t="s">
        <v>6184</v>
      </c>
      <c r="T1174" s="2" t="s">
        <v>3112</v>
      </c>
      <c r="U1174" s="2" t="s">
        <v>416</v>
      </c>
      <c r="V1174" s="2" t="s">
        <v>236</v>
      </c>
      <c r="W1174" s="2" t="s">
        <v>269</v>
      </c>
      <c r="X1174" s="2" t="s">
        <v>228</v>
      </c>
      <c r="Y1174" s="2" t="s">
        <v>6099</v>
      </c>
      <c r="Z1174" s="4">
        <v>243</v>
      </c>
      <c r="AA1174" s="4">
        <f>=ROUNDDOWN(30.375,0)</f>
      </c>
      <c r="AB1174" s="5">
        <v>8</v>
      </c>
      <c r="AC1174" s="2" t="s">
        <v>228</v>
      </c>
      <c r="AD1174" s="4"/>
      <c r="AE1174" s="4"/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228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228</v>
      </c>
      <c r="AW1174" s="8" t="s">
        <v>228</v>
      </c>
      <c r="AX1174" s="4" t="s">
        <v>228</v>
      </c>
      <c r="AY1174" s="8" t="s">
        <v>228</v>
      </c>
      <c r="AZ1174" s="7" t="s">
        <v>228</v>
      </c>
      <c r="BA1174" s="7" t="s">
        <v>228</v>
      </c>
      <c r="BB1174" s="7"/>
      <c r="BC1174" s="4" t="s">
        <v>228</v>
      </c>
      <c r="BD1174" s="8" t="s">
        <v>228</v>
      </c>
      <c r="BE1174" s="4" t="s">
        <v>228</v>
      </c>
      <c r="BF1174" s="8" t="s">
        <v>228</v>
      </c>
      <c r="BG1174" s="7" t="s">
        <v>228</v>
      </c>
      <c r="BH1174" s="7" t="s">
        <v>228</v>
      </c>
      <c r="BI1174" s="7"/>
      <c r="BJ1174" s="4">
        <v>2</v>
      </c>
      <c r="BK1174" s="8">
        <v>105.92</v>
      </c>
      <c r="BL1174" s="2" t="s">
        <v>6190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6191</v>
      </c>
      <c r="BV1174" s="2" t="s">
        <v>228</v>
      </c>
      <c r="BW1174" s="2" t="s">
        <v>228</v>
      </c>
      <c r="BX1174" s="2" t="s">
        <v>337</v>
      </c>
      <c r="BY1174" s="2" t="s">
        <v>274</v>
      </c>
      <c r="BZ1174" s="2" t="s">
        <v>240</v>
      </c>
      <c r="CA1174" s="2" t="s">
        <v>6099</v>
      </c>
      <c r="CB1174" s="2" t="s">
        <v>6162</v>
      </c>
      <c r="CC1174" s="2" t="s">
        <v>241</v>
      </c>
      <c r="CD1174" s="2" t="s">
        <v>228</v>
      </c>
      <c r="CE1174" s="4">
        <v>243</v>
      </c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/>
      <c r="GG1174" s="4"/>
      <c r="GH1174" s="4"/>
      <c r="GI1174" s="4"/>
      <c r="GJ1174" s="4"/>
      <c r="GK1174" s="4"/>
      <c r="GL1174" s="4"/>
      <c r="GM1174" s="4"/>
      <c r="GN1174" s="4"/>
      <c r="GO1174" s="4"/>
      <c r="GP1174" s="4"/>
      <c r="GQ1174" s="4"/>
      <c r="GR1174" s="4"/>
      <c r="GS1174" s="4"/>
      <c r="GT1174" s="4"/>
      <c r="GU1174" s="4"/>
      <c r="GV1174" s="4"/>
      <c r="GW1174" s="4"/>
      <c r="GX1174" s="4"/>
      <c r="GY1174" s="4"/>
      <c r="GZ1174" s="4"/>
      <c r="HA1174" s="4"/>
      <c r="HB1174" s="4"/>
      <c r="HC1174" s="4"/>
      <c r="HD1174" s="4"/>
      <c r="HE1174" s="4"/>
    </row>
    <row r="1175">
      <c r="A1175" s="2" t="s">
        <v>6192</v>
      </c>
      <c r="B1175" s="2" t="s">
        <v>223</v>
      </c>
      <c r="C1175" s="2" t="s">
        <v>731</v>
      </c>
      <c r="D1175" s="2" t="s">
        <v>1407</v>
      </c>
      <c r="E1175" s="2" t="s">
        <v>3636</v>
      </c>
      <c r="F1175" s="2" t="s">
        <v>6119</v>
      </c>
      <c r="G1175" s="2" t="s">
        <v>6119</v>
      </c>
      <c r="H1175" s="2" t="s">
        <v>228</v>
      </c>
      <c r="I1175" s="2" t="s">
        <v>226</v>
      </c>
      <c r="J1175" s="2" t="s">
        <v>294</v>
      </c>
      <c r="K1175" s="2" t="s">
        <v>650</v>
      </c>
      <c r="L1175" s="3">
        <v>89.41</v>
      </c>
      <c r="M1175" s="3">
        <v>93.88</v>
      </c>
      <c r="N1175" s="3">
        <v>174.99</v>
      </c>
      <c r="O1175" s="2" t="s">
        <v>461</v>
      </c>
      <c r="P1175" s="2" t="s">
        <v>333</v>
      </c>
      <c r="Q1175" s="2" t="s">
        <v>234</v>
      </c>
      <c r="R1175" s="2" t="s">
        <v>228</v>
      </c>
      <c r="S1175" s="2" t="s">
        <v>6184</v>
      </c>
      <c r="T1175" s="2" t="s">
        <v>3112</v>
      </c>
      <c r="U1175" s="2" t="s">
        <v>416</v>
      </c>
      <c r="V1175" s="2" t="s">
        <v>236</v>
      </c>
      <c r="W1175" s="2" t="s">
        <v>269</v>
      </c>
      <c r="X1175" s="2" t="s">
        <v>228</v>
      </c>
      <c r="Y1175" s="2" t="s">
        <v>6099</v>
      </c>
      <c r="Z1175" s="4">
        <v>406</v>
      </c>
      <c r="AA1175" s="4">
        <f>=ROUNDDOWN(45.1111111111111,0)</f>
      </c>
      <c r="AB1175" s="5">
        <v>9</v>
      </c>
      <c r="AC1175" s="2" t="s">
        <v>228</v>
      </c>
      <c r="AD1175" s="4"/>
      <c r="AE1175" s="4"/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228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228</v>
      </c>
      <c r="AW1175" s="8" t="s">
        <v>228</v>
      </c>
      <c r="AX1175" s="4" t="s">
        <v>228</v>
      </c>
      <c r="AY1175" s="8" t="s">
        <v>228</v>
      </c>
      <c r="AZ1175" s="7" t="s">
        <v>228</v>
      </c>
      <c r="BA1175" s="7" t="s">
        <v>228</v>
      </c>
      <c r="BB1175" s="7"/>
      <c r="BC1175" s="4" t="s">
        <v>228</v>
      </c>
      <c r="BD1175" s="8" t="s">
        <v>228</v>
      </c>
      <c r="BE1175" s="4" t="s">
        <v>228</v>
      </c>
      <c r="BF1175" s="8" t="s">
        <v>228</v>
      </c>
      <c r="BG1175" s="7" t="s">
        <v>228</v>
      </c>
      <c r="BH1175" s="7" t="s">
        <v>228</v>
      </c>
      <c r="BI1175" s="7"/>
      <c r="BJ1175" s="4">
        <v>23</v>
      </c>
      <c r="BK1175" s="8">
        <v>1550.18</v>
      </c>
      <c r="BL1175" s="2" t="s">
        <v>6193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6194</v>
      </c>
      <c r="BV1175" s="2" t="s">
        <v>228</v>
      </c>
      <c r="BW1175" s="2" t="s">
        <v>228</v>
      </c>
      <c r="BX1175" s="2" t="s">
        <v>337</v>
      </c>
      <c r="BY1175" s="2" t="s">
        <v>274</v>
      </c>
      <c r="BZ1175" s="2" t="s">
        <v>240</v>
      </c>
      <c r="CA1175" s="2" t="s">
        <v>6099</v>
      </c>
      <c r="CB1175" s="2" t="s">
        <v>6166</v>
      </c>
      <c r="CC1175" s="2" t="s">
        <v>241</v>
      </c>
      <c r="CD1175" s="2" t="s">
        <v>228</v>
      </c>
      <c r="CE1175" s="4">
        <v>406</v>
      </c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"/>
      <c r="GX1175" s="4"/>
      <c r="GY1175" s="4"/>
      <c r="GZ1175" s="4"/>
      <c r="HA1175" s="4"/>
      <c r="HB1175" s="4"/>
      <c r="HC1175" s="4"/>
      <c r="HD1175" s="4"/>
      <c r="HE1175" s="4"/>
    </row>
    <row r="1176">
      <c r="A1176" s="2" t="s">
        <v>6195</v>
      </c>
      <c r="B1176" s="2" t="s">
        <v>223</v>
      </c>
      <c r="C1176" s="2" t="s">
        <v>731</v>
      </c>
      <c r="D1176" s="2" t="s">
        <v>1407</v>
      </c>
      <c r="E1176" s="2" t="s">
        <v>1408</v>
      </c>
      <c r="F1176" s="2" t="s">
        <v>6119</v>
      </c>
      <c r="G1176" s="2" t="s">
        <v>6119</v>
      </c>
      <c r="H1176" s="2" t="s">
        <v>228</v>
      </c>
      <c r="I1176" s="2" t="s">
        <v>2421</v>
      </c>
      <c r="J1176" s="2" t="s">
        <v>4972</v>
      </c>
      <c r="K1176" s="2" t="s">
        <v>650</v>
      </c>
      <c r="L1176" s="3">
        <v>36.8</v>
      </c>
      <c r="M1176" s="3">
        <v>38.64</v>
      </c>
      <c r="N1176" s="3">
        <v>79.99</v>
      </c>
      <c r="O1176" s="2" t="s">
        <v>240</v>
      </c>
      <c r="P1176" s="2" t="s">
        <v>266</v>
      </c>
      <c r="Q1176" s="2" t="s">
        <v>234</v>
      </c>
      <c r="R1176" s="2" t="s">
        <v>228</v>
      </c>
      <c r="S1176" s="2" t="s">
        <v>6184</v>
      </c>
      <c r="T1176" s="2" t="s">
        <v>3112</v>
      </c>
      <c r="U1176" s="2" t="s">
        <v>416</v>
      </c>
      <c r="V1176" s="2" t="s">
        <v>236</v>
      </c>
      <c r="W1176" s="2" t="s">
        <v>269</v>
      </c>
      <c r="X1176" s="2" t="s">
        <v>228</v>
      </c>
      <c r="Y1176" s="2" t="s">
        <v>2095</v>
      </c>
      <c r="Z1176" s="4">
        <v>358</v>
      </c>
      <c r="AA1176" s="4">
        <f>=ROUNDDOWN(18.8421052631579,0)</f>
      </c>
      <c r="AB1176" s="5">
        <v>19</v>
      </c>
      <c r="AC1176" s="2" t="s">
        <v>1014</v>
      </c>
      <c r="AD1176" s="4">
        <v>240</v>
      </c>
      <c r="AE1176" s="4">
        <v>850</v>
      </c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228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228</v>
      </c>
      <c r="AW1176" s="8" t="s">
        <v>228</v>
      </c>
      <c r="AX1176" s="4" t="s">
        <v>228</v>
      </c>
      <c r="AY1176" s="8" t="s">
        <v>228</v>
      </c>
      <c r="AZ1176" s="7" t="s">
        <v>228</v>
      </c>
      <c r="BA1176" s="7" t="s">
        <v>228</v>
      </c>
      <c r="BB1176" s="7"/>
      <c r="BC1176" s="4" t="s">
        <v>228</v>
      </c>
      <c r="BD1176" s="8" t="s">
        <v>228</v>
      </c>
      <c r="BE1176" s="4" t="s">
        <v>228</v>
      </c>
      <c r="BF1176" s="8" t="s">
        <v>228</v>
      </c>
      <c r="BG1176" s="7" t="s">
        <v>228</v>
      </c>
      <c r="BH1176" s="7" t="s">
        <v>228</v>
      </c>
      <c r="BI1176" s="7"/>
      <c r="BJ1176" s="4">
        <v>5</v>
      </c>
      <c r="BK1176" s="8">
        <v>189.62</v>
      </c>
      <c r="BL1176" s="2" t="s">
        <v>6196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6197</v>
      </c>
      <c r="BV1176" s="2" t="s">
        <v>228</v>
      </c>
      <c r="BW1176" s="2" t="s">
        <v>228</v>
      </c>
      <c r="BX1176" s="2" t="s">
        <v>273</v>
      </c>
      <c r="BY1176" s="2" t="s">
        <v>274</v>
      </c>
      <c r="BZ1176" s="2" t="s">
        <v>240</v>
      </c>
      <c r="CA1176" s="2" t="s">
        <v>2095</v>
      </c>
      <c r="CB1176" s="2" t="s">
        <v>6166</v>
      </c>
      <c r="CC1176" s="2" t="s">
        <v>241</v>
      </c>
      <c r="CD1176" s="2" t="s">
        <v>228</v>
      </c>
      <c r="CE1176" s="4">
        <v>358</v>
      </c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>
        <v>240</v>
      </c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>
        <v>350</v>
      </c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>
        <v>260</v>
      </c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/>
      <c r="GG1176" s="4"/>
      <c r="GH1176" s="4"/>
      <c r="GI1176" s="4"/>
      <c r="GJ1176" s="4"/>
      <c r="GK1176" s="4"/>
      <c r="GL1176" s="4"/>
      <c r="GM1176" s="4"/>
      <c r="GN1176" s="4"/>
      <c r="GO1176" s="4"/>
      <c r="GP1176" s="4"/>
      <c r="GQ1176" s="4"/>
      <c r="GR1176" s="4"/>
      <c r="GS1176" s="4"/>
      <c r="GT1176" s="4"/>
      <c r="GU1176" s="4"/>
      <c r="GV1176" s="4"/>
      <c r="GW1176" s="4"/>
      <c r="GX1176" s="4"/>
      <c r="GY1176" s="4"/>
      <c r="GZ1176" s="4"/>
      <c r="HA1176" s="4"/>
      <c r="HB1176" s="4"/>
      <c r="HC1176" s="4"/>
      <c r="HD1176" s="4"/>
      <c r="HE1176" s="4"/>
    </row>
    <row r="1177">
      <c r="A1177" s="2" t="s">
        <v>6198</v>
      </c>
      <c r="B1177" s="2" t="s">
        <v>223</v>
      </c>
      <c r="C1177" s="2" t="s">
        <v>731</v>
      </c>
      <c r="D1177" s="2" t="s">
        <v>1407</v>
      </c>
      <c r="E1177" s="2" t="s">
        <v>1408</v>
      </c>
      <c r="F1177" s="2" t="s">
        <v>6199</v>
      </c>
      <c r="G1177" s="2" t="s">
        <v>6199</v>
      </c>
      <c r="H1177" s="2" t="s">
        <v>6199</v>
      </c>
      <c r="I1177" s="2" t="s">
        <v>2421</v>
      </c>
      <c r="J1177" s="2" t="s">
        <v>4972</v>
      </c>
      <c r="K1177" s="2" t="s">
        <v>978</v>
      </c>
      <c r="L1177" s="3">
        <v>38.4</v>
      </c>
      <c r="M1177" s="3">
        <v>40.32</v>
      </c>
      <c r="N1177" s="3">
        <v>79.99</v>
      </c>
      <c r="O1177" s="2" t="s">
        <v>240</v>
      </c>
      <c r="P1177" s="2" t="s">
        <v>3731</v>
      </c>
      <c r="Q1177" s="2" t="s">
        <v>234</v>
      </c>
      <c r="R1177" s="2" t="s">
        <v>228</v>
      </c>
      <c r="S1177" s="2" t="s">
        <v>6200</v>
      </c>
      <c r="T1177" s="2" t="s">
        <v>3112</v>
      </c>
      <c r="U1177" s="2" t="s">
        <v>228</v>
      </c>
      <c r="V1177" s="2" t="s">
        <v>980</v>
      </c>
      <c r="W1177" s="2" t="s">
        <v>269</v>
      </c>
      <c r="X1177" s="2" t="s">
        <v>463</v>
      </c>
      <c r="Y1177" s="2" t="s">
        <v>270</v>
      </c>
      <c r="Z1177" s="4">
        <v>420</v>
      </c>
      <c r="AA1177" s="4">
        <f>=ROUNDDOWN(3.88888888888889,0)</f>
      </c>
      <c r="AB1177" s="5">
        <v>108</v>
      </c>
      <c r="AC1177" s="2" t="s">
        <v>1014</v>
      </c>
      <c r="AD1177" s="4">
        <v>1000</v>
      </c>
      <c r="AE1177" s="4">
        <v>3380</v>
      </c>
      <c r="AF1177" s="6">
        <v>65</v>
      </c>
      <c r="AG1177" s="6"/>
      <c r="AH1177" s="7">
        <v>1</v>
      </c>
      <c r="AI1177" s="4"/>
      <c r="AJ1177" s="4">
        <f>=ROUNDDOWN({0},0)</f>
      </c>
      <c r="AK1177" s="5"/>
      <c r="AL1177" s="2" t="s">
        <v>228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/>
      <c r="AW1177" s="8"/>
      <c r="AX1177" s="4"/>
      <c r="AY1177" s="8"/>
      <c r="AZ1177" s="7"/>
      <c r="BA1177" s="7"/>
      <c r="BB1177" s="7"/>
      <c r="BC1177" s="4" t="s">
        <v>228</v>
      </c>
      <c r="BD1177" s="8" t="s">
        <v>228</v>
      </c>
      <c r="BE1177" s="4" t="s">
        <v>228</v>
      </c>
      <c r="BF1177" s="8" t="s">
        <v>228</v>
      </c>
      <c r="BG1177" s="7" t="s">
        <v>228</v>
      </c>
      <c r="BH1177" s="7" t="s">
        <v>228</v>
      </c>
      <c r="BI1177" s="7"/>
      <c r="BJ1177" s="4">
        <v>263</v>
      </c>
      <c r="BK1177" s="8">
        <v>10390.93</v>
      </c>
      <c r="BL1177" s="2" t="s">
        <v>2958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6201</v>
      </c>
      <c r="BV1177" s="2" t="s">
        <v>228</v>
      </c>
      <c r="BW1177" s="2" t="s">
        <v>228</v>
      </c>
      <c r="BX1177" s="2" t="s">
        <v>273</v>
      </c>
      <c r="BY1177" s="2" t="s">
        <v>274</v>
      </c>
      <c r="BZ1177" s="2" t="s">
        <v>240</v>
      </c>
      <c r="CA1177" s="2" t="s">
        <v>2655</v>
      </c>
      <c r="CB1177" s="2" t="s">
        <v>6202</v>
      </c>
      <c r="CC1177" s="2" t="s">
        <v>241</v>
      </c>
      <c r="CD1177" s="2" t="s">
        <v>228</v>
      </c>
      <c r="CE1177" s="4">
        <v>420</v>
      </c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>
        <v>1000</v>
      </c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>
        <v>1470</v>
      </c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>
        <v>640</v>
      </c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GS1177" s="4">
        <v>270</v>
      </c>
      <c r="GT1177" s="4"/>
      <c r="GU1177" s="4"/>
      <c r="GV1177" s="4"/>
      <c r="GW1177" s="4"/>
      <c r="GX1177" s="4"/>
      <c r="GY1177" s="4"/>
      <c r="GZ1177" s="4"/>
      <c r="HA1177" s="4"/>
      <c r="HB1177" s="4"/>
      <c r="HC1177" s="4"/>
      <c r="HD1177" s="4"/>
      <c r="HE1177" s="4"/>
    </row>
    <row r="1178">
      <c r="A1178" s="2" t="s">
        <v>6203</v>
      </c>
      <c r="B1178" s="2" t="s">
        <v>223</v>
      </c>
      <c r="C1178" s="2" t="s">
        <v>731</v>
      </c>
      <c r="D1178" s="2" t="s">
        <v>1407</v>
      </c>
      <c r="E1178" s="2" t="s">
        <v>1408</v>
      </c>
      <c r="F1178" s="2" t="s">
        <v>6199</v>
      </c>
      <c r="G1178" s="2" t="s">
        <v>6199</v>
      </c>
      <c r="H1178" s="2" t="s">
        <v>6199</v>
      </c>
      <c r="I1178" s="2" t="s">
        <v>2421</v>
      </c>
      <c r="J1178" s="2" t="s">
        <v>4972</v>
      </c>
      <c r="K1178" s="2" t="s">
        <v>305</v>
      </c>
      <c r="L1178" s="3">
        <v>38.4</v>
      </c>
      <c r="M1178" s="3">
        <v>40.32</v>
      </c>
      <c r="N1178" s="3">
        <v>79.99</v>
      </c>
      <c r="O1178" s="2" t="s">
        <v>461</v>
      </c>
      <c r="P1178" s="2" t="s">
        <v>333</v>
      </c>
      <c r="Q1178" s="2" t="s">
        <v>234</v>
      </c>
      <c r="R1178" s="2" t="s">
        <v>228</v>
      </c>
      <c r="S1178" s="2" t="s">
        <v>6204</v>
      </c>
      <c r="T1178" s="2" t="s">
        <v>3112</v>
      </c>
      <c r="U1178" s="2" t="s">
        <v>228</v>
      </c>
      <c r="V1178" s="2" t="s">
        <v>980</v>
      </c>
      <c r="W1178" s="2" t="s">
        <v>269</v>
      </c>
      <c r="X1178" s="2" t="s">
        <v>463</v>
      </c>
      <c r="Y1178" s="2" t="s">
        <v>270</v>
      </c>
      <c r="Z1178" s="4">
        <v>617</v>
      </c>
      <c r="AA1178" s="4">
        <f>=ROUNDDOWN(51.4166666666667,0)</f>
      </c>
      <c r="AB1178" s="5">
        <v>12</v>
      </c>
      <c r="AC1178" s="2" t="s">
        <v>228</v>
      </c>
      <c r="AD1178" s="4"/>
      <c r="AE1178" s="4"/>
      <c r="AF1178" s="6">
        <v>65</v>
      </c>
      <c r="AG1178" s="6"/>
      <c r="AH1178" s="7">
        <v>1</v>
      </c>
      <c r="AI1178" s="4"/>
      <c r="AJ1178" s="4">
        <f>=ROUNDDOWN({0},0)</f>
      </c>
      <c r="AK1178" s="5"/>
      <c r="AL1178" s="2" t="s">
        <v>228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/>
      <c r="AW1178" s="8"/>
      <c r="AX1178" s="4"/>
      <c r="AY1178" s="8"/>
      <c r="AZ1178" s="7"/>
      <c r="BA1178" s="7"/>
      <c r="BB1178" s="7"/>
      <c r="BC1178" s="4" t="s">
        <v>228</v>
      </c>
      <c r="BD1178" s="8" t="s">
        <v>228</v>
      </c>
      <c r="BE1178" s="4" t="s">
        <v>228</v>
      </c>
      <c r="BF1178" s="8" t="s">
        <v>228</v>
      </c>
      <c r="BG1178" s="7" t="s">
        <v>228</v>
      </c>
      <c r="BH1178" s="7" t="s">
        <v>228</v>
      </c>
      <c r="BI1178" s="7"/>
      <c r="BJ1178" s="4">
        <v>33</v>
      </c>
      <c r="BK1178" s="8">
        <v>891.69</v>
      </c>
      <c r="BL1178" s="2" t="s">
        <v>6205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6206</v>
      </c>
      <c r="BV1178" s="2" t="s">
        <v>228</v>
      </c>
      <c r="BW1178" s="2" t="s">
        <v>228</v>
      </c>
      <c r="BX1178" s="2" t="s">
        <v>337</v>
      </c>
      <c r="BY1178" s="2" t="s">
        <v>274</v>
      </c>
      <c r="BZ1178" s="2" t="s">
        <v>240</v>
      </c>
      <c r="CA1178" s="2" t="s">
        <v>1950</v>
      </c>
      <c r="CB1178" s="2" t="s">
        <v>3942</v>
      </c>
      <c r="CC1178" s="2" t="s">
        <v>241</v>
      </c>
      <c r="CD1178" s="2" t="s">
        <v>228</v>
      </c>
      <c r="CE1178" s="4">
        <v>617</v>
      </c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4"/>
      <c r="HE1178" s="4"/>
    </row>
    <row r="1179">
      <c r="A1179" s="2" t="s">
        <v>6207</v>
      </c>
      <c r="B1179" s="2" t="s">
        <v>223</v>
      </c>
      <c r="C1179" s="2" t="s">
        <v>731</v>
      </c>
      <c r="D1179" s="2" t="s">
        <v>1407</v>
      </c>
      <c r="E1179" s="2" t="s">
        <v>1408</v>
      </c>
      <c r="F1179" s="2" t="s">
        <v>6199</v>
      </c>
      <c r="G1179" s="2" t="s">
        <v>6199</v>
      </c>
      <c r="H1179" s="2" t="s">
        <v>6199</v>
      </c>
      <c r="I1179" s="2" t="s">
        <v>2421</v>
      </c>
      <c r="J1179" s="2" t="s">
        <v>4972</v>
      </c>
      <c r="K1179" s="2" t="s">
        <v>1421</v>
      </c>
      <c r="L1179" s="3">
        <v>38.4</v>
      </c>
      <c r="M1179" s="3">
        <v>40.32</v>
      </c>
      <c r="N1179" s="3">
        <v>79.99</v>
      </c>
      <c r="O1179" s="2" t="s">
        <v>461</v>
      </c>
      <c r="P1179" s="2" t="s">
        <v>333</v>
      </c>
      <c r="Q1179" s="2" t="s">
        <v>234</v>
      </c>
      <c r="R1179" s="2" t="s">
        <v>228</v>
      </c>
      <c r="S1179" s="2" t="s">
        <v>6208</v>
      </c>
      <c r="T1179" s="2" t="s">
        <v>3112</v>
      </c>
      <c r="U1179" s="2" t="s">
        <v>228</v>
      </c>
      <c r="V1179" s="2" t="s">
        <v>980</v>
      </c>
      <c r="W1179" s="2" t="s">
        <v>269</v>
      </c>
      <c r="X1179" s="2" t="s">
        <v>463</v>
      </c>
      <c r="Y1179" s="2" t="s">
        <v>270</v>
      </c>
      <c r="Z1179" s="4">
        <v>1426</v>
      </c>
      <c r="AA1179" s="4">
        <f>=ROUNDDOWN(79.6648044692737,0)</f>
      </c>
      <c r="AB1179" s="5">
        <v>17.9</v>
      </c>
      <c r="AC1179" s="2" t="s">
        <v>228</v>
      </c>
      <c r="AD1179" s="4"/>
      <c r="AE1179" s="4"/>
      <c r="AF1179" s="6">
        <v>58</v>
      </c>
      <c r="AG1179" s="6"/>
      <c r="AH1179" s="7">
        <v>1</v>
      </c>
      <c r="AI1179" s="4"/>
      <c r="AJ1179" s="4">
        <f>=ROUNDDOWN({0},0)</f>
      </c>
      <c r="AK1179" s="5"/>
      <c r="AL1179" s="2" t="s">
        <v>228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/>
      <c r="AW1179" s="8"/>
      <c r="AX1179" s="4"/>
      <c r="AY1179" s="8"/>
      <c r="AZ1179" s="7"/>
      <c r="BA1179" s="7"/>
      <c r="BB1179" s="7"/>
      <c r="BC1179" s="4" t="s">
        <v>228</v>
      </c>
      <c r="BD1179" s="8" t="s">
        <v>228</v>
      </c>
      <c r="BE1179" s="4" t="s">
        <v>228</v>
      </c>
      <c r="BF1179" s="8" t="s">
        <v>228</v>
      </c>
      <c r="BG1179" s="7" t="s">
        <v>228</v>
      </c>
      <c r="BH1179" s="7" t="s">
        <v>228</v>
      </c>
      <c r="BI1179" s="7"/>
      <c r="BJ1179" s="4">
        <v>27</v>
      </c>
      <c r="BK1179" s="8">
        <v>736.76</v>
      </c>
      <c r="BL1179" s="2" t="s">
        <v>3909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6209</v>
      </c>
      <c r="BV1179" s="2" t="s">
        <v>228</v>
      </c>
      <c r="BW1179" s="2" t="s">
        <v>228</v>
      </c>
      <c r="BX1179" s="2" t="s">
        <v>337</v>
      </c>
      <c r="BY1179" s="2" t="s">
        <v>274</v>
      </c>
      <c r="BZ1179" s="2" t="s">
        <v>240</v>
      </c>
      <c r="CA1179" s="2" t="s">
        <v>2655</v>
      </c>
      <c r="CB1179" s="2" t="s">
        <v>6210</v>
      </c>
      <c r="CC1179" s="2" t="s">
        <v>241</v>
      </c>
      <c r="CD1179" s="2" t="s">
        <v>228</v>
      </c>
      <c r="CE1179" s="4">
        <v>1426</v>
      </c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/>
      <c r="GG1179" s="4"/>
      <c r="GH1179" s="4"/>
      <c r="GI1179" s="4"/>
      <c r="GJ1179" s="4"/>
      <c r="GK1179" s="4"/>
      <c r="GL1179" s="4"/>
      <c r="GM1179" s="4"/>
      <c r="GN1179" s="4"/>
      <c r="GO1179" s="4"/>
      <c r="GP1179" s="4"/>
      <c r="GQ1179" s="4"/>
      <c r="GR1179" s="4"/>
      <c r="GS1179" s="4"/>
      <c r="GT1179" s="4"/>
      <c r="GU1179" s="4"/>
      <c r="GV1179" s="4"/>
      <c r="GW1179" s="4"/>
      <c r="GX1179" s="4"/>
      <c r="GY1179" s="4"/>
      <c r="GZ1179" s="4"/>
      <c r="HA1179" s="4"/>
      <c r="HB1179" s="4"/>
      <c r="HC1179" s="4"/>
      <c r="HD1179" s="4"/>
      <c r="HE1179" s="4"/>
    </row>
    <row r="1180">
      <c r="A1180" s="2" t="s">
        <v>6211</v>
      </c>
      <c r="B1180" s="2" t="s">
        <v>223</v>
      </c>
      <c r="C1180" s="2" t="s">
        <v>731</v>
      </c>
      <c r="D1180" s="2" t="s">
        <v>1407</v>
      </c>
      <c r="E1180" s="2" t="s">
        <v>1408</v>
      </c>
      <c r="F1180" s="2" t="s">
        <v>6199</v>
      </c>
      <c r="G1180" s="2" t="s">
        <v>6199</v>
      </c>
      <c r="H1180" s="2" t="s">
        <v>6199</v>
      </c>
      <c r="I1180" s="2" t="s">
        <v>2421</v>
      </c>
      <c r="J1180" s="2" t="s">
        <v>4972</v>
      </c>
      <c r="K1180" s="2" t="s">
        <v>2303</v>
      </c>
      <c r="L1180" s="3">
        <v>38.4</v>
      </c>
      <c r="M1180" s="3">
        <v>40.32</v>
      </c>
      <c r="N1180" s="3">
        <v>79.99</v>
      </c>
      <c r="O1180" s="2" t="s">
        <v>240</v>
      </c>
      <c r="P1180" s="2" t="s">
        <v>815</v>
      </c>
      <c r="Q1180" s="2" t="s">
        <v>234</v>
      </c>
      <c r="R1180" s="2" t="s">
        <v>228</v>
      </c>
      <c r="S1180" s="2" t="s">
        <v>6212</v>
      </c>
      <c r="T1180" s="2" t="s">
        <v>3112</v>
      </c>
      <c r="U1180" s="2" t="s">
        <v>228</v>
      </c>
      <c r="V1180" s="2" t="s">
        <v>980</v>
      </c>
      <c r="W1180" s="2" t="s">
        <v>269</v>
      </c>
      <c r="X1180" s="2" t="s">
        <v>463</v>
      </c>
      <c r="Y1180" s="2" t="s">
        <v>6213</v>
      </c>
      <c r="Z1180" s="4">
        <v>595</v>
      </c>
      <c r="AA1180" s="4">
        <f>=ROUNDDOWN(8.75,0)</f>
      </c>
      <c r="AB1180" s="5">
        <v>68</v>
      </c>
      <c r="AC1180" s="2" t="s">
        <v>1014</v>
      </c>
      <c r="AD1180" s="4">
        <v>620</v>
      </c>
      <c r="AE1180" s="4">
        <v>2090</v>
      </c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228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/>
      <c r="AW1180" s="8"/>
      <c r="AX1180" s="4"/>
      <c r="AY1180" s="8"/>
      <c r="AZ1180" s="7"/>
      <c r="BA1180" s="7"/>
      <c r="BB1180" s="7"/>
      <c r="BC1180" s="4" t="s">
        <v>228</v>
      </c>
      <c r="BD1180" s="8" t="s">
        <v>228</v>
      </c>
      <c r="BE1180" s="4" t="s">
        <v>228</v>
      </c>
      <c r="BF1180" s="8" t="s">
        <v>228</v>
      </c>
      <c r="BG1180" s="7" t="s">
        <v>228</v>
      </c>
      <c r="BH1180" s="7" t="s">
        <v>228</v>
      </c>
      <c r="BI1180" s="7"/>
      <c r="BJ1180" s="4">
        <v>20</v>
      </c>
      <c r="BK1180" s="8">
        <v>794.35</v>
      </c>
      <c r="BL1180" s="2" t="s">
        <v>6214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6215</v>
      </c>
      <c r="BV1180" s="2" t="s">
        <v>228</v>
      </c>
      <c r="BW1180" s="2" t="s">
        <v>228</v>
      </c>
      <c r="BX1180" s="2" t="s">
        <v>273</v>
      </c>
      <c r="BY1180" s="2" t="s">
        <v>274</v>
      </c>
      <c r="BZ1180" s="2" t="s">
        <v>240</v>
      </c>
      <c r="CA1180" s="2" t="s">
        <v>2655</v>
      </c>
      <c r="CB1180" s="2" t="s">
        <v>6216</v>
      </c>
      <c r="CC1180" s="2" t="s">
        <v>241</v>
      </c>
      <c r="CD1180" s="2" t="s">
        <v>228</v>
      </c>
      <c r="CE1180" s="4">
        <v>595</v>
      </c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>
        <v>620</v>
      </c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>
        <v>880</v>
      </c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>
        <v>380</v>
      </c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>
        <v>210</v>
      </c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4"/>
      <c r="HE1180" s="4"/>
    </row>
    <row r="1181">
      <c r="A1181" s="2" t="s">
        <v>6217</v>
      </c>
      <c r="B1181" s="2" t="s">
        <v>223</v>
      </c>
      <c r="C1181" s="2" t="s">
        <v>731</v>
      </c>
      <c r="D1181" s="2" t="s">
        <v>1407</v>
      </c>
      <c r="E1181" s="2" t="s">
        <v>1408</v>
      </c>
      <c r="F1181" s="2" t="s">
        <v>6199</v>
      </c>
      <c r="G1181" s="2" t="s">
        <v>6199</v>
      </c>
      <c r="H1181" s="2" t="s">
        <v>6199</v>
      </c>
      <c r="I1181" s="2" t="s">
        <v>2421</v>
      </c>
      <c r="J1181" s="2" t="s">
        <v>4972</v>
      </c>
      <c r="K1181" s="2" t="s">
        <v>3174</v>
      </c>
      <c r="L1181" s="3">
        <v>38.4</v>
      </c>
      <c r="M1181" s="3">
        <v>40.32</v>
      </c>
      <c r="N1181" s="3">
        <v>79.99</v>
      </c>
      <c r="O1181" s="2" t="s">
        <v>461</v>
      </c>
      <c r="P1181" s="2" t="s">
        <v>333</v>
      </c>
      <c r="Q1181" s="2" t="s">
        <v>234</v>
      </c>
      <c r="R1181" s="2" t="s">
        <v>228</v>
      </c>
      <c r="S1181" s="2" t="s">
        <v>6218</v>
      </c>
      <c r="T1181" s="2" t="s">
        <v>3112</v>
      </c>
      <c r="U1181" s="2" t="s">
        <v>228</v>
      </c>
      <c r="V1181" s="2" t="s">
        <v>980</v>
      </c>
      <c r="W1181" s="2" t="s">
        <v>269</v>
      </c>
      <c r="X1181" s="2" t="s">
        <v>463</v>
      </c>
      <c r="Y1181" s="2" t="s">
        <v>6219</v>
      </c>
      <c r="Z1181" s="4">
        <v>492</v>
      </c>
      <c r="AA1181" s="4">
        <f>=ROUNDDOWN(22.3636363636364,0)</f>
      </c>
      <c r="AB1181" s="5">
        <v>22</v>
      </c>
      <c r="AC1181" s="2" t="s">
        <v>228</v>
      </c>
      <c r="AD1181" s="4"/>
      <c r="AE1181" s="4"/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228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/>
      <c r="AW1181" s="8"/>
      <c r="AX1181" s="4"/>
      <c r="AY1181" s="8"/>
      <c r="AZ1181" s="7"/>
      <c r="BA1181" s="7"/>
      <c r="BB1181" s="7"/>
      <c r="BC1181" s="4" t="s">
        <v>228</v>
      </c>
      <c r="BD1181" s="8" t="s">
        <v>228</v>
      </c>
      <c r="BE1181" s="4" t="s">
        <v>228</v>
      </c>
      <c r="BF1181" s="8" t="s">
        <v>228</v>
      </c>
      <c r="BG1181" s="7" t="s">
        <v>228</v>
      </c>
      <c r="BH1181" s="7" t="s">
        <v>228</v>
      </c>
      <c r="BI1181" s="7"/>
      <c r="BJ1181" s="4">
        <v>57</v>
      </c>
      <c r="BK1181" s="8">
        <v>1523.44</v>
      </c>
      <c r="BL1181" s="2" t="s">
        <v>6220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6221</v>
      </c>
      <c r="BV1181" s="2" t="s">
        <v>228</v>
      </c>
      <c r="BW1181" s="2" t="s">
        <v>228</v>
      </c>
      <c r="BX1181" s="2" t="s">
        <v>337</v>
      </c>
      <c r="BY1181" s="2" t="s">
        <v>274</v>
      </c>
      <c r="BZ1181" s="2" t="s">
        <v>240</v>
      </c>
      <c r="CA1181" s="2" t="s">
        <v>6222</v>
      </c>
      <c r="CB1181" s="2" t="s">
        <v>324</v>
      </c>
      <c r="CC1181" s="2" t="s">
        <v>241</v>
      </c>
      <c r="CD1181" s="2" t="s">
        <v>228</v>
      </c>
      <c r="CE1181" s="4">
        <v>492</v>
      </c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4"/>
      <c r="HE1181" s="4"/>
    </row>
    <row r="1182">
      <c r="A1182" s="2" t="s">
        <v>6223</v>
      </c>
      <c r="B1182" s="2" t="s">
        <v>223</v>
      </c>
      <c r="C1182" s="2" t="s">
        <v>731</v>
      </c>
      <c r="D1182" s="2" t="s">
        <v>1407</v>
      </c>
      <c r="E1182" s="2" t="s">
        <v>1408</v>
      </c>
      <c r="F1182" s="2" t="s">
        <v>6199</v>
      </c>
      <c r="G1182" s="2" t="s">
        <v>6199</v>
      </c>
      <c r="H1182" s="2" t="s">
        <v>6199</v>
      </c>
      <c r="I1182" s="2" t="s">
        <v>2421</v>
      </c>
      <c r="J1182" s="2" t="s">
        <v>4972</v>
      </c>
      <c r="K1182" s="2" t="s">
        <v>1478</v>
      </c>
      <c r="L1182" s="3">
        <v>38.4</v>
      </c>
      <c r="M1182" s="3">
        <v>40.32</v>
      </c>
      <c r="N1182" s="3">
        <v>79.99</v>
      </c>
      <c r="O1182" s="2" t="s">
        <v>461</v>
      </c>
      <c r="P1182" s="2" t="s">
        <v>333</v>
      </c>
      <c r="Q1182" s="2" t="s">
        <v>234</v>
      </c>
      <c r="R1182" s="2" t="s">
        <v>228</v>
      </c>
      <c r="S1182" s="2" t="s">
        <v>6224</v>
      </c>
      <c r="T1182" s="2" t="s">
        <v>3112</v>
      </c>
      <c r="U1182" s="2" t="s">
        <v>228</v>
      </c>
      <c r="V1182" s="2" t="s">
        <v>980</v>
      </c>
      <c r="W1182" s="2" t="s">
        <v>269</v>
      </c>
      <c r="X1182" s="2" t="s">
        <v>463</v>
      </c>
      <c r="Y1182" s="2" t="s">
        <v>270</v>
      </c>
      <c r="Z1182" s="4">
        <v>1362</v>
      </c>
      <c r="AA1182" s="4">
        <f>=ROUNDDOWN(104.769230769231,0)</f>
      </c>
      <c r="AB1182" s="5">
        <v>13</v>
      </c>
      <c r="AC1182" s="2" t="s">
        <v>228</v>
      </c>
      <c r="AD1182" s="4"/>
      <c r="AE1182" s="4"/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228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/>
      <c r="AW1182" s="8"/>
      <c r="AX1182" s="4"/>
      <c r="AY1182" s="8"/>
      <c r="AZ1182" s="7"/>
      <c r="BA1182" s="7"/>
      <c r="BB1182" s="7"/>
      <c r="BC1182" s="4" t="s">
        <v>228</v>
      </c>
      <c r="BD1182" s="8" t="s">
        <v>228</v>
      </c>
      <c r="BE1182" s="4" t="s">
        <v>228</v>
      </c>
      <c r="BF1182" s="8" t="s">
        <v>228</v>
      </c>
      <c r="BG1182" s="7" t="s">
        <v>228</v>
      </c>
      <c r="BH1182" s="7" t="s">
        <v>228</v>
      </c>
      <c r="BI1182" s="7"/>
      <c r="BJ1182" s="4">
        <v>37</v>
      </c>
      <c r="BK1182" s="8">
        <v>994.3</v>
      </c>
      <c r="BL1182" s="2" t="s">
        <v>6225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6226</v>
      </c>
      <c r="BV1182" s="2" t="s">
        <v>228</v>
      </c>
      <c r="BW1182" s="2" t="s">
        <v>228</v>
      </c>
      <c r="BX1182" s="2" t="s">
        <v>337</v>
      </c>
      <c r="BY1182" s="2" t="s">
        <v>274</v>
      </c>
      <c r="BZ1182" s="2" t="s">
        <v>240</v>
      </c>
      <c r="CA1182" s="2" t="s">
        <v>2655</v>
      </c>
      <c r="CB1182" s="2" t="s">
        <v>6202</v>
      </c>
      <c r="CC1182" s="2" t="s">
        <v>241</v>
      </c>
      <c r="CD1182" s="2" t="s">
        <v>228</v>
      </c>
      <c r="CE1182" s="4">
        <v>1362</v>
      </c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/>
      <c r="GZ1182" s="4"/>
      <c r="HA1182" s="4"/>
      <c r="HB1182" s="4"/>
      <c r="HC1182" s="4"/>
      <c r="HD1182" s="4"/>
      <c r="HE1182" s="4"/>
    </row>
    <row r="1183">
      <c r="A1183" s="2" t="s">
        <v>6227</v>
      </c>
      <c r="B1183" s="2" t="s">
        <v>223</v>
      </c>
      <c r="C1183" s="2" t="s">
        <v>731</v>
      </c>
      <c r="D1183" s="2" t="s">
        <v>1407</v>
      </c>
      <c r="E1183" s="2" t="s">
        <v>1408</v>
      </c>
      <c r="F1183" s="2" t="s">
        <v>6199</v>
      </c>
      <c r="G1183" s="2" t="s">
        <v>6199</v>
      </c>
      <c r="H1183" s="2" t="s">
        <v>6199</v>
      </c>
      <c r="I1183" s="2" t="s">
        <v>2421</v>
      </c>
      <c r="J1183" s="2" t="s">
        <v>4972</v>
      </c>
      <c r="K1183" s="2" t="s">
        <v>650</v>
      </c>
      <c r="L1183" s="3">
        <v>38.4</v>
      </c>
      <c r="M1183" s="3">
        <v>40.32</v>
      </c>
      <c r="N1183" s="3">
        <v>79.99</v>
      </c>
      <c r="O1183" s="2" t="s">
        <v>461</v>
      </c>
      <c r="P1183" s="2" t="s">
        <v>333</v>
      </c>
      <c r="Q1183" s="2" t="s">
        <v>234</v>
      </c>
      <c r="R1183" s="2" t="s">
        <v>228</v>
      </c>
      <c r="S1183" s="2" t="s">
        <v>6228</v>
      </c>
      <c r="T1183" s="2" t="s">
        <v>3112</v>
      </c>
      <c r="U1183" s="2" t="s">
        <v>228</v>
      </c>
      <c r="V1183" s="2" t="s">
        <v>980</v>
      </c>
      <c r="W1183" s="2" t="s">
        <v>269</v>
      </c>
      <c r="X1183" s="2" t="s">
        <v>463</v>
      </c>
      <c r="Y1183" s="2" t="s">
        <v>3967</v>
      </c>
      <c r="Z1183" s="4">
        <v>2433</v>
      </c>
      <c r="AA1183" s="4">
        <f>=ROUNDDOWN(173.785714285714,0)</f>
      </c>
      <c r="AB1183" s="5">
        <v>14</v>
      </c>
      <c r="AC1183" s="2" t="s">
        <v>228</v>
      </c>
      <c r="AD1183" s="4"/>
      <c r="AE1183" s="4"/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228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/>
      <c r="AW1183" s="8"/>
      <c r="AX1183" s="4"/>
      <c r="AY1183" s="8"/>
      <c r="AZ1183" s="7"/>
      <c r="BA1183" s="7"/>
      <c r="BB1183" s="7"/>
      <c r="BC1183" s="4" t="s">
        <v>228</v>
      </c>
      <c r="BD1183" s="8" t="s">
        <v>228</v>
      </c>
      <c r="BE1183" s="4" t="s">
        <v>228</v>
      </c>
      <c r="BF1183" s="8" t="s">
        <v>228</v>
      </c>
      <c r="BG1183" s="7" t="s">
        <v>228</v>
      </c>
      <c r="BH1183" s="7" t="s">
        <v>228</v>
      </c>
      <c r="BI1183" s="7"/>
      <c r="BJ1183" s="4">
        <v>26</v>
      </c>
      <c r="BK1183" s="8">
        <v>702.06</v>
      </c>
      <c r="BL1183" s="2" t="s">
        <v>6229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6230</v>
      </c>
      <c r="BV1183" s="2" t="s">
        <v>228</v>
      </c>
      <c r="BW1183" s="2" t="s">
        <v>228</v>
      </c>
      <c r="BX1183" s="2" t="s">
        <v>337</v>
      </c>
      <c r="BY1183" s="2" t="s">
        <v>274</v>
      </c>
      <c r="BZ1183" s="2" t="s">
        <v>240</v>
      </c>
      <c r="CA1183" s="2" t="s">
        <v>6222</v>
      </c>
      <c r="CB1183" s="2" t="s">
        <v>3787</v>
      </c>
      <c r="CC1183" s="2" t="s">
        <v>241</v>
      </c>
      <c r="CD1183" s="2" t="s">
        <v>228</v>
      </c>
      <c r="CE1183" s="4">
        <v>2433</v>
      </c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4"/>
      <c r="HE1183" s="4"/>
    </row>
    <row r="1184">
      <c r="A1184" s="2" t="s">
        <v>6231</v>
      </c>
      <c r="B1184" s="2" t="s">
        <v>223</v>
      </c>
      <c r="C1184" s="2" t="s">
        <v>731</v>
      </c>
      <c r="D1184" s="2" t="s">
        <v>1407</v>
      </c>
      <c r="E1184" s="2" t="s">
        <v>3636</v>
      </c>
      <c r="F1184" s="2" t="s">
        <v>6232</v>
      </c>
      <c r="G1184" s="2" t="s">
        <v>6232</v>
      </c>
      <c r="H1184" s="2" t="s">
        <v>6232</v>
      </c>
      <c r="I1184" s="2" t="s">
        <v>226</v>
      </c>
      <c r="J1184" s="2" t="s">
        <v>264</v>
      </c>
      <c r="K1184" s="2" t="s">
        <v>305</v>
      </c>
      <c r="L1184" s="3">
        <v>47</v>
      </c>
      <c r="M1184" s="3">
        <v>49.35</v>
      </c>
      <c r="N1184" s="3">
        <v>99.99</v>
      </c>
      <c r="O1184" s="2" t="s">
        <v>240</v>
      </c>
      <c r="P1184" s="2" t="s">
        <v>715</v>
      </c>
      <c r="Q1184" s="2" t="s">
        <v>234</v>
      </c>
      <c r="R1184" s="2" t="s">
        <v>228</v>
      </c>
      <c r="S1184" s="2" t="s">
        <v>6233</v>
      </c>
      <c r="T1184" s="2" t="s">
        <v>3112</v>
      </c>
      <c r="U1184" s="2" t="s">
        <v>416</v>
      </c>
      <c r="V1184" s="2" t="s">
        <v>236</v>
      </c>
      <c r="W1184" s="2" t="s">
        <v>269</v>
      </c>
      <c r="X1184" s="2" t="s">
        <v>228</v>
      </c>
      <c r="Y1184" s="2" t="s">
        <v>6234</v>
      </c>
      <c r="Z1184" s="4">
        <v>29</v>
      </c>
      <c r="AA1184" s="4">
        <f>=ROUNDDOWN(3.22222222222222,0)</f>
      </c>
      <c r="AB1184" s="5">
        <v>9</v>
      </c>
      <c r="AC1184" s="2" t="s">
        <v>6121</v>
      </c>
      <c r="AD1184" s="4">
        <v>150</v>
      </c>
      <c r="AE1184" s="4">
        <v>300</v>
      </c>
      <c r="AF1184" s="6">
        <v>65</v>
      </c>
      <c r="AG1184" s="6"/>
      <c r="AH1184" s="7">
        <v>1</v>
      </c>
      <c r="AI1184" s="4"/>
      <c r="AJ1184" s="4">
        <f>=ROUNDDOWN({0},0)</f>
      </c>
      <c r="AK1184" s="5"/>
      <c r="AL1184" s="2" t="s">
        <v>228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/>
      <c r="AW1184" s="8"/>
      <c r="AX1184" s="4"/>
      <c r="AY1184" s="8"/>
      <c r="AZ1184" s="7"/>
      <c r="BA1184" s="7"/>
      <c r="BB1184" s="7"/>
      <c r="BC1184" s="4" t="s">
        <v>228</v>
      </c>
      <c r="BD1184" s="8" t="s">
        <v>228</v>
      </c>
      <c r="BE1184" s="4" t="s">
        <v>228</v>
      </c>
      <c r="BF1184" s="8" t="s">
        <v>228</v>
      </c>
      <c r="BG1184" s="7" t="s">
        <v>228</v>
      </c>
      <c r="BH1184" s="7" t="s">
        <v>228</v>
      </c>
      <c r="BI1184" s="7"/>
      <c r="BJ1184" s="4">
        <v>2</v>
      </c>
      <c r="BK1184" s="8">
        <v>103.16</v>
      </c>
      <c r="BL1184" s="2" t="s">
        <v>6235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6236</v>
      </c>
      <c r="BV1184" s="2" t="s">
        <v>228</v>
      </c>
      <c r="BW1184" s="2" t="s">
        <v>228</v>
      </c>
      <c r="BX1184" s="2" t="s">
        <v>273</v>
      </c>
      <c r="BY1184" s="2" t="s">
        <v>274</v>
      </c>
      <c r="BZ1184" s="2" t="s">
        <v>240</v>
      </c>
      <c r="CA1184" s="2" t="s">
        <v>6237</v>
      </c>
      <c r="CB1184" s="2" t="s">
        <v>6238</v>
      </c>
      <c r="CC1184" s="2" t="s">
        <v>241</v>
      </c>
      <c r="CD1184" s="2" t="s">
        <v>228</v>
      </c>
      <c r="CE1184" s="4">
        <v>29</v>
      </c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>
        <v>150</v>
      </c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>
        <v>150</v>
      </c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"/>
      <c r="GX1184" s="4"/>
      <c r="GY1184" s="4"/>
      <c r="GZ1184" s="4"/>
      <c r="HA1184" s="4"/>
      <c r="HB1184" s="4"/>
      <c r="HC1184" s="4"/>
      <c r="HD1184" s="4"/>
      <c r="HE1184" s="4"/>
    </row>
    <row r="1185">
      <c r="A1185" s="2" t="s">
        <v>6239</v>
      </c>
      <c r="B1185" s="2" t="s">
        <v>223</v>
      </c>
      <c r="C1185" s="2" t="s">
        <v>731</v>
      </c>
      <c r="D1185" s="2" t="s">
        <v>1407</v>
      </c>
      <c r="E1185" s="2" t="s">
        <v>3636</v>
      </c>
      <c r="F1185" s="2" t="s">
        <v>6232</v>
      </c>
      <c r="G1185" s="2" t="s">
        <v>6232</v>
      </c>
      <c r="H1185" s="2" t="s">
        <v>6232</v>
      </c>
      <c r="I1185" s="2" t="s">
        <v>226</v>
      </c>
      <c r="J1185" s="2" t="s">
        <v>264</v>
      </c>
      <c r="K1185" s="2" t="s">
        <v>3174</v>
      </c>
      <c r="L1185" s="3">
        <v>47</v>
      </c>
      <c r="M1185" s="3">
        <v>49.35</v>
      </c>
      <c r="N1185" s="3">
        <v>99.99</v>
      </c>
      <c r="O1185" s="2" t="s">
        <v>240</v>
      </c>
      <c r="P1185" s="2" t="s">
        <v>715</v>
      </c>
      <c r="Q1185" s="2" t="s">
        <v>234</v>
      </c>
      <c r="R1185" s="2" t="s">
        <v>228</v>
      </c>
      <c r="S1185" s="2" t="s">
        <v>6240</v>
      </c>
      <c r="T1185" s="2" t="s">
        <v>3112</v>
      </c>
      <c r="U1185" s="2" t="s">
        <v>228</v>
      </c>
      <c r="V1185" s="2" t="s">
        <v>236</v>
      </c>
      <c r="W1185" s="2" t="s">
        <v>269</v>
      </c>
      <c r="X1185" s="2" t="s">
        <v>228</v>
      </c>
      <c r="Y1185" s="2" t="s">
        <v>270</v>
      </c>
      <c r="Z1185" s="4">
        <v>115</v>
      </c>
      <c r="AA1185" s="4">
        <f>=ROUNDDOWN(6.38888888888889,0)</f>
      </c>
      <c r="AB1185" s="5">
        <v>18</v>
      </c>
      <c r="AC1185" s="2" t="s">
        <v>6121</v>
      </c>
      <c r="AD1185" s="4">
        <v>150</v>
      </c>
      <c r="AE1185" s="4">
        <v>450</v>
      </c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228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/>
      <c r="AW1185" s="8"/>
      <c r="AX1185" s="4"/>
      <c r="AY1185" s="8"/>
      <c r="AZ1185" s="7"/>
      <c r="BA1185" s="7"/>
      <c r="BB1185" s="7"/>
      <c r="BC1185" s="4" t="s">
        <v>228</v>
      </c>
      <c r="BD1185" s="8" t="s">
        <v>228</v>
      </c>
      <c r="BE1185" s="4" t="s">
        <v>228</v>
      </c>
      <c r="BF1185" s="8" t="s">
        <v>228</v>
      </c>
      <c r="BG1185" s="7" t="s">
        <v>228</v>
      </c>
      <c r="BH1185" s="7" t="s">
        <v>228</v>
      </c>
      <c r="BI1185" s="7"/>
      <c r="BJ1185" s="4">
        <v>15</v>
      </c>
      <c r="BK1185" s="8">
        <v>690.69</v>
      </c>
      <c r="BL1185" s="2" t="s">
        <v>6241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6242</v>
      </c>
      <c r="BV1185" s="2" t="s">
        <v>228</v>
      </c>
      <c r="BW1185" s="2" t="s">
        <v>228</v>
      </c>
      <c r="BX1185" s="2" t="s">
        <v>273</v>
      </c>
      <c r="BY1185" s="2" t="s">
        <v>274</v>
      </c>
      <c r="BZ1185" s="2" t="s">
        <v>240</v>
      </c>
      <c r="CA1185" s="2" t="s">
        <v>4976</v>
      </c>
      <c r="CB1185" s="2" t="s">
        <v>6243</v>
      </c>
      <c r="CC1185" s="2" t="s">
        <v>241</v>
      </c>
      <c r="CD1185" s="2" t="s">
        <v>228</v>
      </c>
      <c r="CE1185" s="4">
        <v>115</v>
      </c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>
        <v>150</v>
      </c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>
        <v>150</v>
      </c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>
        <v>150</v>
      </c>
      <c r="FY1185" s="4"/>
      <c r="FZ1185" s="4"/>
      <c r="GA1185" s="4"/>
      <c r="GB1185" s="4"/>
      <c r="GC1185" s="4"/>
      <c r="GD1185" s="4"/>
      <c r="GE1185" s="4"/>
      <c r="GF1185" s="4"/>
      <c r="GG1185" s="4"/>
      <c r="GH1185" s="4"/>
      <c r="GI1185" s="4"/>
      <c r="GJ1185" s="4"/>
      <c r="GK1185" s="4"/>
      <c r="GL1185" s="4"/>
      <c r="GM1185" s="4"/>
      <c r="GN1185" s="4"/>
      <c r="GO1185" s="4"/>
      <c r="GP1185" s="4"/>
      <c r="GQ1185" s="4"/>
      <c r="GR1185" s="4"/>
      <c r="GS1185" s="4"/>
      <c r="GT1185" s="4"/>
      <c r="GU1185" s="4"/>
      <c r="GV1185" s="4"/>
      <c r="GW1185" s="4"/>
      <c r="GX1185" s="4"/>
      <c r="GY1185" s="4"/>
      <c r="GZ1185" s="4"/>
      <c r="HA1185" s="4"/>
      <c r="HB1185" s="4"/>
      <c r="HC1185" s="4"/>
      <c r="HD1185" s="4"/>
      <c r="HE1185" s="4"/>
    </row>
    <row r="1186">
      <c r="A1186" s="2" t="s">
        <v>6244</v>
      </c>
      <c r="B1186" s="2" t="s">
        <v>223</v>
      </c>
      <c r="C1186" s="2" t="s">
        <v>731</v>
      </c>
      <c r="D1186" s="2" t="s">
        <v>1407</v>
      </c>
      <c r="E1186" s="2" t="s">
        <v>3636</v>
      </c>
      <c r="F1186" s="2" t="s">
        <v>6232</v>
      </c>
      <c r="G1186" s="2" t="s">
        <v>6232</v>
      </c>
      <c r="H1186" s="2" t="s">
        <v>6232</v>
      </c>
      <c r="I1186" s="2" t="s">
        <v>226</v>
      </c>
      <c r="J1186" s="2" t="s">
        <v>264</v>
      </c>
      <c r="K1186" s="2" t="s">
        <v>1390</v>
      </c>
      <c r="L1186" s="3">
        <v>47</v>
      </c>
      <c r="M1186" s="3">
        <v>49.35</v>
      </c>
      <c r="N1186" s="3">
        <v>99.99</v>
      </c>
      <c r="O1186" s="2" t="s">
        <v>240</v>
      </c>
      <c r="P1186" s="2" t="s">
        <v>266</v>
      </c>
      <c r="Q1186" s="2" t="s">
        <v>234</v>
      </c>
      <c r="R1186" s="2" t="s">
        <v>228</v>
      </c>
      <c r="S1186" s="2" t="s">
        <v>6245</v>
      </c>
      <c r="T1186" s="2" t="s">
        <v>3112</v>
      </c>
      <c r="U1186" s="2" t="s">
        <v>228</v>
      </c>
      <c r="V1186" s="2" t="s">
        <v>236</v>
      </c>
      <c r="W1186" s="2" t="s">
        <v>269</v>
      </c>
      <c r="X1186" s="2" t="s">
        <v>228</v>
      </c>
      <c r="Y1186" s="2" t="s">
        <v>270</v>
      </c>
      <c r="Z1186" s="4">
        <v>122</v>
      </c>
      <c r="AA1186" s="4">
        <f>=ROUNDDOWN(5.08333333333333,0)</f>
      </c>
      <c r="AB1186" s="5">
        <v>24</v>
      </c>
      <c r="AC1186" s="2" t="s">
        <v>160</v>
      </c>
      <c r="AD1186" s="4">
        <v>160</v>
      </c>
      <c r="AE1186" s="4">
        <v>160</v>
      </c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228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228</v>
      </c>
      <c r="AW1186" s="8" t="s">
        <v>228</v>
      </c>
      <c r="AX1186" s="4" t="s">
        <v>228</v>
      </c>
      <c r="AY1186" s="8" t="s">
        <v>228</v>
      </c>
      <c r="AZ1186" s="7" t="s">
        <v>228</v>
      </c>
      <c r="BA1186" s="7" t="s">
        <v>228</v>
      </c>
      <c r="BB1186" s="7"/>
      <c r="BC1186" s="4" t="s">
        <v>228</v>
      </c>
      <c r="BD1186" s="8" t="s">
        <v>228</v>
      </c>
      <c r="BE1186" s="4" t="s">
        <v>228</v>
      </c>
      <c r="BF1186" s="8" t="s">
        <v>228</v>
      </c>
      <c r="BG1186" s="7" t="s">
        <v>228</v>
      </c>
      <c r="BH1186" s="7" t="s">
        <v>228</v>
      </c>
      <c r="BI1186" s="7"/>
      <c r="BJ1186" s="4">
        <v>18</v>
      </c>
      <c r="BK1186" s="8">
        <v>811.27</v>
      </c>
      <c r="BL1186" s="2" t="s">
        <v>6246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6247</v>
      </c>
      <c r="BV1186" s="2" t="s">
        <v>228</v>
      </c>
      <c r="BW1186" s="2" t="s">
        <v>228</v>
      </c>
      <c r="BX1186" s="2" t="s">
        <v>273</v>
      </c>
      <c r="BY1186" s="2" t="s">
        <v>274</v>
      </c>
      <c r="BZ1186" s="2" t="s">
        <v>240</v>
      </c>
      <c r="CA1186" s="2" t="s">
        <v>2655</v>
      </c>
      <c r="CB1186" s="2" t="s">
        <v>6248</v>
      </c>
      <c r="CC1186" s="2" t="s">
        <v>241</v>
      </c>
      <c r="CD1186" s="2" t="s">
        <v>228</v>
      </c>
      <c r="CE1186" s="4">
        <v>122</v>
      </c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>
        <v>160</v>
      </c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/>
      <c r="GZ1186" s="4"/>
      <c r="HA1186" s="4"/>
      <c r="HB1186" s="4"/>
      <c r="HC1186" s="4"/>
      <c r="HD1186" s="4"/>
      <c r="HE1186" s="4"/>
    </row>
    <row r="1187">
      <c r="A1187" s="2" t="s">
        <v>6249</v>
      </c>
      <c r="B1187" s="2" t="s">
        <v>223</v>
      </c>
      <c r="C1187" s="2" t="s">
        <v>731</v>
      </c>
      <c r="D1187" s="2" t="s">
        <v>1407</v>
      </c>
      <c r="E1187" s="2" t="s">
        <v>3636</v>
      </c>
      <c r="F1187" s="2" t="s">
        <v>6232</v>
      </c>
      <c r="G1187" s="2" t="s">
        <v>6232</v>
      </c>
      <c r="H1187" s="2" t="s">
        <v>6232</v>
      </c>
      <c r="I1187" s="2" t="s">
        <v>226</v>
      </c>
      <c r="J1187" s="2" t="s">
        <v>284</v>
      </c>
      <c r="K1187" s="2" t="s">
        <v>1390</v>
      </c>
      <c r="L1187" s="3">
        <v>52.8</v>
      </c>
      <c r="M1187" s="3">
        <v>55.44</v>
      </c>
      <c r="N1187" s="3">
        <v>109.99</v>
      </c>
      <c r="O1187" s="2" t="s">
        <v>240</v>
      </c>
      <c r="P1187" s="2" t="s">
        <v>266</v>
      </c>
      <c r="Q1187" s="2" t="s">
        <v>234</v>
      </c>
      <c r="R1187" s="2" t="s">
        <v>228</v>
      </c>
      <c r="S1187" s="2" t="s">
        <v>6245</v>
      </c>
      <c r="T1187" s="2" t="s">
        <v>3112</v>
      </c>
      <c r="U1187" s="2" t="s">
        <v>228</v>
      </c>
      <c r="V1187" s="2" t="s">
        <v>236</v>
      </c>
      <c r="W1187" s="2" t="s">
        <v>269</v>
      </c>
      <c r="X1187" s="2" t="s">
        <v>228</v>
      </c>
      <c r="Y1187" s="2" t="s">
        <v>3919</v>
      </c>
      <c r="Z1187" s="4">
        <v>213</v>
      </c>
      <c r="AA1187" s="4">
        <f>=ROUNDDOWN(12.5294117647059,0)</f>
      </c>
      <c r="AB1187" s="5">
        <v>17</v>
      </c>
      <c r="AC1187" s="2" t="s">
        <v>160</v>
      </c>
      <c r="AD1187" s="4">
        <v>177</v>
      </c>
      <c r="AE1187" s="4">
        <v>200</v>
      </c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228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228</v>
      </c>
      <c r="AW1187" s="8" t="s">
        <v>228</v>
      </c>
      <c r="AX1187" s="4" t="s">
        <v>228</v>
      </c>
      <c r="AY1187" s="8" t="s">
        <v>228</v>
      </c>
      <c r="AZ1187" s="7" t="s">
        <v>228</v>
      </c>
      <c r="BA1187" s="7" t="s">
        <v>228</v>
      </c>
      <c r="BB1187" s="7"/>
      <c r="BC1187" s="4" t="s">
        <v>228</v>
      </c>
      <c r="BD1187" s="8" t="s">
        <v>228</v>
      </c>
      <c r="BE1187" s="4" t="s">
        <v>228</v>
      </c>
      <c r="BF1187" s="8" t="s">
        <v>228</v>
      </c>
      <c r="BG1187" s="7" t="s">
        <v>228</v>
      </c>
      <c r="BH1187" s="7" t="s">
        <v>228</v>
      </c>
      <c r="BI1187" s="7"/>
      <c r="BJ1187" s="4">
        <v>11</v>
      </c>
      <c r="BK1187" s="8">
        <v>582.11</v>
      </c>
      <c r="BL1187" s="2" t="s">
        <v>6250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6251</v>
      </c>
      <c r="BV1187" s="2" t="s">
        <v>228</v>
      </c>
      <c r="BW1187" s="2" t="s">
        <v>228</v>
      </c>
      <c r="BX1187" s="2" t="s">
        <v>273</v>
      </c>
      <c r="BY1187" s="2" t="s">
        <v>274</v>
      </c>
      <c r="BZ1187" s="2" t="s">
        <v>240</v>
      </c>
      <c r="CA1187" s="2" t="s">
        <v>2655</v>
      </c>
      <c r="CB1187" s="2" t="s">
        <v>6252</v>
      </c>
      <c r="CC1187" s="2" t="s">
        <v>241</v>
      </c>
      <c r="CD1187" s="2" t="s">
        <v>228</v>
      </c>
      <c r="CE1187" s="4">
        <v>213</v>
      </c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>
        <v>177</v>
      </c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>
        <v>23</v>
      </c>
      <c r="GC1187" s="4"/>
      <c r="GD1187" s="4"/>
      <c r="GE1187" s="4"/>
      <c r="GF1187" s="4"/>
      <c r="GG1187" s="4"/>
      <c r="GH1187" s="4"/>
      <c r="GI1187" s="4"/>
      <c r="GJ1187" s="4"/>
      <c r="GK1187" s="4"/>
      <c r="GL1187" s="4"/>
      <c r="GM1187" s="4"/>
      <c r="GN1187" s="4"/>
      <c r="GO1187" s="4"/>
      <c r="GP1187" s="4"/>
      <c r="GQ1187" s="4"/>
      <c r="GR1187" s="4"/>
      <c r="GS1187" s="4"/>
      <c r="GT1187" s="4"/>
      <c r="GU1187" s="4"/>
      <c r="GV1187" s="4"/>
      <c r="GW1187" s="4"/>
      <c r="GX1187" s="4"/>
      <c r="GY1187" s="4"/>
      <c r="GZ1187" s="4"/>
      <c r="HA1187" s="4"/>
      <c r="HB1187" s="4"/>
      <c r="HC1187" s="4"/>
      <c r="HD1187" s="4"/>
      <c r="HE1187" s="4"/>
    </row>
    <row r="1188">
      <c r="A1188" s="2" t="s">
        <v>6253</v>
      </c>
      <c r="B1188" s="2" t="s">
        <v>223</v>
      </c>
      <c r="C1188" s="2" t="s">
        <v>731</v>
      </c>
      <c r="D1188" s="2" t="s">
        <v>1407</v>
      </c>
      <c r="E1188" s="2" t="s">
        <v>3636</v>
      </c>
      <c r="F1188" s="2" t="s">
        <v>6232</v>
      </c>
      <c r="G1188" s="2" t="s">
        <v>6232</v>
      </c>
      <c r="H1188" s="2" t="s">
        <v>6232</v>
      </c>
      <c r="I1188" s="2" t="s">
        <v>226</v>
      </c>
      <c r="J1188" s="2" t="s">
        <v>289</v>
      </c>
      <c r="K1188" s="2" t="s">
        <v>1390</v>
      </c>
      <c r="L1188" s="3">
        <v>73.5</v>
      </c>
      <c r="M1188" s="3">
        <v>77.18</v>
      </c>
      <c r="N1188" s="3">
        <v>149.99</v>
      </c>
      <c r="O1188" s="2" t="s">
        <v>240</v>
      </c>
      <c r="P1188" s="2" t="s">
        <v>266</v>
      </c>
      <c r="Q1188" s="2" t="s">
        <v>234</v>
      </c>
      <c r="R1188" s="2" t="s">
        <v>228</v>
      </c>
      <c r="S1188" s="2" t="s">
        <v>6245</v>
      </c>
      <c r="T1188" s="2" t="s">
        <v>3112</v>
      </c>
      <c r="U1188" s="2" t="s">
        <v>228</v>
      </c>
      <c r="V1188" s="2" t="s">
        <v>236</v>
      </c>
      <c r="W1188" s="2" t="s">
        <v>269</v>
      </c>
      <c r="X1188" s="2" t="s">
        <v>228</v>
      </c>
      <c r="Y1188" s="2" t="s">
        <v>270</v>
      </c>
      <c r="Z1188" s="4">
        <v>203</v>
      </c>
      <c r="AA1188" s="4">
        <f>=ROUNDDOWN(7.80769230769231,0)</f>
      </c>
      <c r="AB1188" s="5">
        <v>26</v>
      </c>
      <c r="AC1188" s="2" t="s">
        <v>6121</v>
      </c>
      <c r="AD1188" s="4">
        <v>150</v>
      </c>
      <c r="AE1188" s="4">
        <v>450</v>
      </c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228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 t="s">
        <v>228</v>
      </c>
      <c r="AW1188" s="8" t="s">
        <v>228</v>
      </c>
      <c r="AX1188" s="4" t="s">
        <v>228</v>
      </c>
      <c r="AY1188" s="8" t="s">
        <v>228</v>
      </c>
      <c r="AZ1188" s="7" t="s">
        <v>228</v>
      </c>
      <c r="BA1188" s="7" t="s">
        <v>228</v>
      </c>
      <c r="BB1188" s="7"/>
      <c r="BC1188" s="4" t="s">
        <v>228</v>
      </c>
      <c r="BD1188" s="8" t="s">
        <v>228</v>
      </c>
      <c r="BE1188" s="4" t="s">
        <v>228</v>
      </c>
      <c r="BF1188" s="8" t="s">
        <v>228</v>
      </c>
      <c r="BG1188" s="7" t="s">
        <v>228</v>
      </c>
      <c r="BH1188" s="7" t="s">
        <v>228</v>
      </c>
      <c r="BI1188" s="7"/>
      <c r="BJ1188" s="4">
        <v>18</v>
      </c>
      <c r="BK1188" s="8">
        <v>1353.29</v>
      </c>
      <c r="BL1188" s="2" t="s">
        <v>6254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6255</v>
      </c>
      <c r="BV1188" s="2" t="s">
        <v>228</v>
      </c>
      <c r="BW1188" s="2" t="s">
        <v>228</v>
      </c>
      <c r="BX1188" s="2" t="s">
        <v>273</v>
      </c>
      <c r="BY1188" s="2" t="s">
        <v>274</v>
      </c>
      <c r="BZ1188" s="2" t="s">
        <v>240</v>
      </c>
      <c r="CA1188" s="2" t="s">
        <v>2655</v>
      </c>
      <c r="CB1188" s="2" t="s">
        <v>6149</v>
      </c>
      <c r="CC1188" s="2" t="s">
        <v>241</v>
      </c>
      <c r="CD1188" s="2" t="s">
        <v>228</v>
      </c>
      <c r="CE1188" s="4">
        <v>203</v>
      </c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>
        <v>150</v>
      </c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>
        <v>150</v>
      </c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>
        <v>150</v>
      </c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  <c r="GQ1188" s="4"/>
      <c r="GR1188" s="4"/>
      <c r="GS1188" s="4"/>
      <c r="GT1188" s="4"/>
      <c r="GU1188" s="4"/>
      <c r="GV1188" s="4"/>
      <c r="GW1188" s="4"/>
      <c r="GX1188" s="4"/>
      <c r="GY1188" s="4"/>
      <c r="GZ1188" s="4"/>
      <c r="HA1188" s="4"/>
      <c r="HB1188" s="4"/>
      <c r="HC1188" s="4"/>
      <c r="HD1188" s="4"/>
      <c r="HE1188" s="4"/>
    </row>
    <row r="1189">
      <c r="A1189" s="2" t="s">
        <v>6256</v>
      </c>
      <c r="B1189" s="2" t="s">
        <v>223</v>
      </c>
      <c r="C1189" s="2" t="s">
        <v>731</v>
      </c>
      <c r="D1189" s="2" t="s">
        <v>1407</v>
      </c>
      <c r="E1189" s="2" t="s">
        <v>3636</v>
      </c>
      <c r="F1189" s="2" t="s">
        <v>6232</v>
      </c>
      <c r="G1189" s="2" t="s">
        <v>6232</v>
      </c>
      <c r="H1189" s="2" t="s">
        <v>6232</v>
      </c>
      <c r="I1189" s="2" t="s">
        <v>226</v>
      </c>
      <c r="J1189" s="2" t="s">
        <v>284</v>
      </c>
      <c r="K1189" s="2" t="s">
        <v>6257</v>
      </c>
      <c r="L1189" s="3">
        <v>52.8</v>
      </c>
      <c r="M1189" s="3">
        <v>55.44</v>
      </c>
      <c r="N1189" s="3">
        <v>109.99</v>
      </c>
      <c r="O1189" s="2" t="s">
        <v>240</v>
      </c>
      <c r="P1189" s="2" t="s">
        <v>889</v>
      </c>
      <c r="Q1189" s="2" t="s">
        <v>234</v>
      </c>
      <c r="R1189" s="2" t="s">
        <v>228</v>
      </c>
      <c r="S1189" s="2" t="s">
        <v>6258</v>
      </c>
      <c r="T1189" s="2" t="s">
        <v>3112</v>
      </c>
      <c r="U1189" s="2" t="s">
        <v>228</v>
      </c>
      <c r="V1189" s="2" t="s">
        <v>236</v>
      </c>
      <c r="W1189" s="2" t="s">
        <v>269</v>
      </c>
      <c r="X1189" s="2" t="s">
        <v>228</v>
      </c>
      <c r="Y1189" s="2" t="s">
        <v>270</v>
      </c>
      <c r="Z1189" s="4">
        <v>135</v>
      </c>
      <c r="AA1189" s="4">
        <f>=ROUNDDOWN(5,0)</f>
      </c>
      <c r="AB1189" s="5">
        <v>27</v>
      </c>
      <c r="AC1189" s="2" t="s">
        <v>6121</v>
      </c>
      <c r="AD1189" s="4">
        <v>250</v>
      </c>
      <c r="AE1189" s="4">
        <v>670</v>
      </c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228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/>
      <c r="AW1189" s="8"/>
      <c r="AX1189" s="4"/>
      <c r="AY1189" s="8"/>
      <c r="AZ1189" s="7"/>
      <c r="BA1189" s="7"/>
      <c r="BB1189" s="7"/>
      <c r="BC1189" s="4" t="s">
        <v>228</v>
      </c>
      <c r="BD1189" s="8" t="s">
        <v>228</v>
      </c>
      <c r="BE1189" s="4" t="s">
        <v>228</v>
      </c>
      <c r="BF1189" s="8" t="s">
        <v>228</v>
      </c>
      <c r="BG1189" s="7" t="s">
        <v>228</v>
      </c>
      <c r="BH1189" s="7" t="s">
        <v>228</v>
      </c>
      <c r="BI1189" s="7"/>
      <c r="BJ1189" s="4">
        <v>10</v>
      </c>
      <c r="BK1189" s="8">
        <v>527.62</v>
      </c>
      <c r="BL1189" s="2" t="s">
        <v>6259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6260</v>
      </c>
      <c r="BV1189" s="2" t="s">
        <v>228</v>
      </c>
      <c r="BW1189" s="2" t="s">
        <v>228</v>
      </c>
      <c r="BX1189" s="2" t="s">
        <v>273</v>
      </c>
      <c r="BY1189" s="2" t="s">
        <v>274</v>
      </c>
      <c r="BZ1189" s="2" t="s">
        <v>240</v>
      </c>
      <c r="CA1189" s="2" t="s">
        <v>4976</v>
      </c>
      <c r="CB1189" s="2" t="s">
        <v>428</v>
      </c>
      <c r="CC1189" s="2" t="s">
        <v>241</v>
      </c>
      <c r="CD1189" s="2" t="s">
        <v>228</v>
      </c>
      <c r="CE1189" s="4">
        <v>135</v>
      </c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>
        <v>250</v>
      </c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>
        <v>210</v>
      </c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>
        <v>210</v>
      </c>
      <c r="FY1189" s="4"/>
      <c r="FZ1189" s="4"/>
      <c r="GA1189" s="4"/>
      <c r="GB1189" s="4"/>
      <c r="GC1189" s="4"/>
      <c r="GD1189" s="4"/>
      <c r="GE1189" s="4"/>
      <c r="GF1189" s="4"/>
      <c r="GG1189" s="4"/>
      <c r="GH1189" s="4"/>
      <c r="GI1189" s="4"/>
      <c r="GJ1189" s="4"/>
      <c r="GK1189" s="4"/>
      <c r="GL1189" s="4"/>
      <c r="GM1189" s="4"/>
      <c r="GN1189" s="4"/>
      <c r="GO1189" s="4"/>
      <c r="GP1189" s="4"/>
      <c r="GQ1189" s="4"/>
      <c r="GR1189" s="4"/>
      <c r="GS1189" s="4"/>
      <c r="GT1189" s="4"/>
      <c r="GU1189" s="4"/>
      <c r="GV1189" s="4"/>
      <c r="GW1189" s="4"/>
      <c r="GX1189" s="4"/>
      <c r="GY1189" s="4"/>
      <c r="GZ1189" s="4"/>
      <c r="HA1189" s="4"/>
      <c r="HB1189" s="4"/>
      <c r="HC1189" s="4"/>
      <c r="HD1189" s="4"/>
      <c r="HE1189" s="4"/>
    </row>
    <row r="1190">
      <c r="A1190" s="2" t="s">
        <v>6261</v>
      </c>
      <c r="B1190" s="2" t="s">
        <v>223</v>
      </c>
      <c r="C1190" s="2" t="s">
        <v>1261</v>
      </c>
      <c r="D1190" s="2" t="s">
        <v>1407</v>
      </c>
      <c r="E1190" s="2" t="s">
        <v>3636</v>
      </c>
      <c r="F1190" s="2" t="s">
        <v>6262</v>
      </c>
      <c r="G1190" s="2" t="s">
        <v>6262</v>
      </c>
      <c r="H1190" s="2" t="s">
        <v>228</v>
      </c>
      <c r="I1190" s="2" t="s">
        <v>226</v>
      </c>
      <c r="J1190" s="2" t="s">
        <v>294</v>
      </c>
      <c r="K1190" s="2" t="s">
        <v>6263</v>
      </c>
      <c r="L1190" s="3">
        <v>89.42</v>
      </c>
      <c r="M1190" s="3">
        <v>93.89</v>
      </c>
      <c r="N1190" s="3">
        <v>179.99</v>
      </c>
      <c r="O1190" s="2" t="s">
        <v>240</v>
      </c>
      <c r="P1190" s="2" t="s">
        <v>266</v>
      </c>
      <c r="Q1190" s="2" t="s">
        <v>234</v>
      </c>
      <c r="R1190" s="2" t="s">
        <v>228</v>
      </c>
      <c r="S1190" s="2" t="s">
        <v>6264</v>
      </c>
      <c r="T1190" s="2" t="s">
        <v>1266</v>
      </c>
      <c r="U1190" s="2" t="s">
        <v>228</v>
      </c>
      <c r="V1190" s="2" t="s">
        <v>236</v>
      </c>
      <c r="W1190" s="2" t="s">
        <v>269</v>
      </c>
      <c r="X1190" s="2" t="s">
        <v>228</v>
      </c>
      <c r="Y1190" s="2" t="s">
        <v>270</v>
      </c>
      <c r="Z1190" s="4">
        <v>236</v>
      </c>
      <c r="AA1190" s="4">
        <f>=ROUNDDOWN(59,0)</f>
      </c>
      <c r="AB1190" s="5">
        <v>4</v>
      </c>
      <c r="AC1190" s="2" t="s">
        <v>228</v>
      </c>
      <c r="AD1190" s="4"/>
      <c r="AE1190" s="4"/>
      <c r="AF1190" s="6">
        <v>65</v>
      </c>
      <c r="AG1190" s="6"/>
      <c r="AH1190" s="7">
        <v>1</v>
      </c>
      <c r="AI1190" s="4"/>
      <c r="AJ1190" s="4">
        <f>=ROUNDDOWN({0},0)</f>
      </c>
      <c r="AK1190" s="5"/>
      <c r="AL1190" s="2" t="s">
        <v>228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/>
      <c r="AW1190" s="8"/>
      <c r="AX1190" s="4"/>
      <c r="AY1190" s="8"/>
      <c r="AZ1190" s="7"/>
      <c r="BA1190" s="7"/>
      <c r="BB1190" s="7"/>
      <c r="BC1190" s="4" t="s">
        <v>228</v>
      </c>
      <c r="BD1190" s="8" t="s">
        <v>228</v>
      </c>
      <c r="BE1190" s="4" t="s">
        <v>228</v>
      </c>
      <c r="BF1190" s="8" t="s">
        <v>228</v>
      </c>
      <c r="BG1190" s="7" t="s">
        <v>228</v>
      </c>
      <c r="BH1190" s="7" t="s">
        <v>228</v>
      </c>
      <c r="BI1190" s="7"/>
      <c r="BJ1190" s="4">
        <v>2</v>
      </c>
      <c r="BK1190" s="8">
        <v>198.58</v>
      </c>
      <c r="BL1190" s="2" t="s">
        <v>6265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6266</v>
      </c>
      <c r="BV1190" s="2" t="s">
        <v>228</v>
      </c>
      <c r="BW1190" s="2" t="s">
        <v>228</v>
      </c>
      <c r="BX1190" s="2" t="s">
        <v>3813</v>
      </c>
      <c r="BY1190" s="2" t="s">
        <v>274</v>
      </c>
      <c r="BZ1190" s="2" t="s">
        <v>240</v>
      </c>
      <c r="CA1190" s="2" t="s">
        <v>1618</v>
      </c>
      <c r="CB1190" s="2" t="s">
        <v>6267</v>
      </c>
      <c r="CC1190" s="2" t="s">
        <v>241</v>
      </c>
      <c r="CD1190" s="2" t="s">
        <v>228</v>
      </c>
      <c r="CE1190" s="4">
        <v>236</v>
      </c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"/>
      <c r="GX1190" s="4"/>
      <c r="GY1190" s="4"/>
      <c r="GZ1190" s="4"/>
      <c r="HA1190" s="4"/>
      <c r="HB1190" s="4"/>
      <c r="HC1190" s="4"/>
      <c r="HD1190" s="4"/>
      <c r="HE1190" s="4"/>
    </row>
    <row r="1191">
      <c r="A1191" s="2" t="s">
        <v>6268</v>
      </c>
      <c r="B1191" s="2" t="s">
        <v>223</v>
      </c>
      <c r="C1191" s="2" t="s">
        <v>1261</v>
      </c>
      <c r="D1191" s="2" t="s">
        <v>1407</v>
      </c>
      <c r="E1191" s="2" t="s">
        <v>1408</v>
      </c>
      <c r="F1191" s="2" t="s">
        <v>6262</v>
      </c>
      <c r="G1191" s="2" t="s">
        <v>6262</v>
      </c>
      <c r="H1191" s="2" t="s">
        <v>228</v>
      </c>
      <c r="I1191" s="2" t="s">
        <v>2421</v>
      </c>
      <c r="J1191" s="2" t="s">
        <v>4972</v>
      </c>
      <c r="K1191" s="2" t="s">
        <v>249</v>
      </c>
      <c r="L1191" s="3">
        <v>37.72</v>
      </c>
      <c r="M1191" s="3">
        <v>39.61</v>
      </c>
      <c r="N1191" s="3">
        <v>81.99</v>
      </c>
      <c r="O1191" s="2" t="s">
        <v>240</v>
      </c>
      <c r="P1191" s="2" t="s">
        <v>266</v>
      </c>
      <c r="Q1191" s="2" t="s">
        <v>234</v>
      </c>
      <c r="R1191" s="2" t="s">
        <v>228</v>
      </c>
      <c r="S1191" s="2" t="s">
        <v>6269</v>
      </c>
      <c r="T1191" s="2" t="s">
        <v>1266</v>
      </c>
      <c r="U1191" s="2" t="s">
        <v>228</v>
      </c>
      <c r="V1191" s="2" t="s">
        <v>236</v>
      </c>
      <c r="W1191" s="2" t="s">
        <v>269</v>
      </c>
      <c r="X1191" s="2" t="s">
        <v>228</v>
      </c>
      <c r="Y1191" s="2" t="s">
        <v>270</v>
      </c>
      <c r="Z1191" s="4">
        <v>275</v>
      </c>
      <c r="AA1191" s="4">
        <f>=ROUNDDOWN(5.72916666666667,0)</f>
      </c>
      <c r="AB1191" s="5">
        <v>48</v>
      </c>
      <c r="AC1191" s="2" t="s">
        <v>1014</v>
      </c>
      <c r="AD1191" s="4">
        <v>510</v>
      </c>
      <c r="AE1191" s="4">
        <v>1660</v>
      </c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228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/>
      <c r="AW1191" s="8"/>
      <c r="AX1191" s="4"/>
      <c r="AY1191" s="8"/>
      <c r="AZ1191" s="7"/>
      <c r="BA1191" s="7"/>
      <c r="BB1191" s="7"/>
      <c r="BC1191" s="4" t="s">
        <v>228</v>
      </c>
      <c r="BD1191" s="8" t="s">
        <v>228</v>
      </c>
      <c r="BE1191" s="4" t="s">
        <v>228</v>
      </c>
      <c r="BF1191" s="8" t="s">
        <v>228</v>
      </c>
      <c r="BG1191" s="7" t="s">
        <v>228</v>
      </c>
      <c r="BH1191" s="7" t="s">
        <v>228</v>
      </c>
      <c r="BI1191" s="7"/>
      <c r="BJ1191" s="4">
        <v>9</v>
      </c>
      <c r="BK1191" s="8">
        <v>363.04</v>
      </c>
      <c r="BL1191" s="2" t="s">
        <v>3816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6270</v>
      </c>
      <c r="BV1191" s="2" t="s">
        <v>228</v>
      </c>
      <c r="BW1191" s="2" t="s">
        <v>228</v>
      </c>
      <c r="BX1191" s="2" t="s">
        <v>273</v>
      </c>
      <c r="BY1191" s="2" t="s">
        <v>274</v>
      </c>
      <c r="BZ1191" s="2" t="s">
        <v>240</v>
      </c>
      <c r="CA1191" s="2" t="s">
        <v>1618</v>
      </c>
      <c r="CB1191" s="2" t="s">
        <v>6157</v>
      </c>
      <c r="CC1191" s="2" t="s">
        <v>241</v>
      </c>
      <c r="CD1191" s="2" t="s">
        <v>228</v>
      </c>
      <c r="CE1191" s="4">
        <v>275</v>
      </c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>
        <v>510</v>
      </c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>
        <v>660</v>
      </c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>
        <v>310</v>
      </c>
      <c r="FY1191" s="4"/>
      <c r="FZ1191" s="4"/>
      <c r="GA1191" s="4"/>
      <c r="GB1191" s="4"/>
      <c r="GC1191" s="4"/>
      <c r="GD1191" s="4"/>
      <c r="GE1191" s="4"/>
      <c r="GF1191" s="4"/>
      <c r="GG1191" s="4"/>
      <c r="GH1191" s="4"/>
      <c r="GI1191" s="4"/>
      <c r="GJ1191" s="4"/>
      <c r="GK1191" s="4"/>
      <c r="GL1191" s="4"/>
      <c r="GM1191" s="4"/>
      <c r="GN1191" s="4"/>
      <c r="GO1191" s="4"/>
      <c r="GP1191" s="4"/>
      <c r="GQ1191" s="4"/>
      <c r="GR1191" s="4"/>
      <c r="GS1191" s="4">
        <v>180</v>
      </c>
      <c r="GT1191" s="4"/>
      <c r="GU1191" s="4"/>
      <c r="GV1191" s="4"/>
      <c r="GW1191" s="4"/>
      <c r="GX1191" s="4"/>
      <c r="GY1191" s="4"/>
      <c r="GZ1191" s="4"/>
      <c r="HA1191" s="4"/>
      <c r="HB1191" s="4"/>
      <c r="HC1191" s="4"/>
      <c r="HD1191" s="4"/>
      <c r="HE1191" s="4"/>
    </row>
    <row r="1192">
      <c r="A1192" s="2" t="s">
        <v>6271</v>
      </c>
      <c r="B1192" s="2" t="s">
        <v>223</v>
      </c>
      <c r="C1192" s="2" t="s">
        <v>1261</v>
      </c>
      <c r="D1192" s="2" t="s">
        <v>1407</v>
      </c>
      <c r="E1192" s="2" t="s">
        <v>3636</v>
      </c>
      <c r="F1192" s="2" t="s">
        <v>6262</v>
      </c>
      <c r="G1192" s="2" t="s">
        <v>6262</v>
      </c>
      <c r="H1192" s="2" t="s">
        <v>228</v>
      </c>
      <c r="I1192" s="2" t="s">
        <v>226</v>
      </c>
      <c r="J1192" s="2" t="s">
        <v>284</v>
      </c>
      <c r="K1192" s="2" t="s">
        <v>1478</v>
      </c>
      <c r="L1192" s="3">
        <v>59.61</v>
      </c>
      <c r="M1192" s="3">
        <v>62.59</v>
      </c>
      <c r="N1192" s="3">
        <v>119.99</v>
      </c>
      <c r="O1192" s="2" t="s">
        <v>240</v>
      </c>
      <c r="P1192" s="2" t="s">
        <v>266</v>
      </c>
      <c r="Q1192" s="2" t="s">
        <v>234</v>
      </c>
      <c r="R1192" s="2" t="s">
        <v>228</v>
      </c>
      <c r="S1192" s="2" t="s">
        <v>6272</v>
      </c>
      <c r="T1192" s="2" t="s">
        <v>1266</v>
      </c>
      <c r="U1192" s="2" t="s">
        <v>228</v>
      </c>
      <c r="V1192" s="2" t="s">
        <v>236</v>
      </c>
      <c r="W1192" s="2" t="s">
        <v>269</v>
      </c>
      <c r="X1192" s="2" t="s">
        <v>228</v>
      </c>
      <c r="Y1192" s="2" t="s">
        <v>270</v>
      </c>
      <c r="Z1192" s="4">
        <v>289</v>
      </c>
      <c r="AA1192" s="4">
        <f>=ROUNDDOWN(96.3333333333333,0)</f>
      </c>
      <c r="AB1192" s="5">
        <v>3</v>
      </c>
      <c r="AC1192" s="2" t="s">
        <v>228</v>
      </c>
      <c r="AD1192" s="4"/>
      <c r="AE1192" s="4"/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228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 t="s">
        <v>228</v>
      </c>
      <c r="AW1192" s="8" t="s">
        <v>228</v>
      </c>
      <c r="AX1192" s="4" t="s">
        <v>228</v>
      </c>
      <c r="AY1192" s="8" t="s">
        <v>228</v>
      </c>
      <c r="AZ1192" s="7" t="s">
        <v>228</v>
      </c>
      <c r="BA1192" s="7" t="s">
        <v>228</v>
      </c>
      <c r="BB1192" s="7"/>
      <c r="BC1192" s="4" t="s">
        <v>228</v>
      </c>
      <c r="BD1192" s="8" t="s">
        <v>228</v>
      </c>
      <c r="BE1192" s="4" t="s">
        <v>228</v>
      </c>
      <c r="BF1192" s="8" t="s">
        <v>228</v>
      </c>
      <c r="BG1192" s="7" t="s">
        <v>228</v>
      </c>
      <c r="BH1192" s="7" t="s">
        <v>228</v>
      </c>
      <c r="BI1192" s="7"/>
      <c r="BJ1192" s="4">
        <v>1</v>
      </c>
      <c r="BK1192" s="8">
        <v>65.72</v>
      </c>
      <c r="BL1192" s="2" t="s">
        <v>6273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6274</v>
      </c>
      <c r="BV1192" s="2" t="s">
        <v>228</v>
      </c>
      <c r="BW1192" s="2" t="s">
        <v>228</v>
      </c>
      <c r="BX1192" s="2" t="s">
        <v>3813</v>
      </c>
      <c r="BY1192" s="2" t="s">
        <v>274</v>
      </c>
      <c r="BZ1192" s="2" t="s">
        <v>240</v>
      </c>
      <c r="CA1192" s="2" t="s">
        <v>1618</v>
      </c>
      <c r="CB1192" s="2" t="s">
        <v>5784</v>
      </c>
      <c r="CC1192" s="2" t="s">
        <v>241</v>
      </c>
      <c r="CD1192" s="2" t="s">
        <v>228</v>
      </c>
      <c r="CE1192" s="4">
        <v>289</v>
      </c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/>
      <c r="GV1192" s="4"/>
      <c r="GW1192" s="4"/>
      <c r="GX1192" s="4"/>
      <c r="GY1192" s="4"/>
      <c r="GZ1192" s="4"/>
      <c r="HA1192" s="4"/>
      <c r="HB1192" s="4"/>
      <c r="HC1192" s="4"/>
      <c r="HD1192" s="4"/>
      <c r="HE1192" s="4"/>
    </row>
    <row r="1193">
      <c r="A1193" s="2" t="s">
        <v>6275</v>
      </c>
      <c r="B1193" s="2" t="s">
        <v>223</v>
      </c>
      <c r="C1193" s="2" t="s">
        <v>1261</v>
      </c>
      <c r="D1193" s="2" t="s">
        <v>1407</v>
      </c>
      <c r="E1193" s="2" t="s">
        <v>3636</v>
      </c>
      <c r="F1193" s="2" t="s">
        <v>6262</v>
      </c>
      <c r="G1193" s="2" t="s">
        <v>6262</v>
      </c>
      <c r="H1193" s="2" t="s">
        <v>228</v>
      </c>
      <c r="I1193" s="2" t="s">
        <v>226</v>
      </c>
      <c r="J1193" s="2" t="s">
        <v>289</v>
      </c>
      <c r="K1193" s="2" t="s">
        <v>1478</v>
      </c>
      <c r="L1193" s="3">
        <v>79.48</v>
      </c>
      <c r="M1193" s="3">
        <v>83.45</v>
      </c>
      <c r="N1193" s="3">
        <v>159.99</v>
      </c>
      <c r="O1193" s="2" t="s">
        <v>240</v>
      </c>
      <c r="P1193" s="2" t="s">
        <v>266</v>
      </c>
      <c r="Q1193" s="2" t="s">
        <v>234</v>
      </c>
      <c r="R1193" s="2" t="s">
        <v>228</v>
      </c>
      <c r="S1193" s="2" t="s">
        <v>6272</v>
      </c>
      <c r="T1193" s="2" t="s">
        <v>1266</v>
      </c>
      <c r="U1193" s="2" t="s">
        <v>228</v>
      </c>
      <c r="V1193" s="2" t="s">
        <v>236</v>
      </c>
      <c r="W1193" s="2" t="s">
        <v>269</v>
      </c>
      <c r="X1193" s="2" t="s">
        <v>228</v>
      </c>
      <c r="Y1193" s="2" t="s">
        <v>270</v>
      </c>
      <c r="Z1193" s="4">
        <v>487</v>
      </c>
      <c r="AA1193" s="4">
        <f>=ROUNDDOWN(69.5714285714286,0)</f>
      </c>
      <c r="AB1193" s="5">
        <v>7</v>
      </c>
      <c r="AC1193" s="2" t="s">
        <v>228</v>
      </c>
      <c r="AD1193" s="4"/>
      <c r="AE1193" s="4"/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228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228</v>
      </c>
      <c r="AW1193" s="8" t="s">
        <v>228</v>
      </c>
      <c r="AX1193" s="4" t="s">
        <v>228</v>
      </c>
      <c r="AY1193" s="8" t="s">
        <v>228</v>
      </c>
      <c r="AZ1193" s="7" t="s">
        <v>228</v>
      </c>
      <c r="BA1193" s="7" t="s">
        <v>228</v>
      </c>
      <c r="BB1193" s="7"/>
      <c r="BC1193" s="4" t="s">
        <v>228</v>
      </c>
      <c r="BD1193" s="8" t="s">
        <v>228</v>
      </c>
      <c r="BE1193" s="4" t="s">
        <v>228</v>
      </c>
      <c r="BF1193" s="8" t="s">
        <v>228</v>
      </c>
      <c r="BG1193" s="7" t="s">
        <v>228</v>
      </c>
      <c r="BH1193" s="7" t="s">
        <v>228</v>
      </c>
      <c r="BI1193" s="7"/>
      <c r="BJ1193" s="4">
        <v>4</v>
      </c>
      <c r="BK1193" s="8">
        <v>358.6</v>
      </c>
      <c r="BL1193" s="2" t="s">
        <v>6276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6277</v>
      </c>
      <c r="BV1193" s="2" t="s">
        <v>228</v>
      </c>
      <c r="BW1193" s="2" t="s">
        <v>228</v>
      </c>
      <c r="BX1193" s="2" t="s">
        <v>3813</v>
      </c>
      <c r="BY1193" s="2" t="s">
        <v>274</v>
      </c>
      <c r="BZ1193" s="2" t="s">
        <v>240</v>
      </c>
      <c r="CA1193" s="2" t="s">
        <v>1618</v>
      </c>
      <c r="CB1193" s="2" t="s">
        <v>1648</v>
      </c>
      <c r="CC1193" s="2" t="s">
        <v>241</v>
      </c>
      <c r="CD1193" s="2" t="s">
        <v>228</v>
      </c>
      <c r="CE1193" s="4">
        <v>431</v>
      </c>
      <c r="CF1193" s="4">
        <v>56</v>
      </c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/>
      <c r="GH1193" s="4"/>
      <c r="GI1193" s="4"/>
      <c r="GJ1193" s="4"/>
      <c r="GK1193" s="4"/>
      <c r="GL1193" s="4"/>
      <c r="GM1193" s="4"/>
      <c r="GN1193" s="4"/>
      <c r="GO1193" s="4"/>
      <c r="GP1193" s="4"/>
      <c r="GQ1193" s="4"/>
      <c r="GR1193" s="4"/>
      <c r="GS1193" s="4"/>
      <c r="GT1193" s="4"/>
      <c r="GU1193" s="4"/>
      <c r="GV1193" s="4"/>
      <c r="GW1193" s="4"/>
      <c r="GX1193" s="4"/>
      <c r="GY1193" s="4"/>
      <c r="GZ1193" s="4"/>
      <c r="HA1193" s="4"/>
      <c r="HB1193" s="4"/>
      <c r="HC1193" s="4"/>
      <c r="HD1193" s="4"/>
      <c r="HE1193" s="4"/>
    </row>
    <row r="1194">
      <c r="A1194" s="2" t="s">
        <v>6278</v>
      </c>
      <c r="B1194" s="2" t="s">
        <v>223</v>
      </c>
      <c r="C1194" s="2" t="s">
        <v>1111</v>
      </c>
      <c r="D1194" s="2" t="s">
        <v>1407</v>
      </c>
      <c r="E1194" s="2" t="s">
        <v>6279</v>
      </c>
      <c r="F1194" s="2" t="s">
        <v>6280</v>
      </c>
      <c r="G1194" s="2" t="s">
        <v>6280</v>
      </c>
      <c r="H1194" s="2" t="s">
        <v>6280</v>
      </c>
      <c r="I1194" s="2" t="s">
        <v>6281</v>
      </c>
      <c r="J1194" s="2" t="s">
        <v>6109</v>
      </c>
      <c r="K1194" s="2" t="s">
        <v>249</v>
      </c>
      <c r="L1194" s="3">
        <v>31.67</v>
      </c>
      <c r="M1194" s="3">
        <v>33.25</v>
      </c>
      <c r="N1194" s="3">
        <v>54.99</v>
      </c>
      <c r="O1194" s="2" t="s">
        <v>461</v>
      </c>
      <c r="P1194" s="2" t="s">
        <v>1116</v>
      </c>
      <c r="Q1194" s="2" t="s">
        <v>234</v>
      </c>
      <c r="R1194" s="2" t="s">
        <v>727</v>
      </c>
      <c r="S1194" s="2" t="s">
        <v>6282</v>
      </c>
      <c r="T1194" s="2" t="s">
        <v>1266</v>
      </c>
      <c r="U1194" s="2" t="s">
        <v>520</v>
      </c>
      <c r="V1194" s="2" t="s">
        <v>236</v>
      </c>
      <c r="W1194" s="2" t="s">
        <v>269</v>
      </c>
      <c r="X1194" s="2" t="s">
        <v>1268</v>
      </c>
      <c r="Y1194" s="2" t="s">
        <v>3428</v>
      </c>
      <c r="Z1194" s="4">
        <v>125</v>
      </c>
      <c r="AA1194" s="4">
        <f>=ROUNDDOWN(1.61707632600259,0)</f>
      </c>
      <c r="AB1194" s="5">
        <v>77.3</v>
      </c>
      <c r="AC1194" s="2" t="s">
        <v>228</v>
      </c>
      <c r="AD1194" s="4"/>
      <c r="AE1194" s="4"/>
      <c r="AF1194" s="6">
        <v>65</v>
      </c>
      <c r="AG1194" s="6"/>
      <c r="AH1194" s="7">
        <v>1</v>
      </c>
      <c r="AI1194" s="4"/>
      <c r="AJ1194" s="4">
        <f>=ROUNDDOWN({0},0)</f>
      </c>
      <c r="AK1194" s="5"/>
      <c r="AL1194" s="2" t="s">
        <v>228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/>
      <c r="AW1194" s="8"/>
      <c r="AX1194" s="4"/>
      <c r="AY1194" s="8"/>
      <c r="AZ1194" s="7"/>
      <c r="BA1194" s="7"/>
      <c r="BB1194" s="7"/>
      <c r="BC1194" s="4"/>
      <c r="BD1194" s="8"/>
      <c r="BE1194" s="4"/>
      <c r="BF1194" s="8"/>
      <c r="BG1194" s="7"/>
      <c r="BH1194" s="7"/>
      <c r="BI1194" s="7"/>
      <c r="BJ1194" s="4">
        <v>108</v>
      </c>
      <c r="BK1194" s="8">
        <v>2233.44</v>
      </c>
      <c r="BL1194" s="2" t="s">
        <v>1222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6283</v>
      </c>
      <c r="BV1194" s="2" t="s">
        <v>228</v>
      </c>
      <c r="BW1194" s="2" t="s">
        <v>228</v>
      </c>
      <c r="BX1194" s="2" t="s">
        <v>273</v>
      </c>
      <c r="BY1194" s="2" t="s">
        <v>274</v>
      </c>
      <c r="BZ1194" s="2" t="s">
        <v>240</v>
      </c>
      <c r="CA1194" s="2" t="s">
        <v>6284</v>
      </c>
      <c r="CB1194" s="2" t="s">
        <v>6285</v>
      </c>
      <c r="CC1194" s="2" t="s">
        <v>241</v>
      </c>
      <c r="CD1194" s="2" t="s">
        <v>228</v>
      </c>
      <c r="CE1194" s="4">
        <v>125</v>
      </c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/>
      <c r="GZ1194" s="4"/>
      <c r="HA1194" s="4"/>
      <c r="HB1194" s="4"/>
      <c r="HC1194" s="4"/>
      <c r="HD1194" s="4"/>
      <c r="HE1194" s="4"/>
    </row>
    <row r="1195">
      <c r="A1195" s="2" t="s">
        <v>6286</v>
      </c>
      <c r="B1195" s="2" t="s">
        <v>958</v>
      </c>
      <c r="C1195" s="2" t="s">
        <v>300</v>
      </c>
      <c r="D1195" s="2" t="s">
        <v>1564</v>
      </c>
      <c r="E1195" s="2" t="s">
        <v>1692</v>
      </c>
      <c r="F1195" s="2" t="s">
        <v>6287</v>
      </c>
      <c r="G1195" s="2" t="s">
        <v>6288</v>
      </c>
      <c r="H1195" s="2" t="s">
        <v>6289</v>
      </c>
      <c r="I1195" s="2" t="s">
        <v>6290</v>
      </c>
      <c r="J1195" s="2" t="s">
        <v>840</v>
      </c>
      <c r="K1195" s="2" t="s">
        <v>249</v>
      </c>
      <c r="L1195" s="3">
        <v>141.28</v>
      </c>
      <c r="M1195" s="3">
        <v>148.34</v>
      </c>
      <c r="N1195" s="3">
        <v>299</v>
      </c>
      <c r="O1195" s="2" t="s">
        <v>240</v>
      </c>
      <c r="P1195" s="2" t="s">
        <v>333</v>
      </c>
      <c r="Q1195" s="2" t="s">
        <v>234</v>
      </c>
      <c r="R1195" s="2" t="s">
        <v>228</v>
      </c>
      <c r="S1195" s="2" t="s">
        <v>6291</v>
      </c>
      <c r="T1195" s="2" t="s">
        <v>228</v>
      </c>
      <c r="U1195" s="2" t="s">
        <v>416</v>
      </c>
      <c r="V1195" s="2" t="s">
        <v>236</v>
      </c>
      <c r="W1195" s="2" t="s">
        <v>417</v>
      </c>
      <c r="X1195" s="2" t="s">
        <v>463</v>
      </c>
      <c r="Y1195" s="2" t="s">
        <v>6292</v>
      </c>
      <c r="Z1195" s="4">
        <v>93</v>
      </c>
      <c r="AA1195" s="4">
        <f>=ROUNDDOWN(31,0)</f>
      </c>
      <c r="AB1195" s="5">
        <v>3</v>
      </c>
      <c r="AC1195" s="2" t="s">
        <v>228</v>
      </c>
      <c r="AD1195" s="4"/>
      <c r="AE1195" s="4"/>
      <c r="AF1195" s="6">
        <v>66</v>
      </c>
      <c r="AG1195" s="6">
        <v>49</v>
      </c>
      <c r="AH1195" s="7">
        <v>1</v>
      </c>
      <c r="AI1195" s="4"/>
      <c r="AJ1195" s="4">
        <f>=ROUNDDOWN({0},0)</f>
      </c>
      <c r="AK1195" s="5"/>
      <c r="AL1195" s="2" t="s">
        <v>228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/>
      <c r="AW1195" s="8"/>
      <c r="AX1195" s="4"/>
      <c r="AY1195" s="8"/>
      <c r="AZ1195" s="7"/>
      <c r="BA1195" s="7"/>
      <c r="BB1195" s="7"/>
      <c r="BC1195" s="4"/>
      <c r="BD1195" s="8"/>
      <c r="BE1195" s="4"/>
      <c r="BF1195" s="8"/>
      <c r="BG1195" s="7"/>
      <c r="BH1195" s="7"/>
      <c r="BI1195" s="7"/>
      <c r="BJ1195" s="4">
        <v>5</v>
      </c>
      <c r="BK1195" s="8">
        <v>645.26</v>
      </c>
      <c r="BL1195" s="2" t="s">
        <v>6293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6294</v>
      </c>
      <c r="BV1195" s="2" t="s">
        <v>228</v>
      </c>
      <c r="BW1195" s="2" t="s">
        <v>228</v>
      </c>
      <c r="BX1195" s="2" t="s">
        <v>337</v>
      </c>
      <c r="BY1195" s="2" t="s">
        <v>274</v>
      </c>
      <c r="BZ1195" s="2" t="s">
        <v>240</v>
      </c>
      <c r="CA1195" s="2" t="s">
        <v>6295</v>
      </c>
      <c r="CB1195" s="2" t="s">
        <v>6296</v>
      </c>
      <c r="CC1195" s="2" t="s">
        <v>241</v>
      </c>
      <c r="CD1195" s="2" t="s">
        <v>228</v>
      </c>
      <c r="CE1195" s="4"/>
      <c r="CF1195" s="4">
        <v>88</v>
      </c>
      <c r="CG1195" s="4"/>
      <c r="CH1195" s="4">
        <v>5</v>
      </c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/>
      <c r="GH1195" s="4"/>
      <c r="GI1195" s="4"/>
      <c r="GJ1195" s="4"/>
      <c r="GK1195" s="4"/>
      <c r="GL1195" s="4"/>
      <c r="GM1195" s="4"/>
      <c r="GN1195" s="4"/>
      <c r="GO1195" s="4"/>
      <c r="GP1195" s="4"/>
      <c r="GQ1195" s="4"/>
      <c r="GR1195" s="4"/>
      <c r="GS1195" s="4"/>
      <c r="GT1195" s="4"/>
      <c r="GU1195" s="4"/>
      <c r="GV1195" s="4"/>
      <c r="GW1195" s="4"/>
      <c r="GX1195" s="4"/>
      <c r="GY1195" s="4"/>
      <c r="GZ1195" s="4"/>
      <c r="HA1195" s="4"/>
      <c r="HB1195" s="4"/>
      <c r="HC1195" s="4"/>
      <c r="HD1195" s="4"/>
      <c r="HE1195" s="4"/>
    </row>
    <row r="1196">
      <c r="A1196" s="2" t="s">
        <v>6297</v>
      </c>
      <c r="B1196" s="2" t="s">
        <v>258</v>
      </c>
      <c r="C1196" s="2" t="s">
        <v>4000</v>
      </c>
      <c r="D1196" s="2" t="s">
        <v>1112</v>
      </c>
      <c r="E1196" s="2" t="s">
        <v>6298</v>
      </c>
      <c r="F1196" s="2" t="s">
        <v>6299</v>
      </c>
      <c r="G1196" s="2" t="s">
        <v>6299</v>
      </c>
      <c r="H1196" s="2" t="s">
        <v>6299</v>
      </c>
      <c r="I1196" s="2" t="s">
        <v>6300</v>
      </c>
      <c r="J1196" s="2" t="s">
        <v>856</v>
      </c>
      <c r="K1196" s="2" t="s">
        <v>1105</v>
      </c>
      <c r="L1196" s="3">
        <v>35.71</v>
      </c>
      <c r="M1196" s="3">
        <v>37.5</v>
      </c>
      <c r="N1196" s="3">
        <v>74.99</v>
      </c>
      <c r="O1196" s="2" t="s">
        <v>240</v>
      </c>
      <c r="P1196" s="2" t="s">
        <v>266</v>
      </c>
      <c r="Q1196" s="2" t="s">
        <v>234</v>
      </c>
      <c r="R1196" s="2" t="s">
        <v>228</v>
      </c>
      <c r="S1196" s="2" t="s">
        <v>6301</v>
      </c>
      <c r="T1196" s="2" t="s">
        <v>415</v>
      </c>
      <c r="U1196" s="2" t="s">
        <v>416</v>
      </c>
      <c r="V1196" s="2" t="s">
        <v>236</v>
      </c>
      <c r="W1196" s="2" t="s">
        <v>269</v>
      </c>
      <c r="X1196" s="2" t="s">
        <v>228</v>
      </c>
      <c r="Y1196" s="2" t="s">
        <v>932</v>
      </c>
      <c r="Z1196" s="4">
        <v>303</v>
      </c>
      <c r="AA1196" s="4">
        <f>=ROUNDDOWN(75.75,0)</f>
      </c>
      <c r="AB1196" s="5">
        <v>4</v>
      </c>
      <c r="AC1196" s="2" t="s">
        <v>228</v>
      </c>
      <c r="AD1196" s="4"/>
      <c r="AE1196" s="4"/>
      <c r="AF1196" s="6">
        <v>65</v>
      </c>
      <c r="AG1196" s="6"/>
      <c r="AH1196" s="7">
        <v>1</v>
      </c>
      <c r="AI1196" s="4"/>
      <c r="AJ1196" s="4">
        <f>=ROUNDDOWN({0},0)</f>
      </c>
      <c r="AK1196" s="5"/>
      <c r="AL1196" s="2" t="s">
        <v>228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228</v>
      </c>
      <c r="AW1196" s="8" t="s">
        <v>228</v>
      </c>
      <c r="AX1196" s="4" t="s">
        <v>228</v>
      </c>
      <c r="AY1196" s="8" t="s">
        <v>228</v>
      </c>
      <c r="AZ1196" s="7" t="s">
        <v>228</v>
      </c>
      <c r="BA1196" s="7" t="s">
        <v>228</v>
      </c>
      <c r="BB1196" s="7"/>
      <c r="BC1196" s="4" t="s">
        <v>228</v>
      </c>
      <c r="BD1196" s="8" t="s">
        <v>228</v>
      </c>
      <c r="BE1196" s="4" t="s">
        <v>228</v>
      </c>
      <c r="BF1196" s="8" t="s">
        <v>228</v>
      </c>
      <c r="BG1196" s="7" t="s">
        <v>228</v>
      </c>
      <c r="BH1196" s="7" t="s">
        <v>228</v>
      </c>
      <c r="BI1196" s="7"/>
      <c r="BJ1196" s="4">
        <v>9</v>
      </c>
      <c r="BK1196" s="8">
        <v>353.62</v>
      </c>
      <c r="BL1196" s="2" t="s">
        <v>6302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6303</v>
      </c>
      <c r="BV1196" s="2" t="s">
        <v>228</v>
      </c>
      <c r="BW1196" s="2" t="s">
        <v>228</v>
      </c>
      <c r="BX1196" s="2" t="s">
        <v>273</v>
      </c>
      <c r="BY1196" s="2" t="s">
        <v>274</v>
      </c>
      <c r="BZ1196" s="2" t="s">
        <v>240</v>
      </c>
      <c r="CA1196" s="2" t="s">
        <v>3296</v>
      </c>
      <c r="CB1196" s="2" t="s">
        <v>504</v>
      </c>
      <c r="CC1196" s="2" t="s">
        <v>241</v>
      </c>
      <c r="CD1196" s="2" t="s">
        <v>228</v>
      </c>
      <c r="CE1196" s="4">
        <v>303</v>
      </c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/>
      <c r="GX1196" s="4"/>
      <c r="GY1196" s="4"/>
      <c r="GZ1196" s="4"/>
      <c r="HA1196" s="4"/>
      <c r="HB1196" s="4"/>
      <c r="HC1196" s="4"/>
      <c r="HD1196" s="4"/>
      <c r="HE1196" s="4"/>
    </row>
    <row r="1197">
      <c r="A1197" s="2" t="s">
        <v>6304</v>
      </c>
      <c r="B1197" s="2" t="s">
        <v>258</v>
      </c>
      <c r="C1197" s="2" t="s">
        <v>4000</v>
      </c>
      <c r="D1197" s="2" t="s">
        <v>1112</v>
      </c>
      <c r="E1197" s="2" t="s">
        <v>6298</v>
      </c>
      <c r="F1197" s="2" t="s">
        <v>6299</v>
      </c>
      <c r="G1197" s="2" t="s">
        <v>6299</v>
      </c>
      <c r="H1197" s="2" t="s">
        <v>6299</v>
      </c>
      <c r="I1197" s="2" t="s">
        <v>6300</v>
      </c>
      <c r="J1197" s="2" t="s">
        <v>1189</v>
      </c>
      <c r="K1197" s="2" t="s">
        <v>1105</v>
      </c>
      <c r="L1197" s="3">
        <v>45.23</v>
      </c>
      <c r="M1197" s="3">
        <v>47.49</v>
      </c>
      <c r="N1197" s="3">
        <v>94.99</v>
      </c>
      <c r="O1197" s="2" t="s">
        <v>240</v>
      </c>
      <c r="P1197" s="2" t="s">
        <v>266</v>
      </c>
      <c r="Q1197" s="2" t="s">
        <v>234</v>
      </c>
      <c r="R1197" s="2" t="s">
        <v>228</v>
      </c>
      <c r="S1197" s="2" t="s">
        <v>6301</v>
      </c>
      <c r="T1197" s="2" t="s">
        <v>415</v>
      </c>
      <c r="U1197" s="2" t="s">
        <v>416</v>
      </c>
      <c r="V1197" s="2" t="s">
        <v>236</v>
      </c>
      <c r="W1197" s="2" t="s">
        <v>269</v>
      </c>
      <c r="X1197" s="2" t="s">
        <v>228</v>
      </c>
      <c r="Y1197" s="2" t="s">
        <v>932</v>
      </c>
      <c r="Z1197" s="4">
        <v>368</v>
      </c>
      <c r="AA1197" s="4">
        <f>=ROUNDDOWN(92,0)</f>
      </c>
      <c r="AB1197" s="5">
        <v>4</v>
      </c>
      <c r="AC1197" s="2" t="s">
        <v>228</v>
      </c>
      <c r="AD1197" s="4"/>
      <c r="AE1197" s="4"/>
      <c r="AF1197" s="6">
        <v>65</v>
      </c>
      <c r="AG1197" s="6"/>
      <c r="AH1197" s="7">
        <v>1</v>
      </c>
      <c r="AI1197" s="4"/>
      <c r="AJ1197" s="4">
        <f>=ROUNDDOWN({0},0)</f>
      </c>
      <c r="AK1197" s="5"/>
      <c r="AL1197" s="2" t="s">
        <v>228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228</v>
      </c>
      <c r="AW1197" s="8" t="s">
        <v>228</v>
      </c>
      <c r="AX1197" s="4" t="s">
        <v>228</v>
      </c>
      <c r="AY1197" s="8" t="s">
        <v>228</v>
      </c>
      <c r="AZ1197" s="7" t="s">
        <v>228</v>
      </c>
      <c r="BA1197" s="7" t="s">
        <v>228</v>
      </c>
      <c r="BB1197" s="7"/>
      <c r="BC1197" s="4" t="s">
        <v>228</v>
      </c>
      <c r="BD1197" s="8" t="s">
        <v>228</v>
      </c>
      <c r="BE1197" s="4" t="s">
        <v>228</v>
      </c>
      <c r="BF1197" s="8" t="s">
        <v>228</v>
      </c>
      <c r="BG1197" s="7" t="s">
        <v>228</v>
      </c>
      <c r="BH1197" s="7" t="s">
        <v>228</v>
      </c>
      <c r="BI1197" s="7"/>
      <c r="BJ1197" s="4">
        <v>14</v>
      </c>
      <c r="BK1197" s="8">
        <v>687.92</v>
      </c>
      <c r="BL1197" s="2" t="s">
        <v>1192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6305</v>
      </c>
      <c r="BV1197" s="2" t="s">
        <v>228</v>
      </c>
      <c r="BW1197" s="2" t="s">
        <v>228</v>
      </c>
      <c r="BX1197" s="2" t="s">
        <v>273</v>
      </c>
      <c r="BY1197" s="2" t="s">
        <v>274</v>
      </c>
      <c r="BZ1197" s="2" t="s">
        <v>240</v>
      </c>
      <c r="CA1197" s="2" t="s">
        <v>3296</v>
      </c>
      <c r="CB1197" s="2" t="s">
        <v>1824</v>
      </c>
      <c r="CC1197" s="2" t="s">
        <v>241</v>
      </c>
      <c r="CD1197" s="2" t="s">
        <v>228</v>
      </c>
      <c r="CE1197" s="4">
        <v>368</v>
      </c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  <c r="GS1197" s="4"/>
      <c r="GT1197" s="4"/>
      <c r="GU1197" s="4"/>
      <c r="GV1197" s="4"/>
      <c r="GW1197" s="4"/>
      <c r="GX1197" s="4"/>
      <c r="GY1197" s="4"/>
      <c r="GZ1197" s="4"/>
      <c r="HA1197" s="4"/>
      <c r="HB1197" s="4"/>
      <c r="HC1197" s="4"/>
      <c r="HD1197" s="4"/>
      <c r="HE1197" s="4"/>
    </row>
    <row r="1198">
      <c r="A1198" s="2" t="s">
        <v>6306</v>
      </c>
      <c r="B1198" s="2" t="s">
        <v>258</v>
      </c>
      <c r="C1198" s="2" t="s">
        <v>4000</v>
      </c>
      <c r="D1198" s="2" t="s">
        <v>1112</v>
      </c>
      <c r="E1198" s="2" t="s">
        <v>6298</v>
      </c>
      <c r="F1198" s="2" t="s">
        <v>6299</v>
      </c>
      <c r="G1198" s="2" t="s">
        <v>6299</v>
      </c>
      <c r="H1198" s="2" t="s">
        <v>6299</v>
      </c>
      <c r="I1198" s="2" t="s">
        <v>6300</v>
      </c>
      <c r="J1198" s="2" t="s">
        <v>1043</v>
      </c>
      <c r="K1198" s="2" t="s">
        <v>1105</v>
      </c>
      <c r="L1198" s="3">
        <v>52.38</v>
      </c>
      <c r="M1198" s="3">
        <v>55</v>
      </c>
      <c r="N1198" s="3">
        <v>109.99</v>
      </c>
      <c r="O1198" s="2" t="s">
        <v>240</v>
      </c>
      <c r="P1198" s="2" t="s">
        <v>266</v>
      </c>
      <c r="Q1198" s="2" t="s">
        <v>234</v>
      </c>
      <c r="R1198" s="2" t="s">
        <v>228</v>
      </c>
      <c r="S1198" s="2" t="s">
        <v>6301</v>
      </c>
      <c r="T1198" s="2" t="s">
        <v>415</v>
      </c>
      <c r="U1198" s="2" t="s">
        <v>416</v>
      </c>
      <c r="V1198" s="2" t="s">
        <v>236</v>
      </c>
      <c r="W1198" s="2" t="s">
        <v>269</v>
      </c>
      <c r="X1198" s="2" t="s">
        <v>228</v>
      </c>
      <c r="Y1198" s="2" t="s">
        <v>932</v>
      </c>
      <c r="Z1198" s="4">
        <v>320</v>
      </c>
      <c r="AA1198" s="4">
        <f>=ROUNDDOWN(40,0)</f>
      </c>
      <c r="AB1198" s="5">
        <v>8</v>
      </c>
      <c r="AC1198" s="2" t="s">
        <v>228</v>
      </c>
      <c r="AD1198" s="4"/>
      <c r="AE1198" s="4"/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228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228</v>
      </c>
      <c r="AW1198" s="8" t="s">
        <v>228</v>
      </c>
      <c r="AX1198" s="4" t="s">
        <v>228</v>
      </c>
      <c r="AY1198" s="8" t="s">
        <v>228</v>
      </c>
      <c r="AZ1198" s="7" t="s">
        <v>228</v>
      </c>
      <c r="BA1198" s="7" t="s">
        <v>228</v>
      </c>
      <c r="BB1198" s="7"/>
      <c r="BC1198" s="4" t="s">
        <v>228</v>
      </c>
      <c r="BD1198" s="8" t="s">
        <v>228</v>
      </c>
      <c r="BE1198" s="4" t="s">
        <v>228</v>
      </c>
      <c r="BF1198" s="8" t="s">
        <v>228</v>
      </c>
      <c r="BG1198" s="7" t="s">
        <v>228</v>
      </c>
      <c r="BH1198" s="7" t="s">
        <v>228</v>
      </c>
      <c r="BI1198" s="7"/>
      <c r="BJ1198" s="4">
        <v>11</v>
      </c>
      <c r="BK1198" s="8">
        <v>672.27</v>
      </c>
      <c r="BL1198" s="2" t="s">
        <v>6307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6308</v>
      </c>
      <c r="BV1198" s="2" t="s">
        <v>228</v>
      </c>
      <c r="BW1198" s="2" t="s">
        <v>228</v>
      </c>
      <c r="BX1198" s="2" t="s">
        <v>273</v>
      </c>
      <c r="BY1198" s="2" t="s">
        <v>274</v>
      </c>
      <c r="BZ1198" s="2" t="s">
        <v>240</v>
      </c>
      <c r="CA1198" s="2" t="s">
        <v>3296</v>
      </c>
      <c r="CB1198" s="2" t="s">
        <v>468</v>
      </c>
      <c r="CC1198" s="2" t="s">
        <v>241</v>
      </c>
      <c r="CD1198" s="2" t="s">
        <v>228</v>
      </c>
      <c r="CE1198" s="4">
        <v>320</v>
      </c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  <c r="GX1198" s="4"/>
      <c r="GY1198" s="4"/>
      <c r="GZ1198" s="4"/>
      <c r="HA1198" s="4"/>
      <c r="HB1198" s="4"/>
      <c r="HC1198" s="4"/>
      <c r="HD1198" s="4"/>
      <c r="HE1198" s="4"/>
    </row>
    <row r="1199">
      <c r="A1199" s="2" t="s">
        <v>6309</v>
      </c>
      <c r="B1199" s="2" t="s">
        <v>258</v>
      </c>
      <c r="C1199" s="2" t="s">
        <v>4000</v>
      </c>
      <c r="D1199" s="2" t="s">
        <v>1112</v>
      </c>
      <c r="E1199" s="2" t="s">
        <v>6298</v>
      </c>
      <c r="F1199" s="2" t="s">
        <v>6299</v>
      </c>
      <c r="G1199" s="2" t="s">
        <v>6299</v>
      </c>
      <c r="H1199" s="2" t="s">
        <v>6299</v>
      </c>
      <c r="I1199" s="2" t="s">
        <v>6300</v>
      </c>
      <c r="J1199" s="2" t="s">
        <v>1189</v>
      </c>
      <c r="K1199" s="2" t="s">
        <v>2350</v>
      </c>
      <c r="L1199" s="3">
        <v>45.23</v>
      </c>
      <c r="M1199" s="3">
        <v>47.49</v>
      </c>
      <c r="N1199" s="3">
        <v>94.99</v>
      </c>
      <c r="O1199" s="2" t="s">
        <v>240</v>
      </c>
      <c r="P1199" s="2" t="s">
        <v>266</v>
      </c>
      <c r="Q1199" s="2" t="s">
        <v>234</v>
      </c>
      <c r="R1199" s="2" t="s">
        <v>228</v>
      </c>
      <c r="S1199" s="2" t="s">
        <v>6310</v>
      </c>
      <c r="T1199" s="2" t="s">
        <v>415</v>
      </c>
      <c r="U1199" s="2" t="s">
        <v>416</v>
      </c>
      <c r="V1199" s="2" t="s">
        <v>236</v>
      </c>
      <c r="W1199" s="2" t="s">
        <v>269</v>
      </c>
      <c r="X1199" s="2" t="s">
        <v>228</v>
      </c>
      <c r="Y1199" s="2" t="s">
        <v>932</v>
      </c>
      <c r="Z1199" s="4">
        <v>351</v>
      </c>
      <c r="AA1199" s="4">
        <f>=ROUNDDOWN(58.5,0)</f>
      </c>
      <c r="AB1199" s="5">
        <v>6</v>
      </c>
      <c r="AC1199" s="2" t="s">
        <v>228</v>
      </c>
      <c r="AD1199" s="4"/>
      <c r="AE1199" s="4"/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228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228</v>
      </c>
      <c r="AW1199" s="8" t="s">
        <v>228</v>
      </c>
      <c r="AX1199" s="4" t="s">
        <v>228</v>
      </c>
      <c r="AY1199" s="8" t="s">
        <v>228</v>
      </c>
      <c r="AZ1199" s="7" t="s">
        <v>228</v>
      </c>
      <c r="BA1199" s="7" t="s">
        <v>228</v>
      </c>
      <c r="BB1199" s="7"/>
      <c r="BC1199" s="4" t="s">
        <v>228</v>
      </c>
      <c r="BD1199" s="8" t="s">
        <v>228</v>
      </c>
      <c r="BE1199" s="4" t="s">
        <v>228</v>
      </c>
      <c r="BF1199" s="8" t="s">
        <v>228</v>
      </c>
      <c r="BG1199" s="7" t="s">
        <v>228</v>
      </c>
      <c r="BH1199" s="7" t="s">
        <v>228</v>
      </c>
      <c r="BI1199" s="7"/>
      <c r="BJ1199" s="4">
        <v>20</v>
      </c>
      <c r="BK1199" s="8">
        <v>996.36</v>
      </c>
      <c r="BL1199" s="2" t="s">
        <v>341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6311</v>
      </c>
      <c r="BV1199" s="2" t="s">
        <v>228</v>
      </c>
      <c r="BW1199" s="2" t="s">
        <v>228</v>
      </c>
      <c r="BX1199" s="2" t="s">
        <v>273</v>
      </c>
      <c r="BY1199" s="2" t="s">
        <v>274</v>
      </c>
      <c r="BZ1199" s="2" t="s">
        <v>240</v>
      </c>
      <c r="CA1199" s="2" t="s">
        <v>3296</v>
      </c>
      <c r="CB1199" s="2" t="s">
        <v>6312</v>
      </c>
      <c r="CC1199" s="2" t="s">
        <v>241</v>
      </c>
      <c r="CD1199" s="2" t="s">
        <v>228</v>
      </c>
      <c r="CE1199" s="4">
        <v>351</v>
      </c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/>
      <c r="GH1199" s="4"/>
      <c r="GI1199" s="4"/>
      <c r="GJ1199" s="4"/>
      <c r="GK1199" s="4"/>
      <c r="GL1199" s="4"/>
      <c r="GM1199" s="4"/>
      <c r="GN1199" s="4"/>
      <c r="GO1199" s="4"/>
      <c r="GP1199" s="4"/>
      <c r="GQ1199" s="4"/>
      <c r="GR1199" s="4"/>
      <c r="GS1199" s="4"/>
      <c r="GT1199" s="4"/>
      <c r="GU1199" s="4"/>
      <c r="GV1199" s="4"/>
      <c r="GW1199" s="4"/>
      <c r="GX1199" s="4"/>
      <c r="GY1199" s="4"/>
      <c r="GZ1199" s="4"/>
      <c r="HA1199" s="4"/>
      <c r="HB1199" s="4"/>
      <c r="HC1199" s="4"/>
      <c r="HD1199" s="4"/>
      <c r="HE1199" s="4"/>
    </row>
    <row r="1200">
      <c r="A1200" s="2" t="s">
        <v>6313</v>
      </c>
      <c r="B1200" s="2" t="s">
        <v>258</v>
      </c>
      <c r="C1200" s="2" t="s">
        <v>4000</v>
      </c>
      <c r="D1200" s="2" t="s">
        <v>1112</v>
      </c>
      <c r="E1200" s="2" t="s">
        <v>6298</v>
      </c>
      <c r="F1200" s="2" t="s">
        <v>6299</v>
      </c>
      <c r="G1200" s="2" t="s">
        <v>6299</v>
      </c>
      <c r="H1200" s="2" t="s">
        <v>6299</v>
      </c>
      <c r="I1200" s="2" t="s">
        <v>6300</v>
      </c>
      <c r="J1200" s="2" t="s">
        <v>1043</v>
      </c>
      <c r="K1200" s="2" t="s">
        <v>2350</v>
      </c>
      <c r="L1200" s="3">
        <v>52.38</v>
      </c>
      <c r="M1200" s="3">
        <v>55</v>
      </c>
      <c r="N1200" s="3">
        <v>109.99</v>
      </c>
      <c r="O1200" s="2" t="s">
        <v>240</v>
      </c>
      <c r="P1200" s="2" t="s">
        <v>266</v>
      </c>
      <c r="Q1200" s="2" t="s">
        <v>234</v>
      </c>
      <c r="R1200" s="2" t="s">
        <v>228</v>
      </c>
      <c r="S1200" s="2" t="s">
        <v>6310</v>
      </c>
      <c r="T1200" s="2" t="s">
        <v>415</v>
      </c>
      <c r="U1200" s="2" t="s">
        <v>416</v>
      </c>
      <c r="V1200" s="2" t="s">
        <v>236</v>
      </c>
      <c r="W1200" s="2" t="s">
        <v>269</v>
      </c>
      <c r="X1200" s="2" t="s">
        <v>228</v>
      </c>
      <c r="Y1200" s="2" t="s">
        <v>932</v>
      </c>
      <c r="Z1200" s="4">
        <v>372</v>
      </c>
      <c r="AA1200" s="4">
        <f>=ROUNDDOWN(41.3333333333333,0)</f>
      </c>
      <c r="AB1200" s="5">
        <v>9</v>
      </c>
      <c r="AC1200" s="2" t="s">
        <v>228</v>
      </c>
      <c r="AD1200" s="4"/>
      <c r="AE1200" s="4"/>
      <c r="AF1200" s="6">
        <v>65</v>
      </c>
      <c r="AG1200" s="6"/>
      <c r="AH1200" s="7">
        <v>1</v>
      </c>
      <c r="AI1200" s="4"/>
      <c r="AJ1200" s="4">
        <f>=ROUNDDOWN({0},0)</f>
      </c>
      <c r="AK1200" s="5"/>
      <c r="AL1200" s="2" t="s">
        <v>228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 t="s">
        <v>228</v>
      </c>
      <c r="AW1200" s="8" t="s">
        <v>228</v>
      </c>
      <c r="AX1200" s="4" t="s">
        <v>228</v>
      </c>
      <c r="AY1200" s="8" t="s">
        <v>228</v>
      </c>
      <c r="AZ1200" s="7" t="s">
        <v>228</v>
      </c>
      <c r="BA1200" s="7" t="s">
        <v>228</v>
      </c>
      <c r="BB1200" s="7"/>
      <c r="BC1200" s="4" t="s">
        <v>228</v>
      </c>
      <c r="BD1200" s="8" t="s">
        <v>228</v>
      </c>
      <c r="BE1200" s="4" t="s">
        <v>228</v>
      </c>
      <c r="BF1200" s="8" t="s">
        <v>228</v>
      </c>
      <c r="BG1200" s="7" t="s">
        <v>228</v>
      </c>
      <c r="BH1200" s="7" t="s">
        <v>228</v>
      </c>
      <c r="BI1200" s="7"/>
      <c r="BJ1200" s="4">
        <v>13</v>
      </c>
      <c r="BK1200" s="8">
        <v>768.9</v>
      </c>
      <c r="BL1200" s="2" t="s">
        <v>3145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6314</v>
      </c>
      <c r="BV1200" s="2" t="s">
        <v>228</v>
      </c>
      <c r="BW1200" s="2" t="s">
        <v>228</v>
      </c>
      <c r="BX1200" s="2" t="s">
        <v>273</v>
      </c>
      <c r="BY1200" s="2" t="s">
        <v>274</v>
      </c>
      <c r="BZ1200" s="2" t="s">
        <v>240</v>
      </c>
      <c r="CA1200" s="2" t="s">
        <v>3296</v>
      </c>
      <c r="CB1200" s="2" t="s">
        <v>1825</v>
      </c>
      <c r="CC1200" s="2" t="s">
        <v>241</v>
      </c>
      <c r="CD1200" s="2" t="s">
        <v>228</v>
      </c>
      <c r="CE1200" s="4">
        <v>372</v>
      </c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GR1200" s="4"/>
      <c r="GS1200" s="4"/>
      <c r="GT1200" s="4"/>
      <c r="GU1200" s="4"/>
      <c r="GV1200" s="4"/>
      <c r="GW1200" s="4"/>
      <c r="GX1200" s="4"/>
      <c r="GY1200" s="4"/>
      <c r="GZ1200" s="4"/>
      <c r="HA1200" s="4"/>
      <c r="HB1200" s="4"/>
      <c r="HC1200" s="4"/>
      <c r="HD1200" s="4"/>
      <c r="HE1200" s="4"/>
    </row>
    <row r="1201">
      <c r="A1201" s="2" t="s">
        <v>6315</v>
      </c>
      <c r="B1201" s="2" t="s">
        <v>258</v>
      </c>
      <c r="C1201" s="2" t="s">
        <v>4000</v>
      </c>
      <c r="D1201" s="2" t="s">
        <v>1112</v>
      </c>
      <c r="E1201" s="2" t="s">
        <v>6298</v>
      </c>
      <c r="F1201" s="2" t="s">
        <v>6299</v>
      </c>
      <c r="G1201" s="2" t="s">
        <v>6299</v>
      </c>
      <c r="H1201" s="2" t="s">
        <v>6299</v>
      </c>
      <c r="I1201" s="2" t="s">
        <v>6300</v>
      </c>
      <c r="J1201" s="2" t="s">
        <v>1189</v>
      </c>
      <c r="K1201" s="2" t="s">
        <v>316</v>
      </c>
      <c r="L1201" s="3">
        <v>45.23</v>
      </c>
      <c r="M1201" s="3">
        <v>47.49</v>
      </c>
      <c r="N1201" s="3">
        <v>94.99</v>
      </c>
      <c r="O1201" s="2" t="s">
        <v>240</v>
      </c>
      <c r="P1201" s="2" t="s">
        <v>889</v>
      </c>
      <c r="Q1201" s="2" t="s">
        <v>234</v>
      </c>
      <c r="R1201" s="2" t="s">
        <v>228</v>
      </c>
      <c r="S1201" s="2" t="s">
        <v>6316</v>
      </c>
      <c r="T1201" s="2" t="s">
        <v>228</v>
      </c>
      <c r="U1201" s="2" t="s">
        <v>228</v>
      </c>
      <c r="V1201" s="2" t="s">
        <v>236</v>
      </c>
      <c r="W1201" s="2" t="s">
        <v>269</v>
      </c>
      <c r="X1201" s="2" t="s">
        <v>228</v>
      </c>
      <c r="Y1201" s="2" t="s">
        <v>4467</v>
      </c>
      <c r="Z1201" s="4">
        <v>413</v>
      </c>
      <c r="AA1201" s="4">
        <f>=ROUNDDOWN(27.5333333333333,0)</f>
      </c>
      <c r="AB1201" s="5">
        <v>15</v>
      </c>
      <c r="AC1201" s="2" t="s">
        <v>162</v>
      </c>
      <c r="AD1201" s="4">
        <v>250</v>
      </c>
      <c r="AE1201" s="4">
        <v>250</v>
      </c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228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/>
      <c r="AW1201" s="8"/>
      <c r="AX1201" s="4"/>
      <c r="AY1201" s="8"/>
      <c r="AZ1201" s="7"/>
      <c r="BA1201" s="7"/>
      <c r="BB1201" s="7"/>
      <c r="BC1201" s="4" t="s">
        <v>228</v>
      </c>
      <c r="BD1201" s="8" t="s">
        <v>228</v>
      </c>
      <c r="BE1201" s="4" t="s">
        <v>228</v>
      </c>
      <c r="BF1201" s="8" t="s">
        <v>228</v>
      </c>
      <c r="BG1201" s="7" t="s">
        <v>228</v>
      </c>
      <c r="BH1201" s="7" t="s">
        <v>228</v>
      </c>
      <c r="BI1201" s="7"/>
      <c r="BJ1201" s="4">
        <v>42</v>
      </c>
      <c r="BK1201" s="8">
        <v>2085.12</v>
      </c>
      <c r="BL1201" s="2" t="s">
        <v>6317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6318</v>
      </c>
      <c r="BV1201" s="2" t="s">
        <v>228</v>
      </c>
      <c r="BW1201" s="2" t="s">
        <v>228</v>
      </c>
      <c r="BX1201" s="2" t="s">
        <v>273</v>
      </c>
      <c r="BY1201" s="2" t="s">
        <v>274</v>
      </c>
      <c r="BZ1201" s="2" t="s">
        <v>240</v>
      </c>
      <c r="CA1201" s="2" t="s">
        <v>5503</v>
      </c>
      <c r="CB1201" s="2" t="s">
        <v>3551</v>
      </c>
      <c r="CC1201" s="2" t="s">
        <v>241</v>
      </c>
      <c r="CD1201" s="2" t="s">
        <v>228</v>
      </c>
      <c r="CE1201" s="4">
        <v>383</v>
      </c>
      <c r="CF1201" s="4"/>
      <c r="CG1201" s="4"/>
      <c r="CH1201" s="4"/>
      <c r="CI1201" s="4"/>
      <c r="CJ1201" s="4"/>
      <c r="CK1201" s="4">
        <v>30</v>
      </c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>
        <v>250</v>
      </c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  <c r="GG1201" s="4"/>
      <c r="GH1201" s="4"/>
      <c r="GI1201" s="4"/>
      <c r="GJ1201" s="4"/>
      <c r="GK1201" s="4"/>
      <c r="GL1201" s="4"/>
      <c r="GM1201" s="4"/>
      <c r="GN1201" s="4"/>
      <c r="GO1201" s="4"/>
      <c r="GP1201" s="4"/>
      <c r="GQ1201" s="4"/>
      <c r="GR1201" s="4"/>
      <c r="GS1201" s="4"/>
      <c r="GT1201" s="4"/>
      <c r="GU1201" s="4"/>
      <c r="GV1201" s="4"/>
      <c r="GW1201" s="4"/>
      <c r="GX1201" s="4"/>
      <c r="GY1201" s="4"/>
      <c r="GZ1201" s="4"/>
      <c r="HA1201" s="4"/>
      <c r="HB1201" s="4"/>
      <c r="HC1201" s="4"/>
      <c r="HD1201" s="4"/>
      <c r="HE1201" s="4"/>
    </row>
    <row r="1202">
      <c r="A1202" s="2" t="s">
        <v>6319</v>
      </c>
      <c r="B1202" s="2" t="s">
        <v>958</v>
      </c>
      <c r="C1202" s="2" t="s">
        <v>773</v>
      </c>
      <c r="D1202" s="2" t="s">
        <v>1790</v>
      </c>
      <c r="E1202" s="2" t="s">
        <v>3370</v>
      </c>
      <c r="F1202" s="2" t="s">
        <v>6320</v>
      </c>
      <c r="G1202" s="2" t="s">
        <v>6320</v>
      </c>
      <c r="H1202" s="2" t="s">
        <v>6320</v>
      </c>
      <c r="I1202" s="2" t="s">
        <v>6321</v>
      </c>
      <c r="J1202" s="2" t="s">
        <v>840</v>
      </c>
      <c r="K1202" s="2" t="s">
        <v>1105</v>
      </c>
      <c r="L1202" s="3">
        <v>143</v>
      </c>
      <c r="M1202" s="3">
        <v>150.15</v>
      </c>
      <c r="N1202" s="3">
        <v>299</v>
      </c>
      <c r="O1202" s="2" t="s">
        <v>461</v>
      </c>
      <c r="P1202" s="2" t="s">
        <v>333</v>
      </c>
      <c r="Q1202" s="2" t="s">
        <v>234</v>
      </c>
      <c r="R1202" s="2" t="s">
        <v>228</v>
      </c>
      <c r="S1202" s="2" t="s">
        <v>228</v>
      </c>
      <c r="T1202" s="2" t="s">
        <v>228</v>
      </c>
      <c r="U1202" s="2" t="s">
        <v>228</v>
      </c>
      <c r="V1202" s="2" t="s">
        <v>842</v>
      </c>
      <c r="W1202" s="2" t="s">
        <v>463</v>
      </c>
      <c r="X1202" s="2" t="s">
        <v>228</v>
      </c>
      <c r="Y1202" s="2" t="s">
        <v>5227</v>
      </c>
      <c r="Z1202" s="4">
        <v>568</v>
      </c>
      <c r="AA1202" s="4">
        <f>=ROUNDDOWN(568,0)</f>
      </c>
      <c r="AB1202" s="5">
        <v>1</v>
      </c>
      <c r="AC1202" s="2" t="s">
        <v>228</v>
      </c>
      <c r="AD1202" s="4"/>
      <c r="AE1202" s="4"/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228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/>
      <c r="AW1202" s="8"/>
      <c r="AX1202" s="4"/>
      <c r="AY1202" s="8"/>
      <c r="AZ1202" s="7"/>
      <c r="BA1202" s="7"/>
      <c r="BB1202" s="7"/>
      <c r="BC1202" s="4" t="s">
        <v>228</v>
      </c>
      <c r="BD1202" s="8" t="s">
        <v>228</v>
      </c>
      <c r="BE1202" s="4" t="s">
        <v>228</v>
      </c>
      <c r="BF1202" s="8" t="s">
        <v>228</v>
      </c>
      <c r="BG1202" s="7" t="s">
        <v>228</v>
      </c>
      <c r="BH1202" s="7" t="s">
        <v>228</v>
      </c>
      <c r="BI1202" s="7"/>
      <c r="BJ1202" s="4">
        <v>5</v>
      </c>
      <c r="BK1202" s="8">
        <v>635.55</v>
      </c>
      <c r="BL1202" s="2" t="s">
        <v>6322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6323</v>
      </c>
      <c r="BV1202" s="2" t="s">
        <v>228</v>
      </c>
      <c r="BW1202" s="2" t="s">
        <v>228</v>
      </c>
      <c r="BX1202" s="2" t="s">
        <v>337</v>
      </c>
      <c r="BY1202" s="2" t="s">
        <v>274</v>
      </c>
      <c r="BZ1202" s="2" t="s">
        <v>240</v>
      </c>
      <c r="CA1202" s="2" t="s">
        <v>1848</v>
      </c>
      <c r="CB1202" s="2" t="s">
        <v>6324</v>
      </c>
      <c r="CC1202" s="2" t="s">
        <v>241</v>
      </c>
      <c r="CD1202" s="2" t="s">
        <v>228</v>
      </c>
      <c r="CE1202" s="4"/>
      <c r="CF1202" s="4">
        <v>568</v>
      </c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/>
      <c r="GX1202" s="4"/>
      <c r="GY1202" s="4"/>
      <c r="GZ1202" s="4"/>
      <c r="HA1202" s="4"/>
      <c r="HB1202" s="4"/>
      <c r="HC1202" s="4"/>
      <c r="HD1202" s="4"/>
      <c r="HE1202" s="4"/>
    </row>
    <row r="1203">
      <c r="A1203" s="2" t="s">
        <v>6325</v>
      </c>
      <c r="B1203" s="2" t="s">
        <v>958</v>
      </c>
      <c r="C1203" s="2" t="s">
        <v>773</v>
      </c>
      <c r="D1203" s="2" t="s">
        <v>1795</v>
      </c>
      <c r="E1203" s="2" t="s">
        <v>1796</v>
      </c>
      <c r="F1203" s="2" t="s">
        <v>6320</v>
      </c>
      <c r="G1203" s="2" t="s">
        <v>6320</v>
      </c>
      <c r="H1203" s="2" t="s">
        <v>6320</v>
      </c>
      <c r="I1203" s="2" t="s">
        <v>6326</v>
      </c>
      <c r="J1203" s="2" t="s">
        <v>840</v>
      </c>
      <c r="K1203" s="2" t="s">
        <v>2350</v>
      </c>
      <c r="L1203" s="3">
        <v>118.13</v>
      </c>
      <c r="M1203" s="3">
        <v>124.04</v>
      </c>
      <c r="N1203" s="3">
        <v>249</v>
      </c>
      <c r="O1203" s="2" t="s">
        <v>240</v>
      </c>
      <c r="P1203" s="2" t="s">
        <v>333</v>
      </c>
      <c r="Q1203" s="2" t="s">
        <v>234</v>
      </c>
      <c r="R1203" s="2" t="s">
        <v>228</v>
      </c>
      <c r="S1203" s="2" t="s">
        <v>228</v>
      </c>
      <c r="T1203" s="2" t="s">
        <v>228</v>
      </c>
      <c r="U1203" s="2" t="s">
        <v>416</v>
      </c>
      <c r="V1203" s="2" t="s">
        <v>236</v>
      </c>
      <c r="W1203" s="2" t="s">
        <v>743</v>
      </c>
      <c r="X1203" s="2" t="s">
        <v>463</v>
      </c>
      <c r="Y1203" s="2" t="s">
        <v>6327</v>
      </c>
      <c r="Z1203" s="4">
        <v>42</v>
      </c>
      <c r="AA1203" s="4">
        <f>=ROUNDDOWN(21,0)</f>
      </c>
      <c r="AB1203" s="5">
        <v>2</v>
      </c>
      <c r="AC1203" s="2" t="s">
        <v>228</v>
      </c>
      <c r="AD1203" s="4"/>
      <c r="AE1203" s="4"/>
      <c r="AF1203" s="6">
        <v>66</v>
      </c>
      <c r="AG1203" s="6"/>
      <c r="AH1203" s="7">
        <v>1</v>
      </c>
      <c r="AI1203" s="4"/>
      <c r="AJ1203" s="4">
        <f>=ROUNDDOWN({0},0)</f>
      </c>
      <c r="AK1203" s="5"/>
      <c r="AL1203" s="2" t="s">
        <v>228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/>
      <c r="AW1203" s="8"/>
      <c r="AX1203" s="4"/>
      <c r="AY1203" s="8"/>
      <c r="AZ1203" s="7"/>
      <c r="BA1203" s="7"/>
      <c r="BB1203" s="7"/>
      <c r="BC1203" s="4" t="s">
        <v>228</v>
      </c>
      <c r="BD1203" s="8" t="s">
        <v>228</v>
      </c>
      <c r="BE1203" s="4" t="s">
        <v>228</v>
      </c>
      <c r="BF1203" s="8" t="s">
        <v>228</v>
      </c>
      <c r="BG1203" s="7" t="s">
        <v>228</v>
      </c>
      <c r="BH1203" s="7" t="s">
        <v>228</v>
      </c>
      <c r="BI1203" s="7"/>
      <c r="BJ1203" s="4">
        <v>1</v>
      </c>
      <c r="BK1203" s="8">
        <v>85.43</v>
      </c>
      <c r="BL1203" s="2" t="s">
        <v>2712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6328</v>
      </c>
      <c r="BV1203" s="2" t="s">
        <v>228</v>
      </c>
      <c r="BW1203" s="2" t="s">
        <v>228</v>
      </c>
      <c r="BX1203" s="2" t="s">
        <v>337</v>
      </c>
      <c r="BY1203" s="2" t="s">
        <v>274</v>
      </c>
      <c r="BZ1203" s="2" t="s">
        <v>240</v>
      </c>
      <c r="CA1203" s="2" t="s">
        <v>757</v>
      </c>
      <c r="CB1203" s="2" t="s">
        <v>6329</v>
      </c>
      <c r="CC1203" s="2" t="s">
        <v>241</v>
      </c>
      <c r="CD1203" s="2" t="s">
        <v>228</v>
      </c>
      <c r="CE1203" s="4"/>
      <c r="CF1203" s="4">
        <v>42</v>
      </c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  <c r="GG1203" s="4"/>
      <c r="GH1203" s="4"/>
      <c r="GI1203" s="4"/>
      <c r="GJ1203" s="4"/>
      <c r="GK1203" s="4"/>
      <c r="GL1203" s="4"/>
      <c r="GM1203" s="4"/>
      <c r="GN1203" s="4"/>
      <c r="GO1203" s="4"/>
      <c r="GP1203" s="4"/>
      <c r="GQ1203" s="4"/>
      <c r="GR1203" s="4"/>
      <c r="GS1203" s="4"/>
      <c r="GT1203" s="4"/>
      <c r="GU1203" s="4"/>
      <c r="GV1203" s="4"/>
      <c r="GW1203" s="4"/>
      <c r="GX1203" s="4"/>
      <c r="GY1203" s="4"/>
      <c r="GZ1203" s="4"/>
      <c r="HA1203" s="4"/>
      <c r="HB1203" s="4"/>
      <c r="HC1203" s="4"/>
      <c r="HD1203" s="4"/>
      <c r="HE1203" s="4"/>
    </row>
    <row r="1204">
      <c r="A1204" s="2" t="s">
        <v>6330</v>
      </c>
      <c r="B1204" s="2" t="s">
        <v>958</v>
      </c>
      <c r="C1204" s="2" t="s">
        <v>835</v>
      </c>
      <c r="D1204" s="2" t="s">
        <v>1790</v>
      </c>
      <c r="E1204" s="2" t="s">
        <v>3370</v>
      </c>
      <c r="F1204" s="2" t="s">
        <v>6331</v>
      </c>
      <c r="G1204" s="2" t="s">
        <v>6331</v>
      </c>
      <c r="H1204" s="2" t="s">
        <v>6331</v>
      </c>
      <c r="I1204" s="2" t="s">
        <v>1791</v>
      </c>
      <c r="J1204" s="2" t="s">
        <v>840</v>
      </c>
      <c r="K1204" s="2" t="s">
        <v>1568</v>
      </c>
      <c r="L1204" s="3">
        <v>85</v>
      </c>
      <c r="M1204" s="3">
        <v>89.25</v>
      </c>
      <c r="N1204" s="3">
        <v>179</v>
      </c>
      <c r="O1204" s="2" t="s">
        <v>461</v>
      </c>
      <c r="P1204" s="2" t="s">
        <v>333</v>
      </c>
      <c r="Q1204" s="2" t="s">
        <v>234</v>
      </c>
      <c r="R1204" s="2" t="s">
        <v>228</v>
      </c>
      <c r="S1204" s="2" t="s">
        <v>228</v>
      </c>
      <c r="T1204" s="2" t="s">
        <v>228</v>
      </c>
      <c r="U1204" s="2" t="s">
        <v>416</v>
      </c>
      <c r="V1204" s="2" t="s">
        <v>842</v>
      </c>
      <c r="W1204" s="2" t="s">
        <v>843</v>
      </c>
      <c r="X1204" s="2" t="s">
        <v>3057</v>
      </c>
      <c r="Y1204" s="2" t="s">
        <v>6332</v>
      </c>
      <c r="Z1204" s="4">
        <v>181</v>
      </c>
      <c r="AA1204" s="4">
        <f>=ROUNDDOWN(452.5,0)</f>
      </c>
      <c r="AB1204" s="5">
        <v>0.4</v>
      </c>
      <c r="AC1204" s="2" t="s">
        <v>228</v>
      </c>
      <c r="AD1204" s="4"/>
      <c r="AE1204" s="4"/>
      <c r="AF1204" s="6">
        <v>66</v>
      </c>
      <c r="AG1204" s="6"/>
      <c r="AH1204" s="7">
        <v>1</v>
      </c>
      <c r="AI1204" s="4"/>
      <c r="AJ1204" s="4">
        <f>=ROUNDDOWN({0},0)</f>
      </c>
      <c r="AK1204" s="5"/>
      <c r="AL1204" s="2" t="s">
        <v>228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/>
      <c r="AW1204" s="8"/>
      <c r="AX1204" s="4"/>
      <c r="AY1204" s="8"/>
      <c r="AZ1204" s="7"/>
      <c r="BA1204" s="7"/>
      <c r="BB1204" s="7"/>
      <c r="BC1204" s="4"/>
      <c r="BD1204" s="8"/>
      <c r="BE1204" s="4"/>
      <c r="BF1204" s="8"/>
      <c r="BG1204" s="7"/>
      <c r="BH1204" s="7"/>
      <c r="BI1204" s="7"/>
      <c r="BJ1204" s="4"/>
      <c r="BK1204" s="8"/>
      <c r="BL1204" s="2" t="s">
        <v>1033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6333</v>
      </c>
      <c r="BV1204" s="2" t="s">
        <v>228</v>
      </c>
      <c r="BW1204" s="2" t="s">
        <v>228</v>
      </c>
      <c r="BX1204" s="2" t="s">
        <v>337</v>
      </c>
      <c r="BY1204" s="2" t="s">
        <v>274</v>
      </c>
      <c r="BZ1204" s="2" t="s">
        <v>240</v>
      </c>
      <c r="CA1204" s="2" t="s">
        <v>6334</v>
      </c>
      <c r="CB1204" s="2" t="s">
        <v>496</v>
      </c>
      <c r="CC1204" s="2" t="s">
        <v>241</v>
      </c>
      <c r="CD1204" s="2" t="s">
        <v>228</v>
      </c>
      <c r="CE1204" s="4"/>
      <c r="CF1204" s="4">
        <v>181</v>
      </c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4"/>
      <c r="GZ1204" s="4"/>
      <c r="HA1204" s="4"/>
      <c r="HB1204" s="4"/>
      <c r="HC1204" s="4"/>
      <c r="HD1204" s="4"/>
      <c r="HE1204" s="4"/>
    </row>
    <row r="1205">
      <c r="A1205" s="2" t="s">
        <v>6335</v>
      </c>
      <c r="B1205" s="2" t="s">
        <v>958</v>
      </c>
      <c r="C1205" s="2" t="s">
        <v>300</v>
      </c>
      <c r="D1205" s="2" t="s">
        <v>1790</v>
      </c>
      <c r="E1205" s="2" t="s">
        <v>1791</v>
      </c>
      <c r="F1205" s="2" t="s">
        <v>6336</v>
      </c>
      <c r="G1205" s="2" t="s">
        <v>3063</v>
      </c>
      <c r="H1205" s="2" t="s">
        <v>6337</v>
      </c>
      <c r="I1205" s="2" t="s">
        <v>6338</v>
      </c>
      <c r="J1205" s="2" t="s">
        <v>840</v>
      </c>
      <c r="K1205" s="2" t="s">
        <v>1061</v>
      </c>
      <c r="L1205" s="3">
        <v>150</v>
      </c>
      <c r="M1205" s="3">
        <v>157.5</v>
      </c>
      <c r="N1205" s="3">
        <v>319</v>
      </c>
      <c r="O1205" s="2" t="s">
        <v>240</v>
      </c>
      <c r="P1205" s="2" t="s">
        <v>266</v>
      </c>
      <c r="Q1205" s="2" t="s">
        <v>234</v>
      </c>
      <c r="R1205" s="2" t="s">
        <v>228</v>
      </c>
      <c r="S1205" s="2" t="s">
        <v>228</v>
      </c>
      <c r="T1205" s="2" t="s">
        <v>228</v>
      </c>
      <c r="U1205" s="2" t="s">
        <v>416</v>
      </c>
      <c r="V1205" s="2" t="s">
        <v>842</v>
      </c>
      <c r="W1205" s="2" t="s">
        <v>351</v>
      </c>
      <c r="X1205" s="2" t="s">
        <v>417</v>
      </c>
      <c r="Y1205" s="2" t="s">
        <v>1484</v>
      </c>
      <c r="Z1205" s="4">
        <v>344</v>
      </c>
      <c r="AA1205" s="4">
        <f>=ROUNDDOWN(86,0)</f>
      </c>
      <c r="AB1205" s="5">
        <v>4</v>
      </c>
      <c r="AC1205" s="2" t="s">
        <v>228</v>
      </c>
      <c r="AD1205" s="4"/>
      <c r="AE1205" s="4"/>
      <c r="AF1205" s="6">
        <v>67</v>
      </c>
      <c r="AG1205" s="6">
        <v>50</v>
      </c>
      <c r="AH1205" s="7">
        <v>1</v>
      </c>
      <c r="AI1205" s="4"/>
      <c r="AJ1205" s="4">
        <f>=ROUNDDOWN({0},0)</f>
      </c>
      <c r="AK1205" s="5"/>
      <c r="AL1205" s="2" t="s">
        <v>228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/>
      <c r="AW1205" s="8"/>
      <c r="AX1205" s="4"/>
      <c r="AY1205" s="8"/>
      <c r="AZ1205" s="7"/>
      <c r="BA1205" s="7"/>
      <c r="BB1205" s="7"/>
      <c r="BC1205" s="4"/>
      <c r="BD1205" s="8"/>
      <c r="BE1205" s="4"/>
      <c r="BF1205" s="8"/>
      <c r="BG1205" s="7"/>
      <c r="BH1205" s="7"/>
      <c r="BI1205" s="7"/>
      <c r="BJ1205" s="4">
        <v>8</v>
      </c>
      <c r="BK1205" s="8">
        <v>1218.77</v>
      </c>
      <c r="BL1205" s="2" t="s">
        <v>995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6339</v>
      </c>
      <c r="BV1205" s="2" t="s">
        <v>228</v>
      </c>
      <c r="BW1205" s="2" t="s">
        <v>228</v>
      </c>
      <c r="BX1205" s="2" t="s">
        <v>273</v>
      </c>
      <c r="BY1205" s="2" t="s">
        <v>274</v>
      </c>
      <c r="BZ1205" s="2" t="s">
        <v>240</v>
      </c>
      <c r="CA1205" s="2" t="s">
        <v>5632</v>
      </c>
      <c r="CB1205" s="2" t="s">
        <v>5700</v>
      </c>
      <c r="CC1205" s="2" t="s">
        <v>241</v>
      </c>
      <c r="CD1205" s="2" t="s">
        <v>228</v>
      </c>
      <c r="CE1205" s="4"/>
      <c r="CF1205" s="4">
        <v>344</v>
      </c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  <c r="GG1205" s="4"/>
      <c r="GH1205" s="4"/>
      <c r="GI1205" s="4"/>
      <c r="GJ1205" s="4"/>
      <c r="GK1205" s="4"/>
      <c r="GL1205" s="4"/>
      <c r="GM1205" s="4"/>
      <c r="GN1205" s="4"/>
      <c r="GO1205" s="4"/>
      <c r="GP1205" s="4"/>
      <c r="GQ1205" s="4"/>
      <c r="GR1205" s="4"/>
      <c r="GS1205" s="4"/>
      <c r="GT1205" s="4"/>
      <c r="GU1205" s="4"/>
      <c r="GV1205" s="4"/>
      <c r="GW1205" s="4"/>
      <c r="GX1205" s="4"/>
      <c r="GY1205" s="4"/>
      <c r="GZ1205" s="4"/>
      <c r="HA1205" s="4"/>
      <c r="HB1205" s="4"/>
      <c r="HC1205" s="4"/>
      <c r="HD1205" s="4"/>
      <c r="HE1205" s="4"/>
    </row>
    <row r="1206">
      <c r="A1206" s="2" t="s">
        <v>6340</v>
      </c>
      <c r="B1206" s="2" t="s">
        <v>958</v>
      </c>
      <c r="C1206" s="2" t="s">
        <v>300</v>
      </c>
      <c r="D1206" s="2" t="s">
        <v>959</v>
      </c>
      <c r="E1206" s="2" t="s">
        <v>960</v>
      </c>
      <c r="F1206" s="2" t="s">
        <v>6341</v>
      </c>
      <c r="G1206" s="2" t="s">
        <v>6342</v>
      </c>
      <c r="H1206" s="2" t="s">
        <v>6343</v>
      </c>
      <c r="I1206" s="2" t="s">
        <v>2560</v>
      </c>
      <c r="J1206" s="2" t="s">
        <v>840</v>
      </c>
      <c r="K1206" s="2" t="s">
        <v>249</v>
      </c>
      <c r="L1206" s="3">
        <v>207.9</v>
      </c>
      <c r="M1206" s="3">
        <v>218.3</v>
      </c>
      <c r="N1206" s="3">
        <v>439</v>
      </c>
      <c r="O1206" s="2" t="s">
        <v>240</v>
      </c>
      <c r="P1206" s="2" t="s">
        <v>1012</v>
      </c>
      <c r="Q1206" s="2" t="s">
        <v>234</v>
      </c>
      <c r="R1206" s="2" t="s">
        <v>228</v>
      </c>
      <c r="S1206" s="2" t="s">
        <v>228</v>
      </c>
      <c r="T1206" s="2" t="s">
        <v>228</v>
      </c>
      <c r="U1206" s="2" t="s">
        <v>228</v>
      </c>
      <c r="V1206" s="2" t="s">
        <v>236</v>
      </c>
      <c r="W1206" s="2" t="s">
        <v>269</v>
      </c>
      <c r="X1206" s="2" t="s">
        <v>228</v>
      </c>
      <c r="Y1206" s="2" t="s">
        <v>6344</v>
      </c>
      <c r="Z1206" s="4">
        <v>61</v>
      </c>
      <c r="AA1206" s="4">
        <f>=ROUNDDOWN(20.3333333333333,0)</f>
      </c>
      <c r="AB1206" s="5">
        <v>3</v>
      </c>
      <c r="AC1206" s="2" t="s">
        <v>197</v>
      </c>
      <c r="AD1206" s="4">
        <v>92</v>
      </c>
      <c r="AE1206" s="4">
        <v>92</v>
      </c>
      <c r="AF1206" s="6">
        <v>66</v>
      </c>
      <c r="AG1206" s="6"/>
      <c r="AH1206" s="7">
        <v>1</v>
      </c>
      <c r="AI1206" s="4"/>
      <c r="AJ1206" s="4">
        <f>=ROUNDDOWN({0},0)</f>
      </c>
      <c r="AK1206" s="5"/>
      <c r="AL1206" s="2" t="s">
        <v>228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/>
      <c r="AW1206" s="8"/>
      <c r="AX1206" s="4"/>
      <c r="AY1206" s="8"/>
      <c r="AZ1206" s="7"/>
      <c r="BA1206" s="7"/>
      <c r="BB1206" s="7"/>
      <c r="BC1206" s="4"/>
      <c r="BD1206" s="8"/>
      <c r="BE1206" s="4"/>
      <c r="BF1206" s="8"/>
      <c r="BG1206" s="7"/>
      <c r="BH1206" s="7"/>
      <c r="BI1206" s="7"/>
      <c r="BJ1206" s="4">
        <v>7</v>
      </c>
      <c r="BK1206" s="8">
        <v>1470.82</v>
      </c>
      <c r="BL1206" s="2" t="s">
        <v>3281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6345</v>
      </c>
      <c r="BV1206" s="2" t="s">
        <v>228</v>
      </c>
      <c r="BW1206" s="2" t="s">
        <v>228</v>
      </c>
      <c r="BX1206" s="2" t="s">
        <v>273</v>
      </c>
      <c r="BY1206" s="2" t="s">
        <v>274</v>
      </c>
      <c r="BZ1206" s="2" t="s">
        <v>240</v>
      </c>
      <c r="CA1206" s="2" t="s">
        <v>6346</v>
      </c>
      <c r="CB1206" s="2" t="s">
        <v>6347</v>
      </c>
      <c r="CC1206" s="2" t="s">
        <v>241</v>
      </c>
      <c r="CD1206" s="2" t="s">
        <v>228</v>
      </c>
      <c r="CE1206" s="4"/>
      <c r="CF1206" s="4">
        <v>61</v>
      </c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>
        <v>92</v>
      </c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4"/>
      <c r="HE1206" s="4"/>
    </row>
    <row r="1207">
      <c r="A1207" s="2" t="s">
        <v>6348</v>
      </c>
      <c r="B1207" s="2" t="s">
        <v>958</v>
      </c>
      <c r="C1207" s="2" t="s">
        <v>300</v>
      </c>
      <c r="D1207" s="2" t="s">
        <v>959</v>
      </c>
      <c r="E1207" s="2" t="s">
        <v>960</v>
      </c>
      <c r="F1207" s="2" t="s">
        <v>6349</v>
      </c>
      <c r="G1207" s="2" t="s">
        <v>6350</v>
      </c>
      <c r="H1207" s="2" t="s">
        <v>6351</v>
      </c>
      <c r="I1207" s="2" t="s">
        <v>6352</v>
      </c>
      <c r="J1207" s="2" t="s">
        <v>840</v>
      </c>
      <c r="K1207" s="2" t="s">
        <v>265</v>
      </c>
      <c r="L1207" s="3">
        <v>158.36</v>
      </c>
      <c r="M1207" s="3">
        <v>166.28</v>
      </c>
      <c r="N1207" s="3">
        <v>329</v>
      </c>
      <c r="O1207" s="2" t="s">
        <v>240</v>
      </c>
      <c r="P1207" s="2" t="s">
        <v>266</v>
      </c>
      <c r="Q1207" s="2" t="s">
        <v>234</v>
      </c>
      <c r="R1207" s="2" t="s">
        <v>228</v>
      </c>
      <c r="S1207" s="2" t="s">
        <v>6353</v>
      </c>
      <c r="T1207" s="2" t="s">
        <v>228</v>
      </c>
      <c r="U1207" s="2" t="s">
        <v>228</v>
      </c>
      <c r="V1207" s="2" t="s">
        <v>236</v>
      </c>
      <c r="W1207" s="2" t="s">
        <v>417</v>
      </c>
      <c r="X1207" s="2" t="s">
        <v>228</v>
      </c>
      <c r="Y1207" s="2" t="s">
        <v>270</v>
      </c>
      <c r="Z1207" s="4">
        <v>162</v>
      </c>
      <c r="AA1207" s="4">
        <f>=ROUNDDOWN(23.1428571428571,0)</f>
      </c>
      <c r="AB1207" s="5">
        <v>7</v>
      </c>
      <c r="AC1207" s="2" t="s">
        <v>228</v>
      </c>
      <c r="AD1207" s="4"/>
      <c r="AE1207" s="4"/>
      <c r="AF1207" s="6">
        <v>66</v>
      </c>
      <c r="AG1207" s="6">
        <v>49</v>
      </c>
      <c r="AH1207" s="7">
        <v>1</v>
      </c>
      <c r="AI1207" s="4"/>
      <c r="AJ1207" s="4">
        <f>=ROUNDDOWN({0},0)</f>
      </c>
      <c r="AK1207" s="5"/>
      <c r="AL1207" s="2" t="s">
        <v>228</v>
      </c>
      <c r="AM1207" s="4"/>
      <c r="AN1207" s="4"/>
      <c r="AO1207" s="7">
        <v>0.5484</v>
      </c>
      <c r="AP1207" s="4"/>
      <c r="AQ1207" s="8"/>
      <c r="AR1207" s="4"/>
      <c r="AS1207" s="8"/>
      <c r="AT1207" s="7"/>
      <c r="AU1207" s="7"/>
      <c r="AV1207" s="4"/>
      <c r="AW1207" s="8"/>
      <c r="AX1207" s="4"/>
      <c r="AY1207" s="8"/>
      <c r="AZ1207" s="7"/>
      <c r="BA1207" s="7"/>
      <c r="BB1207" s="7"/>
      <c r="BC1207" s="4" t="s">
        <v>228</v>
      </c>
      <c r="BD1207" s="8" t="s">
        <v>228</v>
      </c>
      <c r="BE1207" s="4" t="s">
        <v>228</v>
      </c>
      <c r="BF1207" s="8" t="s">
        <v>228</v>
      </c>
      <c r="BG1207" s="7" t="s">
        <v>228</v>
      </c>
      <c r="BH1207" s="7" t="s">
        <v>228</v>
      </c>
      <c r="BI1207" s="7"/>
      <c r="BJ1207" s="4">
        <v>39</v>
      </c>
      <c r="BK1207" s="8">
        <v>5393.47</v>
      </c>
      <c r="BL1207" s="2" t="s">
        <v>6354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6355</v>
      </c>
      <c r="BV1207" s="2" t="s">
        <v>228</v>
      </c>
      <c r="BW1207" s="2" t="s">
        <v>228</v>
      </c>
      <c r="BX1207" s="2" t="s">
        <v>273</v>
      </c>
      <c r="BY1207" s="2" t="s">
        <v>274</v>
      </c>
      <c r="BZ1207" s="2" t="s">
        <v>240</v>
      </c>
      <c r="CA1207" s="2" t="s">
        <v>275</v>
      </c>
      <c r="CB1207" s="2" t="s">
        <v>2285</v>
      </c>
      <c r="CC1207" s="2" t="s">
        <v>241</v>
      </c>
      <c r="CD1207" s="2" t="s">
        <v>228</v>
      </c>
      <c r="CE1207" s="4"/>
      <c r="CF1207" s="4">
        <v>109</v>
      </c>
      <c r="CG1207" s="4"/>
      <c r="CH1207" s="4">
        <v>53</v>
      </c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  <c r="GH1207" s="4"/>
      <c r="GI1207" s="4"/>
      <c r="GJ1207" s="4"/>
      <c r="GK1207" s="4"/>
      <c r="GL1207" s="4"/>
      <c r="GM1207" s="4"/>
      <c r="GN1207" s="4"/>
      <c r="GO1207" s="4"/>
      <c r="GP1207" s="4"/>
      <c r="GQ1207" s="4"/>
      <c r="GR1207" s="4"/>
      <c r="GS1207" s="4"/>
      <c r="GT1207" s="4"/>
      <c r="GU1207" s="4"/>
      <c r="GV1207" s="4"/>
      <c r="GW1207" s="4"/>
      <c r="GX1207" s="4"/>
      <c r="GY1207" s="4"/>
      <c r="GZ1207" s="4"/>
      <c r="HA1207" s="4"/>
      <c r="HB1207" s="4"/>
      <c r="HC1207" s="4"/>
      <c r="HD1207" s="4"/>
      <c r="HE1207" s="4"/>
    </row>
    <row r="1208">
      <c r="A1208" s="2" t="s">
        <v>6356</v>
      </c>
      <c r="B1208" s="2" t="s">
        <v>958</v>
      </c>
      <c r="C1208" s="2" t="s">
        <v>300</v>
      </c>
      <c r="D1208" s="2" t="s">
        <v>959</v>
      </c>
      <c r="E1208" s="2" t="s">
        <v>960</v>
      </c>
      <c r="F1208" s="2" t="s">
        <v>6349</v>
      </c>
      <c r="G1208" s="2" t="s">
        <v>6350</v>
      </c>
      <c r="H1208" s="2" t="s">
        <v>6351</v>
      </c>
      <c r="I1208" s="2" t="s">
        <v>6352</v>
      </c>
      <c r="J1208" s="2" t="s">
        <v>840</v>
      </c>
      <c r="K1208" s="2" t="s">
        <v>249</v>
      </c>
      <c r="L1208" s="3">
        <v>158.36</v>
      </c>
      <c r="M1208" s="3">
        <v>166.28</v>
      </c>
      <c r="N1208" s="3">
        <v>329</v>
      </c>
      <c r="O1208" s="2" t="s">
        <v>240</v>
      </c>
      <c r="P1208" s="2" t="s">
        <v>1012</v>
      </c>
      <c r="Q1208" s="2" t="s">
        <v>234</v>
      </c>
      <c r="R1208" s="2" t="s">
        <v>228</v>
      </c>
      <c r="S1208" s="2" t="s">
        <v>6357</v>
      </c>
      <c r="T1208" s="2" t="s">
        <v>228</v>
      </c>
      <c r="U1208" s="2" t="s">
        <v>228</v>
      </c>
      <c r="V1208" s="2" t="s">
        <v>236</v>
      </c>
      <c r="W1208" s="2" t="s">
        <v>417</v>
      </c>
      <c r="X1208" s="2" t="s">
        <v>228</v>
      </c>
      <c r="Y1208" s="2" t="s">
        <v>270</v>
      </c>
      <c r="Z1208" s="4">
        <v>84</v>
      </c>
      <c r="AA1208" s="4">
        <f>=ROUNDDOWN(21,0)</f>
      </c>
      <c r="AB1208" s="5">
        <v>4</v>
      </c>
      <c r="AC1208" s="2" t="s">
        <v>209</v>
      </c>
      <c r="AD1208" s="4">
        <v>38</v>
      </c>
      <c r="AE1208" s="4">
        <v>38</v>
      </c>
      <c r="AF1208" s="6">
        <v>66</v>
      </c>
      <c r="AG1208" s="6">
        <v>49</v>
      </c>
      <c r="AH1208" s="7">
        <v>1</v>
      </c>
      <c r="AI1208" s="4"/>
      <c r="AJ1208" s="4">
        <f>=ROUNDDOWN({0},0)</f>
      </c>
      <c r="AK1208" s="5"/>
      <c r="AL1208" s="2" t="s">
        <v>228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/>
      <c r="AW1208" s="8"/>
      <c r="AX1208" s="4"/>
      <c r="AY1208" s="8"/>
      <c r="AZ1208" s="7"/>
      <c r="BA1208" s="7"/>
      <c r="BB1208" s="7"/>
      <c r="BC1208" s="4" t="s">
        <v>228</v>
      </c>
      <c r="BD1208" s="8" t="s">
        <v>228</v>
      </c>
      <c r="BE1208" s="4" t="s">
        <v>228</v>
      </c>
      <c r="BF1208" s="8" t="s">
        <v>228</v>
      </c>
      <c r="BG1208" s="7" t="s">
        <v>228</v>
      </c>
      <c r="BH1208" s="7" t="s">
        <v>228</v>
      </c>
      <c r="BI1208" s="7"/>
      <c r="BJ1208" s="4">
        <v>14</v>
      </c>
      <c r="BK1208" s="8">
        <v>1973.54</v>
      </c>
      <c r="BL1208" s="2" t="s">
        <v>6358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6359</v>
      </c>
      <c r="BV1208" s="2" t="s">
        <v>228</v>
      </c>
      <c r="BW1208" s="2" t="s">
        <v>228</v>
      </c>
      <c r="BX1208" s="2" t="s">
        <v>273</v>
      </c>
      <c r="BY1208" s="2" t="s">
        <v>274</v>
      </c>
      <c r="BZ1208" s="2" t="s">
        <v>240</v>
      </c>
      <c r="CA1208" s="2" t="s">
        <v>275</v>
      </c>
      <c r="CB1208" s="2" t="s">
        <v>6360</v>
      </c>
      <c r="CC1208" s="2" t="s">
        <v>241</v>
      </c>
      <c r="CD1208" s="2" t="s">
        <v>228</v>
      </c>
      <c r="CE1208" s="4"/>
      <c r="CF1208" s="4">
        <v>81</v>
      </c>
      <c r="CG1208" s="4"/>
      <c r="CH1208" s="4">
        <v>3</v>
      </c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>
        <v>38</v>
      </c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</row>
    <row r="1209">
      <c r="A1209" s="2" t="s">
        <v>6361</v>
      </c>
      <c r="B1209" s="2" t="s">
        <v>958</v>
      </c>
      <c r="C1209" s="2" t="s">
        <v>300</v>
      </c>
      <c r="D1209" s="2" t="s">
        <v>1006</v>
      </c>
      <c r="E1209" s="2" t="s">
        <v>1766</v>
      </c>
      <c r="F1209" s="2" t="s">
        <v>6362</v>
      </c>
      <c r="G1209" s="2" t="s">
        <v>6363</v>
      </c>
      <c r="H1209" s="2" t="s">
        <v>6364</v>
      </c>
      <c r="I1209" s="2" t="s">
        <v>1770</v>
      </c>
      <c r="J1209" s="2" t="s">
        <v>840</v>
      </c>
      <c r="K1209" s="2" t="s">
        <v>6365</v>
      </c>
      <c r="L1209" s="3">
        <v>270.75</v>
      </c>
      <c r="M1209" s="3">
        <v>284.29</v>
      </c>
      <c r="N1209" s="3">
        <v>569</v>
      </c>
      <c r="O1209" s="2" t="s">
        <v>240</v>
      </c>
      <c r="P1209" s="2" t="s">
        <v>266</v>
      </c>
      <c r="Q1209" s="2" t="s">
        <v>234</v>
      </c>
      <c r="R1209" s="2" t="s">
        <v>228</v>
      </c>
      <c r="S1209" s="2" t="s">
        <v>6366</v>
      </c>
      <c r="T1209" s="2" t="s">
        <v>228</v>
      </c>
      <c r="U1209" s="2" t="s">
        <v>228</v>
      </c>
      <c r="V1209" s="2" t="s">
        <v>236</v>
      </c>
      <c r="W1209" s="2" t="s">
        <v>463</v>
      </c>
      <c r="X1209" s="2" t="s">
        <v>228</v>
      </c>
      <c r="Y1209" s="2" t="s">
        <v>6367</v>
      </c>
      <c r="Z1209" s="4">
        <v>122</v>
      </c>
      <c r="AA1209" s="4">
        <f>=ROUNDDOWN(30.5,0)</f>
      </c>
      <c r="AB1209" s="5">
        <v>4</v>
      </c>
      <c r="AC1209" s="2" t="s">
        <v>1014</v>
      </c>
      <c r="AD1209" s="4">
        <v>83</v>
      </c>
      <c r="AE1209" s="4">
        <v>192</v>
      </c>
      <c r="AF1209" s="6">
        <v>66</v>
      </c>
      <c r="AG1209" s="6">
        <v>49</v>
      </c>
      <c r="AH1209" s="7">
        <v>1</v>
      </c>
      <c r="AI1209" s="4"/>
      <c r="AJ1209" s="4">
        <f>=ROUNDDOWN({0},0)</f>
      </c>
      <c r="AK1209" s="5"/>
      <c r="AL1209" s="2" t="s">
        <v>228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/>
      <c r="AW1209" s="8"/>
      <c r="AX1209" s="4"/>
      <c r="AY1209" s="8"/>
      <c r="AZ1209" s="7"/>
      <c r="BA1209" s="7"/>
      <c r="BB1209" s="7"/>
      <c r="BC1209" s="4"/>
      <c r="BD1209" s="8"/>
      <c r="BE1209" s="4"/>
      <c r="BF1209" s="8"/>
      <c r="BG1209" s="7"/>
      <c r="BH1209" s="7"/>
      <c r="BI1209" s="7"/>
      <c r="BJ1209" s="4">
        <v>6</v>
      </c>
      <c r="BK1209" s="8">
        <v>1528</v>
      </c>
      <c r="BL1209" s="2" t="s">
        <v>6368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6369</v>
      </c>
      <c r="BV1209" s="2" t="s">
        <v>228</v>
      </c>
      <c r="BW1209" s="2" t="s">
        <v>228</v>
      </c>
      <c r="BX1209" s="2" t="s">
        <v>273</v>
      </c>
      <c r="BY1209" s="2" t="s">
        <v>274</v>
      </c>
      <c r="BZ1209" s="2" t="s">
        <v>240</v>
      </c>
      <c r="CA1209" s="2" t="s">
        <v>6370</v>
      </c>
      <c r="CB1209" s="2" t="s">
        <v>1351</v>
      </c>
      <c r="CC1209" s="2" t="s">
        <v>241</v>
      </c>
      <c r="CD1209" s="2" t="s">
        <v>228</v>
      </c>
      <c r="CE1209" s="4"/>
      <c r="CF1209" s="4">
        <v>120</v>
      </c>
      <c r="CG1209" s="4"/>
      <c r="CH1209" s="4">
        <v>2</v>
      </c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>
        <v>83</v>
      </c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>
        <v>109</v>
      </c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/>
      <c r="GG1209" s="4"/>
      <c r="GH1209" s="4"/>
      <c r="GI1209" s="4"/>
      <c r="GJ1209" s="4"/>
      <c r="GK1209" s="4"/>
      <c r="GL1209" s="4"/>
      <c r="GM1209" s="4"/>
      <c r="GN1209" s="4"/>
      <c r="GO1209" s="4"/>
      <c r="GP1209" s="4"/>
      <c r="GQ1209" s="4"/>
      <c r="GR1209" s="4"/>
      <c r="GS1209" s="4"/>
      <c r="GT1209" s="4"/>
      <c r="GU1209" s="4"/>
      <c r="GV1209" s="4"/>
      <c r="GW1209" s="4"/>
      <c r="GX1209" s="4"/>
      <c r="GY1209" s="4"/>
      <c r="GZ1209" s="4"/>
      <c r="HA1209" s="4"/>
      <c r="HB1209" s="4"/>
      <c r="HC1209" s="4"/>
      <c r="HD1209" s="4"/>
      <c r="HE1209" s="4"/>
    </row>
    <row r="1210">
      <c r="A1210" s="2" t="s">
        <v>6371</v>
      </c>
      <c r="B1210" s="2" t="s">
        <v>223</v>
      </c>
      <c r="C1210" s="2" t="s">
        <v>300</v>
      </c>
      <c r="D1210" s="2" t="s">
        <v>1112</v>
      </c>
      <c r="E1210" s="2" t="s">
        <v>1113</v>
      </c>
      <c r="F1210" s="2" t="s">
        <v>6372</v>
      </c>
      <c r="G1210" s="2" t="s">
        <v>6373</v>
      </c>
      <c r="H1210" s="2" t="s">
        <v>6373</v>
      </c>
      <c r="I1210" s="2" t="s">
        <v>6374</v>
      </c>
      <c r="J1210" s="2" t="s">
        <v>264</v>
      </c>
      <c r="K1210" s="2" t="s">
        <v>6375</v>
      </c>
      <c r="L1210" s="3">
        <v>26.28</v>
      </c>
      <c r="M1210" s="3">
        <v>27.59</v>
      </c>
      <c r="N1210" s="3">
        <v>59.99</v>
      </c>
      <c r="O1210" s="2" t="s">
        <v>240</v>
      </c>
      <c r="P1210" s="2" t="s">
        <v>266</v>
      </c>
      <c r="Q1210" s="2" t="s">
        <v>234</v>
      </c>
      <c r="R1210" s="2" t="s">
        <v>228</v>
      </c>
      <c r="S1210" s="2" t="s">
        <v>6376</v>
      </c>
      <c r="T1210" s="2" t="s">
        <v>1266</v>
      </c>
      <c r="U1210" s="2" t="s">
        <v>520</v>
      </c>
      <c r="V1210" s="2" t="s">
        <v>374</v>
      </c>
      <c r="W1210" s="2" t="s">
        <v>1761</v>
      </c>
      <c r="X1210" s="2" t="s">
        <v>1268</v>
      </c>
      <c r="Y1210" s="2" t="s">
        <v>6377</v>
      </c>
      <c r="Z1210" s="4">
        <v>43</v>
      </c>
      <c r="AA1210" s="4">
        <f>=ROUNDDOWN(21.5,0)</f>
      </c>
      <c r="AB1210" s="5">
        <v>2</v>
      </c>
      <c r="AC1210" s="2" t="s">
        <v>1270</v>
      </c>
      <c r="AD1210" s="4">
        <v>40</v>
      </c>
      <c r="AE1210" s="4">
        <v>82</v>
      </c>
      <c r="AF1210" s="6">
        <v>65</v>
      </c>
      <c r="AG1210" s="6"/>
      <c r="AH1210" s="7">
        <v>1</v>
      </c>
      <c r="AI1210" s="4"/>
      <c r="AJ1210" s="4">
        <f>=ROUNDDOWN({0},0)</f>
      </c>
      <c r="AK1210" s="5"/>
      <c r="AL1210" s="2" t="s">
        <v>228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/>
      <c r="AW1210" s="8"/>
      <c r="AX1210" s="4"/>
      <c r="AY1210" s="8"/>
      <c r="AZ1210" s="7"/>
      <c r="BA1210" s="7"/>
      <c r="BB1210" s="7"/>
      <c r="BC1210" s="4"/>
      <c r="BD1210" s="8"/>
      <c r="BE1210" s="4"/>
      <c r="BF1210" s="8"/>
      <c r="BG1210" s="7"/>
      <c r="BH1210" s="7"/>
      <c r="BI1210" s="7"/>
      <c r="BJ1210" s="4">
        <v>4</v>
      </c>
      <c r="BK1210" s="8">
        <v>139.73</v>
      </c>
      <c r="BL1210" s="2" t="s">
        <v>6378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6379</v>
      </c>
      <c r="BV1210" s="2" t="s">
        <v>228</v>
      </c>
      <c r="BW1210" s="2" t="s">
        <v>228</v>
      </c>
      <c r="BX1210" s="2" t="s">
        <v>273</v>
      </c>
      <c r="BY1210" s="2" t="s">
        <v>274</v>
      </c>
      <c r="BZ1210" s="2" t="s">
        <v>240</v>
      </c>
      <c r="CA1210" s="2" t="s">
        <v>2870</v>
      </c>
      <c r="CB1210" s="2" t="s">
        <v>719</v>
      </c>
      <c r="CC1210" s="2" t="s">
        <v>241</v>
      </c>
      <c r="CD1210" s="2" t="s">
        <v>228</v>
      </c>
      <c r="CE1210" s="4">
        <v>43</v>
      </c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>
        <v>40</v>
      </c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>
        <v>22</v>
      </c>
      <c r="FY1210" s="4"/>
      <c r="FZ1210" s="4"/>
      <c r="GA1210" s="4"/>
      <c r="GB1210" s="4"/>
      <c r="GC1210" s="4"/>
      <c r="GD1210" s="4"/>
      <c r="GE1210" s="4"/>
      <c r="GF1210" s="4"/>
      <c r="GG1210" s="4">
        <v>20</v>
      </c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/>
      <c r="HC1210" s="4"/>
      <c r="HD1210" s="4"/>
      <c r="HE1210" s="4"/>
    </row>
    <row r="1211">
      <c r="A1211" s="2" t="s">
        <v>6380</v>
      </c>
      <c r="B1211" s="2" t="s">
        <v>1150</v>
      </c>
      <c r="C1211" s="2" t="s">
        <v>300</v>
      </c>
      <c r="D1211" s="2" t="s">
        <v>1112</v>
      </c>
      <c r="E1211" s="2" t="s">
        <v>1165</v>
      </c>
      <c r="F1211" s="2" t="s">
        <v>6381</v>
      </c>
      <c r="G1211" s="2" t="s">
        <v>3179</v>
      </c>
      <c r="H1211" s="2" t="s">
        <v>6382</v>
      </c>
      <c r="I1211" s="2" t="s">
        <v>6383</v>
      </c>
      <c r="J1211" s="2" t="s">
        <v>312</v>
      </c>
      <c r="K1211" s="2" t="s">
        <v>6384</v>
      </c>
      <c r="L1211" s="3">
        <v>78.2</v>
      </c>
      <c r="M1211" s="3">
        <v>82.11</v>
      </c>
      <c r="N1211" s="3">
        <v>169.99</v>
      </c>
      <c r="O1211" s="2" t="s">
        <v>240</v>
      </c>
      <c r="P1211" s="2" t="s">
        <v>266</v>
      </c>
      <c r="Q1211" s="2" t="s">
        <v>234</v>
      </c>
      <c r="R1211" s="2" t="s">
        <v>228</v>
      </c>
      <c r="S1211" s="2" t="s">
        <v>6385</v>
      </c>
      <c r="T1211" s="2" t="s">
        <v>228</v>
      </c>
      <c r="U1211" s="2" t="s">
        <v>791</v>
      </c>
      <c r="V1211" s="2" t="s">
        <v>1156</v>
      </c>
      <c r="W1211" s="2" t="s">
        <v>463</v>
      </c>
      <c r="X1211" s="2" t="s">
        <v>1333</v>
      </c>
      <c r="Y1211" s="2" t="s">
        <v>270</v>
      </c>
      <c r="Z1211" s="4">
        <v>104</v>
      </c>
      <c r="AA1211" s="4">
        <f>=ROUNDDOWN(20.8,0)</f>
      </c>
      <c r="AB1211" s="5">
        <v>5</v>
      </c>
      <c r="AC1211" s="2" t="s">
        <v>2114</v>
      </c>
      <c r="AD1211" s="4">
        <v>70</v>
      </c>
      <c r="AE1211" s="4">
        <v>140</v>
      </c>
      <c r="AF1211" s="6">
        <v>65</v>
      </c>
      <c r="AG1211" s="6"/>
      <c r="AH1211" s="7">
        <v>1</v>
      </c>
      <c r="AI1211" s="4"/>
      <c r="AJ1211" s="4">
        <f>=ROUNDDOWN({0},0)</f>
      </c>
      <c r="AK1211" s="5"/>
      <c r="AL1211" s="2" t="s">
        <v>228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/>
      <c r="AW1211" s="8"/>
      <c r="AX1211" s="4"/>
      <c r="AY1211" s="8"/>
      <c r="AZ1211" s="7"/>
      <c r="BA1211" s="7"/>
      <c r="BB1211" s="7"/>
      <c r="BC1211" s="4"/>
      <c r="BD1211" s="8"/>
      <c r="BE1211" s="4"/>
      <c r="BF1211" s="8"/>
      <c r="BG1211" s="7"/>
      <c r="BH1211" s="7"/>
      <c r="BI1211" s="7"/>
      <c r="BJ1211" s="4">
        <v>4</v>
      </c>
      <c r="BK1211" s="8">
        <v>331.78</v>
      </c>
      <c r="BL1211" s="2" t="s">
        <v>681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6386</v>
      </c>
      <c r="BV1211" s="2" t="s">
        <v>228</v>
      </c>
      <c r="BW1211" s="2" t="s">
        <v>228</v>
      </c>
      <c r="BX1211" s="2" t="s">
        <v>273</v>
      </c>
      <c r="BY1211" s="2" t="s">
        <v>274</v>
      </c>
      <c r="BZ1211" s="2" t="s">
        <v>240</v>
      </c>
      <c r="CA1211" s="2" t="s">
        <v>2285</v>
      </c>
      <c r="CB1211" s="2" t="s">
        <v>6387</v>
      </c>
      <c r="CC1211" s="2" t="s">
        <v>241</v>
      </c>
      <c r="CD1211" s="2" t="s">
        <v>228</v>
      </c>
      <c r="CE1211" s="4">
        <v>104</v>
      </c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>
        <v>70</v>
      </c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>
        <v>70</v>
      </c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/>
      <c r="GG1211" s="4"/>
      <c r="GH1211" s="4"/>
      <c r="GI1211" s="4"/>
      <c r="GJ1211" s="4"/>
      <c r="GK1211" s="4"/>
      <c r="GL1211" s="4"/>
      <c r="GM1211" s="4"/>
      <c r="GN1211" s="4"/>
      <c r="GO1211" s="4"/>
      <c r="GP1211" s="4"/>
      <c r="GQ1211" s="4"/>
      <c r="GR1211" s="4"/>
      <c r="GS1211" s="4"/>
      <c r="GT1211" s="4"/>
      <c r="GU1211" s="4"/>
      <c r="GV1211" s="4"/>
      <c r="GW1211" s="4"/>
      <c r="GX1211" s="4"/>
      <c r="GY1211" s="4"/>
      <c r="GZ1211" s="4"/>
      <c r="HA1211" s="4"/>
      <c r="HB1211" s="4"/>
      <c r="HC1211" s="4"/>
      <c r="HD1211" s="4"/>
      <c r="HE1211" s="4"/>
    </row>
    <row r="1212">
      <c r="A1212" s="2" t="s">
        <v>6388</v>
      </c>
      <c r="B1212" s="2" t="s">
        <v>958</v>
      </c>
      <c r="C1212" s="2" t="s">
        <v>835</v>
      </c>
      <c r="D1212" s="2" t="s">
        <v>2144</v>
      </c>
      <c r="E1212" s="2" t="s">
        <v>6389</v>
      </c>
      <c r="F1212" s="2" t="s">
        <v>6390</v>
      </c>
      <c r="G1212" s="2" t="s">
        <v>6390</v>
      </c>
      <c r="H1212" s="2" t="s">
        <v>6390</v>
      </c>
      <c r="I1212" s="2" t="s">
        <v>6391</v>
      </c>
      <c r="J1212" s="2" t="s">
        <v>840</v>
      </c>
      <c r="K1212" s="2" t="s">
        <v>1357</v>
      </c>
      <c r="L1212" s="3">
        <v>189</v>
      </c>
      <c r="M1212" s="3">
        <v>198.45</v>
      </c>
      <c r="N1212" s="3">
        <v>399</v>
      </c>
      <c r="O1212" s="2" t="s">
        <v>240</v>
      </c>
      <c r="P1212" s="2" t="s">
        <v>1012</v>
      </c>
      <c r="Q1212" s="2" t="s">
        <v>234</v>
      </c>
      <c r="R1212" s="2" t="s">
        <v>228</v>
      </c>
      <c r="S1212" s="2" t="s">
        <v>228</v>
      </c>
      <c r="T1212" s="2" t="s">
        <v>228</v>
      </c>
      <c r="U1212" s="2" t="s">
        <v>416</v>
      </c>
      <c r="V1212" s="2" t="s">
        <v>842</v>
      </c>
      <c r="W1212" s="2" t="s">
        <v>417</v>
      </c>
      <c r="X1212" s="2" t="s">
        <v>228</v>
      </c>
      <c r="Y1212" s="2" t="s">
        <v>2196</v>
      </c>
      <c r="Z1212" s="4">
        <v>102</v>
      </c>
      <c r="AA1212" s="4">
        <f>=ROUNDDOWN(34,0)</f>
      </c>
      <c r="AB1212" s="5">
        <v>3</v>
      </c>
      <c r="AC1212" s="2" t="s">
        <v>228</v>
      </c>
      <c r="AD1212" s="4"/>
      <c r="AE1212" s="4"/>
      <c r="AF1212" s="6">
        <v>66</v>
      </c>
      <c r="AG1212" s="6"/>
      <c r="AH1212" s="7">
        <v>1</v>
      </c>
      <c r="AI1212" s="4"/>
      <c r="AJ1212" s="4">
        <f>=ROUNDDOWN({0},0)</f>
      </c>
      <c r="AK1212" s="5"/>
      <c r="AL1212" s="2" t="s">
        <v>228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/>
      <c r="AW1212" s="8"/>
      <c r="AX1212" s="4"/>
      <c r="AY1212" s="8"/>
      <c r="AZ1212" s="7"/>
      <c r="BA1212" s="7"/>
      <c r="BB1212" s="7"/>
      <c r="BC1212" s="4"/>
      <c r="BD1212" s="8"/>
      <c r="BE1212" s="4"/>
      <c r="BF1212" s="8"/>
      <c r="BG1212" s="7"/>
      <c r="BH1212" s="7"/>
      <c r="BI1212" s="7"/>
      <c r="BJ1212" s="4">
        <v>10</v>
      </c>
      <c r="BK1212" s="8">
        <v>2002.65</v>
      </c>
      <c r="BL1212" s="2" t="s">
        <v>6392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6393</v>
      </c>
      <c r="BV1212" s="2" t="s">
        <v>228</v>
      </c>
      <c r="BW1212" s="2" t="s">
        <v>228</v>
      </c>
      <c r="BX1212" s="2" t="s">
        <v>273</v>
      </c>
      <c r="BY1212" s="2" t="s">
        <v>274</v>
      </c>
      <c r="BZ1212" s="2" t="s">
        <v>240</v>
      </c>
      <c r="CA1212" s="2" t="s">
        <v>3013</v>
      </c>
      <c r="CB1212" s="2" t="s">
        <v>6394</v>
      </c>
      <c r="CC1212" s="2" t="s">
        <v>241</v>
      </c>
      <c r="CD1212" s="2" t="s">
        <v>228</v>
      </c>
      <c r="CE1212" s="4"/>
      <c r="CF1212" s="4">
        <v>102</v>
      </c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/>
      <c r="HA1212" s="4"/>
      <c r="HB1212" s="4"/>
      <c r="HC1212" s="4"/>
      <c r="HD1212" s="4"/>
      <c r="HE1212" s="4"/>
    </row>
    <row r="1213">
      <c r="A1213" s="2" t="s">
        <v>6395</v>
      </c>
      <c r="B1213" s="2" t="s">
        <v>258</v>
      </c>
      <c r="C1213" s="2" t="s">
        <v>300</v>
      </c>
      <c r="D1213" s="2" t="s">
        <v>1112</v>
      </c>
      <c r="E1213" s="2" t="s">
        <v>3467</v>
      </c>
      <c r="F1213" s="2" t="s">
        <v>6396</v>
      </c>
      <c r="G1213" s="2" t="s">
        <v>6396</v>
      </c>
      <c r="H1213" s="2" t="s">
        <v>6396</v>
      </c>
      <c r="I1213" s="2" t="s">
        <v>3468</v>
      </c>
      <c r="J1213" s="2" t="s">
        <v>1189</v>
      </c>
      <c r="K1213" s="2" t="s">
        <v>316</v>
      </c>
      <c r="L1213" s="3">
        <v>22.85</v>
      </c>
      <c r="M1213" s="3">
        <v>23.99</v>
      </c>
      <c r="N1213" s="3">
        <v>49.99</v>
      </c>
      <c r="O1213" s="2" t="s">
        <v>240</v>
      </c>
      <c r="P1213" s="2" t="s">
        <v>266</v>
      </c>
      <c r="Q1213" s="2" t="s">
        <v>234</v>
      </c>
      <c r="R1213" s="2" t="s">
        <v>228</v>
      </c>
      <c r="S1213" s="2" t="s">
        <v>6397</v>
      </c>
      <c r="T1213" s="2" t="s">
        <v>415</v>
      </c>
      <c r="U1213" s="2" t="s">
        <v>416</v>
      </c>
      <c r="V1213" s="2" t="s">
        <v>980</v>
      </c>
      <c r="W1213" s="2" t="s">
        <v>269</v>
      </c>
      <c r="X1213" s="2" t="s">
        <v>417</v>
      </c>
      <c r="Y1213" s="2" t="s">
        <v>514</v>
      </c>
      <c r="Z1213" s="4">
        <v>122</v>
      </c>
      <c r="AA1213" s="4">
        <f>=ROUNDDOWN(17.4285714285714,0)</f>
      </c>
      <c r="AB1213" s="5">
        <v>7</v>
      </c>
      <c r="AC1213" s="2" t="s">
        <v>1158</v>
      </c>
      <c r="AD1213" s="4">
        <v>150</v>
      </c>
      <c r="AE1213" s="4">
        <v>150</v>
      </c>
      <c r="AF1213" s="6">
        <v>65</v>
      </c>
      <c r="AG1213" s="6"/>
      <c r="AH1213" s="7">
        <v>1</v>
      </c>
      <c r="AI1213" s="4"/>
      <c r="AJ1213" s="4">
        <f>=ROUNDDOWN({0},0)</f>
      </c>
      <c r="AK1213" s="5"/>
      <c r="AL1213" s="2" t="s">
        <v>228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228</v>
      </c>
      <c r="AW1213" s="8" t="s">
        <v>228</v>
      </c>
      <c r="AX1213" s="4" t="s">
        <v>228</v>
      </c>
      <c r="AY1213" s="8" t="s">
        <v>228</v>
      </c>
      <c r="AZ1213" s="7" t="s">
        <v>228</v>
      </c>
      <c r="BA1213" s="7" t="s">
        <v>228</v>
      </c>
      <c r="BB1213" s="7"/>
      <c r="BC1213" s="4" t="s">
        <v>228</v>
      </c>
      <c r="BD1213" s="8" t="s">
        <v>228</v>
      </c>
      <c r="BE1213" s="4" t="s">
        <v>228</v>
      </c>
      <c r="BF1213" s="8" t="s">
        <v>228</v>
      </c>
      <c r="BG1213" s="7" t="s">
        <v>228</v>
      </c>
      <c r="BH1213" s="7" t="s">
        <v>228</v>
      </c>
      <c r="BI1213" s="7"/>
      <c r="BJ1213" s="4">
        <v>37</v>
      </c>
      <c r="BK1213" s="8">
        <v>938.11</v>
      </c>
      <c r="BL1213" s="2" t="s">
        <v>6398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6399</v>
      </c>
      <c r="BV1213" s="2" t="s">
        <v>228</v>
      </c>
      <c r="BW1213" s="2" t="s">
        <v>228</v>
      </c>
      <c r="BX1213" s="2" t="s">
        <v>273</v>
      </c>
      <c r="BY1213" s="2" t="s">
        <v>274</v>
      </c>
      <c r="BZ1213" s="2" t="s">
        <v>240</v>
      </c>
      <c r="CA1213" s="2" t="s">
        <v>3414</v>
      </c>
      <c r="CB1213" s="2" t="s">
        <v>2923</v>
      </c>
      <c r="CC1213" s="2" t="s">
        <v>241</v>
      </c>
      <c r="CD1213" s="2" t="s">
        <v>228</v>
      </c>
      <c r="CE1213" s="4">
        <v>122</v>
      </c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>
        <v>150</v>
      </c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/>
      <c r="HA1213" s="4"/>
      <c r="HB1213" s="4"/>
      <c r="HC1213" s="4"/>
      <c r="HD1213" s="4"/>
      <c r="HE1213" s="4"/>
    </row>
    <row r="1214">
      <c r="A1214" s="2" t="s">
        <v>6400</v>
      </c>
      <c r="B1214" s="2" t="s">
        <v>258</v>
      </c>
      <c r="C1214" s="2" t="s">
        <v>300</v>
      </c>
      <c r="D1214" s="2" t="s">
        <v>1112</v>
      </c>
      <c r="E1214" s="2" t="s">
        <v>3467</v>
      </c>
      <c r="F1214" s="2" t="s">
        <v>6396</v>
      </c>
      <c r="G1214" s="2" t="s">
        <v>6396</v>
      </c>
      <c r="H1214" s="2" t="s">
        <v>6396</v>
      </c>
      <c r="I1214" s="2" t="s">
        <v>3468</v>
      </c>
      <c r="J1214" s="2" t="s">
        <v>1043</v>
      </c>
      <c r="K1214" s="2" t="s">
        <v>316</v>
      </c>
      <c r="L1214" s="3">
        <v>25.14</v>
      </c>
      <c r="M1214" s="3">
        <v>26.4</v>
      </c>
      <c r="N1214" s="3">
        <v>54.99</v>
      </c>
      <c r="O1214" s="2" t="s">
        <v>240</v>
      </c>
      <c r="P1214" s="2" t="s">
        <v>266</v>
      </c>
      <c r="Q1214" s="2" t="s">
        <v>234</v>
      </c>
      <c r="R1214" s="2" t="s">
        <v>228</v>
      </c>
      <c r="S1214" s="2" t="s">
        <v>6397</v>
      </c>
      <c r="T1214" s="2" t="s">
        <v>415</v>
      </c>
      <c r="U1214" s="2" t="s">
        <v>416</v>
      </c>
      <c r="V1214" s="2" t="s">
        <v>980</v>
      </c>
      <c r="W1214" s="2" t="s">
        <v>269</v>
      </c>
      <c r="X1214" s="2" t="s">
        <v>417</v>
      </c>
      <c r="Y1214" s="2" t="s">
        <v>1757</v>
      </c>
      <c r="Z1214" s="4">
        <v>217</v>
      </c>
      <c r="AA1214" s="4">
        <f>=ROUNDDOWN(27.125,0)</f>
      </c>
      <c r="AB1214" s="5">
        <v>8</v>
      </c>
      <c r="AC1214" s="2" t="s">
        <v>1158</v>
      </c>
      <c r="AD1214" s="4">
        <v>150</v>
      </c>
      <c r="AE1214" s="4">
        <v>150</v>
      </c>
      <c r="AF1214" s="6">
        <v>65</v>
      </c>
      <c r="AG1214" s="6"/>
      <c r="AH1214" s="7">
        <v>1</v>
      </c>
      <c r="AI1214" s="4"/>
      <c r="AJ1214" s="4">
        <f>=ROUNDDOWN({0},0)</f>
      </c>
      <c r="AK1214" s="5"/>
      <c r="AL1214" s="2" t="s">
        <v>228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228</v>
      </c>
      <c r="AW1214" s="8" t="s">
        <v>228</v>
      </c>
      <c r="AX1214" s="4" t="s">
        <v>228</v>
      </c>
      <c r="AY1214" s="8" t="s">
        <v>228</v>
      </c>
      <c r="AZ1214" s="7" t="s">
        <v>228</v>
      </c>
      <c r="BA1214" s="7" t="s">
        <v>228</v>
      </c>
      <c r="BB1214" s="7"/>
      <c r="BC1214" s="4" t="s">
        <v>228</v>
      </c>
      <c r="BD1214" s="8" t="s">
        <v>228</v>
      </c>
      <c r="BE1214" s="4" t="s">
        <v>228</v>
      </c>
      <c r="BF1214" s="8" t="s">
        <v>228</v>
      </c>
      <c r="BG1214" s="7" t="s">
        <v>228</v>
      </c>
      <c r="BH1214" s="7" t="s">
        <v>228</v>
      </c>
      <c r="BI1214" s="7"/>
      <c r="BJ1214" s="4"/>
      <c r="BK1214" s="8"/>
      <c r="BL1214" s="2" t="s">
        <v>228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6401</v>
      </c>
      <c r="BV1214" s="2" t="s">
        <v>228</v>
      </c>
      <c r="BW1214" s="2" t="s">
        <v>228</v>
      </c>
      <c r="BX1214" s="2" t="s">
        <v>238</v>
      </c>
      <c r="BY1214" s="2" t="s">
        <v>274</v>
      </c>
      <c r="BZ1214" s="2" t="s">
        <v>240</v>
      </c>
      <c r="CA1214" s="2" t="s">
        <v>3414</v>
      </c>
      <c r="CB1214" s="2" t="s">
        <v>4962</v>
      </c>
      <c r="CC1214" s="2" t="s">
        <v>241</v>
      </c>
      <c r="CD1214" s="2" t="s">
        <v>228</v>
      </c>
      <c r="CE1214" s="4">
        <v>217</v>
      </c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>
        <v>150</v>
      </c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  <c r="GH1214" s="4"/>
      <c r="GI1214" s="4"/>
      <c r="GJ1214" s="4"/>
      <c r="GK1214" s="4"/>
      <c r="GL1214" s="4"/>
      <c r="GM1214" s="4"/>
      <c r="GN1214" s="4"/>
      <c r="GO1214" s="4"/>
      <c r="GP1214" s="4"/>
      <c r="GQ1214" s="4"/>
      <c r="GR1214" s="4"/>
      <c r="GS1214" s="4"/>
      <c r="GT1214" s="4"/>
      <c r="GU1214" s="4"/>
      <c r="GV1214" s="4"/>
      <c r="GW1214" s="4"/>
      <c r="GX1214" s="4"/>
      <c r="GY1214" s="4"/>
      <c r="GZ1214" s="4"/>
      <c r="HA1214" s="4"/>
      <c r="HB1214" s="4"/>
      <c r="HC1214" s="4"/>
      <c r="HD1214" s="4"/>
      <c r="HE1214" s="4"/>
    </row>
    <row r="1215">
      <c r="A1215" s="2" t="s">
        <v>6402</v>
      </c>
      <c r="B1215" s="2" t="s">
        <v>848</v>
      </c>
      <c r="C1215" s="2" t="s">
        <v>1111</v>
      </c>
      <c r="D1215" s="2" t="s">
        <v>1316</v>
      </c>
      <c r="E1215" s="2" t="s">
        <v>1317</v>
      </c>
      <c r="F1215" s="2" t="s">
        <v>6403</v>
      </c>
      <c r="G1215" s="2" t="s">
        <v>228</v>
      </c>
      <c r="H1215" s="2" t="s">
        <v>228</v>
      </c>
      <c r="I1215" s="2" t="s">
        <v>6404</v>
      </c>
      <c r="J1215" s="2" t="s">
        <v>264</v>
      </c>
      <c r="K1215" s="2" t="s">
        <v>2780</v>
      </c>
      <c r="L1215" s="3">
        <v>21.64</v>
      </c>
      <c r="M1215" s="3">
        <v>22.72</v>
      </c>
      <c r="N1215" s="3">
        <v>39.99</v>
      </c>
      <c r="O1215" s="2" t="s">
        <v>240</v>
      </c>
      <c r="P1215" s="2" t="s">
        <v>1116</v>
      </c>
      <c r="Q1215" s="2" t="s">
        <v>234</v>
      </c>
      <c r="R1215" s="2" t="s">
        <v>727</v>
      </c>
      <c r="S1215" s="2" t="s">
        <v>228</v>
      </c>
      <c r="T1215" s="2" t="s">
        <v>228</v>
      </c>
      <c r="U1215" s="2" t="s">
        <v>520</v>
      </c>
      <c r="V1215" s="2" t="s">
        <v>842</v>
      </c>
      <c r="W1215" s="2" t="s">
        <v>228</v>
      </c>
      <c r="X1215" s="2" t="s">
        <v>228</v>
      </c>
      <c r="Y1215" s="2" t="s">
        <v>1502</v>
      </c>
      <c r="Z1215" s="4">
        <v>28</v>
      </c>
      <c r="AA1215" s="4">
        <f>=ROUNDDOWN(70,0)</f>
      </c>
      <c r="AB1215" s="5">
        <v>0.4</v>
      </c>
      <c r="AC1215" s="2" t="s">
        <v>228</v>
      </c>
      <c r="AD1215" s="4"/>
      <c r="AE1215" s="4"/>
      <c r="AF1215" s="6">
        <v>64</v>
      </c>
      <c r="AG1215" s="6"/>
      <c r="AH1215" s="7">
        <v>1</v>
      </c>
      <c r="AI1215" s="4"/>
      <c r="AJ1215" s="4">
        <f>=ROUNDDOWN({0},0)</f>
      </c>
      <c r="AK1215" s="5"/>
      <c r="AL1215" s="2" t="s">
        <v>228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228</v>
      </c>
      <c r="AW1215" s="8" t="s">
        <v>228</v>
      </c>
      <c r="AX1215" s="4" t="s">
        <v>228</v>
      </c>
      <c r="AY1215" s="8" t="s">
        <v>228</v>
      </c>
      <c r="AZ1215" s="7" t="s">
        <v>228</v>
      </c>
      <c r="BA1215" s="7" t="s">
        <v>228</v>
      </c>
      <c r="BB1215" s="7"/>
      <c r="BC1215" s="4" t="s">
        <v>228</v>
      </c>
      <c r="BD1215" s="8" t="s">
        <v>228</v>
      </c>
      <c r="BE1215" s="4" t="s">
        <v>228</v>
      </c>
      <c r="BF1215" s="8" t="s">
        <v>228</v>
      </c>
      <c r="BG1215" s="7" t="s">
        <v>228</v>
      </c>
      <c r="BH1215" s="7" t="s">
        <v>228</v>
      </c>
      <c r="BI1215" s="7"/>
      <c r="BJ1215" s="4">
        <v>1</v>
      </c>
      <c r="BK1215" s="8">
        <v>23.59</v>
      </c>
      <c r="BL1215" s="2" t="s">
        <v>1222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6405</v>
      </c>
      <c r="BV1215" s="2" t="s">
        <v>228</v>
      </c>
      <c r="BW1215" s="2" t="s">
        <v>228</v>
      </c>
      <c r="BX1215" s="2" t="s">
        <v>337</v>
      </c>
      <c r="BY1215" s="2" t="s">
        <v>274</v>
      </c>
      <c r="BZ1215" s="2" t="s">
        <v>240</v>
      </c>
      <c r="CA1215" s="2" t="s">
        <v>1554</v>
      </c>
      <c r="CB1215" s="2" t="s">
        <v>228</v>
      </c>
      <c r="CC1215" s="2" t="s">
        <v>241</v>
      </c>
      <c r="CD1215" s="2" t="s">
        <v>228</v>
      </c>
      <c r="CE1215" s="4">
        <v>28</v>
      </c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/>
      <c r="HA1215" s="4"/>
      <c r="HB1215" s="4"/>
      <c r="HC1215" s="4"/>
      <c r="HD1215" s="4"/>
      <c r="HE1215" s="4"/>
    </row>
    <row r="1216">
      <c r="A1216" s="2" t="s">
        <v>6406</v>
      </c>
      <c r="B1216" s="2" t="s">
        <v>848</v>
      </c>
      <c r="C1216" s="2" t="s">
        <v>1111</v>
      </c>
      <c r="D1216" s="2" t="s">
        <v>1316</v>
      </c>
      <c r="E1216" s="2" t="s">
        <v>1317</v>
      </c>
      <c r="F1216" s="2" t="s">
        <v>6403</v>
      </c>
      <c r="G1216" s="2" t="s">
        <v>228</v>
      </c>
      <c r="H1216" s="2" t="s">
        <v>228</v>
      </c>
      <c r="I1216" s="2" t="s">
        <v>6404</v>
      </c>
      <c r="J1216" s="2" t="s">
        <v>289</v>
      </c>
      <c r="K1216" s="2" t="s">
        <v>2780</v>
      </c>
      <c r="L1216" s="3">
        <v>25.87</v>
      </c>
      <c r="M1216" s="3">
        <v>27.16</v>
      </c>
      <c r="N1216" s="3">
        <v>44.99</v>
      </c>
      <c r="O1216" s="2" t="s">
        <v>461</v>
      </c>
      <c r="P1216" s="2" t="s">
        <v>1116</v>
      </c>
      <c r="Q1216" s="2" t="s">
        <v>234</v>
      </c>
      <c r="R1216" s="2" t="s">
        <v>727</v>
      </c>
      <c r="S1216" s="2" t="s">
        <v>228</v>
      </c>
      <c r="T1216" s="2" t="s">
        <v>228</v>
      </c>
      <c r="U1216" s="2" t="s">
        <v>500</v>
      </c>
      <c r="V1216" s="2" t="s">
        <v>842</v>
      </c>
      <c r="W1216" s="2" t="s">
        <v>228</v>
      </c>
      <c r="X1216" s="2" t="s">
        <v>228</v>
      </c>
      <c r="Y1216" s="2" t="s">
        <v>1502</v>
      </c>
      <c r="Z1216" s="4">
        <v>215</v>
      </c>
      <c r="AA1216" s="4">
        <f>=ROUNDDOWN(215,0)</f>
      </c>
      <c r="AB1216" s="5">
        <v>1</v>
      </c>
      <c r="AC1216" s="2" t="s">
        <v>228</v>
      </c>
      <c r="AD1216" s="4"/>
      <c r="AE1216" s="4"/>
      <c r="AF1216" s="6">
        <v>64</v>
      </c>
      <c r="AG1216" s="6"/>
      <c r="AH1216" s="7">
        <v>1</v>
      </c>
      <c r="AI1216" s="4"/>
      <c r="AJ1216" s="4">
        <f>=ROUNDDOWN({0},0)</f>
      </c>
      <c r="AK1216" s="5"/>
      <c r="AL1216" s="2" t="s">
        <v>228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228</v>
      </c>
      <c r="AW1216" s="8" t="s">
        <v>228</v>
      </c>
      <c r="AX1216" s="4" t="s">
        <v>228</v>
      </c>
      <c r="AY1216" s="8" t="s">
        <v>228</v>
      </c>
      <c r="AZ1216" s="7" t="s">
        <v>228</v>
      </c>
      <c r="BA1216" s="7" t="s">
        <v>228</v>
      </c>
      <c r="BB1216" s="7"/>
      <c r="BC1216" s="4" t="s">
        <v>228</v>
      </c>
      <c r="BD1216" s="8" t="s">
        <v>228</v>
      </c>
      <c r="BE1216" s="4" t="s">
        <v>228</v>
      </c>
      <c r="BF1216" s="8" t="s">
        <v>228</v>
      </c>
      <c r="BG1216" s="7" t="s">
        <v>228</v>
      </c>
      <c r="BH1216" s="7" t="s">
        <v>228</v>
      </c>
      <c r="BI1216" s="7"/>
      <c r="BJ1216" s="4">
        <v>6</v>
      </c>
      <c r="BK1216" s="8">
        <v>169.2</v>
      </c>
      <c r="BL1216" s="2" t="s">
        <v>727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6407</v>
      </c>
      <c r="BV1216" s="2" t="s">
        <v>228</v>
      </c>
      <c r="BW1216" s="2" t="s">
        <v>228</v>
      </c>
      <c r="BX1216" s="2" t="s">
        <v>273</v>
      </c>
      <c r="BY1216" s="2" t="s">
        <v>274</v>
      </c>
      <c r="BZ1216" s="2" t="s">
        <v>240</v>
      </c>
      <c r="CA1216" s="2" t="s">
        <v>1554</v>
      </c>
      <c r="CB1216" s="2" t="s">
        <v>228</v>
      </c>
      <c r="CC1216" s="2" t="s">
        <v>241</v>
      </c>
      <c r="CD1216" s="2" t="s">
        <v>228</v>
      </c>
      <c r="CE1216" s="4"/>
      <c r="CF1216" s="4"/>
      <c r="CG1216" s="4"/>
      <c r="CH1216" s="4">
        <v>215</v>
      </c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  <c r="GH1216" s="4"/>
      <c r="GI1216" s="4"/>
      <c r="GJ1216" s="4"/>
      <c r="GK1216" s="4"/>
      <c r="GL1216" s="4"/>
      <c r="GM1216" s="4"/>
      <c r="GN1216" s="4"/>
      <c r="GO1216" s="4"/>
      <c r="GP1216" s="4"/>
      <c r="GQ1216" s="4"/>
      <c r="GR1216" s="4"/>
      <c r="GS1216" s="4"/>
      <c r="GT1216" s="4"/>
      <c r="GU1216" s="4"/>
      <c r="GV1216" s="4"/>
      <c r="GW1216" s="4"/>
      <c r="GX1216" s="4"/>
      <c r="GY1216" s="4"/>
      <c r="GZ1216" s="4"/>
      <c r="HA1216" s="4"/>
      <c r="HB1216" s="4"/>
      <c r="HC1216" s="4"/>
      <c r="HD1216" s="4"/>
      <c r="HE1216" s="4"/>
    </row>
    <row r="1217">
      <c r="A1217" s="2" t="s">
        <v>6408</v>
      </c>
      <c r="B1217" s="2" t="s">
        <v>1150</v>
      </c>
      <c r="C1217" s="2" t="s">
        <v>1261</v>
      </c>
      <c r="D1217" s="2" t="s">
        <v>1316</v>
      </c>
      <c r="E1217" s="2" t="s">
        <v>2830</v>
      </c>
      <c r="F1217" s="2" t="s">
        <v>6409</v>
      </c>
      <c r="G1217" s="2" t="s">
        <v>6409</v>
      </c>
      <c r="H1217" s="2" t="s">
        <v>6409</v>
      </c>
      <c r="I1217" s="2" t="s">
        <v>6410</v>
      </c>
      <c r="J1217" s="2" t="s">
        <v>1189</v>
      </c>
      <c r="K1217" s="2" t="s">
        <v>460</v>
      </c>
      <c r="L1217" s="3">
        <v>52.38</v>
      </c>
      <c r="M1217" s="3">
        <v>55</v>
      </c>
      <c r="N1217" s="3">
        <v>109.99</v>
      </c>
      <c r="O1217" s="2" t="s">
        <v>491</v>
      </c>
      <c r="P1217" s="2" t="s">
        <v>333</v>
      </c>
      <c r="Q1217" s="2" t="s">
        <v>234</v>
      </c>
      <c r="R1217" s="2" t="s">
        <v>228</v>
      </c>
      <c r="S1217" s="2" t="s">
        <v>6411</v>
      </c>
      <c r="T1217" s="2" t="s">
        <v>350</v>
      </c>
      <c r="U1217" s="2" t="s">
        <v>500</v>
      </c>
      <c r="V1217" s="2" t="s">
        <v>980</v>
      </c>
      <c r="W1217" s="2" t="s">
        <v>1267</v>
      </c>
      <c r="X1217" s="2" t="s">
        <v>1268</v>
      </c>
      <c r="Y1217" s="2" t="s">
        <v>1690</v>
      </c>
      <c r="Z1217" s="4">
        <v>141</v>
      </c>
      <c r="AA1217" s="4">
        <f>=ROUNDDOWN(88.125,0)</f>
      </c>
      <c r="AB1217" s="5">
        <v>1.6</v>
      </c>
      <c r="AC1217" s="2" t="s">
        <v>228</v>
      </c>
      <c r="AD1217" s="4"/>
      <c r="AE1217" s="4"/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228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/>
      <c r="AW1217" s="8"/>
      <c r="AX1217" s="4"/>
      <c r="AY1217" s="8"/>
      <c r="AZ1217" s="7"/>
      <c r="BA1217" s="7"/>
      <c r="BB1217" s="7"/>
      <c r="BC1217" s="4"/>
      <c r="BD1217" s="8"/>
      <c r="BE1217" s="4"/>
      <c r="BF1217" s="8"/>
      <c r="BG1217" s="7"/>
      <c r="BH1217" s="7"/>
      <c r="BI1217" s="7"/>
      <c r="BJ1217" s="4">
        <v>8</v>
      </c>
      <c r="BK1217" s="8">
        <v>261.56</v>
      </c>
      <c r="BL1217" s="2" t="s">
        <v>6412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6413</v>
      </c>
      <c r="BV1217" s="2" t="s">
        <v>228</v>
      </c>
      <c r="BW1217" s="2" t="s">
        <v>228</v>
      </c>
      <c r="BX1217" s="2" t="s">
        <v>337</v>
      </c>
      <c r="BY1217" s="2" t="s">
        <v>274</v>
      </c>
      <c r="BZ1217" s="2" t="s">
        <v>240</v>
      </c>
      <c r="CA1217" s="2" t="s">
        <v>6414</v>
      </c>
      <c r="CB1217" s="2" t="s">
        <v>6415</v>
      </c>
      <c r="CC1217" s="2" t="s">
        <v>241</v>
      </c>
      <c r="CD1217" s="2" t="s">
        <v>228</v>
      </c>
      <c r="CE1217" s="4">
        <v>141</v>
      </c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4"/>
      <c r="GZ1217" s="4"/>
      <c r="HA1217" s="4"/>
      <c r="HB1217" s="4"/>
      <c r="HC1217" s="4"/>
      <c r="HD1217" s="4"/>
      <c r="HE1217" s="4"/>
    </row>
    <row r="1218">
      <c r="A1218" s="2" t="s">
        <v>6416</v>
      </c>
      <c r="B1218" s="2" t="s">
        <v>223</v>
      </c>
      <c r="C1218" s="2" t="s">
        <v>1261</v>
      </c>
      <c r="D1218" s="2" t="s">
        <v>1112</v>
      </c>
      <c r="E1218" s="2" t="s">
        <v>1165</v>
      </c>
      <c r="F1218" s="2" t="s">
        <v>6417</v>
      </c>
      <c r="G1218" s="2" t="s">
        <v>6417</v>
      </c>
      <c r="H1218" s="2" t="s">
        <v>6417</v>
      </c>
      <c r="I1218" s="2" t="s">
        <v>4635</v>
      </c>
      <c r="J1218" s="2" t="s">
        <v>264</v>
      </c>
      <c r="K1218" s="2" t="s">
        <v>6418</v>
      </c>
      <c r="L1218" s="3">
        <v>28.57</v>
      </c>
      <c r="M1218" s="3">
        <v>30</v>
      </c>
      <c r="N1218" s="3">
        <v>59.99</v>
      </c>
      <c r="O1218" s="2" t="s">
        <v>461</v>
      </c>
      <c r="P1218" s="2" t="s">
        <v>333</v>
      </c>
      <c r="Q1218" s="2" t="s">
        <v>234</v>
      </c>
      <c r="R1218" s="2" t="s">
        <v>228</v>
      </c>
      <c r="S1218" s="2" t="s">
        <v>6419</v>
      </c>
      <c r="T1218" s="2" t="s">
        <v>5213</v>
      </c>
      <c r="U1218" s="2" t="s">
        <v>500</v>
      </c>
      <c r="V1218" s="2" t="s">
        <v>1438</v>
      </c>
      <c r="W1218" s="2" t="s">
        <v>1268</v>
      </c>
      <c r="X1218" s="2" t="s">
        <v>743</v>
      </c>
      <c r="Y1218" s="2" t="s">
        <v>6420</v>
      </c>
      <c r="Z1218" s="4">
        <v>85</v>
      </c>
      <c r="AA1218" s="4">
        <f>=ROUNDDOWN(106.25,0)</f>
      </c>
      <c r="AB1218" s="5">
        <v>0.8</v>
      </c>
      <c r="AC1218" s="2" t="s">
        <v>228</v>
      </c>
      <c r="AD1218" s="4"/>
      <c r="AE1218" s="4"/>
      <c r="AF1218" s="6">
        <v>66</v>
      </c>
      <c r="AG1218" s="6"/>
      <c r="AH1218" s="7">
        <v>1</v>
      </c>
      <c r="AI1218" s="4"/>
      <c r="AJ1218" s="4">
        <f>=ROUNDDOWN({0},0)</f>
      </c>
      <c r="AK1218" s="5"/>
      <c r="AL1218" s="2" t="s">
        <v>228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/>
      <c r="AW1218" s="8"/>
      <c r="AX1218" s="4"/>
      <c r="AY1218" s="8"/>
      <c r="AZ1218" s="7"/>
      <c r="BA1218" s="7"/>
      <c r="BB1218" s="7"/>
      <c r="BC1218" s="4"/>
      <c r="BD1218" s="8"/>
      <c r="BE1218" s="4"/>
      <c r="BF1218" s="8"/>
      <c r="BG1218" s="7"/>
      <c r="BH1218" s="7"/>
      <c r="BI1218" s="7"/>
      <c r="BJ1218" s="4">
        <v>2</v>
      </c>
      <c r="BK1218" s="8">
        <v>55.4</v>
      </c>
      <c r="BL1218" s="2" t="s">
        <v>6421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6422</v>
      </c>
      <c r="BV1218" s="2" t="s">
        <v>228</v>
      </c>
      <c r="BW1218" s="2" t="s">
        <v>228</v>
      </c>
      <c r="BX1218" s="2" t="s">
        <v>337</v>
      </c>
      <c r="BY1218" s="2" t="s">
        <v>274</v>
      </c>
      <c r="BZ1218" s="2" t="s">
        <v>240</v>
      </c>
      <c r="CA1218" s="2" t="s">
        <v>3499</v>
      </c>
      <c r="CB1218" s="2" t="s">
        <v>6423</v>
      </c>
      <c r="CC1218" s="2" t="s">
        <v>241</v>
      </c>
      <c r="CD1218" s="2" t="s">
        <v>228</v>
      </c>
      <c r="CE1218" s="4">
        <v>85</v>
      </c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  <c r="GH1218" s="4"/>
      <c r="GI1218" s="4"/>
      <c r="GJ1218" s="4"/>
      <c r="GK1218" s="4"/>
      <c r="GL1218" s="4"/>
      <c r="GM1218" s="4"/>
      <c r="GN1218" s="4"/>
      <c r="GO1218" s="4"/>
      <c r="GP1218" s="4"/>
      <c r="GQ1218" s="4"/>
      <c r="GR1218" s="4"/>
      <c r="GS1218" s="4"/>
      <c r="GT1218" s="4"/>
      <c r="GU1218" s="4"/>
      <c r="GV1218" s="4"/>
      <c r="GW1218" s="4"/>
      <c r="GX1218" s="4"/>
      <c r="GY1218" s="4"/>
      <c r="GZ1218" s="4"/>
      <c r="HA1218" s="4"/>
      <c r="HB1218" s="4"/>
      <c r="HC1218" s="4"/>
      <c r="HD1218" s="4"/>
      <c r="HE1218" s="4"/>
    </row>
    <row r="1219">
      <c r="A1219" s="2" t="s">
        <v>6424</v>
      </c>
      <c r="B1219" s="2" t="s">
        <v>866</v>
      </c>
      <c r="C1219" s="2" t="s">
        <v>1037</v>
      </c>
      <c r="D1219" s="2" t="s">
        <v>867</v>
      </c>
      <c r="E1219" s="2" t="s">
        <v>877</v>
      </c>
      <c r="F1219" s="2" t="s">
        <v>6425</v>
      </c>
      <c r="G1219" s="2" t="s">
        <v>6425</v>
      </c>
      <c r="H1219" s="2" t="s">
        <v>6425</v>
      </c>
      <c r="I1219" s="2" t="s">
        <v>6426</v>
      </c>
      <c r="J1219" s="2" t="s">
        <v>840</v>
      </c>
      <c r="K1219" s="2" t="s">
        <v>6094</v>
      </c>
      <c r="L1219" s="3">
        <v>27.2</v>
      </c>
      <c r="M1219" s="3">
        <v>28.56</v>
      </c>
      <c r="N1219" s="3">
        <v>59.49</v>
      </c>
      <c r="O1219" s="2" t="s">
        <v>240</v>
      </c>
      <c r="P1219" s="2" t="s">
        <v>333</v>
      </c>
      <c r="Q1219" s="2" t="s">
        <v>234</v>
      </c>
      <c r="R1219" s="2" t="s">
        <v>228</v>
      </c>
      <c r="S1219" s="2" t="s">
        <v>228</v>
      </c>
      <c r="T1219" s="2" t="s">
        <v>228</v>
      </c>
      <c r="U1219" s="2" t="s">
        <v>520</v>
      </c>
      <c r="V1219" s="2" t="s">
        <v>842</v>
      </c>
      <c r="W1219" s="2" t="s">
        <v>269</v>
      </c>
      <c r="X1219" s="2" t="s">
        <v>228</v>
      </c>
      <c r="Y1219" s="2" t="s">
        <v>6427</v>
      </c>
      <c r="Z1219" s="4">
        <v>36</v>
      </c>
      <c r="AA1219" s="4">
        <f>=ROUNDDOWN(12,0)</f>
      </c>
      <c r="AB1219" s="5">
        <v>3</v>
      </c>
      <c r="AC1219" s="2" t="s">
        <v>228</v>
      </c>
      <c r="AD1219" s="4"/>
      <c r="AE1219" s="4"/>
      <c r="AF1219" s="6">
        <v>63</v>
      </c>
      <c r="AG1219" s="6"/>
      <c r="AH1219" s="7">
        <v>1</v>
      </c>
      <c r="AI1219" s="4"/>
      <c r="AJ1219" s="4">
        <f>=ROUNDDOWN({0},0)</f>
      </c>
      <c r="AK1219" s="5"/>
      <c r="AL1219" s="2" t="s">
        <v>228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/>
      <c r="AW1219" s="8"/>
      <c r="AX1219" s="4"/>
      <c r="AY1219" s="8"/>
      <c r="AZ1219" s="7"/>
      <c r="BA1219" s="7"/>
      <c r="BB1219" s="7"/>
      <c r="BC1219" s="4"/>
      <c r="BD1219" s="8"/>
      <c r="BE1219" s="4"/>
      <c r="BF1219" s="8"/>
      <c r="BG1219" s="7"/>
      <c r="BH1219" s="7"/>
      <c r="BI1219" s="7"/>
      <c r="BJ1219" s="4">
        <v>6</v>
      </c>
      <c r="BK1219" s="8">
        <v>181.59</v>
      </c>
      <c r="BL1219" s="2" t="s">
        <v>6428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6429</v>
      </c>
      <c r="BV1219" s="2" t="s">
        <v>228</v>
      </c>
      <c r="BW1219" s="2" t="s">
        <v>228</v>
      </c>
      <c r="BX1219" s="2" t="s">
        <v>337</v>
      </c>
      <c r="BY1219" s="2" t="s">
        <v>274</v>
      </c>
      <c r="BZ1219" s="2" t="s">
        <v>240</v>
      </c>
      <c r="CA1219" s="2" t="s">
        <v>6430</v>
      </c>
      <c r="CB1219" s="2" t="s">
        <v>228</v>
      </c>
      <c r="CC1219" s="2" t="s">
        <v>241</v>
      </c>
      <c r="CD1219" s="2" t="s">
        <v>228</v>
      </c>
      <c r="CE1219" s="4"/>
      <c r="CF1219" s="4">
        <v>36</v>
      </c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4"/>
      <c r="GZ1219" s="4"/>
      <c r="HA1219" s="4"/>
      <c r="HB1219" s="4"/>
      <c r="HC1219" s="4"/>
      <c r="HD1219" s="4"/>
      <c r="HE1219" s="4"/>
    </row>
    <row r="1220">
      <c r="A1220" s="2" t="s">
        <v>6431</v>
      </c>
      <c r="B1220" s="2" t="s">
        <v>958</v>
      </c>
      <c r="C1220" s="2" t="s">
        <v>300</v>
      </c>
      <c r="D1220" s="2" t="s">
        <v>959</v>
      </c>
      <c r="E1220" s="2" t="s">
        <v>3094</v>
      </c>
      <c r="F1220" s="2" t="s">
        <v>6432</v>
      </c>
      <c r="G1220" s="2" t="s">
        <v>3620</v>
      </c>
      <c r="H1220" s="2" t="s">
        <v>4559</v>
      </c>
      <c r="I1220" s="2" t="s">
        <v>6433</v>
      </c>
      <c r="J1220" s="2" t="s">
        <v>840</v>
      </c>
      <c r="K1220" s="2" t="s">
        <v>265</v>
      </c>
      <c r="L1220" s="3">
        <v>205</v>
      </c>
      <c r="M1220" s="3">
        <v>215.25</v>
      </c>
      <c r="N1220" s="3">
        <v>429</v>
      </c>
      <c r="O1220" s="2" t="s">
        <v>461</v>
      </c>
      <c r="P1220" s="2" t="s">
        <v>333</v>
      </c>
      <c r="Q1220" s="2" t="s">
        <v>234</v>
      </c>
      <c r="R1220" s="2" t="s">
        <v>228</v>
      </c>
      <c r="S1220" s="2" t="s">
        <v>228</v>
      </c>
      <c r="T1220" s="2" t="s">
        <v>228</v>
      </c>
      <c r="U1220" s="2" t="s">
        <v>416</v>
      </c>
      <c r="V1220" s="2" t="s">
        <v>842</v>
      </c>
      <c r="W1220" s="2" t="s">
        <v>417</v>
      </c>
      <c r="X1220" s="2" t="s">
        <v>843</v>
      </c>
      <c r="Y1220" s="2" t="s">
        <v>6434</v>
      </c>
      <c r="Z1220" s="4">
        <v>190</v>
      </c>
      <c r="AA1220" s="4">
        <f>=ROUNDDOWN(190,0)</f>
      </c>
      <c r="AB1220" s="5">
        <v>1</v>
      </c>
      <c r="AC1220" s="2" t="s">
        <v>228</v>
      </c>
      <c r="AD1220" s="4"/>
      <c r="AE1220" s="4"/>
      <c r="AF1220" s="6">
        <v>66</v>
      </c>
      <c r="AG1220" s="6"/>
      <c r="AH1220" s="7">
        <v>1</v>
      </c>
      <c r="AI1220" s="4"/>
      <c r="AJ1220" s="4">
        <f>=ROUNDDOWN({0},0)</f>
      </c>
      <c r="AK1220" s="5"/>
      <c r="AL1220" s="2" t="s">
        <v>228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/>
      <c r="AW1220" s="8"/>
      <c r="AX1220" s="4"/>
      <c r="AY1220" s="8"/>
      <c r="AZ1220" s="7"/>
      <c r="BA1220" s="7"/>
      <c r="BB1220" s="7"/>
      <c r="BC1220" s="4"/>
      <c r="BD1220" s="8"/>
      <c r="BE1220" s="4"/>
      <c r="BF1220" s="8"/>
      <c r="BG1220" s="7"/>
      <c r="BH1220" s="7"/>
      <c r="BI1220" s="7"/>
      <c r="BJ1220" s="4">
        <v>2</v>
      </c>
      <c r="BK1220" s="8">
        <v>473.54</v>
      </c>
      <c r="BL1220" s="2" t="s">
        <v>6435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6436</v>
      </c>
      <c r="BV1220" s="2" t="s">
        <v>228</v>
      </c>
      <c r="BW1220" s="2" t="s">
        <v>228</v>
      </c>
      <c r="BX1220" s="2" t="s">
        <v>337</v>
      </c>
      <c r="BY1220" s="2" t="s">
        <v>274</v>
      </c>
      <c r="BZ1220" s="2" t="s">
        <v>240</v>
      </c>
      <c r="CA1220" s="2" t="s">
        <v>6437</v>
      </c>
      <c r="CB1220" s="2" t="s">
        <v>6438</v>
      </c>
      <c r="CC1220" s="2" t="s">
        <v>241</v>
      </c>
      <c r="CD1220" s="2" t="s">
        <v>228</v>
      </c>
      <c r="CE1220" s="4"/>
      <c r="CF1220" s="4">
        <v>190</v>
      </c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  <c r="GI1220" s="4"/>
      <c r="GJ1220" s="4"/>
      <c r="GK1220" s="4"/>
      <c r="GL1220" s="4"/>
      <c r="GM1220" s="4"/>
      <c r="GN1220" s="4"/>
      <c r="GO1220" s="4"/>
      <c r="GP1220" s="4"/>
      <c r="GQ1220" s="4"/>
      <c r="GR1220" s="4"/>
      <c r="GS1220" s="4"/>
      <c r="GT1220" s="4"/>
      <c r="GU1220" s="4"/>
      <c r="GV1220" s="4"/>
      <c r="GW1220" s="4"/>
      <c r="GX1220" s="4"/>
      <c r="GY1220" s="4"/>
      <c r="GZ1220" s="4"/>
      <c r="HA1220" s="4"/>
      <c r="HB1220" s="4"/>
      <c r="HC1220" s="4"/>
      <c r="HD1220" s="4"/>
      <c r="HE1220" s="4"/>
    </row>
    <row r="1221">
      <c r="A1221" s="2" t="s">
        <v>6439</v>
      </c>
      <c r="B1221" s="2" t="s">
        <v>2532</v>
      </c>
      <c r="C1221" s="2" t="s">
        <v>835</v>
      </c>
      <c r="D1221" s="2" t="s">
        <v>2533</v>
      </c>
      <c r="E1221" s="2" t="s">
        <v>2534</v>
      </c>
      <c r="F1221" s="2" t="s">
        <v>6440</v>
      </c>
      <c r="G1221" s="2" t="s">
        <v>228</v>
      </c>
      <c r="H1221" s="2" t="s">
        <v>228</v>
      </c>
      <c r="I1221" s="2" t="s">
        <v>6441</v>
      </c>
      <c r="J1221" s="2" t="s">
        <v>6442</v>
      </c>
      <c r="K1221" s="2" t="s">
        <v>265</v>
      </c>
      <c r="L1221" s="3">
        <v>16.84</v>
      </c>
      <c r="M1221" s="3">
        <v>17.68</v>
      </c>
      <c r="N1221" s="3">
        <v>49.99</v>
      </c>
      <c r="O1221" s="2" t="s">
        <v>240</v>
      </c>
      <c r="P1221" s="2" t="s">
        <v>889</v>
      </c>
      <c r="Q1221" s="2" t="s">
        <v>234</v>
      </c>
      <c r="R1221" s="2" t="s">
        <v>228</v>
      </c>
      <c r="S1221" s="2" t="s">
        <v>228</v>
      </c>
      <c r="T1221" s="2" t="s">
        <v>228</v>
      </c>
      <c r="U1221" s="2" t="s">
        <v>228</v>
      </c>
      <c r="V1221" s="2" t="s">
        <v>236</v>
      </c>
      <c r="W1221" s="2" t="s">
        <v>228</v>
      </c>
      <c r="X1221" s="2" t="s">
        <v>228</v>
      </c>
      <c r="Y1221" s="2" t="s">
        <v>6035</v>
      </c>
      <c r="Z1221" s="4">
        <v>449</v>
      </c>
      <c r="AA1221" s="4">
        <f>=ROUNDDOWN(28.5987261146497,0)</f>
      </c>
      <c r="AB1221" s="5">
        <v>15.7</v>
      </c>
      <c r="AC1221" s="2" t="s">
        <v>228</v>
      </c>
      <c r="AD1221" s="4"/>
      <c r="AE1221" s="4"/>
      <c r="AF1221" s="6"/>
      <c r="AG1221" s="6">
        <v>73</v>
      </c>
      <c r="AH1221" s="7">
        <v>1</v>
      </c>
      <c r="AI1221" s="4"/>
      <c r="AJ1221" s="4">
        <f>=ROUNDDOWN({0},0)</f>
      </c>
      <c r="AK1221" s="5"/>
      <c r="AL1221" s="2" t="s">
        <v>228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/>
      <c r="AW1221" s="8"/>
      <c r="AX1221" s="4"/>
      <c r="AY1221" s="8"/>
      <c r="AZ1221" s="7"/>
      <c r="BA1221" s="7"/>
      <c r="BB1221" s="7"/>
      <c r="BC1221" s="4" t="s">
        <v>228</v>
      </c>
      <c r="BD1221" s="8" t="s">
        <v>228</v>
      </c>
      <c r="BE1221" s="4" t="s">
        <v>228</v>
      </c>
      <c r="BF1221" s="8" t="s">
        <v>228</v>
      </c>
      <c r="BG1221" s="7" t="s">
        <v>228</v>
      </c>
      <c r="BH1221" s="7" t="s">
        <v>228</v>
      </c>
      <c r="BI1221" s="7"/>
      <c r="BJ1221" s="4">
        <v>28</v>
      </c>
      <c r="BK1221" s="8">
        <v>539.83</v>
      </c>
      <c r="BL1221" s="2" t="s">
        <v>6443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6444</v>
      </c>
      <c r="BV1221" s="2" t="s">
        <v>228</v>
      </c>
      <c r="BW1221" s="2" t="s">
        <v>228</v>
      </c>
      <c r="BX1221" s="2" t="s">
        <v>273</v>
      </c>
      <c r="BY1221" s="2" t="s">
        <v>274</v>
      </c>
      <c r="BZ1221" s="2" t="s">
        <v>240</v>
      </c>
      <c r="CA1221" s="2" t="s">
        <v>6445</v>
      </c>
      <c r="CB1221" s="2" t="s">
        <v>5420</v>
      </c>
      <c r="CC1221" s="2" t="s">
        <v>241</v>
      </c>
      <c r="CD1221" s="2" t="s">
        <v>228</v>
      </c>
      <c r="CE1221" s="4"/>
      <c r="CF1221" s="4"/>
      <c r="CG1221" s="4"/>
      <c r="CH1221" s="4">
        <v>449</v>
      </c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4"/>
      <c r="HE1221" s="4"/>
    </row>
    <row r="1222">
      <c r="A1222" s="2" t="s">
        <v>6446</v>
      </c>
      <c r="B1222" s="2" t="s">
        <v>2532</v>
      </c>
      <c r="C1222" s="2" t="s">
        <v>835</v>
      </c>
      <c r="D1222" s="2" t="s">
        <v>2533</v>
      </c>
      <c r="E1222" s="2" t="s">
        <v>2534</v>
      </c>
      <c r="F1222" s="2" t="s">
        <v>6440</v>
      </c>
      <c r="G1222" s="2" t="s">
        <v>228</v>
      </c>
      <c r="H1222" s="2" t="s">
        <v>228</v>
      </c>
      <c r="I1222" s="2" t="s">
        <v>6447</v>
      </c>
      <c r="J1222" s="2" t="s">
        <v>6448</v>
      </c>
      <c r="K1222" s="2" t="s">
        <v>6449</v>
      </c>
      <c r="L1222" s="3">
        <v>18.5</v>
      </c>
      <c r="M1222" s="3">
        <v>19.43</v>
      </c>
      <c r="N1222" s="3">
        <v>48.99</v>
      </c>
      <c r="O1222" s="2" t="s">
        <v>240</v>
      </c>
      <c r="P1222" s="2" t="s">
        <v>889</v>
      </c>
      <c r="Q1222" s="2" t="s">
        <v>234</v>
      </c>
      <c r="R1222" s="2" t="s">
        <v>228</v>
      </c>
      <c r="S1222" s="2" t="s">
        <v>228</v>
      </c>
      <c r="T1222" s="2" t="s">
        <v>228</v>
      </c>
      <c r="U1222" s="2" t="s">
        <v>228</v>
      </c>
      <c r="V1222" s="2" t="s">
        <v>236</v>
      </c>
      <c r="W1222" s="2" t="s">
        <v>228</v>
      </c>
      <c r="X1222" s="2" t="s">
        <v>228</v>
      </c>
      <c r="Y1222" s="2" t="s">
        <v>4007</v>
      </c>
      <c r="Z1222" s="4">
        <v>355</v>
      </c>
      <c r="AA1222" s="4">
        <f>=ROUNDDOWN(35.5,0)</f>
      </c>
      <c r="AB1222" s="5">
        <v>10</v>
      </c>
      <c r="AC1222" s="2" t="s">
        <v>228</v>
      </c>
      <c r="AD1222" s="4"/>
      <c r="AE1222" s="4"/>
      <c r="AF1222" s="6"/>
      <c r="AG1222" s="6">
        <v>73</v>
      </c>
      <c r="AH1222" s="7">
        <v>1</v>
      </c>
      <c r="AI1222" s="4"/>
      <c r="AJ1222" s="4">
        <f>=ROUNDDOWN({0},0)</f>
      </c>
      <c r="AK1222" s="5"/>
      <c r="AL1222" s="2" t="s">
        <v>228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 t="s">
        <v>228</v>
      </c>
      <c r="AW1222" s="8" t="s">
        <v>228</v>
      </c>
      <c r="AX1222" s="4" t="s">
        <v>228</v>
      </c>
      <c r="AY1222" s="8" t="s">
        <v>228</v>
      </c>
      <c r="AZ1222" s="7" t="s">
        <v>228</v>
      </c>
      <c r="BA1222" s="7" t="s">
        <v>228</v>
      </c>
      <c r="BB1222" s="7"/>
      <c r="BC1222" s="4" t="s">
        <v>228</v>
      </c>
      <c r="BD1222" s="8" t="s">
        <v>228</v>
      </c>
      <c r="BE1222" s="4" t="s">
        <v>228</v>
      </c>
      <c r="BF1222" s="8" t="s">
        <v>228</v>
      </c>
      <c r="BG1222" s="7" t="s">
        <v>228</v>
      </c>
      <c r="BH1222" s="7" t="s">
        <v>228</v>
      </c>
      <c r="BI1222" s="7"/>
      <c r="BJ1222" s="4">
        <v>21</v>
      </c>
      <c r="BK1222" s="8">
        <v>353.4</v>
      </c>
      <c r="BL1222" s="2" t="s">
        <v>4137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6450</v>
      </c>
      <c r="BV1222" s="2" t="s">
        <v>228</v>
      </c>
      <c r="BW1222" s="2" t="s">
        <v>228</v>
      </c>
      <c r="BX1222" s="2" t="s">
        <v>273</v>
      </c>
      <c r="BY1222" s="2" t="s">
        <v>274</v>
      </c>
      <c r="BZ1222" s="2" t="s">
        <v>240</v>
      </c>
      <c r="CA1222" s="2" t="s">
        <v>3114</v>
      </c>
      <c r="CB1222" s="2" t="s">
        <v>228</v>
      </c>
      <c r="CC1222" s="2" t="s">
        <v>241</v>
      </c>
      <c r="CD1222" s="2" t="s">
        <v>228</v>
      </c>
      <c r="CE1222" s="4"/>
      <c r="CF1222" s="4"/>
      <c r="CG1222" s="4"/>
      <c r="CH1222" s="4">
        <v>355</v>
      </c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  <c r="GI1222" s="4"/>
      <c r="GJ1222" s="4"/>
      <c r="GK1222" s="4"/>
      <c r="GL1222" s="4"/>
      <c r="GM1222" s="4"/>
      <c r="GN1222" s="4"/>
      <c r="GO1222" s="4"/>
      <c r="GP1222" s="4"/>
      <c r="GQ1222" s="4"/>
      <c r="GR1222" s="4"/>
      <c r="GS1222" s="4"/>
      <c r="GT1222" s="4"/>
      <c r="GU1222" s="4"/>
      <c r="GV1222" s="4"/>
      <c r="GW1222" s="4"/>
      <c r="GX1222" s="4"/>
      <c r="GY1222" s="4"/>
      <c r="GZ1222" s="4"/>
      <c r="HA1222" s="4"/>
      <c r="HB1222" s="4"/>
      <c r="HC1222" s="4"/>
      <c r="HD1222" s="4"/>
      <c r="HE1222" s="4"/>
    </row>
    <row r="1223">
      <c r="A1223" s="2" t="s">
        <v>6451</v>
      </c>
      <c r="B1223" s="2" t="s">
        <v>2532</v>
      </c>
      <c r="C1223" s="2" t="s">
        <v>835</v>
      </c>
      <c r="D1223" s="2" t="s">
        <v>2533</v>
      </c>
      <c r="E1223" s="2" t="s">
        <v>2534</v>
      </c>
      <c r="F1223" s="2" t="s">
        <v>6440</v>
      </c>
      <c r="G1223" s="2" t="s">
        <v>228</v>
      </c>
      <c r="H1223" s="2" t="s">
        <v>228</v>
      </c>
      <c r="I1223" s="2" t="s">
        <v>6447</v>
      </c>
      <c r="J1223" s="2" t="s">
        <v>6442</v>
      </c>
      <c r="K1223" s="2" t="s">
        <v>6449</v>
      </c>
      <c r="L1223" s="3">
        <v>18.5</v>
      </c>
      <c r="M1223" s="3">
        <v>19.43</v>
      </c>
      <c r="N1223" s="3">
        <v>49.99</v>
      </c>
      <c r="O1223" s="2" t="s">
        <v>240</v>
      </c>
      <c r="P1223" s="2" t="s">
        <v>889</v>
      </c>
      <c r="Q1223" s="2" t="s">
        <v>234</v>
      </c>
      <c r="R1223" s="2" t="s">
        <v>228</v>
      </c>
      <c r="S1223" s="2" t="s">
        <v>228</v>
      </c>
      <c r="T1223" s="2" t="s">
        <v>228</v>
      </c>
      <c r="U1223" s="2" t="s">
        <v>228</v>
      </c>
      <c r="V1223" s="2" t="s">
        <v>236</v>
      </c>
      <c r="W1223" s="2" t="s">
        <v>228</v>
      </c>
      <c r="X1223" s="2" t="s">
        <v>228</v>
      </c>
      <c r="Y1223" s="2" t="s">
        <v>4007</v>
      </c>
      <c r="Z1223" s="4">
        <v>356</v>
      </c>
      <c r="AA1223" s="4">
        <f>=ROUNDDOWN(32.3636363636364,0)</f>
      </c>
      <c r="AB1223" s="5">
        <v>11</v>
      </c>
      <c r="AC1223" s="2" t="s">
        <v>228</v>
      </c>
      <c r="AD1223" s="4"/>
      <c r="AE1223" s="4"/>
      <c r="AF1223" s="6"/>
      <c r="AG1223" s="6">
        <v>73</v>
      </c>
      <c r="AH1223" s="7">
        <v>1</v>
      </c>
      <c r="AI1223" s="4"/>
      <c r="AJ1223" s="4">
        <f>=ROUNDDOWN({0},0)</f>
      </c>
      <c r="AK1223" s="5"/>
      <c r="AL1223" s="2" t="s">
        <v>228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 t="s">
        <v>228</v>
      </c>
      <c r="AW1223" s="8" t="s">
        <v>228</v>
      </c>
      <c r="AX1223" s="4" t="s">
        <v>228</v>
      </c>
      <c r="AY1223" s="8" t="s">
        <v>228</v>
      </c>
      <c r="AZ1223" s="7" t="s">
        <v>228</v>
      </c>
      <c r="BA1223" s="7" t="s">
        <v>228</v>
      </c>
      <c r="BB1223" s="7"/>
      <c r="BC1223" s="4" t="s">
        <v>228</v>
      </c>
      <c r="BD1223" s="8" t="s">
        <v>228</v>
      </c>
      <c r="BE1223" s="4" t="s">
        <v>228</v>
      </c>
      <c r="BF1223" s="8" t="s">
        <v>228</v>
      </c>
      <c r="BG1223" s="7" t="s">
        <v>228</v>
      </c>
      <c r="BH1223" s="7" t="s">
        <v>228</v>
      </c>
      <c r="BI1223" s="7"/>
      <c r="BJ1223" s="4">
        <v>29</v>
      </c>
      <c r="BK1223" s="8">
        <v>536.5</v>
      </c>
      <c r="BL1223" s="2" t="s">
        <v>3157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6452</v>
      </c>
      <c r="BV1223" s="2" t="s">
        <v>228</v>
      </c>
      <c r="BW1223" s="2" t="s">
        <v>228</v>
      </c>
      <c r="BX1223" s="2" t="s">
        <v>273</v>
      </c>
      <c r="BY1223" s="2" t="s">
        <v>274</v>
      </c>
      <c r="BZ1223" s="2" t="s">
        <v>240</v>
      </c>
      <c r="CA1223" s="2" t="s">
        <v>3114</v>
      </c>
      <c r="CB1223" s="2" t="s">
        <v>228</v>
      </c>
      <c r="CC1223" s="2" t="s">
        <v>241</v>
      </c>
      <c r="CD1223" s="2" t="s">
        <v>228</v>
      </c>
      <c r="CE1223" s="4">
        <v>13</v>
      </c>
      <c r="CF1223" s="4"/>
      <c r="CG1223" s="4"/>
      <c r="CH1223" s="4">
        <v>343</v>
      </c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4"/>
      <c r="GT1223" s="4"/>
      <c r="GU1223" s="4"/>
      <c r="GV1223" s="4"/>
      <c r="GW1223" s="4"/>
      <c r="GX1223" s="4"/>
      <c r="GY1223" s="4"/>
      <c r="GZ1223" s="4"/>
      <c r="HA1223" s="4"/>
      <c r="HB1223" s="4"/>
      <c r="HC1223" s="4"/>
      <c r="HD1223" s="4"/>
      <c r="HE1223" s="4"/>
    </row>
    <row r="1224">
      <c r="A1224" s="2" t="s">
        <v>6453</v>
      </c>
      <c r="B1224" s="2" t="s">
        <v>2532</v>
      </c>
      <c r="C1224" s="2" t="s">
        <v>835</v>
      </c>
      <c r="D1224" s="2" t="s">
        <v>2533</v>
      </c>
      <c r="E1224" s="2" t="s">
        <v>2534</v>
      </c>
      <c r="F1224" s="2" t="s">
        <v>6440</v>
      </c>
      <c r="G1224" s="2" t="s">
        <v>228</v>
      </c>
      <c r="H1224" s="2" t="s">
        <v>228</v>
      </c>
      <c r="I1224" s="2" t="s">
        <v>6441</v>
      </c>
      <c r="J1224" s="2" t="s">
        <v>6448</v>
      </c>
      <c r="K1224" s="2" t="s">
        <v>316</v>
      </c>
      <c r="L1224" s="3">
        <v>16.84</v>
      </c>
      <c r="M1224" s="3">
        <v>17.68</v>
      </c>
      <c r="N1224" s="3">
        <v>48.99</v>
      </c>
      <c r="O1224" s="2" t="s">
        <v>240</v>
      </c>
      <c r="P1224" s="2" t="s">
        <v>889</v>
      </c>
      <c r="Q1224" s="2" t="s">
        <v>234</v>
      </c>
      <c r="R1224" s="2" t="s">
        <v>228</v>
      </c>
      <c r="S1224" s="2" t="s">
        <v>228</v>
      </c>
      <c r="T1224" s="2" t="s">
        <v>228</v>
      </c>
      <c r="U1224" s="2" t="s">
        <v>228</v>
      </c>
      <c r="V1224" s="2" t="s">
        <v>236</v>
      </c>
      <c r="W1224" s="2" t="s">
        <v>228</v>
      </c>
      <c r="X1224" s="2" t="s">
        <v>228</v>
      </c>
      <c r="Y1224" s="2" t="s">
        <v>6035</v>
      </c>
      <c r="Z1224" s="4">
        <v>617</v>
      </c>
      <c r="AA1224" s="4">
        <f>=ROUNDDOWN(72.5882352941176,0)</f>
      </c>
      <c r="AB1224" s="5">
        <v>8.5</v>
      </c>
      <c r="AC1224" s="2" t="s">
        <v>228</v>
      </c>
      <c r="AD1224" s="4"/>
      <c r="AE1224" s="4"/>
      <c r="AF1224" s="6"/>
      <c r="AG1224" s="6">
        <v>73</v>
      </c>
      <c r="AH1224" s="7">
        <v>1</v>
      </c>
      <c r="AI1224" s="4"/>
      <c r="AJ1224" s="4">
        <f>=ROUNDDOWN({0},0)</f>
      </c>
      <c r="AK1224" s="5"/>
      <c r="AL1224" s="2" t="s">
        <v>228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 t="s">
        <v>228</v>
      </c>
      <c r="AW1224" s="8" t="s">
        <v>228</v>
      </c>
      <c r="AX1224" s="4" t="s">
        <v>228</v>
      </c>
      <c r="AY1224" s="8" t="s">
        <v>228</v>
      </c>
      <c r="AZ1224" s="7" t="s">
        <v>228</v>
      </c>
      <c r="BA1224" s="7" t="s">
        <v>228</v>
      </c>
      <c r="BB1224" s="7"/>
      <c r="BC1224" s="4" t="s">
        <v>228</v>
      </c>
      <c r="BD1224" s="8" t="s">
        <v>228</v>
      </c>
      <c r="BE1224" s="4" t="s">
        <v>228</v>
      </c>
      <c r="BF1224" s="8" t="s">
        <v>228</v>
      </c>
      <c r="BG1224" s="7" t="s">
        <v>228</v>
      </c>
      <c r="BH1224" s="7" t="s">
        <v>228</v>
      </c>
      <c r="BI1224" s="7"/>
      <c r="BJ1224" s="4">
        <v>12</v>
      </c>
      <c r="BK1224" s="8">
        <v>222</v>
      </c>
      <c r="BL1224" s="2" t="s">
        <v>6454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6455</v>
      </c>
      <c r="BV1224" s="2" t="s">
        <v>228</v>
      </c>
      <c r="BW1224" s="2" t="s">
        <v>228</v>
      </c>
      <c r="BX1224" s="2" t="s">
        <v>273</v>
      </c>
      <c r="BY1224" s="2" t="s">
        <v>274</v>
      </c>
      <c r="BZ1224" s="2" t="s">
        <v>240</v>
      </c>
      <c r="CA1224" s="2" t="s">
        <v>5446</v>
      </c>
      <c r="CB1224" s="2" t="s">
        <v>6456</v>
      </c>
      <c r="CC1224" s="2" t="s">
        <v>241</v>
      </c>
      <c r="CD1224" s="2" t="s">
        <v>228</v>
      </c>
      <c r="CE1224" s="4"/>
      <c r="CF1224" s="4"/>
      <c r="CG1224" s="4"/>
      <c r="CH1224" s="4">
        <v>617</v>
      </c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  <c r="GH1224" s="4"/>
      <c r="GI1224" s="4"/>
      <c r="GJ1224" s="4"/>
      <c r="GK1224" s="4"/>
      <c r="GL1224" s="4"/>
      <c r="GM1224" s="4"/>
      <c r="GN1224" s="4"/>
      <c r="GO1224" s="4"/>
      <c r="GP1224" s="4"/>
      <c r="GQ1224" s="4"/>
      <c r="GR1224" s="4"/>
      <c r="GS1224" s="4"/>
      <c r="GT1224" s="4"/>
      <c r="GU1224" s="4"/>
      <c r="GV1224" s="4"/>
      <c r="GW1224" s="4"/>
      <c r="GX1224" s="4"/>
      <c r="GY1224" s="4"/>
      <c r="GZ1224" s="4"/>
      <c r="HA1224" s="4"/>
      <c r="HB1224" s="4"/>
      <c r="HC1224" s="4"/>
      <c r="HD1224" s="4"/>
      <c r="HE1224" s="4"/>
    </row>
    <row r="1225">
      <c r="A1225" s="2" t="s">
        <v>6457</v>
      </c>
      <c r="B1225" s="2" t="s">
        <v>2532</v>
      </c>
      <c r="C1225" s="2" t="s">
        <v>835</v>
      </c>
      <c r="D1225" s="2" t="s">
        <v>2533</v>
      </c>
      <c r="E1225" s="2" t="s">
        <v>2534</v>
      </c>
      <c r="F1225" s="2" t="s">
        <v>6440</v>
      </c>
      <c r="G1225" s="2" t="s">
        <v>228</v>
      </c>
      <c r="H1225" s="2" t="s">
        <v>228</v>
      </c>
      <c r="I1225" s="2" t="s">
        <v>6441</v>
      </c>
      <c r="J1225" s="2" t="s">
        <v>6442</v>
      </c>
      <c r="K1225" s="2" t="s">
        <v>316</v>
      </c>
      <c r="L1225" s="3">
        <v>16.84</v>
      </c>
      <c r="M1225" s="3">
        <v>17.68</v>
      </c>
      <c r="N1225" s="3">
        <v>48.99</v>
      </c>
      <c r="O1225" s="2" t="s">
        <v>240</v>
      </c>
      <c r="P1225" s="2" t="s">
        <v>889</v>
      </c>
      <c r="Q1225" s="2" t="s">
        <v>234</v>
      </c>
      <c r="R1225" s="2" t="s">
        <v>228</v>
      </c>
      <c r="S1225" s="2" t="s">
        <v>228</v>
      </c>
      <c r="T1225" s="2" t="s">
        <v>228</v>
      </c>
      <c r="U1225" s="2" t="s">
        <v>228</v>
      </c>
      <c r="V1225" s="2" t="s">
        <v>236</v>
      </c>
      <c r="W1225" s="2" t="s">
        <v>228</v>
      </c>
      <c r="X1225" s="2" t="s">
        <v>228</v>
      </c>
      <c r="Y1225" s="2" t="s">
        <v>6035</v>
      </c>
      <c r="Z1225" s="4">
        <v>609</v>
      </c>
      <c r="AA1225" s="4">
        <f>=ROUNDDOWN(43.5,0)</f>
      </c>
      <c r="AB1225" s="5">
        <v>14</v>
      </c>
      <c r="AC1225" s="2" t="s">
        <v>228</v>
      </c>
      <c r="AD1225" s="4"/>
      <c r="AE1225" s="4"/>
      <c r="AF1225" s="6"/>
      <c r="AG1225" s="6">
        <v>73</v>
      </c>
      <c r="AH1225" s="7">
        <v>1</v>
      </c>
      <c r="AI1225" s="4"/>
      <c r="AJ1225" s="4">
        <f>=ROUNDDOWN({0},0)</f>
      </c>
      <c r="AK1225" s="5"/>
      <c r="AL1225" s="2" t="s">
        <v>228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 t="s">
        <v>228</v>
      </c>
      <c r="AW1225" s="8" t="s">
        <v>228</v>
      </c>
      <c r="AX1225" s="4" t="s">
        <v>228</v>
      </c>
      <c r="AY1225" s="8" t="s">
        <v>228</v>
      </c>
      <c r="AZ1225" s="7" t="s">
        <v>228</v>
      </c>
      <c r="BA1225" s="7" t="s">
        <v>228</v>
      </c>
      <c r="BB1225" s="7"/>
      <c r="BC1225" s="4" t="s">
        <v>228</v>
      </c>
      <c r="BD1225" s="8" t="s">
        <v>228</v>
      </c>
      <c r="BE1225" s="4" t="s">
        <v>228</v>
      </c>
      <c r="BF1225" s="8" t="s">
        <v>228</v>
      </c>
      <c r="BG1225" s="7" t="s">
        <v>228</v>
      </c>
      <c r="BH1225" s="7" t="s">
        <v>228</v>
      </c>
      <c r="BI1225" s="7"/>
      <c r="BJ1225" s="4">
        <v>21</v>
      </c>
      <c r="BK1225" s="8">
        <v>453.4</v>
      </c>
      <c r="BL1225" s="2" t="s">
        <v>4137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6458</v>
      </c>
      <c r="BV1225" s="2" t="s">
        <v>228</v>
      </c>
      <c r="BW1225" s="2" t="s">
        <v>228</v>
      </c>
      <c r="BX1225" s="2" t="s">
        <v>273</v>
      </c>
      <c r="BY1225" s="2" t="s">
        <v>274</v>
      </c>
      <c r="BZ1225" s="2" t="s">
        <v>240</v>
      </c>
      <c r="CA1225" s="2" t="s">
        <v>5446</v>
      </c>
      <c r="CB1225" s="2" t="s">
        <v>6456</v>
      </c>
      <c r="CC1225" s="2" t="s">
        <v>241</v>
      </c>
      <c r="CD1225" s="2" t="s">
        <v>228</v>
      </c>
      <c r="CE1225" s="4"/>
      <c r="CF1225" s="4"/>
      <c r="CG1225" s="4"/>
      <c r="CH1225" s="4">
        <v>609</v>
      </c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4"/>
      <c r="GT1225" s="4"/>
      <c r="GU1225" s="4"/>
      <c r="GV1225" s="4"/>
      <c r="GW1225" s="4"/>
      <c r="GX1225" s="4"/>
      <c r="GY1225" s="4"/>
      <c r="GZ1225" s="4"/>
      <c r="HA1225" s="4"/>
      <c r="HB1225" s="4"/>
      <c r="HC1225" s="4"/>
      <c r="HD1225" s="4"/>
      <c r="HE1225" s="4"/>
    </row>
    <row r="1226">
      <c r="A1226" s="2" t="s">
        <v>6459</v>
      </c>
      <c r="B1226" s="2" t="s">
        <v>2532</v>
      </c>
      <c r="C1226" s="2" t="s">
        <v>835</v>
      </c>
      <c r="D1226" s="2" t="s">
        <v>2533</v>
      </c>
      <c r="E1226" s="2" t="s">
        <v>2534</v>
      </c>
      <c r="F1226" s="2" t="s">
        <v>6460</v>
      </c>
      <c r="G1226" s="2" t="s">
        <v>6460</v>
      </c>
      <c r="H1226" s="2" t="s">
        <v>6460</v>
      </c>
      <c r="I1226" s="2" t="s">
        <v>6461</v>
      </c>
      <c r="J1226" s="2" t="s">
        <v>6448</v>
      </c>
      <c r="K1226" s="2" t="s">
        <v>6462</v>
      </c>
      <c r="L1226" s="3">
        <v>20.17</v>
      </c>
      <c r="M1226" s="3">
        <v>21.18</v>
      </c>
      <c r="N1226" s="3"/>
      <c r="O1226" s="2" t="s">
        <v>240</v>
      </c>
      <c r="P1226" s="2" t="s">
        <v>333</v>
      </c>
      <c r="Q1226" s="2" t="s">
        <v>234</v>
      </c>
      <c r="R1226" s="2" t="s">
        <v>228</v>
      </c>
      <c r="S1226" s="2" t="s">
        <v>228</v>
      </c>
      <c r="T1226" s="2" t="s">
        <v>228</v>
      </c>
      <c r="U1226" s="2" t="s">
        <v>416</v>
      </c>
      <c r="V1226" s="2" t="s">
        <v>842</v>
      </c>
      <c r="W1226" s="2" t="s">
        <v>228</v>
      </c>
      <c r="X1226" s="2" t="s">
        <v>228</v>
      </c>
      <c r="Y1226" s="2" t="s">
        <v>6463</v>
      </c>
      <c r="Z1226" s="4">
        <v>763</v>
      </c>
      <c r="AA1226" s="4">
        <f>=ROUNDDOWN(282.592592592593,0)</f>
      </c>
      <c r="AB1226" s="5">
        <v>2.7</v>
      </c>
      <c r="AC1226" s="2" t="s">
        <v>228</v>
      </c>
      <c r="AD1226" s="4"/>
      <c r="AE1226" s="4"/>
      <c r="AF1226" s="6"/>
      <c r="AG1226" s="6"/>
      <c r="AH1226" s="7">
        <v>1</v>
      </c>
      <c r="AI1226" s="4"/>
      <c r="AJ1226" s="4">
        <f>=ROUNDDOWN({0},0)</f>
      </c>
      <c r="AK1226" s="5"/>
      <c r="AL1226" s="2" t="s">
        <v>228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/>
      <c r="AW1226" s="8"/>
      <c r="AX1226" s="4"/>
      <c r="AY1226" s="8"/>
      <c r="AZ1226" s="7"/>
      <c r="BA1226" s="7"/>
      <c r="BB1226" s="7"/>
      <c r="BC1226" s="4" t="s">
        <v>228</v>
      </c>
      <c r="BD1226" s="8" t="s">
        <v>228</v>
      </c>
      <c r="BE1226" s="4" t="s">
        <v>228</v>
      </c>
      <c r="BF1226" s="8" t="s">
        <v>228</v>
      </c>
      <c r="BG1226" s="7" t="s">
        <v>228</v>
      </c>
      <c r="BH1226" s="7" t="s">
        <v>228</v>
      </c>
      <c r="BI1226" s="7"/>
      <c r="BJ1226" s="4">
        <v>11</v>
      </c>
      <c r="BK1226" s="8">
        <v>199.99</v>
      </c>
      <c r="BL1226" s="2" t="s">
        <v>3157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6464</v>
      </c>
      <c r="BV1226" s="2" t="s">
        <v>228</v>
      </c>
      <c r="BW1226" s="2" t="s">
        <v>228</v>
      </c>
      <c r="BX1226" s="2" t="s">
        <v>337</v>
      </c>
      <c r="BY1226" s="2" t="s">
        <v>274</v>
      </c>
      <c r="BZ1226" s="2" t="s">
        <v>240</v>
      </c>
      <c r="CA1226" s="2" t="s">
        <v>6465</v>
      </c>
      <c r="CB1226" s="2" t="s">
        <v>3114</v>
      </c>
      <c r="CC1226" s="2" t="s">
        <v>241</v>
      </c>
      <c r="CD1226" s="2" t="s">
        <v>228</v>
      </c>
      <c r="CE1226" s="4"/>
      <c r="CF1226" s="4"/>
      <c r="CG1226" s="4"/>
      <c r="CH1226" s="4">
        <v>763</v>
      </c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/>
      <c r="HA1226" s="4"/>
      <c r="HB1226" s="4"/>
      <c r="HC1226" s="4"/>
      <c r="HD1226" s="4"/>
      <c r="HE1226" s="4"/>
    </row>
    <row r="1227">
      <c r="A1227" s="2" t="s">
        <v>6466</v>
      </c>
      <c r="B1227" s="2" t="s">
        <v>2532</v>
      </c>
      <c r="C1227" s="2" t="s">
        <v>835</v>
      </c>
      <c r="D1227" s="2" t="s">
        <v>2533</v>
      </c>
      <c r="E1227" s="2" t="s">
        <v>2534</v>
      </c>
      <c r="F1227" s="2" t="s">
        <v>6460</v>
      </c>
      <c r="G1227" s="2" t="s">
        <v>6460</v>
      </c>
      <c r="H1227" s="2" t="s">
        <v>6460</v>
      </c>
      <c r="I1227" s="2" t="s">
        <v>6461</v>
      </c>
      <c r="J1227" s="2" t="s">
        <v>6448</v>
      </c>
      <c r="K1227" s="2" t="s">
        <v>6467</v>
      </c>
      <c r="L1227" s="3">
        <v>20.17</v>
      </c>
      <c r="M1227" s="3">
        <v>21.18</v>
      </c>
      <c r="N1227" s="3"/>
      <c r="O1227" s="2" t="s">
        <v>240</v>
      </c>
      <c r="P1227" s="2" t="s">
        <v>333</v>
      </c>
      <c r="Q1227" s="2" t="s">
        <v>234</v>
      </c>
      <c r="R1227" s="2" t="s">
        <v>228</v>
      </c>
      <c r="S1227" s="2" t="s">
        <v>228</v>
      </c>
      <c r="T1227" s="2" t="s">
        <v>228</v>
      </c>
      <c r="U1227" s="2" t="s">
        <v>416</v>
      </c>
      <c r="V1227" s="2" t="s">
        <v>842</v>
      </c>
      <c r="W1227" s="2" t="s">
        <v>228</v>
      </c>
      <c r="X1227" s="2" t="s">
        <v>228</v>
      </c>
      <c r="Y1227" s="2" t="s">
        <v>6463</v>
      </c>
      <c r="Z1227" s="4">
        <v>687</v>
      </c>
      <c r="AA1227" s="4">
        <f>=ROUNDDOWN(149.347826086957,0)</f>
      </c>
      <c r="AB1227" s="5">
        <v>4.6</v>
      </c>
      <c r="AC1227" s="2" t="s">
        <v>228</v>
      </c>
      <c r="AD1227" s="4"/>
      <c r="AE1227" s="4"/>
      <c r="AF1227" s="6"/>
      <c r="AG1227" s="6"/>
      <c r="AH1227" s="7">
        <v>1</v>
      </c>
      <c r="AI1227" s="4"/>
      <c r="AJ1227" s="4">
        <f>=ROUNDDOWN({0},0)</f>
      </c>
      <c r="AK1227" s="5"/>
      <c r="AL1227" s="2" t="s">
        <v>228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/>
      <c r="AW1227" s="8"/>
      <c r="AX1227" s="4"/>
      <c r="AY1227" s="8"/>
      <c r="AZ1227" s="7"/>
      <c r="BA1227" s="7"/>
      <c r="BB1227" s="7"/>
      <c r="BC1227" s="4" t="s">
        <v>228</v>
      </c>
      <c r="BD1227" s="8" t="s">
        <v>228</v>
      </c>
      <c r="BE1227" s="4" t="s">
        <v>228</v>
      </c>
      <c r="BF1227" s="8" t="s">
        <v>228</v>
      </c>
      <c r="BG1227" s="7" t="s">
        <v>228</v>
      </c>
      <c r="BH1227" s="7" t="s">
        <v>228</v>
      </c>
      <c r="BI1227" s="7"/>
      <c r="BJ1227" s="4">
        <v>21</v>
      </c>
      <c r="BK1227" s="8">
        <v>377.97</v>
      </c>
      <c r="BL1227" s="2" t="s">
        <v>3157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6468</v>
      </c>
      <c r="BV1227" s="2" t="s">
        <v>228</v>
      </c>
      <c r="BW1227" s="2" t="s">
        <v>228</v>
      </c>
      <c r="BX1227" s="2" t="s">
        <v>337</v>
      </c>
      <c r="BY1227" s="2" t="s">
        <v>274</v>
      </c>
      <c r="BZ1227" s="2" t="s">
        <v>240</v>
      </c>
      <c r="CA1227" s="2" t="s">
        <v>6465</v>
      </c>
      <c r="CB1227" s="2" t="s">
        <v>5917</v>
      </c>
      <c r="CC1227" s="2" t="s">
        <v>241</v>
      </c>
      <c r="CD1227" s="2" t="s">
        <v>228</v>
      </c>
      <c r="CE1227" s="4"/>
      <c r="CF1227" s="4"/>
      <c r="CG1227" s="4"/>
      <c r="CH1227" s="4">
        <v>687</v>
      </c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  <c r="GI1227" s="4"/>
      <c r="GJ1227" s="4"/>
      <c r="GK1227" s="4"/>
      <c r="GL1227" s="4"/>
      <c r="GM1227" s="4"/>
      <c r="GN1227" s="4"/>
      <c r="GO1227" s="4"/>
      <c r="GP1227" s="4"/>
      <c r="GQ1227" s="4"/>
      <c r="GR1227" s="4"/>
      <c r="GS1227" s="4"/>
      <c r="GT1227" s="4"/>
      <c r="GU1227" s="4"/>
      <c r="GV1227" s="4"/>
      <c r="GW1227" s="4"/>
      <c r="GX1227" s="4"/>
      <c r="GY1227" s="4"/>
      <c r="GZ1227" s="4"/>
      <c r="HA1227" s="4"/>
      <c r="HB1227" s="4"/>
      <c r="HC1227" s="4"/>
      <c r="HD1227" s="4"/>
      <c r="HE1227" s="4"/>
    </row>
    <row r="1228">
      <c r="A1228" s="2" t="s">
        <v>6469</v>
      </c>
      <c r="B1228" s="2" t="s">
        <v>2532</v>
      </c>
      <c r="C1228" s="2" t="s">
        <v>835</v>
      </c>
      <c r="D1228" s="2" t="s">
        <v>2533</v>
      </c>
      <c r="E1228" s="2" t="s">
        <v>2534</v>
      </c>
      <c r="F1228" s="2" t="s">
        <v>6460</v>
      </c>
      <c r="G1228" s="2" t="s">
        <v>6460</v>
      </c>
      <c r="H1228" s="2" t="s">
        <v>6460</v>
      </c>
      <c r="I1228" s="2" t="s">
        <v>6461</v>
      </c>
      <c r="J1228" s="2" t="s">
        <v>6448</v>
      </c>
      <c r="K1228" s="2" t="s">
        <v>6470</v>
      </c>
      <c r="L1228" s="3">
        <v>20.17</v>
      </c>
      <c r="M1228" s="3">
        <v>21.18</v>
      </c>
      <c r="N1228" s="3"/>
      <c r="O1228" s="2" t="s">
        <v>240</v>
      </c>
      <c r="P1228" s="2" t="s">
        <v>333</v>
      </c>
      <c r="Q1228" s="2" t="s">
        <v>234</v>
      </c>
      <c r="R1228" s="2" t="s">
        <v>228</v>
      </c>
      <c r="S1228" s="2" t="s">
        <v>228</v>
      </c>
      <c r="T1228" s="2" t="s">
        <v>228</v>
      </c>
      <c r="U1228" s="2" t="s">
        <v>416</v>
      </c>
      <c r="V1228" s="2" t="s">
        <v>842</v>
      </c>
      <c r="W1228" s="2" t="s">
        <v>228</v>
      </c>
      <c r="X1228" s="2" t="s">
        <v>228</v>
      </c>
      <c r="Y1228" s="2" t="s">
        <v>6463</v>
      </c>
      <c r="Z1228" s="4">
        <v>337</v>
      </c>
      <c r="AA1228" s="4">
        <f>=ROUNDDOWN(259.230769230769,0)</f>
      </c>
      <c r="AB1228" s="5">
        <v>1.3</v>
      </c>
      <c r="AC1228" s="2" t="s">
        <v>228</v>
      </c>
      <c r="AD1228" s="4"/>
      <c r="AE1228" s="4"/>
      <c r="AF1228" s="6"/>
      <c r="AG1228" s="6"/>
      <c r="AH1228" s="7">
        <v>1</v>
      </c>
      <c r="AI1228" s="4"/>
      <c r="AJ1228" s="4">
        <f>=ROUNDDOWN({0},0)</f>
      </c>
      <c r="AK1228" s="5"/>
      <c r="AL1228" s="2" t="s">
        <v>228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 t="s">
        <v>228</v>
      </c>
      <c r="AW1228" s="8" t="s">
        <v>228</v>
      </c>
      <c r="AX1228" s="4" t="s">
        <v>228</v>
      </c>
      <c r="AY1228" s="8" t="s">
        <v>228</v>
      </c>
      <c r="AZ1228" s="7" t="s">
        <v>228</v>
      </c>
      <c r="BA1228" s="7" t="s">
        <v>228</v>
      </c>
      <c r="BB1228" s="7"/>
      <c r="BC1228" s="4" t="s">
        <v>228</v>
      </c>
      <c r="BD1228" s="8" t="s">
        <v>228</v>
      </c>
      <c r="BE1228" s="4" t="s">
        <v>228</v>
      </c>
      <c r="BF1228" s="8" t="s">
        <v>228</v>
      </c>
      <c r="BG1228" s="7" t="s">
        <v>228</v>
      </c>
      <c r="BH1228" s="7" t="s">
        <v>228</v>
      </c>
      <c r="BI1228" s="7"/>
      <c r="BJ1228" s="4">
        <v>7</v>
      </c>
      <c r="BK1228" s="8">
        <v>115.46</v>
      </c>
      <c r="BL1228" s="2" t="s">
        <v>3157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6471</v>
      </c>
      <c r="BV1228" s="2" t="s">
        <v>228</v>
      </c>
      <c r="BW1228" s="2" t="s">
        <v>228</v>
      </c>
      <c r="BX1228" s="2" t="s">
        <v>337</v>
      </c>
      <c r="BY1228" s="2" t="s">
        <v>274</v>
      </c>
      <c r="BZ1228" s="2" t="s">
        <v>240</v>
      </c>
      <c r="CA1228" s="2" t="s">
        <v>6465</v>
      </c>
      <c r="CB1228" s="2" t="s">
        <v>3114</v>
      </c>
      <c r="CC1228" s="2" t="s">
        <v>241</v>
      </c>
      <c r="CD1228" s="2" t="s">
        <v>228</v>
      </c>
      <c r="CE1228" s="4"/>
      <c r="CF1228" s="4"/>
      <c r="CG1228" s="4"/>
      <c r="CH1228" s="4">
        <v>337</v>
      </c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/>
      <c r="HA1228" s="4"/>
      <c r="HB1228" s="4"/>
      <c r="HC1228" s="4"/>
      <c r="HD1228" s="4"/>
      <c r="HE1228" s="4"/>
    </row>
    <row r="1229">
      <c r="A1229" s="2" t="s">
        <v>6472</v>
      </c>
      <c r="B1229" s="2" t="s">
        <v>2532</v>
      </c>
      <c r="C1229" s="2" t="s">
        <v>835</v>
      </c>
      <c r="D1229" s="2" t="s">
        <v>2533</v>
      </c>
      <c r="E1229" s="2" t="s">
        <v>2534</v>
      </c>
      <c r="F1229" s="2" t="s">
        <v>6460</v>
      </c>
      <c r="G1229" s="2" t="s">
        <v>6460</v>
      </c>
      <c r="H1229" s="2" t="s">
        <v>6460</v>
      </c>
      <c r="I1229" s="2" t="s">
        <v>6461</v>
      </c>
      <c r="J1229" s="2" t="s">
        <v>6442</v>
      </c>
      <c r="K1229" s="2" t="s">
        <v>6470</v>
      </c>
      <c r="L1229" s="3">
        <v>20.17</v>
      </c>
      <c r="M1229" s="3">
        <v>21.18</v>
      </c>
      <c r="N1229" s="3"/>
      <c r="O1229" s="2" t="s">
        <v>240</v>
      </c>
      <c r="P1229" s="2" t="s">
        <v>333</v>
      </c>
      <c r="Q1229" s="2" t="s">
        <v>234</v>
      </c>
      <c r="R1229" s="2" t="s">
        <v>228</v>
      </c>
      <c r="S1229" s="2" t="s">
        <v>228</v>
      </c>
      <c r="T1229" s="2" t="s">
        <v>228</v>
      </c>
      <c r="U1229" s="2" t="s">
        <v>416</v>
      </c>
      <c r="V1229" s="2" t="s">
        <v>842</v>
      </c>
      <c r="W1229" s="2" t="s">
        <v>228</v>
      </c>
      <c r="X1229" s="2" t="s">
        <v>228</v>
      </c>
      <c r="Y1229" s="2" t="s">
        <v>6463</v>
      </c>
      <c r="Z1229" s="4">
        <v>312</v>
      </c>
      <c r="AA1229" s="4">
        <f>=ROUNDDOWN(240,0)</f>
      </c>
      <c r="AB1229" s="5">
        <v>1.3</v>
      </c>
      <c r="AC1229" s="2" t="s">
        <v>228</v>
      </c>
      <c r="AD1229" s="4"/>
      <c r="AE1229" s="4"/>
      <c r="AF1229" s="6"/>
      <c r="AG1229" s="6"/>
      <c r="AH1229" s="7">
        <v>1</v>
      </c>
      <c r="AI1229" s="4"/>
      <c r="AJ1229" s="4">
        <f>=ROUNDDOWN({0},0)</f>
      </c>
      <c r="AK1229" s="5"/>
      <c r="AL1229" s="2" t="s">
        <v>228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228</v>
      </c>
      <c r="AW1229" s="8" t="s">
        <v>228</v>
      </c>
      <c r="AX1229" s="4" t="s">
        <v>228</v>
      </c>
      <c r="AY1229" s="8" t="s">
        <v>228</v>
      </c>
      <c r="AZ1229" s="7" t="s">
        <v>228</v>
      </c>
      <c r="BA1229" s="7" t="s">
        <v>228</v>
      </c>
      <c r="BB1229" s="7"/>
      <c r="BC1229" s="4" t="s">
        <v>228</v>
      </c>
      <c r="BD1229" s="8" t="s">
        <v>228</v>
      </c>
      <c r="BE1229" s="4" t="s">
        <v>228</v>
      </c>
      <c r="BF1229" s="8" t="s">
        <v>228</v>
      </c>
      <c r="BG1229" s="7" t="s">
        <v>228</v>
      </c>
      <c r="BH1229" s="7" t="s">
        <v>228</v>
      </c>
      <c r="BI1229" s="7"/>
      <c r="BJ1229" s="4">
        <v>5</v>
      </c>
      <c r="BK1229" s="8">
        <v>92.5</v>
      </c>
      <c r="BL1229" s="2" t="s">
        <v>3157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6473</v>
      </c>
      <c r="BV1229" s="2" t="s">
        <v>228</v>
      </c>
      <c r="BW1229" s="2" t="s">
        <v>228</v>
      </c>
      <c r="BX1229" s="2" t="s">
        <v>337</v>
      </c>
      <c r="BY1229" s="2" t="s">
        <v>274</v>
      </c>
      <c r="BZ1229" s="2" t="s">
        <v>240</v>
      </c>
      <c r="CA1229" s="2" t="s">
        <v>6465</v>
      </c>
      <c r="CB1229" s="2" t="s">
        <v>539</v>
      </c>
      <c r="CC1229" s="2" t="s">
        <v>241</v>
      </c>
      <c r="CD1229" s="2" t="s">
        <v>228</v>
      </c>
      <c r="CE1229" s="4"/>
      <c r="CF1229" s="4"/>
      <c r="CG1229" s="4"/>
      <c r="CH1229" s="4">
        <v>312</v>
      </c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  <c r="GI1229" s="4"/>
      <c r="GJ1229" s="4"/>
      <c r="GK1229" s="4"/>
      <c r="GL1229" s="4"/>
      <c r="GM1229" s="4"/>
      <c r="GN1229" s="4"/>
      <c r="GO1229" s="4"/>
      <c r="GP1229" s="4"/>
      <c r="GQ1229" s="4"/>
      <c r="GR1229" s="4"/>
      <c r="GS1229" s="4"/>
      <c r="GT1229" s="4"/>
      <c r="GU1229" s="4"/>
      <c r="GV1229" s="4"/>
      <c r="GW1229" s="4"/>
      <c r="GX1229" s="4"/>
      <c r="GY1229" s="4"/>
      <c r="GZ1229" s="4"/>
      <c r="HA1229" s="4"/>
      <c r="HB1229" s="4"/>
      <c r="HC1229" s="4"/>
      <c r="HD1229" s="4"/>
      <c r="HE1229" s="4"/>
    </row>
    <row r="1230">
      <c r="A1230" s="2" t="s">
        <v>6474</v>
      </c>
      <c r="B1230" s="2" t="s">
        <v>2532</v>
      </c>
      <c r="C1230" s="2" t="s">
        <v>835</v>
      </c>
      <c r="D1230" s="2" t="s">
        <v>2533</v>
      </c>
      <c r="E1230" s="2" t="s">
        <v>2534</v>
      </c>
      <c r="F1230" s="2" t="s">
        <v>6475</v>
      </c>
      <c r="G1230" s="2" t="s">
        <v>228</v>
      </c>
      <c r="H1230" s="2" t="s">
        <v>228</v>
      </c>
      <c r="I1230" s="2" t="s">
        <v>6476</v>
      </c>
      <c r="J1230" s="2" t="s">
        <v>2920</v>
      </c>
      <c r="K1230" s="2" t="s">
        <v>6449</v>
      </c>
      <c r="L1230" s="3">
        <v>9</v>
      </c>
      <c r="M1230" s="3">
        <v>9.45</v>
      </c>
      <c r="N1230" s="3">
        <v>38</v>
      </c>
      <c r="O1230" s="2" t="s">
        <v>240</v>
      </c>
      <c r="P1230" s="2" t="s">
        <v>333</v>
      </c>
      <c r="Q1230" s="2" t="s">
        <v>234</v>
      </c>
      <c r="R1230" s="2" t="s">
        <v>228</v>
      </c>
      <c r="S1230" s="2" t="s">
        <v>228</v>
      </c>
      <c r="T1230" s="2" t="s">
        <v>228</v>
      </c>
      <c r="U1230" s="2" t="s">
        <v>228</v>
      </c>
      <c r="V1230" s="2" t="s">
        <v>842</v>
      </c>
      <c r="W1230" s="2" t="s">
        <v>228</v>
      </c>
      <c r="X1230" s="2" t="s">
        <v>228</v>
      </c>
      <c r="Y1230" s="2" t="s">
        <v>4007</v>
      </c>
      <c r="Z1230" s="4">
        <v>304</v>
      </c>
      <c r="AA1230" s="4">
        <f>=ROUNDDOWN(44.7058823529412,0)</f>
      </c>
      <c r="AB1230" s="5">
        <v>6.8</v>
      </c>
      <c r="AC1230" s="2" t="s">
        <v>228</v>
      </c>
      <c r="AD1230" s="4"/>
      <c r="AE1230" s="4"/>
      <c r="AF1230" s="6"/>
      <c r="AG1230" s="6"/>
      <c r="AH1230" s="7">
        <v>1</v>
      </c>
      <c r="AI1230" s="4"/>
      <c r="AJ1230" s="4">
        <f>=ROUNDDOWN({0},0)</f>
      </c>
      <c r="AK1230" s="5"/>
      <c r="AL1230" s="2" t="s">
        <v>228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/>
      <c r="AW1230" s="8"/>
      <c r="AX1230" s="4"/>
      <c r="AY1230" s="8"/>
      <c r="AZ1230" s="7"/>
      <c r="BA1230" s="7"/>
      <c r="BB1230" s="7"/>
      <c r="BC1230" s="4" t="s">
        <v>228</v>
      </c>
      <c r="BD1230" s="8" t="s">
        <v>228</v>
      </c>
      <c r="BE1230" s="4" t="s">
        <v>228</v>
      </c>
      <c r="BF1230" s="8" t="s">
        <v>228</v>
      </c>
      <c r="BG1230" s="7" t="s">
        <v>228</v>
      </c>
      <c r="BH1230" s="7" t="s">
        <v>228</v>
      </c>
      <c r="BI1230" s="7"/>
      <c r="BJ1230" s="4">
        <v>17</v>
      </c>
      <c r="BK1230" s="8">
        <v>161.5</v>
      </c>
      <c r="BL1230" s="2" t="s">
        <v>3157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6477</v>
      </c>
      <c r="BV1230" s="2" t="s">
        <v>228</v>
      </c>
      <c r="BW1230" s="2" t="s">
        <v>228</v>
      </c>
      <c r="BX1230" s="2" t="s">
        <v>337</v>
      </c>
      <c r="BY1230" s="2" t="s">
        <v>274</v>
      </c>
      <c r="BZ1230" s="2" t="s">
        <v>240</v>
      </c>
      <c r="CA1230" s="2" t="s">
        <v>2540</v>
      </c>
      <c r="CB1230" s="2" t="s">
        <v>2495</v>
      </c>
      <c r="CC1230" s="2" t="s">
        <v>241</v>
      </c>
      <c r="CD1230" s="2" t="s">
        <v>228</v>
      </c>
      <c r="CE1230" s="4"/>
      <c r="CF1230" s="4"/>
      <c r="CG1230" s="4"/>
      <c r="CH1230" s="4">
        <v>304</v>
      </c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/>
      <c r="GW1230" s="4"/>
      <c r="GX1230" s="4"/>
      <c r="GY1230" s="4"/>
      <c r="GZ1230" s="4"/>
      <c r="HA1230" s="4"/>
      <c r="HB1230" s="4"/>
      <c r="HC1230" s="4"/>
      <c r="HD1230" s="4"/>
      <c r="HE1230" s="4"/>
    </row>
    <row r="1231">
      <c r="A1231" s="2" t="s">
        <v>6478</v>
      </c>
      <c r="B1231" s="2" t="s">
        <v>2532</v>
      </c>
      <c r="C1231" s="2" t="s">
        <v>835</v>
      </c>
      <c r="D1231" s="2" t="s">
        <v>2533</v>
      </c>
      <c r="E1231" s="2" t="s">
        <v>2534</v>
      </c>
      <c r="F1231" s="2" t="s">
        <v>6475</v>
      </c>
      <c r="G1231" s="2" t="s">
        <v>228</v>
      </c>
      <c r="H1231" s="2" t="s">
        <v>228</v>
      </c>
      <c r="I1231" s="2" t="s">
        <v>6479</v>
      </c>
      <c r="J1231" s="2" t="s">
        <v>2920</v>
      </c>
      <c r="K1231" s="2" t="s">
        <v>316</v>
      </c>
      <c r="L1231" s="3">
        <v>9</v>
      </c>
      <c r="M1231" s="3">
        <v>9.45</v>
      </c>
      <c r="N1231" s="3">
        <v>38</v>
      </c>
      <c r="O1231" s="2" t="s">
        <v>240</v>
      </c>
      <c r="P1231" s="2" t="s">
        <v>333</v>
      </c>
      <c r="Q1231" s="2" t="s">
        <v>234</v>
      </c>
      <c r="R1231" s="2" t="s">
        <v>228</v>
      </c>
      <c r="S1231" s="2" t="s">
        <v>228</v>
      </c>
      <c r="T1231" s="2" t="s">
        <v>228</v>
      </c>
      <c r="U1231" s="2" t="s">
        <v>228</v>
      </c>
      <c r="V1231" s="2" t="s">
        <v>842</v>
      </c>
      <c r="W1231" s="2" t="s">
        <v>228</v>
      </c>
      <c r="X1231" s="2" t="s">
        <v>228</v>
      </c>
      <c r="Y1231" s="2" t="s">
        <v>6035</v>
      </c>
      <c r="Z1231" s="4">
        <v>182</v>
      </c>
      <c r="AA1231" s="4">
        <f>=ROUNDDOWN(34.3396226415094,0)</f>
      </c>
      <c r="AB1231" s="5">
        <v>5.3</v>
      </c>
      <c r="AC1231" s="2" t="s">
        <v>228</v>
      </c>
      <c r="AD1231" s="4"/>
      <c r="AE1231" s="4"/>
      <c r="AF1231" s="6"/>
      <c r="AG1231" s="6"/>
      <c r="AH1231" s="7">
        <v>1</v>
      </c>
      <c r="AI1231" s="4"/>
      <c r="AJ1231" s="4">
        <f>=ROUNDDOWN({0},0)</f>
      </c>
      <c r="AK1231" s="5"/>
      <c r="AL1231" s="2" t="s">
        <v>228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/>
      <c r="AW1231" s="8"/>
      <c r="AX1231" s="4"/>
      <c r="AY1231" s="8"/>
      <c r="AZ1231" s="7"/>
      <c r="BA1231" s="7"/>
      <c r="BB1231" s="7"/>
      <c r="BC1231" s="4" t="s">
        <v>228</v>
      </c>
      <c r="BD1231" s="8" t="s">
        <v>228</v>
      </c>
      <c r="BE1231" s="4" t="s">
        <v>228</v>
      </c>
      <c r="BF1231" s="8" t="s">
        <v>228</v>
      </c>
      <c r="BG1231" s="7" t="s">
        <v>228</v>
      </c>
      <c r="BH1231" s="7" t="s">
        <v>228</v>
      </c>
      <c r="BI1231" s="7"/>
      <c r="BJ1231" s="4">
        <v>10</v>
      </c>
      <c r="BK1231" s="8">
        <v>96.65</v>
      </c>
      <c r="BL1231" s="2" t="s">
        <v>2220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6480</v>
      </c>
      <c r="BV1231" s="2" t="s">
        <v>228</v>
      </c>
      <c r="BW1231" s="2" t="s">
        <v>228</v>
      </c>
      <c r="BX1231" s="2" t="s">
        <v>337</v>
      </c>
      <c r="BY1231" s="2" t="s">
        <v>274</v>
      </c>
      <c r="BZ1231" s="2" t="s">
        <v>240</v>
      </c>
      <c r="CA1231" s="2" t="s">
        <v>2540</v>
      </c>
      <c r="CB1231" s="2" t="s">
        <v>6481</v>
      </c>
      <c r="CC1231" s="2" t="s">
        <v>241</v>
      </c>
      <c r="CD1231" s="2" t="s">
        <v>228</v>
      </c>
      <c r="CE1231" s="4"/>
      <c r="CF1231" s="4"/>
      <c r="CG1231" s="4"/>
      <c r="CH1231" s="4">
        <v>182</v>
      </c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  <c r="GH1231" s="4"/>
      <c r="GI1231" s="4"/>
      <c r="GJ1231" s="4"/>
      <c r="GK1231" s="4"/>
      <c r="GL1231" s="4"/>
      <c r="GM1231" s="4"/>
      <c r="GN1231" s="4"/>
      <c r="GO1231" s="4"/>
      <c r="GP1231" s="4"/>
      <c r="GQ1231" s="4"/>
      <c r="GR1231" s="4"/>
      <c r="GS1231" s="4"/>
      <c r="GT1231" s="4"/>
      <c r="GU1231" s="4"/>
      <c r="GV1231" s="4"/>
      <c r="GW1231" s="4"/>
      <c r="GX1231" s="4"/>
      <c r="GY1231" s="4"/>
      <c r="GZ1231" s="4"/>
      <c r="HA1231" s="4"/>
      <c r="HB1231" s="4"/>
      <c r="HC1231" s="4"/>
      <c r="HD1231" s="4"/>
      <c r="HE1231" s="4"/>
    </row>
    <row r="1232">
      <c r="A1232" s="2" t="s">
        <v>6482</v>
      </c>
      <c r="B1232" s="2" t="s">
        <v>2532</v>
      </c>
      <c r="C1232" s="2" t="s">
        <v>835</v>
      </c>
      <c r="D1232" s="2" t="s">
        <v>2533</v>
      </c>
      <c r="E1232" s="2" t="s">
        <v>2534</v>
      </c>
      <c r="F1232" s="2" t="s">
        <v>6483</v>
      </c>
      <c r="G1232" s="2" t="s">
        <v>6483</v>
      </c>
      <c r="H1232" s="2" t="s">
        <v>6483</v>
      </c>
      <c r="I1232" s="2" t="s">
        <v>6484</v>
      </c>
      <c r="J1232" s="2" t="s">
        <v>2920</v>
      </c>
      <c r="K1232" s="2" t="s">
        <v>6470</v>
      </c>
      <c r="L1232" s="3">
        <v>10.48</v>
      </c>
      <c r="M1232" s="3">
        <v>11</v>
      </c>
      <c r="N1232" s="3"/>
      <c r="O1232" s="2" t="s">
        <v>240</v>
      </c>
      <c r="P1232" s="2" t="s">
        <v>333</v>
      </c>
      <c r="Q1232" s="2" t="s">
        <v>234</v>
      </c>
      <c r="R1232" s="2" t="s">
        <v>228</v>
      </c>
      <c r="S1232" s="2" t="s">
        <v>228</v>
      </c>
      <c r="T1232" s="2" t="s">
        <v>228</v>
      </c>
      <c r="U1232" s="2" t="s">
        <v>416</v>
      </c>
      <c r="V1232" s="2" t="s">
        <v>842</v>
      </c>
      <c r="W1232" s="2" t="s">
        <v>228</v>
      </c>
      <c r="X1232" s="2" t="s">
        <v>228</v>
      </c>
      <c r="Y1232" s="2" t="s">
        <v>6463</v>
      </c>
      <c r="Z1232" s="4">
        <v>41</v>
      </c>
      <c r="AA1232" s="4">
        <f>=ROUNDDOWN(29.2857142857143,0)</f>
      </c>
      <c r="AB1232" s="5">
        <v>1.4</v>
      </c>
      <c r="AC1232" s="2" t="s">
        <v>228</v>
      </c>
      <c r="AD1232" s="4"/>
      <c r="AE1232" s="4"/>
      <c r="AF1232" s="6"/>
      <c r="AG1232" s="6"/>
      <c r="AH1232" s="7">
        <v>1</v>
      </c>
      <c r="AI1232" s="4"/>
      <c r="AJ1232" s="4">
        <f>=ROUNDDOWN({0},0)</f>
      </c>
      <c r="AK1232" s="5"/>
      <c r="AL1232" s="2" t="s">
        <v>228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/>
      <c r="AW1232" s="8"/>
      <c r="AX1232" s="4"/>
      <c r="AY1232" s="8"/>
      <c r="AZ1232" s="7"/>
      <c r="BA1232" s="7"/>
      <c r="BB1232" s="7"/>
      <c r="BC1232" s="4"/>
      <c r="BD1232" s="8"/>
      <c r="BE1232" s="4"/>
      <c r="BF1232" s="8"/>
      <c r="BG1232" s="7"/>
      <c r="BH1232" s="7"/>
      <c r="BI1232" s="7"/>
      <c r="BJ1232" s="4">
        <v>6</v>
      </c>
      <c r="BK1232" s="8">
        <v>60.48</v>
      </c>
      <c r="BL1232" s="2" t="s">
        <v>2220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6485</v>
      </c>
      <c r="BV1232" s="2" t="s">
        <v>228</v>
      </c>
      <c r="BW1232" s="2" t="s">
        <v>228</v>
      </c>
      <c r="BX1232" s="2" t="s">
        <v>337</v>
      </c>
      <c r="BY1232" s="2" t="s">
        <v>274</v>
      </c>
      <c r="BZ1232" s="2" t="s">
        <v>240</v>
      </c>
      <c r="CA1232" s="2" t="s">
        <v>6465</v>
      </c>
      <c r="CB1232" s="2" t="s">
        <v>3300</v>
      </c>
      <c r="CC1232" s="2" t="s">
        <v>241</v>
      </c>
      <c r="CD1232" s="2" t="s">
        <v>228</v>
      </c>
      <c r="CE1232" s="4"/>
      <c r="CF1232" s="4"/>
      <c r="CG1232" s="4"/>
      <c r="CH1232" s="4">
        <v>41</v>
      </c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/>
      <c r="GX1232" s="4"/>
      <c r="GY1232" s="4"/>
      <c r="GZ1232" s="4"/>
      <c r="HA1232" s="4"/>
      <c r="HB1232" s="4"/>
      <c r="HC1232" s="4"/>
      <c r="HD1232" s="4"/>
      <c r="HE1232" s="4"/>
    </row>
    <row r="1233">
      <c r="A1233" s="2" t="s">
        <v>6486</v>
      </c>
      <c r="B1233" s="2" t="s">
        <v>2532</v>
      </c>
      <c r="C1233" s="2" t="s">
        <v>835</v>
      </c>
      <c r="D1233" s="2" t="s">
        <v>2533</v>
      </c>
      <c r="E1233" s="2" t="s">
        <v>2534</v>
      </c>
      <c r="F1233" s="2" t="s">
        <v>6487</v>
      </c>
      <c r="G1233" s="2" t="s">
        <v>228</v>
      </c>
      <c r="H1233" s="2" t="s">
        <v>228</v>
      </c>
      <c r="I1233" s="2" t="s">
        <v>6488</v>
      </c>
      <c r="J1233" s="2" t="s">
        <v>6448</v>
      </c>
      <c r="K1233" s="2" t="s">
        <v>6489</v>
      </c>
      <c r="L1233" s="3">
        <v>11</v>
      </c>
      <c r="M1233" s="3">
        <v>11.55</v>
      </c>
      <c r="N1233" s="3">
        <v>32.99</v>
      </c>
      <c r="O1233" s="2" t="s">
        <v>240</v>
      </c>
      <c r="P1233" s="2" t="s">
        <v>889</v>
      </c>
      <c r="Q1233" s="2" t="s">
        <v>234</v>
      </c>
      <c r="R1233" s="2" t="s">
        <v>228</v>
      </c>
      <c r="S1233" s="2" t="s">
        <v>228</v>
      </c>
      <c r="T1233" s="2" t="s">
        <v>228</v>
      </c>
      <c r="U1233" s="2" t="s">
        <v>228</v>
      </c>
      <c r="V1233" s="2" t="s">
        <v>842</v>
      </c>
      <c r="W1233" s="2" t="s">
        <v>228</v>
      </c>
      <c r="X1233" s="2" t="s">
        <v>228</v>
      </c>
      <c r="Y1233" s="2" t="s">
        <v>4200</v>
      </c>
      <c r="Z1233" s="4">
        <v>378</v>
      </c>
      <c r="AA1233" s="4">
        <f>=ROUNDDOWN(18,0)</f>
      </c>
      <c r="AB1233" s="5">
        <v>21</v>
      </c>
      <c r="AC1233" s="2" t="s">
        <v>228</v>
      </c>
      <c r="AD1233" s="4"/>
      <c r="AE1233" s="4"/>
      <c r="AF1233" s="6"/>
      <c r="AG1233" s="6">
        <v>48</v>
      </c>
      <c r="AH1233" s="7">
        <v>1</v>
      </c>
      <c r="AI1233" s="4"/>
      <c r="AJ1233" s="4">
        <f>=ROUNDDOWN({0},0)</f>
      </c>
      <c r="AK1233" s="5"/>
      <c r="AL1233" s="2" t="s">
        <v>228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 t="s">
        <v>228</v>
      </c>
      <c r="AW1233" s="8" t="s">
        <v>228</v>
      </c>
      <c r="AX1233" s="4" t="s">
        <v>228</v>
      </c>
      <c r="AY1233" s="8" t="s">
        <v>228</v>
      </c>
      <c r="AZ1233" s="7" t="s">
        <v>228</v>
      </c>
      <c r="BA1233" s="7" t="s">
        <v>228</v>
      </c>
      <c r="BB1233" s="7"/>
      <c r="BC1233" s="4" t="s">
        <v>228</v>
      </c>
      <c r="BD1233" s="8" t="s">
        <v>228</v>
      </c>
      <c r="BE1233" s="4" t="s">
        <v>228</v>
      </c>
      <c r="BF1233" s="8" t="s">
        <v>228</v>
      </c>
      <c r="BG1233" s="7" t="s">
        <v>228</v>
      </c>
      <c r="BH1233" s="7" t="s">
        <v>228</v>
      </c>
      <c r="BI1233" s="7"/>
      <c r="BJ1233" s="4">
        <v>10</v>
      </c>
      <c r="BK1233" s="8">
        <v>165</v>
      </c>
      <c r="BL1233" s="2" t="s">
        <v>727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6490</v>
      </c>
      <c r="BV1233" s="2" t="s">
        <v>228</v>
      </c>
      <c r="BW1233" s="2" t="s">
        <v>228</v>
      </c>
      <c r="BX1233" s="2" t="s">
        <v>273</v>
      </c>
      <c r="BY1233" s="2" t="s">
        <v>274</v>
      </c>
      <c r="BZ1233" s="2" t="s">
        <v>240</v>
      </c>
      <c r="CA1233" s="2" t="s">
        <v>5992</v>
      </c>
      <c r="CB1233" s="2" t="s">
        <v>228</v>
      </c>
      <c r="CC1233" s="2" t="s">
        <v>241</v>
      </c>
      <c r="CD1233" s="2" t="s">
        <v>228</v>
      </c>
      <c r="CE1233" s="4"/>
      <c r="CF1233" s="4"/>
      <c r="CG1233" s="4"/>
      <c r="CH1233" s="4">
        <v>378</v>
      </c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/>
      <c r="GH1233" s="4"/>
      <c r="GI1233" s="4"/>
      <c r="GJ1233" s="4"/>
      <c r="GK1233" s="4"/>
      <c r="GL1233" s="4"/>
      <c r="GM1233" s="4"/>
      <c r="GN1233" s="4"/>
      <c r="GO1233" s="4"/>
      <c r="GP1233" s="4"/>
      <c r="GQ1233" s="4"/>
      <c r="GR1233" s="4"/>
      <c r="GS1233" s="4"/>
      <c r="GT1233" s="4"/>
      <c r="GU1233" s="4"/>
      <c r="GV1233" s="4"/>
      <c r="GW1233" s="4"/>
      <c r="GX1233" s="4"/>
      <c r="GY1233" s="4"/>
      <c r="GZ1233" s="4"/>
      <c r="HA1233" s="4"/>
      <c r="HB1233" s="4"/>
      <c r="HC1233" s="4"/>
      <c r="HD1233" s="4"/>
      <c r="HE1233" s="4"/>
    </row>
    <row r="1234">
      <c r="A1234" s="2" t="s">
        <v>6491</v>
      </c>
      <c r="B1234" s="2" t="s">
        <v>2532</v>
      </c>
      <c r="C1234" s="2" t="s">
        <v>835</v>
      </c>
      <c r="D1234" s="2" t="s">
        <v>2533</v>
      </c>
      <c r="E1234" s="2" t="s">
        <v>2534</v>
      </c>
      <c r="F1234" s="2" t="s">
        <v>6487</v>
      </c>
      <c r="G1234" s="2" t="s">
        <v>228</v>
      </c>
      <c r="H1234" s="2" t="s">
        <v>228</v>
      </c>
      <c r="I1234" s="2" t="s">
        <v>6488</v>
      </c>
      <c r="J1234" s="2" t="s">
        <v>6442</v>
      </c>
      <c r="K1234" s="2" t="s">
        <v>6489</v>
      </c>
      <c r="L1234" s="3">
        <v>11</v>
      </c>
      <c r="M1234" s="3">
        <v>11.55</v>
      </c>
      <c r="N1234" s="3">
        <v>32.99</v>
      </c>
      <c r="O1234" s="2" t="s">
        <v>240</v>
      </c>
      <c r="P1234" s="2" t="s">
        <v>889</v>
      </c>
      <c r="Q1234" s="2" t="s">
        <v>234</v>
      </c>
      <c r="R1234" s="2" t="s">
        <v>228</v>
      </c>
      <c r="S1234" s="2" t="s">
        <v>228</v>
      </c>
      <c r="T1234" s="2" t="s">
        <v>228</v>
      </c>
      <c r="U1234" s="2" t="s">
        <v>228</v>
      </c>
      <c r="V1234" s="2" t="s">
        <v>842</v>
      </c>
      <c r="W1234" s="2" t="s">
        <v>228</v>
      </c>
      <c r="X1234" s="2" t="s">
        <v>228</v>
      </c>
      <c r="Y1234" s="2" t="s">
        <v>4200</v>
      </c>
      <c r="Z1234" s="4">
        <v>416</v>
      </c>
      <c r="AA1234" s="4">
        <f>=ROUNDDOWN(138.666666666667,0)</f>
      </c>
      <c r="AB1234" s="5">
        <v>3</v>
      </c>
      <c r="AC1234" s="2" t="s">
        <v>228</v>
      </c>
      <c r="AD1234" s="4"/>
      <c r="AE1234" s="4"/>
      <c r="AF1234" s="6"/>
      <c r="AG1234" s="6">
        <v>48</v>
      </c>
      <c r="AH1234" s="7">
        <v>1</v>
      </c>
      <c r="AI1234" s="4"/>
      <c r="AJ1234" s="4">
        <f>=ROUNDDOWN({0},0)</f>
      </c>
      <c r="AK1234" s="5"/>
      <c r="AL1234" s="2" t="s">
        <v>228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228</v>
      </c>
      <c r="AW1234" s="8" t="s">
        <v>228</v>
      </c>
      <c r="AX1234" s="4" t="s">
        <v>228</v>
      </c>
      <c r="AY1234" s="8" t="s">
        <v>228</v>
      </c>
      <c r="AZ1234" s="7" t="s">
        <v>228</v>
      </c>
      <c r="BA1234" s="7" t="s">
        <v>228</v>
      </c>
      <c r="BB1234" s="7"/>
      <c r="BC1234" s="4" t="s">
        <v>228</v>
      </c>
      <c r="BD1234" s="8" t="s">
        <v>228</v>
      </c>
      <c r="BE1234" s="4" t="s">
        <v>228</v>
      </c>
      <c r="BF1234" s="8" t="s">
        <v>228</v>
      </c>
      <c r="BG1234" s="7" t="s">
        <v>228</v>
      </c>
      <c r="BH1234" s="7" t="s">
        <v>228</v>
      </c>
      <c r="BI1234" s="7"/>
      <c r="BJ1234" s="4">
        <v>2</v>
      </c>
      <c r="BK1234" s="8">
        <v>34</v>
      </c>
      <c r="BL1234" s="2" t="s">
        <v>6492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6493</v>
      </c>
      <c r="BV1234" s="2" t="s">
        <v>228</v>
      </c>
      <c r="BW1234" s="2" t="s">
        <v>228</v>
      </c>
      <c r="BX1234" s="2" t="s">
        <v>273</v>
      </c>
      <c r="BY1234" s="2" t="s">
        <v>274</v>
      </c>
      <c r="BZ1234" s="2" t="s">
        <v>240</v>
      </c>
      <c r="CA1234" s="2" t="s">
        <v>5992</v>
      </c>
      <c r="CB1234" s="2" t="s">
        <v>228</v>
      </c>
      <c r="CC1234" s="2" t="s">
        <v>241</v>
      </c>
      <c r="CD1234" s="2" t="s">
        <v>228</v>
      </c>
      <c r="CE1234" s="4"/>
      <c r="CF1234" s="4"/>
      <c r="CG1234" s="4"/>
      <c r="CH1234" s="4">
        <v>416</v>
      </c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4"/>
      <c r="HE1234" s="4"/>
    </row>
    <row r="1235">
      <c r="A1235" s="2" t="s">
        <v>6494</v>
      </c>
      <c r="B1235" s="2" t="s">
        <v>2532</v>
      </c>
      <c r="C1235" s="2" t="s">
        <v>835</v>
      </c>
      <c r="D1235" s="2" t="s">
        <v>2533</v>
      </c>
      <c r="E1235" s="2" t="s">
        <v>2534</v>
      </c>
      <c r="F1235" s="2" t="s">
        <v>6487</v>
      </c>
      <c r="G1235" s="2" t="s">
        <v>228</v>
      </c>
      <c r="H1235" s="2" t="s">
        <v>228</v>
      </c>
      <c r="I1235" s="2" t="s">
        <v>6488</v>
      </c>
      <c r="J1235" s="2" t="s">
        <v>6442</v>
      </c>
      <c r="K1235" s="2" t="s">
        <v>6495</v>
      </c>
      <c r="L1235" s="3">
        <v>11</v>
      </c>
      <c r="M1235" s="3">
        <v>11.55</v>
      </c>
      <c r="N1235" s="3">
        <v>32.99</v>
      </c>
      <c r="O1235" s="2" t="s">
        <v>240</v>
      </c>
      <c r="P1235" s="2" t="s">
        <v>889</v>
      </c>
      <c r="Q1235" s="2" t="s">
        <v>234</v>
      </c>
      <c r="R1235" s="2" t="s">
        <v>228</v>
      </c>
      <c r="S1235" s="2" t="s">
        <v>228</v>
      </c>
      <c r="T1235" s="2" t="s">
        <v>228</v>
      </c>
      <c r="U1235" s="2" t="s">
        <v>228</v>
      </c>
      <c r="V1235" s="2" t="s">
        <v>842</v>
      </c>
      <c r="W1235" s="2" t="s">
        <v>228</v>
      </c>
      <c r="X1235" s="2" t="s">
        <v>228</v>
      </c>
      <c r="Y1235" s="2" t="s">
        <v>4200</v>
      </c>
      <c r="Z1235" s="4">
        <v>838</v>
      </c>
      <c r="AA1235" s="4">
        <f>=ROUNDDOWN(419,0)</f>
      </c>
      <c r="AB1235" s="5">
        <v>2</v>
      </c>
      <c r="AC1235" s="2" t="s">
        <v>228</v>
      </c>
      <c r="AD1235" s="4"/>
      <c r="AE1235" s="4"/>
      <c r="AF1235" s="6"/>
      <c r="AG1235" s="6">
        <v>48</v>
      </c>
      <c r="AH1235" s="7">
        <v>1</v>
      </c>
      <c r="AI1235" s="4"/>
      <c r="AJ1235" s="4">
        <f>=ROUNDDOWN({0},0)</f>
      </c>
      <c r="AK1235" s="5"/>
      <c r="AL1235" s="2" t="s">
        <v>228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/>
      <c r="AW1235" s="8"/>
      <c r="AX1235" s="4"/>
      <c r="AY1235" s="8"/>
      <c r="AZ1235" s="7"/>
      <c r="BA1235" s="7"/>
      <c r="BB1235" s="7"/>
      <c r="BC1235" s="4" t="s">
        <v>228</v>
      </c>
      <c r="BD1235" s="8" t="s">
        <v>228</v>
      </c>
      <c r="BE1235" s="4" t="s">
        <v>228</v>
      </c>
      <c r="BF1235" s="8" t="s">
        <v>228</v>
      </c>
      <c r="BG1235" s="7" t="s">
        <v>228</v>
      </c>
      <c r="BH1235" s="7" t="s">
        <v>228</v>
      </c>
      <c r="BI1235" s="7"/>
      <c r="BJ1235" s="4">
        <v>1</v>
      </c>
      <c r="BK1235" s="8">
        <v>17</v>
      </c>
      <c r="BL1235" s="2" t="s">
        <v>6492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6496</v>
      </c>
      <c r="BV1235" s="2" t="s">
        <v>228</v>
      </c>
      <c r="BW1235" s="2" t="s">
        <v>228</v>
      </c>
      <c r="BX1235" s="2" t="s">
        <v>273</v>
      </c>
      <c r="BY1235" s="2" t="s">
        <v>274</v>
      </c>
      <c r="BZ1235" s="2" t="s">
        <v>240</v>
      </c>
      <c r="CA1235" s="2" t="s">
        <v>511</v>
      </c>
      <c r="CB1235" s="2" t="s">
        <v>1720</v>
      </c>
      <c r="CC1235" s="2" t="s">
        <v>241</v>
      </c>
      <c r="CD1235" s="2" t="s">
        <v>228</v>
      </c>
      <c r="CE1235" s="4"/>
      <c r="CF1235" s="4"/>
      <c r="CG1235" s="4"/>
      <c r="CH1235" s="4">
        <v>838</v>
      </c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  <c r="GI1235" s="4"/>
      <c r="GJ1235" s="4"/>
      <c r="GK1235" s="4"/>
      <c r="GL1235" s="4"/>
      <c r="GM1235" s="4"/>
      <c r="GN1235" s="4"/>
      <c r="GO1235" s="4"/>
      <c r="GP1235" s="4"/>
      <c r="GQ1235" s="4"/>
      <c r="GR1235" s="4"/>
      <c r="GS1235" s="4"/>
      <c r="GT1235" s="4"/>
      <c r="GU1235" s="4"/>
      <c r="GV1235" s="4"/>
      <c r="GW1235" s="4"/>
      <c r="GX1235" s="4"/>
      <c r="GY1235" s="4"/>
      <c r="GZ1235" s="4"/>
      <c r="HA1235" s="4"/>
      <c r="HB1235" s="4"/>
      <c r="HC1235" s="4"/>
      <c r="HD1235" s="4"/>
      <c r="HE1235" s="4"/>
    </row>
    <row r="1236">
      <c r="A1236" s="2" t="s">
        <v>6497</v>
      </c>
      <c r="B1236" s="2" t="s">
        <v>2532</v>
      </c>
      <c r="C1236" s="2" t="s">
        <v>835</v>
      </c>
      <c r="D1236" s="2" t="s">
        <v>2533</v>
      </c>
      <c r="E1236" s="2" t="s">
        <v>2534</v>
      </c>
      <c r="F1236" s="2" t="s">
        <v>6498</v>
      </c>
      <c r="G1236" s="2" t="s">
        <v>228</v>
      </c>
      <c r="H1236" s="2" t="s">
        <v>228</v>
      </c>
      <c r="I1236" s="2" t="s">
        <v>6499</v>
      </c>
      <c r="J1236" s="2" t="s">
        <v>6442</v>
      </c>
      <c r="K1236" s="2" t="s">
        <v>4653</v>
      </c>
      <c r="L1236" s="3">
        <v>12.71</v>
      </c>
      <c r="M1236" s="3">
        <v>13.35</v>
      </c>
      <c r="N1236" s="3">
        <v>29.99</v>
      </c>
      <c r="O1236" s="2" t="s">
        <v>240</v>
      </c>
      <c r="P1236" s="2" t="s">
        <v>333</v>
      </c>
      <c r="Q1236" s="2" t="s">
        <v>234</v>
      </c>
      <c r="R1236" s="2" t="s">
        <v>228</v>
      </c>
      <c r="S1236" s="2" t="s">
        <v>228</v>
      </c>
      <c r="T1236" s="2" t="s">
        <v>228</v>
      </c>
      <c r="U1236" s="2" t="s">
        <v>228</v>
      </c>
      <c r="V1236" s="2" t="s">
        <v>1156</v>
      </c>
      <c r="W1236" s="2" t="s">
        <v>228</v>
      </c>
      <c r="X1236" s="2" t="s">
        <v>228</v>
      </c>
      <c r="Y1236" s="2" t="s">
        <v>6500</v>
      </c>
      <c r="Z1236" s="4">
        <v>231</v>
      </c>
      <c r="AA1236" s="4">
        <f>=ROUNDDOWN(46.2,0)</f>
      </c>
      <c r="AB1236" s="5">
        <v>5</v>
      </c>
      <c r="AC1236" s="2" t="s">
        <v>228</v>
      </c>
      <c r="AD1236" s="4"/>
      <c r="AE1236" s="4"/>
      <c r="AF1236" s="6"/>
      <c r="AG1236" s="6">
        <v>48</v>
      </c>
      <c r="AH1236" s="7">
        <v>1</v>
      </c>
      <c r="AI1236" s="4"/>
      <c r="AJ1236" s="4">
        <f>=ROUNDDOWN({0},0)</f>
      </c>
      <c r="AK1236" s="5"/>
      <c r="AL1236" s="2" t="s">
        <v>228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/>
      <c r="AW1236" s="8"/>
      <c r="AX1236" s="4"/>
      <c r="AY1236" s="8"/>
      <c r="AZ1236" s="7"/>
      <c r="BA1236" s="7"/>
      <c r="BB1236" s="7"/>
      <c r="BC1236" s="4" t="s">
        <v>228</v>
      </c>
      <c r="BD1236" s="8" t="s">
        <v>228</v>
      </c>
      <c r="BE1236" s="4" t="s">
        <v>228</v>
      </c>
      <c r="BF1236" s="8" t="s">
        <v>228</v>
      </c>
      <c r="BG1236" s="7" t="s">
        <v>228</v>
      </c>
      <c r="BH1236" s="7" t="s">
        <v>228</v>
      </c>
      <c r="BI1236" s="7"/>
      <c r="BJ1236" s="4">
        <v>3</v>
      </c>
      <c r="BK1236" s="8">
        <v>38.55</v>
      </c>
      <c r="BL1236" s="2" t="s">
        <v>6492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6501</v>
      </c>
      <c r="BV1236" s="2" t="s">
        <v>228</v>
      </c>
      <c r="BW1236" s="2" t="s">
        <v>228</v>
      </c>
      <c r="BX1236" s="2" t="s">
        <v>337</v>
      </c>
      <c r="BY1236" s="2" t="s">
        <v>274</v>
      </c>
      <c r="BZ1236" s="2" t="s">
        <v>240</v>
      </c>
      <c r="CA1236" s="2" t="s">
        <v>511</v>
      </c>
      <c r="CB1236" s="2" t="s">
        <v>228</v>
      </c>
      <c r="CC1236" s="2" t="s">
        <v>241</v>
      </c>
      <c r="CD1236" s="2" t="s">
        <v>228</v>
      </c>
      <c r="CE1236" s="4"/>
      <c r="CF1236" s="4"/>
      <c r="CG1236" s="4"/>
      <c r="CH1236" s="4">
        <v>231</v>
      </c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/>
      <c r="GW1236" s="4"/>
      <c r="GX1236" s="4"/>
      <c r="GY1236" s="4"/>
      <c r="GZ1236" s="4"/>
      <c r="HA1236" s="4"/>
      <c r="HB1236" s="4"/>
      <c r="HC1236" s="4"/>
      <c r="HD1236" s="4"/>
      <c r="HE1236" s="4"/>
    </row>
    <row r="1237">
      <c r="A1237" s="2" t="s">
        <v>6502</v>
      </c>
      <c r="B1237" s="2" t="s">
        <v>2532</v>
      </c>
      <c r="C1237" s="2" t="s">
        <v>835</v>
      </c>
      <c r="D1237" s="2" t="s">
        <v>2533</v>
      </c>
      <c r="E1237" s="2" t="s">
        <v>2534</v>
      </c>
      <c r="F1237" s="2" t="s">
        <v>6498</v>
      </c>
      <c r="G1237" s="2" t="s">
        <v>228</v>
      </c>
      <c r="H1237" s="2" t="s">
        <v>228</v>
      </c>
      <c r="I1237" s="2" t="s">
        <v>6499</v>
      </c>
      <c r="J1237" s="2" t="s">
        <v>6448</v>
      </c>
      <c r="K1237" s="2" t="s">
        <v>6503</v>
      </c>
      <c r="L1237" s="3">
        <v>12.71</v>
      </c>
      <c r="M1237" s="3">
        <v>13.35</v>
      </c>
      <c r="N1237" s="3">
        <v>29.99</v>
      </c>
      <c r="O1237" s="2" t="s">
        <v>240</v>
      </c>
      <c r="P1237" s="2" t="s">
        <v>333</v>
      </c>
      <c r="Q1237" s="2" t="s">
        <v>234</v>
      </c>
      <c r="R1237" s="2" t="s">
        <v>228</v>
      </c>
      <c r="S1237" s="2" t="s">
        <v>228</v>
      </c>
      <c r="T1237" s="2" t="s">
        <v>228</v>
      </c>
      <c r="U1237" s="2" t="s">
        <v>228</v>
      </c>
      <c r="V1237" s="2" t="s">
        <v>1302</v>
      </c>
      <c r="W1237" s="2" t="s">
        <v>228</v>
      </c>
      <c r="X1237" s="2" t="s">
        <v>228</v>
      </c>
      <c r="Y1237" s="2" t="s">
        <v>6504</v>
      </c>
      <c r="Z1237" s="4">
        <v>35</v>
      </c>
      <c r="AA1237" s="4">
        <f>=ROUNDDOWN(8.75,0)</f>
      </c>
      <c r="AB1237" s="5">
        <v>4</v>
      </c>
      <c r="AC1237" s="2" t="s">
        <v>228</v>
      </c>
      <c r="AD1237" s="4"/>
      <c r="AE1237" s="4"/>
      <c r="AF1237" s="6"/>
      <c r="AG1237" s="6">
        <v>48</v>
      </c>
      <c r="AH1237" s="7">
        <v>1</v>
      </c>
      <c r="AI1237" s="4"/>
      <c r="AJ1237" s="4">
        <f>=ROUNDDOWN({0},0)</f>
      </c>
      <c r="AK1237" s="5"/>
      <c r="AL1237" s="2" t="s">
        <v>228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228</v>
      </c>
      <c r="AW1237" s="8" t="s">
        <v>228</v>
      </c>
      <c r="AX1237" s="4" t="s">
        <v>228</v>
      </c>
      <c r="AY1237" s="8" t="s">
        <v>228</v>
      </c>
      <c r="AZ1237" s="7" t="s">
        <v>228</v>
      </c>
      <c r="BA1237" s="7" t="s">
        <v>228</v>
      </c>
      <c r="BB1237" s="7"/>
      <c r="BC1237" s="4" t="s">
        <v>228</v>
      </c>
      <c r="BD1237" s="8" t="s">
        <v>228</v>
      </c>
      <c r="BE1237" s="4" t="s">
        <v>228</v>
      </c>
      <c r="BF1237" s="8" t="s">
        <v>228</v>
      </c>
      <c r="BG1237" s="7" t="s">
        <v>228</v>
      </c>
      <c r="BH1237" s="7" t="s">
        <v>228</v>
      </c>
      <c r="BI1237" s="7"/>
      <c r="BJ1237" s="4">
        <v>4</v>
      </c>
      <c r="BK1237" s="8">
        <v>53.55</v>
      </c>
      <c r="BL1237" s="2" t="s">
        <v>6492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6505</v>
      </c>
      <c r="BV1237" s="2" t="s">
        <v>228</v>
      </c>
      <c r="BW1237" s="2" t="s">
        <v>228</v>
      </c>
      <c r="BX1237" s="2" t="s">
        <v>337</v>
      </c>
      <c r="BY1237" s="2" t="s">
        <v>274</v>
      </c>
      <c r="BZ1237" s="2" t="s">
        <v>240</v>
      </c>
      <c r="CA1237" s="2" t="s">
        <v>511</v>
      </c>
      <c r="CB1237" s="2" t="s">
        <v>228</v>
      </c>
      <c r="CC1237" s="2" t="s">
        <v>241</v>
      </c>
      <c r="CD1237" s="2" t="s">
        <v>228</v>
      </c>
      <c r="CE1237" s="4"/>
      <c r="CF1237" s="4"/>
      <c r="CG1237" s="4"/>
      <c r="CH1237" s="4">
        <v>35</v>
      </c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  <c r="GH1237" s="4"/>
      <c r="GI1237" s="4"/>
      <c r="GJ1237" s="4"/>
      <c r="GK1237" s="4"/>
      <c r="GL1237" s="4"/>
      <c r="GM1237" s="4"/>
      <c r="GN1237" s="4"/>
      <c r="GO1237" s="4"/>
      <c r="GP1237" s="4"/>
      <c r="GQ1237" s="4"/>
      <c r="GR1237" s="4"/>
      <c r="GS1237" s="4"/>
      <c r="GT1237" s="4"/>
      <c r="GU1237" s="4"/>
      <c r="GV1237" s="4"/>
      <c r="GW1237" s="4"/>
      <c r="GX1237" s="4"/>
      <c r="GY1237" s="4"/>
      <c r="GZ1237" s="4"/>
      <c r="HA1237" s="4"/>
      <c r="HB1237" s="4"/>
      <c r="HC1237" s="4"/>
      <c r="HD1237" s="4"/>
      <c r="HE1237" s="4"/>
    </row>
    <row r="1238">
      <c r="A1238" s="2" t="s">
        <v>6506</v>
      </c>
      <c r="B1238" s="2" t="s">
        <v>2532</v>
      </c>
      <c r="C1238" s="2" t="s">
        <v>835</v>
      </c>
      <c r="D1238" s="2" t="s">
        <v>2533</v>
      </c>
      <c r="E1238" s="2" t="s">
        <v>2534</v>
      </c>
      <c r="F1238" s="2" t="s">
        <v>6498</v>
      </c>
      <c r="G1238" s="2" t="s">
        <v>228</v>
      </c>
      <c r="H1238" s="2" t="s">
        <v>228</v>
      </c>
      <c r="I1238" s="2" t="s">
        <v>6499</v>
      </c>
      <c r="J1238" s="2" t="s">
        <v>6442</v>
      </c>
      <c r="K1238" s="2" t="s">
        <v>6503</v>
      </c>
      <c r="L1238" s="3">
        <v>12.71</v>
      </c>
      <c r="M1238" s="3">
        <v>13.35</v>
      </c>
      <c r="N1238" s="3">
        <v>29.99</v>
      </c>
      <c r="O1238" s="2" t="s">
        <v>240</v>
      </c>
      <c r="P1238" s="2" t="s">
        <v>333</v>
      </c>
      <c r="Q1238" s="2" t="s">
        <v>234</v>
      </c>
      <c r="R1238" s="2" t="s">
        <v>228</v>
      </c>
      <c r="S1238" s="2" t="s">
        <v>228</v>
      </c>
      <c r="T1238" s="2" t="s">
        <v>228</v>
      </c>
      <c r="U1238" s="2" t="s">
        <v>228</v>
      </c>
      <c r="V1238" s="2" t="s">
        <v>1302</v>
      </c>
      <c r="W1238" s="2" t="s">
        <v>228</v>
      </c>
      <c r="X1238" s="2" t="s">
        <v>228</v>
      </c>
      <c r="Y1238" s="2" t="s">
        <v>6504</v>
      </c>
      <c r="Z1238" s="4">
        <v>238</v>
      </c>
      <c r="AA1238" s="4">
        <f>=ROUNDDOWN(140,0)</f>
      </c>
      <c r="AB1238" s="5">
        <v>1.7</v>
      </c>
      <c r="AC1238" s="2" t="s">
        <v>228</v>
      </c>
      <c r="AD1238" s="4"/>
      <c r="AE1238" s="4"/>
      <c r="AF1238" s="6"/>
      <c r="AG1238" s="6">
        <v>48</v>
      </c>
      <c r="AH1238" s="7">
        <v>1</v>
      </c>
      <c r="AI1238" s="4"/>
      <c r="AJ1238" s="4">
        <f>=ROUNDDOWN({0},0)</f>
      </c>
      <c r="AK1238" s="5"/>
      <c r="AL1238" s="2" t="s">
        <v>228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228</v>
      </c>
      <c r="AW1238" s="8" t="s">
        <v>228</v>
      </c>
      <c r="AX1238" s="4" t="s">
        <v>228</v>
      </c>
      <c r="AY1238" s="8" t="s">
        <v>228</v>
      </c>
      <c r="AZ1238" s="7" t="s">
        <v>228</v>
      </c>
      <c r="BA1238" s="7" t="s">
        <v>228</v>
      </c>
      <c r="BB1238" s="7"/>
      <c r="BC1238" s="4" t="s">
        <v>228</v>
      </c>
      <c r="BD1238" s="8" t="s">
        <v>228</v>
      </c>
      <c r="BE1238" s="4" t="s">
        <v>228</v>
      </c>
      <c r="BF1238" s="8" t="s">
        <v>228</v>
      </c>
      <c r="BG1238" s="7" t="s">
        <v>228</v>
      </c>
      <c r="BH1238" s="7" t="s">
        <v>228</v>
      </c>
      <c r="BI1238" s="7"/>
      <c r="BJ1238" s="4">
        <v>5</v>
      </c>
      <c r="BK1238" s="8">
        <v>64.25</v>
      </c>
      <c r="BL1238" s="2" t="s">
        <v>708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6507</v>
      </c>
      <c r="BV1238" s="2" t="s">
        <v>228</v>
      </c>
      <c r="BW1238" s="2" t="s">
        <v>228</v>
      </c>
      <c r="BX1238" s="2" t="s">
        <v>337</v>
      </c>
      <c r="BY1238" s="2" t="s">
        <v>274</v>
      </c>
      <c r="BZ1238" s="2" t="s">
        <v>240</v>
      </c>
      <c r="CA1238" s="2" t="s">
        <v>511</v>
      </c>
      <c r="CB1238" s="2" t="s">
        <v>6481</v>
      </c>
      <c r="CC1238" s="2" t="s">
        <v>241</v>
      </c>
      <c r="CD1238" s="2" t="s">
        <v>228</v>
      </c>
      <c r="CE1238" s="4"/>
      <c r="CF1238" s="4"/>
      <c r="CG1238" s="4"/>
      <c r="CH1238" s="4">
        <v>238</v>
      </c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  <c r="GS1238" s="4"/>
      <c r="GT1238" s="4"/>
      <c r="GU1238" s="4"/>
      <c r="GV1238" s="4"/>
      <c r="GW1238" s="4"/>
      <c r="GX1238" s="4"/>
      <c r="GY1238" s="4"/>
      <c r="GZ1238" s="4"/>
      <c r="HA1238" s="4"/>
      <c r="HB1238" s="4"/>
      <c r="HC1238" s="4"/>
      <c r="HD1238" s="4"/>
      <c r="HE1238" s="4"/>
    </row>
    <row r="1239">
      <c r="A1239" s="2" t="s">
        <v>6508</v>
      </c>
      <c r="B1239" s="2" t="s">
        <v>2532</v>
      </c>
      <c r="C1239" s="2" t="s">
        <v>835</v>
      </c>
      <c r="D1239" s="2" t="s">
        <v>2533</v>
      </c>
      <c r="E1239" s="2" t="s">
        <v>2534</v>
      </c>
      <c r="F1239" s="2" t="s">
        <v>6498</v>
      </c>
      <c r="G1239" s="2" t="s">
        <v>228</v>
      </c>
      <c r="H1239" s="2" t="s">
        <v>228</v>
      </c>
      <c r="I1239" s="2" t="s">
        <v>6499</v>
      </c>
      <c r="J1239" s="2" t="s">
        <v>6448</v>
      </c>
      <c r="K1239" s="2" t="s">
        <v>6509</v>
      </c>
      <c r="L1239" s="3">
        <v>12.71</v>
      </c>
      <c r="M1239" s="3">
        <v>13.35</v>
      </c>
      <c r="N1239" s="3">
        <v>29.99</v>
      </c>
      <c r="O1239" s="2" t="s">
        <v>240</v>
      </c>
      <c r="P1239" s="2" t="s">
        <v>333</v>
      </c>
      <c r="Q1239" s="2" t="s">
        <v>234</v>
      </c>
      <c r="R1239" s="2" t="s">
        <v>228</v>
      </c>
      <c r="S1239" s="2" t="s">
        <v>228</v>
      </c>
      <c r="T1239" s="2" t="s">
        <v>228</v>
      </c>
      <c r="U1239" s="2" t="s">
        <v>228</v>
      </c>
      <c r="V1239" s="2" t="s">
        <v>1156</v>
      </c>
      <c r="W1239" s="2" t="s">
        <v>228</v>
      </c>
      <c r="X1239" s="2" t="s">
        <v>228</v>
      </c>
      <c r="Y1239" s="2" t="s">
        <v>6504</v>
      </c>
      <c r="Z1239" s="4">
        <v>198</v>
      </c>
      <c r="AA1239" s="4">
        <f>=ROUNDDOWN(33,0)</f>
      </c>
      <c r="AB1239" s="5">
        <v>6</v>
      </c>
      <c r="AC1239" s="2" t="s">
        <v>228</v>
      </c>
      <c r="AD1239" s="4"/>
      <c r="AE1239" s="4"/>
      <c r="AF1239" s="6"/>
      <c r="AG1239" s="6">
        <v>48</v>
      </c>
      <c r="AH1239" s="7">
        <v>1</v>
      </c>
      <c r="AI1239" s="4"/>
      <c r="AJ1239" s="4">
        <f>=ROUNDDOWN({0},0)</f>
      </c>
      <c r="AK1239" s="5"/>
      <c r="AL1239" s="2" t="s">
        <v>228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228</v>
      </c>
      <c r="AW1239" s="8" t="s">
        <v>228</v>
      </c>
      <c r="AX1239" s="4" t="s">
        <v>228</v>
      </c>
      <c r="AY1239" s="8" t="s">
        <v>228</v>
      </c>
      <c r="AZ1239" s="7" t="s">
        <v>228</v>
      </c>
      <c r="BA1239" s="7" t="s">
        <v>228</v>
      </c>
      <c r="BB1239" s="7"/>
      <c r="BC1239" s="4" t="s">
        <v>228</v>
      </c>
      <c r="BD1239" s="8" t="s">
        <v>228</v>
      </c>
      <c r="BE1239" s="4" t="s">
        <v>228</v>
      </c>
      <c r="BF1239" s="8" t="s">
        <v>228</v>
      </c>
      <c r="BG1239" s="7" t="s">
        <v>228</v>
      </c>
      <c r="BH1239" s="7" t="s">
        <v>228</v>
      </c>
      <c r="BI1239" s="7"/>
      <c r="BJ1239" s="4">
        <v>2</v>
      </c>
      <c r="BK1239" s="8">
        <v>25.7</v>
      </c>
      <c r="BL1239" s="2" t="s">
        <v>6492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6510</v>
      </c>
      <c r="BV1239" s="2" t="s">
        <v>228</v>
      </c>
      <c r="BW1239" s="2" t="s">
        <v>228</v>
      </c>
      <c r="BX1239" s="2" t="s">
        <v>337</v>
      </c>
      <c r="BY1239" s="2" t="s">
        <v>274</v>
      </c>
      <c r="BZ1239" s="2" t="s">
        <v>240</v>
      </c>
      <c r="CA1239" s="2" t="s">
        <v>511</v>
      </c>
      <c r="CB1239" s="2" t="s">
        <v>228</v>
      </c>
      <c r="CC1239" s="2" t="s">
        <v>241</v>
      </c>
      <c r="CD1239" s="2" t="s">
        <v>228</v>
      </c>
      <c r="CE1239" s="4"/>
      <c r="CF1239" s="4"/>
      <c r="CG1239" s="4"/>
      <c r="CH1239" s="4">
        <v>198</v>
      </c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  <c r="GH1239" s="4"/>
      <c r="GI1239" s="4"/>
      <c r="GJ1239" s="4"/>
      <c r="GK1239" s="4"/>
      <c r="GL1239" s="4"/>
      <c r="GM1239" s="4"/>
      <c r="GN1239" s="4"/>
      <c r="GO1239" s="4"/>
      <c r="GP1239" s="4"/>
      <c r="GQ1239" s="4"/>
      <c r="GR1239" s="4"/>
      <c r="GS1239" s="4"/>
      <c r="GT1239" s="4"/>
      <c r="GU1239" s="4"/>
      <c r="GV1239" s="4"/>
      <c r="GW1239" s="4"/>
      <c r="GX1239" s="4"/>
      <c r="GY1239" s="4"/>
      <c r="GZ1239" s="4"/>
      <c r="HA1239" s="4"/>
      <c r="HB1239" s="4"/>
      <c r="HC1239" s="4"/>
      <c r="HD1239" s="4"/>
      <c r="HE1239" s="4"/>
    </row>
    <row r="1240">
      <c r="A1240" s="2" t="s">
        <v>6511</v>
      </c>
      <c r="B1240" s="2" t="s">
        <v>2532</v>
      </c>
      <c r="C1240" s="2" t="s">
        <v>835</v>
      </c>
      <c r="D1240" s="2" t="s">
        <v>2533</v>
      </c>
      <c r="E1240" s="2" t="s">
        <v>2534</v>
      </c>
      <c r="F1240" s="2" t="s">
        <v>6498</v>
      </c>
      <c r="G1240" s="2" t="s">
        <v>228</v>
      </c>
      <c r="H1240" s="2" t="s">
        <v>228</v>
      </c>
      <c r="I1240" s="2" t="s">
        <v>6499</v>
      </c>
      <c r="J1240" s="2" t="s">
        <v>6442</v>
      </c>
      <c r="K1240" s="2" t="s">
        <v>6509</v>
      </c>
      <c r="L1240" s="3">
        <v>12.71</v>
      </c>
      <c r="M1240" s="3">
        <v>13.35</v>
      </c>
      <c r="N1240" s="3">
        <v>29.99</v>
      </c>
      <c r="O1240" s="2" t="s">
        <v>240</v>
      </c>
      <c r="P1240" s="2" t="s">
        <v>333</v>
      </c>
      <c r="Q1240" s="2" t="s">
        <v>234</v>
      </c>
      <c r="R1240" s="2" t="s">
        <v>228</v>
      </c>
      <c r="S1240" s="2" t="s">
        <v>228</v>
      </c>
      <c r="T1240" s="2" t="s">
        <v>228</v>
      </c>
      <c r="U1240" s="2" t="s">
        <v>228</v>
      </c>
      <c r="V1240" s="2" t="s">
        <v>1156</v>
      </c>
      <c r="W1240" s="2" t="s">
        <v>228</v>
      </c>
      <c r="X1240" s="2" t="s">
        <v>228</v>
      </c>
      <c r="Y1240" s="2" t="s">
        <v>6504</v>
      </c>
      <c r="Z1240" s="4">
        <v>410</v>
      </c>
      <c r="AA1240" s="4">
        <f>=ROUNDDOWN(68.3333333333333,0)</f>
      </c>
      <c r="AB1240" s="5">
        <v>6</v>
      </c>
      <c r="AC1240" s="2" t="s">
        <v>228</v>
      </c>
      <c r="AD1240" s="4"/>
      <c r="AE1240" s="4"/>
      <c r="AF1240" s="6"/>
      <c r="AG1240" s="6">
        <v>48</v>
      </c>
      <c r="AH1240" s="7">
        <v>1</v>
      </c>
      <c r="AI1240" s="4"/>
      <c r="AJ1240" s="4">
        <f>=ROUNDDOWN({0},0)</f>
      </c>
      <c r="AK1240" s="5"/>
      <c r="AL1240" s="2" t="s">
        <v>228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228</v>
      </c>
      <c r="AW1240" s="8" t="s">
        <v>228</v>
      </c>
      <c r="AX1240" s="4" t="s">
        <v>228</v>
      </c>
      <c r="AY1240" s="8" t="s">
        <v>228</v>
      </c>
      <c r="AZ1240" s="7" t="s">
        <v>228</v>
      </c>
      <c r="BA1240" s="7" t="s">
        <v>228</v>
      </c>
      <c r="BB1240" s="7"/>
      <c r="BC1240" s="4" t="s">
        <v>228</v>
      </c>
      <c r="BD1240" s="8" t="s">
        <v>228</v>
      </c>
      <c r="BE1240" s="4" t="s">
        <v>228</v>
      </c>
      <c r="BF1240" s="8" t="s">
        <v>228</v>
      </c>
      <c r="BG1240" s="7" t="s">
        <v>228</v>
      </c>
      <c r="BH1240" s="7" t="s">
        <v>228</v>
      </c>
      <c r="BI1240" s="7"/>
      <c r="BJ1240" s="4">
        <v>6</v>
      </c>
      <c r="BK1240" s="8">
        <v>77.1</v>
      </c>
      <c r="BL1240" s="2" t="s">
        <v>6492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6512</v>
      </c>
      <c r="BV1240" s="2" t="s">
        <v>228</v>
      </c>
      <c r="BW1240" s="2" t="s">
        <v>228</v>
      </c>
      <c r="BX1240" s="2" t="s">
        <v>337</v>
      </c>
      <c r="BY1240" s="2" t="s">
        <v>274</v>
      </c>
      <c r="BZ1240" s="2" t="s">
        <v>240</v>
      </c>
      <c r="CA1240" s="2" t="s">
        <v>511</v>
      </c>
      <c r="CB1240" s="2" t="s">
        <v>228</v>
      </c>
      <c r="CC1240" s="2" t="s">
        <v>241</v>
      </c>
      <c r="CD1240" s="2" t="s">
        <v>228</v>
      </c>
      <c r="CE1240" s="4"/>
      <c r="CF1240" s="4"/>
      <c r="CG1240" s="4"/>
      <c r="CH1240" s="4">
        <v>410</v>
      </c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  <c r="GX1240" s="4"/>
      <c r="GY1240" s="4"/>
      <c r="GZ1240" s="4"/>
      <c r="HA1240" s="4"/>
      <c r="HB1240" s="4"/>
      <c r="HC1240" s="4"/>
      <c r="HD1240" s="4"/>
      <c r="HE1240" s="4"/>
    </row>
    <row r="1241">
      <c r="A1241" s="2" t="s">
        <v>6513</v>
      </c>
      <c r="B1241" s="2" t="s">
        <v>2532</v>
      </c>
      <c r="C1241" s="2" t="s">
        <v>835</v>
      </c>
      <c r="D1241" s="2" t="s">
        <v>2533</v>
      </c>
      <c r="E1241" s="2" t="s">
        <v>2534</v>
      </c>
      <c r="F1241" s="2" t="s">
        <v>6514</v>
      </c>
      <c r="G1241" s="2" t="s">
        <v>228</v>
      </c>
      <c r="H1241" s="2" t="s">
        <v>228</v>
      </c>
      <c r="I1241" s="2" t="s">
        <v>6515</v>
      </c>
      <c r="J1241" s="2" t="s">
        <v>1202</v>
      </c>
      <c r="K1241" s="2" t="s">
        <v>6516</v>
      </c>
      <c r="L1241" s="3">
        <v>19.21</v>
      </c>
      <c r="M1241" s="3">
        <v>20.17</v>
      </c>
      <c r="N1241" s="3">
        <v>29.99</v>
      </c>
      <c r="O1241" s="2" t="s">
        <v>240</v>
      </c>
      <c r="P1241" s="2" t="s">
        <v>889</v>
      </c>
      <c r="Q1241" s="2" t="s">
        <v>234</v>
      </c>
      <c r="R1241" s="2" t="s">
        <v>228</v>
      </c>
      <c r="S1241" s="2" t="s">
        <v>228</v>
      </c>
      <c r="T1241" s="2" t="s">
        <v>228</v>
      </c>
      <c r="U1241" s="2" t="s">
        <v>228</v>
      </c>
      <c r="V1241" s="2" t="s">
        <v>842</v>
      </c>
      <c r="W1241" s="2" t="s">
        <v>228</v>
      </c>
      <c r="X1241" s="2" t="s">
        <v>228</v>
      </c>
      <c r="Y1241" s="2" t="s">
        <v>2538</v>
      </c>
      <c r="Z1241" s="4">
        <v>768</v>
      </c>
      <c r="AA1241" s="4">
        <f>=ROUNDDOWN(264.827586206897,0)</f>
      </c>
      <c r="AB1241" s="5">
        <v>2.9</v>
      </c>
      <c r="AC1241" s="2" t="s">
        <v>228</v>
      </c>
      <c r="AD1241" s="4"/>
      <c r="AE1241" s="4"/>
      <c r="AF1241" s="6"/>
      <c r="AG1241" s="6">
        <v>48</v>
      </c>
      <c r="AH1241" s="7">
        <v>1</v>
      </c>
      <c r="AI1241" s="4"/>
      <c r="AJ1241" s="4">
        <f>=ROUNDDOWN({0},0)</f>
      </c>
      <c r="AK1241" s="5"/>
      <c r="AL1241" s="2" t="s">
        <v>228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228</v>
      </c>
      <c r="AW1241" s="8" t="s">
        <v>228</v>
      </c>
      <c r="AX1241" s="4" t="s">
        <v>228</v>
      </c>
      <c r="AY1241" s="8" t="s">
        <v>228</v>
      </c>
      <c r="AZ1241" s="7" t="s">
        <v>228</v>
      </c>
      <c r="BA1241" s="7" t="s">
        <v>228</v>
      </c>
      <c r="BB1241" s="7"/>
      <c r="BC1241" s="4" t="s">
        <v>228</v>
      </c>
      <c r="BD1241" s="8" t="s">
        <v>228</v>
      </c>
      <c r="BE1241" s="4" t="s">
        <v>228</v>
      </c>
      <c r="BF1241" s="8" t="s">
        <v>228</v>
      </c>
      <c r="BG1241" s="7" t="s">
        <v>228</v>
      </c>
      <c r="BH1241" s="7" t="s">
        <v>228</v>
      </c>
      <c r="BI1241" s="7"/>
      <c r="BJ1241" s="4">
        <v>7</v>
      </c>
      <c r="BK1241" s="8">
        <v>140.2</v>
      </c>
      <c r="BL1241" s="2" t="s">
        <v>6492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6517</v>
      </c>
      <c r="BV1241" s="2" t="s">
        <v>228</v>
      </c>
      <c r="BW1241" s="2" t="s">
        <v>228</v>
      </c>
      <c r="BX1241" s="2" t="s">
        <v>273</v>
      </c>
      <c r="BY1241" s="2" t="s">
        <v>274</v>
      </c>
      <c r="BZ1241" s="2" t="s">
        <v>240</v>
      </c>
      <c r="CA1241" s="2" t="s">
        <v>5992</v>
      </c>
      <c r="CB1241" s="2" t="s">
        <v>228</v>
      </c>
      <c r="CC1241" s="2" t="s">
        <v>241</v>
      </c>
      <c r="CD1241" s="2" t="s">
        <v>228</v>
      </c>
      <c r="CE1241" s="4"/>
      <c r="CF1241" s="4"/>
      <c r="CG1241" s="4"/>
      <c r="CH1241" s="4">
        <v>768</v>
      </c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  <c r="GH1241" s="4"/>
      <c r="GI1241" s="4"/>
      <c r="GJ1241" s="4"/>
      <c r="GK1241" s="4"/>
      <c r="GL1241" s="4"/>
      <c r="GM1241" s="4"/>
      <c r="GN1241" s="4"/>
      <c r="GO1241" s="4"/>
      <c r="GP1241" s="4"/>
      <c r="GQ1241" s="4"/>
      <c r="GR1241" s="4"/>
      <c r="GS1241" s="4"/>
      <c r="GT1241" s="4"/>
      <c r="GU1241" s="4"/>
      <c r="GV1241" s="4"/>
      <c r="GW1241" s="4"/>
      <c r="GX1241" s="4"/>
      <c r="GY1241" s="4"/>
      <c r="GZ1241" s="4"/>
      <c r="HA1241" s="4"/>
      <c r="HB1241" s="4"/>
      <c r="HC1241" s="4"/>
      <c r="HD1241" s="4"/>
      <c r="HE1241" s="4"/>
    </row>
    <row r="1242">
      <c r="A1242" s="2" t="s">
        <v>6518</v>
      </c>
      <c r="B1242" s="2" t="s">
        <v>2532</v>
      </c>
      <c r="C1242" s="2" t="s">
        <v>835</v>
      </c>
      <c r="D1242" s="2" t="s">
        <v>2533</v>
      </c>
      <c r="E1242" s="2" t="s">
        <v>2534</v>
      </c>
      <c r="F1242" s="2" t="s">
        <v>6514</v>
      </c>
      <c r="G1242" s="2" t="s">
        <v>228</v>
      </c>
      <c r="H1242" s="2" t="s">
        <v>228</v>
      </c>
      <c r="I1242" s="2" t="s">
        <v>6515</v>
      </c>
      <c r="J1242" s="2" t="s">
        <v>1208</v>
      </c>
      <c r="K1242" s="2" t="s">
        <v>6516</v>
      </c>
      <c r="L1242" s="3">
        <v>19.21</v>
      </c>
      <c r="M1242" s="3">
        <v>20.17</v>
      </c>
      <c r="N1242" s="3">
        <v>29.99</v>
      </c>
      <c r="O1242" s="2" t="s">
        <v>240</v>
      </c>
      <c r="P1242" s="2" t="s">
        <v>889</v>
      </c>
      <c r="Q1242" s="2" t="s">
        <v>234</v>
      </c>
      <c r="R1242" s="2" t="s">
        <v>228</v>
      </c>
      <c r="S1242" s="2" t="s">
        <v>228</v>
      </c>
      <c r="T1242" s="2" t="s">
        <v>228</v>
      </c>
      <c r="U1242" s="2" t="s">
        <v>228</v>
      </c>
      <c r="V1242" s="2" t="s">
        <v>842</v>
      </c>
      <c r="W1242" s="2" t="s">
        <v>228</v>
      </c>
      <c r="X1242" s="2" t="s">
        <v>228</v>
      </c>
      <c r="Y1242" s="2" t="s">
        <v>2538</v>
      </c>
      <c r="Z1242" s="4">
        <v>569</v>
      </c>
      <c r="AA1242" s="4">
        <f>=ROUNDDOWN(149.736842105263,0)</f>
      </c>
      <c r="AB1242" s="5">
        <v>3.8</v>
      </c>
      <c r="AC1242" s="2" t="s">
        <v>228</v>
      </c>
      <c r="AD1242" s="4"/>
      <c r="AE1242" s="4"/>
      <c r="AF1242" s="6"/>
      <c r="AG1242" s="6">
        <v>48</v>
      </c>
      <c r="AH1242" s="7">
        <v>1</v>
      </c>
      <c r="AI1242" s="4"/>
      <c r="AJ1242" s="4">
        <f>=ROUNDDOWN({0},0)</f>
      </c>
      <c r="AK1242" s="5"/>
      <c r="AL1242" s="2" t="s">
        <v>228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228</v>
      </c>
      <c r="AW1242" s="8" t="s">
        <v>228</v>
      </c>
      <c r="AX1242" s="4" t="s">
        <v>228</v>
      </c>
      <c r="AY1242" s="8" t="s">
        <v>228</v>
      </c>
      <c r="AZ1242" s="7" t="s">
        <v>228</v>
      </c>
      <c r="BA1242" s="7" t="s">
        <v>228</v>
      </c>
      <c r="BB1242" s="7"/>
      <c r="BC1242" s="4" t="s">
        <v>228</v>
      </c>
      <c r="BD1242" s="8" t="s">
        <v>228</v>
      </c>
      <c r="BE1242" s="4" t="s">
        <v>228</v>
      </c>
      <c r="BF1242" s="8" t="s">
        <v>228</v>
      </c>
      <c r="BG1242" s="7" t="s">
        <v>228</v>
      </c>
      <c r="BH1242" s="7" t="s">
        <v>228</v>
      </c>
      <c r="BI1242" s="7"/>
      <c r="BJ1242" s="4">
        <v>5</v>
      </c>
      <c r="BK1242" s="8">
        <v>101.4</v>
      </c>
      <c r="BL1242" s="2" t="s">
        <v>6492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6519</v>
      </c>
      <c r="BV1242" s="2" t="s">
        <v>228</v>
      </c>
      <c r="BW1242" s="2" t="s">
        <v>228</v>
      </c>
      <c r="BX1242" s="2" t="s">
        <v>273</v>
      </c>
      <c r="BY1242" s="2" t="s">
        <v>274</v>
      </c>
      <c r="BZ1242" s="2" t="s">
        <v>240</v>
      </c>
      <c r="CA1242" s="2" t="s">
        <v>5992</v>
      </c>
      <c r="CB1242" s="2" t="s">
        <v>228</v>
      </c>
      <c r="CC1242" s="2" t="s">
        <v>241</v>
      </c>
      <c r="CD1242" s="2" t="s">
        <v>228</v>
      </c>
      <c r="CE1242" s="4"/>
      <c r="CF1242" s="4"/>
      <c r="CG1242" s="4"/>
      <c r="CH1242" s="4">
        <v>569</v>
      </c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</row>
    <row r="1243">
      <c r="A1243" s="2" t="s">
        <v>6520</v>
      </c>
      <c r="B1243" s="2" t="s">
        <v>2532</v>
      </c>
      <c r="C1243" s="2" t="s">
        <v>835</v>
      </c>
      <c r="D1243" s="2" t="s">
        <v>2533</v>
      </c>
      <c r="E1243" s="2" t="s">
        <v>2534</v>
      </c>
      <c r="F1243" s="2" t="s">
        <v>6514</v>
      </c>
      <c r="G1243" s="2" t="s">
        <v>228</v>
      </c>
      <c r="H1243" s="2" t="s">
        <v>228</v>
      </c>
      <c r="I1243" s="2" t="s">
        <v>6515</v>
      </c>
      <c r="J1243" s="2" t="s">
        <v>1213</v>
      </c>
      <c r="K1243" s="2" t="s">
        <v>6516</v>
      </c>
      <c r="L1243" s="3">
        <v>19.21</v>
      </c>
      <c r="M1243" s="3">
        <v>20.17</v>
      </c>
      <c r="N1243" s="3">
        <v>29.99</v>
      </c>
      <c r="O1243" s="2" t="s">
        <v>240</v>
      </c>
      <c r="P1243" s="2" t="s">
        <v>889</v>
      </c>
      <c r="Q1243" s="2" t="s">
        <v>234</v>
      </c>
      <c r="R1243" s="2" t="s">
        <v>228</v>
      </c>
      <c r="S1243" s="2" t="s">
        <v>228</v>
      </c>
      <c r="T1243" s="2" t="s">
        <v>228</v>
      </c>
      <c r="U1243" s="2" t="s">
        <v>228</v>
      </c>
      <c r="V1243" s="2" t="s">
        <v>842</v>
      </c>
      <c r="W1243" s="2" t="s">
        <v>228</v>
      </c>
      <c r="X1243" s="2" t="s">
        <v>228</v>
      </c>
      <c r="Y1243" s="2" t="s">
        <v>2538</v>
      </c>
      <c r="Z1243" s="4">
        <v>376</v>
      </c>
      <c r="AA1243" s="4">
        <f>=ROUNDDOWN(48.8311688311688,0)</f>
      </c>
      <c r="AB1243" s="5">
        <v>7.7</v>
      </c>
      <c r="AC1243" s="2" t="s">
        <v>228</v>
      </c>
      <c r="AD1243" s="4"/>
      <c r="AE1243" s="4"/>
      <c r="AF1243" s="6"/>
      <c r="AG1243" s="6">
        <v>48</v>
      </c>
      <c r="AH1243" s="7">
        <v>1</v>
      </c>
      <c r="AI1243" s="4"/>
      <c r="AJ1243" s="4">
        <f>=ROUNDDOWN({0},0)</f>
      </c>
      <c r="AK1243" s="5"/>
      <c r="AL1243" s="2" t="s">
        <v>228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228</v>
      </c>
      <c r="AW1243" s="8" t="s">
        <v>228</v>
      </c>
      <c r="AX1243" s="4" t="s">
        <v>228</v>
      </c>
      <c r="AY1243" s="8" t="s">
        <v>228</v>
      </c>
      <c r="AZ1243" s="7" t="s">
        <v>228</v>
      </c>
      <c r="BA1243" s="7" t="s">
        <v>228</v>
      </c>
      <c r="BB1243" s="7"/>
      <c r="BC1243" s="4" t="s">
        <v>228</v>
      </c>
      <c r="BD1243" s="8" t="s">
        <v>228</v>
      </c>
      <c r="BE1243" s="4" t="s">
        <v>228</v>
      </c>
      <c r="BF1243" s="8" t="s">
        <v>228</v>
      </c>
      <c r="BG1243" s="7" t="s">
        <v>228</v>
      </c>
      <c r="BH1243" s="7" t="s">
        <v>228</v>
      </c>
      <c r="BI1243" s="7"/>
      <c r="BJ1243" s="4">
        <v>4</v>
      </c>
      <c r="BK1243" s="8">
        <v>95.2</v>
      </c>
      <c r="BL1243" s="2" t="s">
        <v>6492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6521</v>
      </c>
      <c r="BV1243" s="2" t="s">
        <v>228</v>
      </c>
      <c r="BW1243" s="2" t="s">
        <v>228</v>
      </c>
      <c r="BX1243" s="2" t="s">
        <v>273</v>
      </c>
      <c r="BY1243" s="2" t="s">
        <v>274</v>
      </c>
      <c r="BZ1243" s="2" t="s">
        <v>240</v>
      </c>
      <c r="CA1243" s="2" t="s">
        <v>5992</v>
      </c>
      <c r="CB1243" s="2" t="s">
        <v>228</v>
      </c>
      <c r="CC1243" s="2" t="s">
        <v>241</v>
      </c>
      <c r="CD1243" s="2" t="s">
        <v>228</v>
      </c>
      <c r="CE1243" s="4"/>
      <c r="CF1243" s="4"/>
      <c r="CG1243" s="4"/>
      <c r="CH1243" s="4">
        <v>376</v>
      </c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  <c r="GH1243" s="4"/>
      <c r="GI1243" s="4"/>
      <c r="GJ1243" s="4"/>
      <c r="GK1243" s="4"/>
      <c r="GL1243" s="4"/>
      <c r="GM1243" s="4"/>
      <c r="GN1243" s="4"/>
      <c r="GO1243" s="4"/>
      <c r="GP1243" s="4"/>
      <c r="GQ1243" s="4"/>
      <c r="GR1243" s="4"/>
      <c r="GS1243" s="4"/>
      <c r="GT1243" s="4"/>
      <c r="GU1243" s="4"/>
      <c r="GV1243" s="4"/>
      <c r="GW1243" s="4"/>
      <c r="GX1243" s="4"/>
      <c r="GY1243" s="4"/>
      <c r="GZ1243" s="4"/>
      <c r="HA1243" s="4"/>
      <c r="HB1243" s="4"/>
      <c r="HC1243" s="4"/>
      <c r="HD1243" s="4"/>
      <c r="HE1243" s="4"/>
    </row>
    <row r="1244">
      <c r="A1244" s="2" t="s">
        <v>6522</v>
      </c>
      <c r="B1244" s="2" t="s">
        <v>2532</v>
      </c>
      <c r="C1244" s="2" t="s">
        <v>835</v>
      </c>
      <c r="D1244" s="2" t="s">
        <v>2533</v>
      </c>
      <c r="E1244" s="2" t="s">
        <v>2534</v>
      </c>
      <c r="F1244" s="2" t="s">
        <v>6514</v>
      </c>
      <c r="G1244" s="2" t="s">
        <v>228</v>
      </c>
      <c r="H1244" s="2" t="s">
        <v>228</v>
      </c>
      <c r="I1244" s="2" t="s">
        <v>6515</v>
      </c>
      <c r="J1244" s="2" t="s">
        <v>6523</v>
      </c>
      <c r="K1244" s="2" t="s">
        <v>6516</v>
      </c>
      <c r="L1244" s="3">
        <v>19.21</v>
      </c>
      <c r="M1244" s="3">
        <v>20.17</v>
      </c>
      <c r="N1244" s="3">
        <v>29.99</v>
      </c>
      <c r="O1244" s="2" t="s">
        <v>240</v>
      </c>
      <c r="P1244" s="2" t="s">
        <v>889</v>
      </c>
      <c r="Q1244" s="2" t="s">
        <v>234</v>
      </c>
      <c r="R1244" s="2" t="s">
        <v>228</v>
      </c>
      <c r="S1244" s="2" t="s">
        <v>228</v>
      </c>
      <c r="T1244" s="2" t="s">
        <v>228</v>
      </c>
      <c r="U1244" s="2" t="s">
        <v>228</v>
      </c>
      <c r="V1244" s="2" t="s">
        <v>842</v>
      </c>
      <c r="W1244" s="2" t="s">
        <v>228</v>
      </c>
      <c r="X1244" s="2" t="s">
        <v>228</v>
      </c>
      <c r="Y1244" s="2" t="s">
        <v>2538</v>
      </c>
      <c r="Z1244" s="4">
        <v>371</v>
      </c>
      <c r="AA1244" s="4">
        <f>=ROUNDDOWN(41.2222222222222,0)</f>
      </c>
      <c r="AB1244" s="5">
        <v>9</v>
      </c>
      <c r="AC1244" s="2" t="s">
        <v>228</v>
      </c>
      <c r="AD1244" s="4"/>
      <c r="AE1244" s="4"/>
      <c r="AF1244" s="6"/>
      <c r="AG1244" s="6">
        <v>48</v>
      </c>
      <c r="AH1244" s="7">
        <v>1</v>
      </c>
      <c r="AI1244" s="4"/>
      <c r="AJ1244" s="4">
        <f>=ROUNDDOWN({0},0)</f>
      </c>
      <c r="AK1244" s="5"/>
      <c r="AL1244" s="2" t="s">
        <v>228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228</v>
      </c>
      <c r="AW1244" s="8" t="s">
        <v>228</v>
      </c>
      <c r="AX1244" s="4" t="s">
        <v>228</v>
      </c>
      <c r="AY1244" s="8" t="s">
        <v>228</v>
      </c>
      <c r="AZ1244" s="7" t="s">
        <v>228</v>
      </c>
      <c r="BA1244" s="7" t="s">
        <v>228</v>
      </c>
      <c r="BB1244" s="7"/>
      <c r="BC1244" s="4" t="s">
        <v>228</v>
      </c>
      <c r="BD1244" s="8" t="s">
        <v>228</v>
      </c>
      <c r="BE1244" s="4" t="s">
        <v>228</v>
      </c>
      <c r="BF1244" s="8" t="s">
        <v>228</v>
      </c>
      <c r="BG1244" s="7" t="s">
        <v>228</v>
      </c>
      <c r="BH1244" s="7" t="s">
        <v>228</v>
      </c>
      <c r="BI1244" s="7"/>
      <c r="BJ1244" s="4">
        <v>9</v>
      </c>
      <c r="BK1244" s="8">
        <v>170.2</v>
      </c>
      <c r="BL1244" s="2" t="s">
        <v>6492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6524</v>
      </c>
      <c r="BV1244" s="2" t="s">
        <v>228</v>
      </c>
      <c r="BW1244" s="2" t="s">
        <v>228</v>
      </c>
      <c r="BX1244" s="2" t="s">
        <v>273</v>
      </c>
      <c r="BY1244" s="2" t="s">
        <v>274</v>
      </c>
      <c r="BZ1244" s="2" t="s">
        <v>240</v>
      </c>
      <c r="CA1244" s="2" t="s">
        <v>6465</v>
      </c>
      <c r="CB1244" s="2" t="s">
        <v>228</v>
      </c>
      <c r="CC1244" s="2" t="s">
        <v>241</v>
      </c>
      <c r="CD1244" s="2" t="s">
        <v>228</v>
      </c>
      <c r="CE1244" s="4"/>
      <c r="CF1244" s="4"/>
      <c r="CG1244" s="4"/>
      <c r="CH1244" s="4">
        <v>371</v>
      </c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/>
      <c r="HA1244" s="4"/>
      <c r="HB1244" s="4"/>
      <c r="HC1244" s="4"/>
      <c r="HD1244" s="4"/>
      <c r="HE1244" s="4"/>
    </row>
    <row r="1245">
      <c r="A1245" s="2" t="s">
        <v>6525</v>
      </c>
      <c r="B1245" s="2" t="s">
        <v>2532</v>
      </c>
      <c r="C1245" s="2" t="s">
        <v>835</v>
      </c>
      <c r="D1245" s="2" t="s">
        <v>2533</v>
      </c>
      <c r="E1245" s="2" t="s">
        <v>2534</v>
      </c>
      <c r="F1245" s="2" t="s">
        <v>6514</v>
      </c>
      <c r="G1245" s="2" t="s">
        <v>228</v>
      </c>
      <c r="H1245" s="2" t="s">
        <v>228</v>
      </c>
      <c r="I1245" s="2" t="s">
        <v>6515</v>
      </c>
      <c r="J1245" s="2" t="s">
        <v>6526</v>
      </c>
      <c r="K1245" s="2" t="s">
        <v>6527</v>
      </c>
      <c r="L1245" s="3">
        <v>19.21</v>
      </c>
      <c r="M1245" s="3">
        <v>20.17</v>
      </c>
      <c r="N1245" s="3">
        <v>29.99</v>
      </c>
      <c r="O1245" s="2" t="s">
        <v>240</v>
      </c>
      <c r="P1245" s="2" t="s">
        <v>889</v>
      </c>
      <c r="Q1245" s="2" t="s">
        <v>234</v>
      </c>
      <c r="R1245" s="2" t="s">
        <v>228</v>
      </c>
      <c r="S1245" s="2" t="s">
        <v>228</v>
      </c>
      <c r="T1245" s="2" t="s">
        <v>228</v>
      </c>
      <c r="U1245" s="2" t="s">
        <v>228</v>
      </c>
      <c r="V1245" s="2" t="s">
        <v>842</v>
      </c>
      <c r="W1245" s="2" t="s">
        <v>228</v>
      </c>
      <c r="X1245" s="2" t="s">
        <v>228</v>
      </c>
      <c r="Y1245" s="2" t="s">
        <v>2538</v>
      </c>
      <c r="Z1245" s="4">
        <v>239</v>
      </c>
      <c r="AA1245" s="4">
        <f>=ROUNDDOWN(119.5,0)</f>
      </c>
      <c r="AB1245" s="5">
        <v>2</v>
      </c>
      <c r="AC1245" s="2" t="s">
        <v>228</v>
      </c>
      <c r="AD1245" s="4"/>
      <c r="AE1245" s="4"/>
      <c r="AF1245" s="6"/>
      <c r="AG1245" s="6">
        <v>48</v>
      </c>
      <c r="AH1245" s="7">
        <v>1</v>
      </c>
      <c r="AI1245" s="4"/>
      <c r="AJ1245" s="4">
        <f>=ROUNDDOWN({0},0)</f>
      </c>
      <c r="AK1245" s="5"/>
      <c r="AL1245" s="2" t="s">
        <v>228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228</v>
      </c>
      <c r="AW1245" s="8" t="s">
        <v>228</v>
      </c>
      <c r="AX1245" s="4" t="s">
        <v>228</v>
      </c>
      <c r="AY1245" s="8" t="s">
        <v>228</v>
      </c>
      <c r="AZ1245" s="7" t="s">
        <v>228</v>
      </c>
      <c r="BA1245" s="7" t="s">
        <v>228</v>
      </c>
      <c r="BB1245" s="7"/>
      <c r="BC1245" s="4" t="s">
        <v>228</v>
      </c>
      <c r="BD1245" s="8" t="s">
        <v>228</v>
      </c>
      <c r="BE1245" s="4" t="s">
        <v>228</v>
      </c>
      <c r="BF1245" s="8" t="s">
        <v>228</v>
      </c>
      <c r="BG1245" s="7" t="s">
        <v>228</v>
      </c>
      <c r="BH1245" s="7" t="s">
        <v>228</v>
      </c>
      <c r="BI1245" s="7"/>
      <c r="BJ1245" s="4">
        <v>3</v>
      </c>
      <c r="BK1245" s="8">
        <v>45</v>
      </c>
      <c r="BL1245" s="2" t="s">
        <v>699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6528</v>
      </c>
      <c r="BV1245" s="2" t="s">
        <v>228</v>
      </c>
      <c r="BW1245" s="2" t="s">
        <v>228</v>
      </c>
      <c r="BX1245" s="2" t="s">
        <v>273</v>
      </c>
      <c r="BY1245" s="2" t="s">
        <v>274</v>
      </c>
      <c r="BZ1245" s="2" t="s">
        <v>240</v>
      </c>
      <c r="CA1245" s="2" t="s">
        <v>6465</v>
      </c>
      <c r="CB1245" s="2" t="s">
        <v>228</v>
      </c>
      <c r="CC1245" s="2" t="s">
        <v>241</v>
      </c>
      <c r="CD1245" s="2" t="s">
        <v>228</v>
      </c>
      <c r="CE1245" s="4"/>
      <c r="CF1245" s="4"/>
      <c r="CG1245" s="4"/>
      <c r="CH1245" s="4">
        <v>239</v>
      </c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  <c r="GH1245" s="4"/>
      <c r="GI1245" s="4"/>
      <c r="GJ1245" s="4"/>
      <c r="GK1245" s="4"/>
      <c r="GL1245" s="4"/>
      <c r="GM1245" s="4"/>
      <c r="GN1245" s="4"/>
      <c r="GO1245" s="4"/>
      <c r="GP1245" s="4"/>
      <c r="GQ1245" s="4"/>
      <c r="GR1245" s="4"/>
      <c r="GS1245" s="4"/>
      <c r="GT1245" s="4"/>
      <c r="GU1245" s="4"/>
      <c r="GV1245" s="4"/>
      <c r="GW1245" s="4"/>
      <c r="GX1245" s="4"/>
      <c r="GY1245" s="4"/>
      <c r="GZ1245" s="4"/>
      <c r="HA1245" s="4"/>
      <c r="HB1245" s="4"/>
      <c r="HC1245" s="4"/>
      <c r="HD1245" s="4"/>
      <c r="HE1245" s="4"/>
    </row>
    <row r="1246">
      <c r="A1246" s="2" t="s">
        <v>6529</v>
      </c>
      <c r="B1246" s="2" t="s">
        <v>2532</v>
      </c>
      <c r="C1246" s="2" t="s">
        <v>835</v>
      </c>
      <c r="D1246" s="2" t="s">
        <v>2533</v>
      </c>
      <c r="E1246" s="2" t="s">
        <v>2534</v>
      </c>
      <c r="F1246" s="2" t="s">
        <v>6514</v>
      </c>
      <c r="G1246" s="2" t="s">
        <v>228</v>
      </c>
      <c r="H1246" s="2" t="s">
        <v>228</v>
      </c>
      <c r="I1246" s="2" t="s">
        <v>6515</v>
      </c>
      <c r="J1246" s="2" t="s">
        <v>2536</v>
      </c>
      <c r="K1246" s="2" t="s">
        <v>6527</v>
      </c>
      <c r="L1246" s="3">
        <v>19.21</v>
      </c>
      <c r="M1246" s="3">
        <v>20.17</v>
      </c>
      <c r="N1246" s="3">
        <v>29.99</v>
      </c>
      <c r="O1246" s="2" t="s">
        <v>240</v>
      </c>
      <c r="P1246" s="2" t="s">
        <v>889</v>
      </c>
      <c r="Q1246" s="2" t="s">
        <v>234</v>
      </c>
      <c r="R1246" s="2" t="s">
        <v>228</v>
      </c>
      <c r="S1246" s="2" t="s">
        <v>228</v>
      </c>
      <c r="T1246" s="2" t="s">
        <v>228</v>
      </c>
      <c r="U1246" s="2" t="s">
        <v>228</v>
      </c>
      <c r="V1246" s="2" t="s">
        <v>842</v>
      </c>
      <c r="W1246" s="2" t="s">
        <v>228</v>
      </c>
      <c r="X1246" s="2" t="s">
        <v>228</v>
      </c>
      <c r="Y1246" s="2" t="s">
        <v>2538</v>
      </c>
      <c r="Z1246" s="4">
        <v>539</v>
      </c>
      <c r="AA1246" s="4">
        <f>=ROUNDDOWN(179.666666666667,0)</f>
      </c>
      <c r="AB1246" s="5">
        <v>3</v>
      </c>
      <c r="AC1246" s="2" t="s">
        <v>228</v>
      </c>
      <c r="AD1246" s="4"/>
      <c r="AE1246" s="4"/>
      <c r="AF1246" s="6"/>
      <c r="AG1246" s="6">
        <v>48</v>
      </c>
      <c r="AH1246" s="7">
        <v>1</v>
      </c>
      <c r="AI1246" s="4"/>
      <c r="AJ1246" s="4">
        <f>=ROUNDDOWN({0},0)</f>
      </c>
      <c r="AK1246" s="5"/>
      <c r="AL1246" s="2" t="s">
        <v>228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228</v>
      </c>
      <c r="AW1246" s="8" t="s">
        <v>228</v>
      </c>
      <c r="AX1246" s="4" t="s">
        <v>228</v>
      </c>
      <c r="AY1246" s="8" t="s">
        <v>228</v>
      </c>
      <c r="AZ1246" s="7" t="s">
        <v>228</v>
      </c>
      <c r="BA1246" s="7" t="s">
        <v>228</v>
      </c>
      <c r="BB1246" s="7"/>
      <c r="BC1246" s="4" t="s">
        <v>228</v>
      </c>
      <c r="BD1246" s="8" t="s">
        <v>228</v>
      </c>
      <c r="BE1246" s="4" t="s">
        <v>228</v>
      </c>
      <c r="BF1246" s="8" t="s">
        <v>228</v>
      </c>
      <c r="BG1246" s="7" t="s">
        <v>228</v>
      </c>
      <c r="BH1246" s="7" t="s">
        <v>228</v>
      </c>
      <c r="BI1246" s="7"/>
      <c r="BJ1246" s="4"/>
      <c r="BK1246" s="8"/>
      <c r="BL1246" s="2" t="s">
        <v>228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6530</v>
      </c>
      <c r="BV1246" s="2" t="s">
        <v>228</v>
      </c>
      <c r="BW1246" s="2" t="s">
        <v>228</v>
      </c>
      <c r="BX1246" s="2" t="s">
        <v>273</v>
      </c>
      <c r="BY1246" s="2" t="s">
        <v>274</v>
      </c>
      <c r="BZ1246" s="2" t="s">
        <v>240</v>
      </c>
      <c r="CA1246" s="2" t="s">
        <v>6465</v>
      </c>
      <c r="CB1246" s="2" t="s">
        <v>228</v>
      </c>
      <c r="CC1246" s="2" t="s">
        <v>241</v>
      </c>
      <c r="CD1246" s="2" t="s">
        <v>228</v>
      </c>
      <c r="CE1246" s="4"/>
      <c r="CF1246" s="4"/>
      <c r="CG1246" s="4"/>
      <c r="CH1246" s="4">
        <v>539</v>
      </c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/>
      <c r="GW1246" s="4"/>
      <c r="GX1246" s="4"/>
      <c r="GY1246" s="4"/>
      <c r="GZ1246" s="4"/>
      <c r="HA1246" s="4"/>
      <c r="HB1246" s="4"/>
      <c r="HC1246" s="4"/>
      <c r="HD1246" s="4"/>
      <c r="HE1246" s="4"/>
    </row>
    <row r="1247">
      <c r="A1247" s="2" t="s">
        <v>6531</v>
      </c>
      <c r="B1247" s="2" t="s">
        <v>2532</v>
      </c>
      <c r="C1247" s="2" t="s">
        <v>835</v>
      </c>
      <c r="D1247" s="2" t="s">
        <v>2533</v>
      </c>
      <c r="E1247" s="2" t="s">
        <v>2534</v>
      </c>
      <c r="F1247" s="2" t="s">
        <v>6514</v>
      </c>
      <c r="G1247" s="2" t="s">
        <v>228</v>
      </c>
      <c r="H1247" s="2" t="s">
        <v>228</v>
      </c>
      <c r="I1247" s="2" t="s">
        <v>6515</v>
      </c>
      <c r="J1247" s="2" t="s">
        <v>1208</v>
      </c>
      <c r="K1247" s="2" t="s">
        <v>6527</v>
      </c>
      <c r="L1247" s="3">
        <v>19.21</v>
      </c>
      <c r="M1247" s="3">
        <v>20.17</v>
      </c>
      <c r="N1247" s="3">
        <v>29.99</v>
      </c>
      <c r="O1247" s="2" t="s">
        <v>240</v>
      </c>
      <c r="P1247" s="2" t="s">
        <v>889</v>
      </c>
      <c r="Q1247" s="2" t="s">
        <v>234</v>
      </c>
      <c r="R1247" s="2" t="s">
        <v>228</v>
      </c>
      <c r="S1247" s="2" t="s">
        <v>228</v>
      </c>
      <c r="T1247" s="2" t="s">
        <v>228</v>
      </c>
      <c r="U1247" s="2" t="s">
        <v>228</v>
      </c>
      <c r="V1247" s="2" t="s">
        <v>842</v>
      </c>
      <c r="W1247" s="2" t="s">
        <v>228</v>
      </c>
      <c r="X1247" s="2" t="s">
        <v>228</v>
      </c>
      <c r="Y1247" s="2" t="s">
        <v>2538</v>
      </c>
      <c r="Z1247" s="4">
        <v>372</v>
      </c>
      <c r="AA1247" s="4">
        <f>=ROUNDDOWN(46.5,0)</f>
      </c>
      <c r="AB1247" s="5">
        <v>8</v>
      </c>
      <c r="AC1247" s="2" t="s">
        <v>228</v>
      </c>
      <c r="AD1247" s="4"/>
      <c r="AE1247" s="4"/>
      <c r="AF1247" s="6"/>
      <c r="AG1247" s="6">
        <v>48</v>
      </c>
      <c r="AH1247" s="7">
        <v>1</v>
      </c>
      <c r="AI1247" s="4"/>
      <c r="AJ1247" s="4">
        <f>=ROUNDDOWN({0},0)</f>
      </c>
      <c r="AK1247" s="5"/>
      <c r="AL1247" s="2" t="s">
        <v>228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228</v>
      </c>
      <c r="AW1247" s="8" t="s">
        <v>228</v>
      </c>
      <c r="AX1247" s="4" t="s">
        <v>228</v>
      </c>
      <c r="AY1247" s="8" t="s">
        <v>228</v>
      </c>
      <c r="AZ1247" s="7" t="s">
        <v>228</v>
      </c>
      <c r="BA1247" s="7" t="s">
        <v>228</v>
      </c>
      <c r="BB1247" s="7"/>
      <c r="BC1247" s="4" t="s">
        <v>228</v>
      </c>
      <c r="BD1247" s="8" t="s">
        <v>228</v>
      </c>
      <c r="BE1247" s="4" t="s">
        <v>228</v>
      </c>
      <c r="BF1247" s="8" t="s">
        <v>228</v>
      </c>
      <c r="BG1247" s="7" t="s">
        <v>228</v>
      </c>
      <c r="BH1247" s="7" t="s">
        <v>228</v>
      </c>
      <c r="BI1247" s="7"/>
      <c r="BJ1247" s="4">
        <v>5</v>
      </c>
      <c r="BK1247" s="8">
        <v>110.2</v>
      </c>
      <c r="BL1247" s="2" t="s">
        <v>6492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6532</v>
      </c>
      <c r="BV1247" s="2" t="s">
        <v>228</v>
      </c>
      <c r="BW1247" s="2" t="s">
        <v>228</v>
      </c>
      <c r="BX1247" s="2" t="s">
        <v>273</v>
      </c>
      <c r="BY1247" s="2" t="s">
        <v>274</v>
      </c>
      <c r="BZ1247" s="2" t="s">
        <v>240</v>
      </c>
      <c r="CA1247" s="2" t="s">
        <v>6465</v>
      </c>
      <c r="CB1247" s="2" t="s">
        <v>2673</v>
      </c>
      <c r="CC1247" s="2" t="s">
        <v>241</v>
      </c>
      <c r="CD1247" s="2" t="s">
        <v>228</v>
      </c>
      <c r="CE1247" s="4"/>
      <c r="CF1247" s="4"/>
      <c r="CG1247" s="4"/>
      <c r="CH1247" s="4">
        <v>372</v>
      </c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  <c r="GG1247" s="4"/>
      <c r="GH1247" s="4"/>
      <c r="GI1247" s="4"/>
      <c r="GJ1247" s="4"/>
      <c r="GK1247" s="4"/>
      <c r="GL1247" s="4"/>
      <c r="GM1247" s="4"/>
      <c r="GN1247" s="4"/>
      <c r="GO1247" s="4"/>
      <c r="GP1247" s="4"/>
      <c r="GQ1247" s="4"/>
      <c r="GR1247" s="4"/>
      <c r="GS1247" s="4"/>
      <c r="GT1247" s="4"/>
      <c r="GU1247" s="4"/>
      <c r="GV1247" s="4"/>
      <c r="GW1247" s="4"/>
      <c r="GX1247" s="4"/>
      <c r="GY1247" s="4"/>
      <c r="GZ1247" s="4"/>
      <c r="HA1247" s="4"/>
      <c r="HB1247" s="4"/>
      <c r="HC1247" s="4"/>
      <c r="HD1247" s="4"/>
      <c r="HE1247" s="4"/>
    </row>
    <row r="1248">
      <c r="A1248" s="2" t="s">
        <v>6533</v>
      </c>
      <c r="B1248" s="2" t="s">
        <v>2532</v>
      </c>
      <c r="C1248" s="2" t="s">
        <v>835</v>
      </c>
      <c r="D1248" s="2" t="s">
        <v>2533</v>
      </c>
      <c r="E1248" s="2" t="s">
        <v>2534</v>
      </c>
      <c r="F1248" s="2" t="s">
        <v>6514</v>
      </c>
      <c r="G1248" s="2" t="s">
        <v>228</v>
      </c>
      <c r="H1248" s="2" t="s">
        <v>228</v>
      </c>
      <c r="I1248" s="2" t="s">
        <v>6515</v>
      </c>
      <c r="J1248" s="2" t="s">
        <v>6523</v>
      </c>
      <c r="K1248" s="2" t="s">
        <v>6527</v>
      </c>
      <c r="L1248" s="3">
        <v>19.21</v>
      </c>
      <c r="M1248" s="3">
        <v>20.17</v>
      </c>
      <c r="N1248" s="3">
        <v>29.99</v>
      </c>
      <c r="O1248" s="2" t="s">
        <v>240</v>
      </c>
      <c r="P1248" s="2" t="s">
        <v>889</v>
      </c>
      <c r="Q1248" s="2" t="s">
        <v>234</v>
      </c>
      <c r="R1248" s="2" t="s">
        <v>228</v>
      </c>
      <c r="S1248" s="2" t="s">
        <v>228</v>
      </c>
      <c r="T1248" s="2" t="s">
        <v>228</v>
      </c>
      <c r="U1248" s="2" t="s">
        <v>228</v>
      </c>
      <c r="V1248" s="2" t="s">
        <v>842</v>
      </c>
      <c r="W1248" s="2" t="s">
        <v>228</v>
      </c>
      <c r="X1248" s="2" t="s">
        <v>228</v>
      </c>
      <c r="Y1248" s="2" t="s">
        <v>2538</v>
      </c>
      <c r="Z1248" s="4">
        <v>105</v>
      </c>
      <c r="AA1248" s="4">
        <f>=ROUNDDOWN(35,0)</f>
      </c>
      <c r="AB1248" s="5">
        <v>3</v>
      </c>
      <c r="AC1248" s="2" t="s">
        <v>228</v>
      </c>
      <c r="AD1248" s="4"/>
      <c r="AE1248" s="4"/>
      <c r="AF1248" s="6"/>
      <c r="AG1248" s="6">
        <v>48</v>
      </c>
      <c r="AH1248" s="7">
        <v>1</v>
      </c>
      <c r="AI1248" s="4"/>
      <c r="AJ1248" s="4">
        <f>=ROUNDDOWN({0},0)</f>
      </c>
      <c r="AK1248" s="5"/>
      <c r="AL1248" s="2" t="s">
        <v>228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 t="s">
        <v>228</v>
      </c>
      <c r="AW1248" s="8" t="s">
        <v>228</v>
      </c>
      <c r="AX1248" s="4" t="s">
        <v>228</v>
      </c>
      <c r="AY1248" s="8" t="s">
        <v>228</v>
      </c>
      <c r="AZ1248" s="7" t="s">
        <v>228</v>
      </c>
      <c r="BA1248" s="7" t="s">
        <v>228</v>
      </c>
      <c r="BB1248" s="7"/>
      <c r="BC1248" s="4" t="s">
        <v>228</v>
      </c>
      <c r="BD1248" s="8" t="s">
        <v>228</v>
      </c>
      <c r="BE1248" s="4" t="s">
        <v>228</v>
      </c>
      <c r="BF1248" s="8" t="s">
        <v>228</v>
      </c>
      <c r="BG1248" s="7" t="s">
        <v>228</v>
      </c>
      <c r="BH1248" s="7" t="s">
        <v>228</v>
      </c>
      <c r="BI1248" s="7"/>
      <c r="BJ1248" s="4">
        <v>6</v>
      </c>
      <c r="BK1248" s="8">
        <v>142.8</v>
      </c>
      <c r="BL1248" s="2" t="s">
        <v>708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6534</v>
      </c>
      <c r="BV1248" s="2" t="s">
        <v>228</v>
      </c>
      <c r="BW1248" s="2" t="s">
        <v>228</v>
      </c>
      <c r="BX1248" s="2" t="s">
        <v>273</v>
      </c>
      <c r="BY1248" s="2" t="s">
        <v>274</v>
      </c>
      <c r="BZ1248" s="2" t="s">
        <v>240</v>
      </c>
      <c r="CA1248" s="2" t="s">
        <v>6465</v>
      </c>
      <c r="CB1248" s="2" t="s">
        <v>2983</v>
      </c>
      <c r="CC1248" s="2" t="s">
        <v>241</v>
      </c>
      <c r="CD1248" s="2" t="s">
        <v>228</v>
      </c>
      <c r="CE1248" s="4"/>
      <c r="CF1248" s="4"/>
      <c r="CG1248" s="4"/>
      <c r="CH1248" s="4">
        <v>105</v>
      </c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4"/>
      <c r="GT1248" s="4"/>
      <c r="GU1248" s="4"/>
      <c r="GV1248" s="4"/>
      <c r="GW1248" s="4"/>
      <c r="GX1248" s="4"/>
      <c r="GY1248" s="4"/>
      <c r="GZ1248" s="4"/>
      <c r="HA1248" s="4"/>
      <c r="HB1248" s="4"/>
      <c r="HC1248" s="4"/>
      <c r="HD1248" s="4"/>
      <c r="HE1248" s="4"/>
    </row>
    <row r="1249">
      <c r="A1249" s="2" t="s">
        <v>6535</v>
      </c>
      <c r="B1249" s="2" t="s">
        <v>2532</v>
      </c>
      <c r="C1249" s="2" t="s">
        <v>835</v>
      </c>
      <c r="D1249" s="2" t="s">
        <v>2533</v>
      </c>
      <c r="E1249" s="2" t="s">
        <v>2534</v>
      </c>
      <c r="F1249" s="2" t="s">
        <v>6514</v>
      </c>
      <c r="G1249" s="2" t="s">
        <v>228</v>
      </c>
      <c r="H1249" s="2" t="s">
        <v>228</v>
      </c>
      <c r="I1249" s="2" t="s">
        <v>6515</v>
      </c>
      <c r="J1249" s="2" t="s">
        <v>6526</v>
      </c>
      <c r="K1249" s="2" t="s">
        <v>6536</v>
      </c>
      <c r="L1249" s="3">
        <v>19.21</v>
      </c>
      <c r="M1249" s="3">
        <v>20.17</v>
      </c>
      <c r="N1249" s="3">
        <v>29.99</v>
      </c>
      <c r="O1249" s="2" t="s">
        <v>240</v>
      </c>
      <c r="P1249" s="2" t="s">
        <v>889</v>
      </c>
      <c r="Q1249" s="2" t="s">
        <v>234</v>
      </c>
      <c r="R1249" s="2" t="s">
        <v>228</v>
      </c>
      <c r="S1249" s="2" t="s">
        <v>228</v>
      </c>
      <c r="T1249" s="2" t="s">
        <v>228</v>
      </c>
      <c r="U1249" s="2" t="s">
        <v>228</v>
      </c>
      <c r="V1249" s="2" t="s">
        <v>842</v>
      </c>
      <c r="W1249" s="2" t="s">
        <v>228</v>
      </c>
      <c r="X1249" s="2" t="s">
        <v>228</v>
      </c>
      <c r="Y1249" s="2" t="s">
        <v>2538</v>
      </c>
      <c r="Z1249" s="4">
        <v>228</v>
      </c>
      <c r="AA1249" s="4">
        <f>=ROUNDDOWN(190,0)</f>
      </c>
      <c r="AB1249" s="5">
        <v>1.2</v>
      </c>
      <c r="AC1249" s="2" t="s">
        <v>228</v>
      </c>
      <c r="AD1249" s="4"/>
      <c r="AE1249" s="4"/>
      <c r="AF1249" s="6"/>
      <c r="AG1249" s="6">
        <v>48</v>
      </c>
      <c r="AH1249" s="7">
        <v>1</v>
      </c>
      <c r="AI1249" s="4"/>
      <c r="AJ1249" s="4">
        <f>=ROUNDDOWN({0},0)</f>
      </c>
      <c r="AK1249" s="5"/>
      <c r="AL1249" s="2" t="s">
        <v>228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 t="s">
        <v>228</v>
      </c>
      <c r="AW1249" s="8" t="s">
        <v>228</v>
      </c>
      <c r="AX1249" s="4" t="s">
        <v>228</v>
      </c>
      <c r="AY1249" s="8" t="s">
        <v>228</v>
      </c>
      <c r="AZ1249" s="7" t="s">
        <v>228</v>
      </c>
      <c r="BA1249" s="7" t="s">
        <v>228</v>
      </c>
      <c r="BB1249" s="7"/>
      <c r="BC1249" s="4" t="s">
        <v>228</v>
      </c>
      <c r="BD1249" s="8" t="s">
        <v>228</v>
      </c>
      <c r="BE1249" s="4" t="s">
        <v>228</v>
      </c>
      <c r="BF1249" s="8" t="s">
        <v>228</v>
      </c>
      <c r="BG1249" s="7" t="s">
        <v>228</v>
      </c>
      <c r="BH1249" s="7" t="s">
        <v>228</v>
      </c>
      <c r="BI1249" s="7"/>
      <c r="BJ1249" s="4">
        <v>7</v>
      </c>
      <c r="BK1249" s="8">
        <v>105</v>
      </c>
      <c r="BL1249" s="2" t="s">
        <v>699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6537</v>
      </c>
      <c r="BV1249" s="2" t="s">
        <v>228</v>
      </c>
      <c r="BW1249" s="2" t="s">
        <v>228</v>
      </c>
      <c r="BX1249" s="2" t="s">
        <v>273</v>
      </c>
      <c r="BY1249" s="2" t="s">
        <v>274</v>
      </c>
      <c r="BZ1249" s="2" t="s">
        <v>240</v>
      </c>
      <c r="CA1249" s="2" t="s">
        <v>6465</v>
      </c>
      <c r="CB1249" s="2" t="s">
        <v>228</v>
      </c>
      <c r="CC1249" s="2" t="s">
        <v>241</v>
      </c>
      <c r="CD1249" s="2" t="s">
        <v>228</v>
      </c>
      <c r="CE1249" s="4">
        <v>1</v>
      </c>
      <c r="CF1249" s="4"/>
      <c r="CG1249" s="4"/>
      <c r="CH1249" s="4">
        <v>227</v>
      </c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/>
      <c r="GE1249" s="4"/>
      <c r="GF1249" s="4"/>
      <c r="GG1249" s="4"/>
      <c r="GH1249" s="4"/>
      <c r="GI1249" s="4"/>
      <c r="GJ1249" s="4"/>
      <c r="GK1249" s="4"/>
      <c r="GL1249" s="4"/>
      <c r="GM1249" s="4"/>
      <c r="GN1249" s="4"/>
      <c r="GO1249" s="4"/>
      <c r="GP1249" s="4"/>
      <c r="GQ1249" s="4"/>
      <c r="GR1249" s="4"/>
      <c r="GS1249" s="4"/>
      <c r="GT1249" s="4"/>
      <c r="GU1249" s="4"/>
      <c r="GV1249" s="4"/>
      <c r="GW1249" s="4"/>
      <c r="GX1249" s="4"/>
      <c r="GY1249" s="4"/>
      <c r="GZ1249" s="4"/>
      <c r="HA1249" s="4"/>
      <c r="HB1249" s="4"/>
      <c r="HC1249" s="4"/>
      <c r="HD1249" s="4"/>
      <c r="HE1249" s="4"/>
    </row>
    <row r="1250">
      <c r="A1250" s="2" t="s">
        <v>6538</v>
      </c>
      <c r="B1250" s="2" t="s">
        <v>2532</v>
      </c>
      <c r="C1250" s="2" t="s">
        <v>835</v>
      </c>
      <c r="D1250" s="2" t="s">
        <v>2533</v>
      </c>
      <c r="E1250" s="2" t="s">
        <v>2534</v>
      </c>
      <c r="F1250" s="2" t="s">
        <v>6514</v>
      </c>
      <c r="G1250" s="2" t="s">
        <v>228</v>
      </c>
      <c r="H1250" s="2" t="s">
        <v>228</v>
      </c>
      <c r="I1250" s="2" t="s">
        <v>6515</v>
      </c>
      <c r="J1250" s="2" t="s">
        <v>2536</v>
      </c>
      <c r="K1250" s="2" t="s">
        <v>6536</v>
      </c>
      <c r="L1250" s="3">
        <v>19.21</v>
      </c>
      <c r="M1250" s="3">
        <v>20.17</v>
      </c>
      <c r="N1250" s="3">
        <v>29.99</v>
      </c>
      <c r="O1250" s="2" t="s">
        <v>240</v>
      </c>
      <c r="P1250" s="2" t="s">
        <v>889</v>
      </c>
      <c r="Q1250" s="2" t="s">
        <v>234</v>
      </c>
      <c r="R1250" s="2" t="s">
        <v>228</v>
      </c>
      <c r="S1250" s="2" t="s">
        <v>228</v>
      </c>
      <c r="T1250" s="2" t="s">
        <v>228</v>
      </c>
      <c r="U1250" s="2" t="s">
        <v>228</v>
      </c>
      <c r="V1250" s="2" t="s">
        <v>842</v>
      </c>
      <c r="W1250" s="2" t="s">
        <v>228</v>
      </c>
      <c r="X1250" s="2" t="s">
        <v>228</v>
      </c>
      <c r="Y1250" s="2" t="s">
        <v>2538</v>
      </c>
      <c r="Z1250" s="4">
        <v>309</v>
      </c>
      <c r="AA1250" s="4">
        <f>=ROUNDDOWN(309,0)</f>
      </c>
      <c r="AB1250" s="5">
        <v>1</v>
      </c>
      <c r="AC1250" s="2" t="s">
        <v>228</v>
      </c>
      <c r="AD1250" s="4"/>
      <c r="AE1250" s="4"/>
      <c r="AF1250" s="6"/>
      <c r="AG1250" s="6">
        <v>48</v>
      </c>
      <c r="AH1250" s="7">
        <v>1</v>
      </c>
      <c r="AI1250" s="4"/>
      <c r="AJ1250" s="4">
        <f>=ROUNDDOWN({0},0)</f>
      </c>
      <c r="AK1250" s="5"/>
      <c r="AL1250" s="2" t="s">
        <v>228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 t="s">
        <v>228</v>
      </c>
      <c r="AW1250" s="8" t="s">
        <v>228</v>
      </c>
      <c r="AX1250" s="4" t="s">
        <v>228</v>
      </c>
      <c r="AY1250" s="8" t="s">
        <v>228</v>
      </c>
      <c r="AZ1250" s="7" t="s">
        <v>228</v>
      </c>
      <c r="BA1250" s="7" t="s">
        <v>228</v>
      </c>
      <c r="BB1250" s="7"/>
      <c r="BC1250" s="4" t="s">
        <v>228</v>
      </c>
      <c r="BD1250" s="8" t="s">
        <v>228</v>
      </c>
      <c r="BE1250" s="4" t="s">
        <v>228</v>
      </c>
      <c r="BF1250" s="8" t="s">
        <v>228</v>
      </c>
      <c r="BG1250" s="7" t="s">
        <v>228</v>
      </c>
      <c r="BH1250" s="7" t="s">
        <v>228</v>
      </c>
      <c r="BI1250" s="7"/>
      <c r="BJ1250" s="4">
        <v>2</v>
      </c>
      <c r="BK1250" s="8">
        <v>30</v>
      </c>
      <c r="BL1250" s="2" t="s">
        <v>699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6539</v>
      </c>
      <c r="BV1250" s="2" t="s">
        <v>228</v>
      </c>
      <c r="BW1250" s="2" t="s">
        <v>228</v>
      </c>
      <c r="BX1250" s="2" t="s">
        <v>273</v>
      </c>
      <c r="BY1250" s="2" t="s">
        <v>274</v>
      </c>
      <c r="BZ1250" s="2" t="s">
        <v>240</v>
      </c>
      <c r="CA1250" s="2" t="s">
        <v>6465</v>
      </c>
      <c r="CB1250" s="2" t="s">
        <v>2990</v>
      </c>
      <c r="CC1250" s="2" t="s">
        <v>241</v>
      </c>
      <c r="CD1250" s="2" t="s">
        <v>228</v>
      </c>
      <c r="CE1250" s="4"/>
      <c r="CF1250" s="4"/>
      <c r="CG1250" s="4"/>
      <c r="CH1250" s="4">
        <v>309</v>
      </c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/>
      <c r="HB1250" s="4"/>
      <c r="HC1250" s="4"/>
      <c r="HD1250" s="4"/>
      <c r="HE1250" s="4"/>
    </row>
    <row r="1251">
      <c r="A1251" s="2" t="s">
        <v>6540</v>
      </c>
      <c r="B1251" s="2" t="s">
        <v>2532</v>
      </c>
      <c r="C1251" s="2" t="s">
        <v>835</v>
      </c>
      <c r="D1251" s="2" t="s">
        <v>2533</v>
      </c>
      <c r="E1251" s="2" t="s">
        <v>2534</v>
      </c>
      <c r="F1251" s="2" t="s">
        <v>6514</v>
      </c>
      <c r="G1251" s="2" t="s">
        <v>228</v>
      </c>
      <c r="H1251" s="2" t="s">
        <v>228</v>
      </c>
      <c r="I1251" s="2" t="s">
        <v>6515</v>
      </c>
      <c r="J1251" s="2" t="s">
        <v>1208</v>
      </c>
      <c r="K1251" s="2" t="s">
        <v>6536</v>
      </c>
      <c r="L1251" s="3">
        <v>19.21</v>
      </c>
      <c r="M1251" s="3">
        <v>20.17</v>
      </c>
      <c r="N1251" s="3">
        <v>29.99</v>
      </c>
      <c r="O1251" s="2" t="s">
        <v>240</v>
      </c>
      <c r="P1251" s="2" t="s">
        <v>889</v>
      </c>
      <c r="Q1251" s="2" t="s">
        <v>234</v>
      </c>
      <c r="R1251" s="2" t="s">
        <v>228</v>
      </c>
      <c r="S1251" s="2" t="s">
        <v>228</v>
      </c>
      <c r="T1251" s="2" t="s">
        <v>228</v>
      </c>
      <c r="U1251" s="2" t="s">
        <v>228</v>
      </c>
      <c r="V1251" s="2" t="s">
        <v>842</v>
      </c>
      <c r="W1251" s="2" t="s">
        <v>228</v>
      </c>
      <c r="X1251" s="2" t="s">
        <v>228</v>
      </c>
      <c r="Y1251" s="2" t="s">
        <v>2538</v>
      </c>
      <c r="Z1251" s="4">
        <v>471</v>
      </c>
      <c r="AA1251" s="4">
        <f>=ROUNDDOWN(471,0)</f>
      </c>
      <c r="AB1251" s="5">
        <v>1</v>
      </c>
      <c r="AC1251" s="2" t="s">
        <v>228</v>
      </c>
      <c r="AD1251" s="4"/>
      <c r="AE1251" s="4"/>
      <c r="AF1251" s="6"/>
      <c r="AG1251" s="6">
        <v>48</v>
      </c>
      <c r="AH1251" s="7">
        <v>1</v>
      </c>
      <c r="AI1251" s="4"/>
      <c r="AJ1251" s="4">
        <f>=ROUNDDOWN({0},0)</f>
      </c>
      <c r="AK1251" s="5"/>
      <c r="AL1251" s="2" t="s">
        <v>228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228</v>
      </c>
      <c r="AW1251" s="8" t="s">
        <v>228</v>
      </c>
      <c r="AX1251" s="4" t="s">
        <v>228</v>
      </c>
      <c r="AY1251" s="8" t="s">
        <v>228</v>
      </c>
      <c r="AZ1251" s="7" t="s">
        <v>228</v>
      </c>
      <c r="BA1251" s="7" t="s">
        <v>228</v>
      </c>
      <c r="BB1251" s="7"/>
      <c r="BC1251" s="4" t="s">
        <v>228</v>
      </c>
      <c r="BD1251" s="8" t="s">
        <v>228</v>
      </c>
      <c r="BE1251" s="4" t="s">
        <v>228</v>
      </c>
      <c r="BF1251" s="8" t="s">
        <v>228</v>
      </c>
      <c r="BG1251" s="7" t="s">
        <v>228</v>
      </c>
      <c r="BH1251" s="7" t="s">
        <v>228</v>
      </c>
      <c r="BI1251" s="7"/>
      <c r="BJ1251" s="4">
        <v>4</v>
      </c>
      <c r="BK1251" s="8">
        <v>86.4</v>
      </c>
      <c r="BL1251" s="2" t="s">
        <v>6492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6541</v>
      </c>
      <c r="BV1251" s="2" t="s">
        <v>228</v>
      </c>
      <c r="BW1251" s="2" t="s">
        <v>228</v>
      </c>
      <c r="BX1251" s="2" t="s">
        <v>273</v>
      </c>
      <c r="BY1251" s="2" t="s">
        <v>274</v>
      </c>
      <c r="BZ1251" s="2" t="s">
        <v>240</v>
      </c>
      <c r="CA1251" s="2" t="s">
        <v>6465</v>
      </c>
      <c r="CB1251" s="2" t="s">
        <v>228</v>
      </c>
      <c r="CC1251" s="2" t="s">
        <v>241</v>
      </c>
      <c r="CD1251" s="2" t="s">
        <v>228</v>
      </c>
      <c r="CE1251" s="4"/>
      <c r="CF1251" s="4"/>
      <c r="CG1251" s="4"/>
      <c r="CH1251" s="4">
        <v>471</v>
      </c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/>
      <c r="GH1251" s="4"/>
      <c r="GI1251" s="4"/>
      <c r="GJ1251" s="4"/>
      <c r="GK1251" s="4"/>
      <c r="GL1251" s="4"/>
      <c r="GM1251" s="4"/>
      <c r="GN1251" s="4"/>
      <c r="GO1251" s="4"/>
      <c r="GP1251" s="4"/>
      <c r="GQ1251" s="4"/>
      <c r="GR1251" s="4"/>
      <c r="GS1251" s="4"/>
      <c r="GT1251" s="4"/>
      <c r="GU1251" s="4"/>
      <c r="GV1251" s="4"/>
      <c r="GW1251" s="4"/>
      <c r="GX1251" s="4"/>
      <c r="GY1251" s="4"/>
      <c r="GZ1251" s="4"/>
      <c r="HA1251" s="4"/>
      <c r="HB1251" s="4"/>
      <c r="HC1251" s="4"/>
      <c r="HD1251" s="4"/>
      <c r="HE1251" s="4"/>
    </row>
    <row r="1252">
      <c r="A1252" s="2" t="s">
        <v>6542</v>
      </c>
      <c r="B1252" s="2" t="s">
        <v>2532</v>
      </c>
      <c r="C1252" s="2" t="s">
        <v>835</v>
      </c>
      <c r="D1252" s="2" t="s">
        <v>2533</v>
      </c>
      <c r="E1252" s="2" t="s">
        <v>2534</v>
      </c>
      <c r="F1252" s="2" t="s">
        <v>6514</v>
      </c>
      <c r="G1252" s="2" t="s">
        <v>228</v>
      </c>
      <c r="H1252" s="2" t="s">
        <v>228</v>
      </c>
      <c r="I1252" s="2" t="s">
        <v>6515</v>
      </c>
      <c r="J1252" s="2" t="s">
        <v>1213</v>
      </c>
      <c r="K1252" s="2" t="s">
        <v>6536</v>
      </c>
      <c r="L1252" s="3">
        <v>19.21</v>
      </c>
      <c r="M1252" s="3">
        <v>20.17</v>
      </c>
      <c r="N1252" s="3">
        <v>29.99</v>
      </c>
      <c r="O1252" s="2" t="s">
        <v>240</v>
      </c>
      <c r="P1252" s="2" t="s">
        <v>889</v>
      </c>
      <c r="Q1252" s="2" t="s">
        <v>234</v>
      </c>
      <c r="R1252" s="2" t="s">
        <v>228</v>
      </c>
      <c r="S1252" s="2" t="s">
        <v>228</v>
      </c>
      <c r="T1252" s="2" t="s">
        <v>228</v>
      </c>
      <c r="U1252" s="2" t="s">
        <v>228</v>
      </c>
      <c r="V1252" s="2" t="s">
        <v>842</v>
      </c>
      <c r="W1252" s="2" t="s">
        <v>228</v>
      </c>
      <c r="X1252" s="2" t="s">
        <v>228</v>
      </c>
      <c r="Y1252" s="2" t="s">
        <v>2538</v>
      </c>
      <c r="Z1252" s="4">
        <v>471</v>
      </c>
      <c r="AA1252" s="4">
        <f>=ROUNDDOWN(87.2222222222222,0)</f>
      </c>
      <c r="AB1252" s="5">
        <v>5.4</v>
      </c>
      <c r="AC1252" s="2" t="s">
        <v>228</v>
      </c>
      <c r="AD1252" s="4"/>
      <c r="AE1252" s="4"/>
      <c r="AF1252" s="6"/>
      <c r="AG1252" s="6">
        <v>48</v>
      </c>
      <c r="AH1252" s="7">
        <v>1</v>
      </c>
      <c r="AI1252" s="4"/>
      <c r="AJ1252" s="4">
        <f>=ROUNDDOWN({0},0)</f>
      </c>
      <c r="AK1252" s="5"/>
      <c r="AL1252" s="2" t="s">
        <v>228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228</v>
      </c>
      <c r="AW1252" s="8" t="s">
        <v>228</v>
      </c>
      <c r="AX1252" s="4" t="s">
        <v>228</v>
      </c>
      <c r="AY1252" s="8" t="s">
        <v>228</v>
      </c>
      <c r="AZ1252" s="7" t="s">
        <v>228</v>
      </c>
      <c r="BA1252" s="7" t="s">
        <v>228</v>
      </c>
      <c r="BB1252" s="7"/>
      <c r="BC1252" s="4" t="s">
        <v>228</v>
      </c>
      <c r="BD1252" s="8" t="s">
        <v>228</v>
      </c>
      <c r="BE1252" s="4" t="s">
        <v>228</v>
      </c>
      <c r="BF1252" s="8" t="s">
        <v>228</v>
      </c>
      <c r="BG1252" s="7" t="s">
        <v>228</v>
      </c>
      <c r="BH1252" s="7" t="s">
        <v>228</v>
      </c>
      <c r="BI1252" s="7"/>
      <c r="BJ1252" s="4">
        <v>3</v>
      </c>
      <c r="BK1252" s="8">
        <v>53.8</v>
      </c>
      <c r="BL1252" s="2" t="s">
        <v>6492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6543</v>
      </c>
      <c r="BV1252" s="2" t="s">
        <v>228</v>
      </c>
      <c r="BW1252" s="2" t="s">
        <v>228</v>
      </c>
      <c r="BX1252" s="2" t="s">
        <v>273</v>
      </c>
      <c r="BY1252" s="2" t="s">
        <v>274</v>
      </c>
      <c r="BZ1252" s="2" t="s">
        <v>240</v>
      </c>
      <c r="CA1252" s="2" t="s">
        <v>5992</v>
      </c>
      <c r="CB1252" s="2" t="s">
        <v>3163</v>
      </c>
      <c r="CC1252" s="2" t="s">
        <v>241</v>
      </c>
      <c r="CD1252" s="2" t="s">
        <v>228</v>
      </c>
      <c r="CE1252" s="4"/>
      <c r="CF1252" s="4"/>
      <c r="CG1252" s="4"/>
      <c r="CH1252" s="4">
        <v>471</v>
      </c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</row>
    <row r="1253">
      <c r="A1253" s="2" t="s">
        <v>6544</v>
      </c>
      <c r="B1253" s="2" t="s">
        <v>2532</v>
      </c>
      <c r="C1253" s="2" t="s">
        <v>835</v>
      </c>
      <c r="D1253" s="2" t="s">
        <v>2533</v>
      </c>
      <c r="E1253" s="2" t="s">
        <v>2534</v>
      </c>
      <c r="F1253" s="2" t="s">
        <v>6514</v>
      </c>
      <c r="G1253" s="2" t="s">
        <v>228</v>
      </c>
      <c r="H1253" s="2" t="s">
        <v>228</v>
      </c>
      <c r="I1253" s="2" t="s">
        <v>6515</v>
      </c>
      <c r="J1253" s="2" t="s">
        <v>6523</v>
      </c>
      <c r="K1253" s="2" t="s">
        <v>6536</v>
      </c>
      <c r="L1253" s="3">
        <v>19.21</v>
      </c>
      <c r="M1253" s="3">
        <v>20.17</v>
      </c>
      <c r="N1253" s="3">
        <v>29.99</v>
      </c>
      <c r="O1253" s="2" t="s">
        <v>240</v>
      </c>
      <c r="P1253" s="2" t="s">
        <v>889</v>
      </c>
      <c r="Q1253" s="2" t="s">
        <v>234</v>
      </c>
      <c r="R1253" s="2" t="s">
        <v>228</v>
      </c>
      <c r="S1253" s="2" t="s">
        <v>228</v>
      </c>
      <c r="T1253" s="2" t="s">
        <v>228</v>
      </c>
      <c r="U1253" s="2" t="s">
        <v>228</v>
      </c>
      <c r="V1253" s="2" t="s">
        <v>842</v>
      </c>
      <c r="W1253" s="2" t="s">
        <v>228</v>
      </c>
      <c r="X1253" s="2" t="s">
        <v>228</v>
      </c>
      <c r="Y1253" s="2" t="s">
        <v>2538</v>
      </c>
      <c r="Z1253" s="4">
        <v>427</v>
      </c>
      <c r="AA1253" s="4">
        <f>=ROUNDDOWN(213.5,0)</f>
      </c>
      <c r="AB1253" s="5">
        <v>2</v>
      </c>
      <c r="AC1253" s="2" t="s">
        <v>228</v>
      </c>
      <c r="AD1253" s="4"/>
      <c r="AE1253" s="4"/>
      <c r="AF1253" s="6"/>
      <c r="AG1253" s="6">
        <v>48</v>
      </c>
      <c r="AH1253" s="7">
        <v>1</v>
      </c>
      <c r="AI1253" s="4"/>
      <c r="AJ1253" s="4">
        <f>=ROUNDDOWN({0},0)</f>
      </c>
      <c r="AK1253" s="5"/>
      <c r="AL1253" s="2" t="s">
        <v>228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 t="s">
        <v>228</v>
      </c>
      <c r="AW1253" s="8" t="s">
        <v>228</v>
      </c>
      <c r="AX1253" s="4" t="s">
        <v>228</v>
      </c>
      <c r="AY1253" s="8" t="s">
        <v>228</v>
      </c>
      <c r="AZ1253" s="7" t="s">
        <v>228</v>
      </c>
      <c r="BA1253" s="7" t="s">
        <v>228</v>
      </c>
      <c r="BB1253" s="7"/>
      <c r="BC1253" s="4" t="s">
        <v>228</v>
      </c>
      <c r="BD1253" s="8" t="s">
        <v>228</v>
      </c>
      <c r="BE1253" s="4" t="s">
        <v>228</v>
      </c>
      <c r="BF1253" s="8" t="s">
        <v>228</v>
      </c>
      <c r="BG1253" s="7" t="s">
        <v>228</v>
      </c>
      <c r="BH1253" s="7" t="s">
        <v>228</v>
      </c>
      <c r="BI1253" s="7"/>
      <c r="BJ1253" s="4">
        <v>8</v>
      </c>
      <c r="BK1253" s="8">
        <v>164</v>
      </c>
      <c r="BL1253" s="2" t="s">
        <v>2965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6545</v>
      </c>
      <c r="BV1253" s="2" t="s">
        <v>228</v>
      </c>
      <c r="BW1253" s="2" t="s">
        <v>228</v>
      </c>
      <c r="BX1253" s="2" t="s">
        <v>273</v>
      </c>
      <c r="BY1253" s="2" t="s">
        <v>274</v>
      </c>
      <c r="BZ1253" s="2" t="s">
        <v>240</v>
      </c>
      <c r="CA1253" s="2" t="s">
        <v>6465</v>
      </c>
      <c r="CB1253" s="2" t="s">
        <v>228</v>
      </c>
      <c r="CC1253" s="2" t="s">
        <v>241</v>
      </c>
      <c r="CD1253" s="2" t="s">
        <v>228</v>
      </c>
      <c r="CE1253" s="4"/>
      <c r="CF1253" s="4"/>
      <c r="CG1253" s="4"/>
      <c r="CH1253" s="4">
        <v>427</v>
      </c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/>
      <c r="GH1253" s="4"/>
      <c r="GI1253" s="4"/>
      <c r="GJ1253" s="4"/>
      <c r="GK1253" s="4"/>
      <c r="GL1253" s="4"/>
      <c r="GM1253" s="4"/>
      <c r="GN1253" s="4"/>
      <c r="GO1253" s="4"/>
      <c r="GP1253" s="4"/>
      <c r="GQ1253" s="4"/>
      <c r="GR1253" s="4"/>
      <c r="GS1253" s="4"/>
      <c r="GT1253" s="4"/>
      <c r="GU1253" s="4"/>
      <c r="GV1253" s="4"/>
      <c r="GW1253" s="4"/>
      <c r="GX1253" s="4"/>
      <c r="GY1253" s="4"/>
      <c r="GZ1253" s="4"/>
      <c r="HA1253" s="4"/>
      <c r="HB1253" s="4"/>
      <c r="HC1253" s="4"/>
      <c r="HD1253" s="4"/>
      <c r="HE1253" s="4"/>
    </row>
    <row r="1254">
      <c r="A1254" s="2" t="s">
        <v>6546</v>
      </c>
      <c r="B1254" s="2" t="s">
        <v>2532</v>
      </c>
      <c r="C1254" s="2" t="s">
        <v>835</v>
      </c>
      <c r="D1254" s="2" t="s">
        <v>2533</v>
      </c>
      <c r="E1254" s="2" t="s">
        <v>2534</v>
      </c>
      <c r="F1254" s="2" t="s">
        <v>6547</v>
      </c>
      <c r="G1254" s="2" t="s">
        <v>6547</v>
      </c>
      <c r="H1254" s="2" t="s">
        <v>6547</v>
      </c>
      <c r="I1254" s="2" t="s">
        <v>6548</v>
      </c>
      <c r="J1254" s="2" t="s">
        <v>6549</v>
      </c>
      <c r="K1254" s="2" t="s">
        <v>6550</v>
      </c>
      <c r="L1254" s="3">
        <v>20.34</v>
      </c>
      <c r="M1254" s="3">
        <v>21.36</v>
      </c>
      <c r="N1254" s="3"/>
      <c r="O1254" s="2" t="s">
        <v>240</v>
      </c>
      <c r="P1254" s="2" t="s">
        <v>889</v>
      </c>
      <c r="Q1254" s="2" t="s">
        <v>234</v>
      </c>
      <c r="R1254" s="2" t="s">
        <v>228</v>
      </c>
      <c r="S1254" s="2" t="s">
        <v>228</v>
      </c>
      <c r="T1254" s="2" t="s">
        <v>228</v>
      </c>
      <c r="U1254" s="2" t="s">
        <v>416</v>
      </c>
      <c r="V1254" s="2" t="s">
        <v>842</v>
      </c>
      <c r="W1254" s="2" t="s">
        <v>228</v>
      </c>
      <c r="X1254" s="2" t="s">
        <v>228</v>
      </c>
      <c r="Y1254" s="2" t="s">
        <v>2043</v>
      </c>
      <c r="Z1254" s="4">
        <v>168</v>
      </c>
      <c r="AA1254" s="4">
        <f>=ROUNDDOWN(168,0)</f>
      </c>
      <c r="AB1254" s="5">
        <v>1</v>
      </c>
      <c r="AC1254" s="2" t="s">
        <v>228</v>
      </c>
      <c r="AD1254" s="4"/>
      <c r="AE1254" s="4"/>
      <c r="AF1254" s="6"/>
      <c r="AG1254" s="6">
        <v>73</v>
      </c>
      <c r="AH1254" s="7">
        <v>1</v>
      </c>
      <c r="AI1254" s="4"/>
      <c r="AJ1254" s="4">
        <f>=ROUNDDOWN({0},0)</f>
      </c>
      <c r="AK1254" s="5"/>
      <c r="AL1254" s="2" t="s">
        <v>228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228</v>
      </c>
      <c r="AW1254" s="8" t="s">
        <v>228</v>
      </c>
      <c r="AX1254" s="4" t="s">
        <v>228</v>
      </c>
      <c r="AY1254" s="8" t="s">
        <v>228</v>
      </c>
      <c r="AZ1254" s="7" t="s">
        <v>228</v>
      </c>
      <c r="BA1254" s="7" t="s">
        <v>228</v>
      </c>
      <c r="BB1254" s="7"/>
      <c r="BC1254" s="4" t="s">
        <v>228</v>
      </c>
      <c r="BD1254" s="8" t="s">
        <v>228</v>
      </c>
      <c r="BE1254" s="4" t="s">
        <v>228</v>
      </c>
      <c r="BF1254" s="8" t="s">
        <v>228</v>
      </c>
      <c r="BG1254" s="7" t="s">
        <v>228</v>
      </c>
      <c r="BH1254" s="7" t="s">
        <v>228</v>
      </c>
      <c r="BI1254" s="7"/>
      <c r="BJ1254" s="4">
        <v>3</v>
      </c>
      <c r="BK1254" s="8">
        <v>75.6</v>
      </c>
      <c r="BL1254" s="2" t="s">
        <v>708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6551</v>
      </c>
      <c r="BV1254" s="2" t="s">
        <v>228</v>
      </c>
      <c r="BW1254" s="2" t="s">
        <v>228</v>
      </c>
      <c r="BX1254" s="2" t="s">
        <v>273</v>
      </c>
      <c r="BY1254" s="2" t="s">
        <v>274</v>
      </c>
      <c r="BZ1254" s="2" t="s">
        <v>240</v>
      </c>
      <c r="CA1254" s="2" t="s">
        <v>511</v>
      </c>
      <c r="CB1254" s="2" t="s">
        <v>228</v>
      </c>
      <c r="CC1254" s="2" t="s">
        <v>241</v>
      </c>
      <c r="CD1254" s="2" t="s">
        <v>228</v>
      </c>
      <c r="CE1254" s="4"/>
      <c r="CF1254" s="4"/>
      <c r="CG1254" s="4"/>
      <c r="CH1254" s="4">
        <v>168</v>
      </c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/>
      <c r="HC1254" s="4"/>
      <c r="HD1254" s="4"/>
      <c r="HE1254" s="4"/>
    </row>
    <row r="1255">
      <c r="A1255" s="2" t="s">
        <v>6552</v>
      </c>
      <c r="B1255" s="2" t="s">
        <v>2532</v>
      </c>
      <c r="C1255" s="2" t="s">
        <v>835</v>
      </c>
      <c r="D1255" s="2" t="s">
        <v>2533</v>
      </c>
      <c r="E1255" s="2" t="s">
        <v>2534</v>
      </c>
      <c r="F1255" s="2" t="s">
        <v>6547</v>
      </c>
      <c r="G1255" s="2" t="s">
        <v>6547</v>
      </c>
      <c r="H1255" s="2" t="s">
        <v>6547</v>
      </c>
      <c r="I1255" s="2" t="s">
        <v>6553</v>
      </c>
      <c r="J1255" s="2" t="s">
        <v>6554</v>
      </c>
      <c r="K1255" s="2" t="s">
        <v>6550</v>
      </c>
      <c r="L1255" s="3">
        <v>20.34</v>
      </c>
      <c r="M1255" s="3">
        <v>21.36</v>
      </c>
      <c r="N1255" s="3"/>
      <c r="O1255" s="2" t="s">
        <v>240</v>
      </c>
      <c r="P1255" s="2" t="s">
        <v>889</v>
      </c>
      <c r="Q1255" s="2" t="s">
        <v>234</v>
      </c>
      <c r="R1255" s="2" t="s">
        <v>228</v>
      </c>
      <c r="S1255" s="2" t="s">
        <v>228</v>
      </c>
      <c r="T1255" s="2" t="s">
        <v>228</v>
      </c>
      <c r="U1255" s="2" t="s">
        <v>416</v>
      </c>
      <c r="V1255" s="2" t="s">
        <v>842</v>
      </c>
      <c r="W1255" s="2" t="s">
        <v>228</v>
      </c>
      <c r="X1255" s="2" t="s">
        <v>228</v>
      </c>
      <c r="Y1255" s="2" t="s">
        <v>2043</v>
      </c>
      <c r="Z1255" s="4">
        <v>242</v>
      </c>
      <c r="AA1255" s="4">
        <f>=ROUNDDOWN(35.0724637681159,0)</f>
      </c>
      <c r="AB1255" s="5">
        <v>6.9</v>
      </c>
      <c r="AC1255" s="2" t="s">
        <v>228</v>
      </c>
      <c r="AD1255" s="4"/>
      <c r="AE1255" s="4"/>
      <c r="AF1255" s="6"/>
      <c r="AG1255" s="6">
        <v>73</v>
      </c>
      <c r="AH1255" s="7">
        <v>1</v>
      </c>
      <c r="AI1255" s="4"/>
      <c r="AJ1255" s="4">
        <f>=ROUNDDOWN({0},0)</f>
      </c>
      <c r="AK1255" s="5"/>
      <c r="AL1255" s="2" t="s">
        <v>228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 t="s">
        <v>228</v>
      </c>
      <c r="AW1255" s="8" t="s">
        <v>228</v>
      </c>
      <c r="AX1255" s="4" t="s">
        <v>228</v>
      </c>
      <c r="AY1255" s="8" t="s">
        <v>228</v>
      </c>
      <c r="AZ1255" s="7" t="s">
        <v>228</v>
      </c>
      <c r="BA1255" s="7" t="s">
        <v>228</v>
      </c>
      <c r="BB1255" s="7"/>
      <c r="BC1255" s="4" t="s">
        <v>228</v>
      </c>
      <c r="BD1255" s="8" t="s">
        <v>228</v>
      </c>
      <c r="BE1255" s="4" t="s">
        <v>228</v>
      </c>
      <c r="BF1255" s="8" t="s">
        <v>228</v>
      </c>
      <c r="BG1255" s="7" t="s">
        <v>228</v>
      </c>
      <c r="BH1255" s="7" t="s">
        <v>228</v>
      </c>
      <c r="BI1255" s="7"/>
      <c r="BJ1255" s="4">
        <v>22</v>
      </c>
      <c r="BK1255" s="8">
        <v>553.56</v>
      </c>
      <c r="BL1255" s="2" t="s">
        <v>6454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6555</v>
      </c>
      <c r="BV1255" s="2" t="s">
        <v>228</v>
      </c>
      <c r="BW1255" s="2" t="s">
        <v>228</v>
      </c>
      <c r="BX1255" s="2" t="s">
        <v>273</v>
      </c>
      <c r="BY1255" s="2" t="s">
        <v>274</v>
      </c>
      <c r="BZ1255" s="2" t="s">
        <v>240</v>
      </c>
      <c r="CA1255" s="2" t="s">
        <v>511</v>
      </c>
      <c r="CB1255" s="2" t="s">
        <v>6556</v>
      </c>
      <c r="CC1255" s="2" t="s">
        <v>241</v>
      </c>
      <c r="CD1255" s="2" t="s">
        <v>228</v>
      </c>
      <c r="CE1255" s="4"/>
      <c r="CF1255" s="4"/>
      <c r="CG1255" s="4"/>
      <c r="CH1255" s="4">
        <v>242</v>
      </c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  <c r="GG1255" s="4"/>
      <c r="GH1255" s="4"/>
      <c r="GI1255" s="4"/>
      <c r="GJ1255" s="4"/>
      <c r="GK1255" s="4"/>
      <c r="GL1255" s="4"/>
      <c r="GM1255" s="4"/>
      <c r="GN1255" s="4"/>
      <c r="GO1255" s="4"/>
      <c r="GP1255" s="4"/>
      <c r="GQ1255" s="4"/>
      <c r="GR1255" s="4"/>
      <c r="GS1255" s="4"/>
      <c r="GT1255" s="4"/>
      <c r="GU1255" s="4"/>
      <c r="GV1255" s="4"/>
      <c r="GW1255" s="4"/>
      <c r="GX1255" s="4"/>
      <c r="GY1255" s="4"/>
      <c r="GZ1255" s="4"/>
      <c r="HA1255" s="4"/>
      <c r="HB1255" s="4"/>
      <c r="HC1255" s="4"/>
      <c r="HD1255" s="4"/>
      <c r="HE1255" s="4"/>
    </row>
    <row r="1256">
      <c r="A1256" s="2" t="s">
        <v>6557</v>
      </c>
      <c r="B1256" s="2" t="s">
        <v>2532</v>
      </c>
      <c r="C1256" s="2" t="s">
        <v>835</v>
      </c>
      <c r="D1256" s="2" t="s">
        <v>2533</v>
      </c>
      <c r="E1256" s="2" t="s">
        <v>2534</v>
      </c>
      <c r="F1256" s="2" t="s">
        <v>6547</v>
      </c>
      <c r="G1256" s="2" t="s">
        <v>6547</v>
      </c>
      <c r="H1256" s="2" t="s">
        <v>6547</v>
      </c>
      <c r="I1256" s="2" t="s">
        <v>6558</v>
      </c>
      <c r="J1256" s="2" t="s">
        <v>6559</v>
      </c>
      <c r="K1256" s="2" t="s">
        <v>6550</v>
      </c>
      <c r="L1256" s="3">
        <v>20.34</v>
      </c>
      <c r="M1256" s="3">
        <v>21.36</v>
      </c>
      <c r="N1256" s="3"/>
      <c r="O1256" s="2" t="s">
        <v>240</v>
      </c>
      <c r="P1256" s="2" t="s">
        <v>889</v>
      </c>
      <c r="Q1256" s="2" t="s">
        <v>234</v>
      </c>
      <c r="R1256" s="2" t="s">
        <v>228</v>
      </c>
      <c r="S1256" s="2" t="s">
        <v>228</v>
      </c>
      <c r="T1256" s="2" t="s">
        <v>228</v>
      </c>
      <c r="U1256" s="2" t="s">
        <v>416</v>
      </c>
      <c r="V1256" s="2" t="s">
        <v>842</v>
      </c>
      <c r="W1256" s="2" t="s">
        <v>228</v>
      </c>
      <c r="X1256" s="2" t="s">
        <v>228</v>
      </c>
      <c r="Y1256" s="2" t="s">
        <v>2043</v>
      </c>
      <c r="Z1256" s="4">
        <v>221</v>
      </c>
      <c r="AA1256" s="4">
        <f>=ROUNDDOWN(32.9850746268657,0)</f>
      </c>
      <c r="AB1256" s="5">
        <v>6.7</v>
      </c>
      <c r="AC1256" s="2" t="s">
        <v>228</v>
      </c>
      <c r="AD1256" s="4"/>
      <c r="AE1256" s="4"/>
      <c r="AF1256" s="6"/>
      <c r="AG1256" s="6">
        <v>73</v>
      </c>
      <c r="AH1256" s="7">
        <v>1</v>
      </c>
      <c r="AI1256" s="4"/>
      <c r="AJ1256" s="4">
        <f>=ROUNDDOWN({0},0)</f>
      </c>
      <c r="AK1256" s="5"/>
      <c r="AL1256" s="2" t="s">
        <v>228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 t="s">
        <v>228</v>
      </c>
      <c r="AW1256" s="8" t="s">
        <v>228</v>
      </c>
      <c r="AX1256" s="4" t="s">
        <v>228</v>
      </c>
      <c r="AY1256" s="8" t="s">
        <v>228</v>
      </c>
      <c r="AZ1256" s="7" t="s">
        <v>228</v>
      </c>
      <c r="BA1256" s="7" t="s">
        <v>228</v>
      </c>
      <c r="BB1256" s="7"/>
      <c r="BC1256" s="4" t="s">
        <v>228</v>
      </c>
      <c r="BD1256" s="8" t="s">
        <v>228</v>
      </c>
      <c r="BE1256" s="4" t="s">
        <v>228</v>
      </c>
      <c r="BF1256" s="8" t="s">
        <v>228</v>
      </c>
      <c r="BG1256" s="7" t="s">
        <v>228</v>
      </c>
      <c r="BH1256" s="7" t="s">
        <v>228</v>
      </c>
      <c r="BI1256" s="7"/>
      <c r="BJ1256" s="4">
        <v>15</v>
      </c>
      <c r="BK1256" s="8">
        <v>376.11</v>
      </c>
      <c r="BL1256" s="2" t="s">
        <v>6454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6560</v>
      </c>
      <c r="BV1256" s="2" t="s">
        <v>228</v>
      </c>
      <c r="BW1256" s="2" t="s">
        <v>228</v>
      </c>
      <c r="BX1256" s="2" t="s">
        <v>273</v>
      </c>
      <c r="BY1256" s="2" t="s">
        <v>274</v>
      </c>
      <c r="BZ1256" s="2" t="s">
        <v>240</v>
      </c>
      <c r="CA1256" s="2" t="s">
        <v>511</v>
      </c>
      <c r="CB1256" s="2" t="s">
        <v>6481</v>
      </c>
      <c r="CC1256" s="2" t="s">
        <v>241</v>
      </c>
      <c r="CD1256" s="2" t="s">
        <v>228</v>
      </c>
      <c r="CE1256" s="4"/>
      <c r="CF1256" s="4"/>
      <c r="CG1256" s="4"/>
      <c r="CH1256" s="4">
        <v>221</v>
      </c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</row>
    <row r="1257">
      <c r="A1257" s="2" t="s">
        <v>6561</v>
      </c>
      <c r="B1257" s="2" t="s">
        <v>2532</v>
      </c>
      <c r="C1257" s="2" t="s">
        <v>835</v>
      </c>
      <c r="D1257" s="2" t="s">
        <v>2533</v>
      </c>
      <c r="E1257" s="2" t="s">
        <v>2534</v>
      </c>
      <c r="F1257" s="2" t="s">
        <v>6547</v>
      </c>
      <c r="G1257" s="2" t="s">
        <v>6547</v>
      </c>
      <c r="H1257" s="2" t="s">
        <v>6547</v>
      </c>
      <c r="I1257" s="2" t="s">
        <v>6562</v>
      </c>
      <c r="J1257" s="2" t="s">
        <v>6549</v>
      </c>
      <c r="K1257" s="2" t="s">
        <v>6563</v>
      </c>
      <c r="L1257" s="3">
        <v>20.34</v>
      </c>
      <c r="M1257" s="3">
        <v>21.36</v>
      </c>
      <c r="N1257" s="3">
        <v>44.99</v>
      </c>
      <c r="O1257" s="2" t="s">
        <v>240</v>
      </c>
      <c r="P1257" s="2" t="s">
        <v>889</v>
      </c>
      <c r="Q1257" s="2" t="s">
        <v>234</v>
      </c>
      <c r="R1257" s="2" t="s">
        <v>228</v>
      </c>
      <c r="S1257" s="2" t="s">
        <v>228</v>
      </c>
      <c r="T1257" s="2" t="s">
        <v>228</v>
      </c>
      <c r="U1257" s="2" t="s">
        <v>416</v>
      </c>
      <c r="V1257" s="2" t="s">
        <v>842</v>
      </c>
      <c r="W1257" s="2" t="s">
        <v>228</v>
      </c>
      <c r="X1257" s="2" t="s">
        <v>228</v>
      </c>
      <c r="Y1257" s="2" t="s">
        <v>6564</v>
      </c>
      <c r="Z1257" s="4">
        <v>127</v>
      </c>
      <c r="AA1257" s="4">
        <f>=ROUNDDOWN(97.6923076923077,0)</f>
      </c>
      <c r="AB1257" s="5">
        <v>1.3</v>
      </c>
      <c r="AC1257" s="2" t="s">
        <v>228</v>
      </c>
      <c r="AD1257" s="4"/>
      <c r="AE1257" s="4"/>
      <c r="AF1257" s="6"/>
      <c r="AG1257" s="6">
        <v>73</v>
      </c>
      <c r="AH1257" s="7">
        <v>1</v>
      </c>
      <c r="AI1257" s="4"/>
      <c r="AJ1257" s="4">
        <f>=ROUNDDOWN({0},0)</f>
      </c>
      <c r="AK1257" s="5"/>
      <c r="AL1257" s="2" t="s">
        <v>228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228</v>
      </c>
      <c r="AW1257" s="8" t="s">
        <v>228</v>
      </c>
      <c r="AX1257" s="4" t="s">
        <v>228</v>
      </c>
      <c r="AY1257" s="8" t="s">
        <v>228</v>
      </c>
      <c r="AZ1257" s="7" t="s">
        <v>228</v>
      </c>
      <c r="BA1257" s="7" t="s">
        <v>228</v>
      </c>
      <c r="BB1257" s="7"/>
      <c r="BC1257" s="4" t="s">
        <v>228</v>
      </c>
      <c r="BD1257" s="8" t="s">
        <v>228</v>
      </c>
      <c r="BE1257" s="4" t="s">
        <v>228</v>
      </c>
      <c r="BF1257" s="8" t="s">
        <v>228</v>
      </c>
      <c r="BG1257" s="7" t="s">
        <v>228</v>
      </c>
      <c r="BH1257" s="7" t="s">
        <v>228</v>
      </c>
      <c r="BI1257" s="7"/>
      <c r="BJ1257" s="4">
        <v>2</v>
      </c>
      <c r="BK1257" s="8">
        <v>50.4</v>
      </c>
      <c r="BL1257" s="2" t="s">
        <v>708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6565</v>
      </c>
      <c r="BV1257" s="2" t="s">
        <v>228</v>
      </c>
      <c r="BW1257" s="2" t="s">
        <v>228</v>
      </c>
      <c r="BX1257" s="2" t="s">
        <v>273</v>
      </c>
      <c r="BY1257" s="2" t="s">
        <v>274</v>
      </c>
      <c r="BZ1257" s="2" t="s">
        <v>240</v>
      </c>
      <c r="CA1257" s="2" t="s">
        <v>511</v>
      </c>
      <c r="CB1257" s="2" t="s">
        <v>228</v>
      </c>
      <c r="CC1257" s="2" t="s">
        <v>241</v>
      </c>
      <c r="CD1257" s="2" t="s">
        <v>228</v>
      </c>
      <c r="CE1257" s="4"/>
      <c r="CF1257" s="4"/>
      <c r="CG1257" s="4"/>
      <c r="CH1257" s="4">
        <v>127</v>
      </c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  <c r="GG1257" s="4"/>
      <c r="GH1257" s="4"/>
      <c r="GI1257" s="4"/>
      <c r="GJ1257" s="4"/>
      <c r="GK1257" s="4"/>
      <c r="GL1257" s="4"/>
      <c r="GM1257" s="4"/>
      <c r="GN1257" s="4"/>
      <c r="GO1257" s="4"/>
      <c r="GP1257" s="4"/>
      <c r="GQ1257" s="4"/>
      <c r="GR1257" s="4"/>
      <c r="GS1257" s="4"/>
      <c r="GT1257" s="4"/>
      <c r="GU1257" s="4"/>
      <c r="GV1257" s="4"/>
      <c r="GW1257" s="4"/>
      <c r="GX1257" s="4"/>
      <c r="GY1257" s="4"/>
      <c r="GZ1257" s="4"/>
      <c r="HA1257" s="4"/>
      <c r="HB1257" s="4"/>
      <c r="HC1257" s="4"/>
      <c r="HD1257" s="4"/>
      <c r="HE1257" s="4"/>
    </row>
    <row r="1258">
      <c r="A1258" s="2" t="s">
        <v>6566</v>
      </c>
      <c r="B1258" s="2" t="s">
        <v>2532</v>
      </c>
      <c r="C1258" s="2" t="s">
        <v>835</v>
      </c>
      <c r="D1258" s="2" t="s">
        <v>2533</v>
      </c>
      <c r="E1258" s="2" t="s">
        <v>2534</v>
      </c>
      <c r="F1258" s="2" t="s">
        <v>6547</v>
      </c>
      <c r="G1258" s="2" t="s">
        <v>6547</v>
      </c>
      <c r="H1258" s="2" t="s">
        <v>6547</v>
      </c>
      <c r="I1258" s="2" t="s">
        <v>6562</v>
      </c>
      <c r="J1258" s="2" t="s">
        <v>6554</v>
      </c>
      <c r="K1258" s="2" t="s">
        <v>6563</v>
      </c>
      <c r="L1258" s="3">
        <v>20.34</v>
      </c>
      <c r="M1258" s="3">
        <v>21.36</v>
      </c>
      <c r="N1258" s="3">
        <v>44.99</v>
      </c>
      <c r="O1258" s="2" t="s">
        <v>240</v>
      </c>
      <c r="P1258" s="2" t="s">
        <v>889</v>
      </c>
      <c r="Q1258" s="2" t="s">
        <v>234</v>
      </c>
      <c r="R1258" s="2" t="s">
        <v>228</v>
      </c>
      <c r="S1258" s="2" t="s">
        <v>228</v>
      </c>
      <c r="T1258" s="2" t="s">
        <v>228</v>
      </c>
      <c r="U1258" s="2" t="s">
        <v>416</v>
      </c>
      <c r="V1258" s="2" t="s">
        <v>842</v>
      </c>
      <c r="W1258" s="2" t="s">
        <v>228</v>
      </c>
      <c r="X1258" s="2" t="s">
        <v>228</v>
      </c>
      <c r="Y1258" s="2" t="s">
        <v>6564</v>
      </c>
      <c r="Z1258" s="4">
        <v>323</v>
      </c>
      <c r="AA1258" s="4">
        <f>=ROUNDDOWN(95,0)</f>
      </c>
      <c r="AB1258" s="5">
        <v>3.4</v>
      </c>
      <c r="AC1258" s="2" t="s">
        <v>228</v>
      </c>
      <c r="AD1258" s="4"/>
      <c r="AE1258" s="4"/>
      <c r="AF1258" s="6"/>
      <c r="AG1258" s="6">
        <v>73</v>
      </c>
      <c r="AH1258" s="7">
        <v>1</v>
      </c>
      <c r="AI1258" s="4"/>
      <c r="AJ1258" s="4">
        <f>=ROUNDDOWN({0},0)</f>
      </c>
      <c r="AK1258" s="5"/>
      <c r="AL1258" s="2" t="s">
        <v>228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228</v>
      </c>
      <c r="AW1258" s="8" t="s">
        <v>228</v>
      </c>
      <c r="AX1258" s="4" t="s">
        <v>228</v>
      </c>
      <c r="AY1258" s="8" t="s">
        <v>228</v>
      </c>
      <c r="AZ1258" s="7" t="s">
        <v>228</v>
      </c>
      <c r="BA1258" s="7" t="s">
        <v>228</v>
      </c>
      <c r="BB1258" s="7"/>
      <c r="BC1258" s="4" t="s">
        <v>228</v>
      </c>
      <c r="BD1258" s="8" t="s">
        <v>228</v>
      </c>
      <c r="BE1258" s="4" t="s">
        <v>228</v>
      </c>
      <c r="BF1258" s="8" t="s">
        <v>228</v>
      </c>
      <c r="BG1258" s="7" t="s">
        <v>228</v>
      </c>
      <c r="BH1258" s="7" t="s">
        <v>228</v>
      </c>
      <c r="BI1258" s="7"/>
      <c r="BJ1258" s="4">
        <v>9</v>
      </c>
      <c r="BK1258" s="8">
        <v>226.17</v>
      </c>
      <c r="BL1258" s="2" t="s">
        <v>3157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6567</v>
      </c>
      <c r="BV1258" s="2" t="s">
        <v>228</v>
      </c>
      <c r="BW1258" s="2" t="s">
        <v>228</v>
      </c>
      <c r="BX1258" s="2" t="s">
        <v>273</v>
      </c>
      <c r="BY1258" s="2" t="s">
        <v>274</v>
      </c>
      <c r="BZ1258" s="2" t="s">
        <v>240</v>
      </c>
      <c r="CA1258" s="2" t="s">
        <v>511</v>
      </c>
      <c r="CB1258" s="2" t="s">
        <v>6568</v>
      </c>
      <c r="CC1258" s="2" t="s">
        <v>241</v>
      </c>
      <c r="CD1258" s="2" t="s">
        <v>228</v>
      </c>
      <c r="CE1258" s="4"/>
      <c r="CF1258" s="4"/>
      <c r="CG1258" s="4"/>
      <c r="CH1258" s="4">
        <v>323</v>
      </c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  <c r="GS1258" s="4"/>
      <c r="GT1258" s="4"/>
      <c r="GU1258" s="4"/>
      <c r="GV1258" s="4"/>
      <c r="GW1258" s="4"/>
      <c r="GX1258" s="4"/>
      <c r="GY1258" s="4"/>
      <c r="GZ1258" s="4"/>
      <c r="HA1258" s="4"/>
      <c r="HB1258" s="4"/>
      <c r="HC1258" s="4"/>
      <c r="HD1258" s="4"/>
      <c r="HE1258" s="4"/>
    </row>
    <row r="1259">
      <c r="A1259" s="2" t="s">
        <v>6569</v>
      </c>
      <c r="B1259" s="2" t="s">
        <v>2532</v>
      </c>
      <c r="C1259" s="2" t="s">
        <v>835</v>
      </c>
      <c r="D1259" s="2" t="s">
        <v>2533</v>
      </c>
      <c r="E1259" s="2" t="s">
        <v>2534</v>
      </c>
      <c r="F1259" s="2" t="s">
        <v>6547</v>
      </c>
      <c r="G1259" s="2" t="s">
        <v>6547</v>
      </c>
      <c r="H1259" s="2" t="s">
        <v>6547</v>
      </c>
      <c r="I1259" s="2" t="s">
        <v>6562</v>
      </c>
      <c r="J1259" s="2" t="s">
        <v>6559</v>
      </c>
      <c r="K1259" s="2" t="s">
        <v>6563</v>
      </c>
      <c r="L1259" s="3">
        <v>20.34</v>
      </c>
      <c r="M1259" s="3">
        <v>21.36</v>
      </c>
      <c r="N1259" s="3">
        <v>44.99</v>
      </c>
      <c r="O1259" s="2" t="s">
        <v>240</v>
      </c>
      <c r="P1259" s="2" t="s">
        <v>889</v>
      </c>
      <c r="Q1259" s="2" t="s">
        <v>234</v>
      </c>
      <c r="R1259" s="2" t="s">
        <v>228</v>
      </c>
      <c r="S1259" s="2" t="s">
        <v>228</v>
      </c>
      <c r="T1259" s="2" t="s">
        <v>228</v>
      </c>
      <c r="U1259" s="2" t="s">
        <v>416</v>
      </c>
      <c r="V1259" s="2" t="s">
        <v>842</v>
      </c>
      <c r="W1259" s="2" t="s">
        <v>228</v>
      </c>
      <c r="X1259" s="2" t="s">
        <v>228</v>
      </c>
      <c r="Y1259" s="2" t="s">
        <v>6564</v>
      </c>
      <c r="Z1259" s="4">
        <v>321</v>
      </c>
      <c r="AA1259" s="4">
        <f>=ROUNDDOWN(80.25,0)</f>
      </c>
      <c r="AB1259" s="5">
        <v>4</v>
      </c>
      <c r="AC1259" s="2" t="s">
        <v>228</v>
      </c>
      <c r="AD1259" s="4"/>
      <c r="AE1259" s="4"/>
      <c r="AF1259" s="6"/>
      <c r="AG1259" s="6">
        <v>73</v>
      </c>
      <c r="AH1259" s="7">
        <v>1</v>
      </c>
      <c r="AI1259" s="4"/>
      <c r="AJ1259" s="4">
        <f>=ROUNDDOWN({0},0)</f>
      </c>
      <c r="AK1259" s="5"/>
      <c r="AL1259" s="2" t="s">
        <v>228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 t="s">
        <v>228</v>
      </c>
      <c r="AW1259" s="8" t="s">
        <v>228</v>
      </c>
      <c r="AX1259" s="4" t="s">
        <v>228</v>
      </c>
      <c r="AY1259" s="8" t="s">
        <v>228</v>
      </c>
      <c r="AZ1259" s="7" t="s">
        <v>228</v>
      </c>
      <c r="BA1259" s="7" t="s">
        <v>228</v>
      </c>
      <c r="BB1259" s="7"/>
      <c r="BC1259" s="4" t="s">
        <v>228</v>
      </c>
      <c r="BD1259" s="8" t="s">
        <v>228</v>
      </c>
      <c r="BE1259" s="4" t="s">
        <v>228</v>
      </c>
      <c r="BF1259" s="8" t="s">
        <v>228</v>
      </c>
      <c r="BG1259" s="7" t="s">
        <v>228</v>
      </c>
      <c r="BH1259" s="7" t="s">
        <v>228</v>
      </c>
      <c r="BI1259" s="7"/>
      <c r="BJ1259" s="4">
        <v>12</v>
      </c>
      <c r="BK1259" s="8">
        <v>301.77</v>
      </c>
      <c r="BL1259" s="2" t="s">
        <v>6454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6570</v>
      </c>
      <c r="BV1259" s="2" t="s">
        <v>228</v>
      </c>
      <c r="BW1259" s="2" t="s">
        <v>228</v>
      </c>
      <c r="BX1259" s="2" t="s">
        <v>273</v>
      </c>
      <c r="BY1259" s="2" t="s">
        <v>274</v>
      </c>
      <c r="BZ1259" s="2" t="s">
        <v>240</v>
      </c>
      <c r="CA1259" s="2" t="s">
        <v>511</v>
      </c>
      <c r="CB1259" s="2" t="s">
        <v>1542</v>
      </c>
      <c r="CC1259" s="2" t="s">
        <v>241</v>
      </c>
      <c r="CD1259" s="2" t="s">
        <v>228</v>
      </c>
      <c r="CE1259" s="4"/>
      <c r="CF1259" s="4"/>
      <c r="CG1259" s="4"/>
      <c r="CH1259" s="4">
        <v>321</v>
      </c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/>
      <c r="GF1259" s="4"/>
      <c r="GG1259" s="4"/>
      <c r="GH1259" s="4"/>
      <c r="GI1259" s="4"/>
      <c r="GJ1259" s="4"/>
      <c r="GK1259" s="4"/>
      <c r="GL1259" s="4"/>
      <c r="GM1259" s="4"/>
      <c r="GN1259" s="4"/>
      <c r="GO1259" s="4"/>
      <c r="GP1259" s="4"/>
      <c r="GQ1259" s="4"/>
      <c r="GR1259" s="4"/>
      <c r="GS1259" s="4"/>
      <c r="GT1259" s="4"/>
      <c r="GU1259" s="4"/>
      <c r="GV1259" s="4"/>
      <c r="GW1259" s="4"/>
      <c r="GX1259" s="4"/>
      <c r="GY1259" s="4"/>
      <c r="GZ1259" s="4"/>
      <c r="HA1259" s="4"/>
      <c r="HB1259" s="4"/>
      <c r="HC1259" s="4"/>
      <c r="HD1259" s="4"/>
      <c r="HE1259" s="4"/>
    </row>
    <row r="1260">
      <c r="A1260" s="2" t="s">
        <v>6571</v>
      </c>
      <c r="B1260" s="2" t="s">
        <v>2532</v>
      </c>
      <c r="C1260" s="2" t="s">
        <v>835</v>
      </c>
      <c r="D1260" s="2" t="s">
        <v>2533</v>
      </c>
      <c r="E1260" s="2" t="s">
        <v>2534</v>
      </c>
      <c r="F1260" s="2" t="s">
        <v>6547</v>
      </c>
      <c r="G1260" s="2" t="s">
        <v>6547</v>
      </c>
      <c r="H1260" s="2" t="s">
        <v>6547</v>
      </c>
      <c r="I1260" s="2" t="s">
        <v>6562</v>
      </c>
      <c r="J1260" s="2" t="s">
        <v>6549</v>
      </c>
      <c r="K1260" s="2" t="s">
        <v>6572</v>
      </c>
      <c r="L1260" s="3">
        <v>20.34</v>
      </c>
      <c r="M1260" s="3">
        <v>21.36</v>
      </c>
      <c r="N1260" s="3">
        <v>44.99</v>
      </c>
      <c r="O1260" s="2" t="s">
        <v>240</v>
      </c>
      <c r="P1260" s="2" t="s">
        <v>889</v>
      </c>
      <c r="Q1260" s="2" t="s">
        <v>234</v>
      </c>
      <c r="R1260" s="2" t="s">
        <v>228</v>
      </c>
      <c r="S1260" s="2" t="s">
        <v>228</v>
      </c>
      <c r="T1260" s="2" t="s">
        <v>228</v>
      </c>
      <c r="U1260" s="2" t="s">
        <v>416</v>
      </c>
      <c r="V1260" s="2" t="s">
        <v>842</v>
      </c>
      <c r="W1260" s="2" t="s">
        <v>228</v>
      </c>
      <c r="X1260" s="2" t="s">
        <v>228</v>
      </c>
      <c r="Y1260" s="2" t="s">
        <v>6564</v>
      </c>
      <c r="Z1260" s="4">
        <v>74</v>
      </c>
      <c r="AA1260" s="4">
        <f>=ROUNDDOWN(61.6666666666667,0)</f>
      </c>
      <c r="AB1260" s="5">
        <v>1.2</v>
      </c>
      <c r="AC1260" s="2" t="s">
        <v>228</v>
      </c>
      <c r="AD1260" s="4"/>
      <c r="AE1260" s="4"/>
      <c r="AF1260" s="6"/>
      <c r="AG1260" s="6">
        <v>73</v>
      </c>
      <c r="AH1260" s="7">
        <v>1</v>
      </c>
      <c r="AI1260" s="4"/>
      <c r="AJ1260" s="4">
        <f>=ROUNDDOWN({0},0)</f>
      </c>
      <c r="AK1260" s="5"/>
      <c r="AL1260" s="2" t="s">
        <v>228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228</v>
      </c>
      <c r="AW1260" s="8" t="s">
        <v>228</v>
      </c>
      <c r="AX1260" s="4" t="s">
        <v>228</v>
      </c>
      <c r="AY1260" s="8" t="s">
        <v>228</v>
      </c>
      <c r="AZ1260" s="7" t="s">
        <v>228</v>
      </c>
      <c r="BA1260" s="7" t="s">
        <v>228</v>
      </c>
      <c r="BB1260" s="7"/>
      <c r="BC1260" s="4" t="s">
        <v>228</v>
      </c>
      <c r="BD1260" s="8" t="s">
        <v>228</v>
      </c>
      <c r="BE1260" s="4" t="s">
        <v>228</v>
      </c>
      <c r="BF1260" s="8" t="s">
        <v>228</v>
      </c>
      <c r="BG1260" s="7" t="s">
        <v>228</v>
      </c>
      <c r="BH1260" s="7" t="s">
        <v>228</v>
      </c>
      <c r="BI1260" s="7"/>
      <c r="BJ1260" s="4"/>
      <c r="BK1260" s="8"/>
      <c r="BL1260" s="2" t="s">
        <v>708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6573</v>
      </c>
      <c r="BV1260" s="2" t="s">
        <v>228</v>
      </c>
      <c r="BW1260" s="2" t="s">
        <v>228</v>
      </c>
      <c r="BX1260" s="2" t="s">
        <v>273</v>
      </c>
      <c r="BY1260" s="2" t="s">
        <v>274</v>
      </c>
      <c r="BZ1260" s="2" t="s">
        <v>240</v>
      </c>
      <c r="CA1260" s="2" t="s">
        <v>511</v>
      </c>
      <c r="CB1260" s="2" t="s">
        <v>228</v>
      </c>
      <c r="CC1260" s="2" t="s">
        <v>241</v>
      </c>
      <c r="CD1260" s="2" t="s">
        <v>228</v>
      </c>
      <c r="CE1260" s="4"/>
      <c r="CF1260" s="4"/>
      <c r="CG1260" s="4"/>
      <c r="CH1260" s="4">
        <v>74</v>
      </c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/>
      <c r="GX1260" s="4"/>
      <c r="GY1260" s="4"/>
      <c r="GZ1260" s="4"/>
      <c r="HA1260" s="4"/>
      <c r="HB1260" s="4"/>
      <c r="HC1260" s="4"/>
      <c r="HD1260" s="4"/>
      <c r="HE1260" s="4"/>
    </row>
    <row r="1261">
      <c r="A1261" s="2" t="s">
        <v>6574</v>
      </c>
      <c r="B1261" s="2" t="s">
        <v>2532</v>
      </c>
      <c r="C1261" s="2" t="s">
        <v>835</v>
      </c>
      <c r="D1261" s="2" t="s">
        <v>2533</v>
      </c>
      <c r="E1261" s="2" t="s">
        <v>2534</v>
      </c>
      <c r="F1261" s="2" t="s">
        <v>6547</v>
      </c>
      <c r="G1261" s="2" t="s">
        <v>6547</v>
      </c>
      <c r="H1261" s="2" t="s">
        <v>6547</v>
      </c>
      <c r="I1261" s="2" t="s">
        <v>6562</v>
      </c>
      <c r="J1261" s="2" t="s">
        <v>6554</v>
      </c>
      <c r="K1261" s="2" t="s">
        <v>6572</v>
      </c>
      <c r="L1261" s="3">
        <v>20.34</v>
      </c>
      <c r="M1261" s="3">
        <v>21.36</v>
      </c>
      <c r="N1261" s="3">
        <v>44.99</v>
      </c>
      <c r="O1261" s="2" t="s">
        <v>240</v>
      </c>
      <c r="P1261" s="2" t="s">
        <v>889</v>
      </c>
      <c r="Q1261" s="2" t="s">
        <v>234</v>
      </c>
      <c r="R1261" s="2" t="s">
        <v>228</v>
      </c>
      <c r="S1261" s="2" t="s">
        <v>228</v>
      </c>
      <c r="T1261" s="2" t="s">
        <v>228</v>
      </c>
      <c r="U1261" s="2" t="s">
        <v>416</v>
      </c>
      <c r="V1261" s="2" t="s">
        <v>842</v>
      </c>
      <c r="W1261" s="2" t="s">
        <v>228</v>
      </c>
      <c r="X1261" s="2" t="s">
        <v>228</v>
      </c>
      <c r="Y1261" s="2" t="s">
        <v>6564</v>
      </c>
      <c r="Z1261" s="4">
        <v>287</v>
      </c>
      <c r="AA1261" s="4">
        <f>=ROUNDDOWN(70,0)</f>
      </c>
      <c r="AB1261" s="5">
        <v>4.1</v>
      </c>
      <c r="AC1261" s="2" t="s">
        <v>228</v>
      </c>
      <c r="AD1261" s="4"/>
      <c r="AE1261" s="4"/>
      <c r="AF1261" s="6"/>
      <c r="AG1261" s="6">
        <v>73</v>
      </c>
      <c r="AH1261" s="7">
        <v>1</v>
      </c>
      <c r="AI1261" s="4"/>
      <c r="AJ1261" s="4">
        <f>=ROUNDDOWN({0},0)</f>
      </c>
      <c r="AK1261" s="5"/>
      <c r="AL1261" s="2" t="s">
        <v>228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228</v>
      </c>
      <c r="AW1261" s="8" t="s">
        <v>228</v>
      </c>
      <c r="AX1261" s="4" t="s">
        <v>228</v>
      </c>
      <c r="AY1261" s="8" t="s">
        <v>228</v>
      </c>
      <c r="AZ1261" s="7" t="s">
        <v>228</v>
      </c>
      <c r="BA1261" s="7" t="s">
        <v>228</v>
      </c>
      <c r="BB1261" s="7"/>
      <c r="BC1261" s="4" t="s">
        <v>228</v>
      </c>
      <c r="BD1261" s="8" t="s">
        <v>228</v>
      </c>
      <c r="BE1261" s="4" t="s">
        <v>228</v>
      </c>
      <c r="BF1261" s="8" t="s">
        <v>228</v>
      </c>
      <c r="BG1261" s="7" t="s">
        <v>228</v>
      </c>
      <c r="BH1261" s="7" t="s">
        <v>228</v>
      </c>
      <c r="BI1261" s="7"/>
      <c r="BJ1261" s="4">
        <v>11</v>
      </c>
      <c r="BK1261" s="8">
        <v>276.36</v>
      </c>
      <c r="BL1261" s="2" t="s">
        <v>6454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6575</v>
      </c>
      <c r="BV1261" s="2" t="s">
        <v>228</v>
      </c>
      <c r="BW1261" s="2" t="s">
        <v>228</v>
      </c>
      <c r="BX1261" s="2" t="s">
        <v>273</v>
      </c>
      <c r="BY1261" s="2" t="s">
        <v>274</v>
      </c>
      <c r="BZ1261" s="2" t="s">
        <v>240</v>
      </c>
      <c r="CA1261" s="2" t="s">
        <v>511</v>
      </c>
      <c r="CB1261" s="2" t="s">
        <v>2113</v>
      </c>
      <c r="CC1261" s="2" t="s">
        <v>241</v>
      </c>
      <c r="CD1261" s="2" t="s">
        <v>228</v>
      </c>
      <c r="CE1261" s="4"/>
      <c r="CF1261" s="4"/>
      <c r="CG1261" s="4"/>
      <c r="CH1261" s="4">
        <v>287</v>
      </c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  <c r="GS1261" s="4"/>
      <c r="GT1261" s="4"/>
      <c r="GU1261" s="4"/>
      <c r="GV1261" s="4"/>
      <c r="GW1261" s="4"/>
      <c r="GX1261" s="4"/>
      <c r="GY1261" s="4"/>
      <c r="GZ1261" s="4"/>
      <c r="HA1261" s="4"/>
      <c r="HB1261" s="4"/>
      <c r="HC1261" s="4"/>
      <c r="HD1261" s="4"/>
      <c r="HE1261" s="4"/>
    </row>
    <row r="1262">
      <c r="A1262" s="2" t="s">
        <v>6576</v>
      </c>
      <c r="B1262" s="2" t="s">
        <v>2532</v>
      </c>
      <c r="C1262" s="2" t="s">
        <v>835</v>
      </c>
      <c r="D1262" s="2" t="s">
        <v>2533</v>
      </c>
      <c r="E1262" s="2" t="s">
        <v>2534</v>
      </c>
      <c r="F1262" s="2" t="s">
        <v>6547</v>
      </c>
      <c r="G1262" s="2" t="s">
        <v>6547</v>
      </c>
      <c r="H1262" s="2" t="s">
        <v>6547</v>
      </c>
      <c r="I1262" s="2" t="s">
        <v>6562</v>
      </c>
      <c r="J1262" s="2" t="s">
        <v>6549</v>
      </c>
      <c r="K1262" s="2" t="s">
        <v>6577</v>
      </c>
      <c r="L1262" s="3">
        <v>20.34</v>
      </c>
      <c r="M1262" s="3">
        <v>21.36</v>
      </c>
      <c r="N1262" s="3">
        <v>44.99</v>
      </c>
      <c r="O1262" s="2" t="s">
        <v>240</v>
      </c>
      <c r="P1262" s="2" t="s">
        <v>889</v>
      </c>
      <c r="Q1262" s="2" t="s">
        <v>234</v>
      </c>
      <c r="R1262" s="2" t="s">
        <v>228</v>
      </c>
      <c r="S1262" s="2" t="s">
        <v>228</v>
      </c>
      <c r="T1262" s="2" t="s">
        <v>228</v>
      </c>
      <c r="U1262" s="2" t="s">
        <v>416</v>
      </c>
      <c r="V1262" s="2" t="s">
        <v>842</v>
      </c>
      <c r="W1262" s="2" t="s">
        <v>228</v>
      </c>
      <c r="X1262" s="2" t="s">
        <v>228</v>
      </c>
      <c r="Y1262" s="2" t="s">
        <v>6564</v>
      </c>
      <c r="Z1262" s="4">
        <v>166</v>
      </c>
      <c r="AA1262" s="4">
        <f>=ROUNDDOWN(138.333333333333,0)</f>
      </c>
      <c r="AB1262" s="5">
        <v>1.2</v>
      </c>
      <c r="AC1262" s="2" t="s">
        <v>228</v>
      </c>
      <c r="AD1262" s="4"/>
      <c r="AE1262" s="4"/>
      <c r="AF1262" s="6"/>
      <c r="AG1262" s="6">
        <v>73</v>
      </c>
      <c r="AH1262" s="7">
        <v>1</v>
      </c>
      <c r="AI1262" s="4"/>
      <c r="AJ1262" s="4">
        <f>=ROUNDDOWN({0},0)</f>
      </c>
      <c r="AK1262" s="5"/>
      <c r="AL1262" s="2" t="s">
        <v>228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228</v>
      </c>
      <c r="AW1262" s="8" t="s">
        <v>228</v>
      </c>
      <c r="AX1262" s="4" t="s">
        <v>228</v>
      </c>
      <c r="AY1262" s="8" t="s">
        <v>228</v>
      </c>
      <c r="AZ1262" s="7" t="s">
        <v>228</v>
      </c>
      <c r="BA1262" s="7" t="s">
        <v>228</v>
      </c>
      <c r="BB1262" s="7"/>
      <c r="BC1262" s="4" t="s">
        <v>228</v>
      </c>
      <c r="BD1262" s="8" t="s">
        <v>228</v>
      </c>
      <c r="BE1262" s="4" t="s">
        <v>228</v>
      </c>
      <c r="BF1262" s="8" t="s">
        <v>228</v>
      </c>
      <c r="BG1262" s="7" t="s">
        <v>228</v>
      </c>
      <c r="BH1262" s="7" t="s">
        <v>228</v>
      </c>
      <c r="BI1262" s="7"/>
      <c r="BJ1262" s="4">
        <v>6</v>
      </c>
      <c r="BK1262" s="8">
        <v>151.2</v>
      </c>
      <c r="BL1262" s="2" t="s">
        <v>708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6578</v>
      </c>
      <c r="BV1262" s="2" t="s">
        <v>228</v>
      </c>
      <c r="BW1262" s="2" t="s">
        <v>228</v>
      </c>
      <c r="BX1262" s="2" t="s">
        <v>273</v>
      </c>
      <c r="BY1262" s="2" t="s">
        <v>274</v>
      </c>
      <c r="BZ1262" s="2" t="s">
        <v>240</v>
      </c>
      <c r="CA1262" s="2" t="s">
        <v>511</v>
      </c>
      <c r="CB1262" s="2" t="s">
        <v>228</v>
      </c>
      <c r="CC1262" s="2" t="s">
        <v>241</v>
      </c>
      <c r="CD1262" s="2" t="s">
        <v>228</v>
      </c>
      <c r="CE1262" s="4"/>
      <c r="CF1262" s="4"/>
      <c r="CG1262" s="4"/>
      <c r="CH1262" s="4">
        <v>166</v>
      </c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  <c r="GQ1262" s="4"/>
      <c r="GR1262" s="4"/>
      <c r="GS1262" s="4"/>
      <c r="GT1262" s="4"/>
      <c r="GU1262" s="4"/>
      <c r="GV1262" s="4"/>
      <c r="GW1262" s="4"/>
      <c r="GX1262" s="4"/>
      <c r="GY1262" s="4"/>
      <c r="GZ1262" s="4"/>
      <c r="HA1262" s="4"/>
      <c r="HB1262" s="4"/>
      <c r="HC1262" s="4"/>
      <c r="HD1262" s="4"/>
      <c r="HE1262" s="4"/>
    </row>
    <row r="1263">
      <c r="A1263" s="2" t="s">
        <v>6579</v>
      </c>
      <c r="B1263" s="2" t="s">
        <v>2532</v>
      </c>
      <c r="C1263" s="2" t="s">
        <v>835</v>
      </c>
      <c r="D1263" s="2" t="s">
        <v>2533</v>
      </c>
      <c r="E1263" s="2" t="s">
        <v>2534</v>
      </c>
      <c r="F1263" s="2" t="s">
        <v>6547</v>
      </c>
      <c r="G1263" s="2" t="s">
        <v>6547</v>
      </c>
      <c r="H1263" s="2" t="s">
        <v>6547</v>
      </c>
      <c r="I1263" s="2" t="s">
        <v>6562</v>
      </c>
      <c r="J1263" s="2" t="s">
        <v>6554</v>
      </c>
      <c r="K1263" s="2" t="s">
        <v>6577</v>
      </c>
      <c r="L1263" s="3">
        <v>20.34</v>
      </c>
      <c r="M1263" s="3">
        <v>21.36</v>
      </c>
      <c r="N1263" s="3">
        <v>44.99</v>
      </c>
      <c r="O1263" s="2" t="s">
        <v>240</v>
      </c>
      <c r="P1263" s="2" t="s">
        <v>889</v>
      </c>
      <c r="Q1263" s="2" t="s">
        <v>234</v>
      </c>
      <c r="R1263" s="2" t="s">
        <v>228</v>
      </c>
      <c r="S1263" s="2" t="s">
        <v>228</v>
      </c>
      <c r="T1263" s="2" t="s">
        <v>228</v>
      </c>
      <c r="U1263" s="2" t="s">
        <v>416</v>
      </c>
      <c r="V1263" s="2" t="s">
        <v>842</v>
      </c>
      <c r="W1263" s="2" t="s">
        <v>228</v>
      </c>
      <c r="X1263" s="2" t="s">
        <v>228</v>
      </c>
      <c r="Y1263" s="2" t="s">
        <v>6564</v>
      </c>
      <c r="Z1263" s="4">
        <v>556</v>
      </c>
      <c r="AA1263" s="4">
        <f>=ROUNDDOWN(86.875,0)</f>
      </c>
      <c r="AB1263" s="5">
        <v>6.4</v>
      </c>
      <c r="AC1263" s="2" t="s">
        <v>228</v>
      </c>
      <c r="AD1263" s="4"/>
      <c r="AE1263" s="4"/>
      <c r="AF1263" s="6"/>
      <c r="AG1263" s="6">
        <v>73</v>
      </c>
      <c r="AH1263" s="7">
        <v>1</v>
      </c>
      <c r="AI1263" s="4"/>
      <c r="AJ1263" s="4">
        <f>=ROUNDDOWN({0},0)</f>
      </c>
      <c r="AK1263" s="5"/>
      <c r="AL1263" s="2" t="s">
        <v>228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 t="s">
        <v>228</v>
      </c>
      <c r="AW1263" s="8" t="s">
        <v>228</v>
      </c>
      <c r="AX1263" s="4" t="s">
        <v>228</v>
      </c>
      <c r="AY1263" s="8" t="s">
        <v>228</v>
      </c>
      <c r="AZ1263" s="7" t="s">
        <v>228</v>
      </c>
      <c r="BA1263" s="7" t="s">
        <v>228</v>
      </c>
      <c r="BB1263" s="7"/>
      <c r="BC1263" s="4" t="s">
        <v>228</v>
      </c>
      <c r="BD1263" s="8" t="s">
        <v>228</v>
      </c>
      <c r="BE1263" s="4" t="s">
        <v>228</v>
      </c>
      <c r="BF1263" s="8" t="s">
        <v>228</v>
      </c>
      <c r="BG1263" s="7" t="s">
        <v>228</v>
      </c>
      <c r="BH1263" s="7" t="s">
        <v>228</v>
      </c>
      <c r="BI1263" s="7"/>
      <c r="BJ1263" s="4">
        <v>23</v>
      </c>
      <c r="BK1263" s="8">
        <v>578.13</v>
      </c>
      <c r="BL1263" s="2" t="s">
        <v>6454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6580</v>
      </c>
      <c r="BV1263" s="2" t="s">
        <v>228</v>
      </c>
      <c r="BW1263" s="2" t="s">
        <v>228</v>
      </c>
      <c r="BX1263" s="2" t="s">
        <v>273</v>
      </c>
      <c r="BY1263" s="2" t="s">
        <v>274</v>
      </c>
      <c r="BZ1263" s="2" t="s">
        <v>240</v>
      </c>
      <c r="CA1263" s="2" t="s">
        <v>511</v>
      </c>
      <c r="CB1263" s="2" t="s">
        <v>228</v>
      </c>
      <c r="CC1263" s="2" t="s">
        <v>241</v>
      </c>
      <c r="CD1263" s="2" t="s">
        <v>228</v>
      </c>
      <c r="CE1263" s="4"/>
      <c r="CF1263" s="4"/>
      <c r="CG1263" s="4"/>
      <c r="CH1263" s="4">
        <v>556</v>
      </c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  <c r="GG1263" s="4"/>
      <c r="GH1263" s="4"/>
      <c r="GI1263" s="4"/>
      <c r="GJ1263" s="4"/>
      <c r="GK1263" s="4"/>
      <c r="GL1263" s="4"/>
      <c r="GM1263" s="4"/>
      <c r="GN1263" s="4"/>
      <c r="GO1263" s="4"/>
      <c r="GP1263" s="4"/>
      <c r="GQ1263" s="4"/>
      <c r="GR1263" s="4"/>
      <c r="GS1263" s="4"/>
      <c r="GT1263" s="4"/>
      <c r="GU1263" s="4"/>
      <c r="GV1263" s="4"/>
      <c r="GW1263" s="4"/>
      <c r="GX1263" s="4"/>
      <c r="GY1263" s="4"/>
      <c r="GZ1263" s="4"/>
      <c r="HA1263" s="4"/>
      <c r="HB1263" s="4"/>
      <c r="HC1263" s="4"/>
      <c r="HD1263" s="4"/>
      <c r="HE1263" s="4"/>
    </row>
    <row r="1264">
      <c r="A1264" s="2" t="s">
        <v>6581</v>
      </c>
      <c r="B1264" s="2" t="s">
        <v>2532</v>
      </c>
      <c r="C1264" s="2" t="s">
        <v>835</v>
      </c>
      <c r="D1264" s="2" t="s">
        <v>2533</v>
      </c>
      <c r="E1264" s="2" t="s">
        <v>2534</v>
      </c>
      <c r="F1264" s="2" t="s">
        <v>6547</v>
      </c>
      <c r="G1264" s="2" t="s">
        <v>6547</v>
      </c>
      <c r="H1264" s="2" t="s">
        <v>6547</v>
      </c>
      <c r="I1264" s="2" t="s">
        <v>6562</v>
      </c>
      <c r="J1264" s="2" t="s">
        <v>6559</v>
      </c>
      <c r="K1264" s="2" t="s">
        <v>6577</v>
      </c>
      <c r="L1264" s="3">
        <v>20.34</v>
      </c>
      <c r="M1264" s="3">
        <v>21.36</v>
      </c>
      <c r="N1264" s="3">
        <v>44.99</v>
      </c>
      <c r="O1264" s="2" t="s">
        <v>240</v>
      </c>
      <c r="P1264" s="2" t="s">
        <v>889</v>
      </c>
      <c r="Q1264" s="2" t="s">
        <v>234</v>
      </c>
      <c r="R1264" s="2" t="s">
        <v>228</v>
      </c>
      <c r="S1264" s="2" t="s">
        <v>228</v>
      </c>
      <c r="T1264" s="2" t="s">
        <v>228</v>
      </c>
      <c r="U1264" s="2" t="s">
        <v>416</v>
      </c>
      <c r="V1264" s="2" t="s">
        <v>842</v>
      </c>
      <c r="W1264" s="2" t="s">
        <v>228</v>
      </c>
      <c r="X1264" s="2" t="s">
        <v>228</v>
      </c>
      <c r="Y1264" s="2" t="s">
        <v>6564</v>
      </c>
      <c r="Z1264" s="4">
        <v>450</v>
      </c>
      <c r="AA1264" s="4">
        <f>=ROUNDDOWN(72.5806451612903,0)</f>
      </c>
      <c r="AB1264" s="5">
        <v>6.2</v>
      </c>
      <c r="AC1264" s="2" t="s">
        <v>228</v>
      </c>
      <c r="AD1264" s="4"/>
      <c r="AE1264" s="4"/>
      <c r="AF1264" s="6"/>
      <c r="AG1264" s="6">
        <v>73</v>
      </c>
      <c r="AH1264" s="7">
        <v>1</v>
      </c>
      <c r="AI1264" s="4"/>
      <c r="AJ1264" s="4">
        <f>=ROUNDDOWN({0},0)</f>
      </c>
      <c r="AK1264" s="5"/>
      <c r="AL1264" s="2" t="s">
        <v>228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 t="s">
        <v>228</v>
      </c>
      <c r="AW1264" s="8" t="s">
        <v>228</v>
      </c>
      <c r="AX1264" s="4" t="s">
        <v>228</v>
      </c>
      <c r="AY1264" s="8" t="s">
        <v>228</v>
      </c>
      <c r="AZ1264" s="7" t="s">
        <v>228</v>
      </c>
      <c r="BA1264" s="7" t="s">
        <v>228</v>
      </c>
      <c r="BB1264" s="7"/>
      <c r="BC1264" s="4" t="s">
        <v>228</v>
      </c>
      <c r="BD1264" s="8" t="s">
        <v>228</v>
      </c>
      <c r="BE1264" s="4" t="s">
        <v>228</v>
      </c>
      <c r="BF1264" s="8" t="s">
        <v>228</v>
      </c>
      <c r="BG1264" s="7" t="s">
        <v>228</v>
      </c>
      <c r="BH1264" s="7" t="s">
        <v>228</v>
      </c>
      <c r="BI1264" s="7"/>
      <c r="BJ1264" s="4">
        <v>8</v>
      </c>
      <c r="BK1264" s="8">
        <v>200.34</v>
      </c>
      <c r="BL1264" s="2" t="s">
        <v>6454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6582</v>
      </c>
      <c r="BV1264" s="2" t="s">
        <v>228</v>
      </c>
      <c r="BW1264" s="2" t="s">
        <v>228</v>
      </c>
      <c r="BX1264" s="2" t="s">
        <v>273</v>
      </c>
      <c r="BY1264" s="2" t="s">
        <v>274</v>
      </c>
      <c r="BZ1264" s="2" t="s">
        <v>240</v>
      </c>
      <c r="CA1264" s="2" t="s">
        <v>511</v>
      </c>
      <c r="CB1264" s="2" t="s">
        <v>6568</v>
      </c>
      <c r="CC1264" s="2" t="s">
        <v>241</v>
      </c>
      <c r="CD1264" s="2" t="s">
        <v>228</v>
      </c>
      <c r="CE1264" s="4"/>
      <c r="CF1264" s="4"/>
      <c r="CG1264" s="4"/>
      <c r="CH1264" s="4">
        <v>450</v>
      </c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  <c r="GS1264" s="4"/>
      <c r="GT1264" s="4"/>
      <c r="GU1264" s="4"/>
      <c r="GV1264" s="4"/>
      <c r="GW1264" s="4"/>
      <c r="GX1264" s="4"/>
      <c r="GY1264" s="4"/>
      <c r="GZ1264" s="4"/>
      <c r="HA1264" s="4"/>
      <c r="HB1264" s="4"/>
      <c r="HC1264" s="4"/>
      <c r="HD1264" s="4"/>
      <c r="HE1264" s="4"/>
    </row>
    <row r="1265">
      <c r="A1265" s="2" t="s">
        <v>6583</v>
      </c>
      <c r="B1265" s="2" t="s">
        <v>2532</v>
      </c>
      <c r="C1265" s="2" t="s">
        <v>835</v>
      </c>
      <c r="D1265" s="2" t="s">
        <v>2533</v>
      </c>
      <c r="E1265" s="2" t="s">
        <v>2534</v>
      </c>
      <c r="F1265" s="2" t="s">
        <v>6547</v>
      </c>
      <c r="G1265" s="2" t="s">
        <v>6547</v>
      </c>
      <c r="H1265" s="2" t="s">
        <v>6547</v>
      </c>
      <c r="I1265" s="2" t="s">
        <v>6562</v>
      </c>
      <c r="J1265" s="2" t="s">
        <v>6549</v>
      </c>
      <c r="K1265" s="2" t="s">
        <v>6584</v>
      </c>
      <c r="L1265" s="3">
        <v>20.34</v>
      </c>
      <c r="M1265" s="3">
        <v>21.36</v>
      </c>
      <c r="N1265" s="3">
        <v>44.99</v>
      </c>
      <c r="O1265" s="2" t="s">
        <v>240</v>
      </c>
      <c r="P1265" s="2" t="s">
        <v>889</v>
      </c>
      <c r="Q1265" s="2" t="s">
        <v>234</v>
      </c>
      <c r="R1265" s="2" t="s">
        <v>228</v>
      </c>
      <c r="S1265" s="2" t="s">
        <v>228</v>
      </c>
      <c r="T1265" s="2" t="s">
        <v>228</v>
      </c>
      <c r="U1265" s="2" t="s">
        <v>416</v>
      </c>
      <c r="V1265" s="2" t="s">
        <v>842</v>
      </c>
      <c r="W1265" s="2" t="s">
        <v>228</v>
      </c>
      <c r="X1265" s="2" t="s">
        <v>228</v>
      </c>
      <c r="Y1265" s="2" t="s">
        <v>6564</v>
      </c>
      <c r="Z1265" s="4">
        <v>104</v>
      </c>
      <c r="AA1265" s="4">
        <f>=ROUNDDOWN(104,0)</f>
      </c>
      <c r="AB1265" s="5">
        <v>1</v>
      </c>
      <c r="AC1265" s="2" t="s">
        <v>228</v>
      </c>
      <c r="AD1265" s="4"/>
      <c r="AE1265" s="4"/>
      <c r="AF1265" s="6"/>
      <c r="AG1265" s="6">
        <v>73</v>
      </c>
      <c r="AH1265" s="7">
        <v>1</v>
      </c>
      <c r="AI1265" s="4"/>
      <c r="AJ1265" s="4">
        <f>=ROUNDDOWN({0},0)</f>
      </c>
      <c r="AK1265" s="5"/>
      <c r="AL1265" s="2" t="s">
        <v>228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 t="s">
        <v>228</v>
      </c>
      <c r="AW1265" s="8" t="s">
        <v>228</v>
      </c>
      <c r="AX1265" s="4" t="s">
        <v>228</v>
      </c>
      <c r="AY1265" s="8" t="s">
        <v>228</v>
      </c>
      <c r="AZ1265" s="7" t="s">
        <v>228</v>
      </c>
      <c r="BA1265" s="7" t="s">
        <v>228</v>
      </c>
      <c r="BB1265" s="7"/>
      <c r="BC1265" s="4" t="s">
        <v>228</v>
      </c>
      <c r="BD1265" s="8" t="s">
        <v>228</v>
      </c>
      <c r="BE1265" s="4" t="s">
        <v>228</v>
      </c>
      <c r="BF1265" s="8" t="s">
        <v>228</v>
      </c>
      <c r="BG1265" s="7" t="s">
        <v>228</v>
      </c>
      <c r="BH1265" s="7" t="s">
        <v>228</v>
      </c>
      <c r="BI1265" s="7"/>
      <c r="BJ1265" s="4">
        <v>4</v>
      </c>
      <c r="BK1265" s="8">
        <v>100.8</v>
      </c>
      <c r="BL1265" s="2" t="s">
        <v>6492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6585</v>
      </c>
      <c r="BV1265" s="2" t="s">
        <v>228</v>
      </c>
      <c r="BW1265" s="2" t="s">
        <v>228</v>
      </c>
      <c r="BX1265" s="2" t="s">
        <v>273</v>
      </c>
      <c r="BY1265" s="2" t="s">
        <v>274</v>
      </c>
      <c r="BZ1265" s="2" t="s">
        <v>240</v>
      </c>
      <c r="CA1265" s="2" t="s">
        <v>511</v>
      </c>
      <c r="CB1265" s="2" t="s">
        <v>228</v>
      </c>
      <c r="CC1265" s="2" t="s">
        <v>241</v>
      </c>
      <c r="CD1265" s="2" t="s">
        <v>228</v>
      </c>
      <c r="CE1265" s="4"/>
      <c r="CF1265" s="4"/>
      <c r="CG1265" s="4"/>
      <c r="CH1265" s="4">
        <v>104</v>
      </c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/>
      <c r="GE1265" s="4"/>
      <c r="GF1265" s="4"/>
      <c r="GG1265" s="4"/>
      <c r="GH1265" s="4"/>
      <c r="GI1265" s="4"/>
      <c r="GJ1265" s="4"/>
      <c r="GK1265" s="4"/>
      <c r="GL1265" s="4"/>
      <c r="GM1265" s="4"/>
      <c r="GN1265" s="4"/>
      <c r="GO1265" s="4"/>
      <c r="GP1265" s="4"/>
      <c r="GQ1265" s="4"/>
      <c r="GR1265" s="4"/>
      <c r="GS1265" s="4"/>
      <c r="GT1265" s="4"/>
      <c r="GU1265" s="4"/>
      <c r="GV1265" s="4"/>
      <c r="GW1265" s="4"/>
      <c r="GX1265" s="4"/>
      <c r="GY1265" s="4"/>
      <c r="GZ1265" s="4"/>
      <c r="HA1265" s="4"/>
      <c r="HB1265" s="4"/>
      <c r="HC1265" s="4"/>
      <c r="HD1265" s="4"/>
      <c r="HE1265" s="4"/>
    </row>
    <row r="1266">
      <c r="A1266" s="2" t="s">
        <v>6586</v>
      </c>
      <c r="B1266" s="2" t="s">
        <v>2532</v>
      </c>
      <c r="C1266" s="2" t="s">
        <v>835</v>
      </c>
      <c r="D1266" s="2" t="s">
        <v>2533</v>
      </c>
      <c r="E1266" s="2" t="s">
        <v>2534</v>
      </c>
      <c r="F1266" s="2" t="s">
        <v>6547</v>
      </c>
      <c r="G1266" s="2" t="s">
        <v>6547</v>
      </c>
      <c r="H1266" s="2" t="s">
        <v>6547</v>
      </c>
      <c r="I1266" s="2" t="s">
        <v>6562</v>
      </c>
      <c r="J1266" s="2" t="s">
        <v>6554</v>
      </c>
      <c r="K1266" s="2" t="s">
        <v>6584</v>
      </c>
      <c r="L1266" s="3">
        <v>20.34</v>
      </c>
      <c r="M1266" s="3">
        <v>21.36</v>
      </c>
      <c r="N1266" s="3">
        <v>44.99</v>
      </c>
      <c r="O1266" s="2" t="s">
        <v>240</v>
      </c>
      <c r="P1266" s="2" t="s">
        <v>889</v>
      </c>
      <c r="Q1266" s="2" t="s">
        <v>234</v>
      </c>
      <c r="R1266" s="2" t="s">
        <v>228</v>
      </c>
      <c r="S1266" s="2" t="s">
        <v>228</v>
      </c>
      <c r="T1266" s="2" t="s">
        <v>228</v>
      </c>
      <c r="U1266" s="2" t="s">
        <v>416</v>
      </c>
      <c r="V1266" s="2" t="s">
        <v>842</v>
      </c>
      <c r="W1266" s="2" t="s">
        <v>228</v>
      </c>
      <c r="X1266" s="2" t="s">
        <v>228</v>
      </c>
      <c r="Y1266" s="2" t="s">
        <v>6564</v>
      </c>
      <c r="Z1266" s="4">
        <v>337</v>
      </c>
      <c r="AA1266" s="4">
        <f>=ROUNDDOWN(67.4,0)</f>
      </c>
      <c r="AB1266" s="5">
        <v>5</v>
      </c>
      <c r="AC1266" s="2" t="s">
        <v>228</v>
      </c>
      <c r="AD1266" s="4"/>
      <c r="AE1266" s="4"/>
      <c r="AF1266" s="6"/>
      <c r="AG1266" s="6">
        <v>73</v>
      </c>
      <c r="AH1266" s="7">
        <v>1</v>
      </c>
      <c r="AI1266" s="4"/>
      <c r="AJ1266" s="4">
        <f>=ROUNDDOWN({0},0)</f>
      </c>
      <c r="AK1266" s="5"/>
      <c r="AL1266" s="2" t="s">
        <v>228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 t="s">
        <v>228</v>
      </c>
      <c r="AW1266" s="8" t="s">
        <v>228</v>
      </c>
      <c r="AX1266" s="4" t="s">
        <v>228</v>
      </c>
      <c r="AY1266" s="8" t="s">
        <v>228</v>
      </c>
      <c r="AZ1266" s="7" t="s">
        <v>228</v>
      </c>
      <c r="BA1266" s="7" t="s">
        <v>228</v>
      </c>
      <c r="BB1266" s="7"/>
      <c r="BC1266" s="4" t="s">
        <v>228</v>
      </c>
      <c r="BD1266" s="8" t="s">
        <v>228</v>
      </c>
      <c r="BE1266" s="4" t="s">
        <v>228</v>
      </c>
      <c r="BF1266" s="8" t="s">
        <v>228</v>
      </c>
      <c r="BG1266" s="7" t="s">
        <v>228</v>
      </c>
      <c r="BH1266" s="7" t="s">
        <v>228</v>
      </c>
      <c r="BI1266" s="7"/>
      <c r="BJ1266" s="4">
        <v>10</v>
      </c>
      <c r="BK1266" s="8">
        <v>251.79</v>
      </c>
      <c r="BL1266" s="2" t="s">
        <v>3157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6587</v>
      </c>
      <c r="BV1266" s="2" t="s">
        <v>228</v>
      </c>
      <c r="BW1266" s="2" t="s">
        <v>228</v>
      </c>
      <c r="BX1266" s="2" t="s">
        <v>273</v>
      </c>
      <c r="BY1266" s="2" t="s">
        <v>274</v>
      </c>
      <c r="BZ1266" s="2" t="s">
        <v>240</v>
      </c>
      <c r="CA1266" s="2" t="s">
        <v>511</v>
      </c>
      <c r="CB1266" s="2" t="s">
        <v>2384</v>
      </c>
      <c r="CC1266" s="2" t="s">
        <v>241</v>
      </c>
      <c r="CD1266" s="2" t="s">
        <v>228</v>
      </c>
      <c r="CE1266" s="4"/>
      <c r="CF1266" s="4"/>
      <c r="CG1266" s="4"/>
      <c r="CH1266" s="4">
        <v>337</v>
      </c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  <c r="GW1266" s="4"/>
      <c r="GX1266" s="4"/>
      <c r="GY1266" s="4"/>
      <c r="GZ1266" s="4"/>
      <c r="HA1266" s="4"/>
      <c r="HB1266" s="4"/>
      <c r="HC1266" s="4"/>
      <c r="HD1266" s="4"/>
      <c r="HE1266" s="4"/>
    </row>
    <row r="1267">
      <c r="A1267" s="2" t="s">
        <v>6588</v>
      </c>
      <c r="B1267" s="2" t="s">
        <v>2532</v>
      </c>
      <c r="C1267" s="2" t="s">
        <v>835</v>
      </c>
      <c r="D1267" s="2" t="s">
        <v>2533</v>
      </c>
      <c r="E1267" s="2" t="s">
        <v>2534</v>
      </c>
      <c r="F1267" s="2" t="s">
        <v>6547</v>
      </c>
      <c r="G1267" s="2" t="s">
        <v>6547</v>
      </c>
      <c r="H1267" s="2" t="s">
        <v>6547</v>
      </c>
      <c r="I1267" s="2" t="s">
        <v>6562</v>
      </c>
      <c r="J1267" s="2" t="s">
        <v>6559</v>
      </c>
      <c r="K1267" s="2" t="s">
        <v>6584</v>
      </c>
      <c r="L1267" s="3">
        <v>20.34</v>
      </c>
      <c r="M1267" s="3">
        <v>21.36</v>
      </c>
      <c r="N1267" s="3">
        <v>44.99</v>
      </c>
      <c r="O1267" s="2" t="s">
        <v>240</v>
      </c>
      <c r="P1267" s="2" t="s">
        <v>889</v>
      </c>
      <c r="Q1267" s="2" t="s">
        <v>234</v>
      </c>
      <c r="R1267" s="2" t="s">
        <v>228</v>
      </c>
      <c r="S1267" s="2" t="s">
        <v>228</v>
      </c>
      <c r="T1267" s="2" t="s">
        <v>228</v>
      </c>
      <c r="U1267" s="2" t="s">
        <v>416</v>
      </c>
      <c r="V1267" s="2" t="s">
        <v>842</v>
      </c>
      <c r="W1267" s="2" t="s">
        <v>228</v>
      </c>
      <c r="X1267" s="2" t="s">
        <v>228</v>
      </c>
      <c r="Y1267" s="2" t="s">
        <v>6564</v>
      </c>
      <c r="Z1267" s="4">
        <v>313</v>
      </c>
      <c r="AA1267" s="4">
        <f>=ROUNDDOWN(76.3414634146341,0)</f>
      </c>
      <c r="AB1267" s="5">
        <v>4.1</v>
      </c>
      <c r="AC1267" s="2" t="s">
        <v>228</v>
      </c>
      <c r="AD1267" s="4"/>
      <c r="AE1267" s="4"/>
      <c r="AF1267" s="6"/>
      <c r="AG1267" s="6">
        <v>73</v>
      </c>
      <c r="AH1267" s="7">
        <v>1</v>
      </c>
      <c r="AI1267" s="4"/>
      <c r="AJ1267" s="4">
        <f>=ROUNDDOWN({0},0)</f>
      </c>
      <c r="AK1267" s="5"/>
      <c r="AL1267" s="2" t="s">
        <v>228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 t="s">
        <v>228</v>
      </c>
      <c r="AW1267" s="8" t="s">
        <v>228</v>
      </c>
      <c r="AX1267" s="4" t="s">
        <v>228</v>
      </c>
      <c r="AY1267" s="8" t="s">
        <v>228</v>
      </c>
      <c r="AZ1267" s="7" t="s">
        <v>228</v>
      </c>
      <c r="BA1267" s="7" t="s">
        <v>228</v>
      </c>
      <c r="BB1267" s="7"/>
      <c r="BC1267" s="4" t="s">
        <v>228</v>
      </c>
      <c r="BD1267" s="8" t="s">
        <v>228</v>
      </c>
      <c r="BE1267" s="4" t="s">
        <v>228</v>
      </c>
      <c r="BF1267" s="8" t="s">
        <v>228</v>
      </c>
      <c r="BG1267" s="7" t="s">
        <v>228</v>
      </c>
      <c r="BH1267" s="7" t="s">
        <v>228</v>
      </c>
      <c r="BI1267" s="7"/>
      <c r="BJ1267" s="4">
        <v>6</v>
      </c>
      <c r="BK1267" s="8">
        <v>150.15</v>
      </c>
      <c r="BL1267" s="2" t="s">
        <v>6454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6589</v>
      </c>
      <c r="BV1267" s="2" t="s">
        <v>228</v>
      </c>
      <c r="BW1267" s="2" t="s">
        <v>228</v>
      </c>
      <c r="BX1267" s="2" t="s">
        <v>273</v>
      </c>
      <c r="BY1267" s="2" t="s">
        <v>274</v>
      </c>
      <c r="BZ1267" s="2" t="s">
        <v>240</v>
      </c>
      <c r="CA1267" s="2" t="s">
        <v>511</v>
      </c>
      <c r="CB1267" s="2" t="s">
        <v>6590</v>
      </c>
      <c r="CC1267" s="2" t="s">
        <v>241</v>
      </c>
      <c r="CD1267" s="2" t="s">
        <v>228</v>
      </c>
      <c r="CE1267" s="4"/>
      <c r="CF1267" s="4"/>
      <c r="CG1267" s="4"/>
      <c r="CH1267" s="4">
        <v>313</v>
      </c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  <c r="GG1267" s="4"/>
      <c r="GH1267" s="4"/>
      <c r="GI1267" s="4"/>
      <c r="GJ1267" s="4"/>
      <c r="GK1267" s="4"/>
      <c r="GL1267" s="4"/>
      <c r="GM1267" s="4"/>
      <c r="GN1267" s="4"/>
      <c r="GO1267" s="4"/>
      <c r="GP1267" s="4"/>
      <c r="GQ1267" s="4"/>
      <c r="GR1267" s="4"/>
      <c r="GS1267" s="4"/>
      <c r="GT1267" s="4"/>
      <c r="GU1267" s="4"/>
      <c r="GV1267" s="4"/>
      <c r="GW1267" s="4"/>
      <c r="GX1267" s="4"/>
      <c r="GY1267" s="4"/>
      <c r="GZ1267" s="4"/>
      <c r="HA1267" s="4"/>
      <c r="HB1267" s="4"/>
      <c r="HC1267" s="4"/>
      <c r="HD1267" s="4"/>
      <c r="HE1267" s="4"/>
    </row>
    <row r="1268">
      <c r="A1268" s="2" t="s">
        <v>6591</v>
      </c>
      <c r="B1268" s="2" t="s">
        <v>2532</v>
      </c>
      <c r="C1268" s="2" t="s">
        <v>835</v>
      </c>
      <c r="D1268" s="2" t="s">
        <v>2533</v>
      </c>
      <c r="E1268" s="2" t="s">
        <v>2534</v>
      </c>
      <c r="F1268" s="2" t="s">
        <v>6547</v>
      </c>
      <c r="G1268" s="2" t="s">
        <v>6547</v>
      </c>
      <c r="H1268" s="2" t="s">
        <v>6547</v>
      </c>
      <c r="I1268" s="2" t="s">
        <v>6562</v>
      </c>
      <c r="J1268" s="2" t="s">
        <v>6549</v>
      </c>
      <c r="K1268" s="2" t="s">
        <v>6470</v>
      </c>
      <c r="L1268" s="3">
        <v>20.34</v>
      </c>
      <c r="M1268" s="3">
        <v>21.36</v>
      </c>
      <c r="N1268" s="3">
        <v>44.99</v>
      </c>
      <c r="O1268" s="2" t="s">
        <v>240</v>
      </c>
      <c r="P1268" s="2" t="s">
        <v>889</v>
      </c>
      <c r="Q1268" s="2" t="s">
        <v>234</v>
      </c>
      <c r="R1268" s="2" t="s">
        <v>228</v>
      </c>
      <c r="S1268" s="2" t="s">
        <v>228</v>
      </c>
      <c r="T1268" s="2" t="s">
        <v>228</v>
      </c>
      <c r="U1268" s="2" t="s">
        <v>416</v>
      </c>
      <c r="V1268" s="2" t="s">
        <v>842</v>
      </c>
      <c r="W1268" s="2" t="s">
        <v>228</v>
      </c>
      <c r="X1268" s="2" t="s">
        <v>228</v>
      </c>
      <c r="Y1268" s="2" t="s">
        <v>6564</v>
      </c>
      <c r="Z1268" s="4">
        <v>177</v>
      </c>
      <c r="AA1268" s="4">
        <f>=ROUNDDOWN(177,0)</f>
      </c>
      <c r="AB1268" s="5">
        <v>1</v>
      </c>
      <c r="AC1268" s="2" t="s">
        <v>228</v>
      </c>
      <c r="AD1268" s="4"/>
      <c r="AE1268" s="4"/>
      <c r="AF1268" s="6"/>
      <c r="AG1268" s="6">
        <v>73</v>
      </c>
      <c r="AH1268" s="7">
        <v>1</v>
      </c>
      <c r="AI1268" s="4"/>
      <c r="AJ1268" s="4">
        <f>=ROUNDDOWN({0},0)</f>
      </c>
      <c r="AK1268" s="5"/>
      <c r="AL1268" s="2" t="s">
        <v>228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/>
      <c r="AW1268" s="8"/>
      <c r="AX1268" s="4"/>
      <c r="AY1268" s="8"/>
      <c r="AZ1268" s="7"/>
      <c r="BA1268" s="7"/>
      <c r="BB1268" s="7"/>
      <c r="BC1268" s="4" t="s">
        <v>228</v>
      </c>
      <c r="BD1268" s="8" t="s">
        <v>228</v>
      </c>
      <c r="BE1268" s="4" t="s">
        <v>228</v>
      </c>
      <c r="BF1268" s="8" t="s">
        <v>228</v>
      </c>
      <c r="BG1268" s="7" t="s">
        <v>228</v>
      </c>
      <c r="BH1268" s="7" t="s">
        <v>228</v>
      </c>
      <c r="BI1268" s="7"/>
      <c r="BJ1268" s="4"/>
      <c r="BK1268" s="8"/>
      <c r="BL1268" s="2" t="s">
        <v>228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6592</v>
      </c>
      <c r="BV1268" s="2" t="s">
        <v>228</v>
      </c>
      <c r="BW1268" s="2" t="s">
        <v>228</v>
      </c>
      <c r="BX1268" s="2" t="s">
        <v>273</v>
      </c>
      <c r="BY1268" s="2" t="s">
        <v>274</v>
      </c>
      <c r="BZ1268" s="2" t="s">
        <v>240</v>
      </c>
      <c r="CA1268" s="2" t="s">
        <v>511</v>
      </c>
      <c r="CB1268" s="2" t="s">
        <v>4638</v>
      </c>
      <c r="CC1268" s="2" t="s">
        <v>241</v>
      </c>
      <c r="CD1268" s="2" t="s">
        <v>228</v>
      </c>
      <c r="CE1268" s="4"/>
      <c r="CF1268" s="4"/>
      <c r="CG1268" s="4"/>
      <c r="CH1268" s="4">
        <v>177</v>
      </c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  <c r="GQ1268" s="4"/>
      <c r="GR1268" s="4"/>
      <c r="GS1268" s="4"/>
      <c r="GT1268" s="4"/>
      <c r="GU1268" s="4"/>
      <c r="GV1268" s="4"/>
      <c r="GW1268" s="4"/>
      <c r="GX1268" s="4"/>
      <c r="GY1268" s="4"/>
      <c r="GZ1268" s="4"/>
      <c r="HA1268" s="4"/>
      <c r="HB1268" s="4"/>
      <c r="HC1268" s="4"/>
      <c r="HD1268" s="4"/>
      <c r="HE1268" s="4"/>
    </row>
    <row r="1269">
      <c r="A1269" s="2" t="s">
        <v>6593</v>
      </c>
      <c r="B1269" s="2" t="s">
        <v>970</v>
      </c>
      <c r="C1269" s="2" t="s">
        <v>835</v>
      </c>
      <c r="D1269" s="2" t="s">
        <v>971</v>
      </c>
      <c r="E1269" s="2" t="s">
        <v>972</v>
      </c>
      <c r="F1269" s="2" t="s">
        <v>6594</v>
      </c>
      <c r="G1269" s="2" t="s">
        <v>6594</v>
      </c>
      <c r="H1269" s="2" t="s">
        <v>6594</v>
      </c>
      <c r="I1269" s="2" t="s">
        <v>6595</v>
      </c>
      <c r="J1269" s="2" t="s">
        <v>1309</v>
      </c>
      <c r="K1269" s="2" t="s">
        <v>265</v>
      </c>
      <c r="L1269" s="3">
        <v>30</v>
      </c>
      <c r="M1269" s="3">
        <v>31.5</v>
      </c>
      <c r="N1269" s="3">
        <v>69.99</v>
      </c>
      <c r="O1269" s="2" t="s">
        <v>240</v>
      </c>
      <c r="P1269" s="2" t="s">
        <v>233</v>
      </c>
      <c r="Q1269" s="2" t="s">
        <v>234</v>
      </c>
      <c r="R1269" s="2" t="s">
        <v>228</v>
      </c>
      <c r="S1269" s="2" t="s">
        <v>228</v>
      </c>
      <c r="T1269" s="2" t="s">
        <v>350</v>
      </c>
      <c r="U1269" s="2" t="s">
        <v>416</v>
      </c>
      <c r="V1269" s="2" t="s">
        <v>980</v>
      </c>
      <c r="W1269" s="2" t="s">
        <v>843</v>
      </c>
      <c r="X1269" s="2" t="s">
        <v>6596</v>
      </c>
      <c r="Y1269" s="2" t="s">
        <v>228</v>
      </c>
      <c r="Z1269" s="4"/>
      <c r="AA1269" s="4">
        <f>=ROUNDDOWN({0},0)</f>
      </c>
      <c r="AB1269" s="5"/>
      <c r="AC1269" s="2" t="s">
        <v>173</v>
      </c>
      <c r="AD1269" s="4">
        <v>360</v>
      </c>
      <c r="AE1269" s="4">
        <v>360</v>
      </c>
      <c r="AF1269" s="6">
        <v>69</v>
      </c>
      <c r="AG1269" s="6"/>
      <c r="AH1269" s="7"/>
      <c r="AI1269" s="4"/>
      <c r="AJ1269" s="4">
        <f>=ROUNDDOWN({0},0)</f>
      </c>
      <c r="AK1269" s="5"/>
      <c r="AL1269" s="2" t="s">
        <v>228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/>
      <c r="AW1269" s="8"/>
      <c r="AX1269" s="4"/>
      <c r="AY1269" s="8"/>
      <c r="AZ1269" s="7"/>
      <c r="BA1269" s="7"/>
      <c r="BB1269" s="7"/>
      <c r="BC1269" s="4" t="s">
        <v>228</v>
      </c>
      <c r="BD1269" s="8" t="s">
        <v>228</v>
      </c>
      <c r="BE1269" s="4" t="s">
        <v>228</v>
      </c>
      <c r="BF1269" s="8" t="s">
        <v>228</v>
      </c>
      <c r="BG1269" s="7" t="s">
        <v>228</v>
      </c>
      <c r="BH1269" s="7" t="s">
        <v>228</v>
      </c>
      <c r="BI1269" s="7"/>
      <c r="BJ1269" s="4"/>
      <c r="BK1269" s="8"/>
      <c r="BL1269" s="2" t="s">
        <v>228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238</v>
      </c>
      <c r="BV1269" s="2" t="s">
        <v>228</v>
      </c>
      <c r="BW1269" s="2" t="s">
        <v>228</v>
      </c>
      <c r="BX1269" s="2" t="s">
        <v>238</v>
      </c>
      <c r="BY1269" s="2" t="s">
        <v>239</v>
      </c>
      <c r="BZ1269" s="2" t="s">
        <v>240</v>
      </c>
      <c r="CA1269" s="2" t="s">
        <v>228</v>
      </c>
      <c r="CB1269" s="2" t="s">
        <v>228</v>
      </c>
      <c r="CC1269" s="2" t="s">
        <v>241</v>
      </c>
      <c r="CD1269" s="2" t="s">
        <v>228</v>
      </c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>
        <v>360</v>
      </c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/>
      <c r="GG1269" s="4"/>
      <c r="GH1269" s="4"/>
      <c r="GI1269" s="4"/>
      <c r="GJ1269" s="4"/>
      <c r="GK1269" s="4"/>
      <c r="GL1269" s="4"/>
      <c r="GM1269" s="4"/>
      <c r="GN1269" s="4"/>
      <c r="GO1269" s="4"/>
      <c r="GP1269" s="4"/>
      <c r="GQ1269" s="4"/>
      <c r="GR1269" s="4"/>
      <c r="GS1269" s="4"/>
      <c r="GT1269" s="4"/>
      <c r="GU1269" s="4"/>
      <c r="GV1269" s="4"/>
      <c r="GW1269" s="4"/>
      <c r="GX1269" s="4"/>
      <c r="GY1269" s="4"/>
      <c r="GZ1269" s="4"/>
      <c r="HA1269" s="4"/>
      <c r="HB1269" s="4"/>
      <c r="HC1269" s="4"/>
      <c r="HD1269" s="4"/>
      <c r="HE1269" s="4"/>
    </row>
    <row r="1270">
      <c r="A1270" s="2" t="s">
        <v>6597</v>
      </c>
      <c r="B1270" s="2" t="s">
        <v>1150</v>
      </c>
      <c r="C1270" s="2" t="s">
        <v>835</v>
      </c>
      <c r="D1270" s="2" t="s">
        <v>850</v>
      </c>
      <c r="E1270" s="2" t="s">
        <v>1038</v>
      </c>
      <c r="F1270" s="2" t="s">
        <v>6594</v>
      </c>
      <c r="G1270" s="2" t="s">
        <v>6594</v>
      </c>
      <c r="H1270" s="2" t="s">
        <v>6594</v>
      </c>
      <c r="I1270" s="2" t="s">
        <v>6598</v>
      </c>
      <c r="J1270" s="2" t="s">
        <v>1189</v>
      </c>
      <c r="K1270" s="2" t="s">
        <v>556</v>
      </c>
      <c r="L1270" s="3">
        <v>51.3</v>
      </c>
      <c r="M1270" s="3">
        <v>53.86</v>
      </c>
      <c r="N1270" s="3">
        <v>109.99</v>
      </c>
      <c r="O1270" s="2" t="s">
        <v>240</v>
      </c>
      <c r="P1270" s="2" t="s">
        <v>333</v>
      </c>
      <c r="Q1270" s="2" t="s">
        <v>234</v>
      </c>
      <c r="R1270" s="2" t="s">
        <v>228</v>
      </c>
      <c r="S1270" s="2" t="s">
        <v>6599</v>
      </c>
      <c r="T1270" s="2" t="s">
        <v>350</v>
      </c>
      <c r="U1270" s="2" t="s">
        <v>500</v>
      </c>
      <c r="V1270" s="2" t="s">
        <v>3007</v>
      </c>
      <c r="W1270" s="2" t="s">
        <v>2472</v>
      </c>
      <c r="X1270" s="2" t="s">
        <v>5547</v>
      </c>
      <c r="Y1270" s="2" t="s">
        <v>6600</v>
      </c>
      <c r="Z1270" s="4">
        <v>90</v>
      </c>
      <c r="AA1270" s="4">
        <f>=ROUNDDOWN(30,0)</f>
      </c>
      <c r="AB1270" s="5">
        <v>3</v>
      </c>
      <c r="AC1270" s="2" t="s">
        <v>228</v>
      </c>
      <c r="AD1270" s="4"/>
      <c r="AE1270" s="4"/>
      <c r="AF1270" s="6">
        <v>69</v>
      </c>
      <c r="AG1270" s="6"/>
      <c r="AH1270" s="7">
        <v>1</v>
      </c>
      <c r="AI1270" s="4"/>
      <c r="AJ1270" s="4">
        <f>=ROUNDDOWN({0},0)</f>
      </c>
      <c r="AK1270" s="5"/>
      <c r="AL1270" s="2" t="s">
        <v>228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 t="s">
        <v>228</v>
      </c>
      <c r="AW1270" s="8" t="s">
        <v>228</v>
      </c>
      <c r="AX1270" s="4" t="s">
        <v>228</v>
      </c>
      <c r="AY1270" s="8" t="s">
        <v>228</v>
      </c>
      <c r="AZ1270" s="7" t="s">
        <v>228</v>
      </c>
      <c r="BA1270" s="7" t="s">
        <v>228</v>
      </c>
      <c r="BB1270" s="7"/>
      <c r="BC1270" s="4" t="s">
        <v>228</v>
      </c>
      <c r="BD1270" s="8" t="s">
        <v>228</v>
      </c>
      <c r="BE1270" s="4" t="s">
        <v>228</v>
      </c>
      <c r="BF1270" s="8" t="s">
        <v>228</v>
      </c>
      <c r="BG1270" s="7" t="s">
        <v>228</v>
      </c>
      <c r="BH1270" s="7" t="s">
        <v>228</v>
      </c>
      <c r="BI1270" s="7"/>
      <c r="BJ1270" s="4">
        <v>6</v>
      </c>
      <c r="BK1270" s="8">
        <v>280.52</v>
      </c>
      <c r="BL1270" s="2" t="s">
        <v>5590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6601</v>
      </c>
      <c r="BV1270" s="2" t="s">
        <v>228</v>
      </c>
      <c r="BW1270" s="2" t="s">
        <v>228</v>
      </c>
      <c r="BX1270" s="2" t="s">
        <v>337</v>
      </c>
      <c r="BY1270" s="2" t="s">
        <v>274</v>
      </c>
      <c r="BZ1270" s="2" t="s">
        <v>240</v>
      </c>
      <c r="CA1270" s="2" t="s">
        <v>6600</v>
      </c>
      <c r="CB1270" s="2" t="s">
        <v>6602</v>
      </c>
      <c r="CC1270" s="2" t="s">
        <v>241</v>
      </c>
      <c r="CD1270" s="2" t="s">
        <v>228</v>
      </c>
      <c r="CE1270" s="4">
        <v>90</v>
      </c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/>
      <c r="GJ1270" s="4"/>
      <c r="GK1270" s="4"/>
      <c r="GL1270" s="4"/>
      <c r="GM1270" s="4"/>
      <c r="GN1270" s="4"/>
      <c r="GO1270" s="4"/>
      <c r="GP1270" s="4"/>
      <c r="GQ1270" s="4"/>
      <c r="GR1270" s="4"/>
      <c r="GS1270" s="4"/>
      <c r="GT1270" s="4"/>
      <c r="GU1270" s="4"/>
      <c r="GV1270" s="4"/>
      <c r="GW1270" s="4"/>
      <c r="GX1270" s="4"/>
      <c r="GY1270" s="4"/>
      <c r="GZ1270" s="4"/>
      <c r="HA1270" s="4"/>
      <c r="HB1270" s="4"/>
      <c r="HC1270" s="4"/>
      <c r="HD1270" s="4"/>
      <c r="HE1270" s="4"/>
    </row>
    <row r="1271">
      <c r="A1271" s="2" t="s">
        <v>6603</v>
      </c>
      <c r="B1271" s="2" t="s">
        <v>1150</v>
      </c>
      <c r="C1271" s="2" t="s">
        <v>835</v>
      </c>
      <c r="D1271" s="2" t="s">
        <v>850</v>
      </c>
      <c r="E1271" s="2" t="s">
        <v>1038</v>
      </c>
      <c r="F1271" s="2" t="s">
        <v>6594</v>
      </c>
      <c r="G1271" s="2" t="s">
        <v>6594</v>
      </c>
      <c r="H1271" s="2" t="s">
        <v>6594</v>
      </c>
      <c r="I1271" s="2" t="s">
        <v>6598</v>
      </c>
      <c r="J1271" s="2" t="s">
        <v>1043</v>
      </c>
      <c r="K1271" s="2" t="s">
        <v>556</v>
      </c>
      <c r="L1271" s="3">
        <v>65.55</v>
      </c>
      <c r="M1271" s="3">
        <v>68.83</v>
      </c>
      <c r="N1271" s="3">
        <v>139.99</v>
      </c>
      <c r="O1271" s="2" t="s">
        <v>240</v>
      </c>
      <c r="P1271" s="2" t="s">
        <v>333</v>
      </c>
      <c r="Q1271" s="2" t="s">
        <v>234</v>
      </c>
      <c r="R1271" s="2" t="s">
        <v>228</v>
      </c>
      <c r="S1271" s="2" t="s">
        <v>6599</v>
      </c>
      <c r="T1271" s="2" t="s">
        <v>350</v>
      </c>
      <c r="U1271" s="2" t="s">
        <v>500</v>
      </c>
      <c r="V1271" s="2" t="s">
        <v>3007</v>
      </c>
      <c r="W1271" s="2" t="s">
        <v>2472</v>
      </c>
      <c r="X1271" s="2" t="s">
        <v>5547</v>
      </c>
      <c r="Y1271" s="2" t="s">
        <v>6600</v>
      </c>
      <c r="Z1271" s="4">
        <v>85</v>
      </c>
      <c r="AA1271" s="4">
        <f>=ROUNDDOWN(28.3333333333333,0)</f>
      </c>
      <c r="AB1271" s="5">
        <v>3</v>
      </c>
      <c r="AC1271" s="2" t="s">
        <v>228</v>
      </c>
      <c r="AD1271" s="4"/>
      <c r="AE1271" s="4"/>
      <c r="AF1271" s="6">
        <v>69</v>
      </c>
      <c r="AG1271" s="6"/>
      <c r="AH1271" s="7">
        <v>1</v>
      </c>
      <c r="AI1271" s="4"/>
      <c r="AJ1271" s="4">
        <f>=ROUNDDOWN({0},0)</f>
      </c>
      <c r="AK1271" s="5"/>
      <c r="AL1271" s="2" t="s">
        <v>228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228</v>
      </c>
      <c r="AW1271" s="8" t="s">
        <v>228</v>
      </c>
      <c r="AX1271" s="4" t="s">
        <v>228</v>
      </c>
      <c r="AY1271" s="8" t="s">
        <v>228</v>
      </c>
      <c r="AZ1271" s="7" t="s">
        <v>228</v>
      </c>
      <c r="BA1271" s="7" t="s">
        <v>228</v>
      </c>
      <c r="BB1271" s="7"/>
      <c r="BC1271" s="4" t="s">
        <v>228</v>
      </c>
      <c r="BD1271" s="8" t="s">
        <v>228</v>
      </c>
      <c r="BE1271" s="4" t="s">
        <v>228</v>
      </c>
      <c r="BF1271" s="8" t="s">
        <v>228</v>
      </c>
      <c r="BG1271" s="7" t="s">
        <v>228</v>
      </c>
      <c r="BH1271" s="7" t="s">
        <v>228</v>
      </c>
      <c r="BI1271" s="7"/>
      <c r="BJ1271" s="4">
        <v>9</v>
      </c>
      <c r="BK1271" s="8">
        <v>652.97</v>
      </c>
      <c r="BL1271" s="2" t="s">
        <v>6604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6605</v>
      </c>
      <c r="BV1271" s="2" t="s">
        <v>228</v>
      </c>
      <c r="BW1271" s="2" t="s">
        <v>228</v>
      </c>
      <c r="BX1271" s="2" t="s">
        <v>337</v>
      </c>
      <c r="BY1271" s="2" t="s">
        <v>274</v>
      </c>
      <c r="BZ1271" s="2" t="s">
        <v>240</v>
      </c>
      <c r="CA1271" s="2" t="s">
        <v>6600</v>
      </c>
      <c r="CB1271" s="2" t="s">
        <v>4509</v>
      </c>
      <c r="CC1271" s="2" t="s">
        <v>241</v>
      </c>
      <c r="CD1271" s="2" t="s">
        <v>228</v>
      </c>
      <c r="CE1271" s="4">
        <v>85</v>
      </c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/>
      <c r="GS1271" s="4"/>
      <c r="GT1271" s="4"/>
      <c r="GU1271" s="4"/>
      <c r="GV1271" s="4"/>
      <c r="GW1271" s="4"/>
      <c r="GX1271" s="4"/>
      <c r="GY1271" s="4"/>
      <c r="GZ1271" s="4"/>
      <c r="HA1271" s="4"/>
      <c r="HB1271" s="4"/>
      <c r="HC1271" s="4"/>
      <c r="HD1271" s="4"/>
      <c r="HE1271" s="4"/>
    </row>
    <row r="1272">
      <c r="A1272" s="2" t="s">
        <v>6606</v>
      </c>
      <c r="B1272" s="2" t="s">
        <v>1150</v>
      </c>
      <c r="C1272" s="2" t="s">
        <v>835</v>
      </c>
      <c r="D1272" s="2" t="s">
        <v>850</v>
      </c>
      <c r="E1272" s="2" t="s">
        <v>1038</v>
      </c>
      <c r="F1272" s="2" t="s">
        <v>6594</v>
      </c>
      <c r="G1272" s="2" t="s">
        <v>6594</v>
      </c>
      <c r="H1272" s="2" t="s">
        <v>6594</v>
      </c>
      <c r="I1272" s="2" t="s">
        <v>6598</v>
      </c>
      <c r="J1272" s="2" t="s">
        <v>1189</v>
      </c>
      <c r="K1272" s="2" t="s">
        <v>231</v>
      </c>
      <c r="L1272" s="3">
        <v>51.3</v>
      </c>
      <c r="M1272" s="3">
        <v>53.86</v>
      </c>
      <c r="N1272" s="3">
        <v>109.99</v>
      </c>
      <c r="O1272" s="2" t="s">
        <v>240</v>
      </c>
      <c r="P1272" s="2" t="s">
        <v>266</v>
      </c>
      <c r="Q1272" s="2" t="s">
        <v>234</v>
      </c>
      <c r="R1272" s="2" t="s">
        <v>228</v>
      </c>
      <c r="S1272" s="2" t="s">
        <v>6607</v>
      </c>
      <c r="T1272" s="2" t="s">
        <v>350</v>
      </c>
      <c r="U1272" s="2" t="s">
        <v>500</v>
      </c>
      <c r="V1272" s="2" t="s">
        <v>3007</v>
      </c>
      <c r="W1272" s="2" t="s">
        <v>2472</v>
      </c>
      <c r="X1272" s="2" t="s">
        <v>5547</v>
      </c>
      <c r="Y1272" s="2" t="s">
        <v>6608</v>
      </c>
      <c r="Z1272" s="4">
        <v>339</v>
      </c>
      <c r="AA1272" s="4">
        <f>=ROUNDDOWN(67.8,0)</f>
      </c>
      <c r="AB1272" s="5">
        <v>5</v>
      </c>
      <c r="AC1272" s="2" t="s">
        <v>191</v>
      </c>
      <c r="AD1272" s="4">
        <v>50</v>
      </c>
      <c r="AE1272" s="4">
        <v>50</v>
      </c>
      <c r="AF1272" s="6">
        <v>69</v>
      </c>
      <c r="AG1272" s="6">
        <v>77</v>
      </c>
      <c r="AH1272" s="7">
        <v>1</v>
      </c>
      <c r="AI1272" s="4"/>
      <c r="AJ1272" s="4">
        <f>=ROUNDDOWN({0},0)</f>
      </c>
      <c r="AK1272" s="5"/>
      <c r="AL1272" s="2" t="s">
        <v>228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 t="s">
        <v>228</v>
      </c>
      <c r="AW1272" s="8" t="s">
        <v>228</v>
      </c>
      <c r="AX1272" s="4" t="s">
        <v>228</v>
      </c>
      <c r="AY1272" s="8" t="s">
        <v>228</v>
      </c>
      <c r="AZ1272" s="7" t="s">
        <v>228</v>
      </c>
      <c r="BA1272" s="7" t="s">
        <v>228</v>
      </c>
      <c r="BB1272" s="7"/>
      <c r="BC1272" s="4" t="s">
        <v>228</v>
      </c>
      <c r="BD1272" s="8" t="s">
        <v>228</v>
      </c>
      <c r="BE1272" s="4" t="s">
        <v>228</v>
      </c>
      <c r="BF1272" s="8" t="s">
        <v>228</v>
      </c>
      <c r="BG1272" s="7" t="s">
        <v>228</v>
      </c>
      <c r="BH1272" s="7" t="s">
        <v>228</v>
      </c>
      <c r="BI1272" s="7"/>
      <c r="BJ1272" s="4">
        <v>12</v>
      </c>
      <c r="BK1272" s="8">
        <v>697.19</v>
      </c>
      <c r="BL1272" s="2" t="s">
        <v>6609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6610</v>
      </c>
      <c r="BV1272" s="2" t="s">
        <v>228</v>
      </c>
      <c r="BW1272" s="2" t="s">
        <v>228</v>
      </c>
      <c r="BX1272" s="2" t="s">
        <v>273</v>
      </c>
      <c r="BY1272" s="2" t="s">
        <v>274</v>
      </c>
      <c r="BZ1272" s="2" t="s">
        <v>240</v>
      </c>
      <c r="CA1272" s="2" t="s">
        <v>6608</v>
      </c>
      <c r="CB1272" s="2" t="s">
        <v>6611</v>
      </c>
      <c r="CC1272" s="2" t="s">
        <v>241</v>
      </c>
      <c r="CD1272" s="2" t="s">
        <v>228</v>
      </c>
      <c r="CE1272" s="4">
        <v>261</v>
      </c>
      <c r="CF1272" s="4"/>
      <c r="CG1272" s="4"/>
      <c r="CH1272" s="4">
        <v>78</v>
      </c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>
        <v>50</v>
      </c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  <c r="GL1272" s="4"/>
      <c r="GM1272" s="4"/>
      <c r="GN1272" s="4"/>
      <c r="GO1272" s="4"/>
      <c r="GP1272" s="4"/>
      <c r="GQ1272" s="4"/>
      <c r="GR1272" s="4"/>
      <c r="GS1272" s="4"/>
      <c r="GT1272" s="4"/>
      <c r="GU1272" s="4"/>
      <c r="GV1272" s="4"/>
      <c r="GW1272" s="4"/>
      <c r="GX1272" s="4"/>
      <c r="GY1272" s="4"/>
      <c r="GZ1272" s="4"/>
      <c r="HA1272" s="4"/>
      <c r="HB1272" s="4"/>
      <c r="HC1272" s="4"/>
      <c r="HD1272" s="4"/>
      <c r="HE1272" s="4"/>
    </row>
    <row r="1273">
      <c r="A1273" s="2" t="s">
        <v>6612</v>
      </c>
      <c r="B1273" s="2" t="s">
        <v>1150</v>
      </c>
      <c r="C1273" s="2" t="s">
        <v>835</v>
      </c>
      <c r="D1273" s="2" t="s">
        <v>850</v>
      </c>
      <c r="E1273" s="2" t="s">
        <v>1038</v>
      </c>
      <c r="F1273" s="2" t="s">
        <v>6594</v>
      </c>
      <c r="G1273" s="2" t="s">
        <v>6594</v>
      </c>
      <c r="H1273" s="2" t="s">
        <v>6594</v>
      </c>
      <c r="I1273" s="2" t="s">
        <v>6598</v>
      </c>
      <c r="J1273" s="2" t="s">
        <v>1043</v>
      </c>
      <c r="K1273" s="2" t="s">
        <v>231</v>
      </c>
      <c r="L1273" s="3">
        <v>65.55</v>
      </c>
      <c r="M1273" s="3">
        <v>68.83</v>
      </c>
      <c r="N1273" s="3">
        <v>139.99</v>
      </c>
      <c r="O1273" s="2" t="s">
        <v>240</v>
      </c>
      <c r="P1273" s="2" t="s">
        <v>266</v>
      </c>
      <c r="Q1273" s="2" t="s">
        <v>234</v>
      </c>
      <c r="R1273" s="2" t="s">
        <v>228</v>
      </c>
      <c r="S1273" s="2" t="s">
        <v>6607</v>
      </c>
      <c r="T1273" s="2" t="s">
        <v>350</v>
      </c>
      <c r="U1273" s="2" t="s">
        <v>500</v>
      </c>
      <c r="V1273" s="2" t="s">
        <v>3007</v>
      </c>
      <c r="W1273" s="2" t="s">
        <v>2472</v>
      </c>
      <c r="X1273" s="2" t="s">
        <v>5547</v>
      </c>
      <c r="Y1273" s="2" t="s">
        <v>6600</v>
      </c>
      <c r="Z1273" s="4">
        <v>521</v>
      </c>
      <c r="AA1273" s="4">
        <f>=ROUNDDOWN(52.1,0)</f>
      </c>
      <c r="AB1273" s="5">
        <v>10</v>
      </c>
      <c r="AC1273" s="2" t="s">
        <v>191</v>
      </c>
      <c r="AD1273" s="4">
        <v>100</v>
      </c>
      <c r="AE1273" s="4">
        <v>100</v>
      </c>
      <c r="AF1273" s="6">
        <v>69</v>
      </c>
      <c r="AG1273" s="6">
        <v>77</v>
      </c>
      <c r="AH1273" s="7">
        <v>1</v>
      </c>
      <c r="AI1273" s="4"/>
      <c r="AJ1273" s="4">
        <f>=ROUNDDOWN({0},0)</f>
      </c>
      <c r="AK1273" s="5"/>
      <c r="AL1273" s="2" t="s">
        <v>228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 t="s">
        <v>228</v>
      </c>
      <c r="AW1273" s="8" t="s">
        <v>228</v>
      </c>
      <c r="AX1273" s="4" t="s">
        <v>228</v>
      </c>
      <c r="AY1273" s="8" t="s">
        <v>228</v>
      </c>
      <c r="AZ1273" s="7" t="s">
        <v>228</v>
      </c>
      <c r="BA1273" s="7" t="s">
        <v>228</v>
      </c>
      <c r="BB1273" s="7"/>
      <c r="BC1273" s="4" t="s">
        <v>228</v>
      </c>
      <c r="BD1273" s="8" t="s">
        <v>228</v>
      </c>
      <c r="BE1273" s="4" t="s">
        <v>228</v>
      </c>
      <c r="BF1273" s="8" t="s">
        <v>228</v>
      </c>
      <c r="BG1273" s="7" t="s">
        <v>228</v>
      </c>
      <c r="BH1273" s="7" t="s">
        <v>228</v>
      </c>
      <c r="BI1273" s="7"/>
      <c r="BJ1273" s="4">
        <v>20</v>
      </c>
      <c r="BK1273" s="8">
        <v>1430.64</v>
      </c>
      <c r="BL1273" s="2" t="s">
        <v>6613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6614</v>
      </c>
      <c r="BV1273" s="2" t="s">
        <v>228</v>
      </c>
      <c r="BW1273" s="2" t="s">
        <v>228</v>
      </c>
      <c r="BX1273" s="2" t="s">
        <v>273</v>
      </c>
      <c r="BY1273" s="2" t="s">
        <v>274</v>
      </c>
      <c r="BZ1273" s="2" t="s">
        <v>240</v>
      </c>
      <c r="CA1273" s="2" t="s">
        <v>6600</v>
      </c>
      <c r="CB1273" s="2" t="s">
        <v>6615</v>
      </c>
      <c r="CC1273" s="2" t="s">
        <v>241</v>
      </c>
      <c r="CD1273" s="2" t="s">
        <v>228</v>
      </c>
      <c r="CE1273" s="4">
        <v>434</v>
      </c>
      <c r="CF1273" s="4"/>
      <c r="CG1273" s="4"/>
      <c r="CH1273" s="4">
        <v>87</v>
      </c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>
        <v>100</v>
      </c>
      <c r="GB1273" s="4"/>
      <c r="GC1273" s="4"/>
      <c r="GD1273" s="4"/>
      <c r="GE1273" s="4"/>
      <c r="GF1273" s="4"/>
      <c r="GG1273" s="4"/>
      <c r="GH1273" s="4"/>
      <c r="GI1273" s="4"/>
      <c r="GJ1273" s="4"/>
      <c r="GK1273" s="4"/>
      <c r="GL1273" s="4"/>
      <c r="GM1273" s="4"/>
      <c r="GN1273" s="4"/>
      <c r="GO1273" s="4"/>
      <c r="GP1273" s="4"/>
      <c r="GQ1273" s="4"/>
      <c r="GR1273" s="4"/>
      <c r="GS1273" s="4"/>
      <c r="GT1273" s="4"/>
      <c r="GU1273" s="4"/>
      <c r="GV1273" s="4"/>
      <c r="GW1273" s="4"/>
      <c r="GX1273" s="4"/>
      <c r="GY1273" s="4"/>
      <c r="GZ1273" s="4"/>
      <c r="HA1273" s="4"/>
      <c r="HB1273" s="4"/>
      <c r="HC1273" s="4"/>
      <c r="HD1273" s="4"/>
      <c r="HE1273" s="4"/>
    </row>
    <row r="1274">
      <c r="A1274" s="2" t="s">
        <v>6616</v>
      </c>
      <c r="B1274" s="2" t="s">
        <v>970</v>
      </c>
      <c r="C1274" s="2" t="s">
        <v>835</v>
      </c>
      <c r="D1274" s="2" t="s">
        <v>971</v>
      </c>
      <c r="E1274" s="2" t="s">
        <v>972</v>
      </c>
      <c r="F1274" s="2" t="s">
        <v>6594</v>
      </c>
      <c r="G1274" s="2" t="s">
        <v>6594</v>
      </c>
      <c r="H1274" s="2" t="s">
        <v>6594</v>
      </c>
      <c r="I1274" s="2" t="s">
        <v>6595</v>
      </c>
      <c r="J1274" s="2" t="s">
        <v>1309</v>
      </c>
      <c r="K1274" s="2" t="s">
        <v>480</v>
      </c>
      <c r="L1274" s="3">
        <v>30</v>
      </c>
      <c r="M1274" s="3">
        <v>31.5</v>
      </c>
      <c r="N1274" s="3">
        <v>69.99</v>
      </c>
      <c r="O1274" s="2" t="s">
        <v>240</v>
      </c>
      <c r="P1274" s="2" t="s">
        <v>233</v>
      </c>
      <c r="Q1274" s="2" t="s">
        <v>234</v>
      </c>
      <c r="R1274" s="2" t="s">
        <v>228</v>
      </c>
      <c r="S1274" s="2" t="s">
        <v>228</v>
      </c>
      <c r="T1274" s="2" t="s">
        <v>350</v>
      </c>
      <c r="U1274" s="2" t="s">
        <v>416</v>
      </c>
      <c r="V1274" s="2" t="s">
        <v>980</v>
      </c>
      <c r="W1274" s="2" t="s">
        <v>843</v>
      </c>
      <c r="X1274" s="2" t="s">
        <v>6596</v>
      </c>
      <c r="Y1274" s="2" t="s">
        <v>228</v>
      </c>
      <c r="Z1274" s="4"/>
      <c r="AA1274" s="4">
        <f>=ROUNDDOWN({0},0)</f>
      </c>
      <c r="AB1274" s="5">
        <v>30</v>
      </c>
      <c r="AC1274" s="2" t="s">
        <v>173</v>
      </c>
      <c r="AD1274" s="4">
        <v>360</v>
      </c>
      <c r="AE1274" s="4">
        <v>360</v>
      </c>
      <c r="AF1274" s="6">
        <v>69</v>
      </c>
      <c r="AG1274" s="6"/>
      <c r="AH1274" s="7"/>
      <c r="AI1274" s="4"/>
      <c r="AJ1274" s="4">
        <f>=ROUNDDOWN({0},0)</f>
      </c>
      <c r="AK1274" s="5"/>
      <c r="AL1274" s="2" t="s">
        <v>228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/>
      <c r="AW1274" s="8"/>
      <c r="AX1274" s="4"/>
      <c r="AY1274" s="8"/>
      <c r="AZ1274" s="7"/>
      <c r="BA1274" s="7"/>
      <c r="BB1274" s="7"/>
      <c r="BC1274" s="4" t="s">
        <v>228</v>
      </c>
      <c r="BD1274" s="8" t="s">
        <v>228</v>
      </c>
      <c r="BE1274" s="4" t="s">
        <v>228</v>
      </c>
      <c r="BF1274" s="8" t="s">
        <v>228</v>
      </c>
      <c r="BG1274" s="7" t="s">
        <v>228</v>
      </c>
      <c r="BH1274" s="7" t="s">
        <v>228</v>
      </c>
      <c r="BI1274" s="7"/>
      <c r="BJ1274" s="4"/>
      <c r="BK1274" s="8"/>
      <c r="BL1274" s="2" t="s">
        <v>228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238</v>
      </c>
      <c r="BV1274" s="2" t="s">
        <v>228</v>
      </c>
      <c r="BW1274" s="2" t="s">
        <v>228</v>
      </c>
      <c r="BX1274" s="2" t="s">
        <v>238</v>
      </c>
      <c r="BY1274" s="2" t="s">
        <v>239</v>
      </c>
      <c r="BZ1274" s="2" t="s">
        <v>240</v>
      </c>
      <c r="CA1274" s="2" t="s">
        <v>228</v>
      </c>
      <c r="CB1274" s="2" t="s">
        <v>228</v>
      </c>
      <c r="CC1274" s="2" t="s">
        <v>241</v>
      </c>
      <c r="CD1274" s="2" t="s">
        <v>228</v>
      </c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>
        <v>360</v>
      </c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/>
      <c r="GQ1274" s="4"/>
      <c r="GR1274" s="4"/>
      <c r="GS1274" s="4"/>
      <c r="GT1274" s="4"/>
      <c r="GU1274" s="4"/>
      <c r="GV1274" s="4"/>
      <c r="GW1274" s="4"/>
      <c r="GX1274" s="4"/>
      <c r="GY1274" s="4"/>
      <c r="GZ1274" s="4"/>
      <c r="HA1274" s="4"/>
      <c r="HB1274" s="4"/>
      <c r="HC1274" s="4"/>
      <c r="HD1274" s="4"/>
      <c r="HE1274" s="4"/>
    </row>
    <row r="1275">
      <c r="A1275" s="2" t="s">
        <v>6617</v>
      </c>
      <c r="B1275" s="2" t="s">
        <v>866</v>
      </c>
      <c r="C1275" s="2" t="s">
        <v>885</v>
      </c>
      <c r="D1275" s="2" t="s">
        <v>1880</v>
      </c>
      <c r="E1275" s="2" t="s">
        <v>877</v>
      </c>
      <c r="F1275" s="2" t="s">
        <v>6618</v>
      </c>
      <c r="G1275" s="2" t="s">
        <v>6618</v>
      </c>
      <c r="H1275" s="2" t="s">
        <v>6618</v>
      </c>
      <c r="I1275" s="2" t="s">
        <v>6619</v>
      </c>
      <c r="J1275" s="2" t="s">
        <v>840</v>
      </c>
      <c r="K1275" s="2" t="s">
        <v>265</v>
      </c>
      <c r="L1275" s="3">
        <v>40.8</v>
      </c>
      <c r="M1275" s="3">
        <v>42.84</v>
      </c>
      <c r="N1275" s="3">
        <v>84.99</v>
      </c>
      <c r="O1275" s="2" t="s">
        <v>240</v>
      </c>
      <c r="P1275" s="2" t="s">
        <v>1012</v>
      </c>
      <c r="Q1275" s="2" t="s">
        <v>234</v>
      </c>
      <c r="R1275" s="2" t="s">
        <v>228</v>
      </c>
      <c r="S1275" s="2" t="s">
        <v>6620</v>
      </c>
      <c r="T1275" s="2" t="s">
        <v>228</v>
      </c>
      <c r="U1275" s="2" t="s">
        <v>416</v>
      </c>
      <c r="V1275" s="2" t="s">
        <v>351</v>
      </c>
      <c r="W1275" s="2" t="s">
        <v>417</v>
      </c>
      <c r="X1275" s="2" t="s">
        <v>1514</v>
      </c>
      <c r="Y1275" s="2" t="s">
        <v>1899</v>
      </c>
      <c r="Z1275" s="4">
        <v>79</v>
      </c>
      <c r="AA1275" s="4">
        <f>=ROUNDDOWN(19.75,0)</f>
      </c>
      <c r="AB1275" s="5">
        <v>4</v>
      </c>
      <c r="AC1275" s="2" t="s">
        <v>228</v>
      </c>
      <c r="AD1275" s="4"/>
      <c r="AE1275" s="4"/>
      <c r="AF1275" s="6">
        <v>65</v>
      </c>
      <c r="AG1275" s="6"/>
      <c r="AH1275" s="7">
        <v>1</v>
      </c>
      <c r="AI1275" s="4"/>
      <c r="AJ1275" s="4">
        <f>=ROUNDDOWN({0},0)</f>
      </c>
      <c r="AK1275" s="5"/>
      <c r="AL1275" s="2" t="s">
        <v>228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/>
      <c r="AW1275" s="8"/>
      <c r="AX1275" s="4"/>
      <c r="AY1275" s="8"/>
      <c r="AZ1275" s="7"/>
      <c r="BA1275" s="7"/>
      <c r="BB1275" s="7"/>
      <c r="BC1275" s="4"/>
      <c r="BD1275" s="8"/>
      <c r="BE1275" s="4"/>
      <c r="BF1275" s="8"/>
      <c r="BG1275" s="7"/>
      <c r="BH1275" s="7"/>
      <c r="BI1275" s="7"/>
      <c r="BJ1275" s="4">
        <v>19</v>
      </c>
      <c r="BK1275" s="8">
        <v>771.2</v>
      </c>
      <c r="BL1275" s="2" t="s">
        <v>6621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6622</v>
      </c>
      <c r="BV1275" s="2" t="s">
        <v>228</v>
      </c>
      <c r="BW1275" s="2" t="s">
        <v>228</v>
      </c>
      <c r="BX1275" s="2" t="s">
        <v>273</v>
      </c>
      <c r="BY1275" s="2" t="s">
        <v>274</v>
      </c>
      <c r="BZ1275" s="2" t="s">
        <v>240</v>
      </c>
      <c r="CA1275" s="2" t="s">
        <v>1888</v>
      </c>
      <c r="CB1275" s="2" t="s">
        <v>5809</v>
      </c>
      <c r="CC1275" s="2" t="s">
        <v>241</v>
      </c>
      <c r="CD1275" s="2" t="s">
        <v>228</v>
      </c>
      <c r="CE1275" s="4"/>
      <c r="CF1275" s="4">
        <v>79</v>
      </c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/>
      <c r="GE1275" s="4"/>
      <c r="GF1275" s="4"/>
      <c r="GG1275" s="4"/>
      <c r="GH1275" s="4"/>
      <c r="GI1275" s="4"/>
      <c r="GJ1275" s="4"/>
      <c r="GK1275" s="4"/>
      <c r="GL1275" s="4"/>
      <c r="GM1275" s="4"/>
      <c r="GN1275" s="4"/>
      <c r="GO1275" s="4"/>
      <c r="GP1275" s="4"/>
      <c r="GQ1275" s="4"/>
      <c r="GR1275" s="4"/>
      <c r="GS1275" s="4"/>
      <c r="GT1275" s="4"/>
      <c r="GU1275" s="4"/>
      <c r="GV1275" s="4"/>
      <c r="GW1275" s="4"/>
      <c r="GX1275" s="4"/>
      <c r="GY1275" s="4"/>
      <c r="GZ1275" s="4"/>
      <c r="HA1275" s="4"/>
      <c r="HB1275" s="4"/>
      <c r="HC1275" s="4"/>
      <c r="HD1275" s="4"/>
      <c r="HE1275" s="4"/>
    </row>
    <row r="1276">
      <c r="A1276" s="2" t="s">
        <v>6623</v>
      </c>
      <c r="B1276" s="2" t="s">
        <v>970</v>
      </c>
      <c r="C1276" s="2" t="s">
        <v>300</v>
      </c>
      <c r="D1276" s="2" t="s">
        <v>971</v>
      </c>
      <c r="E1276" s="2" t="s">
        <v>1940</v>
      </c>
      <c r="F1276" s="2" t="s">
        <v>6624</v>
      </c>
      <c r="G1276" s="2" t="s">
        <v>6625</v>
      </c>
      <c r="H1276" s="2" t="s">
        <v>6626</v>
      </c>
      <c r="I1276" s="2" t="s">
        <v>6627</v>
      </c>
      <c r="J1276" s="2" t="s">
        <v>977</v>
      </c>
      <c r="K1276" s="2" t="s">
        <v>249</v>
      </c>
      <c r="L1276" s="3">
        <v>14.1</v>
      </c>
      <c r="M1276" s="3">
        <v>14.8</v>
      </c>
      <c r="N1276" s="3">
        <v>29.99</v>
      </c>
      <c r="O1276" s="2" t="s">
        <v>240</v>
      </c>
      <c r="P1276" s="2" t="s">
        <v>266</v>
      </c>
      <c r="Q1276" s="2" t="s">
        <v>234</v>
      </c>
      <c r="R1276" s="2" t="s">
        <v>228</v>
      </c>
      <c r="S1276" s="2" t="s">
        <v>6628</v>
      </c>
      <c r="T1276" s="2" t="s">
        <v>228</v>
      </c>
      <c r="U1276" s="2" t="s">
        <v>228</v>
      </c>
      <c r="V1276" s="2" t="s">
        <v>980</v>
      </c>
      <c r="W1276" s="2" t="s">
        <v>463</v>
      </c>
      <c r="X1276" s="2" t="s">
        <v>1940</v>
      </c>
      <c r="Y1276" s="2" t="s">
        <v>270</v>
      </c>
      <c r="Z1276" s="4">
        <v>298</v>
      </c>
      <c r="AA1276" s="4">
        <f>=ROUNDDOWN(49.6666666666667,0)</f>
      </c>
      <c r="AB1276" s="5">
        <v>6</v>
      </c>
      <c r="AC1276" s="2" t="s">
        <v>228</v>
      </c>
      <c r="AD1276" s="4"/>
      <c r="AE1276" s="4"/>
      <c r="AF1276" s="6">
        <v>65</v>
      </c>
      <c r="AG1276" s="6"/>
      <c r="AH1276" s="7">
        <v>1</v>
      </c>
      <c r="AI1276" s="4"/>
      <c r="AJ1276" s="4">
        <f>=ROUNDDOWN({0},0)</f>
      </c>
      <c r="AK1276" s="5"/>
      <c r="AL1276" s="2" t="s">
        <v>228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 t="s">
        <v>228</v>
      </c>
      <c r="AW1276" s="8" t="s">
        <v>228</v>
      </c>
      <c r="AX1276" s="4" t="s">
        <v>228</v>
      </c>
      <c r="AY1276" s="8" t="s">
        <v>228</v>
      </c>
      <c r="AZ1276" s="7" t="s">
        <v>228</v>
      </c>
      <c r="BA1276" s="7" t="s">
        <v>228</v>
      </c>
      <c r="BB1276" s="7"/>
      <c r="BC1276" s="4" t="s">
        <v>228</v>
      </c>
      <c r="BD1276" s="8" t="s">
        <v>228</v>
      </c>
      <c r="BE1276" s="4" t="s">
        <v>228</v>
      </c>
      <c r="BF1276" s="8" t="s">
        <v>228</v>
      </c>
      <c r="BG1276" s="7" t="s">
        <v>228</v>
      </c>
      <c r="BH1276" s="7" t="s">
        <v>228</v>
      </c>
      <c r="BI1276" s="7"/>
      <c r="BJ1276" s="4">
        <v>24</v>
      </c>
      <c r="BK1276" s="8">
        <v>289.56</v>
      </c>
      <c r="BL1276" s="2" t="s">
        <v>6629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6630</v>
      </c>
      <c r="BV1276" s="2" t="s">
        <v>228</v>
      </c>
      <c r="BW1276" s="2" t="s">
        <v>228</v>
      </c>
      <c r="BX1276" s="2" t="s">
        <v>273</v>
      </c>
      <c r="BY1276" s="2" t="s">
        <v>274</v>
      </c>
      <c r="BZ1276" s="2" t="s">
        <v>240</v>
      </c>
      <c r="CA1276" s="2" t="s">
        <v>275</v>
      </c>
      <c r="CB1276" s="2" t="s">
        <v>605</v>
      </c>
      <c r="CC1276" s="2" t="s">
        <v>241</v>
      </c>
      <c r="CD1276" s="2" t="s">
        <v>228</v>
      </c>
      <c r="CE1276" s="4">
        <v>298</v>
      </c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/>
      <c r="GS1276" s="4"/>
      <c r="GT1276" s="4"/>
      <c r="GU1276" s="4"/>
      <c r="GV1276" s="4"/>
      <c r="GW1276" s="4"/>
      <c r="GX1276" s="4"/>
      <c r="GY1276" s="4"/>
      <c r="GZ1276" s="4"/>
      <c r="HA1276" s="4"/>
      <c r="HB1276" s="4"/>
      <c r="HC1276" s="4"/>
      <c r="HD1276" s="4"/>
      <c r="HE1276" s="4"/>
    </row>
    <row r="1277">
      <c r="A1277" s="2" t="s">
        <v>6631</v>
      </c>
      <c r="B1277" s="2" t="s">
        <v>970</v>
      </c>
      <c r="C1277" s="2" t="s">
        <v>300</v>
      </c>
      <c r="D1277" s="2" t="s">
        <v>971</v>
      </c>
      <c r="E1277" s="2" t="s">
        <v>1940</v>
      </c>
      <c r="F1277" s="2" t="s">
        <v>6624</v>
      </c>
      <c r="G1277" s="2" t="s">
        <v>6625</v>
      </c>
      <c r="H1277" s="2" t="s">
        <v>6626</v>
      </c>
      <c r="I1277" s="2" t="s">
        <v>6627</v>
      </c>
      <c r="J1277" s="2" t="s">
        <v>1300</v>
      </c>
      <c r="K1277" s="2" t="s">
        <v>249</v>
      </c>
      <c r="L1277" s="3">
        <v>16.45</v>
      </c>
      <c r="M1277" s="3">
        <v>17.27</v>
      </c>
      <c r="N1277" s="3">
        <v>34.99</v>
      </c>
      <c r="O1277" s="2" t="s">
        <v>461</v>
      </c>
      <c r="P1277" s="2" t="s">
        <v>333</v>
      </c>
      <c r="Q1277" s="2" t="s">
        <v>234</v>
      </c>
      <c r="R1277" s="2" t="s">
        <v>228</v>
      </c>
      <c r="S1277" s="2" t="s">
        <v>6628</v>
      </c>
      <c r="T1277" s="2" t="s">
        <v>228</v>
      </c>
      <c r="U1277" s="2" t="s">
        <v>228</v>
      </c>
      <c r="V1277" s="2" t="s">
        <v>980</v>
      </c>
      <c r="W1277" s="2" t="s">
        <v>463</v>
      </c>
      <c r="X1277" s="2" t="s">
        <v>228</v>
      </c>
      <c r="Y1277" s="2" t="s">
        <v>270</v>
      </c>
      <c r="Z1277" s="4">
        <v>272</v>
      </c>
      <c r="AA1277" s="4">
        <f>=ROUNDDOWN(118.260869565217,0)</f>
      </c>
      <c r="AB1277" s="5">
        <v>2.3</v>
      </c>
      <c r="AC1277" s="2" t="s">
        <v>228</v>
      </c>
      <c r="AD1277" s="4"/>
      <c r="AE1277" s="4"/>
      <c r="AF1277" s="6">
        <v>65</v>
      </c>
      <c r="AG1277" s="6"/>
      <c r="AH1277" s="7">
        <v>1</v>
      </c>
      <c r="AI1277" s="4"/>
      <c r="AJ1277" s="4">
        <f>=ROUNDDOWN({0},0)</f>
      </c>
      <c r="AK1277" s="5"/>
      <c r="AL1277" s="2" t="s">
        <v>228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228</v>
      </c>
      <c r="AW1277" s="8" t="s">
        <v>228</v>
      </c>
      <c r="AX1277" s="4" t="s">
        <v>228</v>
      </c>
      <c r="AY1277" s="8" t="s">
        <v>228</v>
      </c>
      <c r="AZ1277" s="7" t="s">
        <v>228</v>
      </c>
      <c r="BA1277" s="7" t="s">
        <v>228</v>
      </c>
      <c r="BB1277" s="7"/>
      <c r="BC1277" s="4" t="s">
        <v>228</v>
      </c>
      <c r="BD1277" s="8" t="s">
        <v>228</v>
      </c>
      <c r="BE1277" s="4" t="s">
        <v>228</v>
      </c>
      <c r="BF1277" s="8" t="s">
        <v>228</v>
      </c>
      <c r="BG1277" s="7" t="s">
        <v>228</v>
      </c>
      <c r="BH1277" s="7" t="s">
        <v>228</v>
      </c>
      <c r="BI1277" s="7"/>
      <c r="BJ1277" s="4">
        <v>11</v>
      </c>
      <c r="BK1277" s="8">
        <v>137.03</v>
      </c>
      <c r="BL1277" s="2" t="s">
        <v>6632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6633</v>
      </c>
      <c r="BV1277" s="2" t="s">
        <v>228</v>
      </c>
      <c r="BW1277" s="2" t="s">
        <v>228</v>
      </c>
      <c r="BX1277" s="2" t="s">
        <v>337</v>
      </c>
      <c r="BY1277" s="2" t="s">
        <v>274</v>
      </c>
      <c r="BZ1277" s="2" t="s">
        <v>240</v>
      </c>
      <c r="CA1277" s="2" t="s">
        <v>275</v>
      </c>
      <c r="CB1277" s="2" t="s">
        <v>5105</v>
      </c>
      <c r="CC1277" s="2" t="s">
        <v>241</v>
      </c>
      <c r="CD1277" s="2" t="s">
        <v>228</v>
      </c>
      <c r="CE1277" s="4">
        <v>272</v>
      </c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  <c r="GG1277" s="4"/>
      <c r="GH1277" s="4"/>
      <c r="GI1277" s="4"/>
      <c r="GJ1277" s="4"/>
      <c r="GK1277" s="4"/>
      <c r="GL1277" s="4"/>
      <c r="GM1277" s="4"/>
      <c r="GN1277" s="4"/>
      <c r="GO1277" s="4"/>
      <c r="GP1277" s="4"/>
      <c r="GQ1277" s="4"/>
      <c r="GR1277" s="4"/>
      <c r="GS1277" s="4"/>
      <c r="GT1277" s="4"/>
      <c r="GU1277" s="4"/>
      <c r="GV1277" s="4"/>
      <c r="GW1277" s="4"/>
      <c r="GX1277" s="4"/>
      <c r="GY1277" s="4"/>
      <c r="GZ1277" s="4"/>
      <c r="HA1277" s="4"/>
      <c r="HB1277" s="4"/>
      <c r="HC1277" s="4"/>
      <c r="HD1277" s="4"/>
      <c r="HE1277" s="4"/>
    </row>
    <row r="1278">
      <c r="A1278" s="2" t="s">
        <v>6634</v>
      </c>
      <c r="B1278" s="2" t="s">
        <v>970</v>
      </c>
      <c r="C1278" s="2" t="s">
        <v>300</v>
      </c>
      <c r="D1278" s="2" t="s">
        <v>971</v>
      </c>
      <c r="E1278" s="2" t="s">
        <v>1940</v>
      </c>
      <c r="F1278" s="2" t="s">
        <v>6624</v>
      </c>
      <c r="G1278" s="2" t="s">
        <v>6625</v>
      </c>
      <c r="H1278" s="2" t="s">
        <v>6626</v>
      </c>
      <c r="I1278" s="2" t="s">
        <v>6627</v>
      </c>
      <c r="J1278" s="2" t="s">
        <v>1300</v>
      </c>
      <c r="K1278" s="2" t="s">
        <v>480</v>
      </c>
      <c r="L1278" s="3">
        <v>16.45</v>
      </c>
      <c r="M1278" s="3">
        <v>17.27</v>
      </c>
      <c r="N1278" s="3">
        <v>34.99</v>
      </c>
      <c r="O1278" s="2" t="s">
        <v>240</v>
      </c>
      <c r="P1278" s="2" t="s">
        <v>266</v>
      </c>
      <c r="Q1278" s="2" t="s">
        <v>234</v>
      </c>
      <c r="R1278" s="2" t="s">
        <v>228</v>
      </c>
      <c r="S1278" s="2" t="s">
        <v>6635</v>
      </c>
      <c r="T1278" s="2" t="s">
        <v>228</v>
      </c>
      <c r="U1278" s="2" t="s">
        <v>228</v>
      </c>
      <c r="V1278" s="2" t="s">
        <v>980</v>
      </c>
      <c r="W1278" s="2" t="s">
        <v>463</v>
      </c>
      <c r="X1278" s="2" t="s">
        <v>1940</v>
      </c>
      <c r="Y1278" s="2" t="s">
        <v>270</v>
      </c>
      <c r="Z1278" s="4">
        <v>177</v>
      </c>
      <c r="AA1278" s="4">
        <f>=ROUNDDOWN(44.25,0)</f>
      </c>
      <c r="AB1278" s="5">
        <v>4</v>
      </c>
      <c r="AC1278" s="2" t="s">
        <v>228</v>
      </c>
      <c r="AD1278" s="4"/>
      <c r="AE1278" s="4"/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228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 t="s">
        <v>228</v>
      </c>
      <c r="AW1278" s="8" t="s">
        <v>228</v>
      </c>
      <c r="AX1278" s="4" t="s">
        <v>228</v>
      </c>
      <c r="AY1278" s="8" t="s">
        <v>228</v>
      </c>
      <c r="AZ1278" s="7" t="s">
        <v>228</v>
      </c>
      <c r="BA1278" s="7" t="s">
        <v>228</v>
      </c>
      <c r="BB1278" s="7"/>
      <c r="BC1278" s="4" t="s">
        <v>228</v>
      </c>
      <c r="BD1278" s="8" t="s">
        <v>228</v>
      </c>
      <c r="BE1278" s="4" t="s">
        <v>228</v>
      </c>
      <c r="BF1278" s="8" t="s">
        <v>228</v>
      </c>
      <c r="BG1278" s="7" t="s">
        <v>228</v>
      </c>
      <c r="BH1278" s="7" t="s">
        <v>228</v>
      </c>
      <c r="BI1278" s="7"/>
      <c r="BJ1278" s="4">
        <v>6</v>
      </c>
      <c r="BK1278" s="8">
        <v>89.42</v>
      </c>
      <c r="BL1278" s="2" t="s">
        <v>1092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6636</v>
      </c>
      <c r="BV1278" s="2" t="s">
        <v>228</v>
      </c>
      <c r="BW1278" s="2" t="s">
        <v>228</v>
      </c>
      <c r="BX1278" s="2" t="s">
        <v>273</v>
      </c>
      <c r="BY1278" s="2" t="s">
        <v>274</v>
      </c>
      <c r="BZ1278" s="2" t="s">
        <v>240</v>
      </c>
      <c r="CA1278" s="2" t="s">
        <v>275</v>
      </c>
      <c r="CB1278" s="2" t="s">
        <v>6637</v>
      </c>
      <c r="CC1278" s="2" t="s">
        <v>241</v>
      </c>
      <c r="CD1278" s="2" t="s">
        <v>228</v>
      </c>
      <c r="CE1278" s="4">
        <v>177</v>
      </c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4"/>
      <c r="GR1278" s="4"/>
      <c r="GS1278" s="4"/>
      <c r="GT1278" s="4"/>
      <c r="GU1278" s="4"/>
      <c r="GV1278" s="4"/>
      <c r="GW1278" s="4"/>
      <c r="GX1278" s="4"/>
      <c r="GY1278" s="4"/>
      <c r="GZ1278" s="4"/>
      <c r="HA1278" s="4"/>
      <c r="HB1278" s="4"/>
      <c r="HC1278" s="4"/>
      <c r="HD1278" s="4"/>
      <c r="HE1278" s="4"/>
    </row>
    <row r="1279">
      <c r="A1279" s="2" t="s">
        <v>6638</v>
      </c>
      <c r="B1279" s="2" t="s">
        <v>970</v>
      </c>
      <c r="C1279" s="2" t="s">
        <v>300</v>
      </c>
      <c r="D1279" s="2" t="s">
        <v>1497</v>
      </c>
      <c r="E1279" s="2" t="s">
        <v>1498</v>
      </c>
      <c r="F1279" s="2" t="s">
        <v>6624</v>
      </c>
      <c r="G1279" s="2" t="s">
        <v>6625</v>
      </c>
      <c r="H1279" s="2" t="s">
        <v>6626</v>
      </c>
      <c r="I1279" s="2" t="s">
        <v>6639</v>
      </c>
      <c r="J1279" s="2" t="s">
        <v>1959</v>
      </c>
      <c r="K1279" s="2" t="s">
        <v>480</v>
      </c>
      <c r="L1279" s="3">
        <v>12.42</v>
      </c>
      <c r="M1279" s="3">
        <v>13.04</v>
      </c>
      <c r="N1279" s="3">
        <v>26.99</v>
      </c>
      <c r="O1279" s="2" t="s">
        <v>240</v>
      </c>
      <c r="P1279" s="2" t="s">
        <v>266</v>
      </c>
      <c r="Q1279" s="2" t="s">
        <v>234</v>
      </c>
      <c r="R1279" s="2" t="s">
        <v>228</v>
      </c>
      <c r="S1279" s="2" t="s">
        <v>6635</v>
      </c>
      <c r="T1279" s="2" t="s">
        <v>228</v>
      </c>
      <c r="U1279" s="2" t="s">
        <v>228</v>
      </c>
      <c r="V1279" s="2" t="s">
        <v>980</v>
      </c>
      <c r="W1279" s="2" t="s">
        <v>463</v>
      </c>
      <c r="X1279" s="2" t="s">
        <v>228</v>
      </c>
      <c r="Y1279" s="2" t="s">
        <v>2838</v>
      </c>
      <c r="Z1279" s="4">
        <v>247</v>
      </c>
      <c r="AA1279" s="4">
        <f>=ROUNDDOWN(19,0)</f>
      </c>
      <c r="AB1279" s="5">
        <v>13</v>
      </c>
      <c r="AC1279" s="2" t="s">
        <v>1947</v>
      </c>
      <c r="AD1279" s="4">
        <v>216</v>
      </c>
      <c r="AE1279" s="4">
        <v>216</v>
      </c>
      <c r="AF1279" s="6">
        <v>65</v>
      </c>
      <c r="AG1279" s="6"/>
      <c r="AH1279" s="7">
        <v>1</v>
      </c>
      <c r="AI1279" s="4"/>
      <c r="AJ1279" s="4">
        <f>=ROUNDDOWN({0},0)</f>
      </c>
      <c r="AK1279" s="5"/>
      <c r="AL1279" s="2" t="s">
        <v>228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 t="s">
        <v>228</v>
      </c>
      <c r="AW1279" s="8" t="s">
        <v>228</v>
      </c>
      <c r="AX1279" s="4" t="s">
        <v>228</v>
      </c>
      <c r="AY1279" s="8" t="s">
        <v>228</v>
      </c>
      <c r="AZ1279" s="7" t="s">
        <v>228</v>
      </c>
      <c r="BA1279" s="7" t="s">
        <v>228</v>
      </c>
      <c r="BB1279" s="7"/>
      <c r="BC1279" s="4" t="s">
        <v>228</v>
      </c>
      <c r="BD1279" s="8" t="s">
        <v>228</v>
      </c>
      <c r="BE1279" s="4" t="s">
        <v>228</v>
      </c>
      <c r="BF1279" s="8" t="s">
        <v>228</v>
      </c>
      <c r="BG1279" s="7" t="s">
        <v>228</v>
      </c>
      <c r="BH1279" s="7" t="s">
        <v>228</v>
      </c>
      <c r="BI1279" s="7"/>
      <c r="BJ1279" s="4">
        <v>3</v>
      </c>
      <c r="BK1279" s="8">
        <v>39.81</v>
      </c>
      <c r="BL1279" s="2" t="s">
        <v>1322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6640</v>
      </c>
      <c r="BV1279" s="2" t="s">
        <v>228</v>
      </c>
      <c r="BW1279" s="2" t="s">
        <v>228</v>
      </c>
      <c r="BX1279" s="2" t="s">
        <v>273</v>
      </c>
      <c r="BY1279" s="2" t="s">
        <v>274</v>
      </c>
      <c r="BZ1279" s="2" t="s">
        <v>240</v>
      </c>
      <c r="CA1279" s="2" t="s">
        <v>3939</v>
      </c>
      <c r="CB1279" s="2" t="s">
        <v>6344</v>
      </c>
      <c r="CC1279" s="2" t="s">
        <v>241</v>
      </c>
      <c r="CD1279" s="2" t="s">
        <v>228</v>
      </c>
      <c r="CE1279" s="4">
        <v>247</v>
      </c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>
        <v>216</v>
      </c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  <c r="GG1279" s="4"/>
      <c r="GH1279" s="4"/>
      <c r="GI1279" s="4"/>
      <c r="GJ1279" s="4"/>
      <c r="GK1279" s="4"/>
      <c r="GL1279" s="4"/>
      <c r="GM1279" s="4"/>
      <c r="GN1279" s="4"/>
      <c r="GO1279" s="4"/>
      <c r="GP1279" s="4"/>
      <c r="GQ1279" s="4"/>
      <c r="GR1279" s="4"/>
      <c r="GS1279" s="4"/>
      <c r="GT1279" s="4"/>
      <c r="GU1279" s="4"/>
      <c r="GV1279" s="4"/>
      <c r="GW1279" s="4"/>
      <c r="GX1279" s="4"/>
      <c r="GY1279" s="4"/>
      <c r="GZ1279" s="4"/>
      <c r="HA1279" s="4"/>
      <c r="HB1279" s="4"/>
      <c r="HC1279" s="4"/>
      <c r="HD1279" s="4"/>
      <c r="HE1279" s="4"/>
    </row>
    <row r="1280">
      <c r="A1280" s="2" t="s">
        <v>6641</v>
      </c>
      <c r="B1280" s="2" t="s">
        <v>970</v>
      </c>
      <c r="C1280" s="2" t="s">
        <v>300</v>
      </c>
      <c r="D1280" s="2" t="s">
        <v>971</v>
      </c>
      <c r="E1280" s="2" t="s">
        <v>6052</v>
      </c>
      <c r="F1280" s="2" t="s">
        <v>6624</v>
      </c>
      <c r="G1280" s="2" t="s">
        <v>6625</v>
      </c>
      <c r="H1280" s="2" t="s">
        <v>6626</v>
      </c>
      <c r="I1280" s="2" t="s">
        <v>6642</v>
      </c>
      <c r="J1280" s="2" t="s">
        <v>6643</v>
      </c>
      <c r="K1280" s="2" t="s">
        <v>480</v>
      </c>
      <c r="L1280" s="3">
        <v>21.15</v>
      </c>
      <c r="M1280" s="3">
        <v>22.21</v>
      </c>
      <c r="N1280" s="3">
        <v>44.99</v>
      </c>
      <c r="O1280" s="2" t="s">
        <v>240</v>
      </c>
      <c r="P1280" s="2" t="s">
        <v>266</v>
      </c>
      <c r="Q1280" s="2" t="s">
        <v>234</v>
      </c>
      <c r="R1280" s="2" t="s">
        <v>228</v>
      </c>
      <c r="S1280" s="2" t="s">
        <v>6635</v>
      </c>
      <c r="T1280" s="2" t="s">
        <v>228</v>
      </c>
      <c r="U1280" s="2" t="s">
        <v>228</v>
      </c>
      <c r="V1280" s="2" t="s">
        <v>980</v>
      </c>
      <c r="W1280" s="2" t="s">
        <v>463</v>
      </c>
      <c r="X1280" s="2" t="s">
        <v>228</v>
      </c>
      <c r="Y1280" s="2" t="s">
        <v>2838</v>
      </c>
      <c r="Z1280" s="4">
        <v>58</v>
      </c>
      <c r="AA1280" s="4">
        <f>=ROUNDDOWN(8.28571428571428,0)</f>
      </c>
      <c r="AB1280" s="5">
        <v>7</v>
      </c>
      <c r="AC1280" s="2" t="s">
        <v>1947</v>
      </c>
      <c r="AD1280" s="4">
        <v>136</v>
      </c>
      <c r="AE1280" s="4">
        <v>136</v>
      </c>
      <c r="AF1280" s="6">
        <v>65</v>
      </c>
      <c r="AG1280" s="6"/>
      <c r="AH1280" s="7">
        <v>1</v>
      </c>
      <c r="AI1280" s="4"/>
      <c r="AJ1280" s="4">
        <f>=ROUNDDOWN({0},0)</f>
      </c>
      <c r="AK1280" s="5"/>
      <c r="AL1280" s="2" t="s">
        <v>228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 t="s">
        <v>228</v>
      </c>
      <c r="AW1280" s="8" t="s">
        <v>228</v>
      </c>
      <c r="AX1280" s="4" t="s">
        <v>228</v>
      </c>
      <c r="AY1280" s="8" t="s">
        <v>228</v>
      </c>
      <c r="AZ1280" s="7" t="s">
        <v>228</v>
      </c>
      <c r="BA1280" s="7" t="s">
        <v>228</v>
      </c>
      <c r="BB1280" s="7"/>
      <c r="BC1280" s="4" t="s">
        <v>228</v>
      </c>
      <c r="BD1280" s="8" t="s">
        <v>228</v>
      </c>
      <c r="BE1280" s="4" t="s">
        <v>228</v>
      </c>
      <c r="BF1280" s="8" t="s">
        <v>228</v>
      </c>
      <c r="BG1280" s="7" t="s">
        <v>228</v>
      </c>
      <c r="BH1280" s="7" t="s">
        <v>228</v>
      </c>
      <c r="BI1280" s="7"/>
      <c r="BJ1280" s="4">
        <v>24</v>
      </c>
      <c r="BK1280" s="8">
        <v>558.7</v>
      </c>
      <c r="BL1280" s="2" t="s">
        <v>6644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6645</v>
      </c>
      <c r="BV1280" s="2" t="s">
        <v>228</v>
      </c>
      <c r="BW1280" s="2" t="s">
        <v>228</v>
      </c>
      <c r="BX1280" s="2" t="s">
        <v>273</v>
      </c>
      <c r="BY1280" s="2" t="s">
        <v>274</v>
      </c>
      <c r="BZ1280" s="2" t="s">
        <v>240</v>
      </c>
      <c r="CA1280" s="2" t="s">
        <v>3939</v>
      </c>
      <c r="CB1280" s="2" t="s">
        <v>1355</v>
      </c>
      <c r="CC1280" s="2" t="s">
        <v>241</v>
      </c>
      <c r="CD1280" s="2" t="s">
        <v>228</v>
      </c>
      <c r="CE1280" s="4">
        <v>58</v>
      </c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>
        <v>136</v>
      </c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  <c r="GS1280" s="4"/>
      <c r="GT1280" s="4"/>
      <c r="GU1280" s="4"/>
      <c r="GV1280" s="4"/>
      <c r="GW1280" s="4"/>
      <c r="GX1280" s="4"/>
      <c r="GY1280" s="4"/>
      <c r="GZ1280" s="4"/>
      <c r="HA1280" s="4"/>
      <c r="HB1280" s="4"/>
      <c r="HC1280" s="4"/>
      <c r="HD1280" s="4"/>
      <c r="HE1280" s="4"/>
    </row>
    <row r="1281">
      <c r="A1281" s="2" t="s">
        <v>6646</v>
      </c>
      <c r="B1281" s="2" t="s">
        <v>970</v>
      </c>
      <c r="C1281" s="2" t="s">
        <v>300</v>
      </c>
      <c r="D1281" s="2" t="s">
        <v>971</v>
      </c>
      <c r="E1281" s="2" t="s">
        <v>1940</v>
      </c>
      <c r="F1281" s="2" t="s">
        <v>6624</v>
      </c>
      <c r="G1281" s="2" t="s">
        <v>6625</v>
      </c>
      <c r="H1281" s="2" t="s">
        <v>6626</v>
      </c>
      <c r="I1281" s="2" t="s">
        <v>6627</v>
      </c>
      <c r="J1281" s="2" t="s">
        <v>1300</v>
      </c>
      <c r="K1281" s="2" t="s">
        <v>316</v>
      </c>
      <c r="L1281" s="3">
        <v>16.45</v>
      </c>
      <c r="M1281" s="3">
        <v>17.27</v>
      </c>
      <c r="N1281" s="3">
        <v>34.99</v>
      </c>
      <c r="O1281" s="2" t="s">
        <v>240</v>
      </c>
      <c r="P1281" s="2" t="s">
        <v>266</v>
      </c>
      <c r="Q1281" s="2" t="s">
        <v>234</v>
      </c>
      <c r="R1281" s="2" t="s">
        <v>228</v>
      </c>
      <c r="S1281" s="2" t="s">
        <v>6647</v>
      </c>
      <c r="T1281" s="2" t="s">
        <v>228</v>
      </c>
      <c r="U1281" s="2" t="s">
        <v>228</v>
      </c>
      <c r="V1281" s="2" t="s">
        <v>980</v>
      </c>
      <c r="W1281" s="2" t="s">
        <v>463</v>
      </c>
      <c r="X1281" s="2" t="s">
        <v>1940</v>
      </c>
      <c r="Y1281" s="2" t="s">
        <v>270</v>
      </c>
      <c r="Z1281" s="4">
        <v>97</v>
      </c>
      <c r="AA1281" s="4">
        <f>=ROUNDDOWN(19.4,0)</f>
      </c>
      <c r="AB1281" s="5">
        <v>5</v>
      </c>
      <c r="AC1281" s="2" t="s">
        <v>170</v>
      </c>
      <c r="AD1281" s="4">
        <v>52</v>
      </c>
      <c r="AE1281" s="4">
        <v>52</v>
      </c>
      <c r="AF1281" s="6">
        <v>65</v>
      </c>
      <c r="AG1281" s="6"/>
      <c r="AH1281" s="7">
        <v>1</v>
      </c>
      <c r="AI1281" s="4"/>
      <c r="AJ1281" s="4">
        <f>=ROUNDDOWN({0},0)</f>
      </c>
      <c r="AK1281" s="5"/>
      <c r="AL1281" s="2" t="s">
        <v>228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228</v>
      </c>
      <c r="AW1281" s="8" t="s">
        <v>228</v>
      </c>
      <c r="AX1281" s="4" t="s">
        <v>228</v>
      </c>
      <c r="AY1281" s="8" t="s">
        <v>228</v>
      </c>
      <c r="AZ1281" s="7" t="s">
        <v>228</v>
      </c>
      <c r="BA1281" s="7" t="s">
        <v>228</v>
      </c>
      <c r="BB1281" s="7"/>
      <c r="BC1281" s="4" t="s">
        <v>228</v>
      </c>
      <c r="BD1281" s="8" t="s">
        <v>228</v>
      </c>
      <c r="BE1281" s="4" t="s">
        <v>228</v>
      </c>
      <c r="BF1281" s="8" t="s">
        <v>228</v>
      </c>
      <c r="BG1281" s="7" t="s">
        <v>228</v>
      </c>
      <c r="BH1281" s="7" t="s">
        <v>228</v>
      </c>
      <c r="BI1281" s="7"/>
      <c r="BJ1281" s="4">
        <v>24</v>
      </c>
      <c r="BK1281" s="8">
        <v>412.08</v>
      </c>
      <c r="BL1281" s="2" t="s">
        <v>6648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6649</v>
      </c>
      <c r="BV1281" s="2" t="s">
        <v>228</v>
      </c>
      <c r="BW1281" s="2" t="s">
        <v>228</v>
      </c>
      <c r="BX1281" s="2" t="s">
        <v>273</v>
      </c>
      <c r="BY1281" s="2" t="s">
        <v>274</v>
      </c>
      <c r="BZ1281" s="2" t="s">
        <v>240</v>
      </c>
      <c r="CA1281" s="2" t="s">
        <v>275</v>
      </c>
      <c r="CB1281" s="2" t="s">
        <v>6650</v>
      </c>
      <c r="CC1281" s="2" t="s">
        <v>241</v>
      </c>
      <c r="CD1281" s="2" t="s">
        <v>228</v>
      </c>
      <c r="CE1281" s="4">
        <v>97</v>
      </c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>
        <v>52</v>
      </c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4"/>
      <c r="GR1281" s="4"/>
      <c r="GS1281" s="4"/>
      <c r="GT1281" s="4"/>
      <c r="GU1281" s="4"/>
      <c r="GV1281" s="4"/>
      <c r="GW1281" s="4"/>
      <c r="GX1281" s="4"/>
      <c r="GY1281" s="4"/>
      <c r="GZ1281" s="4"/>
      <c r="HA1281" s="4"/>
      <c r="HB1281" s="4"/>
      <c r="HC1281" s="4"/>
      <c r="HD1281" s="4"/>
      <c r="HE1281" s="4"/>
    </row>
    <row r="1282">
      <c r="A1282" s="2" t="s">
        <v>6651</v>
      </c>
      <c r="B1282" s="2" t="s">
        <v>970</v>
      </c>
      <c r="C1282" s="2" t="s">
        <v>300</v>
      </c>
      <c r="D1282" s="2" t="s">
        <v>1497</v>
      </c>
      <c r="E1282" s="2" t="s">
        <v>1498</v>
      </c>
      <c r="F1282" s="2" t="s">
        <v>6624</v>
      </c>
      <c r="G1282" s="2" t="s">
        <v>6625</v>
      </c>
      <c r="H1282" s="2" t="s">
        <v>6626</v>
      </c>
      <c r="I1282" s="2" t="s">
        <v>6639</v>
      </c>
      <c r="J1282" s="2" t="s">
        <v>1959</v>
      </c>
      <c r="K1282" s="2" t="s">
        <v>316</v>
      </c>
      <c r="L1282" s="3">
        <v>12.42</v>
      </c>
      <c r="M1282" s="3">
        <v>13.04</v>
      </c>
      <c r="N1282" s="3">
        <v>26.99</v>
      </c>
      <c r="O1282" s="2" t="s">
        <v>240</v>
      </c>
      <c r="P1282" s="2" t="s">
        <v>266</v>
      </c>
      <c r="Q1282" s="2" t="s">
        <v>234</v>
      </c>
      <c r="R1282" s="2" t="s">
        <v>228</v>
      </c>
      <c r="S1282" s="2" t="s">
        <v>6647</v>
      </c>
      <c r="T1282" s="2" t="s">
        <v>228</v>
      </c>
      <c r="U1282" s="2" t="s">
        <v>228</v>
      </c>
      <c r="V1282" s="2" t="s">
        <v>980</v>
      </c>
      <c r="W1282" s="2" t="s">
        <v>463</v>
      </c>
      <c r="X1282" s="2" t="s">
        <v>228</v>
      </c>
      <c r="Y1282" s="2" t="s">
        <v>2838</v>
      </c>
      <c r="Z1282" s="4">
        <v>160</v>
      </c>
      <c r="AA1282" s="4">
        <f>=ROUNDDOWN(14.5454545454545,0)</f>
      </c>
      <c r="AB1282" s="5">
        <v>11</v>
      </c>
      <c r="AC1282" s="2" t="s">
        <v>170</v>
      </c>
      <c r="AD1282" s="4">
        <v>224</v>
      </c>
      <c r="AE1282" s="4">
        <v>328</v>
      </c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228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228</v>
      </c>
      <c r="AW1282" s="8" t="s">
        <v>228</v>
      </c>
      <c r="AX1282" s="4" t="s">
        <v>228</v>
      </c>
      <c r="AY1282" s="8" t="s">
        <v>228</v>
      </c>
      <c r="AZ1282" s="7" t="s">
        <v>228</v>
      </c>
      <c r="BA1282" s="7" t="s">
        <v>228</v>
      </c>
      <c r="BB1282" s="7"/>
      <c r="BC1282" s="4" t="s">
        <v>228</v>
      </c>
      <c r="BD1282" s="8" t="s">
        <v>228</v>
      </c>
      <c r="BE1282" s="4" t="s">
        <v>228</v>
      </c>
      <c r="BF1282" s="8" t="s">
        <v>228</v>
      </c>
      <c r="BG1282" s="7" t="s">
        <v>228</v>
      </c>
      <c r="BH1282" s="7" t="s">
        <v>228</v>
      </c>
      <c r="BI1282" s="7"/>
      <c r="BJ1282" s="4">
        <v>17</v>
      </c>
      <c r="BK1282" s="8">
        <v>219.6</v>
      </c>
      <c r="BL1282" s="2" t="s">
        <v>3798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6652</v>
      </c>
      <c r="BV1282" s="2" t="s">
        <v>228</v>
      </c>
      <c r="BW1282" s="2" t="s">
        <v>228</v>
      </c>
      <c r="BX1282" s="2" t="s">
        <v>273</v>
      </c>
      <c r="BY1282" s="2" t="s">
        <v>274</v>
      </c>
      <c r="BZ1282" s="2" t="s">
        <v>240</v>
      </c>
      <c r="CA1282" s="2" t="s">
        <v>3939</v>
      </c>
      <c r="CB1282" s="2" t="s">
        <v>3427</v>
      </c>
      <c r="CC1282" s="2" t="s">
        <v>241</v>
      </c>
      <c r="CD1282" s="2" t="s">
        <v>228</v>
      </c>
      <c r="CE1282" s="4">
        <v>160</v>
      </c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>
        <v>224</v>
      </c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>
        <v>104</v>
      </c>
      <c r="GH1282" s="4"/>
      <c r="GI1282" s="4"/>
      <c r="GJ1282" s="4"/>
      <c r="GK1282" s="4"/>
      <c r="GL1282" s="4"/>
      <c r="GM1282" s="4"/>
      <c r="GN1282" s="4"/>
      <c r="GO1282" s="4"/>
      <c r="GP1282" s="4"/>
      <c r="GQ1282" s="4"/>
      <c r="GR1282" s="4"/>
      <c r="GS1282" s="4"/>
      <c r="GT1282" s="4"/>
      <c r="GU1282" s="4"/>
      <c r="GV1282" s="4"/>
      <c r="GW1282" s="4"/>
      <c r="GX1282" s="4"/>
      <c r="GY1282" s="4"/>
      <c r="GZ1282" s="4"/>
      <c r="HA1282" s="4"/>
      <c r="HB1282" s="4"/>
      <c r="HC1282" s="4"/>
      <c r="HD1282" s="4"/>
      <c r="HE1282" s="4"/>
    </row>
    <row r="1283">
      <c r="A1283" s="2" t="s">
        <v>6653</v>
      </c>
      <c r="B1283" s="2" t="s">
        <v>958</v>
      </c>
      <c r="C1283" s="2" t="s">
        <v>885</v>
      </c>
      <c r="D1283" s="2" t="s">
        <v>2144</v>
      </c>
      <c r="E1283" s="2" t="s">
        <v>6654</v>
      </c>
      <c r="F1283" s="2" t="s">
        <v>6655</v>
      </c>
      <c r="G1283" s="2" t="s">
        <v>6655</v>
      </c>
      <c r="H1283" s="2" t="s">
        <v>6655</v>
      </c>
      <c r="I1283" s="2" t="s">
        <v>6656</v>
      </c>
      <c r="J1283" s="2" t="s">
        <v>840</v>
      </c>
      <c r="K1283" s="2" t="s">
        <v>6657</v>
      </c>
      <c r="L1283" s="3">
        <v>85.5</v>
      </c>
      <c r="M1283" s="3">
        <v>89.78</v>
      </c>
      <c r="N1283" s="3">
        <v>179</v>
      </c>
      <c r="O1283" s="2" t="s">
        <v>240</v>
      </c>
      <c r="P1283" s="2" t="s">
        <v>333</v>
      </c>
      <c r="Q1283" s="2" t="s">
        <v>234</v>
      </c>
      <c r="R1283" s="2" t="s">
        <v>228</v>
      </c>
      <c r="S1283" s="2" t="s">
        <v>6658</v>
      </c>
      <c r="T1283" s="2" t="s">
        <v>228</v>
      </c>
      <c r="U1283" s="2" t="s">
        <v>416</v>
      </c>
      <c r="V1283" s="2" t="s">
        <v>236</v>
      </c>
      <c r="W1283" s="2" t="s">
        <v>1761</v>
      </c>
      <c r="X1283" s="2" t="s">
        <v>892</v>
      </c>
      <c r="Y1283" s="2" t="s">
        <v>5081</v>
      </c>
      <c r="Z1283" s="4">
        <v>60</v>
      </c>
      <c r="AA1283" s="4">
        <f>=ROUNDDOWN(7.89473684210526,0)</f>
      </c>
      <c r="AB1283" s="5">
        <v>7.6</v>
      </c>
      <c r="AC1283" s="2" t="s">
        <v>228</v>
      </c>
      <c r="AD1283" s="4"/>
      <c r="AE1283" s="4"/>
      <c r="AF1283" s="6">
        <v>74</v>
      </c>
      <c r="AG1283" s="6"/>
      <c r="AH1283" s="7">
        <v>1</v>
      </c>
      <c r="AI1283" s="4"/>
      <c r="AJ1283" s="4">
        <f>=ROUNDDOWN({0},0)</f>
      </c>
      <c r="AK1283" s="5"/>
      <c r="AL1283" s="2" t="s">
        <v>228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/>
      <c r="AW1283" s="8"/>
      <c r="AX1283" s="4"/>
      <c r="AY1283" s="8"/>
      <c r="AZ1283" s="7"/>
      <c r="BA1283" s="7"/>
      <c r="BB1283" s="7"/>
      <c r="BC1283" s="4"/>
      <c r="BD1283" s="8"/>
      <c r="BE1283" s="4"/>
      <c r="BF1283" s="8"/>
      <c r="BG1283" s="7"/>
      <c r="BH1283" s="7"/>
      <c r="BI1283" s="7"/>
      <c r="BJ1283" s="4">
        <v>29</v>
      </c>
      <c r="BK1283" s="8">
        <v>2430.34</v>
      </c>
      <c r="BL1283" s="2" t="s">
        <v>6659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6660</v>
      </c>
      <c r="BV1283" s="2" t="s">
        <v>228</v>
      </c>
      <c r="BW1283" s="2" t="s">
        <v>228</v>
      </c>
      <c r="BX1283" s="2" t="s">
        <v>337</v>
      </c>
      <c r="BY1283" s="2" t="s">
        <v>274</v>
      </c>
      <c r="BZ1283" s="2" t="s">
        <v>240</v>
      </c>
      <c r="CA1283" s="2" t="s">
        <v>6661</v>
      </c>
      <c r="CB1283" s="2" t="s">
        <v>6662</v>
      </c>
      <c r="CC1283" s="2" t="s">
        <v>241</v>
      </c>
      <c r="CD1283" s="2" t="s">
        <v>228</v>
      </c>
      <c r="CE1283" s="4"/>
      <c r="CF1283" s="4">
        <v>60</v>
      </c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/>
      <c r="GS1283" s="4"/>
      <c r="GT1283" s="4"/>
      <c r="GU1283" s="4"/>
      <c r="GV1283" s="4"/>
      <c r="GW1283" s="4"/>
      <c r="GX1283" s="4"/>
      <c r="GY1283" s="4"/>
      <c r="GZ1283" s="4"/>
      <c r="HA1283" s="4"/>
      <c r="HB1283" s="4"/>
      <c r="HC1283" s="4"/>
      <c r="HD1283" s="4"/>
      <c r="HE1283" s="4"/>
    </row>
    <row r="1284">
      <c r="A1284" s="2" t="s">
        <v>6663</v>
      </c>
      <c r="B1284" s="2" t="s">
        <v>958</v>
      </c>
      <c r="C1284" s="2" t="s">
        <v>300</v>
      </c>
      <c r="D1284" s="2" t="s">
        <v>1790</v>
      </c>
      <c r="E1284" s="2" t="s">
        <v>1791</v>
      </c>
      <c r="F1284" s="2" t="s">
        <v>6664</v>
      </c>
      <c r="G1284" s="2" t="s">
        <v>6665</v>
      </c>
      <c r="H1284" s="2" t="s">
        <v>6666</v>
      </c>
      <c r="I1284" s="2" t="s">
        <v>6667</v>
      </c>
      <c r="J1284" s="2" t="s">
        <v>840</v>
      </c>
      <c r="K1284" s="2" t="s">
        <v>6668</v>
      </c>
      <c r="L1284" s="3">
        <v>110</v>
      </c>
      <c r="M1284" s="3">
        <v>115.5</v>
      </c>
      <c r="N1284" s="3">
        <v>229</v>
      </c>
      <c r="O1284" s="2" t="s">
        <v>461</v>
      </c>
      <c r="P1284" s="2" t="s">
        <v>333</v>
      </c>
      <c r="Q1284" s="2" t="s">
        <v>234</v>
      </c>
      <c r="R1284" s="2" t="s">
        <v>228</v>
      </c>
      <c r="S1284" s="2" t="s">
        <v>228</v>
      </c>
      <c r="T1284" s="2" t="s">
        <v>228</v>
      </c>
      <c r="U1284" s="2" t="s">
        <v>416</v>
      </c>
      <c r="V1284" s="2" t="s">
        <v>236</v>
      </c>
      <c r="W1284" s="2" t="s">
        <v>417</v>
      </c>
      <c r="X1284" s="2" t="s">
        <v>843</v>
      </c>
      <c r="Y1284" s="2" t="s">
        <v>1313</v>
      </c>
      <c r="Z1284" s="4">
        <v>69</v>
      </c>
      <c r="AA1284" s="4">
        <f>=ROUNDDOWN(34.5,0)</f>
      </c>
      <c r="AB1284" s="5">
        <v>2</v>
      </c>
      <c r="AC1284" s="2" t="s">
        <v>228</v>
      </c>
      <c r="AD1284" s="4"/>
      <c r="AE1284" s="4"/>
      <c r="AF1284" s="6">
        <v>66</v>
      </c>
      <c r="AG1284" s="6"/>
      <c r="AH1284" s="7">
        <v>1</v>
      </c>
      <c r="AI1284" s="4"/>
      <c r="AJ1284" s="4">
        <f>=ROUNDDOWN({0},0)</f>
      </c>
      <c r="AK1284" s="5"/>
      <c r="AL1284" s="2" t="s">
        <v>228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/>
      <c r="AW1284" s="8"/>
      <c r="AX1284" s="4"/>
      <c r="AY1284" s="8"/>
      <c r="AZ1284" s="7"/>
      <c r="BA1284" s="7"/>
      <c r="BB1284" s="7"/>
      <c r="BC1284" s="4"/>
      <c r="BD1284" s="8"/>
      <c r="BE1284" s="4"/>
      <c r="BF1284" s="8"/>
      <c r="BG1284" s="7"/>
      <c r="BH1284" s="7"/>
      <c r="BI1284" s="7"/>
      <c r="BJ1284" s="4">
        <v>9</v>
      </c>
      <c r="BK1284" s="8">
        <v>1202.86</v>
      </c>
      <c r="BL1284" s="2" t="s">
        <v>6669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6670</v>
      </c>
      <c r="BV1284" s="2" t="s">
        <v>228</v>
      </c>
      <c r="BW1284" s="2" t="s">
        <v>228</v>
      </c>
      <c r="BX1284" s="2" t="s">
        <v>337</v>
      </c>
      <c r="BY1284" s="2" t="s">
        <v>274</v>
      </c>
      <c r="BZ1284" s="2" t="s">
        <v>240</v>
      </c>
      <c r="CA1284" s="2" t="s">
        <v>1303</v>
      </c>
      <c r="CB1284" s="2" t="s">
        <v>1683</v>
      </c>
      <c r="CC1284" s="2" t="s">
        <v>241</v>
      </c>
      <c r="CD1284" s="2" t="s">
        <v>228</v>
      </c>
      <c r="CE1284" s="4"/>
      <c r="CF1284" s="4">
        <v>69</v>
      </c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  <c r="GQ1284" s="4"/>
      <c r="GR1284" s="4"/>
      <c r="GS1284" s="4"/>
      <c r="GT1284" s="4"/>
      <c r="GU1284" s="4"/>
      <c r="GV1284" s="4"/>
      <c r="GW1284" s="4"/>
      <c r="GX1284" s="4"/>
      <c r="GY1284" s="4"/>
      <c r="GZ1284" s="4"/>
      <c r="HA1284" s="4"/>
      <c r="HB1284" s="4"/>
      <c r="HC1284" s="4"/>
      <c r="HD1284" s="4"/>
      <c r="HE1284" s="4"/>
    </row>
    <row r="1285">
      <c r="A1285" s="2" t="s">
        <v>6671</v>
      </c>
      <c r="B1285" s="2" t="s">
        <v>958</v>
      </c>
      <c r="C1285" s="2" t="s">
        <v>885</v>
      </c>
      <c r="D1285" s="2" t="s">
        <v>959</v>
      </c>
      <c r="E1285" s="2" t="s">
        <v>960</v>
      </c>
      <c r="F1285" s="2" t="s">
        <v>3003</v>
      </c>
      <c r="G1285" s="2" t="s">
        <v>3003</v>
      </c>
      <c r="H1285" s="2" t="s">
        <v>3003</v>
      </c>
      <c r="I1285" s="2" t="s">
        <v>6672</v>
      </c>
      <c r="J1285" s="2" t="s">
        <v>840</v>
      </c>
      <c r="K1285" s="2" t="s">
        <v>2480</v>
      </c>
      <c r="L1285" s="3">
        <v>502.74</v>
      </c>
      <c r="M1285" s="3">
        <v>527.88</v>
      </c>
      <c r="N1285" s="3">
        <v>1079</v>
      </c>
      <c r="O1285" s="2" t="s">
        <v>240</v>
      </c>
      <c r="P1285" s="2" t="s">
        <v>1022</v>
      </c>
      <c r="Q1285" s="2" t="s">
        <v>234</v>
      </c>
      <c r="R1285" s="2" t="s">
        <v>16</v>
      </c>
      <c r="S1285" s="2" t="s">
        <v>6673</v>
      </c>
      <c r="T1285" s="2" t="s">
        <v>228</v>
      </c>
      <c r="U1285" s="2" t="s">
        <v>520</v>
      </c>
      <c r="V1285" s="2" t="s">
        <v>842</v>
      </c>
      <c r="W1285" s="2" t="s">
        <v>1761</v>
      </c>
      <c r="X1285" s="2" t="s">
        <v>892</v>
      </c>
      <c r="Y1285" s="2" t="s">
        <v>6674</v>
      </c>
      <c r="Z1285" s="4">
        <v>3</v>
      </c>
      <c r="AA1285" s="4">
        <f>=ROUNDDOWN({0},0)</f>
      </c>
      <c r="AB1285" s="5"/>
      <c r="AC1285" s="2" t="s">
        <v>3106</v>
      </c>
      <c r="AD1285" s="4">
        <v>50</v>
      </c>
      <c r="AE1285" s="4">
        <v>184</v>
      </c>
      <c r="AF1285" s="6"/>
      <c r="AG1285" s="6"/>
      <c r="AH1285" s="7">
        <v>1</v>
      </c>
      <c r="AI1285" s="4"/>
      <c r="AJ1285" s="4">
        <f>=ROUNDDOWN({0},0)</f>
      </c>
      <c r="AK1285" s="5"/>
      <c r="AL1285" s="2" t="s">
        <v>228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/>
      <c r="AW1285" s="8"/>
      <c r="AX1285" s="4"/>
      <c r="AY1285" s="8"/>
      <c r="AZ1285" s="7"/>
      <c r="BA1285" s="7"/>
      <c r="BB1285" s="7"/>
      <c r="BC1285" s="4" t="s">
        <v>228</v>
      </c>
      <c r="BD1285" s="8" t="s">
        <v>228</v>
      </c>
      <c r="BE1285" s="4" t="s">
        <v>228</v>
      </c>
      <c r="BF1285" s="8" t="s">
        <v>228</v>
      </c>
      <c r="BG1285" s="7" t="s">
        <v>228</v>
      </c>
      <c r="BH1285" s="7" t="s">
        <v>228</v>
      </c>
      <c r="BI1285" s="7"/>
      <c r="BJ1285" s="4"/>
      <c r="BK1285" s="8"/>
      <c r="BL1285" s="2" t="s">
        <v>228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6675</v>
      </c>
      <c r="BV1285" s="2" t="s">
        <v>228</v>
      </c>
      <c r="BW1285" s="2" t="s">
        <v>228</v>
      </c>
      <c r="BX1285" s="2" t="s">
        <v>273</v>
      </c>
      <c r="BY1285" s="2" t="s">
        <v>274</v>
      </c>
      <c r="BZ1285" s="2" t="s">
        <v>240</v>
      </c>
      <c r="CA1285" s="2" t="s">
        <v>1026</v>
      </c>
      <c r="CB1285" s="2" t="s">
        <v>228</v>
      </c>
      <c r="CC1285" s="2" t="s">
        <v>241</v>
      </c>
      <c r="CD1285" s="2" t="s">
        <v>228</v>
      </c>
      <c r="CE1285" s="4"/>
      <c r="CF1285" s="4">
        <v>3</v>
      </c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>
        <v>50</v>
      </c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>
        <v>22</v>
      </c>
      <c r="EP1285" s="4"/>
      <c r="EQ1285" s="4"/>
      <c r="ER1285" s="4"/>
      <c r="ES1285" s="4"/>
      <c r="ET1285" s="4"/>
      <c r="EU1285" s="4"/>
      <c r="EV1285" s="4"/>
      <c r="EW1285" s="4"/>
      <c r="EX1285" s="4"/>
      <c r="EY1285" s="4">
        <v>45</v>
      </c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>
        <v>7</v>
      </c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/>
      <c r="GS1285" s="4"/>
      <c r="GT1285" s="4"/>
      <c r="GU1285" s="4">
        <v>60</v>
      </c>
      <c r="GV1285" s="4"/>
      <c r="GW1285" s="4"/>
      <c r="GX1285" s="4"/>
      <c r="GY1285" s="4"/>
      <c r="GZ1285" s="4"/>
      <c r="HA1285" s="4"/>
      <c r="HB1285" s="4"/>
      <c r="HC1285" s="4"/>
      <c r="HD1285" s="4"/>
      <c r="HE1285" s="4"/>
    </row>
    <row r="1286">
      <c r="A1286" s="2" t="s">
        <v>6676</v>
      </c>
      <c r="B1286" s="2" t="s">
        <v>1150</v>
      </c>
      <c r="C1286" s="2" t="s">
        <v>835</v>
      </c>
      <c r="D1286" s="2" t="s">
        <v>3290</v>
      </c>
      <c r="E1286" s="2" t="s">
        <v>6677</v>
      </c>
      <c r="F1286" s="2" t="s">
        <v>3003</v>
      </c>
      <c r="G1286" s="2" t="s">
        <v>3003</v>
      </c>
      <c r="H1286" s="2" t="s">
        <v>3003</v>
      </c>
      <c r="I1286" s="2" t="s">
        <v>6678</v>
      </c>
      <c r="J1286" s="2" t="s">
        <v>3325</v>
      </c>
      <c r="K1286" s="2" t="s">
        <v>251</v>
      </c>
      <c r="L1286" s="3">
        <v>14.85</v>
      </c>
      <c r="M1286" s="3">
        <v>15.59</v>
      </c>
      <c r="N1286" s="3">
        <v>32.99</v>
      </c>
      <c r="O1286" s="2" t="s">
        <v>240</v>
      </c>
      <c r="P1286" s="2" t="s">
        <v>922</v>
      </c>
      <c r="Q1286" s="2" t="s">
        <v>234</v>
      </c>
      <c r="R1286" s="2" t="s">
        <v>228</v>
      </c>
      <c r="S1286" s="2" t="s">
        <v>6679</v>
      </c>
      <c r="T1286" s="2" t="s">
        <v>228</v>
      </c>
      <c r="U1286" s="2" t="s">
        <v>228</v>
      </c>
      <c r="V1286" s="2" t="s">
        <v>5029</v>
      </c>
      <c r="W1286" s="2" t="s">
        <v>269</v>
      </c>
      <c r="X1286" s="2" t="s">
        <v>843</v>
      </c>
      <c r="Y1286" s="2" t="s">
        <v>270</v>
      </c>
      <c r="Z1286" s="4"/>
      <c r="AA1286" s="4">
        <f>=ROUNDDOWN({0},0)</f>
      </c>
      <c r="AB1286" s="5">
        <v>1.7</v>
      </c>
      <c r="AC1286" s="2" t="s">
        <v>228</v>
      </c>
      <c r="AD1286" s="4"/>
      <c r="AE1286" s="4"/>
      <c r="AF1286" s="6">
        <v>65</v>
      </c>
      <c r="AG1286" s="6">
        <v>48</v>
      </c>
      <c r="AH1286" s="7">
        <v>0</v>
      </c>
      <c r="AI1286" s="4"/>
      <c r="AJ1286" s="4">
        <f>=ROUNDDOWN({0},0)</f>
      </c>
      <c r="AK1286" s="5"/>
      <c r="AL1286" s="2" t="s">
        <v>228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/>
      <c r="AW1286" s="8"/>
      <c r="AX1286" s="4"/>
      <c r="AY1286" s="8"/>
      <c r="AZ1286" s="7"/>
      <c r="BA1286" s="7"/>
      <c r="BB1286" s="7"/>
      <c r="BC1286" s="4" t="s">
        <v>228</v>
      </c>
      <c r="BD1286" s="8" t="s">
        <v>228</v>
      </c>
      <c r="BE1286" s="4" t="s">
        <v>228</v>
      </c>
      <c r="BF1286" s="8" t="s">
        <v>228</v>
      </c>
      <c r="BG1286" s="7" t="s">
        <v>228</v>
      </c>
      <c r="BH1286" s="7" t="s">
        <v>228</v>
      </c>
      <c r="BI1286" s="7"/>
      <c r="BJ1286" s="4"/>
      <c r="BK1286" s="8"/>
      <c r="BL1286" s="2" t="s">
        <v>6680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6681</v>
      </c>
      <c r="BV1286" s="2" t="s">
        <v>228</v>
      </c>
      <c r="BW1286" s="2" t="s">
        <v>228</v>
      </c>
      <c r="BX1286" s="2" t="s">
        <v>337</v>
      </c>
      <c r="BY1286" s="2" t="s">
        <v>274</v>
      </c>
      <c r="BZ1286" s="2" t="s">
        <v>240</v>
      </c>
      <c r="CA1286" s="2" t="s">
        <v>275</v>
      </c>
      <c r="CB1286" s="2" t="s">
        <v>6252</v>
      </c>
      <c r="CC1286" s="2" t="s">
        <v>241</v>
      </c>
      <c r="CD1286" s="2" t="s">
        <v>228</v>
      </c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  <c r="GS1286" s="4"/>
      <c r="GT1286" s="4"/>
      <c r="GU1286" s="4"/>
      <c r="GV1286" s="4"/>
      <c r="GW1286" s="4"/>
      <c r="GX1286" s="4"/>
      <c r="GY1286" s="4"/>
      <c r="GZ1286" s="4"/>
      <c r="HA1286" s="4"/>
      <c r="HB1286" s="4"/>
      <c r="HC1286" s="4"/>
      <c r="HD1286" s="4"/>
      <c r="HE1286" s="4"/>
    </row>
    <row r="1287">
      <c r="A1287" s="2" t="s">
        <v>6682</v>
      </c>
      <c r="B1287" s="2" t="s">
        <v>223</v>
      </c>
      <c r="C1287" s="2" t="s">
        <v>4000</v>
      </c>
      <c r="D1287" s="2" t="s">
        <v>1407</v>
      </c>
      <c r="E1287" s="2" t="s">
        <v>1408</v>
      </c>
      <c r="F1287" s="2" t="s">
        <v>6683</v>
      </c>
      <c r="G1287" s="2" t="s">
        <v>6684</v>
      </c>
      <c r="H1287" s="2" t="s">
        <v>6684</v>
      </c>
      <c r="I1287" s="2" t="s">
        <v>6685</v>
      </c>
      <c r="J1287" s="2" t="s">
        <v>4972</v>
      </c>
      <c r="K1287" s="2" t="s">
        <v>1390</v>
      </c>
      <c r="L1287" s="3">
        <v>36</v>
      </c>
      <c r="M1287" s="3">
        <v>37.8</v>
      </c>
      <c r="N1287" s="3">
        <v>74.99</v>
      </c>
      <c r="O1287" s="2" t="s">
        <v>461</v>
      </c>
      <c r="P1287" s="2" t="s">
        <v>922</v>
      </c>
      <c r="Q1287" s="2" t="s">
        <v>234</v>
      </c>
      <c r="R1287" s="2" t="s">
        <v>228</v>
      </c>
      <c r="S1287" s="2" t="s">
        <v>6686</v>
      </c>
      <c r="T1287" s="2" t="s">
        <v>3112</v>
      </c>
      <c r="U1287" s="2" t="s">
        <v>416</v>
      </c>
      <c r="V1287" s="2" t="s">
        <v>1438</v>
      </c>
      <c r="W1287" s="2" t="s">
        <v>1267</v>
      </c>
      <c r="X1287" s="2" t="s">
        <v>1268</v>
      </c>
      <c r="Y1287" s="2" t="s">
        <v>6687</v>
      </c>
      <c r="Z1287" s="4">
        <v>251</v>
      </c>
      <c r="AA1287" s="4">
        <f>=ROUNDDOWN(35.8571428571429,0)</f>
      </c>
      <c r="AB1287" s="5">
        <v>7</v>
      </c>
      <c r="AC1287" s="2" t="s">
        <v>228</v>
      </c>
      <c r="AD1287" s="4"/>
      <c r="AE1287" s="4"/>
      <c r="AF1287" s="6">
        <v>61</v>
      </c>
      <c r="AG1287" s="6"/>
      <c r="AH1287" s="7">
        <v>1</v>
      </c>
      <c r="AI1287" s="4"/>
      <c r="AJ1287" s="4">
        <f>=ROUNDDOWN({0},0)</f>
      </c>
      <c r="AK1287" s="5"/>
      <c r="AL1287" s="2" t="s">
        <v>228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/>
      <c r="AW1287" s="8"/>
      <c r="AX1287" s="4"/>
      <c r="AY1287" s="8"/>
      <c r="AZ1287" s="7"/>
      <c r="BA1287" s="7"/>
      <c r="BB1287" s="7"/>
      <c r="BC1287" s="4"/>
      <c r="BD1287" s="8"/>
      <c r="BE1287" s="4"/>
      <c r="BF1287" s="8"/>
      <c r="BG1287" s="7"/>
      <c r="BH1287" s="7"/>
      <c r="BI1287" s="7"/>
      <c r="BJ1287" s="4">
        <v>18</v>
      </c>
      <c r="BK1287" s="8">
        <v>554.36</v>
      </c>
      <c r="BL1287" s="2" t="s">
        <v>6688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6689</v>
      </c>
      <c r="BV1287" s="2" t="s">
        <v>228</v>
      </c>
      <c r="BW1287" s="2" t="s">
        <v>228</v>
      </c>
      <c r="BX1287" s="2" t="s">
        <v>337</v>
      </c>
      <c r="BY1287" s="2" t="s">
        <v>274</v>
      </c>
      <c r="BZ1287" s="2" t="s">
        <v>240</v>
      </c>
      <c r="CA1287" s="2" t="s">
        <v>6690</v>
      </c>
      <c r="CB1287" s="2" t="s">
        <v>6691</v>
      </c>
      <c r="CC1287" s="2" t="s">
        <v>241</v>
      </c>
      <c r="CD1287" s="2" t="s">
        <v>228</v>
      </c>
      <c r="CE1287" s="4">
        <v>251</v>
      </c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  <c r="GS1287" s="4"/>
      <c r="GT1287" s="4"/>
      <c r="GU1287" s="4"/>
      <c r="GV1287" s="4"/>
      <c r="GW1287" s="4"/>
      <c r="GX1287" s="4"/>
      <c r="GY1287" s="4"/>
      <c r="GZ1287" s="4"/>
      <c r="HA1287" s="4"/>
      <c r="HB1287" s="4"/>
      <c r="HC1287" s="4"/>
      <c r="HD1287" s="4"/>
      <c r="HE1287" s="4"/>
    </row>
    <row r="1288">
      <c r="A1288" s="2" t="s">
        <v>6692</v>
      </c>
      <c r="B1288" s="2" t="s">
        <v>958</v>
      </c>
      <c r="C1288" s="2" t="s">
        <v>885</v>
      </c>
      <c r="D1288" s="2" t="s">
        <v>959</v>
      </c>
      <c r="E1288" s="2" t="s">
        <v>238</v>
      </c>
      <c r="F1288" s="2" t="s">
        <v>6693</v>
      </c>
      <c r="G1288" s="2" t="s">
        <v>6693</v>
      </c>
      <c r="H1288" s="2" t="s">
        <v>6693</v>
      </c>
      <c r="I1288" s="2" t="s">
        <v>6694</v>
      </c>
      <c r="J1288" s="2" t="s">
        <v>840</v>
      </c>
      <c r="K1288" s="2" t="s">
        <v>2350</v>
      </c>
      <c r="L1288" s="3">
        <v>214.2</v>
      </c>
      <c r="M1288" s="3">
        <v>224.91</v>
      </c>
      <c r="N1288" s="3">
        <v>449</v>
      </c>
      <c r="O1288" s="2" t="s">
        <v>461</v>
      </c>
      <c r="P1288" s="2" t="s">
        <v>333</v>
      </c>
      <c r="Q1288" s="2" t="s">
        <v>234</v>
      </c>
      <c r="R1288" s="2" t="s">
        <v>228</v>
      </c>
      <c r="S1288" s="2" t="s">
        <v>228</v>
      </c>
      <c r="T1288" s="2" t="s">
        <v>228</v>
      </c>
      <c r="U1288" s="2" t="s">
        <v>416</v>
      </c>
      <c r="V1288" s="2" t="s">
        <v>842</v>
      </c>
      <c r="W1288" s="2" t="s">
        <v>463</v>
      </c>
      <c r="X1288" s="2" t="s">
        <v>892</v>
      </c>
      <c r="Y1288" s="2" t="s">
        <v>6695</v>
      </c>
      <c r="Z1288" s="4">
        <v>92</v>
      </c>
      <c r="AA1288" s="4">
        <f>=ROUNDDOWN(46,0)</f>
      </c>
      <c r="AB1288" s="5">
        <v>2</v>
      </c>
      <c r="AC1288" s="2" t="s">
        <v>228</v>
      </c>
      <c r="AD1288" s="4"/>
      <c r="AE1288" s="4"/>
      <c r="AF1288" s="6">
        <v>74</v>
      </c>
      <c r="AG1288" s="6"/>
      <c r="AH1288" s="7">
        <v>1</v>
      </c>
      <c r="AI1288" s="4"/>
      <c r="AJ1288" s="4">
        <f>=ROUNDDOWN({0},0)</f>
      </c>
      <c r="AK1288" s="5"/>
      <c r="AL1288" s="2" t="s">
        <v>228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/>
      <c r="AW1288" s="8"/>
      <c r="AX1288" s="4"/>
      <c r="AY1288" s="8"/>
      <c r="AZ1288" s="7"/>
      <c r="BA1288" s="7"/>
      <c r="BB1288" s="7"/>
      <c r="BC1288" s="4"/>
      <c r="BD1288" s="8"/>
      <c r="BE1288" s="4"/>
      <c r="BF1288" s="8"/>
      <c r="BG1288" s="7"/>
      <c r="BH1288" s="7"/>
      <c r="BI1288" s="7"/>
      <c r="BJ1288" s="4">
        <v>4</v>
      </c>
      <c r="BK1288" s="8">
        <v>463.32</v>
      </c>
      <c r="BL1288" s="2" t="s">
        <v>3281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6696</v>
      </c>
      <c r="BV1288" s="2" t="s">
        <v>228</v>
      </c>
      <c r="BW1288" s="2" t="s">
        <v>228</v>
      </c>
      <c r="BX1288" s="2" t="s">
        <v>337</v>
      </c>
      <c r="BY1288" s="2" t="s">
        <v>274</v>
      </c>
      <c r="BZ1288" s="2" t="s">
        <v>240</v>
      </c>
      <c r="CA1288" s="2" t="s">
        <v>6695</v>
      </c>
      <c r="CB1288" s="2" t="s">
        <v>6697</v>
      </c>
      <c r="CC1288" s="2" t="s">
        <v>241</v>
      </c>
      <c r="CD1288" s="2" t="s">
        <v>228</v>
      </c>
      <c r="CE1288" s="4"/>
      <c r="CF1288" s="4">
        <v>92</v>
      </c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/>
      <c r="GR1288" s="4"/>
      <c r="GS1288" s="4"/>
      <c r="GT1288" s="4"/>
      <c r="GU1288" s="4"/>
      <c r="GV1288" s="4"/>
      <c r="GW1288" s="4"/>
      <c r="GX1288" s="4"/>
      <c r="GY1288" s="4"/>
      <c r="GZ1288" s="4"/>
      <c r="HA1288" s="4"/>
      <c r="HB1288" s="4"/>
      <c r="HC1288" s="4"/>
      <c r="HD1288" s="4"/>
      <c r="HE1288" s="4"/>
    </row>
    <row r="1289">
      <c r="A1289" s="2" t="s">
        <v>6698</v>
      </c>
      <c r="B1289" s="2" t="s">
        <v>958</v>
      </c>
      <c r="C1289" s="2" t="s">
        <v>835</v>
      </c>
      <c r="D1289" s="2" t="s">
        <v>1257</v>
      </c>
      <c r="E1289" s="2" t="s">
        <v>2091</v>
      </c>
      <c r="F1289" s="2" t="s">
        <v>6699</v>
      </c>
      <c r="G1289" s="2" t="s">
        <v>6699</v>
      </c>
      <c r="H1289" s="2" t="s">
        <v>6699</v>
      </c>
      <c r="I1289" s="2" t="s">
        <v>6700</v>
      </c>
      <c r="J1289" s="2" t="s">
        <v>840</v>
      </c>
      <c r="K1289" s="2" t="s">
        <v>1357</v>
      </c>
      <c r="L1289" s="3">
        <v>430</v>
      </c>
      <c r="M1289" s="3">
        <v>451.5</v>
      </c>
      <c r="N1289" s="3">
        <v>899</v>
      </c>
      <c r="O1289" s="2" t="s">
        <v>240</v>
      </c>
      <c r="P1289" s="2" t="s">
        <v>1012</v>
      </c>
      <c r="Q1289" s="2" t="s">
        <v>234</v>
      </c>
      <c r="R1289" s="2" t="s">
        <v>228</v>
      </c>
      <c r="S1289" s="2" t="s">
        <v>228</v>
      </c>
      <c r="T1289" s="2" t="s">
        <v>228</v>
      </c>
      <c r="U1289" s="2" t="s">
        <v>416</v>
      </c>
      <c r="V1289" s="2" t="s">
        <v>842</v>
      </c>
      <c r="W1289" s="2" t="s">
        <v>843</v>
      </c>
      <c r="X1289" s="2" t="s">
        <v>417</v>
      </c>
      <c r="Y1289" s="2" t="s">
        <v>2190</v>
      </c>
      <c r="Z1289" s="4">
        <v>109</v>
      </c>
      <c r="AA1289" s="4">
        <f>=ROUNDDOWN(54.5,0)</f>
      </c>
      <c r="AB1289" s="5">
        <v>2</v>
      </c>
      <c r="AC1289" s="2" t="s">
        <v>228</v>
      </c>
      <c r="AD1289" s="4"/>
      <c r="AE1289" s="4"/>
      <c r="AF1289" s="6">
        <v>74</v>
      </c>
      <c r="AG1289" s="6"/>
      <c r="AH1289" s="7">
        <v>1</v>
      </c>
      <c r="AI1289" s="4"/>
      <c r="AJ1289" s="4">
        <f>=ROUNDDOWN({0},0)</f>
      </c>
      <c r="AK1289" s="5"/>
      <c r="AL1289" s="2" t="s">
        <v>228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/>
      <c r="AW1289" s="8"/>
      <c r="AX1289" s="4"/>
      <c r="AY1289" s="8"/>
      <c r="AZ1289" s="7"/>
      <c r="BA1289" s="7"/>
      <c r="BB1289" s="7"/>
      <c r="BC1289" s="4"/>
      <c r="BD1289" s="8"/>
      <c r="BE1289" s="4"/>
      <c r="BF1289" s="8"/>
      <c r="BG1289" s="7"/>
      <c r="BH1289" s="7"/>
      <c r="BI1289" s="7"/>
      <c r="BJ1289" s="4">
        <v>7</v>
      </c>
      <c r="BK1289" s="8">
        <v>3229.49</v>
      </c>
      <c r="BL1289" s="2" t="s">
        <v>2978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6701</v>
      </c>
      <c r="BV1289" s="2" t="s">
        <v>228</v>
      </c>
      <c r="BW1289" s="2" t="s">
        <v>228</v>
      </c>
      <c r="BX1289" s="2" t="s">
        <v>273</v>
      </c>
      <c r="BY1289" s="2" t="s">
        <v>274</v>
      </c>
      <c r="BZ1289" s="2" t="s">
        <v>240</v>
      </c>
      <c r="CA1289" s="2" t="s">
        <v>2811</v>
      </c>
      <c r="CB1289" s="2" t="s">
        <v>2491</v>
      </c>
      <c r="CC1289" s="2" t="s">
        <v>241</v>
      </c>
      <c r="CD1289" s="2" t="s">
        <v>228</v>
      </c>
      <c r="CE1289" s="4"/>
      <c r="CF1289" s="4">
        <v>109</v>
      </c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/>
      <c r="GV1289" s="4"/>
      <c r="GW1289" s="4"/>
      <c r="GX1289" s="4"/>
      <c r="GY1289" s="4"/>
      <c r="GZ1289" s="4"/>
      <c r="HA1289" s="4"/>
      <c r="HB1289" s="4"/>
      <c r="HC1289" s="4"/>
      <c r="HD1289" s="4"/>
      <c r="HE1289" s="4"/>
    </row>
    <row r="1290">
      <c r="A1290" s="2" t="s">
        <v>6702</v>
      </c>
      <c r="B1290" s="2" t="s">
        <v>1276</v>
      </c>
      <c r="C1290" s="2" t="s">
        <v>300</v>
      </c>
      <c r="D1290" s="2" t="s">
        <v>1276</v>
      </c>
      <c r="E1290" s="2" t="s">
        <v>1276</v>
      </c>
      <c r="F1290" s="2" t="s">
        <v>6703</v>
      </c>
      <c r="G1290" s="2" t="s">
        <v>1843</v>
      </c>
      <c r="H1290" s="2" t="s">
        <v>6704</v>
      </c>
      <c r="I1290" s="2" t="s">
        <v>6705</v>
      </c>
      <c r="J1290" s="2" t="s">
        <v>3202</v>
      </c>
      <c r="K1290" s="2" t="s">
        <v>5244</v>
      </c>
      <c r="L1290" s="3">
        <v>37</v>
      </c>
      <c r="M1290" s="3">
        <v>38.85</v>
      </c>
      <c r="N1290" s="3">
        <v>79.99</v>
      </c>
      <c r="O1290" s="2" t="s">
        <v>491</v>
      </c>
      <c r="P1290" s="2" t="s">
        <v>333</v>
      </c>
      <c r="Q1290" s="2" t="s">
        <v>234</v>
      </c>
      <c r="R1290" s="2" t="s">
        <v>228</v>
      </c>
      <c r="S1290" s="2" t="s">
        <v>6706</v>
      </c>
      <c r="T1290" s="2" t="s">
        <v>228</v>
      </c>
      <c r="U1290" s="2" t="s">
        <v>416</v>
      </c>
      <c r="V1290" s="2" t="s">
        <v>1737</v>
      </c>
      <c r="W1290" s="2" t="s">
        <v>743</v>
      </c>
      <c r="X1290" s="2" t="s">
        <v>228</v>
      </c>
      <c r="Y1290" s="2" t="s">
        <v>5351</v>
      </c>
      <c r="Z1290" s="4">
        <v>33</v>
      </c>
      <c r="AA1290" s="4">
        <f>=ROUNDDOWN({0},0)</f>
      </c>
      <c r="AB1290" s="5"/>
      <c r="AC1290" s="2" t="s">
        <v>228</v>
      </c>
      <c r="AD1290" s="4"/>
      <c r="AE1290" s="4"/>
      <c r="AF1290" s="6">
        <v>63</v>
      </c>
      <c r="AG1290" s="6"/>
      <c r="AH1290" s="7">
        <v>0.9355</v>
      </c>
      <c r="AI1290" s="4"/>
      <c r="AJ1290" s="4">
        <f>=ROUNDDOWN({0},0)</f>
      </c>
      <c r="AK1290" s="5"/>
      <c r="AL1290" s="2" t="s">
        <v>228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 t="s">
        <v>228</v>
      </c>
      <c r="AW1290" s="8" t="s">
        <v>228</v>
      </c>
      <c r="AX1290" s="4" t="s">
        <v>228</v>
      </c>
      <c r="AY1290" s="8" t="s">
        <v>228</v>
      </c>
      <c r="AZ1290" s="7" t="s">
        <v>228</v>
      </c>
      <c r="BA1290" s="7" t="s">
        <v>228</v>
      </c>
      <c r="BB1290" s="7"/>
      <c r="BC1290" s="4" t="s">
        <v>228</v>
      </c>
      <c r="BD1290" s="8" t="s">
        <v>228</v>
      </c>
      <c r="BE1290" s="4" t="s">
        <v>228</v>
      </c>
      <c r="BF1290" s="8" t="s">
        <v>228</v>
      </c>
      <c r="BG1290" s="7" t="s">
        <v>228</v>
      </c>
      <c r="BH1290" s="7" t="s">
        <v>228</v>
      </c>
      <c r="BI1290" s="7"/>
      <c r="BJ1290" s="4"/>
      <c r="BK1290" s="8"/>
      <c r="BL1290" s="2" t="s">
        <v>228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6707</v>
      </c>
      <c r="BV1290" s="2" t="s">
        <v>228</v>
      </c>
      <c r="BW1290" s="2" t="s">
        <v>228</v>
      </c>
      <c r="BX1290" s="2" t="s">
        <v>337</v>
      </c>
      <c r="BY1290" s="2" t="s">
        <v>274</v>
      </c>
      <c r="BZ1290" s="2" t="s">
        <v>240</v>
      </c>
      <c r="CA1290" s="2" t="s">
        <v>5353</v>
      </c>
      <c r="CB1290" s="2" t="s">
        <v>228</v>
      </c>
      <c r="CC1290" s="2" t="s">
        <v>241</v>
      </c>
      <c r="CD1290" s="2" t="s">
        <v>228</v>
      </c>
      <c r="CE1290" s="4"/>
      <c r="CF1290" s="4">
        <v>33</v>
      </c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  <c r="GG1290" s="4"/>
      <c r="GH1290" s="4"/>
      <c r="GI1290" s="4"/>
      <c r="GJ1290" s="4"/>
      <c r="GK1290" s="4"/>
      <c r="GL1290" s="4"/>
      <c r="GM1290" s="4"/>
      <c r="GN1290" s="4"/>
      <c r="GO1290" s="4"/>
      <c r="GP1290" s="4"/>
      <c r="GQ1290" s="4"/>
      <c r="GR1290" s="4"/>
      <c r="GS1290" s="4"/>
      <c r="GT1290" s="4"/>
      <c r="GU1290" s="4"/>
      <c r="GV1290" s="4"/>
      <c r="GW1290" s="4"/>
      <c r="GX1290" s="4"/>
      <c r="GY1290" s="4"/>
      <c r="GZ1290" s="4"/>
      <c r="HA1290" s="4"/>
      <c r="HB1290" s="4"/>
      <c r="HC1290" s="4"/>
      <c r="HD1290" s="4"/>
      <c r="HE1290" s="4"/>
    </row>
    <row r="1291">
      <c r="A1291" s="2" t="s">
        <v>6708</v>
      </c>
      <c r="B1291" s="2" t="s">
        <v>1276</v>
      </c>
      <c r="C1291" s="2" t="s">
        <v>300</v>
      </c>
      <c r="D1291" s="2" t="s">
        <v>1276</v>
      </c>
      <c r="E1291" s="2" t="s">
        <v>1276</v>
      </c>
      <c r="F1291" s="2" t="s">
        <v>6703</v>
      </c>
      <c r="G1291" s="2" t="s">
        <v>1843</v>
      </c>
      <c r="H1291" s="2" t="s">
        <v>6704</v>
      </c>
      <c r="I1291" s="2" t="s">
        <v>6705</v>
      </c>
      <c r="J1291" s="2" t="s">
        <v>6709</v>
      </c>
      <c r="K1291" s="2" t="s">
        <v>5244</v>
      </c>
      <c r="L1291" s="3">
        <v>25.5</v>
      </c>
      <c r="M1291" s="3">
        <v>26.78</v>
      </c>
      <c r="N1291" s="3">
        <v>59.99</v>
      </c>
      <c r="O1291" s="2" t="s">
        <v>461</v>
      </c>
      <c r="P1291" s="2" t="s">
        <v>333</v>
      </c>
      <c r="Q1291" s="2" t="s">
        <v>234</v>
      </c>
      <c r="R1291" s="2" t="s">
        <v>228</v>
      </c>
      <c r="S1291" s="2" t="s">
        <v>6706</v>
      </c>
      <c r="T1291" s="2" t="s">
        <v>228</v>
      </c>
      <c r="U1291" s="2" t="s">
        <v>416</v>
      </c>
      <c r="V1291" s="2" t="s">
        <v>1737</v>
      </c>
      <c r="W1291" s="2" t="s">
        <v>743</v>
      </c>
      <c r="X1291" s="2" t="s">
        <v>228</v>
      </c>
      <c r="Y1291" s="2" t="s">
        <v>5351</v>
      </c>
      <c r="Z1291" s="4">
        <v>36</v>
      </c>
      <c r="AA1291" s="4">
        <f>=ROUNDDOWN({0},0)</f>
      </c>
      <c r="AB1291" s="5"/>
      <c r="AC1291" s="2" t="s">
        <v>228</v>
      </c>
      <c r="AD1291" s="4"/>
      <c r="AE1291" s="4"/>
      <c r="AF1291" s="6">
        <v>63</v>
      </c>
      <c r="AG1291" s="6"/>
      <c r="AH1291" s="7">
        <v>1</v>
      </c>
      <c r="AI1291" s="4"/>
      <c r="AJ1291" s="4">
        <f>=ROUNDDOWN({0},0)</f>
      </c>
      <c r="AK1291" s="5"/>
      <c r="AL1291" s="2" t="s">
        <v>228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 t="s">
        <v>228</v>
      </c>
      <c r="AW1291" s="8" t="s">
        <v>228</v>
      </c>
      <c r="AX1291" s="4" t="s">
        <v>228</v>
      </c>
      <c r="AY1291" s="8" t="s">
        <v>228</v>
      </c>
      <c r="AZ1291" s="7" t="s">
        <v>228</v>
      </c>
      <c r="BA1291" s="7" t="s">
        <v>228</v>
      </c>
      <c r="BB1291" s="7"/>
      <c r="BC1291" s="4" t="s">
        <v>228</v>
      </c>
      <c r="BD1291" s="8" t="s">
        <v>228</v>
      </c>
      <c r="BE1291" s="4" t="s">
        <v>228</v>
      </c>
      <c r="BF1291" s="8" t="s">
        <v>228</v>
      </c>
      <c r="BG1291" s="7" t="s">
        <v>228</v>
      </c>
      <c r="BH1291" s="7" t="s">
        <v>228</v>
      </c>
      <c r="BI1291" s="7"/>
      <c r="BJ1291" s="4">
        <v>2</v>
      </c>
      <c r="BK1291" s="8">
        <v>58.64</v>
      </c>
      <c r="BL1291" s="2" t="s">
        <v>727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6710</v>
      </c>
      <c r="BV1291" s="2" t="s">
        <v>228</v>
      </c>
      <c r="BW1291" s="2" t="s">
        <v>228</v>
      </c>
      <c r="BX1291" s="2" t="s">
        <v>337</v>
      </c>
      <c r="BY1291" s="2" t="s">
        <v>274</v>
      </c>
      <c r="BZ1291" s="2" t="s">
        <v>240</v>
      </c>
      <c r="CA1291" s="2" t="s">
        <v>5353</v>
      </c>
      <c r="CB1291" s="2" t="s">
        <v>228</v>
      </c>
      <c r="CC1291" s="2" t="s">
        <v>241</v>
      </c>
      <c r="CD1291" s="2" t="s">
        <v>228</v>
      </c>
      <c r="CE1291" s="4"/>
      <c r="CF1291" s="4">
        <v>36</v>
      </c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4"/>
      <c r="GT1291" s="4"/>
      <c r="GU1291" s="4"/>
      <c r="GV1291" s="4"/>
      <c r="GW1291" s="4"/>
      <c r="GX1291" s="4"/>
      <c r="GY1291" s="4"/>
      <c r="GZ1291" s="4"/>
      <c r="HA1291" s="4"/>
      <c r="HB1291" s="4"/>
      <c r="HC1291" s="4"/>
      <c r="HD1291" s="4"/>
      <c r="HE1291" s="4"/>
    </row>
    <row r="1292">
      <c r="A1292" s="2" t="s">
        <v>6711</v>
      </c>
      <c r="B1292" s="2" t="s">
        <v>1276</v>
      </c>
      <c r="C1292" s="2" t="s">
        <v>300</v>
      </c>
      <c r="D1292" s="2" t="s">
        <v>1276</v>
      </c>
      <c r="E1292" s="2" t="s">
        <v>1276</v>
      </c>
      <c r="F1292" s="2" t="s">
        <v>6703</v>
      </c>
      <c r="G1292" s="2" t="s">
        <v>1843</v>
      </c>
      <c r="H1292" s="2" t="s">
        <v>6704</v>
      </c>
      <c r="I1292" s="2" t="s">
        <v>6705</v>
      </c>
      <c r="J1292" s="2" t="s">
        <v>1711</v>
      </c>
      <c r="K1292" s="2" t="s">
        <v>5244</v>
      </c>
      <c r="L1292" s="3">
        <v>70</v>
      </c>
      <c r="M1292" s="3">
        <v>73.5</v>
      </c>
      <c r="N1292" s="3">
        <v>159.99</v>
      </c>
      <c r="O1292" s="2" t="s">
        <v>461</v>
      </c>
      <c r="P1292" s="2" t="s">
        <v>333</v>
      </c>
      <c r="Q1292" s="2" t="s">
        <v>234</v>
      </c>
      <c r="R1292" s="2" t="s">
        <v>228</v>
      </c>
      <c r="S1292" s="2" t="s">
        <v>6706</v>
      </c>
      <c r="T1292" s="2" t="s">
        <v>228</v>
      </c>
      <c r="U1292" s="2" t="s">
        <v>416</v>
      </c>
      <c r="V1292" s="2" t="s">
        <v>1737</v>
      </c>
      <c r="W1292" s="2" t="s">
        <v>743</v>
      </c>
      <c r="X1292" s="2" t="s">
        <v>228</v>
      </c>
      <c r="Y1292" s="2" t="s">
        <v>5351</v>
      </c>
      <c r="Z1292" s="4">
        <v>40</v>
      </c>
      <c r="AA1292" s="4">
        <f>=ROUNDDOWN({0},0)</f>
      </c>
      <c r="AB1292" s="5"/>
      <c r="AC1292" s="2" t="s">
        <v>228</v>
      </c>
      <c r="AD1292" s="4"/>
      <c r="AE1292" s="4"/>
      <c r="AF1292" s="6">
        <v>63</v>
      </c>
      <c r="AG1292" s="6"/>
      <c r="AH1292" s="7">
        <v>1</v>
      </c>
      <c r="AI1292" s="4"/>
      <c r="AJ1292" s="4">
        <f>=ROUNDDOWN({0},0)</f>
      </c>
      <c r="AK1292" s="5"/>
      <c r="AL1292" s="2" t="s">
        <v>228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 t="s">
        <v>228</v>
      </c>
      <c r="AW1292" s="8" t="s">
        <v>228</v>
      </c>
      <c r="AX1292" s="4" t="s">
        <v>228</v>
      </c>
      <c r="AY1292" s="8" t="s">
        <v>228</v>
      </c>
      <c r="AZ1292" s="7" t="s">
        <v>228</v>
      </c>
      <c r="BA1292" s="7" t="s">
        <v>228</v>
      </c>
      <c r="BB1292" s="7"/>
      <c r="BC1292" s="4" t="s">
        <v>228</v>
      </c>
      <c r="BD1292" s="8" t="s">
        <v>228</v>
      </c>
      <c r="BE1292" s="4" t="s">
        <v>228</v>
      </c>
      <c r="BF1292" s="8" t="s">
        <v>228</v>
      </c>
      <c r="BG1292" s="7" t="s">
        <v>228</v>
      </c>
      <c r="BH1292" s="7" t="s">
        <v>228</v>
      </c>
      <c r="BI1292" s="7"/>
      <c r="BJ1292" s="4">
        <v>2</v>
      </c>
      <c r="BK1292" s="8">
        <v>161</v>
      </c>
      <c r="BL1292" s="2" t="s">
        <v>3169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6712</v>
      </c>
      <c r="BV1292" s="2" t="s">
        <v>228</v>
      </c>
      <c r="BW1292" s="2" t="s">
        <v>228</v>
      </c>
      <c r="BX1292" s="2" t="s">
        <v>337</v>
      </c>
      <c r="BY1292" s="2" t="s">
        <v>274</v>
      </c>
      <c r="BZ1292" s="2" t="s">
        <v>240</v>
      </c>
      <c r="CA1292" s="2" t="s">
        <v>5353</v>
      </c>
      <c r="CB1292" s="2" t="s">
        <v>228</v>
      </c>
      <c r="CC1292" s="2" t="s">
        <v>241</v>
      </c>
      <c r="CD1292" s="2" t="s">
        <v>228</v>
      </c>
      <c r="CE1292" s="4"/>
      <c r="CF1292" s="4">
        <v>40</v>
      </c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/>
      <c r="GY1292" s="4"/>
      <c r="GZ1292" s="4"/>
      <c r="HA1292" s="4"/>
      <c r="HB1292" s="4"/>
      <c r="HC1292" s="4"/>
      <c r="HD1292" s="4"/>
      <c r="HE1292" s="4"/>
    </row>
    <row r="1293">
      <c r="A1293" s="2" t="s">
        <v>6713</v>
      </c>
      <c r="B1293" s="2" t="s">
        <v>1276</v>
      </c>
      <c r="C1293" s="2" t="s">
        <v>300</v>
      </c>
      <c r="D1293" s="2" t="s">
        <v>1276</v>
      </c>
      <c r="E1293" s="2" t="s">
        <v>1276</v>
      </c>
      <c r="F1293" s="2" t="s">
        <v>6703</v>
      </c>
      <c r="G1293" s="2" t="s">
        <v>1843</v>
      </c>
      <c r="H1293" s="2" t="s">
        <v>6704</v>
      </c>
      <c r="I1293" s="2" t="s">
        <v>6705</v>
      </c>
      <c r="J1293" s="2" t="s">
        <v>1937</v>
      </c>
      <c r="K1293" s="2" t="s">
        <v>5244</v>
      </c>
      <c r="L1293" s="3">
        <v>150</v>
      </c>
      <c r="M1293" s="3">
        <v>157.5</v>
      </c>
      <c r="N1293" s="3">
        <v>319.98</v>
      </c>
      <c r="O1293" s="2" t="s">
        <v>461</v>
      </c>
      <c r="P1293" s="2" t="s">
        <v>333</v>
      </c>
      <c r="Q1293" s="2" t="s">
        <v>234</v>
      </c>
      <c r="R1293" s="2" t="s">
        <v>228</v>
      </c>
      <c r="S1293" s="2" t="s">
        <v>6706</v>
      </c>
      <c r="T1293" s="2" t="s">
        <v>228</v>
      </c>
      <c r="U1293" s="2" t="s">
        <v>416</v>
      </c>
      <c r="V1293" s="2" t="s">
        <v>1737</v>
      </c>
      <c r="W1293" s="2" t="s">
        <v>743</v>
      </c>
      <c r="X1293" s="2" t="s">
        <v>228</v>
      </c>
      <c r="Y1293" s="2" t="s">
        <v>5351</v>
      </c>
      <c r="Z1293" s="4">
        <v>103</v>
      </c>
      <c r="AA1293" s="4">
        <f>=ROUNDDOWN({0},0)</f>
      </c>
      <c r="AB1293" s="5"/>
      <c r="AC1293" s="2" t="s">
        <v>228</v>
      </c>
      <c r="AD1293" s="4"/>
      <c r="AE1293" s="4"/>
      <c r="AF1293" s="6">
        <v>63</v>
      </c>
      <c r="AG1293" s="6"/>
      <c r="AH1293" s="7">
        <v>1</v>
      </c>
      <c r="AI1293" s="4"/>
      <c r="AJ1293" s="4">
        <f>=ROUNDDOWN({0},0)</f>
      </c>
      <c r="AK1293" s="5"/>
      <c r="AL1293" s="2" t="s">
        <v>228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 t="s">
        <v>228</v>
      </c>
      <c r="AW1293" s="8" t="s">
        <v>228</v>
      </c>
      <c r="AX1293" s="4" t="s">
        <v>228</v>
      </c>
      <c r="AY1293" s="8" t="s">
        <v>228</v>
      </c>
      <c r="AZ1293" s="7" t="s">
        <v>228</v>
      </c>
      <c r="BA1293" s="7" t="s">
        <v>228</v>
      </c>
      <c r="BB1293" s="7"/>
      <c r="BC1293" s="4" t="s">
        <v>228</v>
      </c>
      <c r="BD1293" s="8" t="s">
        <v>228</v>
      </c>
      <c r="BE1293" s="4" t="s">
        <v>228</v>
      </c>
      <c r="BF1293" s="8" t="s">
        <v>228</v>
      </c>
      <c r="BG1293" s="7" t="s">
        <v>228</v>
      </c>
      <c r="BH1293" s="7" t="s">
        <v>228</v>
      </c>
      <c r="BI1293" s="7"/>
      <c r="BJ1293" s="4"/>
      <c r="BK1293" s="8"/>
      <c r="BL1293" s="2" t="s">
        <v>228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6714</v>
      </c>
      <c r="BV1293" s="2" t="s">
        <v>228</v>
      </c>
      <c r="BW1293" s="2" t="s">
        <v>228</v>
      </c>
      <c r="BX1293" s="2" t="s">
        <v>337</v>
      </c>
      <c r="BY1293" s="2" t="s">
        <v>274</v>
      </c>
      <c r="BZ1293" s="2" t="s">
        <v>240</v>
      </c>
      <c r="CA1293" s="2" t="s">
        <v>5353</v>
      </c>
      <c r="CB1293" s="2" t="s">
        <v>228</v>
      </c>
      <c r="CC1293" s="2" t="s">
        <v>241</v>
      </c>
      <c r="CD1293" s="2" t="s">
        <v>228</v>
      </c>
      <c r="CE1293" s="4"/>
      <c r="CF1293" s="4">
        <v>103</v>
      </c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4"/>
      <c r="GR1293" s="4"/>
      <c r="GS1293" s="4"/>
      <c r="GT1293" s="4"/>
      <c r="GU1293" s="4"/>
      <c r="GV1293" s="4"/>
      <c r="GW1293" s="4"/>
      <c r="GX1293" s="4"/>
      <c r="GY1293" s="4"/>
      <c r="GZ1293" s="4"/>
      <c r="HA1293" s="4"/>
      <c r="HB1293" s="4"/>
      <c r="HC1293" s="4"/>
      <c r="HD1293" s="4"/>
      <c r="HE1293" s="4"/>
    </row>
    <row r="1294">
      <c r="A1294" s="2" t="s">
        <v>6715</v>
      </c>
      <c r="B1294" s="2" t="s">
        <v>1150</v>
      </c>
      <c r="C1294" s="2" t="s">
        <v>731</v>
      </c>
      <c r="D1294" s="2" t="s">
        <v>1112</v>
      </c>
      <c r="E1294" s="2" t="s">
        <v>1165</v>
      </c>
      <c r="F1294" s="2" t="s">
        <v>6083</v>
      </c>
      <c r="G1294" s="2" t="s">
        <v>6083</v>
      </c>
      <c r="H1294" s="2" t="s">
        <v>6083</v>
      </c>
      <c r="I1294" s="2" t="s">
        <v>6716</v>
      </c>
      <c r="J1294" s="2" t="s">
        <v>1189</v>
      </c>
      <c r="K1294" s="2" t="s">
        <v>249</v>
      </c>
      <c r="L1294" s="3">
        <v>52.38</v>
      </c>
      <c r="M1294" s="3">
        <v>55</v>
      </c>
      <c r="N1294" s="3">
        <v>109.99</v>
      </c>
      <c r="O1294" s="2" t="s">
        <v>240</v>
      </c>
      <c r="P1294" s="2" t="s">
        <v>922</v>
      </c>
      <c r="Q1294" s="2" t="s">
        <v>234</v>
      </c>
      <c r="R1294" s="2" t="s">
        <v>228</v>
      </c>
      <c r="S1294" s="2" t="s">
        <v>6717</v>
      </c>
      <c r="T1294" s="2" t="s">
        <v>3400</v>
      </c>
      <c r="U1294" s="2" t="s">
        <v>1170</v>
      </c>
      <c r="V1294" s="2" t="s">
        <v>236</v>
      </c>
      <c r="W1294" s="2" t="s">
        <v>309</v>
      </c>
      <c r="X1294" s="2" t="s">
        <v>463</v>
      </c>
      <c r="Y1294" s="2" t="s">
        <v>6718</v>
      </c>
      <c r="Z1294" s="4"/>
      <c r="AA1294" s="4">
        <f>=ROUNDDOWN({0},0)</f>
      </c>
      <c r="AB1294" s="5"/>
      <c r="AC1294" s="2" t="s">
        <v>228</v>
      </c>
      <c r="AD1294" s="4"/>
      <c r="AE1294" s="4"/>
      <c r="AF1294" s="6"/>
      <c r="AG1294" s="6"/>
      <c r="AH1294" s="7">
        <v>0</v>
      </c>
      <c r="AI1294" s="4"/>
      <c r="AJ1294" s="4">
        <f>=ROUNDDOWN({0},0)</f>
      </c>
      <c r="AK1294" s="5"/>
      <c r="AL1294" s="2" t="s">
        <v>228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/>
      <c r="AW1294" s="8"/>
      <c r="AX1294" s="4"/>
      <c r="AY1294" s="8"/>
      <c r="AZ1294" s="7"/>
      <c r="BA1294" s="7"/>
      <c r="BB1294" s="7"/>
      <c r="BC1294" s="4" t="s">
        <v>228</v>
      </c>
      <c r="BD1294" s="8" t="s">
        <v>228</v>
      </c>
      <c r="BE1294" s="4" t="s">
        <v>228</v>
      </c>
      <c r="BF1294" s="8" t="s">
        <v>228</v>
      </c>
      <c r="BG1294" s="7" t="s">
        <v>228</v>
      </c>
      <c r="BH1294" s="7" t="s">
        <v>228</v>
      </c>
      <c r="BI1294" s="7"/>
      <c r="BJ1294" s="4"/>
      <c r="BK1294" s="8"/>
      <c r="BL1294" s="2" t="s">
        <v>465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6719</v>
      </c>
      <c r="BV1294" s="2" t="s">
        <v>228</v>
      </c>
      <c r="BW1294" s="2" t="s">
        <v>228</v>
      </c>
      <c r="BX1294" s="2" t="s">
        <v>337</v>
      </c>
      <c r="BY1294" s="2" t="s">
        <v>274</v>
      </c>
      <c r="BZ1294" s="2" t="s">
        <v>240</v>
      </c>
      <c r="CA1294" s="2" t="s">
        <v>1324</v>
      </c>
      <c r="CB1294" s="2" t="s">
        <v>5845</v>
      </c>
      <c r="CC1294" s="2" t="s">
        <v>241</v>
      </c>
      <c r="CD1294" s="2" t="s">
        <v>228</v>
      </c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  <c r="GQ1294" s="4"/>
      <c r="GR1294" s="4"/>
      <c r="GS1294" s="4"/>
      <c r="GT1294" s="4"/>
      <c r="GU1294" s="4"/>
      <c r="GV1294" s="4"/>
      <c r="GW1294" s="4"/>
      <c r="GX1294" s="4"/>
      <c r="GY1294" s="4"/>
      <c r="GZ1294" s="4"/>
      <c r="HA1294" s="4"/>
      <c r="HB1294" s="4"/>
      <c r="HC1294" s="4"/>
      <c r="HD1294" s="4"/>
      <c r="HE1294" s="4"/>
    </row>
    <row r="1295">
      <c r="A1295" s="2" t="s">
        <v>6720</v>
      </c>
      <c r="B1295" s="2" t="s">
        <v>1150</v>
      </c>
      <c r="C1295" s="2" t="s">
        <v>731</v>
      </c>
      <c r="D1295" s="2" t="s">
        <v>1112</v>
      </c>
      <c r="E1295" s="2" t="s">
        <v>1165</v>
      </c>
      <c r="F1295" s="2" t="s">
        <v>6083</v>
      </c>
      <c r="G1295" s="2" t="s">
        <v>6083</v>
      </c>
      <c r="H1295" s="2" t="s">
        <v>6083</v>
      </c>
      <c r="I1295" s="2" t="s">
        <v>6716</v>
      </c>
      <c r="J1295" s="2" t="s">
        <v>1189</v>
      </c>
      <c r="K1295" s="2" t="s">
        <v>480</v>
      </c>
      <c r="L1295" s="3">
        <v>52.38</v>
      </c>
      <c r="M1295" s="3">
        <v>55</v>
      </c>
      <c r="N1295" s="3">
        <v>109.99</v>
      </c>
      <c r="O1295" s="2" t="s">
        <v>240</v>
      </c>
      <c r="P1295" s="2" t="s">
        <v>922</v>
      </c>
      <c r="Q1295" s="2" t="s">
        <v>234</v>
      </c>
      <c r="R1295" s="2" t="s">
        <v>228</v>
      </c>
      <c r="S1295" s="2" t="s">
        <v>6721</v>
      </c>
      <c r="T1295" s="2" t="s">
        <v>3400</v>
      </c>
      <c r="U1295" s="2" t="s">
        <v>1170</v>
      </c>
      <c r="V1295" s="2" t="s">
        <v>236</v>
      </c>
      <c r="W1295" s="2" t="s">
        <v>309</v>
      </c>
      <c r="X1295" s="2" t="s">
        <v>463</v>
      </c>
      <c r="Y1295" s="2" t="s">
        <v>3831</v>
      </c>
      <c r="Z1295" s="4"/>
      <c r="AA1295" s="4">
        <f>=ROUNDDOWN({0},0)</f>
      </c>
      <c r="AB1295" s="5">
        <v>5</v>
      </c>
      <c r="AC1295" s="2" t="s">
        <v>228</v>
      </c>
      <c r="AD1295" s="4"/>
      <c r="AE1295" s="4"/>
      <c r="AF1295" s="6"/>
      <c r="AG1295" s="6"/>
      <c r="AH1295" s="7">
        <v>0</v>
      </c>
      <c r="AI1295" s="4"/>
      <c r="AJ1295" s="4">
        <f>=ROUNDDOWN({0},0)</f>
      </c>
      <c r="AK1295" s="5"/>
      <c r="AL1295" s="2" t="s">
        <v>228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/>
      <c r="AW1295" s="8"/>
      <c r="AX1295" s="4"/>
      <c r="AY1295" s="8"/>
      <c r="AZ1295" s="7"/>
      <c r="BA1295" s="7"/>
      <c r="BB1295" s="7"/>
      <c r="BC1295" s="4" t="s">
        <v>228</v>
      </c>
      <c r="BD1295" s="8" t="s">
        <v>228</v>
      </c>
      <c r="BE1295" s="4" t="s">
        <v>228</v>
      </c>
      <c r="BF1295" s="8" t="s">
        <v>228</v>
      </c>
      <c r="BG1295" s="7" t="s">
        <v>228</v>
      </c>
      <c r="BH1295" s="7" t="s">
        <v>228</v>
      </c>
      <c r="BI1295" s="7"/>
      <c r="BJ1295" s="4"/>
      <c r="BK1295" s="8"/>
      <c r="BL1295" s="2" t="s">
        <v>6722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6723</v>
      </c>
      <c r="BV1295" s="2" t="s">
        <v>228</v>
      </c>
      <c r="BW1295" s="2" t="s">
        <v>228</v>
      </c>
      <c r="BX1295" s="2" t="s">
        <v>337</v>
      </c>
      <c r="BY1295" s="2" t="s">
        <v>274</v>
      </c>
      <c r="BZ1295" s="2" t="s">
        <v>240</v>
      </c>
      <c r="CA1295" s="2" t="s">
        <v>1324</v>
      </c>
      <c r="CB1295" s="2" t="s">
        <v>1004</v>
      </c>
      <c r="CC1295" s="2" t="s">
        <v>241</v>
      </c>
      <c r="CD1295" s="2" t="s">
        <v>228</v>
      </c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/>
      <c r="GO1295" s="4"/>
      <c r="GP1295" s="4"/>
      <c r="GQ1295" s="4"/>
      <c r="GR1295" s="4"/>
      <c r="GS1295" s="4"/>
      <c r="GT1295" s="4"/>
      <c r="GU1295" s="4"/>
      <c r="GV1295" s="4"/>
      <c r="GW1295" s="4"/>
      <c r="GX1295" s="4"/>
      <c r="GY1295" s="4"/>
      <c r="GZ1295" s="4"/>
      <c r="HA1295" s="4"/>
      <c r="HB1295" s="4"/>
      <c r="HC1295" s="4"/>
      <c r="HD1295" s="4"/>
      <c r="HE1295" s="4"/>
    </row>
    <row r="1296">
      <c r="A1296" s="2" t="s">
        <v>6724</v>
      </c>
      <c r="B1296" s="2" t="s">
        <v>1150</v>
      </c>
      <c r="C1296" s="2" t="s">
        <v>345</v>
      </c>
      <c r="D1296" s="2" t="s">
        <v>1112</v>
      </c>
      <c r="E1296" s="2" t="s">
        <v>1151</v>
      </c>
      <c r="F1296" s="2" t="s">
        <v>1694</v>
      </c>
      <c r="G1296" s="2" t="s">
        <v>6725</v>
      </c>
      <c r="H1296" s="2" t="s">
        <v>6726</v>
      </c>
      <c r="I1296" s="2" t="s">
        <v>6727</v>
      </c>
      <c r="J1296" s="2" t="s">
        <v>264</v>
      </c>
      <c r="K1296" s="2" t="s">
        <v>6728</v>
      </c>
      <c r="L1296" s="3">
        <v>30.95</v>
      </c>
      <c r="M1296" s="3">
        <v>32.5</v>
      </c>
      <c r="N1296" s="3">
        <v>64.99</v>
      </c>
      <c r="O1296" s="2" t="s">
        <v>240</v>
      </c>
      <c r="P1296" s="2" t="s">
        <v>233</v>
      </c>
      <c r="Q1296" s="2" t="s">
        <v>234</v>
      </c>
      <c r="R1296" s="2" t="s">
        <v>228</v>
      </c>
      <c r="S1296" s="2" t="s">
        <v>6729</v>
      </c>
      <c r="T1296" s="2" t="s">
        <v>415</v>
      </c>
      <c r="U1296" s="2" t="s">
        <v>1170</v>
      </c>
      <c r="V1296" s="2" t="s">
        <v>374</v>
      </c>
      <c r="W1296" s="2" t="s">
        <v>269</v>
      </c>
      <c r="X1296" s="2" t="s">
        <v>228</v>
      </c>
      <c r="Y1296" s="2" t="s">
        <v>2113</v>
      </c>
      <c r="Z1296" s="4">
        <v>245</v>
      </c>
      <c r="AA1296" s="4">
        <f>=ROUNDDOWN(350,0)</f>
      </c>
      <c r="AB1296" s="5">
        <v>0.7</v>
      </c>
      <c r="AC1296" s="2" t="s">
        <v>170</v>
      </c>
      <c r="AD1296" s="4">
        <v>120</v>
      </c>
      <c r="AE1296" s="4">
        <v>120</v>
      </c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228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 t="s">
        <v>228</v>
      </c>
      <c r="AW1296" s="8" t="s">
        <v>228</v>
      </c>
      <c r="AX1296" s="4" t="s">
        <v>228</v>
      </c>
      <c r="AY1296" s="8" t="s">
        <v>228</v>
      </c>
      <c r="AZ1296" s="7" t="s">
        <v>228</v>
      </c>
      <c r="BA1296" s="7" t="s">
        <v>228</v>
      </c>
      <c r="BB1296" s="7"/>
      <c r="BC1296" s="4" t="s">
        <v>228</v>
      </c>
      <c r="BD1296" s="8" t="s">
        <v>228</v>
      </c>
      <c r="BE1296" s="4" t="s">
        <v>228</v>
      </c>
      <c r="BF1296" s="8" t="s">
        <v>228</v>
      </c>
      <c r="BG1296" s="7" t="s">
        <v>228</v>
      </c>
      <c r="BH1296" s="7" t="s">
        <v>228</v>
      </c>
      <c r="BI1296" s="7"/>
      <c r="BJ1296" s="4">
        <v>4</v>
      </c>
      <c r="BK1296" s="8">
        <v>132.45</v>
      </c>
      <c r="BL1296" s="2" t="s">
        <v>2493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6730</v>
      </c>
      <c r="BV1296" s="2" t="s">
        <v>228</v>
      </c>
      <c r="BW1296" s="2" t="s">
        <v>228</v>
      </c>
      <c r="BX1296" s="2" t="s">
        <v>238</v>
      </c>
      <c r="BY1296" s="2" t="s">
        <v>274</v>
      </c>
      <c r="BZ1296" s="2" t="s">
        <v>240</v>
      </c>
      <c r="CA1296" s="2" t="s">
        <v>1590</v>
      </c>
      <c r="CB1296" s="2" t="s">
        <v>228</v>
      </c>
      <c r="CC1296" s="2" t="s">
        <v>241</v>
      </c>
      <c r="CD1296" s="2" t="s">
        <v>228</v>
      </c>
      <c r="CE1296" s="4">
        <v>115</v>
      </c>
      <c r="CF1296" s="4"/>
      <c r="CG1296" s="4"/>
      <c r="CH1296" s="4"/>
      <c r="CI1296" s="4"/>
      <c r="CJ1296" s="4"/>
      <c r="CK1296" s="4">
        <v>130</v>
      </c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>
        <v>120</v>
      </c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/>
      <c r="GO1296" s="4"/>
      <c r="GP1296" s="4"/>
      <c r="GQ1296" s="4"/>
      <c r="GR1296" s="4"/>
      <c r="GS1296" s="4"/>
      <c r="GT1296" s="4"/>
      <c r="GU1296" s="4"/>
      <c r="GV1296" s="4"/>
      <c r="GW1296" s="4"/>
      <c r="GX1296" s="4"/>
      <c r="GY1296" s="4"/>
      <c r="GZ1296" s="4"/>
      <c r="HA1296" s="4"/>
      <c r="HB1296" s="4"/>
      <c r="HC1296" s="4"/>
      <c r="HD1296" s="4"/>
      <c r="HE1296" s="4"/>
    </row>
    <row r="1297">
      <c r="A1297" s="2" t="s">
        <v>6731</v>
      </c>
      <c r="B1297" s="2" t="s">
        <v>1150</v>
      </c>
      <c r="C1297" s="2" t="s">
        <v>345</v>
      </c>
      <c r="D1297" s="2" t="s">
        <v>1112</v>
      </c>
      <c r="E1297" s="2" t="s">
        <v>1151</v>
      </c>
      <c r="F1297" s="2" t="s">
        <v>1694</v>
      </c>
      <c r="G1297" s="2" t="s">
        <v>6725</v>
      </c>
      <c r="H1297" s="2" t="s">
        <v>6726</v>
      </c>
      <c r="I1297" s="2" t="s">
        <v>6727</v>
      </c>
      <c r="J1297" s="2" t="s">
        <v>284</v>
      </c>
      <c r="K1297" s="2" t="s">
        <v>6728</v>
      </c>
      <c r="L1297" s="3">
        <v>35.71</v>
      </c>
      <c r="M1297" s="3">
        <v>37.5</v>
      </c>
      <c r="N1297" s="3">
        <v>74.99</v>
      </c>
      <c r="O1297" s="2" t="s">
        <v>240</v>
      </c>
      <c r="P1297" s="2" t="s">
        <v>233</v>
      </c>
      <c r="Q1297" s="2" t="s">
        <v>234</v>
      </c>
      <c r="R1297" s="2" t="s">
        <v>228</v>
      </c>
      <c r="S1297" s="2" t="s">
        <v>6729</v>
      </c>
      <c r="T1297" s="2" t="s">
        <v>415</v>
      </c>
      <c r="U1297" s="2" t="s">
        <v>1331</v>
      </c>
      <c r="V1297" s="2" t="s">
        <v>374</v>
      </c>
      <c r="W1297" s="2" t="s">
        <v>269</v>
      </c>
      <c r="X1297" s="2" t="s">
        <v>228</v>
      </c>
      <c r="Y1297" s="2" t="s">
        <v>3438</v>
      </c>
      <c r="Z1297" s="4">
        <v>331</v>
      </c>
      <c r="AA1297" s="4">
        <f>=ROUNDDOWN(157.619047619048,0)</f>
      </c>
      <c r="AB1297" s="5">
        <v>2.1</v>
      </c>
      <c r="AC1297" s="2" t="s">
        <v>170</v>
      </c>
      <c r="AD1297" s="4">
        <v>160</v>
      </c>
      <c r="AE1297" s="4">
        <v>160</v>
      </c>
      <c r="AF1297" s="6">
        <v>65</v>
      </c>
      <c r="AG1297" s="6"/>
      <c r="AH1297" s="7">
        <v>1</v>
      </c>
      <c r="AI1297" s="4"/>
      <c r="AJ1297" s="4">
        <f>=ROUNDDOWN({0},0)</f>
      </c>
      <c r="AK1297" s="5"/>
      <c r="AL1297" s="2" t="s">
        <v>228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 t="s">
        <v>228</v>
      </c>
      <c r="AW1297" s="8" t="s">
        <v>228</v>
      </c>
      <c r="AX1297" s="4" t="s">
        <v>228</v>
      </c>
      <c r="AY1297" s="8" t="s">
        <v>228</v>
      </c>
      <c r="AZ1297" s="7" t="s">
        <v>228</v>
      </c>
      <c r="BA1297" s="7" t="s">
        <v>228</v>
      </c>
      <c r="BB1297" s="7"/>
      <c r="BC1297" s="4" t="s">
        <v>228</v>
      </c>
      <c r="BD1297" s="8" t="s">
        <v>228</v>
      </c>
      <c r="BE1297" s="4" t="s">
        <v>228</v>
      </c>
      <c r="BF1297" s="8" t="s">
        <v>228</v>
      </c>
      <c r="BG1297" s="7" t="s">
        <v>228</v>
      </c>
      <c r="BH1297" s="7" t="s">
        <v>228</v>
      </c>
      <c r="BI1297" s="7"/>
      <c r="BJ1297" s="4">
        <v>9</v>
      </c>
      <c r="BK1297" s="8">
        <v>357.21</v>
      </c>
      <c r="BL1297" s="2" t="s">
        <v>622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6732</v>
      </c>
      <c r="BV1297" s="2" t="s">
        <v>228</v>
      </c>
      <c r="BW1297" s="2" t="s">
        <v>228</v>
      </c>
      <c r="BX1297" s="2" t="s">
        <v>238</v>
      </c>
      <c r="BY1297" s="2" t="s">
        <v>274</v>
      </c>
      <c r="BZ1297" s="2" t="s">
        <v>240</v>
      </c>
      <c r="CA1297" s="2" t="s">
        <v>1590</v>
      </c>
      <c r="CB1297" s="2" t="s">
        <v>228</v>
      </c>
      <c r="CC1297" s="2" t="s">
        <v>241</v>
      </c>
      <c r="CD1297" s="2" t="s">
        <v>228</v>
      </c>
      <c r="CE1297" s="4">
        <v>151</v>
      </c>
      <c r="CF1297" s="4"/>
      <c r="CG1297" s="4"/>
      <c r="CH1297" s="4"/>
      <c r="CI1297" s="4"/>
      <c r="CJ1297" s="4"/>
      <c r="CK1297" s="4">
        <v>180</v>
      </c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>
        <v>160</v>
      </c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  <c r="GL1297" s="4"/>
      <c r="GM1297" s="4"/>
      <c r="GN1297" s="4"/>
      <c r="GO1297" s="4"/>
      <c r="GP1297" s="4"/>
      <c r="GQ1297" s="4"/>
      <c r="GR1297" s="4"/>
      <c r="GS1297" s="4"/>
      <c r="GT1297" s="4"/>
      <c r="GU1297" s="4"/>
      <c r="GV1297" s="4"/>
      <c r="GW1297" s="4"/>
      <c r="GX1297" s="4"/>
      <c r="GY1297" s="4"/>
      <c r="GZ1297" s="4"/>
      <c r="HA1297" s="4"/>
      <c r="HB1297" s="4"/>
      <c r="HC1297" s="4"/>
      <c r="HD1297" s="4"/>
      <c r="HE1297" s="4"/>
    </row>
    <row r="1298">
      <c r="A1298" s="2" t="s">
        <v>6733</v>
      </c>
      <c r="B1298" s="2" t="s">
        <v>1150</v>
      </c>
      <c r="C1298" s="2" t="s">
        <v>345</v>
      </c>
      <c r="D1298" s="2" t="s">
        <v>1112</v>
      </c>
      <c r="E1298" s="2" t="s">
        <v>1151</v>
      </c>
      <c r="F1298" s="2" t="s">
        <v>1694</v>
      </c>
      <c r="G1298" s="2" t="s">
        <v>6725</v>
      </c>
      <c r="H1298" s="2" t="s">
        <v>6726</v>
      </c>
      <c r="I1298" s="2" t="s">
        <v>6727</v>
      </c>
      <c r="J1298" s="2" t="s">
        <v>289</v>
      </c>
      <c r="K1298" s="2" t="s">
        <v>6728</v>
      </c>
      <c r="L1298" s="3">
        <v>38.09</v>
      </c>
      <c r="M1298" s="3">
        <v>39.99</v>
      </c>
      <c r="N1298" s="3">
        <v>79.99</v>
      </c>
      <c r="O1298" s="2" t="s">
        <v>240</v>
      </c>
      <c r="P1298" s="2" t="s">
        <v>233</v>
      </c>
      <c r="Q1298" s="2" t="s">
        <v>234</v>
      </c>
      <c r="R1298" s="2" t="s">
        <v>228</v>
      </c>
      <c r="S1298" s="2" t="s">
        <v>6729</v>
      </c>
      <c r="T1298" s="2" t="s">
        <v>415</v>
      </c>
      <c r="U1298" s="2" t="s">
        <v>1331</v>
      </c>
      <c r="V1298" s="2" t="s">
        <v>374</v>
      </c>
      <c r="W1298" s="2" t="s">
        <v>269</v>
      </c>
      <c r="X1298" s="2" t="s">
        <v>228</v>
      </c>
      <c r="Y1298" s="2" t="s">
        <v>3438</v>
      </c>
      <c r="Z1298" s="4">
        <v>562</v>
      </c>
      <c r="AA1298" s="4">
        <f>=ROUNDDOWN(96.8965517241379,0)</f>
      </c>
      <c r="AB1298" s="5">
        <v>5.8</v>
      </c>
      <c r="AC1298" s="2" t="s">
        <v>168</v>
      </c>
      <c r="AD1298" s="4">
        <v>280</v>
      </c>
      <c r="AE1298" s="4">
        <v>280</v>
      </c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228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 t="s">
        <v>228</v>
      </c>
      <c r="AW1298" s="8" t="s">
        <v>228</v>
      </c>
      <c r="AX1298" s="4" t="s">
        <v>228</v>
      </c>
      <c r="AY1298" s="8" t="s">
        <v>228</v>
      </c>
      <c r="AZ1298" s="7" t="s">
        <v>228</v>
      </c>
      <c r="BA1298" s="7" t="s">
        <v>228</v>
      </c>
      <c r="BB1298" s="7"/>
      <c r="BC1298" s="4" t="s">
        <v>228</v>
      </c>
      <c r="BD1298" s="8" t="s">
        <v>228</v>
      </c>
      <c r="BE1298" s="4" t="s">
        <v>228</v>
      </c>
      <c r="BF1298" s="8" t="s">
        <v>228</v>
      </c>
      <c r="BG1298" s="7" t="s">
        <v>228</v>
      </c>
      <c r="BH1298" s="7" t="s">
        <v>228</v>
      </c>
      <c r="BI1298" s="7"/>
      <c r="BJ1298" s="4">
        <v>24</v>
      </c>
      <c r="BK1298" s="8">
        <v>1015.92</v>
      </c>
      <c r="BL1298" s="2" t="s">
        <v>622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6734</v>
      </c>
      <c r="BV1298" s="2" t="s">
        <v>228</v>
      </c>
      <c r="BW1298" s="2" t="s">
        <v>228</v>
      </c>
      <c r="BX1298" s="2" t="s">
        <v>238</v>
      </c>
      <c r="BY1298" s="2" t="s">
        <v>274</v>
      </c>
      <c r="BZ1298" s="2" t="s">
        <v>240</v>
      </c>
      <c r="CA1298" s="2" t="s">
        <v>1590</v>
      </c>
      <c r="CB1298" s="2" t="s">
        <v>228</v>
      </c>
      <c r="CC1298" s="2" t="s">
        <v>241</v>
      </c>
      <c r="CD1298" s="2" t="s">
        <v>228</v>
      </c>
      <c r="CE1298" s="4">
        <v>252</v>
      </c>
      <c r="CF1298" s="4"/>
      <c r="CG1298" s="4"/>
      <c r="CH1298" s="4"/>
      <c r="CI1298" s="4"/>
      <c r="CJ1298" s="4"/>
      <c r="CK1298" s="4">
        <v>310</v>
      </c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>
        <v>280</v>
      </c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/>
      <c r="GE1298" s="4"/>
      <c r="GF1298" s="4"/>
      <c r="GG1298" s="4"/>
      <c r="GH1298" s="4"/>
      <c r="GI1298" s="4"/>
      <c r="GJ1298" s="4"/>
      <c r="GK1298" s="4"/>
      <c r="GL1298" s="4"/>
      <c r="GM1298" s="4"/>
      <c r="GN1298" s="4"/>
      <c r="GO1298" s="4"/>
      <c r="GP1298" s="4"/>
      <c r="GQ1298" s="4"/>
      <c r="GR1298" s="4"/>
      <c r="GS1298" s="4"/>
      <c r="GT1298" s="4"/>
      <c r="GU1298" s="4"/>
      <c r="GV1298" s="4"/>
      <c r="GW1298" s="4"/>
      <c r="GX1298" s="4"/>
      <c r="GY1298" s="4"/>
      <c r="GZ1298" s="4"/>
      <c r="HA1298" s="4"/>
      <c r="HB1298" s="4"/>
      <c r="HC1298" s="4"/>
      <c r="HD1298" s="4"/>
      <c r="HE1298" s="4"/>
    </row>
    <row r="1299">
      <c r="A1299" s="2" t="s">
        <v>6735</v>
      </c>
      <c r="B1299" s="2" t="s">
        <v>1150</v>
      </c>
      <c r="C1299" s="2" t="s">
        <v>345</v>
      </c>
      <c r="D1299" s="2" t="s">
        <v>1112</v>
      </c>
      <c r="E1299" s="2" t="s">
        <v>1151</v>
      </c>
      <c r="F1299" s="2" t="s">
        <v>1694</v>
      </c>
      <c r="G1299" s="2" t="s">
        <v>6725</v>
      </c>
      <c r="H1299" s="2" t="s">
        <v>6726</v>
      </c>
      <c r="I1299" s="2" t="s">
        <v>6727</v>
      </c>
      <c r="J1299" s="2" t="s">
        <v>294</v>
      </c>
      <c r="K1299" s="2" t="s">
        <v>6728</v>
      </c>
      <c r="L1299" s="3">
        <v>42.85</v>
      </c>
      <c r="M1299" s="3">
        <v>44.99</v>
      </c>
      <c r="N1299" s="3">
        <v>89.99</v>
      </c>
      <c r="O1299" s="2" t="s">
        <v>240</v>
      </c>
      <c r="P1299" s="2" t="s">
        <v>233</v>
      </c>
      <c r="Q1299" s="2" t="s">
        <v>234</v>
      </c>
      <c r="R1299" s="2" t="s">
        <v>228</v>
      </c>
      <c r="S1299" s="2" t="s">
        <v>6729</v>
      </c>
      <c r="T1299" s="2" t="s">
        <v>415</v>
      </c>
      <c r="U1299" s="2" t="s">
        <v>1331</v>
      </c>
      <c r="V1299" s="2" t="s">
        <v>374</v>
      </c>
      <c r="W1299" s="2" t="s">
        <v>269</v>
      </c>
      <c r="X1299" s="2" t="s">
        <v>228</v>
      </c>
      <c r="Y1299" s="2" t="s">
        <v>812</v>
      </c>
      <c r="Z1299" s="4">
        <v>320</v>
      </c>
      <c r="AA1299" s="4">
        <f>=ROUNDDOWN(84.2105263157895,0)</f>
      </c>
      <c r="AB1299" s="5">
        <v>3.8</v>
      </c>
      <c r="AC1299" s="2" t="s">
        <v>168</v>
      </c>
      <c r="AD1299" s="4">
        <v>160</v>
      </c>
      <c r="AE1299" s="4">
        <v>160</v>
      </c>
      <c r="AF1299" s="6">
        <v>65</v>
      </c>
      <c r="AG1299" s="6"/>
      <c r="AH1299" s="7">
        <v>1</v>
      </c>
      <c r="AI1299" s="4"/>
      <c r="AJ1299" s="4">
        <f>=ROUNDDOWN({0},0)</f>
      </c>
      <c r="AK1299" s="5"/>
      <c r="AL1299" s="2" t="s">
        <v>228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 t="s">
        <v>228</v>
      </c>
      <c r="AW1299" s="8" t="s">
        <v>228</v>
      </c>
      <c r="AX1299" s="4" t="s">
        <v>228</v>
      </c>
      <c r="AY1299" s="8" t="s">
        <v>228</v>
      </c>
      <c r="AZ1299" s="7" t="s">
        <v>228</v>
      </c>
      <c r="BA1299" s="7" t="s">
        <v>228</v>
      </c>
      <c r="BB1299" s="7"/>
      <c r="BC1299" s="4" t="s">
        <v>228</v>
      </c>
      <c r="BD1299" s="8" t="s">
        <v>228</v>
      </c>
      <c r="BE1299" s="4" t="s">
        <v>228</v>
      </c>
      <c r="BF1299" s="8" t="s">
        <v>228</v>
      </c>
      <c r="BG1299" s="7" t="s">
        <v>228</v>
      </c>
      <c r="BH1299" s="7" t="s">
        <v>228</v>
      </c>
      <c r="BI1299" s="7"/>
      <c r="BJ1299" s="4">
        <v>16</v>
      </c>
      <c r="BK1299" s="8">
        <v>761.92</v>
      </c>
      <c r="BL1299" s="2" t="s">
        <v>622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6736</v>
      </c>
      <c r="BV1299" s="2" t="s">
        <v>228</v>
      </c>
      <c r="BW1299" s="2" t="s">
        <v>228</v>
      </c>
      <c r="BX1299" s="2" t="s">
        <v>238</v>
      </c>
      <c r="BY1299" s="2" t="s">
        <v>274</v>
      </c>
      <c r="BZ1299" s="2" t="s">
        <v>240</v>
      </c>
      <c r="CA1299" s="2" t="s">
        <v>1590</v>
      </c>
      <c r="CB1299" s="2" t="s">
        <v>228</v>
      </c>
      <c r="CC1299" s="2" t="s">
        <v>241</v>
      </c>
      <c r="CD1299" s="2" t="s">
        <v>228</v>
      </c>
      <c r="CE1299" s="4">
        <v>140</v>
      </c>
      <c r="CF1299" s="4"/>
      <c r="CG1299" s="4"/>
      <c r="CH1299" s="4"/>
      <c r="CI1299" s="4"/>
      <c r="CJ1299" s="4"/>
      <c r="CK1299" s="4">
        <v>180</v>
      </c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>
        <v>160</v>
      </c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  <c r="GL1299" s="4"/>
      <c r="GM1299" s="4"/>
      <c r="GN1299" s="4"/>
      <c r="GO1299" s="4"/>
      <c r="GP1299" s="4"/>
      <c r="GQ1299" s="4"/>
      <c r="GR1299" s="4"/>
      <c r="GS1299" s="4"/>
      <c r="GT1299" s="4"/>
      <c r="GU1299" s="4"/>
      <c r="GV1299" s="4"/>
      <c r="GW1299" s="4"/>
      <c r="GX1299" s="4"/>
      <c r="GY1299" s="4"/>
      <c r="GZ1299" s="4"/>
      <c r="HA1299" s="4"/>
      <c r="HB1299" s="4"/>
      <c r="HC1299" s="4"/>
      <c r="HD1299" s="4"/>
      <c r="HE1299" s="4"/>
    </row>
    <row r="1300">
      <c r="A1300" s="2" t="s">
        <v>6737</v>
      </c>
      <c r="B1300" s="2" t="s">
        <v>1150</v>
      </c>
      <c r="C1300" s="2" t="s">
        <v>345</v>
      </c>
      <c r="D1300" s="2" t="s">
        <v>1112</v>
      </c>
      <c r="E1300" s="2" t="s">
        <v>1151</v>
      </c>
      <c r="F1300" s="2" t="s">
        <v>1694</v>
      </c>
      <c r="G1300" s="2" t="s">
        <v>6725</v>
      </c>
      <c r="H1300" s="2" t="s">
        <v>6726</v>
      </c>
      <c r="I1300" s="2" t="s">
        <v>6727</v>
      </c>
      <c r="J1300" s="2" t="s">
        <v>312</v>
      </c>
      <c r="K1300" s="2" t="s">
        <v>6728</v>
      </c>
      <c r="L1300" s="3">
        <v>42.85</v>
      </c>
      <c r="M1300" s="3">
        <v>44.99</v>
      </c>
      <c r="N1300" s="3">
        <v>89.99</v>
      </c>
      <c r="O1300" s="2" t="s">
        <v>240</v>
      </c>
      <c r="P1300" s="2" t="s">
        <v>233</v>
      </c>
      <c r="Q1300" s="2" t="s">
        <v>234</v>
      </c>
      <c r="R1300" s="2" t="s">
        <v>228</v>
      </c>
      <c r="S1300" s="2" t="s">
        <v>6729</v>
      </c>
      <c r="T1300" s="2" t="s">
        <v>415</v>
      </c>
      <c r="U1300" s="2" t="s">
        <v>1331</v>
      </c>
      <c r="V1300" s="2" t="s">
        <v>374</v>
      </c>
      <c r="W1300" s="2" t="s">
        <v>269</v>
      </c>
      <c r="X1300" s="2" t="s">
        <v>228</v>
      </c>
      <c r="Y1300" s="2" t="s">
        <v>2113</v>
      </c>
      <c r="Z1300" s="4">
        <v>175</v>
      </c>
      <c r="AA1300" s="4">
        <f>=ROUNDDOWN(175,0)</f>
      </c>
      <c r="AB1300" s="5">
        <v>1</v>
      </c>
      <c r="AC1300" s="2" t="s">
        <v>168</v>
      </c>
      <c r="AD1300" s="4">
        <v>80</v>
      </c>
      <c r="AE1300" s="4">
        <v>80</v>
      </c>
      <c r="AF1300" s="6">
        <v>65</v>
      </c>
      <c r="AG1300" s="6"/>
      <c r="AH1300" s="7">
        <v>1</v>
      </c>
      <c r="AI1300" s="4"/>
      <c r="AJ1300" s="4">
        <f>=ROUNDDOWN({0},0)</f>
      </c>
      <c r="AK1300" s="5"/>
      <c r="AL1300" s="2" t="s">
        <v>228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 t="s">
        <v>228</v>
      </c>
      <c r="AW1300" s="8" t="s">
        <v>228</v>
      </c>
      <c r="AX1300" s="4" t="s">
        <v>228</v>
      </c>
      <c r="AY1300" s="8" t="s">
        <v>228</v>
      </c>
      <c r="AZ1300" s="7" t="s">
        <v>228</v>
      </c>
      <c r="BA1300" s="7" t="s">
        <v>228</v>
      </c>
      <c r="BB1300" s="7"/>
      <c r="BC1300" s="4" t="s">
        <v>228</v>
      </c>
      <c r="BD1300" s="8" t="s">
        <v>228</v>
      </c>
      <c r="BE1300" s="4" t="s">
        <v>228</v>
      </c>
      <c r="BF1300" s="8" t="s">
        <v>228</v>
      </c>
      <c r="BG1300" s="7" t="s">
        <v>228</v>
      </c>
      <c r="BH1300" s="7" t="s">
        <v>228</v>
      </c>
      <c r="BI1300" s="7"/>
      <c r="BJ1300" s="4">
        <v>4</v>
      </c>
      <c r="BK1300" s="8">
        <v>190.48</v>
      </c>
      <c r="BL1300" s="2" t="s">
        <v>622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6738</v>
      </c>
      <c r="BV1300" s="2" t="s">
        <v>228</v>
      </c>
      <c r="BW1300" s="2" t="s">
        <v>228</v>
      </c>
      <c r="BX1300" s="2" t="s">
        <v>238</v>
      </c>
      <c r="BY1300" s="2" t="s">
        <v>274</v>
      </c>
      <c r="BZ1300" s="2" t="s">
        <v>240</v>
      </c>
      <c r="CA1300" s="2" t="s">
        <v>1590</v>
      </c>
      <c r="CB1300" s="2" t="s">
        <v>228</v>
      </c>
      <c r="CC1300" s="2" t="s">
        <v>241</v>
      </c>
      <c r="CD1300" s="2" t="s">
        <v>228</v>
      </c>
      <c r="CE1300" s="4">
        <v>75</v>
      </c>
      <c r="CF1300" s="4"/>
      <c r="CG1300" s="4"/>
      <c r="CH1300" s="4"/>
      <c r="CI1300" s="4"/>
      <c r="CJ1300" s="4"/>
      <c r="CK1300" s="4">
        <v>100</v>
      </c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>
        <v>80</v>
      </c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  <c r="GG1300" s="4"/>
      <c r="GH1300" s="4"/>
      <c r="GI1300" s="4"/>
      <c r="GJ1300" s="4"/>
      <c r="GK1300" s="4"/>
      <c r="GL1300" s="4"/>
      <c r="GM1300" s="4"/>
      <c r="GN1300" s="4"/>
      <c r="GO1300" s="4"/>
      <c r="GP1300" s="4"/>
      <c r="GQ1300" s="4"/>
      <c r="GR1300" s="4"/>
      <c r="GS1300" s="4"/>
      <c r="GT1300" s="4"/>
      <c r="GU1300" s="4"/>
      <c r="GV1300" s="4"/>
      <c r="GW1300" s="4"/>
      <c r="GX1300" s="4"/>
      <c r="GY1300" s="4"/>
      <c r="GZ1300" s="4"/>
      <c r="HA1300" s="4"/>
      <c r="HB1300" s="4"/>
      <c r="HC1300" s="4"/>
      <c r="HD1300" s="4"/>
      <c r="HE1300" s="4"/>
    </row>
    <row r="1301">
      <c r="A1301" s="2" t="s">
        <v>6739</v>
      </c>
      <c r="B1301" s="2" t="s">
        <v>1150</v>
      </c>
      <c r="C1301" s="2" t="s">
        <v>345</v>
      </c>
      <c r="D1301" s="2" t="s">
        <v>1112</v>
      </c>
      <c r="E1301" s="2" t="s">
        <v>1151</v>
      </c>
      <c r="F1301" s="2" t="s">
        <v>1694</v>
      </c>
      <c r="G1301" s="2" t="s">
        <v>6725</v>
      </c>
      <c r="H1301" s="2" t="s">
        <v>6726</v>
      </c>
      <c r="I1301" s="2" t="s">
        <v>6727</v>
      </c>
      <c r="J1301" s="2" t="s">
        <v>264</v>
      </c>
      <c r="K1301" s="2" t="s">
        <v>6740</v>
      </c>
      <c r="L1301" s="3">
        <v>30.95</v>
      </c>
      <c r="M1301" s="3">
        <v>32.5</v>
      </c>
      <c r="N1301" s="3">
        <v>64.99</v>
      </c>
      <c r="O1301" s="2" t="s">
        <v>240</v>
      </c>
      <c r="P1301" s="2" t="s">
        <v>233</v>
      </c>
      <c r="Q1301" s="2" t="s">
        <v>234</v>
      </c>
      <c r="R1301" s="2" t="s">
        <v>228</v>
      </c>
      <c r="S1301" s="2" t="s">
        <v>6741</v>
      </c>
      <c r="T1301" s="2" t="s">
        <v>415</v>
      </c>
      <c r="U1301" s="2" t="s">
        <v>1170</v>
      </c>
      <c r="V1301" s="2" t="s">
        <v>374</v>
      </c>
      <c r="W1301" s="2" t="s">
        <v>269</v>
      </c>
      <c r="X1301" s="2" t="s">
        <v>228</v>
      </c>
      <c r="Y1301" s="2" t="s">
        <v>2113</v>
      </c>
      <c r="Z1301" s="4">
        <v>292</v>
      </c>
      <c r="AA1301" s="4">
        <f>=ROUNDDOWN(208.571428571429,0)</f>
      </c>
      <c r="AB1301" s="5">
        <v>1.4</v>
      </c>
      <c r="AC1301" s="2" t="s">
        <v>168</v>
      </c>
      <c r="AD1301" s="4">
        <v>150</v>
      </c>
      <c r="AE1301" s="4">
        <v>150</v>
      </c>
      <c r="AF1301" s="6">
        <v>65</v>
      </c>
      <c r="AG1301" s="6"/>
      <c r="AH1301" s="7">
        <v>1</v>
      </c>
      <c r="AI1301" s="4"/>
      <c r="AJ1301" s="4">
        <f>=ROUNDDOWN({0},0)</f>
      </c>
      <c r="AK1301" s="5"/>
      <c r="AL1301" s="2" t="s">
        <v>228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 t="s">
        <v>228</v>
      </c>
      <c r="AW1301" s="8" t="s">
        <v>228</v>
      </c>
      <c r="AX1301" s="4" t="s">
        <v>228</v>
      </c>
      <c r="AY1301" s="8" t="s">
        <v>228</v>
      </c>
      <c r="AZ1301" s="7" t="s">
        <v>228</v>
      </c>
      <c r="BA1301" s="7" t="s">
        <v>228</v>
      </c>
      <c r="BB1301" s="7"/>
      <c r="BC1301" s="4" t="s">
        <v>228</v>
      </c>
      <c r="BD1301" s="8" t="s">
        <v>228</v>
      </c>
      <c r="BE1301" s="4" t="s">
        <v>228</v>
      </c>
      <c r="BF1301" s="8" t="s">
        <v>228</v>
      </c>
      <c r="BG1301" s="7" t="s">
        <v>228</v>
      </c>
      <c r="BH1301" s="7" t="s">
        <v>228</v>
      </c>
      <c r="BI1301" s="7"/>
      <c r="BJ1301" s="4">
        <v>5</v>
      </c>
      <c r="BK1301" s="8">
        <v>172</v>
      </c>
      <c r="BL1301" s="2" t="s">
        <v>622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6742</v>
      </c>
      <c r="BV1301" s="2" t="s">
        <v>228</v>
      </c>
      <c r="BW1301" s="2" t="s">
        <v>228</v>
      </c>
      <c r="BX1301" s="2" t="s">
        <v>238</v>
      </c>
      <c r="BY1301" s="2" t="s">
        <v>274</v>
      </c>
      <c r="BZ1301" s="2" t="s">
        <v>240</v>
      </c>
      <c r="CA1301" s="2" t="s">
        <v>1590</v>
      </c>
      <c r="CB1301" s="2" t="s">
        <v>228</v>
      </c>
      <c r="CC1301" s="2" t="s">
        <v>241</v>
      </c>
      <c r="CD1301" s="2" t="s">
        <v>228</v>
      </c>
      <c r="CE1301" s="4">
        <v>142</v>
      </c>
      <c r="CF1301" s="4"/>
      <c r="CG1301" s="4"/>
      <c r="CH1301" s="4"/>
      <c r="CI1301" s="4"/>
      <c r="CJ1301" s="4"/>
      <c r="CK1301" s="4">
        <v>150</v>
      </c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>
        <v>150</v>
      </c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  <c r="GQ1301" s="4"/>
      <c r="GR1301" s="4"/>
      <c r="GS1301" s="4"/>
      <c r="GT1301" s="4"/>
      <c r="GU1301" s="4"/>
      <c r="GV1301" s="4"/>
      <c r="GW1301" s="4"/>
      <c r="GX1301" s="4"/>
      <c r="GY1301" s="4"/>
      <c r="GZ1301" s="4"/>
      <c r="HA1301" s="4"/>
      <c r="HB1301" s="4"/>
      <c r="HC1301" s="4"/>
      <c r="HD1301" s="4"/>
      <c r="HE1301" s="4"/>
    </row>
    <row r="1302">
      <c r="A1302" s="2" t="s">
        <v>6743</v>
      </c>
      <c r="B1302" s="2" t="s">
        <v>1150</v>
      </c>
      <c r="C1302" s="2" t="s">
        <v>345</v>
      </c>
      <c r="D1302" s="2" t="s">
        <v>1112</v>
      </c>
      <c r="E1302" s="2" t="s">
        <v>1151</v>
      </c>
      <c r="F1302" s="2" t="s">
        <v>1694</v>
      </c>
      <c r="G1302" s="2" t="s">
        <v>6725</v>
      </c>
      <c r="H1302" s="2" t="s">
        <v>6726</v>
      </c>
      <c r="I1302" s="2" t="s">
        <v>6727</v>
      </c>
      <c r="J1302" s="2" t="s">
        <v>289</v>
      </c>
      <c r="K1302" s="2" t="s">
        <v>6740</v>
      </c>
      <c r="L1302" s="3">
        <v>38.09</v>
      </c>
      <c r="M1302" s="3">
        <v>39.99</v>
      </c>
      <c r="N1302" s="3">
        <v>79.99</v>
      </c>
      <c r="O1302" s="2" t="s">
        <v>240</v>
      </c>
      <c r="P1302" s="2" t="s">
        <v>233</v>
      </c>
      <c r="Q1302" s="2" t="s">
        <v>234</v>
      </c>
      <c r="R1302" s="2" t="s">
        <v>228</v>
      </c>
      <c r="S1302" s="2" t="s">
        <v>6741</v>
      </c>
      <c r="T1302" s="2" t="s">
        <v>415</v>
      </c>
      <c r="U1302" s="2" t="s">
        <v>1331</v>
      </c>
      <c r="V1302" s="2" t="s">
        <v>374</v>
      </c>
      <c r="W1302" s="2" t="s">
        <v>269</v>
      </c>
      <c r="X1302" s="2" t="s">
        <v>228</v>
      </c>
      <c r="Y1302" s="2" t="s">
        <v>3438</v>
      </c>
      <c r="Z1302" s="4">
        <v>670</v>
      </c>
      <c r="AA1302" s="4">
        <f>=ROUNDDOWN(108.064516129032,0)</f>
      </c>
      <c r="AB1302" s="5">
        <v>6.2</v>
      </c>
      <c r="AC1302" s="2" t="s">
        <v>168</v>
      </c>
      <c r="AD1302" s="4">
        <v>350</v>
      </c>
      <c r="AE1302" s="4">
        <v>350</v>
      </c>
      <c r="AF1302" s="6">
        <v>65</v>
      </c>
      <c r="AG1302" s="6"/>
      <c r="AH1302" s="7">
        <v>1</v>
      </c>
      <c r="AI1302" s="4"/>
      <c r="AJ1302" s="4">
        <f>=ROUNDDOWN({0},0)</f>
      </c>
      <c r="AK1302" s="5"/>
      <c r="AL1302" s="2" t="s">
        <v>228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 t="s">
        <v>228</v>
      </c>
      <c r="AW1302" s="8" t="s">
        <v>228</v>
      </c>
      <c r="AX1302" s="4" t="s">
        <v>228</v>
      </c>
      <c r="AY1302" s="8" t="s">
        <v>228</v>
      </c>
      <c r="AZ1302" s="7" t="s">
        <v>228</v>
      </c>
      <c r="BA1302" s="7" t="s">
        <v>228</v>
      </c>
      <c r="BB1302" s="7"/>
      <c r="BC1302" s="4" t="s">
        <v>228</v>
      </c>
      <c r="BD1302" s="8" t="s">
        <v>228</v>
      </c>
      <c r="BE1302" s="4" t="s">
        <v>228</v>
      </c>
      <c r="BF1302" s="8" t="s">
        <v>228</v>
      </c>
      <c r="BG1302" s="7" t="s">
        <v>228</v>
      </c>
      <c r="BH1302" s="7" t="s">
        <v>228</v>
      </c>
      <c r="BI1302" s="7"/>
      <c r="BJ1302" s="4">
        <v>25</v>
      </c>
      <c r="BK1302" s="8">
        <v>1058.25</v>
      </c>
      <c r="BL1302" s="2" t="s">
        <v>622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6744</v>
      </c>
      <c r="BV1302" s="2" t="s">
        <v>228</v>
      </c>
      <c r="BW1302" s="2" t="s">
        <v>228</v>
      </c>
      <c r="BX1302" s="2" t="s">
        <v>238</v>
      </c>
      <c r="BY1302" s="2" t="s">
        <v>274</v>
      </c>
      <c r="BZ1302" s="2" t="s">
        <v>240</v>
      </c>
      <c r="CA1302" s="2" t="s">
        <v>1590</v>
      </c>
      <c r="CB1302" s="2" t="s">
        <v>228</v>
      </c>
      <c r="CC1302" s="2" t="s">
        <v>241</v>
      </c>
      <c r="CD1302" s="2" t="s">
        <v>228</v>
      </c>
      <c r="CE1302" s="4">
        <v>320</v>
      </c>
      <c r="CF1302" s="4"/>
      <c r="CG1302" s="4"/>
      <c r="CH1302" s="4"/>
      <c r="CI1302" s="4"/>
      <c r="CJ1302" s="4"/>
      <c r="CK1302" s="4">
        <v>350</v>
      </c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>
        <v>350</v>
      </c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  <c r="GG1302" s="4"/>
      <c r="GH1302" s="4"/>
      <c r="GI1302" s="4"/>
      <c r="GJ1302" s="4"/>
      <c r="GK1302" s="4"/>
      <c r="GL1302" s="4"/>
      <c r="GM1302" s="4"/>
      <c r="GN1302" s="4"/>
      <c r="GO1302" s="4"/>
      <c r="GP1302" s="4"/>
      <c r="GQ1302" s="4"/>
      <c r="GR1302" s="4"/>
      <c r="GS1302" s="4"/>
      <c r="GT1302" s="4"/>
      <c r="GU1302" s="4"/>
      <c r="GV1302" s="4"/>
      <c r="GW1302" s="4"/>
      <c r="GX1302" s="4"/>
      <c r="GY1302" s="4"/>
      <c r="GZ1302" s="4"/>
      <c r="HA1302" s="4"/>
      <c r="HB1302" s="4"/>
      <c r="HC1302" s="4"/>
      <c r="HD1302" s="4"/>
      <c r="HE1302" s="4"/>
    </row>
    <row r="1303">
      <c r="A1303" s="2" t="s">
        <v>6745</v>
      </c>
      <c r="B1303" s="2" t="s">
        <v>1150</v>
      </c>
      <c r="C1303" s="2" t="s">
        <v>345</v>
      </c>
      <c r="D1303" s="2" t="s">
        <v>1112</v>
      </c>
      <c r="E1303" s="2" t="s">
        <v>1151</v>
      </c>
      <c r="F1303" s="2" t="s">
        <v>1694</v>
      </c>
      <c r="G1303" s="2" t="s">
        <v>6725</v>
      </c>
      <c r="H1303" s="2" t="s">
        <v>6726</v>
      </c>
      <c r="I1303" s="2" t="s">
        <v>6727</v>
      </c>
      <c r="J1303" s="2" t="s">
        <v>294</v>
      </c>
      <c r="K1303" s="2" t="s">
        <v>6740</v>
      </c>
      <c r="L1303" s="3">
        <v>42.85</v>
      </c>
      <c r="M1303" s="3">
        <v>44.99</v>
      </c>
      <c r="N1303" s="3">
        <v>89.99</v>
      </c>
      <c r="O1303" s="2" t="s">
        <v>240</v>
      </c>
      <c r="P1303" s="2" t="s">
        <v>233</v>
      </c>
      <c r="Q1303" s="2" t="s">
        <v>234</v>
      </c>
      <c r="R1303" s="2" t="s">
        <v>228</v>
      </c>
      <c r="S1303" s="2" t="s">
        <v>6741</v>
      </c>
      <c r="T1303" s="2" t="s">
        <v>415</v>
      </c>
      <c r="U1303" s="2" t="s">
        <v>1331</v>
      </c>
      <c r="V1303" s="2" t="s">
        <v>374</v>
      </c>
      <c r="W1303" s="2" t="s">
        <v>269</v>
      </c>
      <c r="X1303" s="2" t="s">
        <v>228</v>
      </c>
      <c r="Y1303" s="2" t="s">
        <v>3438</v>
      </c>
      <c r="Z1303" s="4">
        <v>379</v>
      </c>
      <c r="AA1303" s="4">
        <f>=ROUNDDOWN(78.9583333333333,0)</f>
      </c>
      <c r="AB1303" s="5">
        <v>4.8</v>
      </c>
      <c r="AC1303" s="2" t="s">
        <v>170</v>
      </c>
      <c r="AD1303" s="4">
        <v>200</v>
      </c>
      <c r="AE1303" s="4">
        <v>200</v>
      </c>
      <c r="AF1303" s="6">
        <v>65</v>
      </c>
      <c r="AG1303" s="6"/>
      <c r="AH1303" s="7">
        <v>1</v>
      </c>
      <c r="AI1303" s="4"/>
      <c r="AJ1303" s="4">
        <f>=ROUNDDOWN({0},0)</f>
      </c>
      <c r="AK1303" s="5"/>
      <c r="AL1303" s="2" t="s">
        <v>228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228</v>
      </c>
      <c r="AW1303" s="8" t="s">
        <v>228</v>
      </c>
      <c r="AX1303" s="4" t="s">
        <v>228</v>
      </c>
      <c r="AY1303" s="8" t="s">
        <v>228</v>
      </c>
      <c r="AZ1303" s="7" t="s">
        <v>228</v>
      </c>
      <c r="BA1303" s="7" t="s">
        <v>228</v>
      </c>
      <c r="BB1303" s="7"/>
      <c r="BC1303" s="4" t="s">
        <v>228</v>
      </c>
      <c r="BD1303" s="8" t="s">
        <v>228</v>
      </c>
      <c r="BE1303" s="4" t="s">
        <v>228</v>
      </c>
      <c r="BF1303" s="8" t="s">
        <v>228</v>
      </c>
      <c r="BG1303" s="7" t="s">
        <v>228</v>
      </c>
      <c r="BH1303" s="7" t="s">
        <v>228</v>
      </c>
      <c r="BI1303" s="7"/>
      <c r="BJ1303" s="4">
        <v>20</v>
      </c>
      <c r="BK1303" s="8">
        <v>952.4</v>
      </c>
      <c r="BL1303" s="2" t="s">
        <v>622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6746</v>
      </c>
      <c r="BV1303" s="2" t="s">
        <v>228</v>
      </c>
      <c r="BW1303" s="2" t="s">
        <v>228</v>
      </c>
      <c r="BX1303" s="2" t="s">
        <v>238</v>
      </c>
      <c r="BY1303" s="2" t="s">
        <v>274</v>
      </c>
      <c r="BZ1303" s="2" t="s">
        <v>240</v>
      </c>
      <c r="CA1303" s="2" t="s">
        <v>1590</v>
      </c>
      <c r="CB1303" s="2" t="s">
        <v>228</v>
      </c>
      <c r="CC1303" s="2" t="s">
        <v>241</v>
      </c>
      <c r="CD1303" s="2" t="s">
        <v>228</v>
      </c>
      <c r="CE1303" s="4">
        <v>179</v>
      </c>
      <c r="CF1303" s="4"/>
      <c r="CG1303" s="4"/>
      <c r="CH1303" s="4"/>
      <c r="CI1303" s="4"/>
      <c r="CJ1303" s="4"/>
      <c r="CK1303" s="4">
        <v>200</v>
      </c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>
        <v>200</v>
      </c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  <c r="GS1303" s="4"/>
      <c r="GT1303" s="4"/>
      <c r="GU1303" s="4"/>
      <c r="GV1303" s="4"/>
      <c r="GW1303" s="4"/>
      <c r="GX1303" s="4"/>
      <c r="GY1303" s="4"/>
      <c r="GZ1303" s="4"/>
      <c r="HA1303" s="4"/>
      <c r="HB1303" s="4"/>
      <c r="HC1303" s="4"/>
      <c r="HD1303" s="4"/>
      <c r="HE1303" s="4"/>
    </row>
    <row r="1304">
      <c r="A1304" s="2" t="s">
        <v>6747</v>
      </c>
      <c r="B1304" s="2" t="s">
        <v>1150</v>
      </c>
      <c r="C1304" s="2" t="s">
        <v>345</v>
      </c>
      <c r="D1304" s="2" t="s">
        <v>1112</v>
      </c>
      <c r="E1304" s="2" t="s">
        <v>1151</v>
      </c>
      <c r="F1304" s="2" t="s">
        <v>1694</v>
      </c>
      <c r="G1304" s="2" t="s">
        <v>6725</v>
      </c>
      <c r="H1304" s="2" t="s">
        <v>6726</v>
      </c>
      <c r="I1304" s="2" t="s">
        <v>6727</v>
      </c>
      <c r="J1304" s="2" t="s">
        <v>312</v>
      </c>
      <c r="K1304" s="2" t="s">
        <v>6740</v>
      </c>
      <c r="L1304" s="3">
        <v>42.85</v>
      </c>
      <c r="M1304" s="3">
        <v>44.99</v>
      </c>
      <c r="N1304" s="3">
        <v>89.99</v>
      </c>
      <c r="O1304" s="2" t="s">
        <v>240</v>
      </c>
      <c r="P1304" s="2" t="s">
        <v>233</v>
      </c>
      <c r="Q1304" s="2" t="s">
        <v>234</v>
      </c>
      <c r="R1304" s="2" t="s">
        <v>228</v>
      </c>
      <c r="S1304" s="2" t="s">
        <v>6741</v>
      </c>
      <c r="T1304" s="2" t="s">
        <v>415</v>
      </c>
      <c r="U1304" s="2" t="s">
        <v>1331</v>
      </c>
      <c r="V1304" s="2" t="s">
        <v>374</v>
      </c>
      <c r="W1304" s="2" t="s">
        <v>269</v>
      </c>
      <c r="X1304" s="2" t="s">
        <v>228</v>
      </c>
      <c r="Y1304" s="2" t="s">
        <v>2113</v>
      </c>
      <c r="Z1304" s="4">
        <v>196</v>
      </c>
      <c r="AA1304" s="4">
        <f>=ROUNDDOWN(245,0)</f>
      </c>
      <c r="AB1304" s="5">
        <v>0.8</v>
      </c>
      <c r="AC1304" s="2" t="s">
        <v>170</v>
      </c>
      <c r="AD1304" s="4">
        <v>100</v>
      </c>
      <c r="AE1304" s="4">
        <v>100</v>
      </c>
      <c r="AF1304" s="6">
        <v>65</v>
      </c>
      <c r="AG1304" s="6"/>
      <c r="AH1304" s="7">
        <v>1</v>
      </c>
      <c r="AI1304" s="4"/>
      <c r="AJ1304" s="4">
        <f>=ROUNDDOWN({0},0)</f>
      </c>
      <c r="AK1304" s="5"/>
      <c r="AL1304" s="2" t="s">
        <v>228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 t="s">
        <v>228</v>
      </c>
      <c r="AW1304" s="8" t="s">
        <v>228</v>
      </c>
      <c r="AX1304" s="4" t="s">
        <v>228</v>
      </c>
      <c r="AY1304" s="8" t="s">
        <v>228</v>
      </c>
      <c r="AZ1304" s="7" t="s">
        <v>228</v>
      </c>
      <c r="BA1304" s="7" t="s">
        <v>228</v>
      </c>
      <c r="BB1304" s="7"/>
      <c r="BC1304" s="4" t="s">
        <v>228</v>
      </c>
      <c r="BD1304" s="8" t="s">
        <v>228</v>
      </c>
      <c r="BE1304" s="4" t="s">
        <v>228</v>
      </c>
      <c r="BF1304" s="8" t="s">
        <v>228</v>
      </c>
      <c r="BG1304" s="7" t="s">
        <v>228</v>
      </c>
      <c r="BH1304" s="7" t="s">
        <v>228</v>
      </c>
      <c r="BI1304" s="7"/>
      <c r="BJ1304" s="4">
        <v>3</v>
      </c>
      <c r="BK1304" s="8">
        <v>142.86</v>
      </c>
      <c r="BL1304" s="2" t="s">
        <v>622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6748</v>
      </c>
      <c r="BV1304" s="2" t="s">
        <v>228</v>
      </c>
      <c r="BW1304" s="2" t="s">
        <v>228</v>
      </c>
      <c r="BX1304" s="2" t="s">
        <v>238</v>
      </c>
      <c r="BY1304" s="2" t="s">
        <v>274</v>
      </c>
      <c r="BZ1304" s="2" t="s">
        <v>240</v>
      </c>
      <c r="CA1304" s="2" t="s">
        <v>1590</v>
      </c>
      <c r="CB1304" s="2" t="s">
        <v>228</v>
      </c>
      <c r="CC1304" s="2" t="s">
        <v>241</v>
      </c>
      <c r="CD1304" s="2" t="s">
        <v>228</v>
      </c>
      <c r="CE1304" s="4">
        <v>96</v>
      </c>
      <c r="CF1304" s="4"/>
      <c r="CG1304" s="4"/>
      <c r="CH1304" s="4"/>
      <c r="CI1304" s="4"/>
      <c r="CJ1304" s="4"/>
      <c r="CK1304" s="4">
        <v>100</v>
      </c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>
        <v>100</v>
      </c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/>
      <c r="GE1304" s="4"/>
      <c r="GF1304" s="4"/>
      <c r="GG1304" s="4"/>
      <c r="GH1304" s="4"/>
      <c r="GI1304" s="4"/>
      <c r="GJ1304" s="4"/>
      <c r="GK1304" s="4"/>
      <c r="GL1304" s="4"/>
      <c r="GM1304" s="4"/>
      <c r="GN1304" s="4"/>
      <c r="GO1304" s="4"/>
      <c r="GP1304" s="4"/>
      <c r="GQ1304" s="4"/>
      <c r="GR1304" s="4"/>
      <c r="GS1304" s="4"/>
      <c r="GT1304" s="4"/>
      <c r="GU1304" s="4"/>
      <c r="GV1304" s="4"/>
      <c r="GW1304" s="4"/>
      <c r="GX1304" s="4"/>
      <c r="GY1304" s="4"/>
      <c r="GZ1304" s="4"/>
      <c r="HA1304" s="4"/>
      <c r="HB1304" s="4"/>
      <c r="HC1304" s="4"/>
      <c r="HD1304" s="4"/>
      <c r="HE1304" s="4"/>
    </row>
    <row r="1305">
      <c r="A1305" s="2" t="s">
        <v>6749</v>
      </c>
      <c r="B1305" s="2" t="s">
        <v>834</v>
      </c>
      <c r="C1305" s="2" t="s">
        <v>835</v>
      </c>
      <c r="D1305" s="2" t="s">
        <v>1028</v>
      </c>
      <c r="E1305" s="2" t="s">
        <v>1029</v>
      </c>
      <c r="F1305" s="2" t="s">
        <v>6750</v>
      </c>
      <c r="G1305" s="2" t="s">
        <v>6750</v>
      </c>
      <c r="H1305" s="2" t="s">
        <v>6750</v>
      </c>
      <c r="I1305" s="2" t="s">
        <v>6751</v>
      </c>
      <c r="J1305" s="2" t="s">
        <v>840</v>
      </c>
      <c r="K1305" s="2" t="s">
        <v>305</v>
      </c>
      <c r="L1305" s="3">
        <v>45.45</v>
      </c>
      <c r="M1305" s="3">
        <v>47.72</v>
      </c>
      <c r="N1305" s="3">
        <v>99.99</v>
      </c>
      <c r="O1305" s="2" t="s">
        <v>461</v>
      </c>
      <c r="P1305" s="2" t="s">
        <v>333</v>
      </c>
      <c r="Q1305" s="2" t="s">
        <v>234</v>
      </c>
      <c r="R1305" s="2" t="s">
        <v>228</v>
      </c>
      <c r="S1305" s="2" t="s">
        <v>228</v>
      </c>
      <c r="T1305" s="2" t="s">
        <v>228</v>
      </c>
      <c r="U1305" s="2" t="s">
        <v>416</v>
      </c>
      <c r="V1305" s="2" t="s">
        <v>842</v>
      </c>
      <c r="W1305" s="2" t="s">
        <v>417</v>
      </c>
      <c r="X1305" s="2" t="s">
        <v>228</v>
      </c>
      <c r="Y1305" s="2" t="s">
        <v>1032</v>
      </c>
      <c r="Z1305" s="4">
        <v>102</v>
      </c>
      <c r="AA1305" s="4">
        <f>=ROUNDDOWN(127.5,0)</f>
      </c>
      <c r="AB1305" s="5">
        <v>0.8</v>
      </c>
      <c r="AC1305" s="2" t="s">
        <v>228</v>
      </c>
      <c r="AD1305" s="4"/>
      <c r="AE1305" s="4"/>
      <c r="AF1305" s="6">
        <v>65</v>
      </c>
      <c r="AG1305" s="6"/>
      <c r="AH1305" s="7">
        <v>1</v>
      </c>
      <c r="AI1305" s="4"/>
      <c r="AJ1305" s="4">
        <f>=ROUNDDOWN({0},0)</f>
      </c>
      <c r="AK1305" s="5"/>
      <c r="AL1305" s="2" t="s">
        <v>228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/>
      <c r="AW1305" s="8"/>
      <c r="AX1305" s="4"/>
      <c r="AY1305" s="8"/>
      <c r="AZ1305" s="7"/>
      <c r="BA1305" s="7"/>
      <c r="BB1305" s="7"/>
      <c r="BC1305" s="4"/>
      <c r="BD1305" s="8"/>
      <c r="BE1305" s="4"/>
      <c r="BF1305" s="8"/>
      <c r="BG1305" s="7"/>
      <c r="BH1305" s="7"/>
      <c r="BI1305" s="7"/>
      <c r="BJ1305" s="4"/>
      <c r="BK1305" s="8"/>
      <c r="BL1305" s="2" t="s">
        <v>228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6752</v>
      </c>
      <c r="BV1305" s="2" t="s">
        <v>228</v>
      </c>
      <c r="BW1305" s="2" t="s">
        <v>228</v>
      </c>
      <c r="BX1305" s="2" t="s">
        <v>337</v>
      </c>
      <c r="BY1305" s="2" t="s">
        <v>274</v>
      </c>
      <c r="BZ1305" s="2" t="s">
        <v>240</v>
      </c>
      <c r="CA1305" s="2" t="s">
        <v>1035</v>
      </c>
      <c r="CB1305" s="2" t="s">
        <v>228</v>
      </c>
      <c r="CC1305" s="2" t="s">
        <v>241</v>
      </c>
      <c r="CD1305" s="2" t="s">
        <v>228</v>
      </c>
      <c r="CE1305" s="4"/>
      <c r="CF1305" s="4">
        <v>102</v>
      </c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  <c r="GS1305" s="4"/>
      <c r="GT1305" s="4"/>
      <c r="GU1305" s="4"/>
      <c r="GV1305" s="4"/>
      <c r="GW1305" s="4"/>
      <c r="GX1305" s="4"/>
      <c r="GY1305" s="4"/>
      <c r="GZ1305" s="4"/>
      <c r="HA1305" s="4"/>
      <c r="HB1305" s="4"/>
      <c r="HC1305" s="4"/>
      <c r="HD1305" s="4"/>
      <c r="HE1305" s="4"/>
    </row>
    <row r="1306">
      <c r="A1306" s="2" t="s">
        <v>6753</v>
      </c>
      <c r="B1306" s="2" t="s">
        <v>958</v>
      </c>
      <c r="C1306" s="2" t="s">
        <v>885</v>
      </c>
      <c r="D1306" s="2" t="s">
        <v>959</v>
      </c>
      <c r="E1306" s="2" t="s">
        <v>960</v>
      </c>
      <c r="F1306" s="2" t="s">
        <v>6754</v>
      </c>
      <c r="G1306" s="2" t="s">
        <v>6754</v>
      </c>
      <c r="H1306" s="2" t="s">
        <v>6754</v>
      </c>
      <c r="I1306" s="2" t="s">
        <v>2560</v>
      </c>
      <c r="J1306" s="2" t="s">
        <v>840</v>
      </c>
      <c r="K1306" s="2" t="s">
        <v>829</v>
      </c>
      <c r="L1306" s="3">
        <v>175.75</v>
      </c>
      <c r="M1306" s="3">
        <v>184.54</v>
      </c>
      <c r="N1306" s="3">
        <v>369</v>
      </c>
      <c r="O1306" s="2" t="s">
        <v>240</v>
      </c>
      <c r="P1306" s="2" t="s">
        <v>1012</v>
      </c>
      <c r="Q1306" s="2" t="s">
        <v>234</v>
      </c>
      <c r="R1306" s="2" t="s">
        <v>228</v>
      </c>
      <c r="S1306" s="2" t="s">
        <v>228</v>
      </c>
      <c r="T1306" s="2" t="s">
        <v>228</v>
      </c>
      <c r="U1306" s="2" t="s">
        <v>416</v>
      </c>
      <c r="V1306" s="2" t="s">
        <v>236</v>
      </c>
      <c r="W1306" s="2" t="s">
        <v>1514</v>
      </c>
      <c r="X1306" s="2" t="s">
        <v>309</v>
      </c>
      <c r="Y1306" s="2" t="s">
        <v>927</v>
      </c>
      <c r="Z1306" s="4">
        <v>170</v>
      </c>
      <c r="AA1306" s="4">
        <f>=ROUNDDOWN(56.6666666666667,0)</f>
      </c>
      <c r="AB1306" s="5">
        <v>3</v>
      </c>
      <c r="AC1306" s="2" t="s">
        <v>228</v>
      </c>
      <c r="AD1306" s="4"/>
      <c r="AE1306" s="4"/>
      <c r="AF1306" s="6">
        <v>68</v>
      </c>
      <c r="AG1306" s="6"/>
      <c r="AH1306" s="7">
        <v>1</v>
      </c>
      <c r="AI1306" s="4"/>
      <c r="AJ1306" s="4">
        <f>=ROUNDDOWN({0},0)</f>
      </c>
      <c r="AK1306" s="5"/>
      <c r="AL1306" s="2" t="s">
        <v>228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/>
      <c r="AW1306" s="8"/>
      <c r="AX1306" s="4"/>
      <c r="AY1306" s="8"/>
      <c r="AZ1306" s="7"/>
      <c r="BA1306" s="7"/>
      <c r="BB1306" s="7"/>
      <c r="BC1306" s="4"/>
      <c r="BD1306" s="8"/>
      <c r="BE1306" s="4"/>
      <c r="BF1306" s="8"/>
      <c r="BG1306" s="7"/>
      <c r="BH1306" s="7"/>
      <c r="BI1306" s="7"/>
      <c r="BJ1306" s="4">
        <v>16</v>
      </c>
      <c r="BK1306" s="8">
        <v>2988.34</v>
      </c>
      <c r="BL1306" s="2" t="s">
        <v>3616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6755</v>
      </c>
      <c r="BV1306" s="2" t="s">
        <v>228</v>
      </c>
      <c r="BW1306" s="2" t="s">
        <v>228</v>
      </c>
      <c r="BX1306" s="2" t="s">
        <v>273</v>
      </c>
      <c r="BY1306" s="2" t="s">
        <v>274</v>
      </c>
      <c r="BZ1306" s="2" t="s">
        <v>240</v>
      </c>
      <c r="CA1306" s="2" t="s">
        <v>379</v>
      </c>
      <c r="CB1306" s="2" t="s">
        <v>2186</v>
      </c>
      <c r="CC1306" s="2" t="s">
        <v>241</v>
      </c>
      <c r="CD1306" s="2" t="s">
        <v>228</v>
      </c>
      <c r="CE1306" s="4"/>
      <c r="CF1306" s="4">
        <v>170</v>
      </c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4"/>
      <c r="GR1306" s="4"/>
      <c r="GS1306" s="4"/>
      <c r="GT1306" s="4"/>
      <c r="GU1306" s="4"/>
      <c r="GV1306" s="4"/>
      <c r="GW1306" s="4"/>
      <c r="GX1306" s="4"/>
      <c r="GY1306" s="4"/>
      <c r="GZ1306" s="4"/>
      <c r="HA1306" s="4"/>
      <c r="HB1306" s="4"/>
      <c r="HC1306" s="4"/>
      <c r="HD1306" s="4"/>
      <c r="HE1306" s="4"/>
    </row>
    <row r="1307">
      <c r="A1307" s="2" t="s">
        <v>6756</v>
      </c>
      <c r="B1307" s="2" t="s">
        <v>834</v>
      </c>
      <c r="C1307" s="2" t="s">
        <v>835</v>
      </c>
      <c r="D1307" s="2" t="s">
        <v>1101</v>
      </c>
      <c r="E1307" s="2" t="s">
        <v>1102</v>
      </c>
      <c r="F1307" s="2" t="s">
        <v>6757</v>
      </c>
      <c r="G1307" s="2" t="s">
        <v>6757</v>
      </c>
      <c r="H1307" s="2" t="s">
        <v>6757</v>
      </c>
      <c r="I1307" s="2" t="s">
        <v>6758</v>
      </c>
      <c r="J1307" s="2" t="s">
        <v>840</v>
      </c>
      <c r="K1307" s="2" t="s">
        <v>265</v>
      </c>
      <c r="L1307" s="3">
        <v>40.38</v>
      </c>
      <c r="M1307" s="3">
        <v>42.4</v>
      </c>
      <c r="N1307" s="3">
        <v>89.99</v>
      </c>
      <c r="O1307" s="2" t="s">
        <v>240</v>
      </c>
      <c r="P1307" s="2" t="s">
        <v>266</v>
      </c>
      <c r="Q1307" s="2" t="s">
        <v>234</v>
      </c>
      <c r="R1307" s="2" t="s">
        <v>228</v>
      </c>
      <c r="S1307" s="2" t="s">
        <v>228</v>
      </c>
      <c r="T1307" s="2" t="s">
        <v>228</v>
      </c>
      <c r="U1307" s="2" t="s">
        <v>416</v>
      </c>
      <c r="V1307" s="2" t="s">
        <v>842</v>
      </c>
      <c r="W1307" s="2" t="s">
        <v>417</v>
      </c>
      <c r="X1307" s="2" t="s">
        <v>228</v>
      </c>
      <c r="Y1307" s="2" t="s">
        <v>2033</v>
      </c>
      <c r="Z1307" s="4">
        <v>74</v>
      </c>
      <c r="AA1307" s="4">
        <f>=ROUNDDOWN(23.8709677419355,0)</f>
      </c>
      <c r="AB1307" s="5">
        <v>3.1</v>
      </c>
      <c r="AC1307" s="2" t="s">
        <v>228</v>
      </c>
      <c r="AD1307" s="4"/>
      <c r="AE1307" s="4"/>
      <c r="AF1307" s="6">
        <v>65</v>
      </c>
      <c r="AG1307" s="6"/>
      <c r="AH1307" s="7">
        <v>1</v>
      </c>
      <c r="AI1307" s="4"/>
      <c r="AJ1307" s="4">
        <f>=ROUNDDOWN({0},0)</f>
      </c>
      <c r="AK1307" s="5"/>
      <c r="AL1307" s="2" t="s">
        <v>228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/>
      <c r="AW1307" s="8"/>
      <c r="AX1307" s="4"/>
      <c r="AY1307" s="8"/>
      <c r="AZ1307" s="7"/>
      <c r="BA1307" s="7"/>
      <c r="BB1307" s="7"/>
      <c r="BC1307" s="4"/>
      <c r="BD1307" s="8"/>
      <c r="BE1307" s="4"/>
      <c r="BF1307" s="8"/>
      <c r="BG1307" s="7"/>
      <c r="BH1307" s="7"/>
      <c r="BI1307" s="7"/>
      <c r="BJ1307" s="4">
        <v>7</v>
      </c>
      <c r="BK1307" s="8">
        <v>320.29</v>
      </c>
      <c r="BL1307" s="2" t="s">
        <v>6759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6760</v>
      </c>
      <c r="BV1307" s="2" t="s">
        <v>228</v>
      </c>
      <c r="BW1307" s="2" t="s">
        <v>228</v>
      </c>
      <c r="BX1307" s="2" t="s">
        <v>273</v>
      </c>
      <c r="BY1307" s="2" t="s">
        <v>274</v>
      </c>
      <c r="BZ1307" s="2" t="s">
        <v>240</v>
      </c>
      <c r="CA1307" s="2" t="s">
        <v>6761</v>
      </c>
      <c r="CB1307" s="2" t="s">
        <v>6762</v>
      </c>
      <c r="CC1307" s="2" t="s">
        <v>241</v>
      </c>
      <c r="CD1307" s="2" t="s">
        <v>228</v>
      </c>
      <c r="CE1307" s="4"/>
      <c r="CF1307" s="4">
        <v>74</v>
      </c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  <c r="GL1307" s="4"/>
      <c r="GM1307" s="4"/>
      <c r="GN1307" s="4"/>
      <c r="GO1307" s="4"/>
      <c r="GP1307" s="4"/>
      <c r="GQ1307" s="4"/>
      <c r="GR1307" s="4"/>
      <c r="GS1307" s="4"/>
      <c r="GT1307" s="4"/>
      <c r="GU1307" s="4"/>
      <c r="GV1307" s="4"/>
      <c r="GW1307" s="4"/>
      <c r="GX1307" s="4"/>
      <c r="GY1307" s="4"/>
      <c r="GZ1307" s="4"/>
      <c r="HA1307" s="4"/>
      <c r="HB1307" s="4"/>
      <c r="HC1307" s="4"/>
      <c r="HD1307" s="4"/>
      <c r="HE1307" s="4"/>
    </row>
    <row r="1308">
      <c r="A1308" s="2" t="s">
        <v>6763</v>
      </c>
      <c r="B1308" s="2" t="s">
        <v>958</v>
      </c>
      <c r="C1308" s="2" t="s">
        <v>1743</v>
      </c>
      <c r="D1308" s="2" t="s">
        <v>959</v>
      </c>
      <c r="E1308" s="2" t="s">
        <v>3094</v>
      </c>
      <c r="F1308" s="2" t="s">
        <v>1152</v>
      </c>
      <c r="G1308" s="2" t="s">
        <v>1152</v>
      </c>
      <c r="H1308" s="2" t="s">
        <v>1152</v>
      </c>
      <c r="I1308" s="2" t="s">
        <v>6764</v>
      </c>
      <c r="J1308" s="2" t="s">
        <v>840</v>
      </c>
      <c r="K1308" s="2" t="s">
        <v>249</v>
      </c>
      <c r="L1308" s="3">
        <v>115.9</v>
      </c>
      <c r="M1308" s="3">
        <v>121.7</v>
      </c>
      <c r="N1308" s="3">
        <v>239</v>
      </c>
      <c r="O1308" s="2" t="s">
        <v>240</v>
      </c>
      <c r="P1308" s="2" t="s">
        <v>333</v>
      </c>
      <c r="Q1308" s="2" t="s">
        <v>234</v>
      </c>
      <c r="R1308" s="2" t="s">
        <v>228</v>
      </c>
      <c r="S1308" s="2" t="s">
        <v>228</v>
      </c>
      <c r="T1308" s="2" t="s">
        <v>228</v>
      </c>
      <c r="U1308" s="2" t="s">
        <v>416</v>
      </c>
      <c r="V1308" s="2" t="s">
        <v>842</v>
      </c>
      <c r="W1308" s="2" t="s">
        <v>463</v>
      </c>
      <c r="X1308" s="2" t="s">
        <v>743</v>
      </c>
      <c r="Y1308" s="2" t="s">
        <v>6765</v>
      </c>
      <c r="Z1308" s="4">
        <v>77</v>
      </c>
      <c r="AA1308" s="4">
        <f>=ROUNDDOWN(77,0)</f>
      </c>
      <c r="AB1308" s="5">
        <v>1</v>
      </c>
      <c r="AC1308" s="2" t="s">
        <v>228</v>
      </c>
      <c r="AD1308" s="4"/>
      <c r="AE1308" s="4"/>
      <c r="AF1308" s="6">
        <v>74</v>
      </c>
      <c r="AG1308" s="6"/>
      <c r="AH1308" s="7">
        <v>1</v>
      </c>
      <c r="AI1308" s="4"/>
      <c r="AJ1308" s="4">
        <f>=ROUNDDOWN({0},0)</f>
      </c>
      <c r="AK1308" s="5"/>
      <c r="AL1308" s="2" t="s">
        <v>228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/>
      <c r="AW1308" s="8"/>
      <c r="AX1308" s="4"/>
      <c r="AY1308" s="8"/>
      <c r="AZ1308" s="7"/>
      <c r="BA1308" s="7"/>
      <c r="BB1308" s="7"/>
      <c r="BC1308" s="4"/>
      <c r="BD1308" s="8"/>
      <c r="BE1308" s="4"/>
      <c r="BF1308" s="8"/>
      <c r="BG1308" s="7"/>
      <c r="BH1308" s="7"/>
      <c r="BI1308" s="7"/>
      <c r="BJ1308" s="4">
        <v>3</v>
      </c>
      <c r="BK1308" s="8">
        <v>357.78</v>
      </c>
      <c r="BL1308" s="2" t="s">
        <v>6766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6767</v>
      </c>
      <c r="BV1308" s="2" t="s">
        <v>228</v>
      </c>
      <c r="BW1308" s="2" t="s">
        <v>228</v>
      </c>
      <c r="BX1308" s="2" t="s">
        <v>337</v>
      </c>
      <c r="BY1308" s="2" t="s">
        <v>274</v>
      </c>
      <c r="BZ1308" s="2" t="s">
        <v>240</v>
      </c>
      <c r="CA1308" s="2" t="s">
        <v>6768</v>
      </c>
      <c r="CB1308" s="2" t="s">
        <v>228</v>
      </c>
      <c r="CC1308" s="2" t="s">
        <v>241</v>
      </c>
      <c r="CD1308" s="2" t="s">
        <v>228</v>
      </c>
      <c r="CE1308" s="4"/>
      <c r="CF1308" s="4">
        <v>77</v>
      </c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  <c r="GG1308" s="4"/>
      <c r="GH1308" s="4"/>
      <c r="GI1308" s="4"/>
      <c r="GJ1308" s="4"/>
      <c r="GK1308" s="4"/>
      <c r="GL1308" s="4"/>
      <c r="GM1308" s="4"/>
      <c r="GN1308" s="4"/>
      <c r="GO1308" s="4"/>
      <c r="GP1308" s="4"/>
      <c r="GQ1308" s="4"/>
      <c r="GR1308" s="4"/>
      <c r="GS1308" s="4"/>
      <c r="GT1308" s="4"/>
      <c r="GU1308" s="4"/>
      <c r="GV1308" s="4"/>
      <c r="GW1308" s="4"/>
      <c r="GX1308" s="4"/>
      <c r="GY1308" s="4"/>
      <c r="GZ1308" s="4"/>
      <c r="HA1308" s="4"/>
      <c r="HB1308" s="4"/>
      <c r="HC1308" s="4"/>
      <c r="HD1308" s="4"/>
      <c r="HE1308" s="4"/>
    </row>
    <row r="1309">
      <c r="A1309" s="2" t="s">
        <v>6769</v>
      </c>
      <c r="B1309" s="2" t="s">
        <v>1150</v>
      </c>
      <c r="C1309" s="2" t="s">
        <v>1743</v>
      </c>
      <c r="D1309" s="2" t="s">
        <v>1112</v>
      </c>
      <c r="E1309" s="2" t="s">
        <v>1165</v>
      </c>
      <c r="F1309" s="2" t="s">
        <v>6770</v>
      </c>
      <c r="G1309" s="2" t="s">
        <v>6771</v>
      </c>
      <c r="H1309" s="2" t="s">
        <v>6772</v>
      </c>
      <c r="I1309" s="2" t="s">
        <v>6773</v>
      </c>
      <c r="J1309" s="2" t="s">
        <v>294</v>
      </c>
      <c r="K1309" s="2" t="s">
        <v>316</v>
      </c>
      <c r="L1309" s="3">
        <v>48</v>
      </c>
      <c r="M1309" s="3">
        <v>50.4</v>
      </c>
      <c r="N1309" s="3">
        <v>119.99</v>
      </c>
      <c r="O1309" s="2" t="s">
        <v>240</v>
      </c>
      <c r="P1309" s="2" t="s">
        <v>333</v>
      </c>
      <c r="Q1309" s="2" t="s">
        <v>234</v>
      </c>
      <c r="R1309" s="2" t="s">
        <v>228</v>
      </c>
      <c r="S1309" s="2" t="s">
        <v>6774</v>
      </c>
      <c r="T1309" s="2" t="s">
        <v>228</v>
      </c>
      <c r="U1309" s="2" t="s">
        <v>791</v>
      </c>
      <c r="V1309" s="2" t="s">
        <v>236</v>
      </c>
      <c r="W1309" s="2" t="s">
        <v>269</v>
      </c>
      <c r="X1309" s="2" t="s">
        <v>1171</v>
      </c>
      <c r="Y1309" s="2" t="s">
        <v>2209</v>
      </c>
      <c r="Z1309" s="4">
        <v>120</v>
      </c>
      <c r="AA1309" s="4">
        <f>=ROUNDDOWN(13.3333333333333,0)</f>
      </c>
      <c r="AB1309" s="5">
        <v>9</v>
      </c>
      <c r="AC1309" s="2" t="s">
        <v>228</v>
      </c>
      <c r="AD1309" s="4"/>
      <c r="AE1309" s="4"/>
      <c r="AF1309" s="6">
        <v>65</v>
      </c>
      <c r="AG1309" s="6"/>
      <c r="AH1309" s="7">
        <v>1</v>
      </c>
      <c r="AI1309" s="4"/>
      <c r="AJ1309" s="4">
        <f>=ROUNDDOWN({0},0)</f>
      </c>
      <c r="AK1309" s="5"/>
      <c r="AL1309" s="2" t="s">
        <v>228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/>
      <c r="AW1309" s="8"/>
      <c r="AX1309" s="4"/>
      <c r="AY1309" s="8"/>
      <c r="AZ1309" s="7"/>
      <c r="BA1309" s="7"/>
      <c r="BB1309" s="7"/>
      <c r="BC1309" s="4"/>
      <c r="BD1309" s="8"/>
      <c r="BE1309" s="4"/>
      <c r="BF1309" s="8"/>
      <c r="BG1309" s="7"/>
      <c r="BH1309" s="7"/>
      <c r="BI1309" s="7"/>
      <c r="BJ1309" s="4">
        <v>38</v>
      </c>
      <c r="BK1309" s="8">
        <v>1856.55</v>
      </c>
      <c r="BL1309" s="2" t="s">
        <v>6775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6776</v>
      </c>
      <c r="BV1309" s="2" t="s">
        <v>228</v>
      </c>
      <c r="BW1309" s="2" t="s">
        <v>228</v>
      </c>
      <c r="BX1309" s="2" t="s">
        <v>337</v>
      </c>
      <c r="BY1309" s="2" t="s">
        <v>274</v>
      </c>
      <c r="BZ1309" s="2" t="s">
        <v>240</v>
      </c>
      <c r="CA1309" s="2" t="s">
        <v>6777</v>
      </c>
      <c r="CB1309" s="2" t="s">
        <v>5583</v>
      </c>
      <c r="CC1309" s="2" t="s">
        <v>241</v>
      </c>
      <c r="CD1309" s="2" t="s">
        <v>228</v>
      </c>
      <c r="CE1309" s="4">
        <v>120</v>
      </c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  <c r="GG1309" s="4"/>
      <c r="GH1309" s="4"/>
      <c r="GI1309" s="4"/>
      <c r="GJ1309" s="4"/>
      <c r="GK1309" s="4"/>
      <c r="GL1309" s="4"/>
      <c r="GM1309" s="4"/>
      <c r="GN1309" s="4"/>
      <c r="GO1309" s="4"/>
      <c r="GP1309" s="4"/>
      <c r="GQ1309" s="4"/>
      <c r="GR1309" s="4"/>
      <c r="GS1309" s="4"/>
      <c r="GT1309" s="4"/>
      <c r="GU1309" s="4"/>
      <c r="GV1309" s="4"/>
      <c r="GW1309" s="4"/>
      <c r="GX1309" s="4"/>
      <c r="GY1309" s="4"/>
      <c r="GZ1309" s="4"/>
      <c r="HA1309" s="4"/>
      <c r="HB1309" s="4"/>
      <c r="HC1309" s="4"/>
      <c r="HD1309" s="4"/>
      <c r="HE1309" s="4"/>
    </row>
    <row r="1310">
      <c r="A1310" s="2" t="s">
        <v>6778</v>
      </c>
      <c r="B1310" s="2" t="s">
        <v>958</v>
      </c>
      <c r="C1310" s="2" t="s">
        <v>835</v>
      </c>
      <c r="D1310" s="2" t="s">
        <v>2122</v>
      </c>
      <c r="E1310" s="2" t="s">
        <v>2123</v>
      </c>
      <c r="F1310" s="2" t="s">
        <v>6779</v>
      </c>
      <c r="G1310" s="2" t="s">
        <v>6779</v>
      </c>
      <c r="H1310" s="2" t="s">
        <v>6779</v>
      </c>
      <c r="I1310" s="2" t="s">
        <v>6780</v>
      </c>
      <c r="J1310" s="2" t="s">
        <v>840</v>
      </c>
      <c r="K1310" s="2" t="s">
        <v>6781</v>
      </c>
      <c r="L1310" s="3">
        <v>135.85</v>
      </c>
      <c r="M1310" s="3">
        <v>142.64</v>
      </c>
      <c r="N1310" s="3">
        <v>289</v>
      </c>
      <c r="O1310" s="2" t="s">
        <v>240</v>
      </c>
      <c r="P1310" s="2" t="s">
        <v>266</v>
      </c>
      <c r="Q1310" s="2" t="s">
        <v>234</v>
      </c>
      <c r="R1310" s="2" t="s">
        <v>228</v>
      </c>
      <c r="S1310" s="2" t="s">
        <v>228</v>
      </c>
      <c r="T1310" s="2" t="s">
        <v>228</v>
      </c>
      <c r="U1310" s="2" t="s">
        <v>228</v>
      </c>
      <c r="V1310" s="2" t="s">
        <v>236</v>
      </c>
      <c r="W1310" s="2" t="s">
        <v>843</v>
      </c>
      <c r="X1310" s="2" t="s">
        <v>228</v>
      </c>
      <c r="Y1310" s="2" t="s">
        <v>6782</v>
      </c>
      <c r="Z1310" s="4">
        <v>130</v>
      </c>
      <c r="AA1310" s="4">
        <f>=ROUNDDOWN(48.1481481481481,0)</f>
      </c>
      <c r="AB1310" s="5">
        <v>2.7</v>
      </c>
      <c r="AC1310" s="2" t="s">
        <v>782</v>
      </c>
      <c r="AD1310" s="4">
        <v>100</v>
      </c>
      <c r="AE1310" s="4">
        <v>100</v>
      </c>
      <c r="AF1310" s="6">
        <v>74</v>
      </c>
      <c r="AG1310" s="6">
        <v>60</v>
      </c>
      <c r="AH1310" s="7">
        <v>1</v>
      </c>
      <c r="AI1310" s="4"/>
      <c r="AJ1310" s="4">
        <f>=ROUNDDOWN({0},0)</f>
      </c>
      <c r="AK1310" s="5"/>
      <c r="AL1310" s="2" t="s">
        <v>228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/>
      <c r="AW1310" s="8"/>
      <c r="AX1310" s="4"/>
      <c r="AY1310" s="8"/>
      <c r="AZ1310" s="7"/>
      <c r="BA1310" s="7"/>
      <c r="BB1310" s="7"/>
      <c r="BC1310" s="4"/>
      <c r="BD1310" s="8"/>
      <c r="BE1310" s="4"/>
      <c r="BF1310" s="8"/>
      <c r="BG1310" s="7"/>
      <c r="BH1310" s="7"/>
      <c r="BI1310" s="7"/>
      <c r="BJ1310" s="4">
        <v>11</v>
      </c>
      <c r="BK1310" s="8">
        <v>1637.64</v>
      </c>
      <c r="BL1310" s="2" t="s">
        <v>6783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6784</v>
      </c>
      <c r="BV1310" s="2" t="s">
        <v>228</v>
      </c>
      <c r="BW1310" s="2" t="s">
        <v>228</v>
      </c>
      <c r="BX1310" s="2" t="s">
        <v>273</v>
      </c>
      <c r="BY1310" s="2" t="s">
        <v>274</v>
      </c>
      <c r="BZ1310" s="2" t="s">
        <v>240</v>
      </c>
      <c r="CA1310" s="2" t="s">
        <v>6785</v>
      </c>
      <c r="CB1310" s="2" t="s">
        <v>4775</v>
      </c>
      <c r="CC1310" s="2" t="s">
        <v>241</v>
      </c>
      <c r="CD1310" s="2" t="s">
        <v>228</v>
      </c>
      <c r="CE1310" s="4"/>
      <c r="CF1310" s="4">
        <v>118</v>
      </c>
      <c r="CG1310" s="4"/>
      <c r="CH1310" s="4">
        <v>12</v>
      </c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  <c r="GG1310" s="4"/>
      <c r="GH1310" s="4"/>
      <c r="GI1310" s="4"/>
      <c r="GJ1310" s="4"/>
      <c r="GK1310" s="4"/>
      <c r="GL1310" s="4"/>
      <c r="GM1310" s="4"/>
      <c r="GN1310" s="4">
        <v>100</v>
      </c>
      <c r="GO1310" s="4"/>
      <c r="GP1310" s="4"/>
      <c r="GQ1310" s="4"/>
      <c r="GR1310" s="4"/>
      <c r="GS1310" s="4"/>
      <c r="GT1310" s="4"/>
      <c r="GU1310" s="4"/>
      <c r="GV1310" s="4"/>
      <c r="GW1310" s="4"/>
      <c r="GX1310" s="4"/>
      <c r="GY1310" s="4"/>
      <c r="GZ1310" s="4"/>
      <c r="HA1310" s="4"/>
      <c r="HB1310" s="4"/>
      <c r="HC1310" s="4"/>
      <c r="HD1310" s="4"/>
      <c r="HE1310" s="4"/>
    </row>
    <row r="1311">
      <c r="A1311" s="2" t="s">
        <v>6786</v>
      </c>
      <c r="B1311" s="2" t="s">
        <v>958</v>
      </c>
      <c r="C1311" s="2" t="s">
        <v>835</v>
      </c>
      <c r="D1311" s="2" t="s">
        <v>1006</v>
      </c>
      <c r="E1311" s="2" t="s">
        <v>1007</v>
      </c>
      <c r="F1311" s="2" t="s">
        <v>6787</v>
      </c>
      <c r="G1311" s="2" t="s">
        <v>6787</v>
      </c>
      <c r="H1311" s="2" t="s">
        <v>6787</v>
      </c>
      <c r="I1311" s="2" t="s">
        <v>6788</v>
      </c>
      <c r="J1311" s="2" t="s">
        <v>840</v>
      </c>
      <c r="K1311" s="2" t="s">
        <v>1105</v>
      </c>
      <c r="L1311" s="3">
        <v>239</v>
      </c>
      <c r="M1311" s="3">
        <v>250.95</v>
      </c>
      <c r="N1311" s="3">
        <v>499</v>
      </c>
      <c r="O1311" s="2" t="s">
        <v>240</v>
      </c>
      <c r="P1311" s="2" t="s">
        <v>233</v>
      </c>
      <c r="Q1311" s="2" t="s">
        <v>234</v>
      </c>
      <c r="R1311" s="2" t="s">
        <v>228</v>
      </c>
      <c r="S1311" s="2" t="s">
        <v>228</v>
      </c>
      <c r="T1311" s="2" t="s">
        <v>228</v>
      </c>
      <c r="U1311" s="2" t="s">
        <v>416</v>
      </c>
      <c r="V1311" s="2" t="s">
        <v>236</v>
      </c>
      <c r="W1311" s="2" t="s">
        <v>417</v>
      </c>
      <c r="X1311" s="2" t="s">
        <v>269</v>
      </c>
      <c r="Y1311" s="2" t="s">
        <v>6789</v>
      </c>
      <c r="Z1311" s="4"/>
      <c r="AA1311" s="4">
        <f>=ROUNDDOWN({0},0)</f>
      </c>
      <c r="AB1311" s="5"/>
      <c r="AC1311" s="2" t="s">
        <v>1788</v>
      </c>
      <c r="AD1311" s="4">
        <v>71</v>
      </c>
      <c r="AE1311" s="4">
        <v>71</v>
      </c>
      <c r="AF1311" s="6">
        <v>74</v>
      </c>
      <c r="AG1311" s="6"/>
      <c r="AH1311" s="7"/>
      <c r="AI1311" s="4"/>
      <c r="AJ1311" s="4">
        <f>=ROUNDDOWN({0},0)</f>
      </c>
      <c r="AK1311" s="5"/>
      <c r="AL1311" s="2" t="s">
        <v>228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/>
      <c r="AW1311" s="8"/>
      <c r="AX1311" s="4"/>
      <c r="AY1311" s="8"/>
      <c r="AZ1311" s="7"/>
      <c r="BA1311" s="7"/>
      <c r="BB1311" s="7"/>
      <c r="BC1311" s="4" t="s">
        <v>228</v>
      </c>
      <c r="BD1311" s="8" t="s">
        <v>228</v>
      </c>
      <c r="BE1311" s="4" t="s">
        <v>228</v>
      </c>
      <c r="BF1311" s="8" t="s">
        <v>228</v>
      </c>
      <c r="BG1311" s="7" t="s">
        <v>228</v>
      </c>
      <c r="BH1311" s="7" t="s">
        <v>228</v>
      </c>
      <c r="BI1311" s="7"/>
      <c r="BJ1311" s="4"/>
      <c r="BK1311" s="8"/>
      <c r="BL1311" s="2" t="s">
        <v>228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238</v>
      </c>
      <c r="BV1311" s="2" t="s">
        <v>228</v>
      </c>
      <c r="BW1311" s="2" t="s">
        <v>228</v>
      </c>
      <c r="BX1311" s="2" t="s">
        <v>238</v>
      </c>
      <c r="BY1311" s="2" t="s">
        <v>239</v>
      </c>
      <c r="BZ1311" s="2" t="s">
        <v>240</v>
      </c>
      <c r="CA1311" s="2" t="s">
        <v>228</v>
      </c>
      <c r="CB1311" s="2" t="s">
        <v>228</v>
      </c>
      <c r="CC1311" s="2" t="s">
        <v>241</v>
      </c>
      <c r="CD1311" s="2" t="s">
        <v>228</v>
      </c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>
        <v>71</v>
      </c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  <c r="GG1311" s="4"/>
      <c r="GH1311" s="4"/>
      <c r="GI1311" s="4"/>
      <c r="GJ1311" s="4"/>
      <c r="GK1311" s="4"/>
      <c r="GL1311" s="4"/>
      <c r="GM1311" s="4"/>
      <c r="GN1311" s="4"/>
      <c r="GO1311" s="4"/>
      <c r="GP1311" s="4"/>
      <c r="GQ1311" s="4"/>
      <c r="GR1311" s="4"/>
      <c r="GS1311" s="4"/>
      <c r="GT1311" s="4"/>
      <c r="GU1311" s="4"/>
      <c r="GV1311" s="4"/>
      <c r="GW1311" s="4"/>
      <c r="GX1311" s="4"/>
      <c r="GY1311" s="4"/>
      <c r="GZ1311" s="4"/>
      <c r="HA1311" s="4"/>
      <c r="HB1311" s="4"/>
      <c r="HC1311" s="4"/>
      <c r="HD1311" s="4"/>
      <c r="HE1311" s="4"/>
    </row>
    <row r="1312">
      <c r="A1312" s="2" t="s">
        <v>6790</v>
      </c>
      <c r="B1312" s="2" t="s">
        <v>958</v>
      </c>
      <c r="C1312" s="2" t="s">
        <v>835</v>
      </c>
      <c r="D1312" s="2" t="s">
        <v>1006</v>
      </c>
      <c r="E1312" s="2" t="s">
        <v>1007</v>
      </c>
      <c r="F1312" s="2" t="s">
        <v>6787</v>
      </c>
      <c r="G1312" s="2" t="s">
        <v>6787</v>
      </c>
      <c r="H1312" s="2" t="s">
        <v>6787</v>
      </c>
      <c r="I1312" s="2" t="s">
        <v>6788</v>
      </c>
      <c r="J1312" s="2" t="s">
        <v>840</v>
      </c>
      <c r="K1312" s="2" t="s">
        <v>460</v>
      </c>
      <c r="L1312" s="3">
        <v>239</v>
      </c>
      <c r="M1312" s="3">
        <v>250.95</v>
      </c>
      <c r="N1312" s="3">
        <v>499</v>
      </c>
      <c r="O1312" s="2" t="s">
        <v>240</v>
      </c>
      <c r="P1312" s="2" t="s">
        <v>233</v>
      </c>
      <c r="Q1312" s="2" t="s">
        <v>234</v>
      </c>
      <c r="R1312" s="2" t="s">
        <v>228</v>
      </c>
      <c r="S1312" s="2" t="s">
        <v>228</v>
      </c>
      <c r="T1312" s="2" t="s">
        <v>228</v>
      </c>
      <c r="U1312" s="2" t="s">
        <v>416</v>
      </c>
      <c r="V1312" s="2" t="s">
        <v>236</v>
      </c>
      <c r="W1312" s="2" t="s">
        <v>417</v>
      </c>
      <c r="X1312" s="2" t="s">
        <v>269</v>
      </c>
      <c r="Y1312" s="2" t="s">
        <v>6789</v>
      </c>
      <c r="Z1312" s="4"/>
      <c r="AA1312" s="4">
        <f>=ROUNDDOWN({0},0)</f>
      </c>
      <c r="AB1312" s="5"/>
      <c r="AC1312" s="2" t="s">
        <v>1788</v>
      </c>
      <c r="AD1312" s="4">
        <v>71</v>
      </c>
      <c r="AE1312" s="4">
        <v>71</v>
      </c>
      <c r="AF1312" s="6">
        <v>74</v>
      </c>
      <c r="AG1312" s="6"/>
      <c r="AH1312" s="7"/>
      <c r="AI1312" s="4"/>
      <c r="AJ1312" s="4">
        <f>=ROUNDDOWN({0},0)</f>
      </c>
      <c r="AK1312" s="5"/>
      <c r="AL1312" s="2" t="s">
        <v>228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/>
      <c r="AW1312" s="8"/>
      <c r="AX1312" s="4"/>
      <c r="AY1312" s="8"/>
      <c r="AZ1312" s="7"/>
      <c r="BA1312" s="7"/>
      <c r="BB1312" s="7"/>
      <c r="BC1312" s="4" t="s">
        <v>228</v>
      </c>
      <c r="BD1312" s="8" t="s">
        <v>228</v>
      </c>
      <c r="BE1312" s="4" t="s">
        <v>228</v>
      </c>
      <c r="BF1312" s="8" t="s">
        <v>228</v>
      </c>
      <c r="BG1312" s="7" t="s">
        <v>228</v>
      </c>
      <c r="BH1312" s="7" t="s">
        <v>228</v>
      </c>
      <c r="BI1312" s="7"/>
      <c r="BJ1312" s="4"/>
      <c r="BK1312" s="8"/>
      <c r="BL1312" s="2" t="s">
        <v>228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238</v>
      </c>
      <c r="BV1312" s="2" t="s">
        <v>228</v>
      </c>
      <c r="BW1312" s="2" t="s">
        <v>228</v>
      </c>
      <c r="BX1312" s="2" t="s">
        <v>238</v>
      </c>
      <c r="BY1312" s="2" t="s">
        <v>239</v>
      </c>
      <c r="BZ1312" s="2" t="s">
        <v>240</v>
      </c>
      <c r="CA1312" s="2" t="s">
        <v>228</v>
      </c>
      <c r="CB1312" s="2" t="s">
        <v>228</v>
      </c>
      <c r="CC1312" s="2" t="s">
        <v>241</v>
      </c>
      <c r="CD1312" s="2" t="s">
        <v>228</v>
      </c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>
        <v>71</v>
      </c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/>
      <c r="GE1312" s="4"/>
      <c r="GF1312" s="4"/>
      <c r="GG1312" s="4"/>
      <c r="GH1312" s="4"/>
      <c r="GI1312" s="4"/>
      <c r="GJ1312" s="4"/>
      <c r="GK1312" s="4"/>
      <c r="GL1312" s="4"/>
      <c r="GM1312" s="4"/>
      <c r="GN1312" s="4"/>
      <c r="GO1312" s="4"/>
      <c r="GP1312" s="4"/>
      <c r="GQ1312" s="4"/>
      <c r="GR1312" s="4"/>
      <c r="GS1312" s="4"/>
      <c r="GT1312" s="4"/>
      <c r="GU1312" s="4"/>
      <c r="GV1312" s="4"/>
      <c r="GW1312" s="4"/>
      <c r="GX1312" s="4"/>
      <c r="GY1312" s="4"/>
      <c r="GZ1312" s="4"/>
      <c r="HA1312" s="4"/>
      <c r="HB1312" s="4"/>
      <c r="HC1312" s="4"/>
      <c r="HD1312" s="4"/>
      <c r="HE1312" s="4"/>
    </row>
    <row r="1313">
      <c r="A1313" s="2" t="s">
        <v>6791</v>
      </c>
      <c r="B1313" s="2" t="s">
        <v>958</v>
      </c>
      <c r="C1313" s="2" t="s">
        <v>300</v>
      </c>
      <c r="D1313" s="2" t="s">
        <v>1790</v>
      </c>
      <c r="E1313" s="2" t="s">
        <v>1791</v>
      </c>
      <c r="F1313" s="2" t="s">
        <v>6792</v>
      </c>
      <c r="G1313" s="2" t="s">
        <v>6793</v>
      </c>
      <c r="H1313" s="2" t="s">
        <v>6794</v>
      </c>
      <c r="I1313" s="2" t="s">
        <v>6795</v>
      </c>
      <c r="J1313" s="2" t="s">
        <v>840</v>
      </c>
      <c r="K1313" s="2" t="s">
        <v>1105</v>
      </c>
      <c r="L1313" s="3">
        <v>165</v>
      </c>
      <c r="M1313" s="3">
        <v>173.25</v>
      </c>
      <c r="N1313" s="3">
        <v>349</v>
      </c>
      <c r="O1313" s="2" t="s">
        <v>240</v>
      </c>
      <c r="P1313" s="2" t="s">
        <v>266</v>
      </c>
      <c r="Q1313" s="2" t="s">
        <v>234</v>
      </c>
      <c r="R1313" s="2" t="s">
        <v>228</v>
      </c>
      <c r="S1313" s="2" t="s">
        <v>228</v>
      </c>
      <c r="T1313" s="2" t="s">
        <v>228</v>
      </c>
      <c r="U1313" s="2" t="s">
        <v>416</v>
      </c>
      <c r="V1313" s="2" t="s">
        <v>236</v>
      </c>
      <c r="W1313" s="2" t="s">
        <v>463</v>
      </c>
      <c r="X1313" s="2" t="s">
        <v>417</v>
      </c>
      <c r="Y1313" s="2" t="s">
        <v>6796</v>
      </c>
      <c r="Z1313" s="4">
        <v>150</v>
      </c>
      <c r="AA1313" s="4">
        <f>=ROUNDDOWN(12.5,0)</f>
      </c>
      <c r="AB1313" s="5">
        <v>12</v>
      </c>
      <c r="AC1313" s="2" t="s">
        <v>3106</v>
      </c>
      <c r="AD1313" s="4">
        <v>120</v>
      </c>
      <c r="AE1313" s="4">
        <v>285</v>
      </c>
      <c r="AF1313" s="6">
        <v>67</v>
      </c>
      <c r="AG1313" s="6">
        <v>50</v>
      </c>
      <c r="AH1313" s="7">
        <v>1</v>
      </c>
      <c r="AI1313" s="4"/>
      <c r="AJ1313" s="4">
        <f>=ROUNDDOWN({0},0)</f>
      </c>
      <c r="AK1313" s="5"/>
      <c r="AL1313" s="2" t="s">
        <v>228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/>
      <c r="AW1313" s="8"/>
      <c r="AX1313" s="4"/>
      <c r="AY1313" s="8"/>
      <c r="AZ1313" s="7"/>
      <c r="BA1313" s="7"/>
      <c r="BB1313" s="7"/>
      <c r="BC1313" s="4"/>
      <c r="BD1313" s="8"/>
      <c r="BE1313" s="4"/>
      <c r="BF1313" s="8"/>
      <c r="BG1313" s="7"/>
      <c r="BH1313" s="7"/>
      <c r="BI1313" s="7"/>
      <c r="BJ1313" s="4">
        <v>29</v>
      </c>
      <c r="BK1313" s="8">
        <v>4438.21</v>
      </c>
      <c r="BL1313" s="2" t="s">
        <v>6797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6798</v>
      </c>
      <c r="BV1313" s="2" t="s">
        <v>228</v>
      </c>
      <c r="BW1313" s="2" t="s">
        <v>228</v>
      </c>
      <c r="BX1313" s="2" t="s">
        <v>273</v>
      </c>
      <c r="BY1313" s="2" t="s">
        <v>274</v>
      </c>
      <c r="BZ1313" s="2" t="s">
        <v>240</v>
      </c>
      <c r="CA1313" s="2" t="s">
        <v>6796</v>
      </c>
      <c r="CB1313" s="2" t="s">
        <v>5630</v>
      </c>
      <c r="CC1313" s="2" t="s">
        <v>241</v>
      </c>
      <c r="CD1313" s="2" t="s">
        <v>228</v>
      </c>
      <c r="CE1313" s="4"/>
      <c r="CF1313" s="4">
        <v>147</v>
      </c>
      <c r="CG1313" s="4"/>
      <c r="CH1313" s="4">
        <v>3</v>
      </c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>
        <v>120</v>
      </c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/>
      <c r="GE1313" s="4"/>
      <c r="GF1313" s="4"/>
      <c r="GG1313" s="4"/>
      <c r="GH1313" s="4"/>
      <c r="GI1313" s="4"/>
      <c r="GJ1313" s="4"/>
      <c r="GK1313" s="4"/>
      <c r="GL1313" s="4"/>
      <c r="GM1313" s="4"/>
      <c r="GN1313" s="4"/>
      <c r="GO1313" s="4"/>
      <c r="GP1313" s="4"/>
      <c r="GQ1313" s="4">
        <v>165</v>
      </c>
      <c r="GR1313" s="4"/>
      <c r="GS1313" s="4"/>
      <c r="GT1313" s="4"/>
      <c r="GU1313" s="4"/>
      <c r="GV1313" s="4"/>
      <c r="GW1313" s="4"/>
      <c r="GX1313" s="4"/>
      <c r="GY1313" s="4"/>
      <c r="GZ1313" s="4"/>
      <c r="HA1313" s="4"/>
      <c r="HB1313" s="4"/>
      <c r="HC1313" s="4"/>
      <c r="HD1313" s="4"/>
      <c r="HE1313" s="4"/>
    </row>
    <row r="1314">
      <c r="A1314" s="2" t="s">
        <v>6799</v>
      </c>
      <c r="B1314" s="2" t="s">
        <v>1150</v>
      </c>
      <c r="C1314" s="2" t="s">
        <v>300</v>
      </c>
      <c r="D1314" s="2" t="s">
        <v>1112</v>
      </c>
      <c r="E1314" s="2" t="s">
        <v>1165</v>
      </c>
      <c r="F1314" s="2" t="s">
        <v>6800</v>
      </c>
      <c r="G1314" s="2" t="s">
        <v>6801</v>
      </c>
      <c r="H1314" s="2" t="s">
        <v>6390</v>
      </c>
      <c r="I1314" s="2" t="s">
        <v>6802</v>
      </c>
      <c r="J1314" s="2" t="s">
        <v>1189</v>
      </c>
      <c r="K1314" s="2" t="s">
        <v>6803</v>
      </c>
      <c r="L1314" s="3">
        <v>41.14</v>
      </c>
      <c r="M1314" s="3">
        <v>43.2</v>
      </c>
      <c r="N1314" s="3">
        <v>89.99</v>
      </c>
      <c r="O1314" s="2" t="s">
        <v>240</v>
      </c>
      <c r="P1314" s="2" t="s">
        <v>233</v>
      </c>
      <c r="Q1314" s="2" t="s">
        <v>234</v>
      </c>
      <c r="R1314" s="2" t="s">
        <v>228</v>
      </c>
      <c r="S1314" s="2" t="s">
        <v>6804</v>
      </c>
      <c r="T1314" s="2" t="s">
        <v>350</v>
      </c>
      <c r="U1314" s="2" t="s">
        <v>500</v>
      </c>
      <c r="V1314" s="2" t="s">
        <v>1156</v>
      </c>
      <c r="W1314" s="2" t="s">
        <v>2512</v>
      </c>
      <c r="X1314" s="2" t="s">
        <v>5547</v>
      </c>
      <c r="Y1314" s="2" t="s">
        <v>228</v>
      </c>
      <c r="Z1314" s="4"/>
      <c r="AA1314" s="4">
        <f>=ROUNDDOWN({0},0)</f>
      </c>
      <c r="AB1314" s="5"/>
      <c r="AC1314" s="2" t="s">
        <v>2114</v>
      </c>
      <c r="AD1314" s="4">
        <v>230</v>
      </c>
      <c r="AE1314" s="4">
        <v>460</v>
      </c>
      <c r="AF1314" s="6">
        <v>65</v>
      </c>
      <c r="AG1314" s="6"/>
      <c r="AH1314" s="7"/>
      <c r="AI1314" s="4"/>
      <c r="AJ1314" s="4">
        <f>=ROUNDDOWN({0},0)</f>
      </c>
      <c r="AK1314" s="5"/>
      <c r="AL1314" s="2" t="s">
        <v>228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228</v>
      </c>
      <c r="AW1314" s="8" t="s">
        <v>228</v>
      </c>
      <c r="AX1314" s="4" t="s">
        <v>228</v>
      </c>
      <c r="AY1314" s="8" t="s">
        <v>228</v>
      </c>
      <c r="AZ1314" s="7" t="s">
        <v>228</v>
      </c>
      <c r="BA1314" s="7" t="s">
        <v>228</v>
      </c>
      <c r="BB1314" s="7" t="s">
        <v>228</v>
      </c>
      <c r="BC1314" s="4" t="s">
        <v>228</v>
      </c>
      <c r="BD1314" s="8" t="s">
        <v>228</v>
      </c>
      <c r="BE1314" s="4" t="s">
        <v>228</v>
      </c>
      <c r="BF1314" s="8" t="s">
        <v>228</v>
      </c>
      <c r="BG1314" s="7" t="s">
        <v>228</v>
      </c>
      <c r="BH1314" s="7" t="s">
        <v>228</v>
      </c>
      <c r="BI1314" s="7"/>
      <c r="BJ1314" s="4"/>
      <c r="BK1314" s="8"/>
      <c r="BL1314" s="2" t="s">
        <v>228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238</v>
      </c>
      <c r="BV1314" s="2" t="s">
        <v>228</v>
      </c>
      <c r="BW1314" s="2" t="s">
        <v>228</v>
      </c>
      <c r="BX1314" s="2" t="s">
        <v>238</v>
      </c>
      <c r="BY1314" s="2" t="s">
        <v>239</v>
      </c>
      <c r="BZ1314" s="2" t="s">
        <v>240</v>
      </c>
      <c r="CA1314" s="2" t="s">
        <v>228</v>
      </c>
      <c r="CB1314" s="2" t="s">
        <v>228</v>
      </c>
      <c r="CC1314" s="2" t="s">
        <v>241</v>
      </c>
      <c r="CD1314" s="2" t="s">
        <v>228</v>
      </c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>
        <v>230</v>
      </c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>
        <v>230</v>
      </c>
      <c r="FT1314" s="4"/>
      <c r="FU1314" s="4"/>
      <c r="FV1314" s="4"/>
      <c r="FW1314" s="4"/>
      <c r="FX1314" s="4"/>
      <c r="FY1314" s="4"/>
      <c r="FZ1314" s="4"/>
      <c r="GA1314" s="4"/>
      <c r="GB1314" s="4"/>
      <c r="GC1314" s="4"/>
      <c r="GD1314" s="4"/>
      <c r="GE1314" s="4"/>
      <c r="GF1314" s="4"/>
      <c r="GG1314" s="4"/>
      <c r="GH1314" s="4"/>
      <c r="GI1314" s="4"/>
      <c r="GJ1314" s="4"/>
      <c r="GK1314" s="4"/>
      <c r="GL1314" s="4"/>
      <c r="GM1314" s="4"/>
      <c r="GN1314" s="4"/>
      <c r="GO1314" s="4"/>
      <c r="GP1314" s="4"/>
      <c r="GQ1314" s="4"/>
      <c r="GR1314" s="4"/>
      <c r="GS1314" s="4"/>
      <c r="GT1314" s="4"/>
      <c r="GU1314" s="4"/>
      <c r="GV1314" s="4"/>
      <c r="GW1314" s="4"/>
      <c r="GX1314" s="4"/>
      <c r="GY1314" s="4"/>
      <c r="GZ1314" s="4"/>
      <c r="HA1314" s="4"/>
      <c r="HB1314" s="4"/>
      <c r="HC1314" s="4"/>
      <c r="HD1314" s="4"/>
      <c r="HE1314" s="4"/>
    </row>
    <row r="1315">
      <c r="A1315" s="2" t="s">
        <v>6805</v>
      </c>
      <c r="B1315" s="2" t="s">
        <v>1150</v>
      </c>
      <c r="C1315" s="2" t="s">
        <v>300</v>
      </c>
      <c r="D1315" s="2" t="s">
        <v>850</v>
      </c>
      <c r="E1315" s="2" t="s">
        <v>1038</v>
      </c>
      <c r="F1315" s="2" t="s">
        <v>6800</v>
      </c>
      <c r="G1315" s="2" t="s">
        <v>6801</v>
      </c>
      <c r="H1315" s="2" t="s">
        <v>6390</v>
      </c>
      <c r="I1315" s="2" t="s">
        <v>6806</v>
      </c>
      <c r="J1315" s="2" t="s">
        <v>1189</v>
      </c>
      <c r="K1315" s="2" t="s">
        <v>6803</v>
      </c>
      <c r="L1315" s="3">
        <v>32</v>
      </c>
      <c r="M1315" s="3">
        <v>33.6</v>
      </c>
      <c r="N1315" s="3">
        <v>69.99</v>
      </c>
      <c r="O1315" s="2" t="s">
        <v>240</v>
      </c>
      <c r="P1315" s="2" t="s">
        <v>233</v>
      </c>
      <c r="Q1315" s="2" t="s">
        <v>234</v>
      </c>
      <c r="R1315" s="2" t="s">
        <v>228</v>
      </c>
      <c r="S1315" s="2" t="s">
        <v>6804</v>
      </c>
      <c r="T1315" s="2" t="s">
        <v>350</v>
      </c>
      <c r="U1315" s="2" t="s">
        <v>500</v>
      </c>
      <c r="V1315" s="2" t="s">
        <v>1156</v>
      </c>
      <c r="W1315" s="2" t="s">
        <v>2512</v>
      </c>
      <c r="X1315" s="2" t="s">
        <v>5547</v>
      </c>
      <c r="Y1315" s="2" t="s">
        <v>228</v>
      </c>
      <c r="Z1315" s="4"/>
      <c r="AA1315" s="4">
        <f>=ROUNDDOWN({0},0)</f>
      </c>
      <c r="AB1315" s="5"/>
      <c r="AC1315" s="2" t="s">
        <v>2114</v>
      </c>
      <c r="AD1315" s="4">
        <v>110</v>
      </c>
      <c r="AE1315" s="4">
        <v>220</v>
      </c>
      <c r="AF1315" s="6">
        <v>65</v>
      </c>
      <c r="AG1315" s="6"/>
      <c r="AH1315" s="7"/>
      <c r="AI1315" s="4"/>
      <c r="AJ1315" s="4">
        <f>=ROUNDDOWN({0},0)</f>
      </c>
      <c r="AK1315" s="5"/>
      <c r="AL1315" s="2" t="s">
        <v>228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228</v>
      </c>
      <c r="AW1315" s="8" t="s">
        <v>228</v>
      </c>
      <c r="AX1315" s="4" t="s">
        <v>228</v>
      </c>
      <c r="AY1315" s="8" t="s">
        <v>228</v>
      </c>
      <c r="AZ1315" s="7" t="s">
        <v>228</v>
      </c>
      <c r="BA1315" s="7" t="s">
        <v>228</v>
      </c>
      <c r="BB1315" s="7" t="s">
        <v>228</v>
      </c>
      <c r="BC1315" s="4" t="s">
        <v>228</v>
      </c>
      <c r="BD1315" s="8" t="s">
        <v>228</v>
      </c>
      <c r="BE1315" s="4" t="s">
        <v>228</v>
      </c>
      <c r="BF1315" s="8" t="s">
        <v>228</v>
      </c>
      <c r="BG1315" s="7" t="s">
        <v>228</v>
      </c>
      <c r="BH1315" s="7" t="s">
        <v>228</v>
      </c>
      <c r="BI1315" s="7"/>
      <c r="BJ1315" s="4"/>
      <c r="BK1315" s="8"/>
      <c r="BL1315" s="2" t="s">
        <v>228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238</v>
      </c>
      <c r="BV1315" s="2" t="s">
        <v>228</v>
      </c>
      <c r="BW1315" s="2" t="s">
        <v>228</v>
      </c>
      <c r="BX1315" s="2" t="s">
        <v>238</v>
      </c>
      <c r="BY1315" s="2" t="s">
        <v>239</v>
      </c>
      <c r="BZ1315" s="2" t="s">
        <v>240</v>
      </c>
      <c r="CA1315" s="2" t="s">
        <v>228</v>
      </c>
      <c r="CB1315" s="2" t="s">
        <v>228</v>
      </c>
      <c r="CC1315" s="2" t="s">
        <v>241</v>
      </c>
      <c r="CD1315" s="2" t="s">
        <v>228</v>
      </c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>
        <v>110</v>
      </c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>
        <v>110</v>
      </c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/>
      <c r="GE1315" s="4"/>
      <c r="GF1315" s="4"/>
      <c r="GG1315" s="4"/>
      <c r="GH1315" s="4"/>
      <c r="GI1315" s="4"/>
      <c r="GJ1315" s="4"/>
      <c r="GK1315" s="4"/>
      <c r="GL1315" s="4"/>
      <c r="GM1315" s="4"/>
      <c r="GN1315" s="4"/>
      <c r="GO1315" s="4"/>
      <c r="GP1315" s="4"/>
      <c r="GQ1315" s="4"/>
      <c r="GR1315" s="4"/>
      <c r="GS1315" s="4"/>
      <c r="GT1315" s="4"/>
      <c r="GU1315" s="4"/>
      <c r="GV1315" s="4"/>
      <c r="GW1315" s="4"/>
      <c r="GX1315" s="4"/>
      <c r="GY1315" s="4"/>
      <c r="GZ1315" s="4"/>
      <c r="HA1315" s="4"/>
      <c r="HB1315" s="4"/>
      <c r="HC1315" s="4"/>
      <c r="HD1315" s="4"/>
      <c r="HE1315" s="4"/>
    </row>
    <row r="1316">
      <c r="A1316" s="2" t="s">
        <v>6807</v>
      </c>
      <c r="B1316" s="2" t="s">
        <v>1150</v>
      </c>
      <c r="C1316" s="2" t="s">
        <v>300</v>
      </c>
      <c r="D1316" s="2" t="s">
        <v>1112</v>
      </c>
      <c r="E1316" s="2" t="s">
        <v>1165</v>
      </c>
      <c r="F1316" s="2" t="s">
        <v>6800</v>
      </c>
      <c r="G1316" s="2" t="s">
        <v>6801</v>
      </c>
      <c r="H1316" s="2" t="s">
        <v>6390</v>
      </c>
      <c r="I1316" s="2" t="s">
        <v>6802</v>
      </c>
      <c r="J1316" s="2" t="s">
        <v>1043</v>
      </c>
      <c r="K1316" s="2" t="s">
        <v>6803</v>
      </c>
      <c r="L1316" s="3">
        <v>45.71</v>
      </c>
      <c r="M1316" s="3">
        <v>48</v>
      </c>
      <c r="N1316" s="3">
        <v>99.99</v>
      </c>
      <c r="O1316" s="2" t="s">
        <v>240</v>
      </c>
      <c r="P1316" s="2" t="s">
        <v>233</v>
      </c>
      <c r="Q1316" s="2" t="s">
        <v>234</v>
      </c>
      <c r="R1316" s="2" t="s">
        <v>228</v>
      </c>
      <c r="S1316" s="2" t="s">
        <v>6804</v>
      </c>
      <c r="T1316" s="2" t="s">
        <v>350</v>
      </c>
      <c r="U1316" s="2" t="s">
        <v>500</v>
      </c>
      <c r="V1316" s="2" t="s">
        <v>1156</v>
      </c>
      <c r="W1316" s="2" t="s">
        <v>2512</v>
      </c>
      <c r="X1316" s="2" t="s">
        <v>5547</v>
      </c>
      <c r="Y1316" s="2" t="s">
        <v>228</v>
      </c>
      <c r="Z1316" s="4"/>
      <c r="AA1316" s="4">
        <f>=ROUNDDOWN({0},0)</f>
      </c>
      <c r="AB1316" s="5"/>
      <c r="AC1316" s="2" t="s">
        <v>2114</v>
      </c>
      <c r="AD1316" s="4">
        <v>155</v>
      </c>
      <c r="AE1316" s="4">
        <v>310</v>
      </c>
      <c r="AF1316" s="6">
        <v>65</v>
      </c>
      <c r="AG1316" s="6"/>
      <c r="AH1316" s="7"/>
      <c r="AI1316" s="4"/>
      <c r="AJ1316" s="4">
        <f>=ROUNDDOWN({0},0)</f>
      </c>
      <c r="AK1316" s="5"/>
      <c r="AL1316" s="2" t="s">
        <v>228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228</v>
      </c>
      <c r="AW1316" s="8" t="s">
        <v>228</v>
      </c>
      <c r="AX1316" s="4" t="s">
        <v>228</v>
      </c>
      <c r="AY1316" s="8" t="s">
        <v>228</v>
      </c>
      <c r="AZ1316" s="7" t="s">
        <v>228</v>
      </c>
      <c r="BA1316" s="7" t="s">
        <v>228</v>
      </c>
      <c r="BB1316" s="7" t="s">
        <v>228</v>
      </c>
      <c r="BC1316" s="4" t="s">
        <v>228</v>
      </c>
      <c r="BD1316" s="8" t="s">
        <v>228</v>
      </c>
      <c r="BE1316" s="4" t="s">
        <v>228</v>
      </c>
      <c r="BF1316" s="8" t="s">
        <v>228</v>
      </c>
      <c r="BG1316" s="7" t="s">
        <v>228</v>
      </c>
      <c r="BH1316" s="7" t="s">
        <v>228</v>
      </c>
      <c r="BI1316" s="7"/>
      <c r="BJ1316" s="4"/>
      <c r="BK1316" s="8"/>
      <c r="BL1316" s="2" t="s">
        <v>228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238</v>
      </c>
      <c r="BV1316" s="2" t="s">
        <v>228</v>
      </c>
      <c r="BW1316" s="2" t="s">
        <v>228</v>
      </c>
      <c r="BX1316" s="2" t="s">
        <v>238</v>
      </c>
      <c r="BY1316" s="2" t="s">
        <v>239</v>
      </c>
      <c r="BZ1316" s="2" t="s">
        <v>240</v>
      </c>
      <c r="CA1316" s="2" t="s">
        <v>228</v>
      </c>
      <c r="CB1316" s="2" t="s">
        <v>228</v>
      </c>
      <c r="CC1316" s="2" t="s">
        <v>241</v>
      </c>
      <c r="CD1316" s="2" t="s">
        <v>228</v>
      </c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>
        <v>155</v>
      </c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>
        <v>155</v>
      </c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/>
      <c r="GE1316" s="4"/>
      <c r="GF1316" s="4"/>
      <c r="GG1316" s="4"/>
      <c r="GH1316" s="4"/>
      <c r="GI1316" s="4"/>
      <c r="GJ1316" s="4"/>
      <c r="GK1316" s="4"/>
      <c r="GL1316" s="4"/>
      <c r="GM1316" s="4"/>
      <c r="GN1316" s="4"/>
      <c r="GO1316" s="4"/>
      <c r="GP1316" s="4"/>
      <c r="GQ1316" s="4"/>
      <c r="GR1316" s="4"/>
      <c r="GS1316" s="4"/>
      <c r="GT1316" s="4"/>
      <c r="GU1316" s="4"/>
      <c r="GV1316" s="4"/>
      <c r="GW1316" s="4"/>
      <c r="GX1316" s="4"/>
      <c r="GY1316" s="4"/>
      <c r="GZ1316" s="4"/>
      <c r="HA1316" s="4"/>
      <c r="HB1316" s="4"/>
      <c r="HC1316" s="4"/>
      <c r="HD1316" s="4"/>
      <c r="HE1316" s="4"/>
    </row>
    <row r="1317">
      <c r="A1317" s="2" t="s">
        <v>6808</v>
      </c>
      <c r="B1317" s="2" t="s">
        <v>1150</v>
      </c>
      <c r="C1317" s="2" t="s">
        <v>300</v>
      </c>
      <c r="D1317" s="2" t="s">
        <v>850</v>
      </c>
      <c r="E1317" s="2" t="s">
        <v>1038</v>
      </c>
      <c r="F1317" s="2" t="s">
        <v>6800</v>
      </c>
      <c r="G1317" s="2" t="s">
        <v>6801</v>
      </c>
      <c r="H1317" s="2" t="s">
        <v>6390</v>
      </c>
      <c r="I1317" s="2" t="s">
        <v>6806</v>
      </c>
      <c r="J1317" s="2" t="s">
        <v>1043</v>
      </c>
      <c r="K1317" s="2" t="s">
        <v>6803</v>
      </c>
      <c r="L1317" s="3">
        <v>36.57</v>
      </c>
      <c r="M1317" s="3">
        <v>38.4</v>
      </c>
      <c r="N1317" s="3">
        <v>79.99</v>
      </c>
      <c r="O1317" s="2" t="s">
        <v>240</v>
      </c>
      <c r="P1317" s="2" t="s">
        <v>233</v>
      </c>
      <c r="Q1317" s="2" t="s">
        <v>234</v>
      </c>
      <c r="R1317" s="2" t="s">
        <v>228</v>
      </c>
      <c r="S1317" s="2" t="s">
        <v>6804</v>
      </c>
      <c r="T1317" s="2" t="s">
        <v>350</v>
      </c>
      <c r="U1317" s="2" t="s">
        <v>500</v>
      </c>
      <c r="V1317" s="2" t="s">
        <v>1156</v>
      </c>
      <c r="W1317" s="2" t="s">
        <v>2512</v>
      </c>
      <c r="X1317" s="2" t="s">
        <v>5547</v>
      </c>
      <c r="Y1317" s="2" t="s">
        <v>228</v>
      </c>
      <c r="Z1317" s="4"/>
      <c r="AA1317" s="4">
        <f>=ROUNDDOWN({0},0)</f>
      </c>
      <c r="AB1317" s="5"/>
      <c r="AC1317" s="2" t="s">
        <v>2114</v>
      </c>
      <c r="AD1317" s="4">
        <v>105</v>
      </c>
      <c r="AE1317" s="4">
        <v>210</v>
      </c>
      <c r="AF1317" s="6">
        <v>65</v>
      </c>
      <c r="AG1317" s="6"/>
      <c r="AH1317" s="7"/>
      <c r="AI1317" s="4"/>
      <c r="AJ1317" s="4">
        <f>=ROUNDDOWN({0},0)</f>
      </c>
      <c r="AK1317" s="5"/>
      <c r="AL1317" s="2" t="s">
        <v>228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 t="s">
        <v>228</v>
      </c>
      <c r="AW1317" s="8" t="s">
        <v>228</v>
      </c>
      <c r="AX1317" s="4" t="s">
        <v>228</v>
      </c>
      <c r="AY1317" s="8" t="s">
        <v>228</v>
      </c>
      <c r="AZ1317" s="7" t="s">
        <v>228</v>
      </c>
      <c r="BA1317" s="7" t="s">
        <v>228</v>
      </c>
      <c r="BB1317" s="7" t="s">
        <v>228</v>
      </c>
      <c r="BC1317" s="4" t="s">
        <v>228</v>
      </c>
      <c r="BD1317" s="8" t="s">
        <v>228</v>
      </c>
      <c r="BE1317" s="4" t="s">
        <v>228</v>
      </c>
      <c r="BF1317" s="8" t="s">
        <v>228</v>
      </c>
      <c r="BG1317" s="7" t="s">
        <v>228</v>
      </c>
      <c r="BH1317" s="7" t="s">
        <v>228</v>
      </c>
      <c r="BI1317" s="7"/>
      <c r="BJ1317" s="4"/>
      <c r="BK1317" s="8"/>
      <c r="BL1317" s="2" t="s">
        <v>228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238</v>
      </c>
      <c r="BV1317" s="2" t="s">
        <v>228</v>
      </c>
      <c r="BW1317" s="2" t="s">
        <v>228</v>
      </c>
      <c r="BX1317" s="2" t="s">
        <v>238</v>
      </c>
      <c r="BY1317" s="2" t="s">
        <v>239</v>
      </c>
      <c r="BZ1317" s="2" t="s">
        <v>240</v>
      </c>
      <c r="CA1317" s="2" t="s">
        <v>228</v>
      </c>
      <c r="CB1317" s="2" t="s">
        <v>228</v>
      </c>
      <c r="CC1317" s="2" t="s">
        <v>241</v>
      </c>
      <c r="CD1317" s="2" t="s">
        <v>228</v>
      </c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>
        <v>105</v>
      </c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>
        <v>105</v>
      </c>
      <c r="FT1317" s="4"/>
      <c r="FU1317" s="4"/>
      <c r="FV1317" s="4"/>
      <c r="FW1317" s="4"/>
      <c r="FX1317" s="4"/>
      <c r="FY1317" s="4"/>
      <c r="FZ1317" s="4"/>
      <c r="GA1317" s="4"/>
      <c r="GB1317" s="4"/>
      <c r="GC1317" s="4"/>
      <c r="GD1317" s="4"/>
      <c r="GE1317" s="4"/>
      <c r="GF1317" s="4"/>
      <c r="GG1317" s="4"/>
      <c r="GH1317" s="4"/>
      <c r="GI1317" s="4"/>
      <c r="GJ1317" s="4"/>
      <c r="GK1317" s="4"/>
      <c r="GL1317" s="4"/>
      <c r="GM1317" s="4"/>
      <c r="GN1317" s="4"/>
      <c r="GO1317" s="4"/>
      <c r="GP1317" s="4"/>
      <c r="GQ1317" s="4"/>
      <c r="GR1317" s="4"/>
      <c r="GS1317" s="4"/>
      <c r="GT1317" s="4"/>
      <c r="GU1317" s="4"/>
      <c r="GV1317" s="4"/>
      <c r="GW1317" s="4"/>
      <c r="GX1317" s="4"/>
      <c r="GY1317" s="4"/>
      <c r="GZ1317" s="4"/>
      <c r="HA1317" s="4"/>
      <c r="HB1317" s="4"/>
      <c r="HC1317" s="4"/>
      <c r="HD1317" s="4"/>
      <c r="HE1317" s="4"/>
    </row>
    <row r="1318">
      <c r="A1318" s="2" t="s">
        <v>6809</v>
      </c>
      <c r="B1318" s="2" t="s">
        <v>958</v>
      </c>
      <c r="C1318" s="2" t="s">
        <v>300</v>
      </c>
      <c r="D1318" s="2" t="s">
        <v>959</v>
      </c>
      <c r="E1318" s="2" t="s">
        <v>960</v>
      </c>
      <c r="F1318" s="2" t="s">
        <v>6810</v>
      </c>
      <c r="G1318" s="2" t="s">
        <v>6811</v>
      </c>
      <c r="H1318" s="2" t="s">
        <v>6812</v>
      </c>
      <c r="I1318" s="2" t="s">
        <v>6813</v>
      </c>
      <c r="J1318" s="2" t="s">
        <v>840</v>
      </c>
      <c r="K1318" s="2" t="s">
        <v>2350</v>
      </c>
      <c r="L1318" s="3">
        <v>209.76</v>
      </c>
      <c r="M1318" s="3">
        <v>220.25</v>
      </c>
      <c r="N1318" s="3">
        <v>439</v>
      </c>
      <c r="O1318" s="2" t="s">
        <v>240</v>
      </c>
      <c r="P1318" s="2" t="s">
        <v>333</v>
      </c>
      <c r="Q1318" s="2" t="s">
        <v>234</v>
      </c>
      <c r="R1318" s="2" t="s">
        <v>228</v>
      </c>
      <c r="S1318" s="2" t="s">
        <v>228</v>
      </c>
      <c r="T1318" s="2" t="s">
        <v>228</v>
      </c>
      <c r="U1318" s="2" t="s">
        <v>416</v>
      </c>
      <c r="V1318" s="2" t="s">
        <v>842</v>
      </c>
      <c r="W1318" s="2" t="s">
        <v>417</v>
      </c>
      <c r="X1318" s="2" t="s">
        <v>1761</v>
      </c>
      <c r="Y1318" s="2" t="s">
        <v>3514</v>
      </c>
      <c r="Z1318" s="4">
        <v>28</v>
      </c>
      <c r="AA1318" s="4">
        <f>=ROUNDDOWN(14,0)</f>
      </c>
      <c r="AB1318" s="5">
        <v>2</v>
      </c>
      <c r="AC1318" s="2" t="s">
        <v>228</v>
      </c>
      <c r="AD1318" s="4"/>
      <c r="AE1318" s="4"/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228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/>
      <c r="AW1318" s="8"/>
      <c r="AX1318" s="4"/>
      <c r="AY1318" s="8"/>
      <c r="AZ1318" s="7"/>
      <c r="BA1318" s="7"/>
      <c r="BB1318" s="7"/>
      <c r="BC1318" s="4"/>
      <c r="BD1318" s="8"/>
      <c r="BE1318" s="4"/>
      <c r="BF1318" s="8"/>
      <c r="BG1318" s="7"/>
      <c r="BH1318" s="7"/>
      <c r="BI1318" s="7"/>
      <c r="BJ1318" s="4"/>
      <c r="BK1318" s="8"/>
      <c r="BL1318" s="2" t="s">
        <v>995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6814</v>
      </c>
      <c r="BV1318" s="2" t="s">
        <v>228</v>
      </c>
      <c r="BW1318" s="2" t="s">
        <v>228</v>
      </c>
      <c r="BX1318" s="2" t="s">
        <v>337</v>
      </c>
      <c r="BY1318" s="2" t="s">
        <v>274</v>
      </c>
      <c r="BZ1318" s="2" t="s">
        <v>240</v>
      </c>
      <c r="CA1318" s="2" t="s">
        <v>2700</v>
      </c>
      <c r="CB1318" s="2" t="s">
        <v>228</v>
      </c>
      <c r="CC1318" s="2" t="s">
        <v>241</v>
      </c>
      <c r="CD1318" s="2" t="s">
        <v>228</v>
      </c>
      <c r="CE1318" s="4"/>
      <c r="CF1318" s="4">
        <v>28</v>
      </c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/>
      <c r="GE1318" s="4"/>
      <c r="GF1318" s="4"/>
      <c r="GG1318" s="4"/>
      <c r="GH1318" s="4"/>
      <c r="GI1318" s="4"/>
      <c r="GJ1318" s="4"/>
      <c r="GK1318" s="4"/>
      <c r="GL1318" s="4"/>
      <c r="GM1318" s="4"/>
      <c r="GN1318" s="4"/>
      <c r="GO1318" s="4"/>
      <c r="GP1318" s="4"/>
      <c r="GQ1318" s="4"/>
      <c r="GR1318" s="4"/>
      <c r="GS1318" s="4"/>
      <c r="GT1318" s="4"/>
      <c r="GU1318" s="4"/>
      <c r="GV1318" s="4"/>
      <c r="GW1318" s="4"/>
      <c r="GX1318" s="4"/>
      <c r="GY1318" s="4"/>
      <c r="GZ1318" s="4"/>
      <c r="HA1318" s="4"/>
      <c r="HB1318" s="4"/>
      <c r="HC1318" s="4"/>
      <c r="HD1318" s="4"/>
      <c r="HE1318" s="4"/>
    </row>
    <row r="1319">
      <c r="A1319" s="2" t="s">
        <v>6815</v>
      </c>
      <c r="B1319" s="2" t="s">
        <v>970</v>
      </c>
      <c r="C1319" s="2" t="s">
        <v>1296</v>
      </c>
      <c r="D1319" s="2" t="s">
        <v>971</v>
      </c>
      <c r="E1319" s="2" t="s">
        <v>972</v>
      </c>
      <c r="F1319" s="2" t="s">
        <v>6816</v>
      </c>
      <c r="G1319" s="2" t="s">
        <v>1566</v>
      </c>
      <c r="H1319" s="2" t="s">
        <v>6817</v>
      </c>
      <c r="I1319" s="2" t="s">
        <v>6818</v>
      </c>
      <c r="J1319" s="2" t="s">
        <v>1300</v>
      </c>
      <c r="K1319" s="2" t="s">
        <v>1077</v>
      </c>
      <c r="L1319" s="3">
        <v>18</v>
      </c>
      <c r="M1319" s="3">
        <v>18.9</v>
      </c>
      <c r="N1319" s="3">
        <v>39.99</v>
      </c>
      <c r="O1319" s="2" t="s">
        <v>240</v>
      </c>
      <c r="P1319" s="2" t="s">
        <v>266</v>
      </c>
      <c r="Q1319" s="2" t="s">
        <v>234</v>
      </c>
      <c r="R1319" s="2" t="s">
        <v>228</v>
      </c>
      <c r="S1319" s="2" t="s">
        <v>6819</v>
      </c>
      <c r="T1319" s="2" t="s">
        <v>228</v>
      </c>
      <c r="U1319" s="2" t="s">
        <v>228</v>
      </c>
      <c r="V1319" s="2" t="s">
        <v>387</v>
      </c>
      <c r="W1319" s="2" t="s">
        <v>269</v>
      </c>
      <c r="X1319" s="2" t="s">
        <v>2411</v>
      </c>
      <c r="Y1319" s="2" t="s">
        <v>6820</v>
      </c>
      <c r="Z1319" s="4">
        <v>114</v>
      </c>
      <c r="AA1319" s="4">
        <f>=ROUNDDOWN(12.6666666666667,0)</f>
      </c>
      <c r="AB1319" s="5">
        <v>9</v>
      </c>
      <c r="AC1319" s="2" t="s">
        <v>173</v>
      </c>
      <c r="AD1319" s="4">
        <v>260</v>
      </c>
      <c r="AE1319" s="4">
        <v>260</v>
      </c>
      <c r="AF1319" s="6">
        <v>65</v>
      </c>
      <c r="AG1319" s="6"/>
      <c r="AH1319" s="7">
        <v>0.4516</v>
      </c>
      <c r="AI1319" s="4"/>
      <c r="AJ1319" s="4">
        <f>=ROUNDDOWN({0},0)</f>
      </c>
      <c r="AK1319" s="5"/>
      <c r="AL1319" s="2" t="s">
        <v>228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/>
      <c r="AW1319" s="8"/>
      <c r="AX1319" s="4"/>
      <c r="AY1319" s="8"/>
      <c r="AZ1319" s="7"/>
      <c r="BA1319" s="7"/>
      <c r="BB1319" s="7"/>
      <c r="BC1319" s="4"/>
      <c r="BD1319" s="8"/>
      <c r="BE1319" s="4"/>
      <c r="BF1319" s="8"/>
      <c r="BG1319" s="7"/>
      <c r="BH1319" s="7"/>
      <c r="BI1319" s="7"/>
      <c r="BJ1319" s="4">
        <v>13</v>
      </c>
      <c r="BK1319" s="8">
        <v>550.99</v>
      </c>
      <c r="BL1319" s="2" t="s">
        <v>6821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6822</v>
      </c>
      <c r="BV1319" s="2" t="s">
        <v>228</v>
      </c>
      <c r="BW1319" s="2" t="s">
        <v>228</v>
      </c>
      <c r="BX1319" s="2" t="s">
        <v>273</v>
      </c>
      <c r="BY1319" s="2" t="s">
        <v>274</v>
      </c>
      <c r="BZ1319" s="2" t="s">
        <v>240</v>
      </c>
      <c r="CA1319" s="2" t="s">
        <v>6823</v>
      </c>
      <c r="CB1319" s="2" t="s">
        <v>4191</v>
      </c>
      <c r="CC1319" s="2" t="s">
        <v>241</v>
      </c>
      <c r="CD1319" s="2" t="s">
        <v>228</v>
      </c>
      <c r="CE1319" s="4">
        <v>114</v>
      </c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>
        <v>260</v>
      </c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GF1319" s="4"/>
      <c r="GG1319" s="4"/>
      <c r="GH1319" s="4"/>
      <c r="GI1319" s="4"/>
      <c r="GJ1319" s="4"/>
      <c r="GK1319" s="4"/>
      <c r="GL1319" s="4"/>
      <c r="GM1319" s="4"/>
      <c r="GN1319" s="4"/>
      <c r="GO1319" s="4"/>
      <c r="GP1319" s="4"/>
      <c r="GQ1319" s="4"/>
      <c r="GR1319" s="4"/>
      <c r="GS1319" s="4"/>
      <c r="GT1319" s="4"/>
      <c r="GU1319" s="4"/>
      <c r="GV1319" s="4"/>
      <c r="GW1319" s="4"/>
      <c r="GX1319" s="4"/>
      <c r="GY1319" s="4"/>
      <c r="GZ1319" s="4"/>
      <c r="HA1319" s="4"/>
      <c r="HB1319" s="4"/>
      <c r="HC1319" s="4"/>
      <c r="HD1319" s="4"/>
      <c r="HE1319" s="4"/>
    </row>
    <row r="1320">
      <c r="A1320" s="2" t="s">
        <v>6824</v>
      </c>
      <c r="B1320" s="2" t="s">
        <v>848</v>
      </c>
      <c r="C1320" s="2" t="s">
        <v>1111</v>
      </c>
      <c r="D1320" s="2" t="s">
        <v>1316</v>
      </c>
      <c r="E1320" s="2" t="s">
        <v>2396</v>
      </c>
      <c r="F1320" s="2" t="s">
        <v>6825</v>
      </c>
      <c r="G1320" s="2" t="s">
        <v>6825</v>
      </c>
      <c r="H1320" s="2" t="s">
        <v>6825</v>
      </c>
      <c r="I1320" s="2" t="s">
        <v>6826</v>
      </c>
      <c r="J1320" s="2" t="s">
        <v>856</v>
      </c>
      <c r="K1320" s="2" t="s">
        <v>556</v>
      </c>
      <c r="L1320" s="3">
        <v>25</v>
      </c>
      <c r="M1320" s="3">
        <v>26.25</v>
      </c>
      <c r="N1320" s="3">
        <v>42.99</v>
      </c>
      <c r="O1320" s="2" t="s">
        <v>240</v>
      </c>
      <c r="P1320" s="2" t="s">
        <v>1116</v>
      </c>
      <c r="Q1320" s="2" t="s">
        <v>234</v>
      </c>
      <c r="R1320" s="2" t="s">
        <v>727</v>
      </c>
      <c r="S1320" s="2" t="s">
        <v>228</v>
      </c>
      <c r="T1320" s="2" t="s">
        <v>228</v>
      </c>
      <c r="U1320" s="2" t="s">
        <v>520</v>
      </c>
      <c r="V1320" s="2" t="s">
        <v>236</v>
      </c>
      <c r="W1320" s="2" t="s">
        <v>228</v>
      </c>
      <c r="X1320" s="2" t="s">
        <v>228</v>
      </c>
      <c r="Y1320" s="2" t="s">
        <v>6827</v>
      </c>
      <c r="Z1320" s="4">
        <v>30</v>
      </c>
      <c r="AA1320" s="4">
        <f>=ROUNDDOWN(15,0)</f>
      </c>
      <c r="AB1320" s="5">
        <v>2</v>
      </c>
      <c r="AC1320" s="2" t="s">
        <v>228</v>
      </c>
      <c r="AD1320" s="4"/>
      <c r="AE1320" s="4"/>
      <c r="AF1320" s="6">
        <v>64</v>
      </c>
      <c r="AG1320" s="6"/>
      <c r="AH1320" s="7">
        <v>1</v>
      </c>
      <c r="AI1320" s="4"/>
      <c r="AJ1320" s="4">
        <f>=ROUNDDOWN({0},0)</f>
      </c>
      <c r="AK1320" s="5"/>
      <c r="AL1320" s="2" t="s">
        <v>228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228</v>
      </c>
      <c r="AW1320" s="8" t="s">
        <v>228</v>
      </c>
      <c r="AX1320" s="4" t="s">
        <v>228</v>
      </c>
      <c r="AY1320" s="8" t="s">
        <v>228</v>
      </c>
      <c r="AZ1320" s="7" t="s">
        <v>228</v>
      </c>
      <c r="BA1320" s="7" t="s">
        <v>228</v>
      </c>
      <c r="BB1320" s="7"/>
      <c r="BC1320" s="4" t="s">
        <v>228</v>
      </c>
      <c r="BD1320" s="8" t="s">
        <v>228</v>
      </c>
      <c r="BE1320" s="4" t="s">
        <v>228</v>
      </c>
      <c r="BF1320" s="8" t="s">
        <v>228</v>
      </c>
      <c r="BG1320" s="7" t="s">
        <v>228</v>
      </c>
      <c r="BH1320" s="7" t="s">
        <v>228</v>
      </c>
      <c r="BI1320" s="7"/>
      <c r="BJ1320" s="4">
        <v>5</v>
      </c>
      <c r="BK1320" s="8">
        <v>125</v>
      </c>
      <c r="BL1320" s="2" t="s">
        <v>699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6828</v>
      </c>
      <c r="BV1320" s="2" t="s">
        <v>228</v>
      </c>
      <c r="BW1320" s="2" t="s">
        <v>228</v>
      </c>
      <c r="BX1320" s="2" t="s">
        <v>337</v>
      </c>
      <c r="BY1320" s="2" t="s">
        <v>274</v>
      </c>
      <c r="BZ1320" s="2" t="s">
        <v>240</v>
      </c>
      <c r="CA1320" s="2" t="s">
        <v>1554</v>
      </c>
      <c r="CB1320" s="2" t="s">
        <v>2888</v>
      </c>
      <c r="CC1320" s="2" t="s">
        <v>241</v>
      </c>
      <c r="CD1320" s="2" t="s">
        <v>228</v>
      </c>
      <c r="CE1320" s="4">
        <v>30</v>
      </c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/>
      <c r="GE1320" s="4"/>
      <c r="GF1320" s="4"/>
      <c r="GG1320" s="4"/>
      <c r="GH1320" s="4"/>
      <c r="GI1320" s="4"/>
      <c r="GJ1320" s="4"/>
      <c r="GK1320" s="4"/>
      <c r="GL1320" s="4"/>
      <c r="GM1320" s="4"/>
      <c r="GN1320" s="4"/>
      <c r="GO1320" s="4"/>
      <c r="GP1320" s="4"/>
      <c r="GQ1320" s="4"/>
      <c r="GR1320" s="4"/>
      <c r="GS1320" s="4"/>
      <c r="GT1320" s="4"/>
      <c r="GU1320" s="4"/>
      <c r="GV1320" s="4"/>
      <c r="GW1320" s="4"/>
      <c r="GX1320" s="4"/>
      <c r="GY1320" s="4"/>
      <c r="GZ1320" s="4"/>
      <c r="HA1320" s="4"/>
      <c r="HB1320" s="4"/>
      <c r="HC1320" s="4"/>
      <c r="HD1320" s="4"/>
      <c r="HE1320" s="4"/>
    </row>
    <row r="1321">
      <c r="A1321" s="2" t="s">
        <v>6829</v>
      </c>
      <c r="B1321" s="2" t="s">
        <v>848</v>
      </c>
      <c r="C1321" s="2" t="s">
        <v>1111</v>
      </c>
      <c r="D1321" s="2" t="s">
        <v>1316</v>
      </c>
      <c r="E1321" s="2" t="s">
        <v>2396</v>
      </c>
      <c r="F1321" s="2" t="s">
        <v>6825</v>
      </c>
      <c r="G1321" s="2" t="s">
        <v>6825</v>
      </c>
      <c r="H1321" s="2" t="s">
        <v>6825</v>
      </c>
      <c r="I1321" s="2" t="s">
        <v>6826</v>
      </c>
      <c r="J1321" s="2" t="s">
        <v>1189</v>
      </c>
      <c r="K1321" s="2" t="s">
        <v>556</v>
      </c>
      <c r="L1321" s="3">
        <v>31.8</v>
      </c>
      <c r="M1321" s="3">
        <v>33.39</v>
      </c>
      <c r="N1321" s="3">
        <v>52.99</v>
      </c>
      <c r="O1321" s="2" t="s">
        <v>240</v>
      </c>
      <c r="P1321" s="2" t="s">
        <v>1116</v>
      </c>
      <c r="Q1321" s="2" t="s">
        <v>234</v>
      </c>
      <c r="R1321" s="2" t="s">
        <v>727</v>
      </c>
      <c r="S1321" s="2" t="s">
        <v>228</v>
      </c>
      <c r="T1321" s="2" t="s">
        <v>228</v>
      </c>
      <c r="U1321" s="2" t="s">
        <v>500</v>
      </c>
      <c r="V1321" s="2" t="s">
        <v>236</v>
      </c>
      <c r="W1321" s="2" t="s">
        <v>228</v>
      </c>
      <c r="X1321" s="2" t="s">
        <v>228</v>
      </c>
      <c r="Y1321" s="2" t="s">
        <v>6827</v>
      </c>
      <c r="Z1321" s="4">
        <v>68</v>
      </c>
      <c r="AA1321" s="4">
        <f>=ROUNDDOWN(17,0)</f>
      </c>
      <c r="AB1321" s="5">
        <v>4</v>
      </c>
      <c r="AC1321" s="2" t="s">
        <v>228</v>
      </c>
      <c r="AD1321" s="4"/>
      <c r="AE1321" s="4"/>
      <c r="AF1321" s="6">
        <v>64</v>
      </c>
      <c r="AG1321" s="6"/>
      <c r="AH1321" s="7">
        <v>1</v>
      </c>
      <c r="AI1321" s="4"/>
      <c r="AJ1321" s="4">
        <f>=ROUNDDOWN({0},0)</f>
      </c>
      <c r="AK1321" s="5"/>
      <c r="AL1321" s="2" t="s">
        <v>228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228</v>
      </c>
      <c r="AW1321" s="8" t="s">
        <v>228</v>
      </c>
      <c r="AX1321" s="4" t="s">
        <v>228</v>
      </c>
      <c r="AY1321" s="8" t="s">
        <v>228</v>
      </c>
      <c r="AZ1321" s="7" t="s">
        <v>228</v>
      </c>
      <c r="BA1321" s="7" t="s">
        <v>228</v>
      </c>
      <c r="BB1321" s="7"/>
      <c r="BC1321" s="4" t="s">
        <v>228</v>
      </c>
      <c r="BD1321" s="8" t="s">
        <v>228</v>
      </c>
      <c r="BE1321" s="4" t="s">
        <v>228</v>
      </c>
      <c r="BF1321" s="8" t="s">
        <v>228</v>
      </c>
      <c r="BG1321" s="7" t="s">
        <v>228</v>
      </c>
      <c r="BH1321" s="7" t="s">
        <v>228</v>
      </c>
      <c r="BI1321" s="7"/>
      <c r="BJ1321" s="4">
        <v>7</v>
      </c>
      <c r="BK1321" s="8">
        <v>222.6</v>
      </c>
      <c r="BL1321" s="2" t="s">
        <v>699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6830</v>
      </c>
      <c r="BV1321" s="2" t="s">
        <v>228</v>
      </c>
      <c r="BW1321" s="2" t="s">
        <v>228</v>
      </c>
      <c r="BX1321" s="2" t="s">
        <v>337</v>
      </c>
      <c r="BY1321" s="2" t="s">
        <v>274</v>
      </c>
      <c r="BZ1321" s="2" t="s">
        <v>240</v>
      </c>
      <c r="CA1321" s="2" t="s">
        <v>1554</v>
      </c>
      <c r="CB1321" s="2" t="s">
        <v>228</v>
      </c>
      <c r="CC1321" s="2" t="s">
        <v>241</v>
      </c>
      <c r="CD1321" s="2" t="s">
        <v>228</v>
      </c>
      <c r="CE1321" s="4">
        <v>68</v>
      </c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  <c r="GG1321" s="4"/>
      <c r="GH1321" s="4"/>
      <c r="GI1321" s="4"/>
      <c r="GJ1321" s="4"/>
      <c r="GK1321" s="4"/>
      <c r="GL1321" s="4"/>
      <c r="GM1321" s="4"/>
      <c r="GN1321" s="4"/>
      <c r="GO1321" s="4"/>
      <c r="GP1321" s="4"/>
      <c r="GQ1321" s="4"/>
      <c r="GR1321" s="4"/>
      <c r="GS1321" s="4"/>
      <c r="GT1321" s="4"/>
      <c r="GU1321" s="4"/>
      <c r="GV1321" s="4"/>
      <c r="GW1321" s="4"/>
      <c r="GX1321" s="4"/>
      <c r="GY1321" s="4"/>
      <c r="GZ1321" s="4"/>
      <c r="HA1321" s="4"/>
      <c r="HB1321" s="4"/>
      <c r="HC1321" s="4"/>
      <c r="HD1321" s="4"/>
      <c r="HE1321" s="4"/>
    </row>
    <row r="1322">
      <c r="A1322" s="2" t="s">
        <v>6831</v>
      </c>
      <c r="B1322" s="2" t="s">
        <v>848</v>
      </c>
      <c r="C1322" s="2" t="s">
        <v>1111</v>
      </c>
      <c r="D1322" s="2" t="s">
        <v>1316</v>
      </c>
      <c r="E1322" s="2" t="s">
        <v>2396</v>
      </c>
      <c r="F1322" s="2" t="s">
        <v>6825</v>
      </c>
      <c r="G1322" s="2" t="s">
        <v>6825</v>
      </c>
      <c r="H1322" s="2" t="s">
        <v>6825</v>
      </c>
      <c r="I1322" s="2" t="s">
        <v>6826</v>
      </c>
      <c r="J1322" s="2" t="s">
        <v>294</v>
      </c>
      <c r="K1322" s="2" t="s">
        <v>556</v>
      </c>
      <c r="L1322" s="3">
        <v>36.8</v>
      </c>
      <c r="M1322" s="3">
        <v>38.64</v>
      </c>
      <c r="N1322" s="3">
        <v>59.99</v>
      </c>
      <c r="O1322" s="2" t="s">
        <v>461</v>
      </c>
      <c r="P1322" s="2" t="s">
        <v>1116</v>
      </c>
      <c r="Q1322" s="2" t="s">
        <v>234</v>
      </c>
      <c r="R1322" s="2" t="s">
        <v>727</v>
      </c>
      <c r="S1322" s="2" t="s">
        <v>228</v>
      </c>
      <c r="T1322" s="2" t="s">
        <v>228</v>
      </c>
      <c r="U1322" s="2" t="s">
        <v>500</v>
      </c>
      <c r="V1322" s="2" t="s">
        <v>236</v>
      </c>
      <c r="W1322" s="2" t="s">
        <v>228</v>
      </c>
      <c r="X1322" s="2" t="s">
        <v>228</v>
      </c>
      <c r="Y1322" s="2" t="s">
        <v>6827</v>
      </c>
      <c r="Z1322" s="4">
        <v>92</v>
      </c>
      <c r="AA1322" s="4">
        <f>=ROUNDDOWN(46,0)</f>
      </c>
      <c r="AB1322" s="5">
        <v>2</v>
      </c>
      <c r="AC1322" s="2" t="s">
        <v>228</v>
      </c>
      <c r="AD1322" s="4"/>
      <c r="AE1322" s="4"/>
      <c r="AF1322" s="6">
        <v>64</v>
      </c>
      <c r="AG1322" s="6"/>
      <c r="AH1322" s="7">
        <v>1</v>
      </c>
      <c r="AI1322" s="4"/>
      <c r="AJ1322" s="4">
        <f>=ROUNDDOWN({0},0)</f>
      </c>
      <c r="AK1322" s="5"/>
      <c r="AL1322" s="2" t="s">
        <v>228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 t="s">
        <v>228</v>
      </c>
      <c r="AW1322" s="8" t="s">
        <v>228</v>
      </c>
      <c r="AX1322" s="4" t="s">
        <v>228</v>
      </c>
      <c r="AY1322" s="8" t="s">
        <v>228</v>
      </c>
      <c r="AZ1322" s="7" t="s">
        <v>228</v>
      </c>
      <c r="BA1322" s="7" t="s">
        <v>228</v>
      </c>
      <c r="BB1322" s="7"/>
      <c r="BC1322" s="4" t="s">
        <v>228</v>
      </c>
      <c r="BD1322" s="8" t="s">
        <v>228</v>
      </c>
      <c r="BE1322" s="4" t="s">
        <v>228</v>
      </c>
      <c r="BF1322" s="8" t="s">
        <v>228</v>
      </c>
      <c r="BG1322" s="7" t="s">
        <v>228</v>
      </c>
      <c r="BH1322" s="7" t="s">
        <v>228</v>
      </c>
      <c r="BI1322" s="7"/>
      <c r="BJ1322" s="4">
        <v>4</v>
      </c>
      <c r="BK1322" s="8">
        <v>147.2</v>
      </c>
      <c r="BL1322" s="2" t="s">
        <v>699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6832</v>
      </c>
      <c r="BV1322" s="2" t="s">
        <v>228</v>
      </c>
      <c r="BW1322" s="2" t="s">
        <v>228</v>
      </c>
      <c r="BX1322" s="2" t="s">
        <v>273</v>
      </c>
      <c r="BY1322" s="2" t="s">
        <v>274</v>
      </c>
      <c r="BZ1322" s="2" t="s">
        <v>240</v>
      </c>
      <c r="CA1322" s="2" t="s">
        <v>1554</v>
      </c>
      <c r="CB1322" s="2" t="s">
        <v>228</v>
      </c>
      <c r="CC1322" s="2" t="s">
        <v>241</v>
      </c>
      <c r="CD1322" s="2" t="s">
        <v>228</v>
      </c>
      <c r="CE1322" s="4">
        <v>92</v>
      </c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/>
      <c r="GE1322" s="4"/>
      <c r="GF1322" s="4"/>
      <c r="GG1322" s="4"/>
      <c r="GH1322" s="4"/>
      <c r="GI1322" s="4"/>
      <c r="GJ1322" s="4"/>
      <c r="GK1322" s="4"/>
      <c r="GL1322" s="4"/>
      <c r="GM1322" s="4"/>
      <c r="GN1322" s="4"/>
      <c r="GO1322" s="4"/>
      <c r="GP1322" s="4"/>
      <c r="GQ1322" s="4"/>
      <c r="GR1322" s="4"/>
      <c r="GS1322" s="4"/>
      <c r="GT1322" s="4"/>
      <c r="GU1322" s="4"/>
      <c r="GV1322" s="4"/>
      <c r="GW1322" s="4"/>
      <c r="GX1322" s="4"/>
      <c r="GY1322" s="4"/>
      <c r="GZ1322" s="4"/>
      <c r="HA1322" s="4"/>
      <c r="HB1322" s="4"/>
      <c r="HC1322" s="4"/>
      <c r="HD1322" s="4"/>
      <c r="HE1322" s="4"/>
    </row>
    <row r="1323">
      <c r="A1323" s="2" t="s">
        <v>6833</v>
      </c>
      <c r="B1323" s="2" t="s">
        <v>848</v>
      </c>
      <c r="C1323" s="2" t="s">
        <v>1111</v>
      </c>
      <c r="D1323" s="2" t="s">
        <v>1316</v>
      </c>
      <c r="E1323" s="2" t="s">
        <v>2396</v>
      </c>
      <c r="F1323" s="2" t="s">
        <v>6825</v>
      </c>
      <c r="G1323" s="2" t="s">
        <v>6825</v>
      </c>
      <c r="H1323" s="2" t="s">
        <v>6825</v>
      </c>
      <c r="I1323" s="2" t="s">
        <v>6826</v>
      </c>
      <c r="J1323" s="2" t="s">
        <v>856</v>
      </c>
      <c r="K1323" s="2" t="s">
        <v>231</v>
      </c>
      <c r="L1323" s="3">
        <v>25</v>
      </c>
      <c r="M1323" s="3">
        <v>26.25</v>
      </c>
      <c r="N1323" s="3">
        <v>42.99</v>
      </c>
      <c r="O1323" s="2" t="s">
        <v>461</v>
      </c>
      <c r="P1323" s="2" t="s">
        <v>1116</v>
      </c>
      <c r="Q1323" s="2" t="s">
        <v>234</v>
      </c>
      <c r="R1323" s="2" t="s">
        <v>727</v>
      </c>
      <c r="S1323" s="2" t="s">
        <v>228</v>
      </c>
      <c r="T1323" s="2" t="s">
        <v>228</v>
      </c>
      <c r="U1323" s="2" t="s">
        <v>520</v>
      </c>
      <c r="V1323" s="2" t="s">
        <v>236</v>
      </c>
      <c r="W1323" s="2" t="s">
        <v>228</v>
      </c>
      <c r="X1323" s="2" t="s">
        <v>228</v>
      </c>
      <c r="Y1323" s="2" t="s">
        <v>6827</v>
      </c>
      <c r="Z1323" s="4">
        <v>106</v>
      </c>
      <c r="AA1323" s="4">
        <f>=ROUNDDOWN(53,0)</f>
      </c>
      <c r="AB1323" s="5">
        <v>2</v>
      </c>
      <c r="AC1323" s="2" t="s">
        <v>228</v>
      </c>
      <c r="AD1323" s="4"/>
      <c r="AE1323" s="4"/>
      <c r="AF1323" s="6">
        <v>64</v>
      </c>
      <c r="AG1323" s="6"/>
      <c r="AH1323" s="7">
        <v>1</v>
      </c>
      <c r="AI1323" s="4"/>
      <c r="AJ1323" s="4">
        <f>=ROUNDDOWN({0},0)</f>
      </c>
      <c r="AK1323" s="5"/>
      <c r="AL1323" s="2" t="s">
        <v>228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 t="s">
        <v>228</v>
      </c>
      <c r="AW1323" s="8" t="s">
        <v>228</v>
      </c>
      <c r="AX1323" s="4" t="s">
        <v>228</v>
      </c>
      <c r="AY1323" s="8" t="s">
        <v>228</v>
      </c>
      <c r="AZ1323" s="7" t="s">
        <v>228</v>
      </c>
      <c r="BA1323" s="7" t="s">
        <v>228</v>
      </c>
      <c r="BB1323" s="7"/>
      <c r="BC1323" s="4" t="s">
        <v>228</v>
      </c>
      <c r="BD1323" s="8" t="s">
        <v>228</v>
      </c>
      <c r="BE1323" s="4" t="s">
        <v>228</v>
      </c>
      <c r="BF1323" s="8" t="s">
        <v>228</v>
      </c>
      <c r="BG1323" s="7" t="s">
        <v>228</v>
      </c>
      <c r="BH1323" s="7" t="s">
        <v>228</v>
      </c>
      <c r="BI1323" s="7"/>
      <c r="BJ1323" s="4"/>
      <c r="BK1323" s="8"/>
      <c r="BL1323" s="2" t="s">
        <v>699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6834</v>
      </c>
      <c r="BV1323" s="2" t="s">
        <v>228</v>
      </c>
      <c r="BW1323" s="2" t="s">
        <v>228</v>
      </c>
      <c r="BX1323" s="2" t="s">
        <v>273</v>
      </c>
      <c r="BY1323" s="2" t="s">
        <v>274</v>
      </c>
      <c r="BZ1323" s="2" t="s">
        <v>240</v>
      </c>
      <c r="CA1323" s="2" t="s">
        <v>1554</v>
      </c>
      <c r="CB1323" s="2" t="s">
        <v>228</v>
      </c>
      <c r="CC1323" s="2" t="s">
        <v>241</v>
      </c>
      <c r="CD1323" s="2" t="s">
        <v>228</v>
      </c>
      <c r="CE1323" s="4">
        <v>106</v>
      </c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/>
      <c r="GE1323" s="4"/>
      <c r="GF1323" s="4"/>
      <c r="GG1323" s="4"/>
      <c r="GH1323" s="4"/>
      <c r="GI1323" s="4"/>
      <c r="GJ1323" s="4"/>
      <c r="GK1323" s="4"/>
      <c r="GL1323" s="4"/>
      <c r="GM1323" s="4"/>
      <c r="GN1323" s="4"/>
      <c r="GO1323" s="4"/>
      <c r="GP1323" s="4"/>
      <c r="GQ1323" s="4"/>
      <c r="GR1323" s="4"/>
      <c r="GS1323" s="4"/>
      <c r="GT1323" s="4"/>
      <c r="GU1323" s="4"/>
      <c r="GV1323" s="4"/>
      <c r="GW1323" s="4"/>
      <c r="GX1323" s="4"/>
      <c r="GY1323" s="4"/>
      <c r="GZ1323" s="4"/>
      <c r="HA1323" s="4"/>
      <c r="HB1323" s="4"/>
      <c r="HC1323" s="4"/>
      <c r="HD1323" s="4"/>
      <c r="HE1323" s="4"/>
    </row>
    <row r="1324">
      <c r="A1324" s="2" t="s">
        <v>6835</v>
      </c>
      <c r="B1324" s="2" t="s">
        <v>848</v>
      </c>
      <c r="C1324" s="2" t="s">
        <v>1111</v>
      </c>
      <c r="D1324" s="2" t="s">
        <v>1316</v>
      </c>
      <c r="E1324" s="2" t="s">
        <v>2396</v>
      </c>
      <c r="F1324" s="2" t="s">
        <v>6825</v>
      </c>
      <c r="G1324" s="2" t="s">
        <v>6825</v>
      </c>
      <c r="H1324" s="2" t="s">
        <v>6825</v>
      </c>
      <c r="I1324" s="2" t="s">
        <v>6826</v>
      </c>
      <c r="J1324" s="2" t="s">
        <v>1189</v>
      </c>
      <c r="K1324" s="2" t="s">
        <v>231</v>
      </c>
      <c r="L1324" s="3">
        <v>31.8</v>
      </c>
      <c r="M1324" s="3">
        <v>33.39</v>
      </c>
      <c r="N1324" s="3">
        <v>52.99</v>
      </c>
      <c r="O1324" s="2" t="s">
        <v>461</v>
      </c>
      <c r="P1324" s="2" t="s">
        <v>1116</v>
      </c>
      <c r="Q1324" s="2" t="s">
        <v>234</v>
      </c>
      <c r="R1324" s="2" t="s">
        <v>727</v>
      </c>
      <c r="S1324" s="2" t="s">
        <v>228</v>
      </c>
      <c r="T1324" s="2" t="s">
        <v>228</v>
      </c>
      <c r="U1324" s="2" t="s">
        <v>500</v>
      </c>
      <c r="V1324" s="2" t="s">
        <v>236</v>
      </c>
      <c r="W1324" s="2" t="s">
        <v>228</v>
      </c>
      <c r="X1324" s="2" t="s">
        <v>228</v>
      </c>
      <c r="Y1324" s="2" t="s">
        <v>6827</v>
      </c>
      <c r="Z1324" s="4">
        <v>151</v>
      </c>
      <c r="AA1324" s="4">
        <f>=ROUNDDOWN(50.3333333333333,0)</f>
      </c>
      <c r="AB1324" s="5">
        <v>3</v>
      </c>
      <c r="AC1324" s="2" t="s">
        <v>228</v>
      </c>
      <c r="AD1324" s="4"/>
      <c r="AE1324" s="4"/>
      <c r="AF1324" s="6">
        <v>64</v>
      </c>
      <c r="AG1324" s="6"/>
      <c r="AH1324" s="7">
        <v>1</v>
      </c>
      <c r="AI1324" s="4"/>
      <c r="AJ1324" s="4">
        <f>=ROUNDDOWN({0},0)</f>
      </c>
      <c r="AK1324" s="5"/>
      <c r="AL1324" s="2" t="s">
        <v>228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 t="s">
        <v>228</v>
      </c>
      <c r="AW1324" s="8" t="s">
        <v>228</v>
      </c>
      <c r="AX1324" s="4" t="s">
        <v>228</v>
      </c>
      <c r="AY1324" s="8" t="s">
        <v>228</v>
      </c>
      <c r="AZ1324" s="7" t="s">
        <v>228</v>
      </c>
      <c r="BA1324" s="7" t="s">
        <v>228</v>
      </c>
      <c r="BB1324" s="7"/>
      <c r="BC1324" s="4" t="s">
        <v>228</v>
      </c>
      <c r="BD1324" s="8" t="s">
        <v>228</v>
      </c>
      <c r="BE1324" s="4" t="s">
        <v>228</v>
      </c>
      <c r="BF1324" s="8" t="s">
        <v>228</v>
      </c>
      <c r="BG1324" s="7" t="s">
        <v>228</v>
      </c>
      <c r="BH1324" s="7" t="s">
        <v>228</v>
      </c>
      <c r="BI1324" s="7"/>
      <c r="BJ1324" s="4">
        <v>1</v>
      </c>
      <c r="BK1324" s="8">
        <v>31.8</v>
      </c>
      <c r="BL1324" s="2" t="s">
        <v>699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6836</v>
      </c>
      <c r="BV1324" s="2" t="s">
        <v>228</v>
      </c>
      <c r="BW1324" s="2" t="s">
        <v>228</v>
      </c>
      <c r="BX1324" s="2" t="s">
        <v>273</v>
      </c>
      <c r="BY1324" s="2" t="s">
        <v>274</v>
      </c>
      <c r="BZ1324" s="2" t="s">
        <v>240</v>
      </c>
      <c r="CA1324" s="2" t="s">
        <v>1554</v>
      </c>
      <c r="CB1324" s="2" t="s">
        <v>228</v>
      </c>
      <c r="CC1324" s="2" t="s">
        <v>241</v>
      </c>
      <c r="CD1324" s="2" t="s">
        <v>228</v>
      </c>
      <c r="CE1324" s="4">
        <v>151</v>
      </c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/>
      <c r="GG1324" s="4"/>
      <c r="GH1324" s="4"/>
      <c r="GI1324" s="4"/>
      <c r="GJ1324" s="4"/>
      <c r="GK1324" s="4"/>
      <c r="GL1324" s="4"/>
      <c r="GM1324" s="4"/>
      <c r="GN1324" s="4"/>
      <c r="GO1324" s="4"/>
      <c r="GP1324" s="4"/>
      <c r="GQ1324" s="4"/>
      <c r="GR1324" s="4"/>
      <c r="GS1324" s="4"/>
      <c r="GT1324" s="4"/>
      <c r="GU1324" s="4"/>
      <c r="GV1324" s="4"/>
      <c r="GW1324" s="4"/>
      <c r="GX1324" s="4"/>
      <c r="GY1324" s="4"/>
      <c r="GZ1324" s="4"/>
      <c r="HA1324" s="4"/>
      <c r="HB1324" s="4"/>
      <c r="HC1324" s="4"/>
      <c r="HD1324" s="4"/>
      <c r="HE1324" s="4"/>
    </row>
    <row r="1325">
      <c r="A1325" s="2" t="s">
        <v>6837</v>
      </c>
      <c r="B1325" s="2" t="s">
        <v>848</v>
      </c>
      <c r="C1325" s="2" t="s">
        <v>1111</v>
      </c>
      <c r="D1325" s="2" t="s">
        <v>1316</v>
      </c>
      <c r="E1325" s="2" t="s">
        <v>2396</v>
      </c>
      <c r="F1325" s="2" t="s">
        <v>6825</v>
      </c>
      <c r="G1325" s="2" t="s">
        <v>6825</v>
      </c>
      <c r="H1325" s="2" t="s">
        <v>6825</v>
      </c>
      <c r="I1325" s="2" t="s">
        <v>6826</v>
      </c>
      <c r="J1325" s="2" t="s">
        <v>294</v>
      </c>
      <c r="K1325" s="2" t="s">
        <v>231</v>
      </c>
      <c r="L1325" s="3">
        <v>36.8</v>
      </c>
      <c r="M1325" s="3">
        <v>38.64</v>
      </c>
      <c r="N1325" s="3">
        <v>59.99</v>
      </c>
      <c r="O1325" s="2" t="s">
        <v>461</v>
      </c>
      <c r="P1325" s="2" t="s">
        <v>1116</v>
      </c>
      <c r="Q1325" s="2" t="s">
        <v>234</v>
      </c>
      <c r="R1325" s="2" t="s">
        <v>727</v>
      </c>
      <c r="S1325" s="2" t="s">
        <v>228</v>
      </c>
      <c r="T1325" s="2" t="s">
        <v>228</v>
      </c>
      <c r="U1325" s="2" t="s">
        <v>500</v>
      </c>
      <c r="V1325" s="2" t="s">
        <v>236</v>
      </c>
      <c r="W1325" s="2" t="s">
        <v>228</v>
      </c>
      <c r="X1325" s="2" t="s">
        <v>228</v>
      </c>
      <c r="Y1325" s="2" t="s">
        <v>6827</v>
      </c>
      <c r="Z1325" s="4">
        <v>99</v>
      </c>
      <c r="AA1325" s="4">
        <f>=ROUNDDOWN(495,0)</f>
      </c>
      <c r="AB1325" s="5">
        <v>0.2</v>
      </c>
      <c r="AC1325" s="2" t="s">
        <v>228</v>
      </c>
      <c r="AD1325" s="4"/>
      <c r="AE1325" s="4"/>
      <c r="AF1325" s="6">
        <v>64</v>
      </c>
      <c r="AG1325" s="6"/>
      <c r="AH1325" s="7">
        <v>1</v>
      </c>
      <c r="AI1325" s="4"/>
      <c r="AJ1325" s="4">
        <f>=ROUNDDOWN({0},0)</f>
      </c>
      <c r="AK1325" s="5"/>
      <c r="AL1325" s="2" t="s">
        <v>228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228</v>
      </c>
      <c r="AW1325" s="8" t="s">
        <v>228</v>
      </c>
      <c r="AX1325" s="4" t="s">
        <v>228</v>
      </c>
      <c r="AY1325" s="8" t="s">
        <v>228</v>
      </c>
      <c r="AZ1325" s="7" t="s">
        <v>228</v>
      </c>
      <c r="BA1325" s="7" t="s">
        <v>228</v>
      </c>
      <c r="BB1325" s="7"/>
      <c r="BC1325" s="4" t="s">
        <v>228</v>
      </c>
      <c r="BD1325" s="8" t="s">
        <v>228</v>
      </c>
      <c r="BE1325" s="4" t="s">
        <v>228</v>
      </c>
      <c r="BF1325" s="8" t="s">
        <v>228</v>
      </c>
      <c r="BG1325" s="7" t="s">
        <v>228</v>
      </c>
      <c r="BH1325" s="7" t="s">
        <v>228</v>
      </c>
      <c r="BI1325" s="7"/>
      <c r="BJ1325" s="4">
        <v>1</v>
      </c>
      <c r="BK1325" s="8">
        <v>36.8</v>
      </c>
      <c r="BL1325" s="2" t="s">
        <v>699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6838</v>
      </c>
      <c r="BV1325" s="2" t="s">
        <v>228</v>
      </c>
      <c r="BW1325" s="2" t="s">
        <v>228</v>
      </c>
      <c r="BX1325" s="2" t="s">
        <v>273</v>
      </c>
      <c r="BY1325" s="2" t="s">
        <v>274</v>
      </c>
      <c r="BZ1325" s="2" t="s">
        <v>240</v>
      </c>
      <c r="CA1325" s="2" t="s">
        <v>1554</v>
      </c>
      <c r="CB1325" s="2" t="s">
        <v>228</v>
      </c>
      <c r="CC1325" s="2" t="s">
        <v>241</v>
      </c>
      <c r="CD1325" s="2" t="s">
        <v>228</v>
      </c>
      <c r="CE1325" s="4">
        <v>99</v>
      </c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4"/>
      <c r="GF1325" s="4"/>
      <c r="GG1325" s="4"/>
      <c r="GH1325" s="4"/>
      <c r="GI1325" s="4"/>
      <c r="GJ1325" s="4"/>
      <c r="GK1325" s="4"/>
      <c r="GL1325" s="4"/>
      <c r="GM1325" s="4"/>
      <c r="GN1325" s="4"/>
      <c r="GO1325" s="4"/>
      <c r="GP1325" s="4"/>
      <c r="GQ1325" s="4"/>
      <c r="GR1325" s="4"/>
      <c r="GS1325" s="4"/>
      <c r="GT1325" s="4"/>
      <c r="GU1325" s="4"/>
      <c r="GV1325" s="4"/>
      <c r="GW1325" s="4"/>
      <c r="GX1325" s="4"/>
      <c r="GY1325" s="4"/>
      <c r="GZ1325" s="4"/>
      <c r="HA1325" s="4"/>
      <c r="HB1325" s="4"/>
      <c r="HC1325" s="4"/>
      <c r="HD1325" s="4"/>
      <c r="HE1325" s="4"/>
    </row>
    <row r="1326">
      <c r="A1326" s="2" t="s">
        <v>6839</v>
      </c>
      <c r="B1326" s="2" t="s">
        <v>1150</v>
      </c>
      <c r="C1326" s="2" t="s">
        <v>1861</v>
      </c>
      <c r="D1326" s="2" t="s">
        <v>1112</v>
      </c>
      <c r="E1326" s="2" t="s">
        <v>1165</v>
      </c>
      <c r="F1326" s="2" t="s">
        <v>6840</v>
      </c>
      <c r="G1326" s="2" t="s">
        <v>6840</v>
      </c>
      <c r="H1326" s="2" t="s">
        <v>6840</v>
      </c>
      <c r="I1326" s="2" t="s">
        <v>6841</v>
      </c>
      <c r="J1326" s="2" t="s">
        <v>312</v>
      </c>
      <c r="K1326" s="2" t="s">
        <v>1960</v>
      </c>
      <c r="L1326" s="3">
        <v>204.28</v>
      </c>
      <c r="M1326" s="3">
        <v>214.49</v>
      </c>
      <c r="N1326" s="3">
        <v>599.99</v>
      </c>
      <c r="O1326" s="2" t="s">
        <v>240</v>
      </c>
      <c r="P1326" s="2" t="s">
        <v>266</v>
      </c>
      <c r="Q1326" s="2" t="s">
        <v>234</v>
      </c>
      <c r="R1326" s="2" t="s">
        <v>228</v>
      </c>
      <c r="S1326" s="2" t="s">
        <v>228</v>
      </c>
      <c r="T1326" s="2" t="s">
        <v>228</v>
      </c>
      <c r="U1326" s="2" t="s">
        <v>308</v>
      </c>
      <c r="V1326" s="2" t="s">
        <v>1737</v>
      </c>
      <c r="W1326" s="2" t="s">
        <v>743</v>
      </c>
      <c r="X1326" s="2" t="s">
        <v>228</v>
      </c>
      <c r="Y1326" s="2" t="s">
        <v>6842</v>
      </c>
      <c r="Z1326" s="4">
        <v>69</v>
      </c>
      <c r="AA1326" s="4">
        <f>=ROUNDDOWN(17.25,0)</f>
      </c>
      <c r="AB1326" s="5">
        <v>4</v>
      </c>
      <c r="AC1326" s="2" t="s">
        <v>4974</v>
      </c>
      <c r="AD1326" s="4">
        <v>140</v>
      </c>
      <c r="AE1326" s="4">
        <v>140</v>
      </c>
      <c r="AF1326" s="6">
        <v>65</v>
      </c>
      <c r="AG1326" s="6"/>
      <c r="AH1326" s="7">
        <v>1</v>
      </c>
      <c r="AI1326" s="4"/>
      <c r="AJ1326" s="4">
        <f>=ROUNDDOWN({0},0)</f>
      </c>
      <c r="AK1326" s="5"/>
      <c r="AL1326" s="2" t="s">
        <v>228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/>
      <c r="AW1326" s="8"/>
      <c r="AX1326" s="4"/>
      <c r="AY1326" s="8"/>
      <c r="AZ1326" s="7"/>
      <c r="BA1326" s="7"/>
      <c r="BB1326" s="7"/>
      <c r="BC1326" s="4"/>
      <c r="BD1326" s="8"/>
      <c r="BE1326" s="4"/>
      <c r="BF1326" s="8"/>
      <c r="BG1326" s="7"/>
      <c r="BH1326" s="7"/>
      <c r="BI1326" s="7"/>
      <c r="BJ1326" s="4">
        <v>9</v>
      </c>
      <c r="BK1326" s="8">
        <v>2089.46</v>
      </c>
      <c r="BL1326" s="2" t="s">
        <v>6843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6844</v>
      </c>
      <c r="BV1326" s="2" t="s">
        <v>228</v>
      </c>
      <c r="BW1326" s="2" t="s">
        <v>228</v>
      </c>
      <c r="BX1326" s="2" t="s">
        <v>273</v>
      </c>
      <c r="BY1326" s="2" t="s">
        <v>274</v>
      </c>
      <c r="BZ1326" s="2" t="s">
        <v>240</v>
      </c>
      <c r="CA1326" s="2" t="s">
        <v>4500</v>
      </c>
      <c r="CB1326" s="2" t="s">
        <v>2356</v>
      </c>
      <c r="CC1326" s="2" t="s">
        <v>241</v>
      </c>
      <c r="CD1326" s="2" t="s">
        <v>228</v>
      </c>
      <c r="CE1326" s="4">
        <v>69</v>
      </c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>
        <v>140</v>
      </c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/>
      <c r="GE1326" s="4"/>
      <c r="GF1326" s="4"/>
      <c r="GG1326" s="4"/>
      <c r="GH1326" s="4"/>
      <c r="GI1326" s="4"/>
      <c r="GJ1326" s="4"/>
      <c r="GK1326" s="4"/>
      <c r="GL1326" s="4"/>
      <c r="GM1326" s="4"/>
      <c r="GN1326" s="4"/>
      <c r="GO1326" s="4"/>
      <c r="GP1326" s="4"/>
      <c r="GQ1326" s="4"/>
      <c r="GR1326" s="4"/>
      <c r="GS1326" s="4"/>
      <c r="GT1326" s="4"/>
      <c r="GU1326" s="4"/>
      <c r="GV1326" s="4"/>
      <c r="GW1326" s="4"/>
      <c r="GX1326" s="4"/>
      <c r="GY1326" s="4"/>
      <c r="GZ1326" s="4"/>
      <c r="HA1326" s="4"/>
      <c r="HB1326" s="4"/>
      <c r="HC1326" s="4"/>
      <c r="HD1326" s="4"/>
      <c r="HE1326" s="4"/>
    </row>
    <row r="1327">
      <c r="A1327" s="2" t="s">
        <v>6845</v>
      </c>
      <c r="B1327" s="2" t="s">
        <v>2841</v>
      </c>
      <c r="C1327" s="2" t="s">
        <v>1197</v>
      </c>
      <c r="D1327" s="2" t="s">
        <v>2842</v>
      </c>
      <c r="E1327" s="2" t="s">
        <v>2843</v>
      </c>
      <c r="F1327" s="2" t="s">
        <v>6846</v>
      </c>
      <c r="G1327" s="2" t="s">
        <v>6846</v>
      </c>
      <c r="H1327" s="2" t="s">
        <v>6846</v>
      </c>
      <c r="I1327" s="2" t="s">
        <v>6847</v>
      </c>
      <c r="J1327" s="2" t="s">
        <v>840</v>
      </c>
      <c r="K1327" s="2" t="s">
        <v>1390</v>
      </c>
      <c r="L1327" s="3">
        <v>6.54</v>
      </c>
      <c r="M1327" s="3">
        <v>6.87</v>
      </c>
      <c r="N1327" s="3">
        <v>14.99</v>
      </c>
      <c r="O1327" s="2" t="s">
        <v>240</v>
      </c>
      <c r="P1327" s="2" t="s">
        <v>233</v>
      </c>
      <c r="Q1327" s="2" t="s">
        <v>234</v>
      </c>
      <c r="R1327" s="2" t="s">
        <v>228</v>
      </c>
      <c r="S1327" s="2" t="s">
        <v>228</v>
      </c>
      <c r="T1327" s="2" t="s">
        <v>228</v>
      </c>
      <c r="U1327" s="2" t="s">
        <v>416</v>
      </c>
      <c r="V1327" s="2" t="s">
        <v>842</v>
      </c>
      <c r="W1327" s="2" t="s">
        <v>269</v>
      </c>
      <c r="X1327" s="2" t="s">
        <v>228</v>
      </c>
      <c r="Y1327" s="2" t="s">
        <v>5765</v>
      </c>
      <c r="Z1327" s="4">
        <v>583</v>
      </c>
      <c r="AA1327" s="4">
        <f>=ROUNDDOWN(145.75,0)</f>
      </c>
      <c r="AB1327" s="5">
        <v>4</v>
      </c>
      <c r="AC1327" s="2" t="s">
        <v>228</v>
      </c>
      <c r="AD1327" s="4"/>
      <c r="AE1327" s="4"/>
      <c r="AF1327" s="6">
        <v>65</v>
      </c>
      <c r="AG1327" s="6"/>
      <c r="AH1327" s="7">
        <v>1</v>
      </c>
      <c r="AI1327" s="4"/>
      <c r="AJ1327" s="4">
        <f>=ROUNDDOWN({0},0)</f>
      </c>
      <c r="AK1327" s="5"/>
      <c r="AL1327" s="2" t="s">
        <v>228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/>
      <c r="AW1327" s="8"/>
      <c r="AX1327" s="4"/>
      <c r="AY1327" s="8"/>
      <c r="AZ1327" s="7"/>
      <c r="BA1327" s="7"/>
      <c r="BB1327" s="7"/>
      <c r="BC1327" s="4"/>
      <c r="BD1327" s="8"/>
      <c r="BE1327" s="4"/>
      <c r="BF1327" s="8"/>
      <c r="BG1327" s="7"/>
      <c r="BH1327" s="7"/>
      <c r="BI1327" s="7"/>
      <c r="BJ1327" s="4">
        <v>2</v>
      </c>
      <c r="BK1327" s="8">
        <v>15.04</v>
      </c>
      <c r="BL1327" s="2" t="s">
        <v>699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6848</v>
      </c>
      <c r="BV1327" s="2" t="s">
        <v>228</v>
      </c>
      <c r="BW1327" s="2" t="s">
        <v>228</v>
      </c>
      <c r="BX1327" s="2" t="s">
        <v>273</v>
      </c>
      <c r="BY1327" s="2" t="s">
        <v>274</v>
      </c>
      <c r="BZ1327" s="2" t="s">
        <v>240</v>
      </c>
      <c r="CA1327" s="2" t="s">
        <v>539</v>
      </c>
      <c r="CB1327" s="2" t="s">
        <v>228</v>
      </c>
      <c r="CC1327" s="2" t="s">
        <v>241</v>
      </c>
      <c r="CD1327" s="2" t="s">
        <v>228</v>
      </c>
      <c r="CE1327" s="4"/>
      <c r="CF1327" s="4">
        <v>293</v>
      </c>
      <c r="CG1327" s="4"/>
      <c r="CH1327" s="4">
        <v>290</v>
      </c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GE1327" s="4"/>
      <c r="GF1327" s="4"/>
      <c r="GG1327" s="4"/>
      <c r="GH1327" s="4"/>
      <c r="GI1327" s="4"/>
      <c r="GJ1327" s="4"/>
      <c r="GK1327" s="4"/>
      <c r="GL1327" s="4"/>
      <c r="GM1327" s="4"/>
      <c r="GN1327" s="4"/>
      <c r="GO1327" s="4"/>
      <c r="GP1327" s="4"/>
      <c r="GQ1327" s="4"/>
      <c r="GR1327" s="4"/>
      <c r="GS1327" s="4"/>
      <c r="GT1327" s="4"/>
      <c r="GU1327" s="4"/>
      <c r="GV1327" s="4"/>
      <c r="GW1327" s="4"/>
      <c r="GX1327" s="4"/>
      <c r="GY1327" s="4"/>
      <c r="GZ1327" s="4"/>
      <c r="HA1327" s="4"/>
      <c r="HB1327" s="4"/>
      <c r="HC1327" s="4"/>
      <c r="HD1327" s="4"/>
      <c r="HE1327" s="4"/>
    </row>
    <row r="1328">
      <c r="A1328" s="2" t="s">
        <v>6849</v>
      </c>
      <c r="B1328" s="2" t="s">
        <v>866</v>
      </c>
      <c r="C1328" s="2" t="s">
        <v>300</v>
      </c>
      <c r="D1328" s="2" t="s">
        <v>899</v>
      </c>
      <c r="E1328" s="2" t="s">
        <v>1891</v>
      </c>
      <c r="F1328" s="2" t="s">
        <v>6850</v>
      </c>
      <c r="G1328" s="2" t="s">
        <v>6850</v>
      </c>
      <c r="H1328" s="2" t="s">
        <v>6850</v>
      </c>
      <c r="I1328" s="2" t="s">
        <v>6851</v>
      </c>
      <c r="J1328" s="2" t="s">
        <v>840</v>
      </c>
      <c r="K1328" s="2" t="s">
        <v>6852</v>
      </c>
      <c r="L1328" s="3">
        <v>8.33</v>
      </c>
      <c r="M1328" s="3">
        <v>8.75</v>
      </c>
      <c r="N1328" s="3">
        <v>24.99</v>
      </c>
      <c r="O1328" s="2" t="s">
        <v>240</v>
      </c>
      <c r="P1328" s="2" t="s">
        <v>233</v>
      </c>
      <c r="Q1328" s="2" t="s">
        <v>234</v>
      </c>
      <c r="R1328" s="2" t="s">
        <v>228</v>
      </c>
      <c r="S1328" s="2" t="s">
        <v>228</v>
      </c>
      <c r="T1328" s="2" t="s">
        <v>228</v>
      </c>
      <c r="U1328" s="2" t="s">
        <v>416</v>
      </c>
      <c r="V1328" s="2" t="s">
        <v>2042</v>
      </c>
      <c r="W1328" s="2" t="s">
        <v>463</v>
      </c>
      <c r="X1328" s="2" t="s">
        <v>269</v>
      </c>
      <c r="Y1328" s="2" t="s">
        <v>5875</v>
      </c>
      <c r="Z1328" s="4">
        <v>72</v>
      </c>
      <c r="AA1328" s="4">
        <f>=ROUNDDOWN(32.7272727272727,0)</f>
      </c>
      <c r="AB1328" s="5">
        <v>2.2</v>
      </c>
      <c r="AC1328" s="2" t="s">
        <v>228</v>
      </c>
      <c r="AD1328" s="4"/>
      <c r="AE1328" s="4"/>
      <c r="AF1328" s="6">
        <v>63</v>
      </c>
      <c r="AG1328" s="6"/>
      <c r="AH1328" s="7">
        <v>1</v>
      </c>
      <c r="AI1328" s="4"/>
      <c r="AJ1328" s="4">
        <f>=ROUNDDOWN({0},0)</f>
      </c>
      <c r="AK1328" s="5"/>
      <c r="AL1328" s="2" t="s">
        <v>228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/>
      <c r="AW1328" s="8"/>
      <c r="AX1328" s="4"/>
      <c r="AY1328" s="8"/>
      <c r="AZ1328" s="7"/>
      <c r="BA1328" s="7"/>
      <c r="BB1328" s="7"/>
      <c r="BC1328" s="4" t="s">
        <v>228</v>
      </c>
      <c r="BD1328" s="8" t="s">
        <v>228</v>
      </c>
      <c r="BE1328" s="4" t="s">
        <v>228</v>
      </c>
      <c r="BF1328" s="8" t="s">
        <v>228</v>
      </c>
      <c r="BG1328" s="7" t="s">
        <v>228</v>
      </c>
      <c r="BH1328" s="7" t="s">
        <v>228</v>
      </c>
      <c r="BI1328" s="7"/>
      <c r="BJ1328" s="4">
        <v>7</v>
      </c>
      <c r="BK1328" s="8">
        <v>69.78</v>
      </c>
      <c r="BL1328" s="2" t="s">
        <v>3145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6853</v>
      </c>
      <c r="BV1328" s="2" t="s">
        <v>228</v>
      </c>
      <c r="BW1328" s="2" t="s">
        <v>228</v>
      </c>
      <c r="BX1328" s="2" t="s">
        <v>273</v>
      </c>
      <c r="BY1328" s="2" t="s">
        <v>274</v>
      </c>
      <c r="BZ1328" s="2" t="s">
        <v>240</v>
      </c>
      <c r="CA1328" s="2" t="s">
        <v>4520</v>
      </c>
      <c r="CB1328" s="2" t="s">
        <v>228</v>
      </c>
      <c r="CC1328" s="2" t="s">
        <v>241</v>
      </c>
      <c r="CD1328" s="2" t="s">
        <v>228</v>
      </c>
      <c r="CE1328" s="4"/>
      <c r="CF1328" s="4">
        <v>72</v>
      </c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GE1328" s="4"/>
      <c r="GF1328" s="4"/>
      <c r="GG1328" s="4"/>
      <c r="GH1328" s="4"/>
      <c r="GI1328" s="4"/>
      <c r="GJ1328" s="4"/>
      <c r="GK1328" s="4"/>
      <c r="GL1328" s="4"/>
      <c r="GM1328" s="4"/>
      <c r="GN1328" s="4"/>
      <c r="GO1328" s="4"/>
      <c r="GP1328" s="4"/>
      <c r="GQ1328" s="4"/>
      <c r="GR1328" s="4"/>
      <c r="GS1328" s="4"/>
      <c r="GT1328" s="4"/>
      <c r="GU1328" s="4"/>
      <c r="GV1328" s="4"/>
      <c r="GW1328" s="4"/>
      <c r="GX1328" s="4"/>
      <c r="GY1328" s="4"/>
      <c r="GZ1328" s="4"/>
      <c r="HA1328" s="4"/>
      <c r="HB1328" s="4"/>
      <c r="HC1328" s="4"/>
      <c r="HD1328" s="4"/>
      <c r="HE1328" s="4"/>
    </row>
    <row r="1329">
      <c r="A1329" s="2" t="s">
        <v>6854</v>
      </c>
      <c r="B1329" s="2" t="s">
        <v>866</v>
      </c>
      <c r="C1329" s="2" t="s">
        <v>300</v>
      </c>
      <c r="D1329" s="2" t="s">
        <v>899</v>
      </c>
      <c r="E1329" s="2" t="s">
        <v>1891</v>
      </c>
      <c r="F1329" s="2" t="s">
        <v>6850</v>
      </c>
      <c r="G1329" s="2" t="s">
        <v>6850</v>
      </c>
      <c r="H1329" s="2" t="s">
        <v>6850</v>
      </c>
      <c r="I1329" s="2" t="s">
        <v>6855</v>
      </c>
      <c r="J1329" s="2" t="s">
        <v>840</v>
      </c>
      <c r="K1329" s="2" t="s">
        <v>6856</v>
      </c>
      <c r="L1329" s="3">
        <v>8.33</v>
      </c>
      <c r="M1329" s="3">
        <v>8.75</v>
      </c>
      <c r="N1329" s="3">
        <v>24.99</v>
      </c>
      <c r="O1329" s="2" t="s">
        <v>240</v>
      </c>
      <c r="P1329" s="2" t="s">
        <v>233</v>
      </c>
      <c r="Q1329" s="2" t="s">
        <v>234</v>
      </c>
      <c r="R1329" s="2" t="s">
        <v>228</v>
      </c>
      <c r="S1329" s="2" t="s">
        <v>228</v>
      </c>
      <c r="T1329" s="2" t="s">
        <v>228</v>
      </c>
      <c r="U1329" s="2" t="s">
        <v>416</v>
      </c>
      <c r="V1329" s="2" t="s">
        <v>2042</v>
      </c>
      <c r="W1329" s="2" t="s">
        <v>463</v>
      </c>
      <c r="X1329" s="2" t="s">
        <v>269</v>
      </c>
      <c r="Y1329" s="2" t="s">
        <v>5875</v>
      </c>
      <c r="Z1329" s="4">
        <v>108</v>
      </c>
      <c r="AA1329" s="4">
        <f>=ROUNDDOWN(108,0)</f>
      </c>
      <c r="AB1329" s="5">
        <v>1</v>
      </c>
      <c r="AC1329" s="2" t="s">
        <v>228</v>
      </c>
      <c r="AD1329" s="4"/>
      <c r="AE1329" s="4"/>
      <c r="AF1329" s="6">
        <v>63</v>
      </c>
      <c r="AG1329" s="6"/>
      <c r="AH1329" s="7">
        <v>1</v>
      </c>
      <c r="AI1329" s="4"/>
      <c r="AJ1329" s="4">
        <f>=ROUNDDOWN({0},0)</f>
      </c>
      <c r="AK1329" s="5"/>
      <c r="AL1329" s="2" t="s">
        <v>228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/>
      <c r="AW1329" s="8"/>
      <c r="AX1329" s="4"/>
      <c r="AY1329" s="8"/>
      <c r="AZ1329" s="7"/>
      <c r="BA1329" s="7"/>
      <c r="BB1329" s="7"/>
      <c r="BC1329" s="4" t="s">
        <v>228</v>
      </c>
      <c r="BD1329" s="8" t="s">
        <v>228</v>
      </c>
      <c r="BE1329" s="4" t="s">
        <v>228</v>
      </c>
      <c r="BF1329" s="8" t="s">
        <v>228</v>
      </c>
      <c r="BG1329" s="7" t="s">
        <v>228</v>
      </c>
      <c r="BH1329" s="7" t="s">
        <v>228</v>
      </c>
      <c r="BI1329" s="7"/>
      <c r="BJ1329" s="4">
        <v>4</v>
      </c>
      <c r="BK1329" s="8">
        <v>38.56</v>
      </c>
      <c r="BL1329" s="2" t="s">
        <v>3145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6857</v>
      </c>
      <c r="BV1329" s="2" t="s">
        <v>228</v>
      </c>
      <c r="BW1329" s="2" t="s">
        <v>228</v>
      </c>
      <c r="BX1329" s="2" t="s">
        <v>273</v>
      </c>
      <c r="BY1329" s="2" t="s">
        <v>274</v>
      </c>
      <c r="BZ1329" s="2" t="s">
        <v>240</v>
      </c>
      <c r="CA1329" s="2" t="s">
        <v>4520</v>
      </c>
      <c r="CB1329" s="2" t="s">
        <v>228</v>
      </c>
      <c r="CC1329" s="2" t="s">
        <v>241</v>
      </c>
      <c r="CD1329" s="2" t="s">
        <v>228</v>
      </c>
      <c r="CE1329" s="4"/>
      <c r="CF1329" s="4">
        <v>108</v>
      </c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/>
      <c r="GE1329" s="4"/>
      <c r="GF1329" s="4"/>
      <c r="GG1329" s="4"/>
      <c r="GH1329" s="4"/>
      <c r="GI1329" s="4"/>
      <c r="GJ1329" s="4"/>
      <c r="GK1329" s="4"/>
      <c r="GL1329" s="4"/>
      <c r="GM1329" s="4"/>
      <c r="GN1329" s="4"/>
      <c r="GO1329" s="4"/>
      <c r="GP1329" s="4"/>
      <c r="GQ1329" s="4"/>
      <c r="GR1329" s="4"/>
      <c r="GS1329" s="4"/>
      <c r="GT1329" s="4"/>
      <c r="GU1329" s="4"/>
      <c r="GV1329" s="4"/>
      <c r="GW1329" s="4"/>
      <c r="GX1329" s="4"/>
      <c r="GY1329" s="4"/>
      <c r="GZ1329" s="4"/>
      <c r="HA1329" s="4"/>
      <c r="HB1329" s="4"/>
      <c r="HC1329" s="4"/>
      <c r="HD1329" s="4"/>
      <c r="HE1329" s="4"/>
    </row>
    <row r="1330">
      <c r="A1330" s="2" t="s">
        <v>6858</v>
      </c>
      <c r="B1330" s="2" t="s">
        <v>866</v>
      </c>
      <c r="C1330" s="2" t="s">
        <v>300</v>
      </c>
      <c r="D1330" s="2" t="s">
        <v>899</v>
      </c>
      <c r="E1330" s="2" t="s">
        <v>1891</v>
      </c>
      <c r="F1330" s="2" t="s">
        <v>6850</v>
      </c>
      <c r="G1330" s="2" t="s">
        <v>6850</v>
      </c>
      <c r="H1330" s="2" t="s">
        <v>6850</v>
      </c>
      <c r="I1330" s="2" t="s">
        <v>6859</v>
      </c>
      <c r="J1330" s="2" t="s">
        <v>840</v>
      </c>
      <c r="K1330" s="2" t="s">
        <v>6860</v>
      </c>
      <c r="L1330" s="3">
        <v>8.33</v>
      </c>
      <c r="M1330" s="3">
        <v>8.75</v>
      </c>
      <c r="N1330" s="3">
        <v>24.99</v>
      </c>
      <c r="O1330" s="2" t="s">
        <v>240</v>
      </c>
      <c r="P1330" s="2" t="s">
        <v>233</v>
      </c>
      <c r="Q1330" s="2" t="s">
        <v>234</v>
      </c>
      <c r="R1330" s="2" t="s">
        <v>228</v>
      </c>
      <c r="S1330" s="2" t="s">
        <v>228</v>
      </c>
      <c r="T1330" s="2" t="s">
        <v>228</v>
      </c>
      <c r="U1330" s="2" t="s">
        <v>416</v>
      </c>
      <c r="V1330" s="2" t="s">
        <v>2042</v>
      </c>
      <c r="W1330" s="2" t="s">
        <v>463</v>
      </c>
      <c r="X1330" s="2" t="s">
        <v>269</v>
      </c>
      <c r="Y1330" s="2" t="s">
        <v>5875</v>
      </c>
      <c r="Z1330" s="4">
        <v>101</v>
      </c>
      <c r="AA1330" s="4">
        <f>=ROUNDDOWN(101,0)</f>
      </c>
      <c r="AB1330" s="5">
        <v>1</v>
      </c>
      <c r="AC1330" s="2" t="s">
        <v>228</v>
      </c>
      <c r="AD1330" s="4"/>
      <c r="AE1330" s="4"/>
      <c r="AF1330" s="6">
        <v>63</v>
      </c>
      <c r="AG1330" s="6"/>
      <c r="AH1330" s="7">
        <v>1</v>
      </c>
      <c r="AI1330" s="4"/>
      <c r="AJ1330" s="4">
        <f>=ROUNDDOWN({0},0)</f>
      </c>
      <c r="AK1330" s="5"/>
      <c r="AL1330" s="2" t="s">
        <v>228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/>
      <c r="AW1330" s="8"/>
      <c r="AX1330" s="4"/>
      <c r="AY1330" s="8"/>
      <c r="AZ1330" s="7"/>
      <c r="BA1330" s="7"/>
      <c r="BB1330" s="7"/>
      <c r="BC1330" s="4" t="s">
        <v>228</v>
      </c>
      <c r="BD1330" s="8" t="s">
        <v>228</v>
      </c>
      <c r="BE1330" s="4" t="s">
        <v>228</v>
      </c>
      <c r="BF1330" s="8" t="s">
        <v>228</v>
      </c>
      <c r="BG1330" s="7" t="s">
        <v>228</v>
      </c>
      <c r="BH1330" s="7" t="s">
        <v>228</v>
      </c>
      <c r="BI1330" s="7"/>
      <c r="BJ1330" s="4">
        <v>4</v>
      </c>
      <c r="BK1330" s="8">
        <v>39.78</v>
      </c>
      <c r="BL1330" s="2" t="s">
        <v>3145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6861</v>
      </c>
      <c r="BV1330" s="2" t="s">
        <v>228</v>
      </c>
      <c r="BW1330" s="2" t="s">
        <v>228</v>
      </c>
      <c r="BX1330" s="2" t="s">
        <v>273</v>
      </c>
      <c r="BY1330" s="2" t="s">
        <v>274</v>
      </c>
      <c r="BZ1330" s="2" t="s">
        <v>240</v>
      </c>
      <c r="CA1330" s="2" t="s">
        <v>4520</v>
      </c>
      <c r="CB1330" s="2" t="s">
        <v>228</v>
      </c>
      <c r="CC1330" s="2" t="s">
        <v>241</v>
      </c>
      <c r="CD1330" s="2" t="s">
        <v>228</v>
      </c>
      <c r="CE1330" s="4"/>
      <c r="CF1330" s="4">
        <v>101</v>
      </c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/>
      <c r="GE1330" s="4"/>
      <c r="GF1330" s="4"/>
      <c r="GG1330" s="4"/>
      <c r="GH1330" s="4"/>
      <c r="GI1330" s="4"/>
      <c r="GJ1330" s="4"/>
      <c r="GK1330" s="4"/>
      <c r="GL1330" s="4"/>
      <c r="GM1330" s="4"/>
      <c r="GN1330" s="4"/>
      <c r="GO1330" s="4"/>
      <c r="GP1330" s="4"/>
      <c r="GQ1330" s="4"/>
      <c r="GR1330" s="4"/>
      <c r="GS1330" s="4"/>
      <c r="GT1330" s="4"/>
      <c r="GU1330" s="4"/>
      <c r="GV1330" s="4"/>
      <c r="GW1330" s="4"/>
      <c r="GX1330" s="4"/>
      <c r="GY1330" s="4"/>
      <c r="GZ1330" s="4"/>
      <c r="HA1330" s="4"/>
      <c r="HB1330" s="4"/>
      <c r="HC1330" s="4"/>
      <c r="HD1330" s="4"/>
      <c r="HE1330" s="4"/>
    </row>
    <row r="1331">
      <c r="A1331" s="2" t="s">
        <v>6862</v>
      </c>
      <c r="B1331" s="2" t="s">
        <v>848</v>
      </c>
      <c r="C1331" s="2" t="s">
        <v>1037</v>
      </c>
      <c r="D1331" s="2" t="s">
        <v>1112</v>
      </c>
      <c r="E1331" s="2" t="s">
        <v>1113</v>
      </c>
      <c r="F1331" s="2" t="s">
        <v>6863</v>
      </c>
      <c r="G1331" s="2" t="s">
        <v>6863</v>
      </c>
      <c r="H1331" s="2" t="s">
        <v>6409</v>
      </c>
      <c r="I1331" s="2" t="s">
        <v>6864</v>
      </c>
      <c r="J1331" s="2" t="s">
        <v>856</v>
      </c>
      <c r="K1331" s="2" t="s">
        <v>231</v>
      </c>
      <c r="L1331" s="3">
        <v>33.33</v>
      </c>
      <c r="M1331" s="3">
        <v>35</v>
      </c>
      <c r="N1331" s="3">
        <v>69.99</v>
      </c>
      <c r="O1331" s="2" t="s">
        <v>240</v>
      </c>
      <c r="P1331" s="2" t="s">
        <v>233</v>
      </c>
      <c r="Q1331" s="2" t="s">
        <v>234</v>
      </c>
      <c r="R1331" s="2" t="s">
        <v>228</v>
      </c>
      <c r="S1331" s="2" t="s">
        <v>6865</v>
      </c>
      <c r="T1331" s="2" t="s">
        <v>3461</v>
      </c>
      <c r="U1331" s="2" t="s">
        <v>520</v>
      </c>
      <c r="V1331" s="2" t="s">
        <v>236</v>
      </c>
      <c r="W1331" s="2" t="s">
        <v>417</v>
      </c>
      <c r="X1331" s="2" t="s">
        <v>269</v>
      </c>
      <c r="Y1331" s="2" t="s">
        <v>5072</v>
      </c>
      <c r="Z1331" s="4">
        <v>90</v>
      </c>
      <c r="AA1331" s="4">
        <f>=ROUNDDOWN(50,0)</f>
      </c>
      <c r="AB1331" s="5">
        <v>1.8</v>
      </c>
      <c r="AC1331" s="2" t="s">
        <v>228</v>
      </c>
      <c r="AD1331" s="4"/>
      <c r="AE1331" s="4"/>
      <c r="AF1331" s="6">
        <v>65</v>
      </c>
      <c r="AG1331" s="6"/>
      <c r="AH1331" s="7">
        <v>1</v>
      </c>
      <c r="AI1331" s="4"/>
      <c r="AJ1331" s="4">
        <f>=ROUNDDOWN({0},0)</f>
      </c>
      <c r="AK1331" s="5"/>
      <c r="AL1331" s="2" t="s">
        <v>228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 t="s">
        <v>228</v>
      </c>
      <c r="AW1331" s="8" t="s">
        <v>228</v>
      </c>
      <c r="AX1331" s="4" t="s">
        <v>228</v>
      </c>
      <c r="AY1331" s="8" t="s">
        <v>228</v>
      </c>
      <c r="AZ1331" s="7" t="s">
        <v>228</v>
      </c>
      <c r="BA1331" s="7" t="s">
        <v>228</v>
      </c>
      <c r="BB1331" s="7"/>
      <c r="BC1331" s="4" t="s">
        <v>228</v>
      </c>
      <c r="BD1331" s="8" t="s">
        <v>228</v>
      </c>
      <c r="BE1331" s="4" t="s">
        <v>228</v>
      </c>
      <c r="BF1331" s="8" t="s">
        <v>228</v>
      </c>
      <c r="BG1331" s="7" t="s">
        <v>228</v>
      </c>
      <c r="BH1331" s="7" t="s">
        <v>228</v>
      </c>
      <c r="BI1331" s="7"/>
      <c r="BJ1331" s="4">
        <v>15</v>
      </c>
      <c r="BK1331" s="8">
        <v>569.12</v>
      </c>
      <c r="BL1331" s="2" t="s">
        <v>1245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6866</v>
      </c>
      <c r="BV1331" s="2" t="s">
        <v>228</v>
      </c>
      <c r="BW1331" s="2" t="s">
        <v>228</v>
      </c>
      <c r="BX1331" s="2" t="s">
        <v>273</v>
      </c>
      <c r="BY1331" s="2" t="s">
        <v>274</v>
      </c>
      <c r="BZ1331" s="2" t="s">
        <v>240</v>
      </c>
      <c r="CA1331" s="2" t="s">
        <v>6590</v>
      </c>
      <c r="CB1331" s="2" t="s">
        <v>1157</v>
      </c>
      <c r="CC1331" s="2" t="s">
        <v>241</v>
      </c>
      <c r="CD1331" s="2" t="s">
        <v>228</v>
      </c>
      <c r="CE1331" s="4">
        <v>90</v>
      </c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/>
      <c r="GE1331" s="4"/>
      <c r="GF1331" s="4"/>
      <c r="GG1331" s="4"/>
      <c r="GH1331" s="4"/>
      <c r="GI1331" s="4"/>
      <c r="GJ1331" s="4"/>
      <c r="GK1331" s="4"/>
      <c r="GL1331" s="4"/>
      <c r="GM1331" s="4"/>
      <c r="GN1331" s="4"/>
      <c r="GO1331" s="4"/>
      <c r="GP1331" s="4"/>
      <c r="GQ1331" s="4"/>
      <c r="GR1331" s="4"/>
      <c r="GS1331" s="4"/>
      <c r="GT1331" s="4"/>
      <c r="GU1331" s="4"/>
      <c r="GV1331" s="4"/>
      <c r="GW1331" s="4"/>
      <c r="GX1331" s="4"/>
      <c r="GY1331" s="4"/>
      <c r="GZ1331" s="4"/>
      <c r="HA1331" s="4"/>
      <c r="HB1331" s="4"/>
      <c r="HC1331" s="4"/>
      <c r="HD1331" s="4"/>
      <c r="HE1331" s="4"/>
    </row>
    <row r="1332">
      <c r="A1332" s="2" t="s">
        <v>6867</v>
      </c>
      <c r="B1332" s="2" t="s">
        <v>848</v>
      </c>
      <c r="C1332" s="2" t="s">
        <v>1037</v>
      </c>
      <c r="D1332" s="2" t="s">
        <v>1112</v>
      </c>
      <c r="E1332" s="2" t="s">
        <v>1113</v>
      </c>
      <c r="F1332" s="2" t="s">
        <v>6863</v>
      </c>
      <c r="G1332" s="2" t="s">
        <v>6863</v>
      </c>
      <c r="H1332" s="2" t="s">
        <v>6409</v>
      </c>
      <c r="I1332" s="2" t="s">
        <v>6864</v>
      </c>
      <c r="J1332" s="2" t="s">
        <v>1189</v>
      </c>
      <c r="K1332" s="2" t="s">
        <v>231</v>
      </c>
      <c r="L1332" s="3">
        <v>38.09</v>
      </c>
      <c r="M1332" s="3">
        <v>39.99</v>
      </c>
      <c r="N1332" s="3">
        <v>79.99</v>
      </c>
      <c r="O1332" s="2" t="s">
        <v>240</v>
      </c>
      <c r="P1332" s="2" t="s">
        <v>233</v>
      </c>
      <c r="Q1332" s="2" t="s">
        <v>234</v>
      </c>
      <c r="R1332" s="2" t="s">
        <v>228</v>
      </c>
      <c r="S1332" s="2" t="s">
        <v>6865</v>
      </c>
      <c r="T1332" s="2" t="s">
        <v>3461</v>
      </c>
      <c r="U1332" s="2" t="s">
        <v>500</v>
      </c>
      <c r="V1332" s="2" t="s">
        <v>236</v>
      </c>
      <c r="W1332" s="2" t="s">
        <v>417</v>
      </c>
      <c r="X1332" s="2" t="s">
        <v>269</v>
      </c>
      <c r="Y1332" s="2" t="s">
        <v>5072</v>
      </c>
      <c r="Z1332" s="4">
        <v>326</v>
      </c>
      <c r="AA1332" s="4">
        <f>=ROUNDDOWN(90.5555555555555,0)</f>
      </c>
      <c r="AB1332" s="5">
        <v>3.6</v>
      </c>
      <c r="AC1332" s="2" t="s">
        <v>228</v>
      </c>
      <c r="AD1332" s="4"/>
      <c r="AE1332" s="4"/>
      <c r="AF1332" s="6">
        <v>65</v>
      </c>
      <c r="AG1332" s="6"/>
      <c r="AH1332" s="7">
        <v>1</v>
      </c>
      <c r="AI1332" s="4"/>
      <c r="AJ1332" s="4">
        <f>=ROUNDDOWN({0},0)</f>
      </c>
      <c r="AK1332" s="5"/>
      <c r="AL1332" s="2" t="s">
        <v>228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 t="s">
        <v>228</v>
      </c>
      <c r="AW1332" s="8" t="s">
        <v>228</v>
      </c>
      <c r="AX1332" s="4" t="s">
        <v>228</v>
      </c>
      <c r="AY1332" s="8" t="s">
        <v>228</v>
      </c>
      <c r="AZ1332" s="7" t="s">
        <v>228</v>
      </c>
      <c r="BA1332" s="7" t="s">
        <v>228</v>
      </c>
      <c r="BB1332" s="7"/>
      <c r="BC1332" s="4" t="s">
        <v>228</v>
      </c>
      <c r="BD1332" s="8" t="s">
        <v>228</v>
      </c>
      <c r="BE1332" s="4" t="s">
        <v>228</v>
      </c>
      <c r="BF1332" s="8" t="s">
        <v>228</v>
      </c>
      <c r="BG1332" s="7" t="s">
        <v>228</v>
      </c>
      <c r="BH1332" s="7" t="s">
        <v>228</v>
      </c>
      <c r="BI1332" s="7"/>
      <c r="BJ1332" s="4">
        <v>18</v>
      </c>
      <c r="BK1332" s="8">
        <v>772.26</v>
      </c>
      <c r="BL1332" s="2" t="s">
        <v>4072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6868</v>
      </c>
      <c r="BV1332" s="2" t="s">
        <v>228</v>
      </c>
      <c r="BW1332" s="2" t="s">
        <v>228</v>
      </c>
      <c r="BX1332" s="2" t="s">
        <v>273</v>
      </c>
      <c r="BY1332" s="2" t="s">
        <v>274</v>
      </c>
      <c r="BZ1332" s="2" t="s">
        <v>240</v>
      </c>
      <c r="CA1332" s="2" t="s">
        <v>6590</v>
      </c>
      <c r="CB1332" s="2" t="s">
        <v>3591</v>
      </c>
      <c r="CC1332" s="2" t="s">
        <v>241</v>
      </c>
      <c r="CD1332" s="2" t="s">
        <v>228</v>
      </c>
      <c r="CE1332" s="4">
        <v>326</v>
      </c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/>
      <c r="GG1332" s="4"/>
      <c r="GH1332" s="4"/>
      <c r="GI1332" s="4"/>
      <c r="GJ1332" s="4"/>
      <c r="GK1332" s="4"/>
      <c r="GL1332" s="4"/>
      <c r="GM1332" s="4"/>
      <c r="GN1332" s="4"/>
      <c r="GO1332" s="4"/>
      <c r="GP1332" s="4"/>
      <c r="GQ1332" s="4"/>
      <c r="GR1332" s="4"/>
      <c r="GS1332" s="4"/>
      <c r="GT1332" s="4"/>
      <c r="GU1332" s="4"/>
      <c r="GV1332" s="4"/>
      <c r="GW1332" s="4"/>
      <c r="GX1332" s="4"/>
      <c r="GY1332" s="4"/>
      <c r="GZ1332" s="4"/>
      <c r="HA1332" s="4"/>
      <c r="HB1332" s="4"/>
      <c r="HC1332" s="4"/>
      <c r="HD1332" s="4"/>
      <c r="HE1332" s="4"/>
    </row>
    <row r="1333">
      <c r="A1333" s="2" t="s">
        <v>6869</v>
      </c>
      <c r="B1333" s="2" t="s">
        <v>848</v>
      </c>
      <c r="C1333" s="2" t="s">
        <v>1037</v>
      </c>
      <c r="D1333" s="2" t="s">
        <v>1112</v>
      </c>
      <c r="E1333" s="2" t="s">
        <v>1113</v>
      </c>
      <c r="F1333" s="2" t="s">
        <v>6863</v>
      </c>
      <c r="G1333" s="2" t="s">
        <v>6863</v>
      </c>
      <c r="H1333" s="2" t="s">
        <v>6409</v>
      </c>
      <c r="I1333" s="2" t="s">
        <v>6864</v>
      </c>
      <c r="J1333" s="2" t="s">
        <v>1043</v>
      </c>
      <c r="K1333" s="2" t="s">
        <v>231</v>
      </c>
      <c r="L1333" s="3">
        <v>42.85</v>
      </c>
      <c r="M1333" s="3">
        <v>44.99</v>
      </c>
      <c r="N1333" s="3">
        <v>89.99</v>
      </c>
      <c r="O1333" s="2" t="s">
        <v>240</v>
      </c>
      <c r="P1333" s="2" t="s">
        <v>233</v>
      </c>
      <c r="Q1333" s="2" t="s">
        <v>234</v>
      </c>
      <c r="R1333" s="2" t="s">
        <v>228</v>
      </c>
      <c r="S1333" s="2" t="s">
        <v>6865</v>
      </c>
      <c r="T1333" s="2" t="s">
        <v>3461</v>
      </c>
      <c r="U1333" s="2" t="s">
        <v>500</v>
      </c>
      <c r="V1333" s="2" t="s">
        <v>236</v>
      </c>
      <c r="W1333" s="2" t="s">
        <v>417</v>
      </c>
      <c r="X1333" s="2" t="s">
        <v>269</v>
      </c>
      <c r="Y1333" s="2" t="s">
        <v>5072</v>
      </c>
      <c r="Z1333" s="4">
        <v>274</v>
      </c>
      <c r="AA1333" s="4">
        <f>=ROUNDDOWN(144.210526315789,0)</f>
      </c>
      <c r="AB1333" s="5">
        <v>1.9</v>
      </c>
      <c r="AC1333" s="2" t="s">
        <v>228</v>
      </c>
      <c r="AD1333" s="4"/>
      <c r="AE1333" s="4"/>
      <c r="AF1333" s="6">
        <v>65</v>
      </c>
      <c r="AG1333" s="6"/>
      <c r="AH1333" s="7">
        <v>1</v>
      </c>
      <c r="AI1333" s="4"/>
      <c r="AJ1333" s="4">
        <f>=ROUNDDOWN({0},0)</f>
      </c>
      <c r="AK1333" s="5"/>
      <c r="AL1333" s="2" t="s">
        <v>228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 t="s">
        <v>228</v>
      </c>
      <c r="AW1333" s="8" t="s">
        <v>228</v>
      </c>
      <c r="AX1333" s="4" t="s">
        <v>228</v>
      </c>
      <c r="AY1333" s="8" t="s">
        <v>228</v>
      </c>
      <c r="AZ1333" s="7" t="s">
        <v>228</v>
      </c>
      <c r="BA1333" s="7" t="s">
        <v>228</v>
      </c>
      <c r="BB1333" s="7"/>
      <c r="BC1333" s="4" t="s">
        <v>228</v>
      </c>
      <c r="BD1333" s="8" t="s">
        <v>228</v>
      </c>
      <c r="BE1333" s="4" t="s">
        <v>228</v>
      </c>
      <c r="BF1333" s="8" t="s">
        <v>228</v>
      </c>
      <c r="BG1333" s="7" t="s">
        <v>228</v>
      </c>
      <c r="BH1333" s="7" t="s">
        <v>228</v>
      </c>
      <c r="BI1333" s="7"/>
      <c r="BJ1333" s="4">
        <v>10</v>
      </c>
      <c r="BK1333" s="8">
        <v>486.62</v>
      </c>
      <c r="BL1333" s="2" t="s">
        <v>3165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6870</v>
      </c>
      <c r="BV1333" s="2" t="s">
        <v>228</v>
      </c>
      <c r="BW1333" s="2" t="s">
        <v>228</v>
      </c>
      <c r="BX1333" s="2" t="s">
        <v>273</v>
      </c>
      <c r="BY1333" s="2" t="s">
        <v>274</v>
      </c>
      <c r="BZ1333" s="2" t="s">
        <v>240</v>
      </c>
      <c r="CA1333" s="2" t="s">
        <v>6590</v>
      </c>
      <c r="CB1333" s="2" t="s">
        <v>228</v>
      </c>
      <c r="CC1333" s="2" t="s">
        <v>241</v>
      </c>
      <c r="CD1333" s="2" t="s">
        <v>228</v>
      </c>
      <c r="CE1333" s="4">
        <v>274</v>
      </c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/>
      <c r="GE1333" s="4"/>
      <c r="GF1333" s="4"/>
      <c r="GG1333" s="4"/>
      <c r="GH1333" s="4"/>
      <c r="GI1333" s="4"/>
      <c r="GJ1333" s="4"/>
      <c r="GK1333" s="4"/>
      <c r="GL1333" s="4"/>
      <c r="GM1333" s="4"/>
      <c r="GN1333" s="4"/>
      <c r="GO1333" s="4"/>
      <c r="GP1333" s="4"/>
      <c r="GQ1333" s="4"/>
      <c r="GR1333" s="4"/>
      <c r="GS1333" s="4"/>
      <c r="GT1333" s="4"/>
      <c r="GU1333" s="4"/>
      <c r="GV1333" s="4"/>
      <c r="GW1333" s="4"/>
      <c r="GX1333" s="4"/>
      <c r="GY1333" s="4"/>
      <c r="GZ1333" s="4"/>
      <c r="HA1333" s="4"/>
      <c r="HB1333" s="4"/>
      <c r="HC1333" s="4"/>
      <c r="HD1333" s="4"/>
      <c r="HE1333" s="4"/>
    </row>
    <row r="1334">
      <c r="A1334" s="2" t="s">
        <v>6871</v>
      </c>
      <c r="B1334" s="2" t="s">
        <v>848</v>
      </c>
      <c r="C1334" s="2" t="s">
        <v>1037</v>
      </c>
      <c r="D1334" s="2" t="s">
        <v>1112</v>
      </c>
      <c r="E1334" s="2" t="s">
        <v>1113</v>
      </c>
      <c r="F1334" s="2" t="s">
        <v>6863</v>
      </c>
      <c r="G1334" s="2" t="s">
        <v>6863</v>
      </c>
      <c r="H1334" s="2" t="s">
        <v>6409</v>
      </c>
      <c r="I1334" s="2" t="s">
        <v>6864</v>
      </c>
      <c r="J1334" s="2" t="s">
        <v>856</v>
      </c>
      <c r="K1334" s="2" t="s">
        <v>316</v>
      </c>
      <c r="L1334" s="3">
        <v>33.33</v>
      </c>
      <c r="M1334" s="3">
        <v>35</v>
      </c>
      <c r="N1334" s="3">
        <v>69.99</v>
      </c>
      <c r="O1334" s="2" t="s">
        <v>240</v>
      </c>
      <c r="P1334" s="2" t="s">
        <v>233</v>
      </c>
      <c r="Q1334" s="2" t="s">
        <v>234</v>
      </c>
      <c r="R1334" s="2" t="s">
        <v>228</v>
      </c>
      <c r="S1334" s="2" t="s">
        <v>6872</v>
      </c>
      <c r="T1334" s="2" t="s">
        <v>3461</v>
      </c>
      <c r="U1334" s="2" t="s">
        <v>520</v>
      </c>
      <c r="V1334" s="2" t="s">
        <v>236</v>
      </c>
      <c r="W1334" s="2" t="s">
        <v>417</v>
      </c>
      <c r="X1334" s="2" t="s">
        <v>269</v>
      </c>
      <c r="Y1334" s="2" t="s">
        <v>5072</v>
      </c>
      <c r="Z1334" s="4">
        <v>95</v>
      </c>
      <c r="AA1334" s="4">
        <f>=ROUNDDOWN(50,0)</f>
      </c>
      <c r="AB1334" s="5">
        <v>1.9</v>
      </c>
      <c r="AC1334" s="2" t="s">
        <v>228</v>
      </c>
      <c r="AD1334" s="4"/>
      <c r="AE1334" s="4"/>
      <c r="AF1334" s="6">
        <v>65</v>
      </c>
      <c r="AG1334" s="6"/>
      <c r="AH1334" s="7">
        <v>1</v>
      </c>
      <c r="AI1334" s="4"/>
      <c r="AJ1334" s="4">
        <f>=ROUNDDOWN({0},0)</f>
      </c>
      <c r="AK1334" s="5"/>
      <c r="AL1334" s="2" t="s">
        <v>228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 t="s">
        <v>228</v>
      </c>
      <c r="AW1334" s="8" t="s">
        <v>228</v>
      </c>
      <c r="AX1334" s="4" t="s">
        <v>228</v>
      </c>
      <c r="AY1334" s="8" t="s">
        <v>228</v>
      </c>
      <c r="AZ1334" s="7" t="s">
        <v>228</v>
      </c>
      <c r="BA1334" s="7" t="s">
        <v>228</v>
      </c>
      <c r="BB1334" s="7"/>
      <c r="BC1334" s="4" t="s">
        <v>228</v>
      </c>
      <c r="BD1334" s="8" t="s">
        <v>228</v>
      </c>
      <c r="BE1334" s="4" t="s">
        <v>228</v>
      </c>
      <c r="BF1334" s="8" t="s">
        <v>228</v>
      </c>
      <c r="BG1334" s="7" t="s">
        <v>228</v>
      </c>
      <c r="BH1334" s="7" t="s">
        <v>228</v>
      </c>
      <c r="BI1334" s="7"/>
      <c r="BJ1334" s="4">
        <v>8</v>
      </c>
      <c r="BK1334" s="8">
        <v>313.14</v>
      </c>
      <c r="BL1334" s="2" t="s">
        <v>6873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6874</v>
      </c>
      <c r="BV1334" s="2" t="s">
        <v>228</v>
      </c>
      <c r="BW1334" s="2" t="s">
        <v>228</v>
      </c>
      <c r="BX1334" s="2" t="s">
        <v>273</v>
      </c>
      <c r="BY1334" s="2" t="s">
        <v>274</v>
      </c>
      <c r="BZ1334" s="2" t="s">
        <v>240</v>
      </c>
      <c r="CA1334" s="2" t="s">
        <v>6590</v>
      </c>
      <c r="CB1334" s="2" t="s">
        <v>6875</v>
      </c>
      <c r="CC1334" s="2" t="s">
        <v>241</v>
      </c>
      <c r="CD1334" s="2" t="s">
        <v>228</v>
      </c>
      <c r="CE1334" s="4">
        <v>95</v>
      </c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/>
      <c r="GE1334" s="4"/>
      <c r="GF1334" s="4"/>
      <c r="GG1334" s="4"/>
      <c r="GH1334" s="4"/>
      <c r="GI1334" s="4"/>
      <c r="GJ1334" s="4"/>
      <c r="GK1334" s="4"/>
      <c r="GL1334" s="4"/>
      <c r="GM1334" s="4"/>
      <c r="GN1334" s="4"/>
      <c r="GO1334" s="4"/>
      <c r="GP1334" s="4"/>
      <c r="GQ1334" s="4"/>
      <c r="GR1334" s="4"/>
      <c r="GS1334" s="4"/>
      <c r="GT1334" s="4"/>
      <c r="GU1334" s="4"/>
      <c r="GV1334" s="4"/>
      <c r="GW1334" s="4"/>
      <c r="GX1334" s="4"/>
      <c r="GY1334" s="4"/>
      <c r="GZ1334" s="4"/>
      <c r="HA1334" s="4"/>
      <c r="HB1334" s="4"/>
      <c r="HC1334" s="4"/>
      <c r="HD1334" s="4"/>
      <c r="HE1334" s="4"/>
    </row>
    <row r="1335">
      <c r="A1335" s="2" t="s">
        <v>6876</v>
      </c>
      <c r="B1335" s="2" t="s">
        <v>848</v>
      </c>
      <c r="C1335" s="2" t="s">
        <v>1037</v>
      </c>
      <c r="D1335" s="2" t="s">
        <v>1112</v>
      </c>
      <c r="E1335" s="2" t="s">
        <v>1113</v>
      </c>
      <c r="F1335" s="2" t="s">
        <v>6863</v>
      </c>
      <c r="G1335" s="2" t="s">
        <v>6863</v>
      </c>
      <c r="H1335" s="2" t="s">
        <v>6409</v>
      </c>
      <c r="I1335" s="2" t="s">
        <v>6864</v>
      </c>
      <c r="J1335" s="2" t="s">
        <v>1189</v>
      </c>
      <c r="K1335" s="2" t="s">
        <v>316</v>
      </c>
      <c r="L1335" s="3">
        <v>38.09</v>
      </c>
      <c r="M1335" s="3">
        <v>39.99</v>
      </c>
      <c r="N1335" s="3">
        <v>79.99</v>
      </c>
      <c r="O1335" s="2" t="s">
        <v>240</v>
      </c>
      <c r="P1335" s="2" t="s">
        <v>233</v>
      </c>
      <c r="Q1335" s="2" t="s">
        <v>234</v>
      </c>
      <c r="R1335" s="2" t="s">
        <v>228</v>
      </c>
      <c r="S1335" s="2" t="s">
        <v>6872</v>
      </c>
      <c r="T1335" s="2" t="s">
        <v>3461</v>
      </c>
      <c r="U1335" s="2" t="s">
        <v>500</v>
      </c>
      <c r="V1335" s="2" t="s">
        <v>236</v>
      </c>
      <c r="W1335" s="2" t="s">
        <v>417</v>
      </c>
      <c r="X1335" s="2" t="s">
        <v>269</v>
      </c>
      <c r="Y1335" s="2" t="s">
        <v>5072</v>
      </c>
      <c r="Z1335" s="4">
        <v>302</v>
      </c>
      <c r="AA1335" s="4">
        <f>=ROUNDDOWN(61.6326530612245,0)</f>
      </c>
      <c r="AB1335" s="5">
        <v>4.9</v>
      </c>
      <c r="AC1335" s="2" t="s">
        <v>228</v>
      </c>
      <c r="AD1335" s="4"/>
      <c r="AE1335" s="4"/>
      <c r="AF1335" s="6">
        <v>65</v>
      </c>
      <c r="AG1335" s="6"/>
      <c r="AH1335" s="7">
        <v>1</v>
      </c>
      <c r="AI1335" s="4"/>
      <c r="AJ1335" s="4">
        <f>=ROUNDDOWN({0},0)</f>
      </c>
      <c r="AK1335" s="5"/>
      <c r="AL1335" s="2" t="s">
        <v>228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 t="s">
        <v>228</v>
      </c>
      <c r="AW1335" s="8" t="s">
        <v>228</v>
      </c>
      <c r="AX1335" s="4" t="s">
        <v>228</v>
      </c>
      <c r="AY1335" s="8" t="s">
        <v>228</v>
      </c>
      <c r="AZ1335" s="7" t="s">
        <v>228</v>
      </c>
      <c r="BA1335" s="7" t="s">
        <v>228</v>
      </c>
      <c r="BB1335" s="7"/>
      <c r="BC1335" s="4" t="s">
        <v>228</v>
      </c>
      <c r="BD1335" s="8" t="s">
        <v>228</v>
      </c>
      <c r="BE1335" s="4" t="s">
        <v>228</v>
      </c>
      <c r="BF1335" s="8" t="s">
        <v>228</v>
      </c>
      <c r="BG1335" s="7" t="s">
        <v>228</v>
      </c>
      <c r="BH1335" s="7" t="s">
        <v>228</v>
      </c>
      <c r="BI1335" s="7"/>
      <c r="BJ1335" s="4">
        <v>24</v>
      </c>
      <c r="BK1335" s="8">
        <v>1070.45</v>
      </c>
      <c r="BL1335" s="2" t="s">
        <v>6877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6878</v>
      </c>
      <c r="BV1335" s="2" t="s">
        <v>228</v>
      </c>
      <c r="BW1335" s="2" t="s">
        <v>228</v>
      </c>
      <c r="BX1335" s="2" t="s">
        <v>273</v>
      </c>
      <c r="BY1335" s="2" t="s">
        <v>274</v>
      </c>
      <c r="BZ1335" s="2" t="s">
        <v>240</v>
      </c>
      <c r="CA1335" s="2" t="s">
        <v>6590</v>
      </c>
      <c r="CB1335" s="2" t="s">
        <v>6879</v>
      </c>
      <c r="CC1335" s="2" t="s">
        <v>241</v>
      </c>
      <c r="CD1335" s="2" t="s">
        <v>228</v>
      </c>
      <c r="CE1335" s="4">
        <v>302</v>
      </c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  <c r="GG1335" s="4"/>
      <c r="GH1335" s="4"/>
      <c r="GI1335" s="4"/>
      <c r="GJ1335" s="4"/>
      <c r="GK1335" s="4"/>
      <c r="GL1335" s="4"/>
      <c r="GM1335" s="4"/>
      <c r="GN1335" s="4"/>
      <c r="GO1335" s="4"/>
      <c r="GP1335" s="4"/>
      <c r="GQ1335" s="4"/>
      <c r="GR1335" s="4"/>
      <c r="GS1335" s="4"/>
      <c r="GT1335" s="4"/>
      <c r="GU1335" s="4"/>
      <c r="GV1335" s="4"/>
      <c r="GW1335" s="4"/>
      <c r="GX1335" s="4"/>
      <c r="GY1335" s="4"/>
      <c r="GZ1335" s="4"/>
      <c r="HA1335" s="4"/>
      <c r="HB1335" s="4"/>
      <c r="HC1335" s="4"/>
      <c r="HD1335" s="4"/>
      <c r="HE1335" s="4"/>
    </row>
    <row r="1336">
      <c r="A1336" s="2" t="s">
        <v>6880</v>
      </c>
      <c r="B1336" s="2" t="s">
        <v>848</v>
      </c>
      <c r="C1336" s="2" t="s">
        <v>1037</v>
      </c>
      <c r="D1336" s="2" t="s">
        <v>1112</v>
      </c>
      <c r="E1336" s="2" t="s">
        <v>1113</v>
      </c>
      <c r="F1336" s="2" t="s">
        <v>6863</v>
      </c>
      <c r="G1336" s="2" t="s">
        <v>6863</v>
      </c>
      <c r="H1336" s="2" t="s">
        <v>6409</v>
      </c>
      <c r="I1336" s="2" t="s">
        <v>6864</v>
      </c>
      <c r="J1336" s="2" t="s">
        <v>1043</v>
      </c>
      <c r="K1336" s="2" t="s">
        <v>316</v>
      </c>
      <c r="L1336" s="3">
        <v>42.85</v>
      </c>
      <c r="M1336" s="3">
        <v>44.99</v>
      </c>
      <c r="N1336" s="3">
        <v>89.99</v>
      </c>
      <c r="O1336" s="2" t="s">
        <v>240</v>
      </c>
      <c r="P1336" s="2" t="s">
        <v>233</v>
      </c>
      <c r="Q1336" s="2" t="s">
        <v>234</v>
      </c>
      <c r="R1336" s="2" t="s">
        <v>228</v>
      </c>
      <c r="S1336" s="2" t="s">
        <v>6872</v>
      </c>
      <c r="T1336" s="2" t="s">
        <v>3461</v>
      </c>
      <c r="U1336" s="2" t="s">
        <v>500</v>
      </c>
      <c r="V1336" s="2" t="s">
        <v>236</v>
      </c>
      <c r="W1336" s="2" t="s">
        <v>417</v>
      </c>
      <c r="X1336" s="2" t="s">
        <v>269</v>
      </c>
      <c r="Y1336" s="2" t="s">
        <v>5072</v>
      </c>
      <c r="Z1336" s="4">
        <v>270</v>
      </c>
      <c r="AA1336" s="4">
        <f>=ROUNDDOWN(108,0)</f>
      </c>
      <c r="AB1336" s="5">
        <v>2.5</v>
      </c>
      <c r="AC1336" s="2" t="s">
        <v>228</v>
      </c>
      <c r="AD1336" s="4"/>
      <c r="AE1336" s="4"/>
      <c r="AF1336" s="6">
        <v>65</v>
      </c>
      <c r="AG1336" s="6"/>
      <c r="AH1336" s="7">
        <v>1</v>
      </c>
      <c r="AI1336" s="4"/>
      <c r="AJ1336" s="4">
        <f>=ROUNDDOWN({0},0)</f>
      </c>
      <c r="AK1336" s="5"/>
      <c r="AL1336" s="2" t="s">
        <v>228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 t="s">
        <v>228</v>
      </c>
      <c r="AW1336" s="8" t="s">
        <v>228</v>
      </c>
      <c r="AX1336" s="4" t="s">
        <v>228</v>
      </c>
      <c r="AY1336" s="8" t="s">
        <v>228</v>
      </c>
      <c r="AZ1336" s="7" t="s">
        <v>228</v>
      </c>
      <c r="BA1336" s="7" t="s">
        <v>228</v>
      </c>
      <c r="BB1336" s="7"/>
      <c r="BC1336" s="4" t="s">
        <v>228</v>
      </c>
      <c r="BD1336" s="8" t="s">
        <v>228</v>
      </c>
      <c r="BE1336" s="4" t="s">
        <v>228</v>
      </c>
      <c r="BF1336" s="8" t="s">
        <v>228</v>
      </c>
      <c r="BG1336" s="7" t="s">
        <v>228</v>
      </c>
      <c r="BH1336" s="7" t="s">
        <v>228</v>
      </c>
      <c r="BI1336" s="7"/>
      <c r="BJ1336" s="4">
        <v>13</v>
      </c>
      <c r="BK1336" s="8">
        <v>631.7</v>
      </c>
      <c r="BL1336" s="2" t="s">
        <v>3816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6881</v>
      </c>
      <c r="BV1336" s="2" t="s">
        <v>228</v>
      </c>
      <c r="BW1336" s="2" t="s">
        <v>228</v>
      </c>
      <c r="BX1336" s="2" t="s">
        <v>273</v>
      </c>
      <c r="BY1336" s="2" t="s">
        <v>274</v>
      </c>
      <c r="BZ1336" s="2" t="s">
        <v>240</v>
      </c>
      <c r="CA1336" s="2" t="s">
        <v>6590</v>
      </c>
      <c r="CB1336" s="2" t="s">
        <v>6882</v>
      </c>
      <c r="CC1336" s="2" t="s">
        <v>241</v>
      </c>
      <c r="CD1336" s="2" t="s">
        <v>228</v>
      </c>
      <c r="CE1336" s="4">
        <v>270</v>
      </c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  <c r="GG1336" s="4"/>
      <c r="GH1336" s="4"/>
      <c r="GI1336" s="4"/>
      <c r="GJ1336" s="4"/>
      <c r="GK1336" s="4"/>
      <c r="GL1336" s="4"/>
      <c r="GM1336" s="4"/>
      <c r="GN1336" s="4"/>
      <c r="GO1336" s="4"/>
      <c r="GP1336" s="4"/>
      <c r="GQ1336" s="4"/>
      <c r="GR1336" s="4"/>
      <c r="GS1336" s="4"/>
      <c r="GT1336" s="4"/>
      <c r="GU1336" s="4"/>
      <c r="GV1336" s="4"/>
      <c r="GW1336" s="4"/>
      <c r="GX1336" s="4"/>
      <c r="GY1336" s="4"/>
      <c r="GZ1336" s="4"/>
      <c r="HA1336" s="4"/>
      <c r="HB1336" s="4"/>
      <c r="HC1336" s="4"/>
      <c r="HD1336" s="4"/>
      <c r="HE1336" s="4"/>
    </row>
    <row r="1337">
      <c r="A1337" s="2" t="s">
        <v>6883</v>
      </c>
      <c r="B1337" s="2" t="s">
        <v>958</v>
      </c>
      <c r="C1337" s="2" t="s">
        <v>1743</v>
      </c>
      <c r="D1337" s="2" t="s">
        <v>959</v>
      </c>
      <c r="E1337" s="2" t="s">
        <v>3094</v>
      </c>
      <c r="F1337" s="2" t="s">
        <v>6884</v>
      </c>
      <c r="G1337" s="2" t="s">
        <v>6884</v>
      </c>
      <c r="H1337" s="2" t="s">
        <v>6884</v>
      </c>
      <c r="I1337" s="2" t="s">
        <v>6885</v>
      </c>
      <c r="J1337" s="2" t="s">
        <v>840</v>
      </c>
      <c r="K1337" s="2" t="s">
        <v>4489</v>
      </c>
      <c r="L1337" s="3">
        <v>112.1</v>
      </c>
      <c r="M1337" s="3">
        <v>117.7</v>
      </c>
      <c r="N1337" s="3">
        <v>239</v>
      </c>
      <c r="O1337" s="2" t="s">
        <v>240</v>
      </c>
      <c r="P1337" s="2" t="s">
        <v>233</v>
      </c>
      <c r="Q1337" s="2" t="s">
        <v>234</v>
      </c>
      <c r="R1337" s="2" t="s">
        <v>228</v>
      </c>
      <c r="S1337" s="2" t="s">
        <v>228</v>
      </c>
      <c r="T1337" s="2" t="s">
        <v>228</v>
      </c>
      <c r="U1337" s="2" t="s">
        <v>416</v>
      </c>
      <c r="V1337" s="2" t="s">
        <v>842</v>
      </c>
      <c r="W1337" s="2" t="s">
        <v>463</v>
      </c>
      <c r="X1337" s="2" t="s">
        <v>417</v>
      </c>
      <c r="Y1337" s="2" t="s">
        <v>4498</v>
      </c>
      <c r="Z1337" s="4">
        <v>262</v>
      </c>
      <c r="AA1337" s="4">
        <f>=ROUNDDOWN(81.875,0)</f>
      </c>
      <c r="AB1337" s="5">
        <v>3.2</v>
      </c>
      <c r="AC1337" s="2" t="s">
        <v>228</v>
      </c>
      <c r="AD1337" s="4"/>
      <c r="AE1337" s="4"/>
      <c r="AF1337" s="6">
        <v>74</v>
      </c>
      <c r="AG1337" s="6"/>
      <c r="AH1337" s="7">
        <v>1</v>
      </c>
      <c r="AI1337" s="4"/>
      <c r="AJ1337" s="4">
        <f>=ROUNDDOWN({0},0)</f>
      </c>
      <c r="AK1337" s="5"/>
      <c r="AL1337" s="2" t="s">
        <v>228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/>
      <c r="AW1337" s="8"/>
      <c r="AX1337" s="4"/>
      <c r="AY1337" s="8"/>
      <c r="AZ1337" s="7"/>
      <c r="BA1337" s="7"/>
      <c r="BB1337" s="7"/>
      <c r="BC1337" s="4" t="s">
        <v>228</v>
      </c>
      <c r="BD1337" s="8" t="s">
        <v>228</v>
      </c>
      <c r="BE1337" s="4" t="s">
        <v>228</v>
      </c>
      <c r="BF1337" s="8" t="s">
        <v>228</v>
      </c>
      <c r="BG1337" s="7" t="s">
        <v>228</v>
      </c>
      <c r="BH1337" s="7" t="s">
        <v>228</v>
      </c>
      <c r="BI1337" s="7"/>
      <c r="BJ1337" s="4">
        <v>5</v>
      </c>
      <c r="BK1337" s="8">
        <v>628.43</v>
      </c>
      <c r="BL1337" s="2" t="s">
        <v>1322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6886</v>
      </c>
      <c r="BV1337" s="2" t="s">
        <v>228</v>
      </c>
      <c r="BW1337" s="2" t="s">
        <v>228</v>
      </c>
      <c r="BX1337" s="2" t="s">
        <v>273</v>
      </c>
      <c r="BY1337" s="2" t="s">
        <v>274</v>
      </c>
      <c r="BZ1337" s="2" t="s">
        <v>240</v>
      </c>
      <c r="CA1337" s="2" t="s">
        <v>2490</v>
      </c>
      <c r="CB1337" s="2" t="s">
        <v>228</v>
      </c>
      <c r="CC1337" s="2" t="s">
        <v>241</v>
      </c>
      <c r="CD1337" s="2" t="s">
        <v>228</v>
      </c>
      <c r="CE1337" s="4"/>
      <c r="CF1337" s="4">
        <v>262</v>
      </c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/>
      <c r="GH1337" s="4"/>
      <c r="GI1337" s="4"/>
      <c r="GJ1337" s="4"/>
      <c r="GK1337" s="4"/>
      <c r="GL1337" s="4"/>
      <c r="GM1337" s="4"/>
      <c r="GN1337" s="4"/>
      <c r="GO1337" s="4"/>
      <c r="GP1337" s="4"/>
      <c r="GQ1337" s="4"/>
      <c r="GR1337" s="4"/>
      <c r="GS1337" s="4"/>
      <c r="GT1337" s="4"/>
      <c r="GU1337" s="4"/>
      <c r="GV1337" s="4"/>
      <c r="GW1337" s="4"/>
      <c r="GX1337" s="4"/>
      <c r="GY1337" s="4"/>
      <c r="GZ1337" s="4"/>
      <c r="HA1337" s="4"/>
      <c r="HB1337" s="4"/>
      <c r="HC1337" s="4"/>
      <c r="HD1337" s="4"/>
      <c r="HE1337" s="4"/>
    </row>
    <row r="1338">
      <c r="A1338" s="2" t="s">
        <v>6887</v>
      </c>
      <c r="B1338" s="2" t="s">
        <v>958</v>
      </c>
      <c r="C1338" s="2" t="s">
        <v>1743</v>
      </c>
      <c r="D1338" s="2" t="s">
        <v>959</v>
      </c>
      <c r="E1338" s="2" t="s">
        <v>3094</v>
      </c>
      <c r="F1338" s="2" t="s">
        <v>6884</v>
      </c>
      <c r="G1338" s="2" t="s">
        <v>6884</v>
      </c>
      <c r="H1338" s="2" t="s">
        <v>6884</v>
      </c>
      <c r="I1338" s="2" t="s">
        <v>6885</v>
      </c>
      <c r="J1338" s="2" t="s">
        <v>840</v>
      </c>
      <c r="K1338" s="2" t="s">
        <v>2350</v>
      </c>
      <c r="L1338" s="3">
        <v>112.1</v>
      </c>
      <c r="M1338" s="3">
        <v>117.7</v>
      </c>
      <c r="N1338" s="3">
        <v>239</v>
      </c>
      <c r="O1338" s="2" t="s">
        <v>240</v>
      </c>
      <c r="P1338" s="2" t="s">
        <v>233</v>
      </c>
      <c r="Q1338" s="2" t="s">
        <v>234</v>
      </c>
      <c r="R1338" s="2" t="s">
        <v>228</v>
      </c>
      <c r="S1338" s="2" t="s">
        <v>228</v>
      </c>
      <c r="T1338" s="2" t="s">
        <v>228</v>
      </c>
      <c r="U1338" s="2" t="s">
        <v>416</v>
      </c>
      <c r="V1338" s="2" t="s">
        <v>842</v>
      </c>
      <c r="W1338" s="2" t="s">
        <v>463</v>
      </c>
      <c r="X1338" s="2" t="s">
        <v>417</v>
      </c>
      <c r="Y1338" s="2" t="s">
        <v>1109</v>
      </c>
      <c r="Z1338" s="4">
        <v>99</v>
      </c>
      <c r="AA1338" s="4">
        <f>=ROUNDDOWN(141.428571428571,0)</f>
      </c>
      <c r="AB1338" s="5">
        <v>0.7</v>
      </c>
      <c r="AC1338" s="2" t="s">
        <v>228</v>
      </c>
      <c r="AD1338" s="4"/>
      <c r="AE1338" s="4"/>
      <c r="AF1338" s="6">
        <v>74</v>
      </c>
      <c r="AG1338" s="6"/>
      <c r="AH1338" s="7">
        <v>1</v>
      </c>
      <c r="AI1338" s="4"/>
      <c r="AJ1338" s="4">
        <f>=ROUNDDOWN({0},0)</f>
      </c>
      <c r="AK1338" s="5"/>
      <c r="AL1338" s="2" t="s">
        <v>228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/>
      <c r="AW1338" s="8"/>
      <c r="AX1338" s="4"/>
      <c r="AY1338" s="8"/>
      <c r="AZ1338" s="7"/>
      <c r="BA1338" s="7"/>
      <c r="BB1338" s="7"/>
      <c r="BC1338" s="4" t="s">
        <v>228</v>
      </c>
      <c r="BD1338" s="8" t="s">
        <v>228</v>
      </c>
      <c r="BE1338" s="4" t="s">
        <v>228</v>
      </c>
      <c r="BF1338" s="8" t="s">
        <v>228</v>
      </c>
      <c r="BG1338" s="7" t="s">
        <v>228</v>
      </c>
      <c r="BH1338" s="7" t="s">
        <v>228</v>
      </c>
      <c r="BI1338" s="7"/>
      <c r="BJ1338" s="4">
        <v>1</v>
      </c>
      <c r="BK1338" s="8">
        <v>138.77</v>
      </c>
      <c r="BL1338" s="2" t="s">
        <v>622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6888</v>
      </c>
      <c r="BV1338" s="2" t="s">
        <v>228</v>
      </c>
      <c r="BW1338" s="2" t="s">
        <v>228</v>
      </c>
      <c r="BX1338" s="2" t="s">
        <v>238</v>
      </c>
      <c r="BY1338" s="2" t="s">
        <v>274</v>
      </c>
      <c r="BZ1338" s="2" t="s">
        <v>240</v>
      </c>
      <c r="CA1338" s="2" t="s">
        <v>2113</v>
      </c>
      <c r="CB1338" s="2" t="s">
        <v>228</v>
      </c>
      <c r="CC1338" s="2" t="s">
        <v>241</v>
      </c>
      <c r="CD1338" s="2" t="s">
        <v>228</v>
      </c>
      <c r="CE1338" s="4"/>
      <c r="CF1338" s="4">
        <v>99</v>
      </c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/>
      <c r="GG1338" s="4"/>
      <c r="GH1338" s="4"/>
      <c r="GI1338" s="4"/>
      <c r="GJ1338" s="4"/>
      <c r="GK1338" s="4"/>
      <c r="GL1338" s="4"/>
      <c r="GM1338" s="4"/>
      <c r="GN1338" s="4"/>
      <c r="GO1338" s="4"/>
      <c r="GP1338" s="4"/>
      <c r="GQ1338" s="4"/>
      <c r="GR1338" s="4"/>
      <c r="GS1338" s="4"/>
      <c r="GT1338" s="4"/>
      <c r="GU1338" s="4"/>
      <c r="GV1338" s="4"/>
      <c r="GW1338" s="4"/>
      <c r="GX1338" s="4"/>
      <c r="GY1338" s="4"/>
      <c r="GZ1338" s="4"/>
      <c r="HA1338" s="4"/>
      <c r="HB1338" s="4"/>
      <c r="HC1338" s="4"/>
      <c r="HD1338" s="4"/>
      <c r="HE1338" s="4"/>
    </row>
    <row r="1339">
      <c r="A1339" s="2" t="s">
        <v>6889</v>
      </c>
      <c r="B1339" s="2" t="s">
        <v>958</v>
      </c>
      <c r="C1339" s="2" t="s">
        <v>1743</v>
      </c>
      <c r="D1339" s="2" t="s">
        <v>959</v>
      </c>
      <c r="E1339" s="2" t="s">
        <v>3094</v>
      </c>
      <c r="F1339" s="2" t="s">
        <v>6884</v>
      </c>
      <c r="G1339" s="2" t="s">
        <v>6884</v>
      </c>
      <c r="H1339" s="2" t="s">
        <v>6884</v>
      </c>
      <c r="I1339" s="2" t="s">
        <v>6885</v>
      </c>
      <c r="J1339" s="2" t="s">
        <v>840</v>
      </c>
      <c r="K1339" s="2" t="s">
        <v>829</v>
      </c>
      <c r="L1339" s="3">
        <v>112.1</v>
      </c>
      <c r="M1339" s="3">
        <v>117.7</v>
      </c>
      <c r="N1339" s="3">
        <v>239</v>
      </c>
      <c r="O1339" s="2" t="s">
        <v>240</v>
      </c>
      <c r="P1339" s="2" t="s">
        <v>333</v>
      </c>
      <c r="Q1339" s="2" t="s">
        <v>234</v>
      </c>
      <c r="R1339" s="2" t="s">
        <v>228</v>
      </c>
      <c r="S1339" s="2" t="s">
        <v>228</v>
      </c>
      <c r="T1339" s="2" t="s">
        <v>228</v>
      </c>
      <c r="U1339" s="2" t="s">
        <v>416</v>
      </c>
      <c r="V1339" s="2" t="s">
        <v>842</v>
      </c>
      <c r="W1339" s="2" t="s">
        <v>463</v>
      </c>
      <c r="X1339" s="2" t="s">
        <v>417</v>
      </c>
      <c r="Y1339" s="2" t="s">
        <v>1849</v>
      </c>
      <c r="Z1339" s="4">
        <v>37</v>
      </c>
      <c r="AA1339" s="4">
        <f>=ROUNDDOWN(12.3333333333333,0)</f>
      </c>
      <c r="AB1339" s="5">
        <v>3</v>
      </c>
      <c r="AC1339" s="2" t="s">
        <v>228</v>
      </c>
      <c r="AD1339" s="4"/>
      <c r="AE1339" s="4"/>
      <c r="AF1339" s="6">
        <v>74</v>
      </c>
      <c r="AG1339" s="6"/>
      <c r="AH1339" s="7">
        <v>1</v>
      </c>
      <c r="AI1339" s="4"/>
      <c r="AJ1339" s="4">
        <f>=ROUNDDOWN({0},0)</f>
      </c>
      <c r="AK1339" s="5"/>
      <c r="AL1339" s="2" t="s">
        <v>228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/>
      <c r="AW1339" s="8"/>
      <c r="AX1339" s="4"/>
      <c r="AY1339" s="8"/>
      <c r="AZ1339" s="7"/>
      <c r="BA1339" s="7"/>
      <c r="BB1339" s="7"/>
      <c r="BC1339" s="4" t="s">
        <v>228</v>
      </c>
      <c r="BD1339" s="8" t="s">
        <v>228</v>
      </c>
      <c r="BE1339" s="4" t="s">
        <v>228</v>
      </c>
      <c r="BF1339" s="8" t="s">
        <v>228</v>
      </c>
      <c r="BG1339" s="7" t="s">
        <v>228</v>
      </c>
      <c r="BH1339" s="7" t="s">
        <v>228</v>
      </c>
      <c r="BI1339" s="7"/>
      <c r="BJ1339" s="4">
        <v>2</v>
      </c>
      <c r="BK1339" s="8">
        <v>205.93</v>
      </c>
      <c r="BL1339" s="2" t="s">
        <v>6766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238</v>
      </c>
      <c r="BV1339" s="2" t="s">
        <v>228</v>
      </c>
      <c r="BW1339" s="2" t="s">
        <v>228</v>
      </c>
      <c r="BX1339" s="2" t="s">
        <v>337</v>
      </c>
      <c r="BY1339" s="2" t="s">
        <v>2353</v>
      </c>
      <c r="BZ1339" s="2" t="s">
        <v>240</v>
      </c>
      <c r="CA1339" s="2" t="s">
        <v>228</v>
      </c>
      <c r="CB1339" s="2" t="s">
        <v>228</v>
      </c>
      <c r="CC1339" s="2" t="s">
        <v>241</v>
      </c>
      <c r="CD1339" s="2" t="s">
        <v>228</v>
      </c>
      <c r="CE1339" s="4"/>
      <c r="CF1339" s="4">
        <v>37</v>
      </c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/>
      <c r="GE1339" s="4"/>
      <c r="GF1339" s="4"/>
      <c r="GG1339" s="4"/>
      <c r="GH1339" s="4"/>
      <c r="GI1339" s="4"/>
      <c r="GJ1339" s="4"/>
      <c r="GK1339" s="4"/>
      <c r="GL1339" s="4"/>
      <c r="GM1339" s="4"/>
      <c r="GN1339" s="4"/>
      <c r="GO1339" s="4"/>
      <c r="GP1339" s="4"/>
      <c r="GQ1339" s="4"/>
      <c r="GR1339" s="4"/>
      <c r="GS1339" s="4"/>
      <c r="GT1339" s="4"/>
      <c r="GU1339" s="4"/>
      <c r="GV1339" s="4"/>
      <c r="GW1339" s="4"/>
      <c r="GX1339" s="4"/>
      <c r="GY1339" s="4"/>
      <c r="GZ1339" s="4"/>
      <c r="HA1339" s="4"/>
      <c r="HB1339" s="4"/>
      <c r="HC1339" s="4"/>
      <c r="HD1339" s="4"/>
      <c r="HE1339" s="4"/>
    </row>
    <row r="1340">
      <c r="A1340" s="2" t="s">
        <v>6890</v>
      </c>
      <c r="B1340" s="2" t="s">
        <v>970</v>
      </c>
      <c r="C1340" s="2" t="s">
        <v>1743</v>
      </c>
      <c r="D1340" s="2" t="s">
        <v>3702</v>
      </c>
      <c r="E1340" s="2" t="s">
        <v>238</v>
      </c>
      <c r="F1340" s="2" t="s">
        <v>6891</v>
      </c>
      <c r="G1340" s="2" t="s">
        <v>6892</v>
      </c>
      <c r="H1340" s="2" t="s">
        <v>6892</v>
      </c>
      <c r="I1340" s="2" t="s">
        <v>6893</v>
      </c>
      <c r="J1340" s="2" t="s">
        <v>6894</v>
      </c>
      <c r="K1340" s="2" t="s">
        <v>3005</v>
      </c>
      <c r="L1340" s="3">
        <v>62.42</v>
      </c>
      <c r="M1340" s="3">
        <v>65.54</v>
      </c>
      <c r="N1340" s="3">
        <v>139.99</v>
      </c>
      <c r="O1340" s="2" t="s">
        <v>240</v>
      </c>
      <c r="P1340" s="2" t="s">
        <v>233</v>
      </c>
      <c r="Q1340" s="2" t="s">
        <v>234</v>
      </c>
      <c r="R1340" s="2" t="s">
        <v>228</v>
      </c>
      <c r="S1340" s="2" t="s">
        <v>6895</v>
      </c>
      <c r="T1340" s="2" t="s">
        <v>228</v>
      </c>
      <c r="U1340" s="2" t="s">
        <v>416</v>
      </c>
      <c r="V1340" s="2" t="s">
        <v>1644</v>
      </c>
      <c r="W1340" s="2" t="s">
        <v>228</v>
      </c>
      <c r="X1340" s="2" t="s">
        <v>228</v>
      </c>
      <c r="Y1340" s="2" t="s">
        <v>1994</v>
      </c>
      <c r="Z1340" s="4">
        <v>128</v>
      </c>
      <c r="AA1340" s="4">
        <f>=ROUNDDOWN(25.6,0)</f>
      </c>
      <c r="AB1340" s="5">
        <v>5</v>
      </c>
      <c r="AC1340" s="2" t="s">
        <v>228</v>
      </c>
      <c r="AD1340" s="4"/>
      <c r="AE1340" s="4"/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228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 t="s">
        <v>228</v>
      </c>
      <c r="AW1340" s="8" t="s">
        <v>228</v>
      </c>
      <c r="AX1340" s="4" t="s">
        <v>228</v>
      </c>
      <c r="AY1340" s="8" t="s">
        <v>228</v>
      </c>
      <c r="AZ1340" s="7" t="s">
        <v>228</v>
      </c>
      <c r="BA1340" s="7" t="s">
        <v>228</v>
      </c>
      <c r="BB1340" s="7"/>
      <c r="BC1340" s="4" t="s">
        <v>228</v>
      </c>
      <c r="BD1340" s="8" t="s">
        <v>228</v>
      </c>
      <c r="BE1340" s="4" t="s">
        <v>228</v>
      </c>
      <c r="BF1340" s="8" t="s">
        <v>228</v>
      </c>
      <c r="BG1340" s="7" t="s">
        <v>228</v>
      </c>
      <c r="BH1340" s="7" t="s">
        <v>228</v>
      </c>
      <c r="BI1340" s="7"/>
      <c r="BJ1340" s="4"/>
      <c r="BK1340" s="8"/>
      <c r="BL1340" s="2" t="s">
        <v>228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6896</v>
      </c>
      <c r="BV1340" s="2" t="s">
        <v>228</v>
      </c>
      <c r="BW1340" s="2" t="s">
        <v>228</v>
      </c>
      <c r="BX1340" s="2" t="s">
        <v>3576</v>
      </c>
      <c r="BY1340" s="2" t="s">
        <v>274</v>
      </c>
      <c r="BZ1340" s="2" t="s">
        <v>240</v>
      </c>
      <c r="CA1340" s="2" t="s">
        <v>1461</v>
      </c>
      <c r="CB1340" s="2" t="s">
        <v>228</v>
      </c>
      <c r="CC1340" s="2" t="s">
        <v>241</v>
      </c>
      <c r="CD1340" s="2" t="s">
        <v>228</v>
      </c>
      <c r="CE1340" s="4">
        <v>128</v>
      </c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/>
      <c r="GE1340" s="4"/>
      <c r="GF1340" s="4"/>
      <c r="GG1340" s="4"/>
      <c r="GH1340" s="4"/>
      <c r="GI1340" s="4"/>
      <c r="GJ1340" s="4"/>
      <c r="GK1340" s="4"/>
      <c r="GL1340" s="4"/>
      <c r="GM1340" s="4"/>
      <c r="GN1340" s="4"/>
      <c r="GO1340" s="4"/>
      <c r="GP1340" s="4"/>
      <c r="GQ1340" s="4"/>
      <c r="GR1340" s="4"/>
      <c r="GS1340" s="4"/>
      <c r="GT1340" s="4"/>
      <c r="GU1340" s="4"/>
      <c r="GV1340" s="4"/>
      <c r="GW1340" s="4"/>
      <c r="GX1340" s="4"/>
      <c r="GY1340" s="4"/>
      <c r="GZ1340" s="4"/>
      <c r="HA1340" s="4"/>
      <c r="HB1340" s="4"/>
      <c r="HC1340" s="4"/>
      <c r="HD1340" s="4"/>
      <c r="HE1340" s="4"/>
    </row>
    <row r="1341">
      <c r="A1341" s="2" t="s">
        <v>6897</v>
      </c>
      <c r="B1341" s="2" t="s">
        <v>970</v>
      </c>
      <c r="C1341" s="2" t="s">
        <v>1743</v>
      </c>
      <c r="D1341" s="2" t="s">
        <v>3702</v>
      </c>
      <c r="E1341" s="2" t="s">
        <v>238</v>
      </c>
      <c r="F1341" s="2" t="s">
        <v>6891</v>
      </c>
      <c r="G1341" s="2" t="s">
        <v>6892</v>
      </c>
      <c r="H1341" s="2" t="s">
        <v>6892</v>
      </c>
      <c r="I1341" s="2" t="s">
        <v>6893</v>
      </c>
      <c r="J1341" s="2" t="s">
        <v>6898</v>
      </c>
      <c r="K1341" s="2" t="s">
        <v>3005</v>
      </c>
      <c r="L1341" s="3">
        <v>93.63</v>
      </c>
      <c r="M1341" s="3">
        <v>98.31</v>
      </c>
      <c r="N1341" s="3">
        <v>209.99</v>
      </c>
      <c r="O1341" s="2" t="s">
        <v>240</v>
      </c>
      <c r="P1341" s="2" t="s">
        <v>233</v>
      </c>
      <c r="Q1341" s="2" t="s">
        <v>234</v>
      </c>
      <c r="R1341" s="2" t="s">
        <v>228</v>
      </c>
      <c r="S1341" s="2" t="s">
        <v>6899</v>
      </c>
      <c r="T1341" s="2" t="s">
        <v>228</v>
      </c>
      <c r="U1341" s="2" t="s">
        <v>416</v>
      </c>
      <c r="V1341" s="2" t="s">
        <v>1644</v>
      </c>
      <c r="W1341" s="2" t="s">
        <v>228</v>
      </c>
      <c r="X1341" s="2" t="s">
        <v>228</v>
      </c>
      <c r="Y1341" s="2" t="s">
        <v>1994</v>
      </c>
      <c r="Z1341" s="4">
        <v>128</v>
      </c>
      <c r="AA1341" s="4">
        <f>=ROUNDDOWN(25.6,0)</f>
      </c>
      <c r="AB1341" s="5">
        <v>5</v>
      </c>
      <c r="AC1341" s="2" t="s">
        <v>228</v>
      </c>
      <c r="AD1341" s="4"/>
      <c r="AE1341" s="4"/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228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 t="s">
        <v>228</v>
      </c>
      <c r="AW1341" s="8" t="s">
        <v>228</v>
      </c>
      <c r="AX1341" s="4" t="s">
        <v>228</v>
      </c>
      <c r="AY1341" s="8" t="s">
        <v>228</v>
      </c>
      <c r="AZ1341" s="7" t="s">
        <v>228</v>
      </c>
      <c r="BA1341" s="7" t="s">
        <v>228</v>
      </c>
      <c r="BB1341" s="7"/>
      <c r="BC1341" s="4" t="s">
        <v>228</v>
      </c>
      <c r="BD1341" s="8" t="s">
        <v>228</v>
      </c>
      <c r="BE1341" s="4" t="s">
        <v>228</v>
      </c>
      <c r="BF1341" s="8" t="s">
        <v>228</v>
      </c>
      <c r="BG1341" s="7" t="s">
        <v>228</v>
      </c>
      <c r="BH1341" s="7" t="s">
        <v>228</v>
      </c>
      <c r="BI1341" s="7"/>
      <c r="BJ1341" s="4"/>
      <c r="BK1341" s="8"/>
      <c r="BL1341" s="2" t="s">
        <v>228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6900</v>
      </c>
      <c r="BV1341" s="2" t="s">
        <v>228</v>
      </c>
      <c r="BW1341" s="2" t="s">
        <v>228</v>
      </c>
      <c r="BX1341" s="2" t="s">
        <v>3576</v>
      </c>
      <c r="BY1341" s="2" t="s">
        <v>274</v>
      </c>
      <c r="BZ1341" s="2" t="s">
        <v>240</v>
      </c>
      <c r="CA1341" s="2" t="s">
        <v>1461</v>
      </c>
      <c r="CB1341" s="2" t="s">
        <v>228</v>
      </c>
      <c r="CC1341" s="2" t="s">
        <v>241</v>
      </c>
      <c r="CD1341" s="2" t="s">
        <v>228</v>
      </c>
      <c r="CE1341" s="4">
        <v>128</v>
      </c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/>
      <c r="GE1341" s="4"/>
      <c r="GF1341" s="4"/>
      <c r="GG1341" s="4"/>
      <c r="GH1341" s="4"/>
      <c r="GI1341" s="4"/>
      <c r="GJ1341" s="4"/>
      <c r="GK1341" s="4"/>
      <c r="GL1341" s="4"/>
      <c r="GM1341" s="4"/>
      <c r="GN1341" s="4"/>
      <c r="GO1341" s="4"/>
      <c r="GP1341" s="4"/>
      <c r="GQ1341" s="4"/>
      <c r="GR1341" s="4"/>
      <c r="GS1341" s="4"/>
      <c r="GT1341" s="4"/>
      <c r="GU1341" s="4"/>
      <c r="GV1341" s="4"/>
      <c r="GW1341" s="4"/>
      <c r="GX1341" s="4"/>
      <c r="GY1341" s="4"/>
      <c r="GZ1341" s="4"/>
      <c r="HA1341" s="4"/>
      <c r="HB1341" s="4"/>
      <c r="HC1341" s="4"/>
      <c r="HD1341" s="4"/>
      <c r="HE1341" s="4"/>
    </row>
    <row r="1342">
      <c r="A1342" s="2" t="s">
        <v>6901</v>
      </c>
      <c r="B1342" s="2" t="s">
        <v>970</v>
      </c>
      <c r="C1342" s="2" t="s">
        <v>1743</v>
      </c>
      <c r="D1342" s="2" t="s">
        <v>3702</v>
      </c>
      <c r="E1342" s="2" t="s">
        <v>238</v>
      </c>
      <c r="F1342" s="2" t="s">
        <v>6891</v>
      </c>
      <c r="G1342" s="2" t="s">
        <v>6892</v>
      </c>
      <c r="H1342" s="2" t="s">
        <v>6892</v>
      </c>
      <c r="I1342" s="2" t="s">
        <v>6893</v>
      </c>
      <c r="J1342" s="2" t="s">
        <v>6898</v>
      </c>
      <c r="K1342" s="2" t="s">
        <v>888</v>
      </c>
      <c r="L1342" s="3">
        <v>93.63</v>
      </c>
      <c r="M1342" s="3">
        <v>98.31</v>
      </c>
      <c r="N1342" s="3">
        <v>209.99</v>
      </c>
      <c r="O1342" s="2" t="s">
        <v>240</v>
      </c>
      <c r="P1342" s="2" t="s">
        <v>233</v>
      </c>
      <c r="Q1342" s="2" t="s">
        <v>234</v>
      </c>
      <c r="R1342" s="2" t="s">
        <v>228</v>
      </c>
      <c r="S1342" s="2" t="s">
        <v>6902</v>
      </c>
      <c r="T1342" s="2" t="s">
        <v>228</v>
      </c>
      <c r="U1342" s="2" t="s">
        <v>416</v>
      </c>
      <c r="V1342" s="2" t="s">
        <v>1781</v>
      </c>
      <c r="W1342" s="2" t="s">
        <v>228</v>
      </c>
      <c r="X1342" s="2" t="s">
        <v>228</v>
      </c>
      <c r="Y1342" s="2" t="s">
        <v>1994</v>
      </c>
      <c r="Z1342" s="4">
        <v>200</v>
      </c>
      <c r="AA1342" s="4">
        <f>=ROUNDDOWN(25,0)</f>
      </c>
      <c r="AB1342" s="5">
        <v>8</v>
      </c>
      <c r="AC1342" s="2" t="s">
        <v>228</v>
      </c>
      <c r="AD1342" s="4"/>
      <c r="AE1342" s="4"/>
      <c r="AF1342" s="6">
        <v>65</v>
      </c>
      <c r="AG1342" s="6"/>
      <c r="AH1342" s="7">
        <v>1</v>
      </c>
      <c r="AI1342" s="4"/>
      <c r="AJ1342" s="4">
        <f>=ROUNDDOWN({0},0)</f>
      </c>
      <c r="AK1342" s="5"/>
      <c r="AL1342" s="2" t="s">
        <v>228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/>
      <c r="AW1342" s="8"/>
      <c r="AX1342" s="4"/>
      <c r="AY1342" s="8"/>
      <c r="AZ1342" s="7"/>
      <c r="BA1342" s="7"/>
      <c r="BB1342" s="7"/>
      <c r="BC1342" s="4" t="s">
        <v>228</v>
      </c>
      <c r="BD1342" s="8" t="s">
        <v>228</v>
      </c>
      <c r="BE1342" s="4" t="s">
        <v>228</v>
      </c>
      <c r="BF1342" s="8" t="s">
        <v>228</v>
      </c>
      <c r="BG1342" s="7" t="s">
        <v>228</v>
      </c>
      <c r="BH1342" s="7" t="s">
        <v>228</v>
      </c>
      <c r="BI1342" s="7"/>
      <c r="BJ1342" s="4"/>
      <c r="BK1342" s="8"/>
      <c r="BL1342" s="2" t="s">
        <v>228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6903</v>
      </c>
      <c r="BV1342" s="2" t="s">
        <v>228</v>
      </c>
      <c r="BW1342" s="2" t="s">
        <v>228</v>
      </c>
      <c r="BX1342" s="2" t="s">
        <v>3576</v>
      </c>
      <c r="BY1342" s="2" t="s">
        <v>274</v>
      </c>
      <c r="BZ1342" s="2" t="s">
        <v>240</v>
      </c>
      <c r="CA1342" s="2" t="s">
        <v>1461</v>
      </c>
      <c r="CB1342" s="2" t="s">
        <v>228</v>
      </c>
      <c r="CC1342" s="2" t="s">
        <v>241</v>
      </c>
      <c r="CD1342" s="2" t="s">
        <v>228</v>
      </c>
      <c r="CE1342" s="4">
        <v>200</v>
      </c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FZ1342" s="4"/>
      <c r="GA1342" s="4"/>
      <c r="GB1342" s="4"/>
      <c r="GC1342" s="4"/>
      <c r="GD1342" s="4"/>
      <c r="GE1342" s="4"/>
      <c r="GF1342" s="4"/>
      <c r="GG1342" s="4"/>
      <c r="GH1342" s="4"/>
      <c r="GI1342" s="4"/>
      <c r="GJ1342" s="4"/>
      <c r="GK1342" s="4"/>
      <c r="GL1342" s="4"/>
      <c r="GM1342" s="4"/>
      <c r="GN1342" s="4"/>
      <c r="GO1342" s="4"/>
      <c r="GP1342" s="4"/>
      <c r="GQ1342" s="4"/>
      <c r="GR1342" s="4"/>
      <c r="GS1342" s="4"/>
      <c r="GT1342" s="4"/>
      <c r="GU1342" s="4"/>
      <c r="GV1342" s="4"/>
      <c r="GW1342" s="4"/>
      <c r="GX1342" s="4"/>
      <c r="GY1342" s="4"/>
      <c r="GZ1342" s="4"/>
      <c r="HA1342" s="4"/>
      <c r="HB1342" s="4"/>
      <c r="HC1342" s="4"/>
      <c r="HD1342" s="4"/>
      <c r="HE1342" s="4"/>
    </row>
    <row r="1343">
      <c r="A1343" s="2" t="s">
        <v>6904</v>
      </c>
      <c r="B1343" s="2" t="s">
        <v>970</v>
      </c>
      <c r="C1343" s="2" t="s">
        <v>1743</v>
      </c>
      <c r="D1343" s="2" t="s">
        <v>3702</v>
      </c>
      <c r="E1343" s="2" t="s">
        <v>238</v>
      </c>
      <c r="F1343" s="2" t="s">
        <v>6891</v>
      </c>
      <c r="G1343" s="2" t="s">
        <v>6892</v>
      </c>
      <c r="H1343" s="2" t="s">
        <v>6892</v>
      </c>
      <c r="I1343" s="2" t="s">
        <v>6893</v>
      </c>
      <c r="J1343" s="2" t="s">
        <v>6894</v>
      </c>
      <c r="K1343" s="2" t="s">
        <v>3710</v>
      </c>
      <c r="L1343" s="3">
        <v>62.42</v>
      </c>
      <c r="M1343" s="3">
        <v>65.54</v>
      </c>
      <c r="N1343" s="3">
        <v>139.99</v>
      </c>
      <c r="O1343" s="2" t="s">
        <v>240</v>
      </c>
      <c r="P1343" s="2" t="s">
        <v>233</v>
      </c>
      <c r="Q1343" s="2" t="s">
        <v>234</v>
      </c>
      <c r="R1343" s="2" t="s">
        <v>228</v>
      </c>
      <c r="S1343" s="2" t="s">
        <v>6905</v>
      </c>
      <c r="T1343" s="2" t="s">
        <v>228</v>
      </c>
      <c r="U1343" s="2" t="s">
        <v>416</v>
      </c>
      <c r="V1343" s="2" t="s">
        <v>374</v>
      </c>
      <c r="W1343" s="2" t="s">
        <v>228</v>
      </c>
      <c r="X1343" s="2" t="s">
        <v>228</v>
      </c>
      <c r="Y1343" s="2" t="s">
        <v>1994</v>
      </c>
      <c r="Z1343" s="4">
        <v>152</v>
      </c>
      <c r="AA1343" s="4">
        <f>=ROUNDDOWN(25.3333333333333,0)</f>
      </c>
      <c r="AB1343" s="5">
        <v>6</v>
      </c>
      <c r="AC1343" s="2" t="s">
        <v>228</v>
      </c>
      <c r="AD1343" s="4"/>
      <c r="AE1343" s="4"/>
      <c r="AF1343" s="6">
        <v>65</v>
      </c>
      <c r="AG1343" s="6"/>
      <c r="AH1343" s="7">
        <v>1</v>
      </c>
      <c r="AI1343" s="4"/>
      <c r="AJ1343" s="4">
        <f>=ROUNDDOWN({0},0)</f>
      </c>
      <c r="AK1343" s="5"/>
      <c r="AL1343" s="2" t="s">
        <v>228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/>
      <c r="AW1343" s="8"/>
      <c r="AX1343" s="4"/>
      <c r="AY1343" s="8"/>
      <c r="AZ1343" s="7"/>
      <c r="BA1343" s="7"/>
      <c r="BB1343" s="7"/>
      <c r="BC1343" s="4" t="s">
        <v>228</v>
      </c>
      <c r="BD1343" s="8" t="s">
        <v>228</v>
      </c>
      <c r="BE1343" s="4" t="s">
        <v>228</v>
      </c>
      <c r="BF1343" s="8" t="s">
        <v>228</v>
      </c>
      <c r="BG1343" s="7" t="s">
        <v>228</v>
      </c>
      <c r="BH1343" s="7" t="s">
        <v>228</v>
      </c>
      <c r="BI1343" s="7"/>
      <c r="BJ1343" s="4"/>
      <c r="BK1343" s="8"/>
      <c r="BL1343" s="2" t="s">
        <v>228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6906</v>
      </c>
      <c r="BV1343" s="2" t="s">
        <v>228</v>
      </c>
      <c r="BW1343" s="2" t="s">
        <v>228</v>
      </c>
      <c r="BX1343" s="2" t="s">
        <v>3576</v>
      </c>
      <c r="BY1343" s="2" t="s">
        <v>274</v>
      </c>
      <c r="BZ1343" s="2" t="s">
        <v>240</v>
      </c>
      <c r="CA1343" s="2" t="s">
        <v>1461</v>
      </c>
      <c r="CB1343" s="2" t="s">
        <v>228</v>
      </c>
      <c r="CC1343" s="2" t="s">
        <v>241</v>
      </c>
      <c r="CD1343" s="2" t="s">
        <v>228</v>
      </c>
      <c r="CE1343" s="4">
        <v>152</v>
      </c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/>
      <c r="GE1343" s="4"/>
      <c r="GF1343" s="4"/>
      <c r="GG1343" s="4"/>
      <c r="GH1343" s="4"/>
      <c r="GI1343" s="4"/>
      <c r="GJ1343" s="4"/>
      <c r="GK1343" s="4"/>
      <c r="GL1343" s="4"/>
      <c r="GM1343" s="4"/>
      <c r="GN1343" s="4"/>
      <c r="GO1343" s="4"/>
      <c r="GP1343" s="4"/>
      <c r="GQ1343" s="4"/>
      <c r="GR1343" s="4"/>
      <c r="GS1343" s="4"/>
      <c r="GT1343" s="4"/>
      <c r="GU1343" s="4"/>
      <c r="GV1343" s="4"/>
      <c r="GW1343" s="4"/>
      <c r="GX1343" s="4"/>
      <c r="GY1343" s="4"/>
      <c r="GZ1343" s="4"/>
      <c r="HA1343" s="4"/>
      <c r="HB1343" s="4"/>
      <c r="HC1343" s="4"/>
      <c r="HD1343" s="4"/>
      <c r="HE1343" s="4"/>
    </row>
    <row r="1344">
      <c r="A1344" s="2" t="s">
        <v>6907</v>
      </c>
      <c r="B1344" s="2" t="s">
        <v>958</v>
      </c>
      <c r="C1344" s="2" t="s">
        <v>300</v>
      </c>
      <c r="D1344" s="2" t="s">
        <v>1006</v>
      </c>
      <c r="E1344" s="2" t="s">
        <v>1007</v>
      </c>
      <c r="F1344" s="2" t="s">
        <v>1087</v>
      </c>
      <c r="G1344" s="2" t="s">
        <v>6908</v>
      </c>
      <c r="H1344" s="2" t="s">
        <v>6909</v>
      </c>
      <c r="I1344" s="2" t="s">
        <v>2479</v>
      </c>
      <c r="J1344" s="2" t="s">
        <v>840</v>
      </c>
      <c r="K1344" s="2" t="s">
        <v>460</v>
      </c>
      <c r="L1344" s="3">
        <v>216.6</v>
      </c>
      <c r="M1344" s="3">
        <v>227.43</v>
      </c>
      <c r="N1344" s="3">
        <v>449</v>
      </c>
      <c r="O1344" s="2" t="s">
        <v>240</v>
      </c>
      <c r="P1344" s="2" t="s">
        <v>1012</v>
      </c>
      <c r="Q1344" s="2" t="s">
        <v>234</v>
      </c>
      <c r="R1344" s="2" t="s">
        <v>228</v>
      </c>
      <c r="S1344" s="2" t="s">
        <v>228</v>
      </c>
      <c r="T1344" s="2" t="s">
        <v>228</v>
      </c>
      <c r="U1344" s="2" t="s">
        <v>228</v>
      </c>
      <c r="V1344" s="2" t="s">
        <v>236</v>
      </c>
      <c r="W1344" s="2" t="s">
        <v>417</v>
      </c>
      <c r="X1344" s="2" t="s">
        <v>309</v>
      </c>
      <c r="Y1344" s="2" t="s">
        <v>1559</v>
      </c>
      <c r="Z1344" s="4">
        <v>80</v>
      </c>
      <c r="AA1344" s="4">
        <f>=ROUNDDOWN(40,0)</f>
      </c>
      <c r="AB1344" s="5">
        <v>2</v>
      </c>
      <c r="AC1344" s="2" t="s">
        <v>228</v>
      </c>
      <c r="AD1344" s="4"/>
      <c r="AE1344" s="4"/>
      <c r="AF1344" s="6">
        <v>66</v>
      </c>
      <c r="AG1344" s="6"/>
      <c r="AH1344" s="7">
        <v>1</v>
      </c>
      <c r="AI1344" s="4"/>
      <c r="AJ1344" s="4">
        <f>=ROUNDDOWN({0},0)</f>
      </c>
      <c r="AK1344" s="5"/>
      <c r="AL1344" s="2" t="s">
        <v>228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/>
      <c r="AW1344" s="8"/>
      <c r="AX1344" s="4"/>
      <c r="AY1344" s="8"/>
      <c r="AZ1344" s="7"/>
      <c r="BA1344" s="7"/>
      <c r="BB1344" s="7"/>
      <c r="BC1344" s="4"/>
      <c r="BD1344" s="8"/>
      <c r="BE1344" s="4"/>
      <c r="BF1344" s="8"/>
      <c r="BG1344" s="7"/>
      <c r="BH1344" s="7"/>
      <c r="BI1344" s="7"/>
      <c r="BJ1344" s="4">
        <v>3</v>
      </c>
      <c r="BK1344" s="8">
        <v>602.91</v>
      </c>
      <c r="BL1344" s="2" t="s">
        <v>995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6910</v>
      </c>
      <c r="BV1344" s="2" t="s">
        <v>228</v>
      </c>
      <c r="BW1344" s="2" t="s">
        <v>228</v>
      </c>
      <c r="BX1344" s="2" t="s">
        <v>273</v>
      </c>
      <c r="BY1344" s="2" t="s">
        <v>274</v>
      </c>
      <c r="BZ1344" s="2" t="s">
        <v>240</v>
      </c>
      <c r="CA1344" s="2" t="s">
        <v>1559</v>
      </c>
      <c r="CB1344" s="2" t="s">
        <v>6911</v>
      </c>
      <c r="CC1344" s="2" t="s">
        <v>241</v>
      </c>
      <c r="CD1344" s="2" t="s">
        <v>228</v>
      </c>
      <c r="CE1344" s="4"/>
      <c r="CF1344" s="4">
        <v>80</v>
      </c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/>
      <c r="FZ1344" s="4"/>
      <c r="GA1344" s="4"/>
      <c r="GB1344" s="4"/>
      <c r="GC1344" s="4"/>
      <c r="GD1344" s="4"/>
      <c r="GE1344" s="4"/>
      <c r="GF1344" s="4"/>
      <c r="GG1344" s="4"/>
      <c r="GH1344" s="4"/>
      <c r="GI1344" s="4"/>
      <c r="GJ1344" s="4"/>
      <c r="GK1344" s="4"/>
      <c r="GL1344" s="4"/>
      <c r="GM1344" s="4"/>
      <c r="GN1344" s="4"/>
      <c r="GO1344" s="4"/>
      <c r="GP1344" s="4"/>
      <c r="GQ1344" s="4"/>
      <c r="GR1344" s="4"/>
      <c r="GS1344" s="4"/>
      <c r="GT1344" s="4"/>
      <c r="GU1344" s="4"/>
      <c r="GV1344" s="4"/>
      <c r="GW1344" s="4"/>
      <c r="GX1344" s="4"/>
      <c r="GY1344" s="4"/>
      <c r="GZ1344" s="4"/>
      <c r="HA1344" s="4"/>
      <c r="HB1344" s="4"/>
      <c r="HC1344" s="4"/>
      <c r="HD1344" s="4"/>
      <c r="HE1344" s="4"/>
    </row>
    <row r="1345">
      <c r="A1345" s="2" t="s">
        <v>6912</v>
      </c>
      <c r="B1345" s="2" t="s">
        <v>1150</v>
      </c>
      <c r="C1345" s="2" t="s">
        <v>835</v>
      </c>
      <c r="D1345" s="2" t="s">
        <v>850</v>
      </c>
      <c r="E1345" s="2" t="s">
        <v>1038</v>
      </c>
      <c r="F1345" s="2" t="s">
        <v>6913</v>
      </c>
      <c r="G1345" s="2" t="s">
        <v>6913</v>
      </c>
      <c r="H1345" s="2" t="s">
        <v>6913</v>
      </c>
      <c r="I1345" s="2" t="s">
        <v>6914</v>
      </c>
      <c r="J1345" s="2" t="s">
        <v>1043</v>
      </c>
      <c r="K1345" s="2" t="s">
        <v>556</v>
      </c>
      <c r="L1345" s="3">
        <v>70</v>
      </c>
      <c r="M1345" s="3">
        <v>73.5</v>
      </c>
      <c r="N1345" s="3">
        <v>139.99</v>
      </c>
      <c r="O1345" s="2" t="s">
        <v>240</v>
      </c>
      <c r="P1345" s="2" t="s">
        <v>333</v>
      </c>
      <c r="Q1345" s="2" t="s">
        <v>234</v>
      </c>
      <c r="R1345" s="2" t="s">
        <v>228</v>
      </c>
      <c r="S1345" s="2" t="s">
        <v>6915</v>
      </c>
      <c r="T1345" s="2" t="s">
        <v>350</v>
      </c>
      <c r="U1345" s="2" t="s">
        <v>500</v>
      </c>
      <c r="V1345" s="2" t="s">
        <v>236</v>
      </c>
      <c r="W1345" s="2" t="s">
        <v>6916</v>
      </c>
      <c r="X1345" s="2" t="s">
        <v>269</v>
      </c>
      <c r="Y1345" s="2" t="s">
        <v>6917</v>
      </c>
      <c r="Z1345" s="4">
        <v>48</v>
      </c>
      <c r="AA1345" s="4">
        <f>=ROUNDDOWN(12,0)</f>
      </c>
      <c r="AB1345" s="5">
        <v>4</v>
      </c>
      <c r="AC1345" s="2" t="s">
        <v>228</v>
      </c>
      <c r="AD1345" s="4"/>
      <c r="AE1345" s="4"/>
      <c r="AF1345" s="6">
        <v>67</v>
      </c>
      <c r="AG1345" s="6"/>
      <c r="AH1345" s="7">
        <v>1</v>
      </c>
      <c r="AI1345" s="4"/>
      <c r="AJ1345" s="4">
        <f>=ROUNDDOWN({0},0)</f>
      </c>
      <c r="AK1345" s="5"/>
      <c r="AL1345" s="2" t="s">
        <v>228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/>
      <c r="AW1345" s="8"/>
      <c r="AX1345" s="4"/>
      <c r="AY1345" s="8"/>
      <c r="AZ1345" s="7"/>
      <c r="BA1345" s="7"/>
      <c r="BB1345" s="7"/>
      <c r="BC1345" s="4" t="s">
        <v>228</v>
      </c>
      <c r="BD1345" s="8" t="s">
        <v>228</v>
      </c>
      <c r="BE1345" s="4" t="s">
        <v>228</v>
      </c>
      <c r="BF1345" s="8" t="s">
        <v>228</v>
      </c>
      <c r="BG1345" s="7" t="s">
        <v>228</v>
      </c>
      <c r="BH1345" s="7" t="s">
        <v>228</v>
      </c>
      <c r="BI1345" s="7"/>
      <c r="BJ1345" s="4">
        <v>10</v>
      </c>
      <c r="BK1345" s="8">
        <v>713.65</v>
      </c>
      <c r="BL1345" s="2" t="s">
        <v>381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6918</v>
      </c>
      <c r="BV1345" s="2" t="s">
        <v>228</v>
      </c>
      <c r="BW1345" s="2" t="s">
        <v>228</v>
      </c>
      <c r="BX1345" s="2" t="s">
        <v>337</v>
      </c>
      <c r="BY1345" s="2" t="s">
        <v>274</v>
      </c>
      <c r="BZ1345" s="2" t="s">
        <v>240</v>
      </c>
      <c r="CA1345" s="2" t="s">
        <v>6917</v>
      </c>
      <c r="CB1345" s="2" t="s">
        <v>6919</v>
      </c>
      <c r="CC1345" s="2" t="s">
        <v>241</v>
      </c>
      <c r="CD1345" s="2" t="s">
        <v>228</v>
      </c>
      <c r="CE1345" s="4">
        <v>48</v>
      </c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/>
      <c r="GE1345" s="4"/>
      <c r="GF1345" s="4"/>
      <c r="GG1345" s="4"/>
      <c r="GH1345" s="4"/>
      <c r="GI1345" s="4"/>
      <c r="GJ1345" s="4"/>
      <c r="GK1345" s="4"/>
      <c r="GL1345" s="4"/>
      <c r="GM1345" s="4"/>
      <c r="GN1345" s="4"/>
      <c r="GO1345" s="4"/>
      <c r="GP1345" s="4"/>
      <c r="GQ1345" s="4"/>
      <c r="GR1345" s="4"/>
      <c r="GS1345" s="4"/>
      <c r="GT1345" s="4"/>
      <c r="GU1345" s="4"/>
      <c r="GV1345" s="4"/>
      <c r="GW1345" s="4"/>
      <c r="GX1345" s="4"/>
      <c r="GY1345" s="4"/>
      <c r="GZ1345" s="4"/>
      <c r="HA1345" s="4"/>
      <c r="HB1345" s="4"/>
      <c r="HC1345" s="4"/>
      <c r="HD1345" s="4"/>
      <c r="HE1345" s="4"/>
    </row>
    <row r="1346">
      <c r="A1346" s="2" t="s">
        <v>6920</v>
      </c>
      <c r="B1346" s="2" t="s">
        <v>1150</v>
      </c>
      <c r="C1346" s="2" t="s">
        <v>835</v>
      </c>
      <c r="D1346" s="2" t="s">
        <v>1112</v>
      </c>
      <c r="E1346" s="2" t="s">
        <v>1113</v>
      </c>
      <c r="F1346" s="2" t="s">
        <v>6913</v>
      </c>
      <c r="G1346" s="2" t="s">
        <v>6913</v>
      </c>
      <c r="H1346" s="2" t="s">
        <v>6913</v>
      </c>
      <c r="I1346" s="2" t="s">
        <v>2886</v>
      </c>
      <c r="J1346" s="2" t="s">
        <v>1043</v>
      </c>
      <c r="K1346" s="2" t="s">
        <v>231</v>
      </c>
      <c r="L1346" s="3">
        <v>80</v>
      </c>
      <c r="M1346" s="3">
        <v>83.99</v>
      </c>
      <c r="N1346" s="3">
        <v>159.99</v>
      </c>
      <c r="O1346" s="2" t="s">
        <v>240</v>
      </c>
      <c r="P1346" s="2" t="s">
        <v>266</v>
      </c>
      <c r="Q1346" s="2" t="s">
        <v>234</v>
      </c>
      <c r="R1346" s="2" t="s">
        <v>228</v>
      </c>
      <c r="S1346" s="2" t="s">
        <v>6921</v>
      </c>
      <c r="T1346" s="2" t="s">
        <v>350</v>
      </c>
      <c r="U1346" s="2" t="s">
        <v>500</v>
      </c>
      <c r="V1346" s="2" t="s">
        <v>236</v>
      </c>
      <c r="W1346" s="2" t="s">
        <v>6916</v>
      </c>
      <c r="X1346" s="2" t="s">
        <v>269</v>
      </c>
      <c r="Y1346" s="2" t="s">
        <v>467</v>
      </c>
      <c r="Z1346" s="4">
        <v>312</v>
      </c>
      <c r="AA1346" s="4">
        <f>=ROUNDDOWN(39,0)</f>
      </c>
      <c r="AB1346" s="5">
        <v>8</v>
      </c>
      <c r="AC1346" s="2" t="s">
        <v>228</v>
      </c>
      <c r="AD1346" s="4"/>
      <c r="AE1346" s="4"/>
      <c r="AF1346" s="6">
        <v>67</v>
      </c>
      <c r="AG1346" s="6"/>
      <c r="AH1346" s="7">
        <v>1</v>
      </c>
      <c r="AI1346" s="4"/>
      <c r="AJ1346" s="4">
        <f>=ROUNDDOWN({0},0)</f>
      </c>
      <c r="AK1346" s="5"/>
      <c r="AL1346" s="2" t="s">
        <v>228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 t="s">
        <v>228</v>
      </c>
      <c r="AW1346" s="8" t="s">
        <v>228</v>
      </c>
      <c r="AX1346" s="4" t="s">
        <v>228</v>
      </c>
      <c r="AY1346" s="8" t="s">
        <v>228</v>
      </c>
      <c r="AZ1346" s="7" t="s">
        <v>228</v>
      </c>
      <c r="BA1346" s="7" t="s">
        <v>228</v>
      </c>
      <c r="BB1346" s="7"/>
      <c r="BC1346" s="4" t="s">
        <v>228</v>
      </c>
      <c r="BD1346" s="8" t="s">
        <v>228</v>
      </c>
      <c r="BE1346" s="4" t="s">
        <v>228</v>
      </c>
      <c r="BF1346" s="8" t="s">
        <v>228</v>
      </c>
      <c r="BG1346" s="7" t="s">
        <v>228</v>
      </c>
      <c r="BH1346" s="7" t="s">
        <v>228</v>
      </c>
      <c r="BI1346" s="7"/>
      <c r="BJ1346" s="4">
        <v>36</v>
      </c>
      <c r="BK1346" s="8">
        <v>3242.28</v>
      </c>
      <c r="BL1346" s="2" t="s">
        <v>6922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6923</v>
      </c>
      <c r="BV1346" s="2" t="s">
        <v>228</v>
      </c>
      <c r="BW1346" s="2" t="s">
        <v>228</v>
      </c>
      <c r="BX1346" s="2" t="s">
        <v>273</v>
      </c>
      <c r="BY1346" s="2" t="s">
        <v>274</v>
      </c>
      <c r="BZ1346" s="2" t="s">
        <v>240</v>
      </c>
      <c r="CA1346" s="2" t="s">
        <v>5514</v>
      </c>
      <c r="CB1346" s="2" t="s">
        <v>923</v>
      </c>
      <c r="CC1346" s="2" t="s">
        <v>241</v>
      </c>
      <c r="CD1346" s="2" t="s">
        <v>228</v>
      </c>
      <c r="CE1346" s="4">
        <v>312</v>
      </c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/>
      <c r="GG1346" s="4"/>
      <c r="GH1346" s="4"/>
      <c r="GI1346" s="4"/>
      <c r="GJ1346" s="4"/>
      <c r="GK1346" s="4"/>
      <c r="GL1346" s="4"/>
      <c r="GM1346" s="4"/>
      <c r="GN1346" s="4"/>
      <c r="GO1346" s="4"/>
      <c r="GP1346" s="4"/>
      <c r="GQ1346" s="4"/>
      <c r="GR1346" s="4"/>
      <c r="GS1346" s="4"/>
      <c r="GT1346" s="4"/>
      <c r="GU1346" s="4"/>
      <c r="GV1346" s="4"/>
      <c r="GW1346" s="4"/>
      <c r="GX1346" s="4"/>
      <c r="GY1346" s="4"/>
      <c r="GZ1346" s="4"/>
      <c r="HA1346" s="4"/>
      <c r="HB1346" s="4"/>
      <c r="HC1346" s="4"/>
      <c r="HD1346" s="4"/>
      <c r="HE1346" s="4"/>
    </row>
    <row r="1347">
      <c r="A1347" s="2" t="s">
        <v>6924</v>
      </c>
      <c r="B1347" s="2" t="s">
        <v>1374</v>
      </c>
      <c r="C1347" s="2" t="s">
        <v>835</v>
      </c>
      <c r="D1347" s="2" t="s">
        <v>1399</v>
      </c>
      <c r="E1347" s="2" t="s">
        <v>1400</v>
      </c>
      <c r="F1347" s="2" t="s">
        <v>6913</v>
      </c>
      <c r="G1347" s="2" t="s">
        <v>6913</v>
      </c>
      <c r="H1347" s="2" t="s">
        <v>6913</v>
      </c>
      <c r="I1347" s="2" t="s">
        <v>6925</v>
      </c>
      <c r="J1347" s="2" t="s">
        <v>1402</v>
      </c>
      <c r="K1347" s="2" t="s">
        <v>231</v>
      </c>
      <c r="L1347" s="3">
        <v>24</v>
      </c>
      <c r="M1347" s="3">
        <v>25.2</v>
      </c>
      <c r="N1347" s="3">
        <v>49.99</v>
      </c>
      <c r="O1347" s="2" t="s">
        <v>240</v>
      </c>
      <c r="P1347" s="2" t="s">
        <v>333</v>
      </c>
      <c r="Q1347" s="2" t="s">
        <v>234</v>
      </c>
      <c r="R1347" s="2" t="s">
        <v>228</v>
      </c>
      <c r="S1347" s="2" t="s">
        <v>6921</v>
      </c>
      <c r="T1347" s="2" t="s">
        <v>350</v>
      </c>
      <c r="U1347" s="2" t="s">
        <v>416</v>
      </c>
      <c r="V1347" s="2" t="s">
        <v>236</v>
      </c>
      <c r="W1347" s="2" t="s">
        <v>1761</v>
      </c>
      <c r="X1347" s="2" t="s">
        <v>269</v>
      </c>
      <c r="Y1347" s="2" t="s">
        <v>6926</v>
      </c>
      <c r="Z1347" s="4">
        <v>144</v>
      </c>
      <c r="AA1347" s="4">
        <f>=ROUNDDOWN(14.4,0)</f>
      </c>
      <c r="AB1347" s="5">
        <v>10</v>
      </c>
      <c r="AC1347" s="2" t="s">
        <v>228</v>
      </c>
      <c r="AD1347" s="4"/>
      <c r="AE1347" s="4"/>
      <c r="AF1347" s="6">
        <v>67</v>
      </c>
      <c r="AG1347" s="6"/>
      <c r="AH1347" s="7">
        <v>1</v>
      </c>
      <c r="AI1347" s="4"/>
      <c r="AJ1347" s="4">
        <f>=ROUNDDOWN({0},0)</f>
      </c>
      <c r="AK1347" s="5"/>
      <c r="AL1347" s="2" t="s">
        <v>228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 t="s">
        <v>228</v>
      </c>
      <c r="AW1347" s="8" t="s">
        <v>228</v>
      </c>
      <c r="AX1347" s="4" t="s">
        <v>228</v>
      </c>
      <c r="AY1347" s="8" t="s">
        <v>228</v>
      </c>
      <c r="AZ1347" s="7" t="s">
        <v>228</v>
      </c>
      <c r="BA1347" s="7" t="s">
        <v>228</v>
      </c>
      <c r="BB1347" s="7"/>
      <c r="BC1347" s="4" t="s">
        <v>228</v>
      </c>
      <c r="BD1347" s="8" t="s">
        <v>228</v>
      </c>
      <c r="BE1347" s="4" t="s">
        <v>228</v>
      </c>
      <c r="BF1347" s="8" t="s">
        <v>228</v>
      </c>
      <c r="BG1347" s="7" t="s">
        <v>228</v>
      </c>
      <c r="BH1347" s="7" t="s">
        <v>228</v>
      </c>
      <c r="BI1347" s="7"/>
      <c r="BJ1347" s="4">
        <v>26</v>
      </c>
      <c r="BK1347" s="8">
        <v>684.16</v>
      </c>
      <c r="BL1347" s="2" t="s">
        <v>6927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6928</v>
      </c>
      <c r="BV1347" s="2" t="s">
        <v>228</v>
      </c>
      <c r="BW1347" s="2" t="s">
        <v>228</v>
      </c>
      <c r="BX1347" s="2" t="s">
        <v>337</v>
      </c>
      <c r="BY1347" s="2" t="s">
        <v>274</v>
      </c>
      <c r="BZ1347" s="2" t="s">
        <v>240</v>
      </c>
      <c r="CA1347" s="2" t="s">
        <v>3224</v>
      </c>
      <c r="CB1347" s="2" t="s">
        <v>2824</v>
      </c>
      <c r="CC1347" s="2" t="s">
        <v>241</v>
      </c>
      <c r="CD1347" s="2" t="s">
        <v>228</v>
      </c>
      <c r="CE1347" s="4">
        <v>144</v>
      </c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  <c r="GG1347" s="4"/>
      <c r="GH1347" s="4"/>
      <c r="GI1347" s="4"/>
      <c r="GJ1347" s="4"/>
      <c r="GK1347" s="4"/>
      <c r="GL1347" s="4"/>
      <c r="GM1347" s="4"/>
      <c r="GN1347" s="4"/>
      <c r="GO1347" s="4"/>
      <c r="GP1347" s="4"/>
      <c r="GQ1347" s="4"/>
      <c r="GR1347" s="4"/>
      <c r="GS1347" s="4"/>
      <c r="GT1347" s="4"/>
      <c r="GU1347" s="4"/>
      <c r="GV1347" s="4"/>
      <c r="GW1347" s="4"/>
      <c r="GX1347" s="4"/>
      <c r="GY1347" s="4"/>
      <c r="GZ1347" s="4"/>
      <c r="HA1347" s="4"/>
      <c r="HB1347" s="4"/>
      <c r="HC1347" s="4"/>
      <c r="HD1347" s="4"/>
      <c r="HE1347" s="4"/>
    </row>
    <row r="1348">
      <c r="A1348" s="2" t="s">
        <v>6929</v>
      </c>
      <c r="B1348" s="2" t="s">
        <v>1150</v>
      </c>
      <c r="C1348" s="2" t="s">
        <v>835</v>
      </c>
      <c r="D1348" s="2" t="s">
        <v>850</v>
      </c>
      <c r="E1348" s="2" t="s">
        <v>1038</v>
      </c>
      <c r="F1348" s="2" t="s">
        <v>6913</v>
      </c>
      <c r="G1348" s="2" t="s">
        <v>6913</v>
      </c>
      <c r="H1348" s="2" t="s">
        <v>6913</v>
      </c>
      <c r="I1348" s="2" t="s">
        <v>6914</v>
      </c>
      <c r="J1348" s="2" t="s">
        <v>1189</v>
      </c>
      <c r="K1348" s="2" t="s">
        <v>480</v>
      </c>
      <c r="L1348" s="3">
        <v>55</v>
      </c>
      <c r="M1348" s="3">
        <v>57.74</v>
      </c>
      <c r="N1348" s="3">
        <v>109.99</v>
      </c>
      <c r="O1348" s="2" t="s">
        <v>240</v>
      </c>
      <c r="P1348" s="2" t="s">
        <v>333</v>
      </c>
      <c r="Q1348" s="2" t="s">
        <v>234</v>
      </c>
      <c r="R1348" s="2" t="s">
        <v>228</v>
      </c>
      <c r="S1348" s="2" t="s">
        <v>6930</v>
      </c>
      <c r="T1348" s="2" t="s">
        <v>350</v>
      </c>
      <c r="U1348" s="2" t="s">
        <v>500</v>
      </c>
      <c r="V1348" s="2" t="s">
        <v>236</v>
      </c>
      <c r="W1348" s="2" t="s">
        <v>6916</v>
      </c>
      <c r="X1348" s="2" t="s">
        <v>269</v>
      </c>
      <c r="Y1348" s="2" t="s">
        <v>467</v>
      </c>
      <c r="Z1348" s="4">
        <v>273</v>
      </c>
      <c r="AA1348" s="4">
        <f>=ROUNDDOWN(39,0)</f>
      </c>
      <c r="AB1348" s="5">
        <v>7</v>
      </c>
      <c r="AC1348" s="2" t="s">
        <v>228</v>
      </c>
      <c r="AD1348" s="4"/>
      <c r="AE1348" s="4"/>
      <c r="AF1348" s="6">
        <v>67</v>
      </c>
      <c r="AG1348" s="6"/>
      <c r="AH1348" s="7">
        <v>1</v>
      </c>
      <c r="AI1348" s="4"/>
      <c r="AJ1348" s="4">
        <f>=ROUNDDOWN({0},0)</f>
      </c>
      <c r="AK1348" s="5"/>
      <c r="AL1348" s="2" t="s">
        <v>228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/>
      <c r="AW1348" s="8"/>
      <c r="AX1348" s="4"/>
      <c r="AY1348" s="8"/>
      <c r="AZ1348" s="7"/>
      <c r="BA1348" s="7"/>
      <c r="BB1348" s="7"/>
      <c r="BC1348" s="4" t="s">
        <v>228</v>
      </c>
      <c r="BD1348" s="8" t="s">
        <v>228</v>
      </c>
      <c r="BE1348" s="4" t="s">
        <v>228</v>
      </c>
      <c r="BF1348" s="8" t="s">
        <v>228</v>
      </c>
      <c r="BG1348" s="7" t="s">
        <v>228</v>
      </c>
      <c r="BH1348" s="7" t="s">
        <v>228</v>
      </c>
      <c r="BI1348" s="7"/>
      <c r="BJ1348" s="4">
        <v>21</v>
      </c>
      <c r="BK1348" s="8">
        <v>1156.42</v>
      </c>
      <c r="BL1348" s="2" t="s">
        <v>6931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6932</v>
      </c>
      <c r="BV1348" s="2" t="s">
        <v>228</v>
      </c>
      <c r="BW1348" s="2" t="s">
        <v>228</v>
      </c>
      <c r="BX1348" s="2" t="s">
        <v>337</v>
      </c>
      <c r="BY1348" s="2" t="s">
        <v>274</v>
      </c>
      <c r="BZ1348" s="2" t="s">
        <v>240</v>
      </c>
      <c r="CA1348" s="2" t="s">
        <v>5514</v>
      </c>
      <c r="CB1348" s="2" t="s">
        <v>1833</v>
      </c>
      <c r="CC1348" s="2" t="s">
        <v>241</v>
      </c>
      <c r="CD1348" s="2" t="s">
        <v>228</v>
      </c>
      <c r="CE1348" s="4">
        <v>273</v>
      </c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/>
      <c r="GG1348" s="4"/>
      <c r="GH1348" s="4"/>
      <c r="GI1348" s="4"/>
      <c r="GJ1348" s="4"/>
      <c r="GK1348" s="4"/>
      <c r="GL1348" s="4"/>
      <c r="GM1348" s="4"/>
      <c r="GN1348" s="4"/>
      <c r="GO1348" s="4"/>
      <c r="GP1348" s="4"/>
      <c r="GQ1348" s="4"/>
      <c r="GR1348" s="4"/>
      <c r="GS1348" s="4"/>
      <c r="GT1348" s="4"/>
      <c r="GU1348" s="4"/>
      <c r="GV1348" s="4"/>
      <c r="GW1348" s="4"/>
      <c r="GX1348" s="4"/>
      <c r="GY1348" s="4"/>
      <c r="GZ1348" s="4"/>
      <c r="HA1348" s="4"/>
      <c r="HB1348" s="4"/>
      <c r="HC1348" s="4"/>
      <c r="HD1348" s="4"/>
      <c r="HE1348" s="4"/>
    </row>
    <row r="1349">
      <c r="A1349" s="2" t="s">
        <v>6933</v>
      </c>
      <c r="B1349" s="2" t="s">
        <v>1196</v>
      </c>
      <c r="C1349" s="2" t="s">
        <v>1197</v>
      </c>
      <c r="D1349" s="2" t="s">
        <v>1198</v>
      </c>
      <c r="E1349" s="2" t="s">
        <v>1199</v>
      </c>
      <c r="F1349" s="2" t="s">
        <v>6934</v>
      </c>
      <c r="G1349" s="2" t="s">
        <v>6934</v>
      </c>
      <c r="H1349" s="2" t="s">
        <v>6934</v>
      </c>
      <c r="I1349" s="2" t="s">
        <v>6935</v>
      </c>
      <c r="J1349" s="2" t="s">
        <v>1208</v>
      </c>
      <c r="K1349" s="2" t="s">
        <v>249</v>
      </c>
      <c r="L1349" s="3">
        <v>17.07</v>
      </c>
      <c r="M1349" s="3">
        <v>17.92</v>
      </c>
      <c r="N1349" s="3">
        <v>37.99</v>
      </c>
      <c r="O1349" s="2" t="s">
        <v>240</v>
      </c>
      <c r="P1349" s="2" t="s">
        <v>333</v>
      </c>
      <c r="Q1349" s="2" t="s">
        <v>234</v>
      </c>
      <c r="R1349" s="2" t="s">
        <v>228</v>
      </c>
      <c r="S1349" s="2" t="s">
        <v>228</v>
      </c>
      <c r="T1349" s="2" t="s">
        <v>228</v>
      </c>
      <c r="U1349" s="2" t="s">
        <v>416</v>
      </c>
      <c r="V1349" s="2" t="s">
        <v>842</v>
      </c>
      <c r="W1349" s="2" t="s">
        <v>269</v>
      </c>
      <c r="X1349" s="2" t="s">
        <v>228</v>
      </c>
      <c r="Y1349" s="2" t="s">
        <v>1203</v>
      </c>
      <c r="Z1349" s="4">
        <v>243</v>
      </c>
      <c r="AA1349" s="4">
        <f>=ROUNDDOWN(34.7142857142857,0)</f>
      </c>
      <c r="AB1349" s="5">
        <v>7</v>
      </c>
      <c r="AC1349" s="2" t="s">
        <v>228</v>
      </c>
      <c r="AD1349" s="4"/>
      <c r="AE1349" s="4"/>
      <c r="AF1349" s="6">
        <v>66</v>
      </c>
      <c r="AG1349" s="6"/>
      <c r="AH1349" s="7">
        <v>1</v>
      </c>
      <c r="AI1349" s="4"/>
      <c r="AJ1349" s="4">
        <f>=ROUNDDOWN({0},0)</f>
      </c>
      <c r="AK1349" s="5"/>
      <c r="AL1349" s="2" t="s">
        <v>228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/>
      <c r="AW1349" s="8"/>
      <c r="AX1349" s="4"/>
      <c r="AY1349" s="8"/>
      <c r="AZ1349" s="7"/>
      <c r="BA1349" s="7"/>
      <c r="BB1349" s="7"/>
      <c r="BC1349" s="4" t="s">
        <v>228</v>
      </c>
      <c r="BD1349" s="8" t="s">
        <v>228</v>
      </c>
      <c r="BE1349" s="4" t="s">
        <v>228</v>
      </c>
      <c r="BF1349" s="8" t="s">
        <v>228</v>
      </c>
      <c r="BG1349" s="7" t="s">
        <v>228</v>
      </c>
      <c r="BH1349" s="7" t="s">
        <v>228</v>
      </c>
      <c r="BI1349" s="7"/>
      <c r="BJ1349" s="4">
        <v>30</v>
      </c>
      <c r="BK1349" s="8">
        <v>538.64</v>
      </c>
      <c r="BL1349" s="2" t="s">
        <v>1209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6936</v>
      </c>
      <c r="BV1349" s="2" t="s">
        <v>228</v>
      </c>
      <c r="BW1349" s="2" t="s">
        <v>228</v>
      </c>
      <c r="BX1349" s="2" t="s">
        <v>337</v>
      </c>
      <c r="BY1349" s="2" t="s">
        <v>274</v>
      </c>
      <c r="BZ1349" s="2" t="s">
        <v>240</v>
      </c>
      <c r="CA1349" s="2" t="s">
        <v>3618</v>
      </c>
      <c r="CB1349" s="2" t="s">
        <v>228</v>
      </c>
      <c r="CC1349" s="2" t="s">
        <v>241</v>
      </c>
      <c r="CD1349" s="2" t="s">
        <v>228</v>
      </c>
      <c r="CE1349" s="4">
        <v>243</v>
      </c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/>
      <c r="GE1349" s="4"/>
      <c r="GF1349" s="4"/>
      <c r="GG1349" s="4"/>
      <c r="GH1349" s="4"/>
      <c r="GI1349" s="4"/>
      <c r="GJ1349" s="4"/>
      <c r="GK1349" s="4"/>
      <c r="GL1349" s="4"/>
      <c r="GM1349" s="4"/>
      <c r="GN1349" s="4"/>
      <c r="GO1349" s="4"/>
      <c r="GP1349" s="4"/>
      <c r="GQ1349" s="4"/>
      <c r="GR1349" s="4"/>
      <c r="GS1349" s="4"/>
      <c r="GT1349" s="4"/>
      <c r="GU1349" s="4"/>
      <c r="GV1349" s="4"/>
      <c r="GW1349" s="4"/>
      <c r="GX1349" s="4"/>
      <c r="GY1349" s="4"/>
      <c r="GZ1349" s="4"/>
      <c r="HA1349" s="4"/>
      <c r="HB1349" s="4"/>
      <c r="HC1349" s="4"/>
      <c r="HD1349" s="4"/>
      <c r="HE1349" s="4"/>
    </row>
    <row r="1350">
      <c r="A1350" s="2" t="s">
        <v>6937</v>
      </c>
      <c r="B1350" s="2" t="s">
        <v>1196</v>
      </c>
      <c r="C1350" s="2" t="s">
        <v>1197</v>
      </c>
      <c r="D1350" s="2" t="s">
        <v>1198</v>
      </c>
      <c r="E1350" s="2" t="s">
        <v>1199</v>
      </c>
      <c r="F1350" s="2" t="s">
        <v>6934</v>
      </c>
      <c r="G1350" s="2" t="s">
        <v>6934</v>
      </c>
      <c r="H1350" s="2" t="s">
        <v>6934</v>
      </c>
      <c r="I1350" s="2" t="s">
        <v>6938</v>
      </c>
      <c r="J1350" s="2" t="s">
        <v>1202</v>
      </c>
      <c r="K1350" s="2" t="s">
        <v>598</v>
      </c>
      <c r="L1350" s="3">
        <v>13.72</v>
      </c>
      <c r="M1350" s="3">
        <v>14.41</v>
      </c>
      <c r="N1350" s="3">
        <v>30.99</v>
      </c>
      <c r="O1350" s="2" t="s">
        <v>240</v>
      </c>
      <c r="P1350" s="2" t="s">
        <v>333</v>
      </c>
      <c r="Q1350" s="2" t="s">
        <v>234</v>
      </c>
      <c r="R1350" s="2" t="s">
        <v>228</v>
      </c>
      <c r="S1350" s="2" t="s">
        <v>228</v>
      </c>
      <c r="T1350" s="2" t="s">
        <v>228</v>
      </c>
      <c r="U1350" s="2" t="s">
        <v>416</v>
      </c>
      <c r="V1350" s="2" t="s">
        <v>842</v>
      </c>
      <c r="W1350" s="2" t="s">
        <v>269</v>
      </c>
      <c r="X1350" s="2" t="s">
        <v>228</v>
      </c>
      <c r="Y1350" s="2" t="s">
        <v>1203</v>
      </c>
      <c r="Z1350" s="4">
        <v>2</v>
      </c>
      <c r="AA1350" s="4">
        <f>=ROUNDDOWN(0.5,0)</f>
      </c>
      <c r="AB1350" s="5">
        <v>4</v>
      </c>
      <c r="AC1350" s="2" t="s">
        <v>228</v>
      </c>
      <c r="AD1350" s="4"/>
      <c r="AE1350" s="4"/>
      <c r="AF1350" s="6">
        <v>65</v>
      </c>
      <c r="AG1350" s="6"/>
      <c r="AH1350" s="7">
        <v>1</v>
      </c>
      <c r="AI1350" s="4"/>
      <c r="AJ1350" s="4">
        <f>=ROUNDDOWN({0},0)</f>
      </c>
      <c r="AK1350" s="5"/>
      <c r="AL1350" s="2" t="s">
        <v>228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 t="s">
        <v>228</v>
      </c>
      <c r="AW1350" s="8" t="s">
        <v>228</v>
      </c>
      <c r="AX1350" s="4" t="s">
        <v>228</v>
      </c>
      <c r="AY1350" s="8" t="s">
        <v>228</v>
      </c>
      <c r="AZ1350" s="7" t="s">
        <v>228</v>
      </c>
      <c r="BA1350" s="7" t="s">
        <v>228</v>
      </c>
      <c r="BB1350" s="7"/>
      <c r="BC1350" s="4" t="s">
        <v>228</v>
      </c>
      <c r="BD1350" s="8" t="s">
        <v>228</v>
      </c>
      <c r="BE1350" s="4" t="s">
        <v>228</v>
      </c>
      <c r="BF1350" s="8" t="s">
        <v>228</v>
      </c>
      <c r="BG1350" s="7" t="s">
        <v>228</v>
      </c>
      <c r="BH1350" s="7" t="s">
        <v>228</v>
      </c>
      <c r="BI1350" s="7"/>
      <c r="BJ1350" s="4">
        <v>4</v>
      </c>
      <c r="BK1350" s="8">
        <v>58.79</v>
      </c>
      <c r="BL1350" s="2" t="s">
        <v>521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6939</v>
      </c>
      <c r="BV1350" s="2" t="s">
        <v>228</v>
      </c>
      <c r="BW1350" s="2" t="s">
        <v>228</v>
      </c>
      <c r="BX1350" s="2" t="s">
        <v>337</v>
      </c>
      <c r="BY1350" s="2" t="s">
        <v>274</v>
      </c>
      <c r="BZ1350" s="2" t="s">
        <v>240</v>
      </c>
      <c r="CA1350" s="2" t="s">
        <v>3618</v>
      </c>
      <c r="CB1350" s="2" t="s">
        <v>228</v>
      </c>
      <c r="CC1350" s="2" t="s">
        <v>241</v>
      </c>
      <c r="CD1350" s="2" t="s">
        <v>228</v>
      </c>
      <c r="CE1350" s="4">
        <v>2</v>
      </c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  <c r="GH1350" s="4"/>
      <c r="GI1350" s="4"/>
      <c r="GJ1350" s="4"/>
      <c r="GK1350" s="4"/>
      <c r="GL1350" s="4"/>
      <c r="GM1350" s="4"/>
      <c r="GN1350" s="4"/>
      <c r="GO1350" s="4"/>
      <c r="GP1350" s="4"/>
      <c r="GQ1350" s="4"/>
      <c r="GR1350" s="4"/>
      <c r="GS1350" s="4"/>
      <c r="GT1350" s="4"/>
      <c r="GU1350" s="4"/>
      <c r="GV1350" s="4"/>
      <c r="GW1350" s="4"/>
      <c r="GX1350" s="4"/>
      <c r="GY1350" s="4"/>
      <c r="GZ1350" s="4"/>
      <c r="HA1350" s="4"/>
      <c r="HB1350" s="4"/>
      <c r="HC1350" s="4"/>
      <c r="HD1350" s="4"/>
      <c r="HE1350" s="4"/>
    </row>
    <row r="1351">
      <c r="A1351" s="2" t="s">
        <v>6940</v>
      </c>
      <c r="B1351" s="2" t="s">
        <v>1196</v>
      </c>
      <c r="C1351" s="2" t="s">
        <v>1197</v>
      </c>
      <c r="D1351" s="2" t="s">
        <v>1198</v>
      </c>
      <c r="E1351" s="2" t="s">
        <v>1199</v>
      </c>
      <c r="F1351" s="2" t="s">
        <v>6934</v>
      </c>
      <c r="G1351" s="2" t="s">
        <v>6934</v>
      </c>
      <c r="H1351" s="2" t="s">
        <v>6934</v>
      </c>
      <c r="I1351" s="2" t="s">
        <v>6935</v>
      </c>
      <c r="J1351" s="2" t="s">
        <v>1208</v>
      </c>
      <c r="K1351" s="2" t="s">
        <v>598</v>
      </c>
      <c r="L1351" s="3">
        <v>17.07</v>
      </c>
      <c r="M1351" s="3">
        <v>17.92</v>
      </c>
      <c r="N1351" s="3">
        <v>37.99</v>
      </c>
      <c r="O1351" s="2" t="s">
        <v>240</v>
      </c>
      <c r="P1351" s="2" t="s">
        <v>333</v>
      </c>
      <c r="Q1351" s="2" t="s">
        <v>234</v>
      </c>
      <c r="R1351" s="2" t="s">
        <v>228</v>
      </c>
      <c r="S1351" s="2" t="s">
        <v>228</v>
      </c>
      <c r="T1351" s="2" t="s">
        <v>228</v>
      </c>
      <c r="U1351" s="2" t="s">
        <v>416</v>
      </c>
      <c r="V1351" s="2" t="s">
        <v>842</v>
      </c>
      <c r="W1351" s="2" t="s">
        <v>269</v>
      </c>
      <c r="X1351" s="2" t="s">
        <v>228</v>
      </c>
      <c r="Y1351" s="2" t="s">
        <v>1203</v>
      </c>
      <c r="Z1351" s="4"/>
      <c r="AA1351" s="4">
        <f>=ROUNDDOWN({0},0)</f>
      </c>
      <c r="AB1351" s="5">
        <v>4</v>
      </c>
      <c r="AC1351" s="2" t="s">
        <v>228</v>
      </c>
      <c r="AD1351" s="4"/>
      <c r="AE1351" s="4"/>
      <c r="AF1351" s="6">
        <v>65</v>
      </c>
      <c r="AG1351" s="6"/>
      <c r="AH1351" s="7">
        <v>1</v>
      </c>
      <c r="AI1351" s="4"/>
      <c r="AJ1351" s="4">
        <f>=ROUNDDOWN({0},0)</f>
      </c>
      <c r="AK1351" s="5"/>
      <c r="AL1351" s="2" t="s">
        <v>228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 t="s">
        <v>228</v>
      </c>
      <c r="AW1351" s="8" t="s">
        <v>228</v>
      </c>
      <c r="AX1351" s="4" t="s">
        <v>228</v>
      </c>
      <c r="AY1351" s="8" t="s">
        <v>228</v>
      </c>
      <c r="AZ1351" s="7" t="s">
        <v>228</v>
      </c>
      <c r="BA1351" s="7" t="s">
        <v>228</v>
      </c>
      <c r="BB1351" s="7"/>
      <c r="BC1351" s="4" t="s">
        <v>228</v>
      </c>
      <c r="BD1351" s="8" t="s">
        <v>228</v>
      </c>
      <c r="BE1351" s="4" t="s">
        <v>228</v>
      </c>
      <c r="BF1351" s="8" t="s">
        <v>228</v>
      </c>
      <c r="BG1351" s="7" t="s">
        <v>228</v>
      </c>
      <c r="BH1351" s="7" t="s">
        <v>228</v>
      </c>
      <c r="BI1351" s="7"/>
      <c r="BJ1351" s="4">
        <v>6</v>
      </c>
      <c r="BK1351" s="8">
        <v>114.72</v>
      </c>
      <c r="BL1351" s="2" t="s">
        <v>521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6941</v>
      </c>
      <c r="BV1351" s="2" t="s">
        <v>228</v>
      </c>
      <c r="BW1351" s="2" t="s">
        <v>228</v>
      </c>
      <c r="BX1351" s="2" t="s">
        <v>337</v>
      </c>
      <c r="BY1351" s="2" t="s">
        <v>274</v>
      </c>
      <c r="BZ1351" s="2" t="s">
        <v>240</v>
      </c>
      <c r="CA1351" s="2" t="s">
        <v>3618</v>
      </c>
      <c r="CB1351" s="2" t="s">
        <v>228</v>
      </c>
      <c r="CC1351" s="2" t="s">
        <v>241</v>
      </c>
      <c r="CD1351" s="2" t="s">
        <v>228</v>
      </c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  <c r="GG1351" s="4"/>
      <c r="GH1351" s="4"/>
      <c r="GI1351" s="4"/>
      <c r="GJ1351" s="4"/>
      <c r="GK1351" s="4"/>
      <c r="GL1351" s="4"/>
      <c r="GM1351" s="4"/>
      <c r="GN1351" s="4"/>
      <c r="GO1351" s="4"/>
      <c r="GP1351" s="4"/>
      <c r="GQ1351" s="4"/>
      <c r="GR1351" s="4"/>
      <c r="GS1351" s="4"/>
      <c r="GT1351" s="4"/>
      <c r="GU1351" s="4"/>
      <c r="GV1351" s="4"/>
      <c r="GW1351" s="4"/>
      <c r="GX1351" s="4"/>
      <c r="GY1351" s="4"/>
      <c r="GZ1351" s="4"/>
      <c r="HA1351" s="4"/>
      <c r="HB1351" s="4"/>
      <c r="HC1351" s="4"/>
      <c r="HD1351" s="4"/>
      <c r="HE1351" s="4"/>
    </row>
    <row r="1352">
      <c r="A1352" s="2" t="s">
        <v>6942</v>
      </c>
      <c r="B1352" s="2" t="s">
        <v>1196</v>
      </c>
      <c r="C1352" s="2" t="s">
        <v>1197</v>
      </c>
      <c r="D1352" s="2" t="s">
        <v>1198</v>
      </c>
      <c r="E1352" s="2" t="s">
        <v>1199</v>
      </c>
      <c r="F1352" s="2" t="s">
        <v>6934</v>
      </c>
      <c r="G1352" s="2" t="s">
        <v>6934</v>
      </c>
      <c r="H1352" s="2" t="s">
        <v>6934</v>
      </c>
      <c r="I1352" s="2" t="s">
        <v>6938</v>
      </c>
      <c r="J1352" s="2" t="s">
        <v>1202</v>
      </c>
      <c r="K1352" s="2" t="s">
        <v>251</v>
      </c>
      <c r="L1352" s="3">
        <v>13.72</v>
      </c>
      <c r="M1352" s="3">
        <v>14.41</v>
      </c>
      <c r="N1352" s="3">
        <v>30.99</v>
      </c>
      <c r="O1352" s="2" t="s">
        <v>240</v>
      </c>
      <c r="P1352" s="2" t="s">
        <v>333</v>
      </c>
      <c r="Q1352" s="2" t="s">
        <v>234</v>
      </c>
      <c r="R1352" s="2" t="s">
        <v>228</v>
      </c>
      <c r="S1352" s="2" t="s">
        <v>228</v>
      </c>
      <c r="T1352" s="2" t="s">
        <v>228</v>
      </c>
      <c r="U1352" s="2" t="s">
        <v>416</v>
      </c>
      <c r="V1352" s="2" t="s">
        <v>842</v>
      </c>
      <c r="W1352" s="2" t="s">
        <v>269</v>
      </c>
      <c r="X1352" s="2" t="s">
        <v>228</v>
      </c>
      <c r="Y1352" s="2" t="s">
        <v>1203</v>
      </c>
      <c r="Z1352" s="4">
        <v>26</v>
      </c>
      <c r="AA1352" s="4">
        <f>=ROUNDDOWN(6.5,0)</f>
      </c>
      <c r="AB1352" s="5">
        <v>4</v>
      </c>
      <c r="AC1352" s="2" t="s">
        <v>228</v>
      </c>
      <c r="AD1352" s="4"/>
      <c r="AE1352" s="4"/>
      <c r="AF1352" s="6">
        <v>65</v>
      </c>
      <c r="AG1352" s="6"/>
      <c r="AH1352" s="7">
        <v>1</v>
      </c>
      <c r="AI1352" s="4"/>
      <c r="AJ1352" s="4">
        <f>=ROUNDDOWN({0},0)</f>
      </c>
      <c r="AK1352" s="5"/>
      <c r="AL1352" s="2" t="s">
        <v>228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 t="s">
        <v>228</v>
      </c>
      <c r="AW1352" s="8" t="s">
        <v>228</v>
      </c>
      <c r="AX1352" s="4" t="s">
        <v>228</v>
      </c>
      <c r="AY1352" s="8" t="s">
        <v>228</v>
      </c>
      <c r="AZ1352" s="7" t="s">
        <v>228</v>
      </c>
      <c r="BA1352" s="7" t="s">
        <v>228</v>
      </c>
      <c r="BB1352" s="7"/>
      <c r="BC1352" s="4" t="s">
        <v>228</v>
      </c>
      <c r="BD1352" s="8" t="s">
        <v>228</v>
      </c>
      <c r="BE1352" s="4" t="s">
        <v>228</v>
      </c>
      <c r="BF1352" s="8" t="s">
        <v>228</v>
      </c>
      <c r="BG1352" s="7" t="s">
        <v>228</v>
      </c>
      <c r="BH1352" s="7" t="s">
        <v>228</v>
      </c>
      <c r="BI1352" s="7"/>
      <c r="BJ1352" s="4">
        <v>9</v>
      </c>
      <c r="BK1352" s="8">
        <v>129.6</v>
      </c>
      <c r="BL1352" s="2" t="s">
        <v>5622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6943</v>
      </c>
      <c r="BV1352" s="2" t="s">
        <v>228</v>
      </c>
      <c r="BW1352" s="2" t="s">
        <v>228</v>
      </c>
      <c r="BX1352" s="2" t="s">
        <v>337</v>
      </c>
      <c r="BY1352" s="2" t="s">
        <v>274</v>
      </c>
      <c r="BZ1352" s="2" t="s">
        <v>240</v>
      </c>
      <c r="CA1352" s="2" t="s">
        <v>3618</v>
      </c>
      <c r="CB1352" s="2" t="s">
        <v>228</v>
      </c>
      <c r="CC1352" s="2" t="s">
        <v>241</v>
      </c>
      <c r="CD1352" s="2" t="s">
        <v>228</v>
      </c>
      <c r="CE1352" s="4">
        <v>26</v>
      </c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  <c r="GG1352" s="4"/>
      <c r="GH1352" s="4"/>
      <c r="GI1352" s="4"/>
      <c r="GJ1352" s="4"/>
      <c r="GK1352" s="4"/>
      <c r="GL1352" s="4"/>
      <c r="GM1352" s="4"/>
      <c r="GN1352" s="4"/>
      <c r="GO1352" s="4"/>
      <c r="GP1352" s="4"/>
      <c r="GQ1352" s="4"/>
      <c r="GR1352" s="4"/>
      <c r="GS1352" s="4"/>
      <c r="GT1352" s="4"/>
      <c r="GU1352" s="4"/>
      <c r="GV1352" s="4"/>
      <c r="GW1352" s="4"/>
      <c r="GX1352" s="4"/>
      <c r="GY1352" s="4"/>
      <c r="GZ1352" s="4"/>
      <c r="HA1352" s="4"/>
      <c r="HB1352" s="4"/>
      <c r="HC1352" s="4"/>
      <c r="HD1352" s="4"/>
      <c r="HE1352" s="4"/>
    </row>
    <row r="1353">
      <c r="A1353" s="2" t="s">
        <v>6944</v>
      </c>
      <c r="B1353" s="2" t="s">
        <v>1196</v>
      </c>
      <c r="C1353" s="2" t="s">
        <v>1197</v>
      </c>
      <c r="D1353" s="2" t="s">
        <v>1198</v>
      </c>
      <c r="E1353" s="2" t="s">
        <v>1199</v>
      </c>
      <c r="F1353" s="2" t="s">
        <v>6934</v>
      </c>
      <c r="G1353" s="2" t="s">
        <v>6934</v>
      </c>
      <c r="H1353" s="2" t="s">
        <v>6934</v>
      </c>
      <c r="I1353" s="2" t="s">
        <v>6935</v>
      </c>
      <c r="J1353" s="2" t="s">
        <v>1208</v>
      </c>
      <c r="K1353" s="2" t="s">
        <v>251</v>
      </c>
      <c r="L1353" s="3">
        <v>17.07</v>
      </c>
      <c r="M1353" s="3">
        <v>17.92</v>
      </c>
      <c r="N1353" s="3">
        <v>37.99</v>
      </c>
      <c r="O1353" s="2" t="s">
        <v>240</v>
      </c>
      <c r="P1353" s="2" t="s">
        <v>333</v>
      </c>
      <c r="Q1353" s="2" t="s">
        <v>234</v>
      </c>
      <c r="R1353" s="2" t="s">
        <v>228</v>
      </c>
      <c r="S1353" s="2" t="s">
        <v>228</v>
      </c>
      <c r="T1353" s="2" t="s">
        <v>228</v>
      </c>
      <c r="U1353" s="2" t="s">
        <v>416</v>
      </c>
      <c r="V1353" s="2" t="s">
        <v>842</v>
      </c>
      <c r="W1353" s="2" t="s">
        <v>269</v>
      </c>
      <c r="X1353" s="2" t="s">
        <v>228</v>
      </c>
      <c r="Y1353" s="2" t="s">
        <v>1203</v>
      </c>
      <c r="Z1353" s="4">
        <v>9</v>
      </c>
      <c r="AA1353" s="4">
        <f>=ROUNDDOWN(2.25,0)</f>
      </c>
      <c r="AB1353" s="5">
        <v>4</v>
      </c>
      <c r="AC1353" s="2" t="s">
        <v>228</v>
      </c>
      <c r="AD1353" s="4"/>
      <c r="AE1353" s="4"/>
      <c r="AF1353" s="6">
        <v>65</v>
      </c>
      <c r="AG1353" s="6"/>
      <c r="AH1353" s="7">
        <v>1</v>
      </c>
      <c r="AI1353" s="4"/>
      <c r="AJ1353" s="4">
        <f>=ROUNDDOWN({0},0)</f>
      </c>
      <c r="AK1353" s="5"/>
      <c r="AL1353" s="2" t="s">
        <v>228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 t="s">
        <v>228</v>
      </c>
      <c r="AW1353" s="8" t="s">
        <v>228</v>
      </c>
      <c r="AX1353" s="4" t="s">
        <v>228</v>
      </c>
      <c r="AY1353" s="8" t="s">
        <v>228</v>
      </c>
      <c r="AZ1353" s="7" t="s">
        <v>228</v>
      </c>
      <c r="BA1353" s="7" t="s">
        <v>228</v>
      </c>
      <c r="BB1353" s="7"/>
      <c r="BC1353" s="4" t="s">
        <v>228</v>
      </c>
      <c r="BD1353" s="8" t="s">
        <v>228</v>
      </c>
      <c r="BE1353" s="4" t="s">
        <v>228</v>
      </c>
      <c r="BF1353" s="8" t="s">
        <v>228</v>
      </c>
      <c r="BG1353" s="7" t="s">
        <v>228</v>
      </c>
      <c r="BH1353" s="7" t="s">
        <v>228</v>
      </c>
      <c r="BI1353" s="7"/>
      <c r="BJ1353" s="4">
        <v>9</v>
      </c>
      <c r="BK1353" s="8">
        <v>165.6</v>
      </c>
      <c r="BL1353" s="2" t="s">
        <v>521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6945</v>
      </c>
      <c r="BV1353" s="2" t="s">
        <v>228</v>
      </c>
      <c r="BW1353" s="2" t="s">
        <v>228</v>
      </c>
      <c r="BX1353" s="2" t="s">
        <v>337</v>
      </c>
      <c r="BY1353" s="2" t="s">
        <v>274</v>
      </c>
      <c r="BZ1353" s="2" t="s">
        <v>240</v>
      </c>
      <c r="CA1353" s="2" t="s">
        <v>3618</v>
      </c>
      <c r="CB1353" s="2" t="s">
        <v>228</v>
      </c>
      <c r="CC1353" s="2" t="s">
        <v>241</v>
      </c>
      <c r="CD1353" s="2" t="s">
        <v>228</v>
      </c>
      <c r="CE1353" s="4">
        <v>9</v>
      </c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  <c r="GG1353" s="4"/>
      <c r="GH1353" s="4"/>
      <c r="GI1353" s="4"/>
      <c r="GJ1353" s="4"/>
      <c r="GK1353" s="4"/>
      <c r="GL1353" s="4"/>
      <c r="GM1353" s="4"/>
      <c r="GN1353" s="4"/>
      <c r="GO1353" s="4"/>
      <c r="GP1353" s="4"/>
      <c r="GQ1353" s="4"/>
      <c r="GR1353" s="4"/>
      <c r="GS1353" s="4"/>
      <c r="GT1353" s="4"/>
      <c r="GU1353" s="4"/>
      <c r="GV1353" s="4"/>
      <c r="GW1353" s="4"/>
      <c r="GX1353" s="4"/>
      <c r="GY1353" s="4"/>
      <c r="GZ1353" s="4"/>
      <c r="HA1353" s="4"/>
      <c r="HB1353" s="4"/>
      <c r="HC1353" s="4"/>
      <c r="HD1353" s="4"/>
      <c r="HE1353" s="4"/>
    </row>
    <row r="1354">
      <c r="A1354" s="2" t="s">
        <v>6946</v>
      </c>
      <c r="B1354" s="2" t="s">
        <v>958</v>
      </c>
      <c r="C1354" s="2" t="s">
        <v>835</v>
      </c>
      <c r="D1354" s="2" t="s">
        <v>2144</v>
      </c>
      <c r="E1354" s="2" t="s">
        <v>6389</v>
      </c>
      <c r="F1354" s="2" t="s">
        <v>6947</v>
      </c>
      <c r="G1354" s="2" t="s">
        <v>6947</v>
      </c>
      <c r="H1354" s="2" t="s">
        <v>6947</v>
      </c>
      <c r="I1354" s="2" t="s">
        <v>6948</v>
      </c>
      <c r="J1354" s="2" t="s">
        <v>840</v>
      </c>
      <c r="K1354" s="2" t="s">
        <v>6949</v>
      </c>
      <c r="L1354" s="3">
        <v>210</v>
      </c>
      <c r="M1354" s="3">
        <v>220.5</v>
      </c>
      <c r="N1354" s="3">
        <v>449</v>
      </c>
      <c r="O1354" s="2" t="s">
        <v>240</v>
      </c>
      <c r="P1354" s="2" t="s">
        <v>233</v>
      </c>
      <c r="Q1354" s="2" t="s">
        <v>234</v>
      </c>
      <c r="R1354" s="2" t="s">
        <v>228</v>
      </c>
      <c r="S1354" s="2" t="s">
        <v>228</v>
      </c>
      <c r="T1354" s="2" t="s">
        <v>228</v>
      </c>
      <c r="U1354" s="2" t="s">
        <v>416</v>
      </c>
      <c r="V1354" s="2" t="s">
        <v>842</v>
      </c>
      <c r="W1354" s="2" t="s">
        <v>417</v>
      </c>
      <c r="X1354" s="2" t="s">
        <v>269</v>
      </c>
      <c r="Y1354" s="2" t="s">
        <v>4443</v>
      </c>
      <c r="Z1354" s="4">
        <v>67</v>
      </c>
      <c r="AA1354" s="4">
        <f>=ROUNDDOWN({0},0)</f>
      </c>
      <c r="AB1354" s="5"/>
      <c r="AC1354" s="2" t="s">
        <v>156</v>
      </c>
      <c r="AD1354" s="4">
        <v>33</v>
      </c>
      <c r="AE1354" s="4">
        <v>33</v>
      </c>
      <c r="AF1354" s="6">
        <v>74</v>
      </c>
      <c r="AG1354" s="6"/>
      <c r="AH1354" s="7">
        <v>0.5806</v>
      </c>
      <c r="AI1354" s="4"/>
      <c r="AJ1354" s="4">
        <f>=ROUNDDOWN({0},0)</f>
      </c>
      <c r="AK1354" s="5"/>
      <c r="AL1354" s="2" t="s">
        <v>228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/>
      <c r="AW1354" s="8"/>
      <c r="AX1354" s="4"/>
      <c r="AY1354" s="8"/>
      <c r="AZ1354" s="7"/>
      <c r="BA1354" s="7"/>
      <c r="BB1354" s="7"/>
      <c r="BC1354" s="4"/>
      <c r="BD1354" s="8"/>
      <c r="BE1354" s="4"/>
      <c r="BF1354" s="8"/>
      <c r="BG1354" s="7"/>
      <c r="BH1354" s="7"/>
      <c r="BI1354" s="7"/>
      <c r="BJ1354" s="4"/>
      <c r="BK1354" s="8"/>
      <c r="BL1354" s="2" t="s">
        <v>228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6950</v>
      </c>
      <c r="BV1354" s="2" t="s">
        <v>228</v>
      </c>
      <c r="BW1354" s="2" t="s">
        <v>228</v>
      </c>
      <c r="BX1354" s="2" t="s">
        <v>238</v>
      </c>
      <c r="BY1354" s="2" t="s">
        <v>274</v>
      </c>
      <c r="BZ1354" s="2" t="s">
        <v>240</v>
      </c>
      <c r="CA1354" s="2" t="s">
        <v>916</v>
      </c>
      <c r="CB1354" s="2" t="s">
        <v>228</v>
      </c>
      <c r="CC1354" s="2" t="s">
        <v>241</v>
      </c>
      <c r="CD1354" s="2" t="s">
        <v>228</v>
      </c>
      <c r="CE1354" s="4"/>
      <c r="CF1354" s="4">
        <v>67</v>
      </c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>
        <v>33</v>
      </c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  <c r="GG1354" s="4"/>
      <c r="GH1354" s="4"/>
      <c r="GI1354" s="4"/>
      <c r="GJ1354" s="4"/>
      <c r="GK1354" s="4"/>
      <c r="GL1354" s="4"/>
      <c r="GM1354" s="4"/>
      <c r="GN1354" s="4"/>
      <c r="GO1354" s="4"/>
      <c r="GP1354" s="4"/>
      <c r="GQ1354" s="4"/>
      <c r="GR1354" s="4"/>
      <c r="GS1354" s="4"/>
      <c r="GT1354" s="4"/>
      <c r="GU1354" s="4"/>
      <c r="GV1354" s="4"/>
      <c r="GW1354" s="4"/>
      <c r="GX1354" s="4"/>
      <c r="GY1354" s="4"/>
      <c r="GZ1354" s="4"/>
      <c r="HA1354" s="4"/>
      <c r="HB1354" s="4"/>
      <c r="HC1354" s="4"/>
      <c r="HD1354" s="4"/>
      <c r="HE1354" s="4"/>
    </row>
    <row r="1355">
      <c r="A1355" s="2" t="s">
        <v>6951</v>
      </c>
      <c r="B1355" s="2" t="s">
        <v>834</v>
      </c>
      <c r="C1355" s="2" t="s">
        <v>835</v>
      </c>
      <c r="D1355" s="2" t="s">
        <v>1744</v>
      </c>
      <c r="E1355" s="2" t="s">
        <v>1745</v>
      </c>
      <c r="F1355" s="2" t="s">
        <v>6952</v>
      </c>
      <c r="G1355" s="2" t="s">
        <v>6952</v>
      </c>
      <c r="H1355" s="2" t="s">
        <v>6952</v>
      </c>
      <c r="I1355" s="2" t="s">
        <v>6953</v>
      </c>
      <c r="J1355" s="2" t="s">
        <v>840</v>
      </c>
      <c r="K1355" s="2" t="s">
        <v>6954</v>
      </c>
      <c r="L1355" s="3">
        <v>78.49</v>
      </c>
      <c r="M1355" s="3">
        <v>82.41</v>
      </c>
      <c r="N1355" s="3">
        <v>174.99</v>
      </c>
      <c r="O1355" s="2" t="s">
        <v>240</v>
      </c>
      <c r="P1355" s="2" t="s">
        <v>1012</v>
      </c>
      <c r="Q1355" s="2" t="s">
        <v>234</v>
      </c>
      <c r="R1355" s="2" t="s">
        <v>228</v>
      </c>
      <c r="S1355" s="2" t="s">
        <v>228</v>
      </c>
      <c r="T1355" s="2" t="s">
        <v>228</v>
      </c>
      <c r="U1355" s="2" t="s">
        <v>416</v>
      </c>
      <c r="V1355" s="2" t="s">
        <v>842</v>
      </c>
      <c r="W1355" s="2" t="s">
        <v>269</v>
      </c>
      <c r="X1355" s="2" t="s">
        <v>228</v>
      </c>
      <c r="Y1355" s="2" t="s">
        <v>2076</v>
      </c>
      <c r="Z1355" s="4">
        <v>24</v>
      </c>
      <c r="AA1355" s="4">
        <f>=ROUNDDOWN(13.3333333333333,0)</f>
      </c>
      <c r="AB1355" s="5">
        <v>1.8</v>
      </c>
      <c r="AC1355" s="2" t="s">
        <v>228</v>
      </c>
      <c r="AD1355" s="4"/>
      <c r="AE1355" s="4"/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228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/>
      <c r="AW1355" s="8"/>
      <c r="AX1355" s="4"/>
      <c r="AY1355" s="8"/>
      <c r="AZ1355" s="7"/>
      <c r="BA1355" s="7"/>
      <c r="BB1355" s="7"/>
      <c r="BC1355" s="4"/>
      <c r="BD1355" s="8"/>
      <c r="BE1355" s="4"/>
      <c r="BF1355" s="8"/>
      <c r="BG1355" s="7"/>
      <c r="BH1355" s="7"/>
      <c r="BI1355" s="7"/>
      <c r="BJ1355" s="4">
        <v>9</v>
      </c>
      <c r="BK1355" s="8">
        <v>960.16</v>
      </c>
      <c r="BL1355" s="2" t="s">
        <v>6955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6956</v>
      </c>
      <c r="BV1355" s="2" t="s">
        <v>228</v>
      </c>
      <c r="BW1355" s="2" t="s">
        <v>228</v>
      </c>
      <c r="BX1355" s="2" t="s">
        <v>273</v>
      </c>
      <c r="BY1355" s="2" t="s">
        <v>274</v>
      </c>
      <c r="BZ1355" s="2" t="s">
        <v>240</v>
      </c>
      <c r="CA1355" s="2" t="s">
        <v>6437</v>
      </c>
      <c r="CB1355" s="2" t="s">
        <v>6957</v>
      </c>
      <c r="CC1355" s="2" t="s">
        <v>241</v>
      </c>
      <c r="CD1355" s="2" t="s">
        <v>228</v>
      </c>
      <c r="CE1355" s="4"/>
      <c r="CF1355" s="4">
        <v>24</v>
      </c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/>
      <c r="GG1355" s="4"/>
      <c r="GH1355" s="4"/>
      <c r="GI1355" s="4"/>
      <c r="GJ1355" s="4"/>
      <c r="GK1355" s="4"/>
      <c r="GL1355" s="4"/>
      <c r="GM1355" s="4"/>
      <c r="GN1355" s="4"/>
      <c r="GO1355" s="4"/>
      <c r="GP1355" s="4"/>
      <c r="GQ1355" s="4"/>
      <c r="GR1355" s="4"/>
      <c r="GS1355" s="4"/>
      <c r="GT1355" s="4"/>
      <c r="GU1355" s="4"/>
      <c r="GV1355" s="4"/>
      <c r="GW1355" s="4"/>
      <c r="GX1355" s="4"/>
      <c r="GY1355" s="4"/>
      <c r="GZ1355" s="4"/>
      <c r="HA1355" s="4"/>
      <c r="HB1355" s="4"/>
      <c r="HC1355" s="4"/>
      <c r="HD1355" s="4"/>
      <c r="HE1355" s="4"/>
    </row>
    <row r="1356">
      <c r="A1356" s="2" t="s">
        <v>6958</v>
      </c>
      <c r="B1356" s="2" t="s">
        <v>834</v>
      </c>
      <c r="C1356" s="2" t="s">
        <v>835</v>
      </c>
      <c r="D1356" s="2" t="s">
        <v>1101</v>
      </c>
      <c r="E1356" s="2" t="s">
        <v>1102</v>
      </c>
      <c r="F1356" s="2" t="s">
        <v>6959</v>
      </c>
      <c r="G1356" s="2" t="s">
        <v>6959</v>
      </c>
      <c r="H1356" s="2" t="s">
        <v>6959</v>
      </c>
      <c r="I1356" s="2" t="s">
        <v>6758</v>
      </c>
      <c r="J1356" s="2" t="s">
        <v>840</v>
      </c>
      <c r="K1356" s="2" t="s">
        <v>912</v>
      </c>
      <c r="L1356" s="3">
        <v>44.98</v>
      </c>
      <c r="M1356" s="3">
        <v>47.23</v>
      </c>
      <c r="N1356" s="3">
        <v>94.99</v>
      </c>
      <c r="O1356" s="2" t="s">
        <v>461</v>
      </c>
      <c r="P1356" s="2" t="s">
        <v>333</v>
      </c>
      <c r="Q1356" s="2" t="s">
        <v>234</v>
      </c>
      <c r="R1356" s="2" t="s">
        <v>228</v>
      </c>
      <c r="S1356" s="2" t="s">
        <v>228</v>
      </c>
      <c r="T1356" s="2" t="s">
        <v>228</v>
      </c>
      <c r="U1356" s="2" t="s">
        <v>416</v>
      </c>
      <c r="V1356" s="2" t="s">
        <v>842</v>
      </c>
      <c r="W1356" s="2" t="s">
        <v>417</v>
      </c>
      <c r="X1356" s="2" t="s">
        <v>228</v>
      </c>
      <c r="Y1356" s="2" t="s">
        <v>6960</v>
      </c>
      <c r="Z1356" s="4">
        <v>7</v>
      </c>
      <c r="AA1356" s="4">
        <f>=ROUNDDOWN(14,0)</f>
      </c>
      <c r="AB1356" s="5">
        <v>0.5</v>
      </c>
      <c r="AC1356" s="2" t="s">
        <v>228</v>
      </c>
      <c r="AD1356" s="4"/>
      <c r="AE1356" s="4"/>
      <c r="AF1356" s="6">
        <v>65</v>
      </c>
      <c r="AG1356" s="6"/>
      <c r="AH1356" s="7">
        <v>1</v>
      </c>
      <c r="AI1356" s="4"/>
      <c r="AJ1356" s="4">
        <f>=ROUNDDOWN({0},0)</f>
      </c>
      <c r="AK1356" s="5"/>
      <c r="AL1356" s="2" t="s">
        <v>228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/>
      <c r="AW1356" s="8"/>
      <c r="AX1356" s="4"/>
      <c r="AY1356" s="8"/>
      <c r="AZ1356" s="7"/>
      <c r="BA1356" s="7"/>
      <c r="BB1356" s="7"/>
      <c r="BC1356" s="4"/>
      <c r="BD1356" s="8"/>
      <c r="BE1356" s="4"/>
      <c r="BF1356" s="8"/>
      <c r="BG1356" s="7"/>
      <c r="BH1356" s="7"/>
      <c r="BI1356" s="7"/>
      <c r="BJ1356" s="4">
        <v>4</v>
      </c>
      <c r="BK1356" s="8">
        <v>91.86</v>
      </c>
      <c r="BL1356" s="2" t="s">
        <v>521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6961</v>
      </c>
      <c r="BV1356" s="2" t="s">
        <v>228</v>
      </c>
      <c r="BW1356" s="2" t="s">
        <v>228</v>
      </c>
      <c r="BX1356" s="2" t="s">
        <v>337</v>
      </c>
      <c r="BY1356" s="2" t="s">
        <v>274</v>
      </c>
      <c r="BZ1356" s="2" t="s">
        <v>240</v>
      </c>
      <c r="CA1356" s="2" t="s">
        <v>2036</v>
      </c>
      <c r="CB1356" s="2" t="s">
        <v>1632</v>
      </c>
      <c r="CC1356" s="2" t="s">
        <v>241</v>
      </c>
      <c r="CD1356" s="2" t="s">
        <v>228</v>
      </c>
      <c r="CE1356" s="4"/>
      <c r="CF1356" s="4">
        <v>7</v>
      </c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  <c r="GI1356" s="4"/>
      <c r="GJ1356" s="4"/>
      <c r="GK1356" s="4"/>
      <c r="GL1356" s="4"/>
      <c r="GM1356" s="4"/>
      <c r="GN1356" s="4"/>
      <c r="GO1356" s="4"/>
      <c r="GP1356" s="4"/>
      <c r="GQ1356" s="4"/>
      <c r="GR1356" s="4"/>
      <c r="GS1356" s="4"/>
      <c r="GT1356" s="4"/>
      <c r="GU1356" s="4"/>
      <c r="GV1356" s="4"/>
      <c r="GW1356" s="4"/>
      <c r="GX1356" s="4"/>
      <c r="GY1356" s="4"/>
      <c r="GZ1356" s="4"/>
      <c r="HA1356" s="4"/>
      <c r="HB1356" s="4"/>
      <c r="HC1356" s="4"/>
      <c r="HD1356" s="4"/>
      <c r="HE1356" s="4"/>
    </row>
    <row r="1357">
      <c r="A1357" s="2" t="s">
        <v>6962</v>
      </c>
      <c r="B1357" s="2" t="s">
        <v>958</v>
      </c>
      <c r="C1357" s="2" t="s">
        <v>885</v>
      </c>
      <c r="D1357" s="2" t="s">
        <v>2144</v>
      </c>
      <c r="E1357" s="2" t="s">
        <v>2145</v>
      </c>
      <c r="F1357" s="2" t="s">
        <v>6963</v>
      </c>
      <c r="G1357" s="2" t="s">
        <v>6963</v>
      </c>
      <c r="H1357" s="2" t="s">
        <v>6963</v>
      </c>
      <c r="I1357" s="2" t="s">
        <v>6964</v>
      </c>
      <c r="J1357" s="2" t="s">
        <v>840</v>
      </c>
      <c r="K1357" s="2" t="s">
        <v>1421</v>
      </c>
      <c r="L1357" s="3">
        <v>168</v>
      </c>
      <c r="M1357" s="3">
        <v>176.4</v>
      </c>
      <c r="N1357" s="3">
        <v>359</v>
      </c>
      <c r="O1357" s="2" t="s">
        <v>240</v>
      </c>
      <c r="P1357" s="2" t="s">
        <v>266</v>
      </c>
      <c r="Q1357" s="2" t="s">
        <v>234</v>
      </c>
      <c r="R1357" s="2" t="s">
        <v>228</v>
      </c>
      <c r="S1357" s="2" t="s">
        <v>228</v>
      </c>
      <c r="T1357" s="2" t="s">
        <v>228</v>
      </c>
      <c r="U1357" s="2" t="s">
        <v>416</v>
      </c>
      <c r="V1357" s="2" t="s">
        <v>842</v>
      </c>
      <c r="W1357" s="2" t="s">
        <v>743</v>
      </c>
      <c r="X1357" s="2" t="s">
        <v>4981</v>
      </c>
      <c r="Y1357" s="2" t="s">
        <v>6965</v>
      </c>
      <c r="Z1357" s="4">
        <v>2</v>
      </c>
      <c r="AA1357" s="4">
        <f>=ROUNDDOWN(0.5,0)</f>
      </c>
      <c r="AB1357" s="5">
        <v>4</v>
      </c>
      <c r="AC1357" s="2" t="s">
        <v>1788</v>
      </c>
      <c r="AD1357" s="4">
        <v>140</v>
      </c>
      <c r="AE1357" s="4">
        <v>300</v>
      </c>
      <c r="AF1357" s="6">
        <v>76</v>
      </c>
      <c r="AG1357" s="6"/>
      <c r="AH1357" s="7">
        <v>0.7097</v>
      </c>
      <c r="AI1357" s="4"/>
      <c r="AJ1357" s="4">
        <f>=ROUNDDOWN({0},0)</f>
      </c>
      <c r="AK1357" s="5"/>
      <c r="AL1357" s="2" t="s">
        <v>228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/>
      <c r="AW1357" s="8"/>
      <c r="AX1357" s="4"/>
      <c r="AY1357" s="8"/>
      <c r="AZ1357" s="7"/>
      <c r="BA1357" s="7"/>
      <c r="BB1357" s="7"/>
      <c r="BC1357" s="4" t="s">
        <v>228</v>
      </c>
      <c r="BD1357" s="8" t="s">
        <v>228</v>
      </c>
      <c r="BE1357" s="4" t="s">
        <v>228</v>
      </c>
      <c r="BF1357" s="8" t="s">
        <v>228</v>
      </c>
      <c r="BG1357" s="7" t="s">
        <v>228</v>
      </c>
      <c r="BH1357" s="7" t="s">
        <v>228</v>
      </c>
      <c r="BI1357" s="7"/>
      <c r="BJ1357" s="4">
        <v>8</v>
      </c>
      <c r="BK1357" s="8">
        <v>1446.65</v>
      </c>
      <c r="BL1357" s="2" t="s">
        <v>4951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6966</v>
      </c>
      <c r="BV1357" s="2" t="s">
        <v>228</v>
      </c>
      <c r="BW1357" s="2" t="s">
        <v>228</v>
      </c>
      <c r="BX1357" s="2" t="s">
        <v>273</v>
      </c>
      <c r="BY1357" s="2" t="s">
        <v>274</v>
      </c>
      <c r="BZ1357" s="2" t="s">
        <v>240</v>
      </c>
      <c r="CA1357" s="2" t="s">
        <v>3013</v>
      </c>
      <c r="CB1357" s="2" t="s">
        <v>2234</v>
      </c>
      <c r="CC1357" s="2" t="s">
        <v>241</v>
      </c>
      <c r="CD1357" s="2" t="s">
        <v>228</v>
      </c>
      <c r="CE1357" s="4"/>
      <c r="CF1357" s="4">
        <v>2</v>
      </c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>
        <v>140</v>
      </c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>
        <v>160</v>
      </c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/>
      <c r="GH1357" s="4"/>
      <c r="GI1357" s="4"/>
      <c r="GJ1357" s="4"/>
      <c r="GK1357" s="4"/>
      <c r="GL1357" s="4"/>
      <c r="GM1357" s="4"/>
      <c r="GN1357" s="4"/>
      <c r="GO1357" s="4"/>
      <c r="GP1357" s="4"/>
      <c r="GQ1357" s="4"/>
      <c r="GR1357" s="4"/>
      <c r="GS1357" s="4"/>
      <c r="GT1357" s="4"/>
      <c r="GU1357" s="4"/>
      <c r="GV1357" s="4"/>
      <c r="GW1357" s="4"/>
      <c r="GX1357" s="4"/>
      <c r="GY1357" s="4"/>
      <c r="GZ1357" s="4"/>
      <c r="HA1357" s="4"/>
      <c r="HB1357" s="4"/>
      <c r="HC1357" s="4"/>
      <c r="HD1357" s="4"/>
      <c r="HE1357" s="4"/>
    </row>
    <row r="1358">
      <c r="A1358" s="2" t="s">
        <v>6967</v>
      </c>
      <c r="B1358" s="2" t="s">
        <v>958</v>
      </c>
      <c r="C1358" s="2" t="s">
        <v>885</v>
      </c>
      <c r="D1358" s="2" t="s">
        <v>1257</v>
      </c>
      <c r="E1358" s="2" t="s">
        <v>2091</v>
      </c>
      <c r="F1358" s="2" t="s">
        <v>6963</v>
      </c>
      <c r="G1358" s="2" t="s">
        <v>6963</v>
      </c>
      <c r="H1358" s="2" t="s">
        <v>6963</v>
      </c>
      <c r="I1358" s="2" t="s">
        <v>6968</v>
      </c>
      <c r="J1358" s="2" t="s">
        <v>289</v>
      </c>
      <c r="K1358" s="2" t="s">
        <v>3056</v>
      </c>
      <c r="L1358" s="3">
        <v>502</v>
      </c>
      <c r="M1358" s="3">
        <v>527.1</v>
      </c>
      <c r="N1358" s="3">
        <v>1049</v>
      </c>
      <c r="O1358" s="2" t="s">
        <v>240</v>
      </c>
      <c r="P1358" s="2" t="s">
        <v>233</v>
      </c>
      <c r="Q1358" s="2" t="s">
        <v>234</v>
      </c>
      <c r="R1358" s="2" t="s">
        <v>228</v>
      </c>
      <c r="S1358" s="2" t="s">
        <v>228</v>
      </c>
      <c r="T1358" s="2" t="s">
        <v>228</v>
      </c>
      <c r="U1358" s="2" t="s">
        <v>416</v>
      </c>
      <c r="V1358" s="2" t="s">
        <v>842</v>
      </c>
      <c r="W1358" s="2" t="s">
        <v>743</v>
      </c>
      <c r="X1358" s="2" t="s">
        <v>4981</v>
      </c>
      <c r="Y1358" s="2" t="s">
        <v>6556</v>
      </c>
      <c r="Z1358" s="4">
        <v>90</v>
      </c>
      <c r="AA1358" s="4">
        <f>=ROUNDDOWN(45,0)</f>
      </c>
      <c r="AB1358" s="5">
        <v>2</v>
      </c>
      <c r="AC1358" s="2" t="s">
        <v>228</v>
      </c>
      <c r="AD1358" s="4"/>
      <c r="AE1358" s="4"/>
      <c r="AF1358" s="6">
        <v>76</v>
      </c>
      <c r="AG1358" s="6"/>
      <c r="AH1358" s="7">
        <v>1</v>
      </c>
      <c r="AI1358" s="4"/>
      <c r="AJ1358" s="4">
        <f>=ROUNDDOWN({0},0)</f>
      </c>
      <c r="AK1358" s="5"/>
      <c r="AL1358" s="2" t="s">
        <v>228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/>
      <c r="AW1358" s="8"/>
      <c r="AX1358" s="4"/>
      <c r="AY1358" s="8"/>
      <c r="AZ1358" s="7"/>
      <c r="BA1358" s="7"/>
      <c r="BB1358" s="7"/>
      <c r="BC1358" s="4" t="s">
        <v>228</v>
      </c>
      <c r="BD1358" s="8" t="s">
        <v>228</v>
      </c>
      <c r="BE1358" s="4" t="s">
        <v>228</v>
      </c>
      <c r="BF1358" s="8" t="s">
        <v>228</v>
      </c>
      <c r="BG1358" s="7" t="s">
        <v>228</v>
      </c>
      <c r="BH1358" s="7" t="s">
        <v>228</v>
      </c>
      <c r="BI1358" s="7"/>
      <c r="BJ1358" s="4"/>
      <c r="BK1358" s="8"/>
      <c r="BL1358" s="2" t="s">
        <v>228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6969</v>
      </c>
      <c r="BV1358" s="2" t="s">
        <v>228</v>
      </c>
      <c r="BW1358" s="2" t="s">
        <v>228</v>
      </c>
      <c r="BX1358" s="2" t="s">
        <v>273</v>
      </c>
      <c r="BY1358" s="2" t="s">
        <v>274</v>
      </c>
      <c r="BZ1358" s="2" t="s">
        <v>240</v>
      </c>
      <c r="CA1358" s="2" t="s">
        <v>2990</v>
      </c>
      <c r="CB1358" s="2" t="s">
        <v>6970</v>
      </c>
      <c r="CC1358" s="2" t="s">
        <v>241</v>
      </c>
      <c r="CD1358" s="2" t="s">
        <v>228</v>
      </c>
      <c r="CE1358" s="4"/>
      <c r="CF1358" s="4">
        <v>90</v>
      </c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  <c r="GH1358" s="4"/>
      <c r="GI1358" s="4"/>
      <c r="GJ1358" s="4"/>
      <c r="GK1358" s="4"/>
      <c r="GL1358" s="4"/>
      <c r="GM1358" s="4"/>
      <c r="GN1358" s="4"/>
      <c r="GO1358" s="4"/>
      <c r="GP1358" s="4"/>
      <c r="GQ1358" s="4"/>
      <c r="GR1358" s="4"/>
      <c r="GS1358" s="4"/>
      <c r="GT1358" s="4"/>
      <c r="GU1358" s="4"/>
      <c r="GV1358" s="4"/>
      <c r="GW1358" s="4"/>
      <c r="GX1358" s="4"/>
      <c r="GY1358" s="4"/>
      <c r="GZ1358" s="4"/>
      <c r="HA1358" s="4"/>
      <c r="HB1358" s="4"/>
      <c r="HC1358" s="4"/>
      <c r="HD1358" s="4"/>
      <c r="HE1358" s="4"/>
    </row>
    <row r="1359">
      <c r="A1359" s="2" t="s">
        <v>6971</v>
      </c>
      <c r="B1359" s="2" t="s">
        <v>1150</v>
      </c>
      <c r="C1359" s="2" t="s">
        <v>731</v>
      </c>
      <c r="D1359" s="2" t="s">
        <v>850</v>
      </c>
      <c r="E1359" s="2" t="s">
        <v>1038</v>
      </c>
      <c r="F1359" s="2" t="s">
        <v>6972</v>
      </c>
      <c r="G1359" s="2" t="s">
        <v>6972</v>
      </c>
      <c r="H1359" s="2" t="s">
        <v>6972</v>
      </c>
      <c r="I1359" s="2" t="s">
        <v>6973</v>
      </c>
      <c r="J1359" s="2" t="s">
        <v>1189</v>
      </c>
      <c r="K1359" s="2" t="s">
        <v>265</v>
      </c>
      <c r="L1359" s="3">
        <v>32</v>
      </c>
      <c r="M1359" s="3">
        <v>33.6</v>
      </c>
      <c r="N1359" s="3">
        <v>69.99</v>
      </c>
      <c r="O1359" s="2" t="s">
        <v>461</v>
      </c>
      <c r="P1359" s="2" t="s">
        <v>333</v>
      </c>
      <c r="Q1359" s="2" t="s">
        <v>234</v>
      </c>
      <c r="R1359" s="2" t="s">
        <v>228</v>
      </c>
      <c r="S1359" s="2" t="s">
        <v>6974</v>
      </c>
      <c r="T1359" s="2" t="s">
        <v>228</v>
      </c>
      <c r="U1359" s="2" t="s">
        <v>500</v>
      </c>
      <c r="V1359" s="2" t="s">
        <v>374</v>
      </c>
      <c r="W1359" s="2" t="s">
        <v>269</v>
      </c>
      <c r="X1359" s="2" t="s">
        <v>228</v>
      </c>
      <c r="Y1359" s="2" t="s">
        <v>1480</v>
      </c>
      <c r="Z1359" s="4">
        <v>81</v>
      </c>
      <c r="AA1359" s="4">
        <f>=ROUNDDOWN(162,0)</f>
      </c>
      <c r="AB1359" s="5">
        <v>0.5</v>
      </c>
      <c r="AC1359" s="2" t="s">
        <v>228</v>
      </c>
      <c r="AD1359" s="4"/>
      <c r="AE1359" s="4"/>
      <c r="AF1359" s="6">
        <v>65</v>
      </c>
      <c r="AG1359" s="6"/>
      <c r="AH1359" s="7">
        <v>0.6452</v>
      </c>
      <c r="AI1359" s="4"/>
      <c r="AJ1359" s="4">
        <f>=ROUNDDOWN({0},0)</f>
      </c>
      <c r="AK1359" s="5"/>
      <c r="AL1359" s="2" t="s">
        <v>228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 t="s">
        <v>228</v>
      </c>
      <c r="AW1359" s="8" t="s">
        <v>228</v>
      </c>
      <c r="AX1359" s="4" t="s">
        <v>228</v>
      </c>
      <c r="AY1359" s="8" t="s">
        <v>228</v>
      </c>
      <c r="AZ1359" s="7" t="s">
        <v>228</v>
      </c>
      <c r="BA1359" s="7" t="s">
        <v>228</v>
      </c>
      <c r="BB1359" s="7"/>
      <c r="BC1359" s="4" t="s">
        <v>228</v>
      </c>
      <c r="BD1359" s="8" t="s">
        <v>228</v>
      </c>
      <c r="BE1359" s="4" t="s">
        <v>228</v>
      </c>
      <c r="BF1359" s="8" t="s">
        <v>228</v>
      </c>
      <c r="BG1359" s="7" t="s">
        <v>228</v>
      </c>
      <c r="BH1359" s="7" t="s">
        <v>228</v>
      </c>
      <c r="BI1359" s="7"/>
      <c r="BJ1359" s="4">
        <v>2</v>
      </c>
      <c r="BK1359" s="8">
        <v>72.58</v>
      </c>
      <c r="BL1359" s="2" t="s">
        <v>357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6975</v>
      </c>
      <c r="BV1359" s="2" t="s">
        <v>228</v>
      </c>
      <c r="BW1359" s="2" t="s">
        <v>228</v>
      </c>
      <c r="BX1359" s="2" t="s">
        <v>337</v>
      </c>
      <c r="BY1359" s="2" t="s">
        <v>274</v>
      </c>
      <c r="BZ1359" s="2" t="s">
        <v>240</v>
      </c>
      <c r="CA1359" s="2" t="s">
        <v>1484</v>
      </c>
      <c r="CB1359" s="2" t="s">
        <v>421</v>
      </c>
      <c r="CC1359" s="2" t="s">
        <v>241</v>
      </c>
      <c r="CD1359" s="2" t="s">
        <v>228</v>
      </c>
      <c r="CE1359" s="4">
        <v>81</v>
      </c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  <c r="GG1359" s="4"/>
      <c r="GH1359" s="4"/>
      <c r="GI1359" s="4"/>
      <c r="GJ1359" s="4"/>
      <c r="GK1359" s="4"/>
      <c r="GL1359" s="4"/>
      <c r="GM1359" s="4"/>
      <c r="GN1359" s="4"/>
      <c r="GO1359" s="4"/>
      <c r="GP1359" s="4"/>
      <c r="GQ1359" s="4"/>
      <c r="GR1359" s="4"/>
      <c r="GS1359" s="4"/>
      <c r="GT1359" s="4"/>
      <c r="GU1359" s="4"/>
      <c r="GV1359" s="4"/>
      <c r="GW1359" s="4"/>
      <c r="GX1359" s="4"/>
      <c r="GY1359" s="4"/>
      <c r="GZ1359" s="4"/>
      <c r="HA1359" s="4"/>
      <c r="HB1359" s="4"/>
      <c r="HC1359" s="4"/>
      <c r="HD1359" s="4"/>
      <c r="HE1359" s="4"/>
    </row>
    <row r="1360">
      <c r="A1360" s="2" t="s">
        <v>6976</v>
      </c>
      <c r="B1360" s="2" t="s">
        <v>1150</v>
      </c>
      <c r="C1360" s="2" t="s">
        <v>731</v>
      </c>
      <c r="D1360" s="2" t="s">
        <v>850</v>
      </c>
      <c r="E1360" s="2" t="s">
        <v>1038</v>
      </c>
      <c r="F1360" s="2" t="s">
        <v>6972</v>
      </c>
      <c r="G1360" s="2" t="s">
        <v>6972</v>
      </c>
      <c r="H1360" s="2" t="s">
        <v>6972</v>
      </c>
      <c r="I1360" s="2" t="s">
        <v>6973</v>
      </c>
      <c r="J1360" s="2" t="s">
        <v>1043</v>
      </c>
      <c r="K1360" s="2" t="s">
        <v>265</v>
      </c>
      <c r="L1360" s="3">
        <v>36.57</v>
      </c>
      <c r="M1360" s="3">
        <v>38.4</v>
      </c>
      <c r="N1360" s="3">
        <v>79.99</v>
      </c>
      <c r="O1360" s="2" t="s">
        <v>461</v>
      </c>
      <c r="P1360" s="2" t="s">
        <v>333</v>
      </c>
      <c r="Q1360" s="2" t="s">
        <v>234</v>
      </c>
      <c r="R1360" s="2" t="s">
        <v>228</v>
      </c>
      <c r="S1360" s="2" t="s">
        <v>6974</v>
      </c>
      <c r="T1360" s="2" t="s">
        <v>228</v>
      </c>
      <c r="U1360" s="2" t="s">
        <v>500</v>
      </c>
      <c r="V1360" s="2" t="s">
        <v>374</v>
      </c>
      <c r="W1360" s="2" t="s">
        <v>269</v>
      </c>
      <c r="X1360" s="2" t="s">
        <v>228</v>
      </c>
      <c r="Y1360" s="2" t="s">
        <v>1480</v>
      </c>
      <c r="Z1360" s="4">
        <v>29</v>
      </c>
      <c r="AA1360" s="4">
        <f>=ROUNDDOWN(41.4285714285714,0)</f>
      </c>
      <c r="AB1360" s="5">
        <v>0.7</v>
      </c>
      <c r="AC1360" s="2" t="s">
        <v>228</v>
      </c>
      <c r="AD1360" s="4"/>
      <c r="AE1360" s="4"/>
      <c r="AF1360" s="6">
        <v>65</v>
      </c>
      <c r="AG1360" s="6"/>
      <c r="AH1360" s="7">
        <v>0.6452</v>
      </c>
      <c r="AI1360" s="4"/>
      <c r="AJ1360" s="4">
        <f>=ROUNDDOWN({0},0)</f>
      </c>
      <c r="AK1360" s="5"/>
      <c r="AL1360" s="2" t="s">
        <v>228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 t="s">
        <v>228</v>
      </c>
      <c r="AW1360" s="8" t="s">
        <v>228</v>
      </c>
      <c r="AX1360" s="4" t="s">
        <v>228</v>
      </c>
      <c r="AY1360" s="8" t="s">
        <v>228</v>
      </c>
      <c r="AZ1360" s="7" t="s">
        <v>228</v>
      </c>
      <c r="BA1360" s="7" t="s">
        <v>228</v>
      </c>
      <c r="BB1360" s="7"/>
      <c r="BC1360" s="4" t="s">
        <v>228</v>
      </c>
      <c r="BD1360" s="8" t="s">
        <v>228</v>
      </c>
      <c r="BE1360" s="4" t="s">
        <v>228</v>
      </c>
      <c r="BF1360" s="8" t="s">
        <v>228</v>
      </c>
      <c r="BG1360" s="7" t="s">
        <v>228</v>
      </c>
      <c r="BH1360" s="7" t="s">
        <v>228</v>
      </c>
      <c r="BI1360" s="7"/>
      <c r="BJ1360" s="4">
        <v>1</v>
      </c>
      <c r="BK1360" s="8">
        <v>41.47</v>
      </c>
      <c r="BL1360" s="2" t="s">
        <v>6977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6978</v>
      </c>
      <c r="BV1360" s="2" t="s">
        <v>228</v>
      </c>
      <c r="BW1360" s="2" t="s">
        <v>228</v>
      </c>
      <c r="BX1360" s="2" t="s">
        <v>337</v>
      </c>
      <c r="BY1360" s="2" t="s">
        <v>274</v>
      </c>
      <c r="BZ1360" s="2" t="s">
        <v>240</v>
      </c>
      <c r="CA1360" s="2" t="s">
        <v>1484</v>
      </c>
      <c r="CB1360" s="2" t="s">
        <v>6009</v>
      </c>
      <c r="CC1360" s="2" t="s">
        <v>241</v>
      </c>
      <c r="CD1360" s="2" t="s">
        <v>228</v>
      </c>
      <c r="CE1360" s="4">
        <v>29</v>
      </c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  <c r="GH1360" s="4"/>
      <c r="GI1360" s="4"/>
      <c r="GJ1360" s="4"/>
      <c r="GK1360" s="4"/>
      <c r="GL1360" s="4"/>
      <c r="GM1360" s="4"/>
      <c r="GN1360" s="4"/>
      <c r="GO1360" s="4"/>
      <c r="GP1360" s="4"/>
      <c r="GQ1360" s="4"/>
      <c r="GR1360" s="4"/>
      <c r="GS1360" s="4"/>
      <c r="GT1360" s="4"/>
      <c r="GU1360" s="4"/>
      <c r="GV1360" s="4"/>
      <c r="GW1360" s="4"/>
      <c r="GX1360" s="4"/>
      <c r="GY1360" s="4"/>
      <c r="GZ1360" s="4"/>
      <c r="HA1360" s="4"/>
      <c r="HB1360" s="4"/>
      <c r="HC1360" s="4"/>
      <c r="HD1360" s="4"/>
      <c r="HE1360" s="4"/>
    </row>
    <row r="1361">
      <c r="A1361" s="2" t="s">
        <v>6979</v>
      </c>
      <c r="B1361" s="2" t="s">
        <v>1150</v>
      </c>
      <c r="C1361" s="2" t="s">
        <v>731</v>
      </c>
      <c r="D1361" s="2" t="s">
        <v>1112</v>
      </c>
      <c r="E1361" s="2" t="s">
        <v>1113</v>
      </c>
      <c r="F1361" s="2" t="s">
        <v>6972</v>
      </c>
      <c r="G1361" s="2" t="s">
        <v>6972</v>
      </c>
      <c r="H1361" s="2" t="s">
        <v>6972</v>
      </c>
      <c r="I1361" s="2" t="s">
        <v>6980</v>
      </c>
      <c r="J1361" s="2" t="s">
        <v>1189</v>
      </c>
      <c r="K1361" s="2" t="s">
        <v>829</v>
      </c>
      <c r="L1361" s="3">
        <v>45.71</v>
      </c>
      <c r="M1361" s="3">
        <v>48</v>
      </c>
      <c r="N1361" s="3">
        <v>99.99</v>
      </c>
      <c r="O1361" s="2" t="s">
        <v>461</v>
      </c>
      <c r="P1361" s="2" t="s">
        <v>333</v>
      </c>
      <c r="Q1361" s="2" t="s">
        <v>234</v>
      </c>
      <c r="R1361" s="2" t="s">
        <v>228</v>
      </c>
      <c r="S1361" s="2" t="s">
        <v>6981</v>
      </c>
      <c r="T1361" s="2" t="s">
        <v>228</v>
      </c>
      <c r="U1361" s="2" t="s">
        <v>500</v>
      </c>
      <c r="V1361" s="2" t="s">
        <v>374</v>
      </c>
      <c r="W1361" s="2" t="s">
        <v>269</v>
      </c>
      <c r="X1361" s="2" t="s">
        <v>228</v>
      </c>
      <c r="Y1361" s="2" t="s">
        <v>1480</v>
      </c>
      <c r="Z1361" s="4">
        <v>30</v>
      </c>
      <c r="AA1361" s="4">
        <f>=ROUNDDOWN(18.75,0)</f>
      </c>
      <c r="AB1361" s="5">
        <v>1.6</v>
      </c>
      <c r="AC1361" s="2" t="s">
        <v>228</v>
      </c>
      <c r="AD1361" s="4"/>
      <c r="AE1361" s="4"/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228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/>
      <c r="AW1361" s="8"/>
      <c r="AX1361" s="4"/>
      <c r="AY1361" s="8"/>
      <c r="AZ1361" s="7"/>
      <c r="BA1361" s="7"/>
      <c r="BB1361" s="7"/>
      <c r="BC1361" s="4" t="s">
        <v>228</v>
      </c>
      <c r="BD1361" s="8" t="s">
        <v>228</v>
      </c>
      <c r="BE1361" s="4" t="s">
        <v>228</v>
      </c>
      <c r="BF1361" s="8" t="s">
        <v>228</v>
      </c>
      <c r="BG1361" s="7" t="s">
        <v>228</v>
      </c>
      <c r="BH1361" s="7" t="s">
        <v>228</v>
      </c>
      <c r="BI1361" s="7"/>
      <c r="BJ1361" s="4">
        <v>6</v>
      </c>
      <c r="BK1361" s="8">
        <v>201.12</v>
      </c>
      <c r="BL1361" s="2" t="s">
        <v>1482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6982</v>
      </c>
      <c r="BV1361" s="2" t="s">
        <v>228</v>
      </c>
      <c r="BW1361" s="2" t="s">
        <v>228</v>
      </c>
      <c r="BX1361" s="2" t="s">
        <v>337</v>
      </c>
      <c r="BY1361" s="2" t="s">
        <v>274</v>
      </c>
      <c r="BZ1361" s="2" t="s">
        <v>240</v>
      </c>
      <c r="CA1361" s="2" t="s">
        <v>1484</v>
      </c>
      <c r="CB1361" s="2" t="s">
        <v>6438</v>
      </c>
      <c r="CC1361" s="2" t="s">
        <v>241</v>
      </c>
      <c r="CD1361" s="2" t="s">
        <v>228</v>
      </c>
      <c r="CE1361" s="4">
        <v>30</v>
      </c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/>
      <c r="GE1361" s="4"/>
      <c r="GF1361" s="4"/>
      <c r="GG1361" s="4"/>
      <c r="GH1361" s="4"/>
      <c r="GI1361" s="4"/>
      <c r="GJ1361" s="4"/>
      <c r="GK1361" s="4"/>
      <c r="GL1361" s="4"/>
      <c r="GM1361" s="4"/>
      <c r="GN1361" s="4"/>
      <c r="GO1361" s="4"/>
      <c r="GP1361" s="4"/>
      <c r="GQ1361" s="4"/>
      <c r="GR1361" s="4"/>
      <c r="GS1361" s="4"/>
      <c r="GT1361" s="4"/>
      <c r="GU1361" s="4"/>
      <c r="GV1361" s="4"/>
      <c r="GW1361" s="4"/>
      <c r="GX1361" s="4"/>
      <c r="GY1361" s="4"/>
      <c r="GZ1361" s="4"/>
      <c r="HA1361" s="4"/>
      <c r="HB1361" s="4"/>
      <c r="HC1361" s="4"/>
      <c r="HD1361" s="4"/>
      <c r="HE1361" s="4"/>
    </row>
    <row r="1362">
      <c r="A1362" s="2" t="s">
        <v>6983</v>
      </c>
      <c r="B1362" s="2" t="s">
        <v>1276</v>
      </c>
      <c r="C1362" s="2" t="s">
        <v>300</v>
      </c>
      <c r="D1362" s="2" t="s">
        <v>1276</v>
      </c>
      <c r="E1362" s="2" t="s">
        <v>1276</v>
      </c>
      <c r="F1362" s="2" t="s">
        <v>6984</v>
      </c>
      <c r="G1362" s="2" t="s">
        <v>6985</v>
      </c>
      <c r="H1362" s="2" t="s">
        <v>6986</v>
      </c>
      <c r="I1362" s="2" t="s">
        <v>6987</v>
      </c>
      <c r="J1362" s="2" t="s">
        <v>1937</v>
      </c>
      <c r="K1362" s="2" t="s">
        <v>5944</v>
      </c>
      <c r="L1362" s="3">
        <v>125</v>
      </c>
      <c r="M1362" s="3">
        <v>131.25</v>
      </c>
      <c r="N1362" s="3">
        <v>279.98</v>
      </c>
      <c r="O1362" s="2" t="s">
        <v>461</v>
      </c>
      <c r="P1362" s="2" t="s">
        <v>333</v>
      </c>
      <c r="Q1362" s="2" t="s">
        <v>234</v>
      </c>
      <c r="R1362" s="2" t="s">
        <v>228</v>
      </c>
      <c r="S1362" s="2" t="s">
        <v>6988</v>
      </c>
      <c r="T1362" s="2" t="s">
        <v>228</v>
      </c>
      <c r="U1362" s="2" t="s">
        <v>416</v>
      </c>
      <c r="V1362" s="2" t="s">
        <v>3007</v>
      </c>
      <c r="W1362" s="2" t="s">
        <v>2472</v>
      </c>
      <c r="X1362" s="2" t="s">
        <v>228</v>
      </c>
      <c r="Y1362" s="2" t="s">
        <v>5514</v>
      </c>
      <c r="Z1362" s="4">
        <v>47</v>
      </c>
      <c r="AA1362" s="4">
        <f>=ROUNDDOWN(9.03846153846154,0)</f>
      </c>
      <c r="AB1362" s="5">
        <v>5.2</v>
      </c>
      <c r="AC1362" s="2" t="s">
        <v>228</v>
      </c>
      <c r="AD1362" s="4"/>
      <c r="AE1362" s="4"/>
      <c r="AF1362" s="6">
        <v>63</v>
      </c>
      <c r="AG1362" s="6"/>
      <c r="AH1362" s="7">
        <v>1</v>
      </c>
      <c r="AI1362" s="4"/>
      <c r="AJ1362" s="4">
        <f>=ROUNDDOWN({0},0)</f>
      </c>
      <c r="AK1362" s="5"/>
      <c r="AL1362" s="2" t="s">
        <v>228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/>
      <c r="AW1362" s="8"/>
      <c r="AX1362" s="4"/>
      <c r="AY1362" s="8"/>
      <c r="AZ1362" s="7"/>
      <c r="BA1362" s="7"/>
      <c r="BB1362" s="7"/>
      <c r="BC1362" s="4"/>
      <c r="BD1362" s="8"/>
      <c r="BE1362" s="4"/>
      <c r="BF1362" s="8"/>
      <c r="BG1362" s="7"/>
      <c r="BH1362" s="7"/>
      <c r="BI1362" s="7"/>
      <c r="BJ1362" s="4">
        <v>16</v>
      </c>
      <c r="BK1362" s="8">
        <v>2073.76</v>
      </c>
      <c r="BL1362" s="2" t="s">
        <v>6989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6990</v>
      </c>
      <c r="BV1362" s="2" t="s">
        <v>228</v>
      </c>
      <c r="BW1362" s="2" t="s">
        <v>228</v>
      </c>
      <c r="BX1362" s="2" t="s">
        <v>337</v>
      </c>
      <c r="BY1362" s="2" t="s">
        <v>274</v>
      </c>
      <c r="BZ1362" s="2" t="s">
        <v>240</v>
      </c>
      <c r="CA1362" s="2" t="s">
        <v>5351</v>
      </c>
      <c r="CB1362" s="2" t="s">
        <v>6991</v>
      </c>
      <c r="CC1362" s="2" t="s">
        <v>241</v>
      </c>
      <c r="CD1362" s="2" t="s">
        <v>228</v>
      </c>
      <c r="CE1362" s="4"/>
      <c r="CF1362" s="4">
        <v>47</v>
      </c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/>
      <c r="GE1362" s="4"/>
      <c r="GF1362" s="4"/>
      <c r="GG1362" s="4"/>
      <c r="GH1362" s="4"/>
      <c r="GI1362" s="4"/>
      <c r="GJ1362" s="4"/>
      <c r="GK1362" s="4"/>
      <c r="GL1362" s="4"/>
      <c r="GM1362" s="4"/>
      <c r="GN1362" s="4"/>
      <c r="GO1362" s="4"/>
      <c r="GP1362" s="4"/>
      <c r="GQ1362" s="4"/>
      <c r="GR1362" s="4"/>
      <c r="GS1362" s="4"/>
      <c r="GT1362" s="4"/>
      <c r="GU1362" s="4"/>
      <c r="GV1362" s="4"/>
      <c r="GW1362" s="4"/>
      <c r="GX1362" s="4"/>
      <c r="GY1362" s="4"/>
      <c r="GZ1362" s="4"/>
      <c r="HA1362" s="4"/>
      <c r="HB1362" s="4"/>
      <c r="HC1362" s="4"/>
      <c r="HD1362" s="4"/>
      <c r="HE1362" s="4"/>
    </row>
    <row r="1363">
      <c r="A1363" s="2" t="s">
        <v>6992</v>
      </c>
      <c r="B1363" s="2" t="s">
        <v>1150</v>
      </c>
      <c r="C1363" s="2" t="s">
        <v>835</v>
      </c>
      <c r="D1363" s="2" t="s">
        <v>1862</v>
      </c>
      <c r="E1363" s="2" t="s">
        <v>2767</v>
      </c>
      <c r="F1363" s="2" t="s">
        <v>6993</v>
      </c>
      <c r="G1363" s="2" t="s">
        <v>6993</v>
      </c>
      <c r="H1363" s="2" t="s">
        <v>6993</v>
      </c>
      <c r="I1363" s="2" t="s">
        <v>6994</v>
      </c>
      <c r="J1363" s="2" t="s">
        <v>1991</v>
      </c>
      <c r="K1363" s="2" t="s">
        <v>829</v>
      </c>
      <c r="L1363" s="3">
        <v>17.28</v>
      </c>
      <c r="M1363" s="3">
        <v>18.14</v>
      </c>
      <c r="N1363" s="3">
        <v>35.99</v>
      </c>
      <c r="O1363" s="2" t="s">
        <v>461</v>
      </c>
      <c r="P1363" s="2" t="s">
        <v>333</v>
      </c>
      <c r="Q1363" s="2" t="s">
        <v>234</v>
      </c>
      <c r="R1363" s="2" t="s">
        <v>228</v>
      </c>
      <c r="S1363" s="2" t="s">
        <v>6995</v>
      </c>
      <c r="T1363" s="2" t="s">
        <v>350</v>
      </c>
      <c r="U1363" s="2" t="s">
        <v>416</v>
      </c>
      <c r="V1363" s="2" t="s">
        <v>236</v>
      </c>
      <c r="W1363" s="2" t="s">
        <v>269</v>
      </c>
      <c r="X1363" s="2" t="s">
        <v>1761</v>
      </c>
      <c r="Y1363" s="2" t="s">
        <v>4506</v>
      </c>
      <c r="Z1363" s="4">
        <v>275</v>
      </c>
      <c r="AA1363" s="4">
        <f>=ROUNDDOWN(68.75,0)</f>
      </c>
      <c r="AB1363" s="5">
        <v>4</v>
      </c>
      <c r="AC1363" s="2" t="s">
        <v>228</v>
      </c>
      <c r="AD1363" s="4"/>
      <c r="AE1363" s="4"/>
      <c r="AF1363" s="6">
        <v>65</v>
      </c>
      <c r="AG1363" s="6"/>
      <c r="AH1363" s="7">
        <v>1</v>
      </c>
      <c r="AI1363" s="4"/>
      <c r="AJ1363" s="4">
        <f>=ROUNDDOWN({0},0)</f>
      </c>
      <c r="AK1363" s="5"/>
      <c r="AL1363" s="2" t="s">
        <v>228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/>
      <c r="AW1363" s="8"/>
      <c r="AX1363" s="4"/>
      <c r="AY1363" s="8"/>
      <c r="AZ1363" s="7"/>
      <c r="BA1363" s="7"/>
      <c r="BB1363" s="7"/>
      <c r="BC1363" s="4"/>
      <c r="BD1363" s="8"/>
      <c r="BE1363" s="4"/>
      <c r="BF1363" s="8"/>
      <c r="BG1363" s="7"/>
      <c r="BH1363" s="7"/>
      <c r="BI1363" s="7"/>
      <c r="BJ1363" s="4">
        <v>18</v>
      </c>
      <c r="BK1363" s="8">
        <v>315.27</v>
      </c>
      <c r="BL1363" s="2" t="s">
        <v>1253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6996</v>
      </c>
      <c r="BV1363" s="2" t="s">
        <v>228</v>
      </c>
      <c r="BW1363" s="2" t="s">
        <v>228</v>
      </c>
      <c r="BX1363" s="2" t="s">
        <v>337</v>
      </c>
      <c r="BY1363" s="2" t="s">
        <v>274</v>
      </c>
      <c r="BZ1363" s="2" t="s">
        <v>240</v>
      </c>
      <c r="CA1363" s="2" t="s">
        <v>4508</v>
      </c>
      <c r="CB1363" s="2" t="s">
        <v>5253</v>
      </c>
      <c r="CC1363" s="2" t="s">
        <v>241</v>
      </c>
      <c r="CD1363" s="2" t="s">
        <v>228</v>
      </c>
      <c r="CE1363" s="4">
        <v>275</v>
      </c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/>
      <c r="GH1363" s="4"/>
      <c r="GI1363" s="4"/>
      <c r="GJ1363" s="4"/>
      <c r="GK1363" s="4"/>
      <c r="GL1363" s="4"/>
      <c r="GM1363" s="4"/>
      <c r="GN1363" s="4"/>
      <c r="GO1363" s="4"/>
      <c r="GP1363" s="4"/>
      <c r="GQ1363" s="4"/>
      <c r="GR1363" s="4"/>
      <c r="GS1363" s="4"/>
      <c r="GT1363" s="4"/>
      <c r="GU1363" s="4"/>
      <c r="GV1363" s="4"/>
      <c r="GW1363" s="4"/>
      <c r="GX1363" s="4"/>
      <c r="GY1363" s="4"/>
      <c r="GZ1363" s="4"/>
      <c r="HA1363" s="4"/>
      <c r="HB1363" s="4"/>
      <c r="HC1363" s="4"/>
      <c r="HD1363" s="4"/>
      <c r="HE1363" s="4"/>
    </row>
    <row r="1364">
      <c r="A1364" s="2" t="s">
        <v>6997</v>
      </c>
      <c r="B1364" s="2" t="s">
        <v>1150</v>
      </c>
      <c r="C1364" s="2" t="s">
        <v>2819</v>
      </c>
      <c r="D1364" s="2" t="s">
        <v>1112</v>
      </c>
      <c r="E1364" s="2" t="s">
        <v>1165</v>
      </c>
      <c r="F1364" s="2" t="s">
        <v>6998</v>
      </c>
      <c r="G1364" s="2" t="s">
        <v>6998</v>
      </c>
      <c r="H1364" s="2" t="s">
        <v>6998</v>
      </c>
      <c r="I1364" s="2" t="s">
        <v>6999</v>
      </c>
      <c r="J1364" s="2" t="s">
        <v>284</v>
      </c>
      <c r="K1364" s="2" t="s">
        <v>265</v>
      </c>
      <c r="L1364" s="3">
        <v>86.4</v>
      </c>
      <c r="M1364" s="3">
        <v>90.72</v>
      </c>
      <c r="N1364" s="3">
        <v>179.99</v>
      </c>
      <c r="O1364" s="2" t="s">
        <v>240</v>
      </c>
      <c r="P1364" s="2" t="s">
        <v>266</v>
      </c>
      <c r="Q1364" s="2" t="s">
        <v>234</v>
      </c>
      <c r="R1364" s="2" t="s">
        <v>228</v>
      </c>
      <c r="S1364" s="2" t="s">
        <v>7000</v>
      </c>
      <c r="T1364" s="2" t="s">
        <v>350</v>
      </c>
      <c r="U1364" s="2" t="s">
        <v>1054</v>
      </c>
      <c r="V1364" s="2" t="s">
        <v>351</v>
      </c>
      <c r="W1364" s="2" t="s">
        <v>351</v>
      </c>
      <c r="X1364" s="2" t="s">
        <v>269</v>
      </c>
      <c r="Y1364" s="2" t="s">
        <v>927</v>
      </c>
      <c r="Z1364" s="4"/>
      <c r="AA1364" s="4">
        <f>=ROUNDDOWN({0},0)</f>
      </c>
      <c r="AB1364" s="5">
        <v>2</v>
      </c>
      <c r="AC1364" s="2" t="s">
        <v>1590</v>
      </c>
      <c r="AD1364" s="4">
        <v>49</v>
      </c>
      <c r="AE1364" s="4">
        <v>104</v>
      </c>
      <c r="AF1364" s="6">
        <v>70</v>
      </c>
      <c r="AG1364" s="6"/>
      <c r="AH1364" s="7">
        <v>0</v>
      </c>
      <c r="AI1364" s="4"/>
      <c r="AJ1364" s="4">
        <f>=ROUNDDOWN({0},0)</f>
      </c>
      <c r="AK1364" s="5"/>
      <c r="AL1364" s="2" t="s">
        <v>228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228</v>
      </c>
      <c r="AW1364" s="8" t="s">
        <v>228</v>
      </c>
      <c r="AX1364" s="4" t="s">
        <v>228</v>
      </c>
      <c r="AY1364" s="8" t="s">
        <v>228</v>
      </c>
      <c r="AZ1364" s="7" t="s">
        <v>228</v>
      </c>
      <c r="BA1364" s="7" t="s">
        <v>228</v>
      </c>
      <c r="BB1364" s="7"/>
      <c r="BC1364" s="4" t="s">
        <v>228</v>
      </c>
      <c r="BD1364" s="8" t="s">
        <v>228</v>
      </c>
      <c r="BE1364" s="4" t="s">
        <v>228</v>
      </c>
      <c r="BF1364" s="8" t="s">
        <v>228</v>
      </c>
      <c r="BG1364" s="7" t="s">
        <v>228</v>
      </c>
      <c r="BH1364" s="7" t="s">
        <v>228</v>
      </c>
      <c r="BI1364" s="7"/>
      <c r="BJ1364" s="4"/>
      <c r="BK1364" s="8"/>
      <c r="BL1364" s="2" t="s">
        <v>228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7001</v>
      </c>
      <c r="BV1364" s="2" t="s">
        <v>228</v>
      </c>
      <c r="BW1364" s="2" t="s">
        <v>228</v>
      </c>
      <c r="BX1364" s="2" t="s">
        <v>273</v>
      </c>
      <c r="BY1364" s="2" t="s">
        <v>274</v>
      </c>
      <c r="BZ1364" s="2" t="s">
        <v>240</v>
      </c>
      <c r="CA1364" s="2" t="s">
        <v>2222</v>
      </c>
      <c r="CB1364" s="2" t="s">
        <v>2337</v>
      </c>
      <c r="CC1364" s="2" t="s">
        <v>241</v>
      </c>
      <c r="CD1364" s="2" t="s">
        <v>228</v>
      </c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>
        <v>49</v>
      </c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>
        <v>55</v>
      </c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  <c r="GG1364" s="4"/>
      <c r="GH1364" s="4"/>
      <c r="GI1364" s="4"/>
      <c r="GJ1364" s="4"/>
      <c r="GK1364" s="4"/>
      <c r="GL1364" s="4"/>
      <c r="GM1364" s="4"/>
      <c r="GN1364" s="4"/>
      <c r="GO1364" s="4"/>
      <c r="GP1364" s="4"/>
      <c r="GQ1364" s="4"/>
      <c r="GR1364" s="4"/>
      <c r="GS1364" s="4"/>
      <c r="GT1364" s="4"/>
      <c r="GU1364" s="4"/>
      <c r="GV1364" s="4"/>
      <c r="GW1364" s="4"/>
      <c r="GX1364" s="4"/>
      <c r="GY1364" s="4"/>
      <c r="GZ1364" s="4"/>
      <c r="HA1364" s="4"/>
      <c r="HB1364" s="4"/>
      <c r="HC1364" s="4"/>
      <c r="HD1364" s="4"/>
      <c r="HE1364" s="4"/>
    </row>
    <row r="1365">
      <c r="A1365" s="2" t="s">
        <v>7002</v>
      </c>
      <c r="B1365" s="2" t="s">
        <v>1150</v>
      </c>
      <c r="C1365" s="2" t="s">
        <v>2819</v>
      </c>
      <c r="D1365" s="2" t="s">
        <v>850</v>
      </c>
      <c r="E1365" s="2" t="s">
        <v>851</v>
      </c>
      <c r="F1365" s="2" t="s">
        <v>6998</v>
      </c>
      <c r="G1365" s="2" t="s">
        <v>6998</v>
      </c>
      <c r="H1365" s="2" t="s">
        <v>6998</v>
      </c>
      <c r="I1365" s="2" t="s">
        <v>7003</v>
      </c>
      <c r="J1365" s="2" t="s">
        <v>1189</v>
      </c>
      <c r="K1365" s="2" t="s">
        <v>265</v>
      </c>
      <c r="L1365" s="3">
        <v>72</v>
      </c>
      <c r="M1365" s="3">
        <v>75.6</v>
      </c>
      <c r="N1365" s="3">
        <v>149.99</v>
      </c>
      <c r="O1365" s="2" t="s">
        <v>240</v>
      </c>
      <c r="P1365" s="2" t="s">
        <v>266</v>
      </c>
      <c r="Q1365" s="2" t="s">
        <v>234</v>
      </c>
      <c r="R1365" s="2" t="s">
        <v>228</v>
      </c>
      <c r="S1365" s="2" t="s">
        <v>7004</v>
      </c>
      <c r="T1365" s="2" t="s">
        <v>350</v>
      </c>
      <c r="U1365" s="2" t="s">
        <v>1170</v>
      </c>
      <c r="V1365" s="2" t="s">
        <v>351</v>
      </c>
      <c r="W1365" s="2" t="s">
        <v>351</v>
      </c>
      <c r="X1365" s="2" t="s">
        <v>269</v>
      </c>
      <c r="Y1365" s="2" t="s">
        <v>2222</v>
      </c>
      <c r="Z1365" s="4">
        <v>15</v>
      </c>
      <c r="AA1365" s="4">
        <f>=ROUNDDOWN(3.75,0)</f>
      </c>
      <c r="AB1365" s="5">
        <v>4</v>
      </c>
      <c r="AC1365" s="2" t="s">
        <v>1492</v>
      </c>
      <c r="AD1365" s="4">
        <v>60</v>
      </c>
      <c r="AE1365" s="4">
        <v>60</v>
      </c>
      <c r="AF1365" s="6">
        <v>70</v>
      </c>
      <c r="AG1365" s="6"/>
      <c r="AH1365" s="7">
        <v>1</v>
      </c>
      <c r="AI1365" s="4"/>
      <c r="AJ1365" s="4">
        <f>=ROUNDDOWN({0},0)</f>
      </c>
      <c r="AK1365" s="5"/>
      <c r="AL1365" s="2" t="s">
        <v>228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 t="s">
        <v>228</v>
      </c>
      <c r="AW1365" s="8" t="s">
        <v>228</v>
      </c>
      <c r="AX1365" s="4" t="s">
        <v>228</v>
      </c>
      <c r="AY1365" s="8" t="s">
        <v>228</v>
      </c>
      <c r="AZ1365" s="7" t="s">
        <v>228</v>
      </c>
      <c r="BA1365" s="7" t="s">
        <v>228</v>
      </c>
      <c r="BB1365" s="7"/>
      <c r="BC1365" s="4" t="s">
        <v>228</v>
      </c>
      <c r="BD1365" s="8" t="s">
        <v>228</v>
      </c>
      <c r="BE1365" s="4" t="s">
        <v>228</v>
      </c>
      <c r="BF1365" s="8" t="s">
        <v>228</v>
      </c>
      <c r="BG1365" s="7" t="s">
        <v>228</v>
      </c>
      <c r="BH1365" s="7" t="s">
        <v>228</v>
      </c>
      <c r="BI1365" s="7"/>
      <c r="BJ1365" s="4">
        <v>13</v>
      </c>
      <c r="BK1365" s="8">
        <v>1018.35</v>
      </c>
      <c r="BL1365" s="2" t="s">
        <v>7005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7006</v>
      </c>
      <c r="BV1365" s="2" t="s">
        <v>228</v>
      </c>
      <c r="BW1365" s="2" t="s">
        <v>228</v>
      </c>
      <c r="BX1365" s="2" t="s">
        <v>273</v>
      </c>
      <c r="BY1365" s="2" t="s">
        <v>274</v>
      </c>
      <c r="BZ1365" s="2" t="s">
        <v>240</v>
      </c>
      <c r="CA1365" s="2" t="s">
        <v>2222</v>
      </c>
      <c r="CB1365" s="2" t="s">
        <v>7007</v>
      </c>
      <c r="CC1365" s="2" t="s">
        <v>241</v>
      </c>
      <c r="CD1365" s="2" t="s">
        <v>228</v>
      </c>
      <c r="CE1365" s="4">
        <v>15</v>
      </c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>
        <v>60</v>
      </c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/>
      <c r="GE1365" s="4"/>
      <c r="GF1365" s="4"/>
      <c r="GG1365" s="4"/>
      <c r="GH1365" s="4"/>
      <c r="GI1365" s="4"/>
      <c r="GJ1365" s="4"/>
      <c r="GK1365" s="4"/>
      <c r="GL1365" s="4"/>
      <c r="GM1365" s="4"/>
      <c r="GN1365" s="4"/>
      <c r="GO1365" s="4"/>
      <c r="GP1365" s="4"/>
      <c r="GQ1365" s="4"/>
      <c r="GR1365" s="4"/>
      <c r="GS1365" s="4"/>
      <c r="GT1365" s="4"/>
      <c r="GU1365" s="4"/>
      <c r="GV1365" s="4"/>
      <c r="GW1365" s="4"/>
      <c r="GX1365" s="4"/>
      <c r="GY1365" s="4"/>
      <c r="GZ1365" s="4"/>
      <c r="HA1365" s="4"/>
      <c r="HB1365" s="4"/>
      <c r="HC1365" s="4"/>
      <c r="HD1365" s="4"/>
      <c r="HE1365" s="4"/>
    </row>
    <row r="1366">
      <c r="A1366" s="2" t="s">
        <v>7008</v>
      </c>
      <c r="B1366" s="2" t="s">
        <v>1150</v>
      </c>
      <c r="C1366" s="2" t="s">
        <v>2819</v>
      </c>
      <c r="D1366" s="2" t="s">
        <v>1112</v>
      </c>
      <c r="E1366" s="2" t="s">
        <v>1165</v>
      </c>
      <c r="F1366" s="2" t="s">
        <v>6998</v>
      </c>
      <c r="G1366" s="2" t="s">
        <v>6998</v>
      </c>
      <c r="H1366" s="2" t="s">
        <v>6998</v>
      </c>
      <c r="I1366" s="2" t="s">
        <v>6999</v>
      </c>
      <c r="J1366" s="2" t="s">
        <v>294</v>
      </c>
      <c r="K1366" s="2" t="s">
        <v>265</v>
      </c>
      <c r="L1366" s="3">
        <v>105.6</v>
      </c>
      <c r="M1366" s="3">
        <v>110.88</v>
      </c>
      <c r="N1366" s="3">
        <v>219.99</v>
      </c>
      <c r="O1366" s="2" t="s">
        <v>240</v>
      </c>
      <c r="P1366" s="2" t="s">
        <v>266</v>
      </c>
      <c r="Q1366" s="2" t="s">
        <v>234</v>
      </c>
      <c r="R1366" s="2" t="s">
        <v>228</v>
      </c>
      <c r="S1366" s="2" t="s">
        <v>7000</v>
      </c>
      <c r="T1366" s="2" t="s">
        <v>350</v>
      </c>
      <c r="U1366" s="2" t="s">
        <v>1054</v>
      </c>
      <c r="V1366" s="2" t="s">
        <v>351</v>
      </c>
      <c r="W1366" s="2" t="s">
        <v>351</v>
      </c>
      <c r="X1366" s="2" t="s">
        <v>269</v>
      </c>
      <c r="Y1366" s="2" t="s">
        <v>927</v>
      </c>
      <c r="Z1366" s="4"/>
      <c r="AA1366" s="4">
        <f>=ROUNDDOWN({0},0)</f>
      </c>
      <c r="AB1366" s="5">
        <v>7</v>
      </c>
      <c r="AC1366" s="2" t="s">
        <v>1590</v>
      </c>
      <c r="AD1366" s="4">
        <v>120</v>
      </c>
      <c r="AE1366" s="4">
        <v>310</v>
      </c>
      <c r="AF1366" s="6">
        <v>70</v>
      </c>
      <c r="AG1366" s="6"/>
      <c r="AH1366" s="7">
        <v>0</v>
      </c>
      <c r="AI1366" s="4"/>
      <c r="AJ1366" s="4">
        <f>=ROUNDDOWN({0},0)</f>
      </c>
      <c r="AK1366" s="5"/>
      <c r="AL1366" s="2" t="s">
        <v>228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 t="s">
        <v>228</v>
      </c>
      <c r="AW1366" s="8" t="s">
        <v>228</v>
      </c>
      <c r="AX1366" s="4" t="s">
        <v>228</v>
      </c>
      <c r="AY1366" s="8" t="s">
        <v>228</v>
      </c>
      <c r="AZ1366" s="7" t="s">
        <v>228</v>
      </c>
      <c r="BA1366" s="7" t="s">
        <v>228</v>
      </c>
      <c r="BB1366" s="7"/>
      <c r="BC1366" s="4" t="s">
        <v>228</v>
      </c>
      <c r="BD1366" s="8" t="s">
        <v>228</v>
      </c>
      <c r="BE1366" s="4" t="s">
        <v>228</v>
      </c>
      <c r="BF1366" s="8" t="s">
        <v>228</v>
      </c>
      <c r="BG1366" s="7" t="s">
        <v>228</v>
      </c>
      <c r="BH1366" s="7" t="s">
        <v>228</v>
      </c>
      <c r="BI1366" s="7"/>
      <c r="BJ1366" s="4"/>
      <c r="BK1366" s="8"/>
      <c r="BL1366" s="2" t="s">
        <v>228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7009</v>
      </c>
      <c r="BV1366" s="2" t="s">
        <v>228</v>
      </c>
      <c r="BW1366" s="2" t="s">
        <v>228</v>
      </c>
      <c r="BX1366" s="2" t="s">
        <v>273</v>
      </c>
      <c r="BY1366" s="2" t="s">
        <v>274</v>
      </c>
      <c r="BZ1366" s="2" t="s">
        <v>240</v>
      </c>
      <c r="CA1366" s="2" t="s">
        <v>2222</v>
      </c>
      <c r="CB1366" s="2" t="s">
        <v>1869</v>
      </c>
      <c r="CC1366" s="2" t="s">
        <v>241</v>
      </c>
      <c r="CD1366" s="2" t="s">
        <v>228</v>
      </c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>
        <v>120</v>
      </c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>
        <v>190</v>
      </c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/>
      <c r="GE1366" s="4"/>
      <c r="GF1366" s="4"/>
      <c r="GG1366" s="4"/>
      <c r="GH1366" s="4"/>
      <c r="GI1366" s="4"/>
      <c r="GJ1366" s="4"/>
      <c r="GK1366" s="4"/>
      <c r="GL1366" s="4"/>
      <c r="GM1366" s="4"/>
      <c r="GN1366" s="4"/>
      <c r="GO1366" s="4"/>
      <c r="GP1366" s="4"/>
      <c r="GQ1366" s="4"/>
      <c r="GR1366" s="4"/>
      <c r="GS1366" s="4"/>
      <c r="GT1366" s="4"/>
      <c r="GU1366" s="4"/>
      <c r="GV1366" s="4"/>
      <c r="GW1366" s="4"/>
      <c r="GX1366" s="4"/>
      <c r="GY1366" s="4"/>
      <c r="GZ1366" s="4"/>
      <c r="HA1366" s="4"/>
      <c r="HB1366" s="4"/>
      <c r="HC1366" s="4"/>
      <c r="HD1366" s="4"/>
      <c r="HE1366" s="4"/>
    </row>
    <row r="1367">
      <c r="A1367" s="2" t="s">
        <v>7010</v>
      </c>
      <c r="B1367" s="2" t="s">
        <v>1150</v>
      </c>
      <c r="C1367" s="2" t="s">
        <v>2819</v>
      </c>
      <c r="D1367" s="2" t="s">
        <v>850</v>
      </c>
      <c r="E1367" s="2" t="s">
        <v>851</v>
      </c>
      <c r="F1367" s="2" t="s">
        <v>6998</v>
      </c>
      <c r="G1367" s="2" t="s">
        <v>6998</v>
      </c>
      <c r="H1367" s="2" t="s">
        <v>6998</v>
      </c>
      <c r="I1367" s="2" t="s">
        <v>7003</v>
      </c>
      <c r="J1367" s="2" t="s">
        <v>1043</v>
      </c>
      <c r="K1367" s="2" t="s">
        <v>265</v>
      </c>
      <c r="L1367" s="3">
        <v>81.6</v>
      </c>
      <c r="M1367" s="3">
        <v>85.68</v>
      </c>
      <c r="N1367" s="3">
        <v>169.99</v>
      </c>
      <c r="O1367" s="2" t="s">
        <v>240</v>
      </c>
      <c r="P1367" s="2" t="s">
        <v>266</v>
      </c>
      <c r="Q1367" s="2" t="s">
        <v>234</v>
      </c>
      <c r="R1367" s="2" t="s">
        <v>228</v>
      </c>
      <c r="S1367" s="2" t="s">
        <v>7004</v>
      </c>
      <c r="T1367" s="2" t="s">
        <v>350</v>
      </c>
      <c r="U1367" s="2" t="s">
        <v>1170</v>
      </c>
      <c r="V1367" s="2" t="s">
        <v>351</v>
      </c>
      <c r="W1367" s="2" t="s">
        <v>351</v>
      </c>
      <c r="X1367" s="2" t="s">
        <v>269</v>
      </c>
      <c r="Y1367" s="2" t="s">
        <v>2222</v>
      </c>
      <c r="Z1367" s="4">
        <v>30</v>
      </c>
      <c r="AA1367" s="4">
        <f>=ROUNDDOWN(10,0)</f>
      </c>
      <c r="AB1367" s="5">
        <v>3</v>
      </c>
      <c r="AC1367" s="2" t="s">
        <v>1492</v>
      </c>
      <c r="AD1367" s="4">
        <v>62</v>
      </c>
      <c r="AE1367" s="4">
        <v>62</v>
      </c>
      <c r="AF1367" s="6">
        <v>70</v>
      </c>
      <c r="AG1367" s="6"/>
      <c r="AH1367" s="7">
        <v>1</v>
      </c>
      <c r="AI1367" s="4"/>
      <c r="AJ1367" s="4">
        <f>=ROUNDDOWN({0},0)</f>
      </c>
      <c r="AK1367" s="5"/>
      <c r="AL1367" s="2" t="s">
        <v>228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228</v>
      </c>
      <c r="AW1367" s="8" t="s">
        <v>228</v>
      </c>
      <c r="AX1367" s="4" t="s">
        <v>228</v>
      </c>
      <c r="AY1367" s="8" t="s">
        <v>228</v>
      </c>
      <c r="AZ1367" s="7" t="s">
        <v>228</v>
      </c>
      <c r="BA1367" s="7" t="s">
        <v>228</v>
      </c>
      <c r="BB1367" s="7"/>
      <c r="BC1367" s="4" t="s">
        <v>228</v>
      </c>
      <c r="BD1367" s="8" t="s">
        <v>228</v>
      </c>
      <c r="BE1367" s="4" t="s">
        <v>228</v>
      </c>
      <c r="BF1367" s="8" t="s">
        <v>228</v>
      </c>
      <c r="BG1367" s="7" t="s">
        <v>228</v>
      </c>
      <c r="BH1367" s="7" t="s">
        <v>228</v>
      </c>
      <c r="BI1367" s="7"/>
      <c r="BJ1367" s="4">
        <v>14</v>
      </c>
      <c r="BK1367" s="8">
        <v>1142.08</v>
      </c>
      <c r="BL1367" s="2" t="s">
        <v>4958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7011</v>
      </c>
      <c r="BV1367" s="2" t="s">
        <v>228</v>
      </c>
      <c r="BW1367" s="2" t="s">
        <v>228</v>
      </c>
      <c r="BX1367" s="2" t="s">
        <v>273</v>
      </c>
      <c r="BY1367" s="2" t="s">
        <v>274</v>
      </c>
      <c r="BZ1367" s="2" t="s">
        <v>240</v>
      </c>
      <c r="CA1367" s="2" t="s">
        <v>2222</v>
      </c>
      <c r="CB1367" s="2" t="s">
        <v>2815</v>
      </c>
      <c r="CC1367" s="2" t="s">
        <v>241</v>
      </c>
      <c r="CD1367" s="2" t="s">
        <v>228</v>
      </c>
      <c r="CE1367" s="4">
        <v>30</v>
      </c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>
        <v>62</v>
      </c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/>
      <c r="GH1367" s="4"/>
      <c r="GI1367" s="4"/>
      <c r="GJ1367" s="4"/>
      <c r="GK1367" s="4"/>
      <c r="GL1367" s="4"/>
      <c r="GM1367" s="4"/>
      <c r="GN1367" s="4"/>
      <c r="GO1367" s="4"/>
      <c r="GP1367" s="4"/>
      <c r="GQ1367" s="4"/>
      <c r="GR1367" s="4"/>
      <c r="GS1367" s="4"/>
      <c r="GT1367" s="4"/>
      <c r="GU1367" s="4"/>
      <c r="GV1367" s="4"/>
      <c r="GW1367" s="4"/>
      <c r="GX1367" s="4"/>
      <c r="GY1367" s="4"/>
      <c r="GZ1367" s="4"/>
      <c r="HA1367" s="4"/>
      <c r="HB1367" s="4"/>
      <c r="HC1367" s="4"/>
      <c r="HD1367" s="4"/>
      <c r="HE1367" s="4"/>
    </row>
    <row r="1368">
      <c r="A1368" s="2" t="s">
        <v>7012</v>
      </c>
      <c r="B1368" s="2" t="s">
        <v>1150</v>
      </c>
      <c r="C1368" s="2" t="s">
        <v>2819</v>
      </c>
      <c r="D1368" s="2" t="s">
        <v>1112</v>
      </c>
      <c r="E1368" s="2" t="s">
        <v>1165</v>
      </c>
      <c r="F1368" s="2" t="s">
        <v>6998</v>
      </c>
      <c r="G1368" s="2" t="s">
        <v>6998</v>
      </c>
      <c r="H1368" s="2" t="s">
        <v>6998</v>
      </c>
      <c r="I1368" s="2" t="s">
        <v>6999</v>
      </c>
      <c r="J1368" s="2" t="s">
        <v>312</v>
      </c>
      <c r="K1368" s="2" t="s">
        <v>265</v>
      </c>
      <c r="L1368" s="3">
        <v>105.6</v>
      </c>
      <c r="M1368" s="3">
        <v>110.88</v>
      </c>
      <c r="N1368" s="3">
        <v>219.99</v>
      </c>
      <c r="O1368" s="2" t="s">
        <v>240</v>
      </c>
      <c r="P1368" s="2" t="s">
        <v>266</v>
      </c>
      <c r="Q1368" s="2" t="s">
        <v>234</v>
      </c>
      <c r="R1368" s="2" t="s">
        <v>228</v>
      </c>
      <c r="S1368" s="2" t="s">
        <v>7000</v>
      </c>
      <c r="T1368" s="2" t="s">
        <v>350</v>
      </c>
      <c r="U1368" s="2" t="s">
        <v>1054</v>
      </c>
      <c r="V1368" s="2" t="s">
        <v>351</v>
      </c>
      <c r="W1368" s="2" t="s">
        <v>351</v>
      </c>
      <c r="X1368" s="2" t="s">
        <v>269</v>
      </c>
      <c r="Y1368" s="2" t="s">
        <v>927</v>
      </c>
      <c r="Z1368" s="4"/>
      <c r="AA1368" s="4">
        <f>=ROUNDDOWN({0},0)</f>
      </c>
      <c r="AB1368" s="5">
        <v>5</v>
      </c>
      <c r="AC1368" s="2" t="s">
        <v>1590</v>
      </c>
      <c r="AD1368" s="4">
        <v>40</v>
      </c>
      <c r="AE1368" s="4">
        <v>135</v>
      </c>
      <c r="AF1368" s="6">
        <v>70</v>
      </c>
      <c r="AG1368" s="6"/>
      <c r="AH1368" s="7">
        <v>0</v>
      </c>
      <c r="AI1368" s="4"/>
      <c r="AJ1368" s="4">
        <f>=ROUNDDOWN({0},0)</f>
      </c>
      <c r="AK1368" s="5"/>
      <c r="AL1368" s="2" t="s">
        <v>228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 t="s">
        <v>228</v>
      </c>
      <c r="AW1368" s="8" t="s">
        <v>228</v>
      </c>
      <c r="AX1368" s="4" t="s">
        <v>228</v>
      </c>
      <c r="AY1368" s="8" t="s">
        <v>228</v>
      </c>
      <c r="AZ1368" s="7" t="s">
        <v>228</v>
      </c>
      <c r="BA1368" s="7" t="s">
        <v>228</v>
      </c>
      <c r="BB1368" s="7"/>
      <c r="BC1368" s="4" t="s">
        <v>228</v>
      </c>
      <c r="BD1368" s="8" t="s">
        <v>228</v>
      </c>
      <c r="BE1368" s="4" t="s">
        <v>228</v>
      </c>
      <c r="BF1368" s="8" t="s">
        <v>228</v>
      </c>
      <c r="BG1368" s="7" t="s">
        <v>228</v>
      </c>
      <c r="BH1368" s="7" t="s">
        <v>228</v>
      </c>
      <c r="BI1368" s="7"/>
      <c r="BJ1368" s="4">
        <v>1</v>
      </c>
      <c r="BK1368" s="8">
        <v>121.44</v>
      </c>
      <c r="BL1368" s="2" t="s">
        <v>727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7013</v>
      </c>
      <c r="BV1368" s="2" t="s">
        <v>228</v>
      </c>
      <c r="BW1368" s="2" t="s">
        <v>228</v>
      </c>
      <c r="BX1368" s="2" t="s">
        <v>273</v>
      </c>
      <c r="BY1368" s="2" t="s">
        <v>274</v>
      </c>
      <c r="BZ1368" s="2" t="s">
        <v>240</v>
      </c>
      <c r="CA1368" s="2" t="s">
        <v>2222</v>
      </c>
      <c r="CB1368" s="2" t="s">
        <v>1001</v>
      </c>
      <c r="CC1368" s="2" t="s">
        <v>241</v>
      </c>
      <c r="CD1368" s="2" t="s">
        <v>228</v>
      </c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>
        <v>40</v>
      </c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>
        <v>95</v>
      </c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  <c r="GH1368" s="4"/>
      <c r="GI1368" s="4"/>
      <c r="GJ1368" s="4"/>
      <c r="GK1368" s="4"/>
      <c r="GL1368" s="4"/>
      <c r="GM1368" s="4"/>
      <c r="GN1368" s="4"/>
      <c r="GO1368" s="4"/>
      <c r="GP1368" s="4"/>
      <c r="GQ1368" s="4"/>
      <c r="GR1368" s="4"/>
      <c r="GS1368" s="4"/>
      <c r="GT1368" s="4"/>
      <c r="GU1368" s="4"/>
      <c r="GV1368" s="4"/>
      <c r="GW1368" s="4"/>
      <c r="GX1368" s="4"/>
      <c r="GY1368" s="4"/>
      <c r="GZ1368" s="4"/>
      <c r="HA1368" s="4"/>
      <c r="HB1368" s="4"/>
      <c r="HC1368" s="4"/>
      <c r="HD1368" s="4"/>
      <c r="HE1368" s="4"/>
    </row>
    <row r="1369">
      <c r="A1369" s="2" t="s">
        <v>7014</v>
      </c>
      <c r="B1369" s="2" t="s">
        <v>1150</v>
      </c>
      <c r="C1369" s="2" t="s">
        <v>731</v>
      </c>
      <c r="D1369" s="2" t="s">
        <v>1112</v>
      </c>
      <c r="E1369" s="2" t="s">
        <v>1165</v>
      </c>
      <c r="F1369" s="2" t="s">
        <v>7015</v>
      </c>
      <c r="G1369" s="2" t="s">
        <v>7015</v>
      </c>
      <c r="H1369" s="2" t="s">
        <v>7015</v>
      </c>
      <c r="I1369" s="2" t="s">
        <v>7016</v>
      </c>
      <c r="J1369" s="2" t="s">
        <v>1189</v>
      </c>
      <c r="K1369" s="2" t="s">
        <v>1967</v>
      </c>
      <c r="L1369" s="3">
        <v>47.61</v>
      </c>
      <c r="M1369" s="3">
        <v>49.99</v>
      </c>
      <c r="N1369" s="3">
        <v>99.99</v>
      </c>
      <c r="O1369" s="2" t="s">
        <v>240</v>
      </c>
      <c r="P1369" s="2" t="s">
        <v>333</v>
      </c>
      <c r="Q1369" s="2" t="s">
        <v>234</v>
      </c>
      <c r="R1369" s="2" t="s">
        <v>228</v>
      </c>
      <c r="S1369" s="2" t="s">
        <v>7017</v>
      </c>
      <c r="T1369" s="2" t="s">
        <v>3400</v>
      </c>
      <c r="U1369" s="2" t="s">
        <v>1170</v>
      </c>
      <c r="V1369" s="2" t="s">
        <v>980</v>
      </c>
      <c r="W1369" s="2" t="s">
        <v>417</v>
      </c>
      <c r="X1369" s="2" t="s">
        <v>228</v>
      </c>
      <c r="Y1369" s="2" t="s">
        <v>3828</v>
      </c>
      <c r="Z1369" s="4">
        <v>28</v>
      </c>
      <c r="AA1369" s="4">
        <f>=ROUNDDOWN(4.44444444444444,0)</f>
      </c>
      <c r="AB1369" s="5">
        <v>6.3</v>
      </c>
      <c r="AC1369" s="2" t="s">
        <v>228</v>
      </c>
      <c r="AD1369" s="4"/>
      <c r="AE1369" s="4"/>
      <c r="AF1369" s="6"/>
      <c r="AG1369" s="6"/>
      <c r="AH1369" s="7">
        <v>1</v>
      </c>
      <c r="AI1369" s="4"/>
      <c r="AJ1369" s="4">
        <f>=ROUNDDOWN({0},0)</f>
      </c>
      <c r="AK1369" s="5"/>
      <c r="AL1369" s="2" t="s">
        <v>228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/>
      <c r="AW1369" s="8"/>
      <c r="AX1369" s="4"/>
      <c r="AY1369" s="8"/>
      <c r="AZ1369" s="7"/>
      <c r="BA1369" s="7"/>
      <c r="BB1369" s="7"/>
      <c r="BC1369" s="4" t="s">
        <v>228</v>
      </c>
      <c r="BD1369" s="8" t="s">
        <v>228</v>
      </c>
      <c r="BE1369" s="4" t="s">
        <v>228</v>
      </c>
      <c r="BF1369" s="8" t="s">
        <v>228</v>
      </c>
      <c r="BG1369" s="7" t="s">
        <v>228</v>
      </c>
      <c r="BH1369" s="7" t="s">
        <v>228</v>
      </c>
      <c r="BI1369" s="7"/>
      <c r="BJ1369" s="4">
        <v>4</v>
      </c>
      <c r="BK1369" s="8">
        <v>88</v>
      </c>
      <c r="BL1369" s="2" t="s">
        <v>7018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7019</v>
      </c>
      <c r="BV1369" s="2" t="s">
        <v>228</v>
      </c>
      <c r="BW1369" s="2" t="s">
        <v>228</v>
      </c>
      <c r="BX1369" s="2" t="s">
        <v>337</v>
      </c>
      <c r="BY1369" s="2" t="s">
        <v>274</v>
      </c>
      <c r="BZ1369" s="2" t="s">
        <v>240</v>
      </c>
      <c r="CA1369" s="2" t="s">
        <v>1324</v>
      </c>
      <c r="CB1369" s="2" t="s">
        <v>7020</v>
      </c>
      <c r="CC1369" s="2" t="s">
        <v>241</v>
      </c>
      <c r="CD1369" s="2" t="s">
        <v>228</v>
      </c>
      <c r="CE1369" s="4">
        <v>28</v>
      </c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/>
      <c r="GH1369" s="4"/>
      <c r="GI1369" s="4"/>
      <c r="GJ1369" s="4"/>
      <c r="GK1369" s="4"/>
      <c r="GL1369" s="4"/>
      <c r="GM1369" s="4"/>
      <c r="GN1369" s="4"/>
      <c r="GO1369" s="4"/>
      <c r="GP1369" s="4"/>
      <c r="GQ1369" s="4"/>
      <c r="GR1369" s="4"/>
      <c r="GS1369" s="4"/>
      <c r="GT1369" s="4"/>
      <c r="GU1369" s="4"/>
      <c r="GV1369" s="4"/>
      <c r="GW1369" s="4"/>
      <c r="GX1369" s="4"/>
      <c r="GY1369" s="4"/>
      <c r="GZ1369" s="4"/>
      <c r="HA1369" s="4"/>
      <c r="HB1369" s="4"/>
      <c r="HC1369" s="4"/>
      <c r="HD1369" s="4"/>
      <c r="HE1369" s="4"/>
    </row>
    <row r="1370">
      <c r="A1370" s="2" t="s">
        <v>7021</v>
      </c>
      <c r="B1370" s="2" t="s">
        <v>1150</v>
      </c>
      <c r="C1370" s="2" t="s">
        <v>731</v>
      </c>
      <c r="D1370" s="2" t="s">
        <v>1112</v>
      </c>
      <c r="E1370" s="2" t="s">
        <v>1165</v>
      </c>
      <c r="F1370" s="2" t="s">
        <v>7015</v>
      </c>
      <c r="G1370" s="2" t="s">
        <v>7015</v>
      </c>
      <c r="H1370" s="2" t="s">
        <v>7015</v>
      </c>
      <c r="I1370" s="2" t="s">
        <v>7016</v>
      </c>
      <c r="J1370" s="2" t="s">
        <v>1189</v>
      </c>
      <c r="K1370" s="2" t="s">
        <v>823</v>
      </c>
      <c r="L1370" s="3">
        <v>47.61</v>
      </c>
      <c r="M1370" s="3">
        <v>49.99</v>
      </c>
      <c r="N1370" s="3">
        <v>99.99</v>
      </c>
      <c r="O1370" s="2" t="s">
        <v>240</v>
      </c>
      <c r="P1370" s="2" t="s">
        <v>333</v>
      </c>
      <c r="Q1370" s="2" t="s">
        <v>234</v>
      </c>
      <c r="R1370" s="2" t="s">
        <v>228</v>
      </c>
      <c r="S1370" s="2" t="s">
        <v>7022</v>
      </c>
      <c r="T1370" s="2" t="s">
        <v>3400</v>
      </c>
      <c r="U1370" s="2" t="s">
        <v>1170</v>
      </c>
      <c r="V1370" s="2" t="s">
        <v>980</v>
      </c>
      <c r="W1370" s="2" t="s">
        <v>417</v>
      </c>
      <c r="X1370" s="2" t="s">
        <v>228</v>
      </c>
      <c r="Y1370" s="2" t="s">
        <v>3831</v>
      </c>
      <c r="Z1370" s="4">
        <v>113</v>
      </c>
      <c r="AA1370" s="4">
        <f>=ROUNDDOWN(25.6818181818182,0)</f>
      </c>
      <c r="AB1370" s="5">
        <v>4.4</v>
      </c>
      <c r="AC1370" s="2" t="s">
        <v>228</v>
      </c>
      <c r="AD1370" s="4"/>
      <c r="AE1370" s="4"/>
      <c r="AF1370" s="6"/>
      <c r="AG1370" s="6"/>
      <c r="AH1370" s="7">
        <v>1</v>
      </c>
      <c r="AI1370" s="4"/>
      <c r="AJ1370" s="4">
        <f>=ROUNDDOWN({0},0)</f>
      </c>
      <c r="AK1370" s="5"/>
      <c r="AL1370" s="2" t="s">
        <v>228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/>
      <c r="AW1370" s="8"/>
      <c r="AX1370" s="4"/>
      <c r="AY1370" s="8"/>
      <c r="AZ1370" s="7"/>
      <c r="BA1370" s="7"/>
      <c r="BB1370" s="7"/>
      <c r="BC1370" s="4" t="s">
        <v>228</v>
      </c>
      <c r="BD1370" s="8" t="s">
        <v>228</v>
      </c>
      <c r="BE1370" s="4" t="s">
        <v>228</v>
      </c>
      <c r="BF1370" s="8" t="s">
        <v>228</v>
      </c>
      <c r="BG1370" s="7" t="s">
        <v>228</v>
      </c>
      <c r="BH1370" s="7" t="s">
        <v>228</v>
      </c>
      <c r="BI1370" s="7"/>
      <c r="BJ1370" s="4">
        <v>3</v>
      </c>
      <c r="BK1370" s="8">
        <v>67</v>
      </c>
      <c r="BL1370" s="2" t="s">
        <v>2220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7023</v>
      </c>
      <c r="BV1370" s="2" t="s">
        <v>228</v>
      </c>
      <c r="BW1370" s="2" t="s">
        <v>228</v>
      </c>
      <c r="BX1370" s="2" t="s">
        <v>337</v>
      </c>
      <c r="BY1370" s="2" t="s">
        <v>274</v>
      </c>
      <c r="BZ1370" s="2" t="s">
        <v>240</v>
      </c>
      <c r="CA1370" s="2" t="s">
        <v>1324</v>
      </c>
      <c r="CB1370" s="2" t="s">
        <v>7024</v>
      </c>
      <c r="CC1370" s="2" t="s">
        <v>241</v>
      </c>
      <c r="CD1370" s="2" t="s">
        <v>228</v>
      </c>
      <c r="CE1370" s="4">
        <v>113</v>
      </c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/>
      <c r="GE1370" s="4"/>
      <c r="GF1370" s="4"/>
      <c r="GG1370" s="4"/>
      <c r="GH1370" s="4"/>
      <c r="GI1370" s="4"/>
      <c r="GJ1370" s="4"/>
      <c r="GK1370" s="4"/>
      <c r="GL1370" s="4"/>
      <c r="GM1370" s="4"/>
      <c r="GN1370" s="4"/>
      <c r="GO1370" s="4"/>
      <c r="GP1370" s="4"/>
      <c r="GQ1370" s="4"/>
      <c r="GR1370" s="4"/>
      <c r="GS1370" s="4"/>
      <c r="GT1370" s="4"/>
      <c r="GU1370" s="4"/>
      <c r="GV1370" s="4"/>
      <c r="GW1370" s="4"/>
      <c r="GX1370" s="4"/>
      <c r="GY1370" s="4"/>
      <c r="GZ1370" s="4"/>
      <c r="HA1370" s="4"/>
      <c r="HB1370" s="4"/>
      <c r="HC1370" s="4"/>
      <c r="HD1370" s="4"/>
      <c r="HE1370" s="4"/>
    </row>
    <row r="1371">
      <c r="A1371" s="2" t="s">
        <v>7025</v>
      </c>
      <c r="B1371" s="2" t="s">
        <v>958</v>
      </c>
      <c r="C1371" s="2" t="s">
        <v>300</v>
      </c>
      <c r="D1371" s="2" t="s">
        <v>1790</v>
      </c>
      <c r="E1371" s="2" t="s">
        <v>1791</v>
      </c>
      <c r="F1371" s="2" t="s">
        <v>7026</v>
      </c>
      <c r="G1371" s="2" t="s">
        <v>7027</v>
      </c>
      <c r="H1371" s="2" t="s">
        <v>7028</v>
      </c>
      <c r="I1371" s="2" t="s">
        <v>6795</v>
      </c>
      <c r="J1371" s="2" t="s">
        <v>840</v>
      </c>
      <c r="K1371" s="2" t="s">
        <v>1357</v>
      </c>
      <c r="L1371" s="3">
        <v>171</v>
      </c>
      <c r="M1371" s="3">
        <v>179.55</v>
      </c>
      <c r="N1371" s="3">
        <v>359</v>
      </c>
      <c r="O1371" s="2" t="s">
        <v>461</v>
      </c>
      <c r="P1371" s="2" t="s">
        <v>333</v>
      </c>
      <c r="Q1371" s="2" t="s">
        <v>234</v>
      </c>
      <c r="R1371" s="2" t="s">
        <v>228</v>
      </c>
      <c r="S1371" s="2" t="s">
        <v>228</v>
      </c>
      <c r="T1371" s="2" t="s">
        <v>228</v>
      </c>
      <c r="U1371" s="2" t="s">
        <v>416</v>
      </c>
      <c r="V1371" s="2" t="s">
        <v>842</v>
      </c>
      <c r="W1371" s="2" t="s">
        <v>463</v>
      </c>
      <c r="X1371" s="2" t="s">
        <v>228</v>
      </c>
      <c r="Y1371" s="2" t="s">
        <v>5263</v>
      </c>
      <c r="Z1371" s="4">
        <v>188</v>
      </c>
      <c r="AA1371" s="4">
        <f>=ROUNDDOWN(94,0)</f>
      </c>
      <c r="AB1371" s="5">
        <v>2</v>
      </c>
      <c r="AC1371" s="2" t="s">
        <v>228</v>
      </c>
      <c r="AD1371" s="4"/>
      <c r="AE1371" s="4"/>
      <c r="AF1371" s="6">
        <v>65</v>
      </c>
      <c r="AG1371" s="6"/>
      <c r="AH1371" s="7">
        <v>1</v>
      </c>
      <c r="AI1371" s="4"/>
      <c r="AJ1371" s="4">
        <f>=ROUNDDOWN({0},0)</f>
      </c>
      <c r="AK1371" s="5"/>
      <c r="AL1371" s="2" t="s">
        <v>228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/>
      <c r="AW1371" s="8"/>
      <c r="AX1371" s="4"/>
      <c r="AY1371" s="8"/>
      <c r="AZ1371" s="7"/>
      <c r="BA1371" s="7"/>
      <c r="BB1371" s="7"/>
      <c r="BC1371" s="4"/>
      <c r="BD1371" s="8"/>
      <c r="BE1371" s="4"/>
      <c r="BF1371" s="8"/>
      <c r="BG1371" s="7"/>
      <c r="BH1371" s="7"/>
      <c r="BI1371" s="7"/>
      <c r="BJ1371" s="4"/>
      <c r="BK1371" s="8"/>
      <c r="BL1371" s="2" t="s">
        <v>995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7029</v>
      </c>
      <c r="BV1371" s="2" t="s">
        <v>228</v>
      </c>
      <c r="BW1371" s="2" t="s">
        <v>228</v>
      </c>
      <c r="BX1371" s="2" t="s">
        <v>337</v>
      </c>
      <c r="BY1371" s="2" t="s">
        <v>274</v>
      </c>
      <c r="BZ1371" s="2" t="s">
        <v>240</v>
      </c>
      <c r="CA1371" s="2" t="s">
        <v>2911</v>
      </c>
      <c r="CB1371" s="2" t="s">
        <v>1515</v>
      </c>
      <c r="CC1371" s="2" t="s">
        <v>241</v>
      </c>
      <c r="CD1371" s="2" t="s">
        <v>228</v>
      </c>
      <c r="CE1371" s="4"/>
      <c r="CF1371" s="4">
        <v>188</v>
      </c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/>
      <c r="GG1371" s="4"/>
      <c r="GH1371" s="4"/>
      <c r="GI1371" s="4"/>
      <c r="GJ1371" s="4"/>
      <c r="GK1371" s="4"/>
      <c r="GL1371" s="4"/>
      <c r="GM1371" s="4"/>
      <c r="GN1371" s="4"/>
      <c r="GO1371" s="4"/>
      <c r="GP1371" s="4"/>
      <c r="GQ1371" s="4"/>
      <c r="GR1371" s="4"/>
      <c r="GS1371" s="4"/>
      <c r="GT1371" s="4"/>
      <c r="GU1371" s="4"/>
      <c r="GV1371" s="4"/>
      <c r="GW1371" s="4"/>
      <c r="GX1371" s="4"/>
      <c r="GY1371" s="4"/>
      <c r="GZ1371" s="4"/>
      <c r="HA1371" s="4"/>
      <c r="HB1371" s="4"/>
      <c r="HC1371" s="4"/>
      <c r="HD1371" s="4"/>
      <c r="HE1371" s="4"/>
    </row>
    <row r="1372">
      <c r="A1372" s="2" t="s">
        <v>7030</v>
      </c>
      <c r="B1372" s="2" t="s">
        <v>958</v>
      </c>
      <c r="C1372" s="2" t="s">
        <v>300</v>
      </c>
      <c r="D1372" s="2" t="s">
        <v>959</v>
      </c>
      <c r="E1372" s="2" t="s">
        <v>960</v>
      </c>
      <c r="F1372" s="2" t="s">
        <v>7031</v>
      </c>
      <c r="G1372" s="2" t="s">
        <v>852</v>
      </c>
      <c r="H1372" s="2" t="s">
        <v>1050</v>
      </c>
      <c r="I1372" s="2" t="s">
        <v>7032</v>
      </c>
      <c r="J1372" s="2" t="s">
        <v>840</v>
      </c>
      <c r="K1372" s="2" t="s">
        <v>888</v>
      </c>
      <c r="L1372" s="3">
        <v>147.25</v>
      </c>
      <c r="M1372" s="3">
        <v>154.61</v>
      </c>
      <c r="N1372" s="3">
        <v>309</v>
      </c>
      <c r="O1372" s="2" t="s">
        <v>240</v>
      </c>
      <c r="P1372" s="2" t="s">
        <v>266</v>
      </c>
      <c r="Q1372" s="2" t="s">
        <v>234</v>
      </c>
      <c r="R1372" s="2" t="s">
        <v>228</v>
      </c>
      <c r="S1372" s="2" t="s">
        <v>7033</v>
      </c>
      <c r="T1372" s="2" t="s">
        <v>228</v>
      </c>
      <c r="U1372" s="2" t="s">
        <v>228</v>
      </c>
      <c r="V1372" s="2" t="s">
        <v>1156</v>
      </c>
      <c r="W1372" s="2" t="s">
        <v>463</v>
      </c>
      <c r="X1372" s="2" t="s">
        <v>228</v>
      </c>
      <c r="Y1372" s="2" t="s">
        <v>270</v>
      </c>
      <c r="Z1372" s="4">
        <v>130</v>
      </c>
      <c r="AA1372" s="4">
        <f>=ROUNDDOWN(18.5714285714286,0)</f>
      </c>
      <c r="AB1372" s="5">
        <v>7</v>
      </c>
      <c r="AC1372" s="2" t="s">
        <v>228</v>
      </c>
      <c r="AD1372" s="4"/>
      <c r="AE1372" s="4"/>
      <c r="AF1372" s="6">
        <v>74</v>
      </c>
      <c r="AG1372" s="6"/>
      <c r="AH1372" s="7">
        <v>1</v>
      </c>
      <c r="AI1372" s="4"/>
      <c r="AJ1372" s="4">
        <f>=ROUNDDOWN({0},0)</f>
      </c>
      <c r="AK1372" s="5"/>
      <c r="AL1372" s="2" t="s">
        <v>228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/>
      <c r="AW1372" s="8"/>
      <c r="AX1372" s="4"/>
      <c r="AY1372" s="8"/>
      <c r="AZ1372" s="7"/>
      <c r="BA1372" s="7"/>
      <c r="BB1372" s="7"/>
      <c r="BC1372" s="4"/>
      <c r="BD1372" s="8"/>
      <c r="BE1372" s="4"/>
      <c r="BF1372" s="8"/>
      <c r="BG1372" s="7"/>
      <c r="BH1372" s="7"/>
      <c r="BI1372" s="7"/>
      <c r="BJ1372" s="4">
        <v>41</v>
      </c>
      <c r="BK1372" s="8">
        <v>6347.81</v>
      </c>
      <c r="BL1372" s="2" t="s">
        <v>7034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7035</v>
      </c>
      <c r="BV1372" s="2" t="s">
        <v>228</v>
      </c>
      <c r="BW1372" s="2" t="s">
        <v>228</v>
      </c>
      <c r="BX1372" s="2" t="s">
        <v>273</v>
      </c>
      <c r="BY1372" s="2" t="s">
        <v>274</v>
      </c>
      <c r="BZ1372" s="2" t="s">
        <v>240</v>
      </c>
      <c r="CA1372" s="2" t="s">
        <v>275</v>
      </c>
      <c r="CB1372" s="2" t="s">
        <v>7036</v>
      </c>
      <c r="CC1372" s="2" t="s">
        <v>241</v>
      </c>
      <c r="CD1372" s="2" t="s">
        <v>228</v>
      </c>
      <c r="CE1372" s="4"/>
      <c r="CF1372" s="4">
        <v>130</v>
      </c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/>
      <c r="GH1372" s="4"/>
      <c r="GI1372" s="4"/>
      <c r="GJ1372" s="4"/>
      <c r="GK1372" s="4"/>
      <c r="GL1372" s="4"/>
      <c r="GM1372" s="4"/>
      <c r="GN1372" s="4"/>
      <c r="GO1372" s="4"/>
      <c r="GP1372" s="4"/>
      <c r="GQ1372" s="4"/>
      <c r="GR1372" s="4"/>
      <c r="GS1372" s="4"/>
      <c r="GT1372" s="4"/>
      <c r="GU1372" s="4"/>
      <c r="GV1372" s="4"/>
      <c r="GW1372" s="4"/>
      <c r="GX1372" s="4"/>
      <c r="GY1372" s="4"/>
      <c r="GZ1372" s="4"/>
      <c r="HA1372" s="4"/>
      <c r="HB1372" s="4"/>
      <c r="HC1372" s="4"/>
      <c r="HD1372" s="4"/>
      <c r="HE1372" s="4"/>
    </row>
    <row r="1373">
      <c r="A1373" s="2" t="s">
        <v>7037</v>
      </c>
      <c r="B1373" s="2" t="s">
        <v>848</v>
      </c>
      <c r="C1373" s="2" t="s">
        <v>2390</v>
      </c>
      <c r="D1373" s="2" t="s">
        <v>1112</v>
      </c>
      <c r="E1373" s="2" t="s">
        <v>1165</v>
      </c>
      <c r="F1373" s="2" t="s">
        <v>7038</v>
      </c>
      <c r="G1373" s="2" t="s">
        <v>7038</v>
      </c>
      <c r="H1373" s="2" t="s">
        <v>7038</v>
      </c>
      <c r="I1373" s="2" t="s">
        <v>7039</v>
      </c>
      <c r="J1373" s="2" t="s">
        <v>1189</v>
      </c>
      <c r="K1373" s="2" t="s">
        <v>2780</v>
      </c>
      <c r="L1373" s="3">
        <v>34.22</v>
      </c>
      <c r="M1373" s="3">
        <v>35.93</v>
      </c>
      <c r="N1373" s="3">
        <v>59</v>
      </c>
      <c r="O1373" s="2" t="s">
        <v>461</v>
      </c>
      <c r="P1373" s="2" t="s">
        <v>1116</v>
      </c>
      <c r="Q1373" s="2" t="s">
        <v>234</v>
      </c>
      <c r="R1373" s="2" t="s">
        <v>727</v>
      </c>
      <c r="S1373" s="2" t="s">
        <v>228</v>
      </c>
      <c r="T1373" s="2" t="s">
        <v>228</v>
      </c>
      <c r="U1373" s="2" t="s">
        <v>308</v>
      </c>
      <c r="V1373" s="2" t="s">
        <v>1644</v>
      </c>
      <c r="W1373" s="2" t="s">
        <v>228</v>
      </c>
      <c r="X1373" s="2" t="s">
        <v>228</v>
      </c>
      <c r="Y1373" s="2" t="s">
        <v>5399</v>
      </c>
      <c r="Z1373" s="4">
        <v>95</v>
      </c>
      <c r="AA1373" s="4">
        <f>=ROUNDDOWN(47.5,0)</f>
      </c>
      <c r="AB1373" s="5">
        <v>2</v>
      </c>
      <c r="AC1373" s="2" t="s">
        <v>228</v>
      </c>
      <c r="AD1373" s="4"/>
      <c r="AE1373" s="4"/>
      <c r="AF1373" s="6">
        <v>65</v>
      </c>
      <c r="AG1373" s="6"/>
      <c r="AH1373" s="7">
        <v>1</v>
      </c>
      <c r="AI1373" s="4"/>
      <c r="AJ1373" s="4">
        <f>=ROUNDDOWN({0},0)</f>
      </c>
      <c r="AK1373" s="5"/>
      <c r="AL1373" s="2" t="s">
        <v>228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/>
      <c r="AW1373" s="8"/>
      <c r="AX1373" s="4"/>
      <c r="AY1373" s="8"/>
      <c r="AZ1373" s="7"/>
      <c r="BA1373" s="7"/>
      <c r="BB1373" s="7"/>
      <c r="BC1373" s="4"/>
      <c r="BD1373" s="8"/>
      <c r="BE1373" s="4"/>
      <c r="BF1373" s="8"/>
      <c r="BG1373" s="7"/>
      <c r="BH1373" s="7"/>
      <c r="BI1373" s="7"/>
      <c r="BJ1373" s="4">
        <v>1</v>
      </c>
      <c r="BK1373" s="8">
        <v>34.22</v>
      </c>
      <c r="BL1373" s="2" t="s">
        <v>699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7040</v>
      </c>
      <c r="BV1373" s="2" t="s">
        <v>228</v>
      </c>
      <c r="BW1373" s="2" t="s">
        <v>228</v>
      </c>
      <c r="BX1373" s="2" t="s">
        <v>273</v>
      </c>
      <c r="BY1373" s="2" t="s">
        <v>274</v>
      </c>
      <c r="BZ1373" s="2" t="s">
        <v>240</v>
      </c>
      <c r="CA1373" s="2" t="s">
        <v>947</v>
      </c>
      <c r="CB1373" s="2" t="s">
        <v>2664</v>
      </c>
      <c r="CC1373" s="2" t="s">
        <v>241</v>
      </c>
      <c r="CD1373" s="2" t="s">
        <v>228</v>
      </c>
      <c r="CE1373" s="4">
        <v>95</v>
      </c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/>
      <c r="GG1373" s="4"/>
      <c r="GH1373" s="4"/>
      <c r="GI1373" s="4"/>
      <c r="GJ1373" s="4"/>
      <c r="GK1373" s="4"/>
      <c r="GL1373" s="4"/>
      <c r="GM1373" s="4"/>
      <c r="GN1373" s="4"/>
      <c r="GO1373" s="4"/>
      <c r="GP1373" s="4"/>
      <c r="GQ1373" s="4"/>
      <c r="GR1373" s="4"/>
      <c r="GS1373" s="4"/>
      <c r="GT1373" s="4"/>
      <c r="GU1373" s="4"/>
      <c r="GV1373" s="4"/>
      <c r="GW1373" s="4"/>
      <c r="GX1373" s="4"/>
      <c r="GY1373" s="4"/>
      <c r="GZ1373" s="4"/>
      <c r="HA1373" s="4"/>
      <c r="HB1373" s="4"/>
      <c r="HC1373" s="4"/>
      <c r="HD1373" s="4"/>
      <c r="HE1373" s="4"/>
    </row>
    <row r="1374">
      <c r="A1374" s="2" t="s">
        <v>7041</v>
      </c>
      <c r="B1374" s="2" t="s">
        <v>970</v>
      </c>
      <c r="C1374" s="2" t="s">
        <v>300</v>
      </c>
      <c r="D1374" s="2" t="s">
        <v>971</v>
      </c>
      <c r="E1374" s="2" t="s">
        <v>3486</v>
      </c>
      <c r="F1374" s="2" t="s">
        <v>7042</v>
      </c>
      <c r="G1374" s="2" t="s">
        <v>7043</v>
      </c>
      <c r="H1374" s="2" t="s">
        <v>6884</v>
      </c>
      <c r="I1374" s="2" t="s">
        <v>7044</v>
      </c>
      <c r="J1374" s="2" t="s">
        <v>3491</v>
      </c>
      <c r="K1374" s="2" t="s">
        <v>249</v>
      </c>
      <c r="L1374" s="3">
        <v>31.05</v>
      </c>
      <c r="M1374" s="3">
        <v>32.6</v>
      </c>
      <c r="N1374" s="3">
        <v>66.99</v>
      </c>
      <c r="O1374" s="2" t="s">
        <v>461</v>
      </c>
      <c r="P1374" s="2" t="s">
        <v>333</v>
      </c>
      <c r="Q1374" s="2" t="s">
        <v>234</v>
      </c>
      <c r="R1374" s="2" t="s">
        <v>228</v>
      </c>
      <c r="S1374" s="2" t="s">
        <v>7045</v>
      </c>
      <c r="T1374" s="2" t="s">
        <v>415</v>
      </c>
      <c r="U1374" s="2" t="s">
        <v>416</v>
      </c>
      <c r="V1374" s="2" t="s">
        <v>236</v>
      </c>
      <c r="W1374" s="2" t="s">
        <v>269</v>
      </c>
      <c r="X1374" s="2" t="s">
        <v>228</v>
      </c>
      <c r="Y1374" s="2" t="s">
        <v>1091</v>
      </c>
      <c r="Z1374" s="4">
        <v>467</v>
      </c>
      <c r="AA1374" s="4">
        <f>=ROUNDDOWN(467,0)</f>
      </c>
      <c r="AB1374" s="5">
        <v>1</v>
      </c>
      <c r="AC1374" s="2" t="s">
        <v>228</v>
      </c>
      <c r="AD1374" s="4"/>
      <c r="AE1374" s="4"/>
      <c r="AF1374" s="6">
        <v>65</v>
      </c>
      <c r="AG1374" s="6"/>
      <c r="AH1374" s="7">
        <v>1</v>
      </c>
      <c r="AI1374" s="4"/>
      <c r="AJ1374" s="4">
        <f>=ROUNDDOWN({0},0)</f>
      </c>
      <c r="AK1374" s="5"/>
      <c r="AL1374" s="2" t="s">
        <v>228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228</v>
      </c>
      <c r="AW1374" s="8" t="s">
        <v>228</v>
      </c>
      <c r="AX1374" s="4" t="s">
        <v>228</v>
      </c>
      <c r="AY1374" s="8" t="s">
        <v>228</v>
      </c>
      <c r="AZ1374" s="7" t="s">
        <v>228</v>
      </c>
      <c r="BA1374" s="7" t="s">
        <v>228</v>
      </c>
      <c r="BB1374" s="7"/>
      <c r="BC1374" s="4" t="s">
        <v>228</v>
      </c>
      <c r="BD1374" s="8" t="s">
        <v>228</v>
      </c>
      <c r="BE1374" s="4" t="s">
        <v>228</v>
      </c>
      <c r="BF1374" s="8" t="s">
        <v>228</v>
      </c>
      <c r="BG1374" s="7" t="s">
        <v>228</v>
      </c>
      <c r="BH1374" s="7" t="s">
        <v>228</v>
      </c>
      <c r="BI1374" s="7"/>
      <c r="BJ1374" s="4">
        <v>2</v>
      </c>
      <c r="BK1374" s="8">
        <v>56.72</v>
      </c>
      <c r="BL1374" s="2" t="s">
        <v>1322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7046</v>
      </c>
      <c r="BV1374" s="2" t="s">
        <v>228</v>
      </c>
      <c r="BW1374" s="2" t="s">
        <v>228</v>
      </c>
      <c r="BX1374" s="2" t="s">
        <v>337</v>
      </c>
      <c r="BY1374" s="2" t="s">
        <v>274</v>
      </c>
      <c r="BZ1374" s="2" t="s">
        <v>240</v>
      </c>
      <c r="CA1374" s="2" t="s">
        <v>1094</v>
      </c>
      <c r="CB1374" s="2" t="s">
        <v>5503</v>
      </c>
      <c r="CC1374" s="2" t="s">
        <v>241</v>
      </c>
      <c r="CD1374" s="2" t="s">
        <v>228</v>
      </c>
      <c r="CE1374" s="4">
        <v>467</v>
      </c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/>
      <c r="GH1374" s="4"/>
      <c r="GI1374" s="4"/>
      <c r="GJ1374" s="4"/>
      <c r="GK1374" s="4"/>
      <c r="GL1374" s="4"/>
      <c r="GM1374" s="4"/>
      <c r="GN1374" s="4"/>
      <c r="GO1374" s="4"/>
      <c r="GP1374" s="4"/>
      <c r="GQ1374" s="4"/>
      <c r="GR1374" s="4"/>
      <c r="GS1374" s="4"/>
      <c r="GT1374" s="4"/>
      <c r="GU1374" s="4"/>
      <c r="GV1374" s="4"/>
      <c r="GW1374" s="4"/>
      <c r="GX1374" s="4"/>
      <c r="GY1374" s="4"/>
      <c r="GZ1374" s="4"/>
      <c r="HA1374" s="4"/>
      <c r="HB1374" s="4"/>
      <c r="HC1374" s="4"/>
      <c r="HD1374" s="4"/>
      <c r="HE1374" s="4"/>
    </row>
    <row r="1375">
      <c r="A1375" s="2" t="s">
        <v>7047</v>
      </c>
      <c r="B1375" s="2" t="s">
        <v>970</v>
      </c>
      <c r="C1375" s="2" t="s">
        <v>300</v>
      </c>
      <c r="D1375" s="2" t="s">
        <v>971</v>
      </c>
      <c r="E1375" s="2" t="s">
        <v>3486</v>
      </c>
      <c r="F1375" s="2" t="s">
        <v>7042</v>
      </c>
      <c r="G1375" s="2" t="s">
        <v>7043</v>
      </c>
      <c r="H1375" s="2" t="s">
        <v>6884</v>
      </c>
      <c r="I1375" s="2" t="s">
        <v>7044</v>
      </c>
      <c r="J1375" s="2" t="s">
        <v>5621</v>
      </c>
      <c r="K1375" s="2" t="s">
        <v>249</v>
      </c>
      <c r="L1375" s="3">
        <v>32.75</v>
      </c>
      <c r="M1375" s="3">
        <v>34.39</v>
      </c>
      <c r="N1375" s="3">
        <v>69.99</v>
      </c>
      <c r="O1375" s="2" t="s">
        <v>461</v>
      </c>
      <c r="P1375" s="2" t="s">
        <v>333</v>
      </c>
      <c r="Q1375" s="2" t="s">
        <v>234</v>
      </c>
      <c r="R1375" s="2" t="s">
        <v>228</v>
      </c>
      <c r="S1375" s="2" t="s">
        <v>7045</v>
      </c>
      <c r="T1375" s="2" t="s">
        <v>415</v>
      </c>
      <c r="U1375" s="2" t="s">
        <v>416</v>
      </c>
      <c r="V1375" s="2" t="s">
        <v>236</v>
      </c>
      <c r="W1375" s="2" t="s">
        <v>269</v>
      </c>
      <c r="X1375" s="2" t="s">
        <v>228</v>
      </c>
      <c r="Y1375" s="2" t="s">
        <v>1091</v>
      </c>
      <c r="Z1375" s="4">
        <v>473</v>
      </c>
      <c r="AA1375" s="4">
        <f>=ROUNDDOWN(236.5,0)</f>
      </c>
      <c r="AB1375" s="5">
        <v>2</v>
      </c>
      <c r="AC1375" s="2" t="s">
        <v>228</v>
      </c>
      <c r="AD1375" s="4"/>
      <c r="AE1375" s="4"/>
      <c r="AF1375" s="6">
        <v>65</v>
      </c>
      <c r="AG1375" s="6"/>
      <c r="AH1375" s="7">
        <v>1</v>
      </c>
      <c r="AI1375" s="4"/>
      <c r="AJ1375" s="4">
        <f>=ROUNDDOWN({0},0)</f>
      </c>
      <c r="AK1375" s="5"/>
      <c r="AL1375" s="2" t="s">
        <v>228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 t="s">
        <v>228</v>
      </c>
      <c r="AW1375" s="8" t="s">
        <v>228</v>
      </c>
      <c r="AX1375" s="4" t="s">
        <v>228</v>
      </c>
      <c r="AY1375" s="8" t="s">
        <v>228</v>
      </c>
      <c r="AZ1375" s="7" t="s">
        <v>228</v>
      </c>
      <c r="BA1375" s="7" t="s">
        <v>228</v>
      </c>
      <c r="BB1375" s="7"/>
      <c r="BC1375" s="4" t="s">
        <v>228</v>
      </c>
      <c r="BD1375" s="8" t="s">
        <v>228</v>
      </c>
      <c r="BE1375" s="4" t="s">
        <v>228</v>
      </c>
      <c r="BF1375" s="8" t="s">
        <v>228</v>
      </c>
      <c r="BG1375" s="7" t="s">
        <v>228</v>
      </c>
      <c r="BH1375" s="7" t="s">
        <v>228</v>
      </c>
      <c r="BI1375" s="7"/>
      <c r="BJ1375" s="4">
        <v>1</v>
      </c>
      <c r="BK1375" s="8">
        <v>17.2</v>
      </c>
      <c r="BL1375" s="2" t="s">
        <v>1933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7048</v>
      </c>
      <c r="BV1375" s="2" t="s">
        <v>228</v>
      </c>
      <c r="BW1375" s="2" t="s">
        <v>228</v>
      </c>
      <c r="BX1375" s="2" t="s">
        <v>337</v>
      </c>
      <c r="BY1375" s="2" t="s">
        <v>274</v>
      </c>
      <c r="BZ1375" s="2" t="s">
        <v>240</v>
      </c>
      <c r="CA1375" s="2" t="s">
        <v>1094</v>
      </c>
      <c r="CB1375" s="2" t="s">
        <v>5503</v>
      </c>
      <c r="CC1375" s="2" t="s">
        <v>241</v>
      </c>
      <c r="CD1375" s="2" t="s">
        <v>228</v>
      </c>
      <c r="CE1375" s="4">
        <v>473</v>
      </c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  <c r="GG1375" s="4"/>
      <c r="GH1375" s="4"/>
      <c r="GI1375" s="4"/>
      <c r="GJ1375" s="4"/>
      <c r="GK1375" s="4"/>
      <c r="GL1375" s="4"/>
      <c r="GM1375" s="4"/>
      <c r="GN1375" s="4"/>
      <c r="GO1375" s="4"/>
      <c r="GP1375" s="4"/>
      <c r="GQ1375" s="4"/>
      <c r="GR1375" s="4"/>
      <c r="GS1375" s="4"/>
      <c r="GT1375" s="4"/>
      <c r="GU1375" s="4"/>
      <c r="GV1375" s="4"/>
      <c r="GW1375" s="4"/>
      <c r="GX1375" s="4"/>
      <c r="GY1375" s="4"/>
      <c r="GZ1375" s="4"/>
      <c r="HA1375" s="4"/>
      <c r="HB1375" s="4"/>
      <c r="HC1375" s="4"/>
      <c r="HD1375" s="4"/>
      <c r="HE1375" s="4"/>
    </row>
    <row r="1376">
      <c r="A1376" s="2" t="s">
        <v>7049</v>
      </c>
      <c r="B1376" s="2" t="s">
        <v>970</v>
      </c>
      <c r="C1376" s="2" t="s">
        <v>300</v>
      </c>
      <c r="D1376" s="2" t="s">
        <v>971</v>
      </c>
      <c r="E1376" s="2" t="s">
        <v>3486</v>
      </c>
      <c r="F1376" s="2" t="s">
        <v>7042</v>
      </c>
      <c r="G1376" s="2" t="s">
        <v>7043</v>
      </c>
      <c r="H1376" s="2" t="s">
        <v>6884</v>
      </c>
      <c r="I1376" s="2" t="s">
        <v>7044</v>
      </c>
      <c r="J1376" s="2" t="s">
        <v>3506</v>
      </c>
      <c r="K1376" s="2" t="s">
        <v>249</v>
      </c>
      <c r="L1376" s="3">
        <v>33.65</v>
      </c>
      <c r="M1376" s="3">
        <v>35.33</v>
      </c>
      <c r="N1376" s="3">
        <v>71.99</v>
      </c>
      <c r="O1376" s="2" t="s">
        <v>461</v>
      </c>
      <c r="P1376" s="2" t="s">
        <v>333</v>
      </c>
      <c r="Q1376" s="2" t="s">
        <v>234</v>
      </c>
      <c r="R1376" s="2" t="s">
        <v>228</v>
      </c>
      <c r="S1376" s="2" t="s">
        <v>7045</v>
      </c>
      <c r="T1376" s="2" t="s">
        <v>415</v>
      </c>
      <c r="U1376" s="2" t="s">
        <v>416</v>
      </c>
      <c r="V1376" s="2" t="s">
        <v>236</v>
      </c>
      <c r="W1376" s="2" t="s">
        <v>269</v>
      </c>
      <c r="X1376" s="2" t="s">
        <v>228</v>
      </c>
      <c r="Y1376" s="2" t="s">
        <v>1091</v>
      </c>
      <c r="Z1376" s="4">
        <v>428</v>
      </c>
      <c r="AA1376" s="4">
        <f>=ROUNDDOWN(856,0)</f>
      </c>
      <c r="AB1376" s="5">
        <v>0.5</v>
      </c>
      <c r="AC1376" s="2" t="s">
        <v>228</v>
      </c>
      <c r="AD1376" s="4"/>
      <c r="AE1376" s="4"/>
      <c r="AF1376" s="6">
        <v>65</v>
      </c>
      <c r="AG1376" s="6"/>
      <c r="AH1376" s="7">
        <v>1</v>
      </c>
      <c r="AI1376" s="4"/>
      <c r="AJ1376" s="4">
        <f>=ROUNDDOWN({0},0)</f>
      </c>
      <c r="AK1376" s="5"/>
      <c r="AL1376" s="2" t="s">
        <v>228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228</v>
      </c>
      <c r="AW1376" s="8" t="s">
        <v>228</v>
      </c>
      <c r="AX1376" s="4" t="s">
        <v>228</v>
      </c>
      <c r="AY1376" s="8" t="s">
        <v>228</v>
      </c>
      <c r="AZ1376" s="7" t="s">
        <v>228</v>
      </c>
      <c r="BA1376" s="7" t="s">
        <v>228</v>
      </c>
      <c r="BB1376" s="7"/>
      <c r="BC1376" s="4" t="s">
        <v>228</v>
      </c>
      <c r="BD1376" s="8" t="s">
        <v>228</v>
      </c>
      <c r="BE1376" s="4" t="s">
        <v>228</v>
      </c>
      <c r="BF1376" s="8" t="s">
        <v>228</v>
      </c>
      <c r="BG1376" s="7" t="s">
        <v>228</v>
      </c>
      <c r="BH1376" s="7" t="s">
        <v>228</v>
      </c>
      <c r="BI1376" s="7"/>
      <c r="BJ1376" s="4">
        <v>2</v>
      </c>
      <c r="BK1376" s="8">
        <v>48.76</v>
      </c>
      <c r="BL1376" s="2" t="s">
        <v>622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7050</v>
      </c>
      <c r="BV1376" s="2" t="s">
        <v>228</v>
      </c>
      <c r="BW1376" s="2" t="s">
        <v>228</v>
      </c>
      <c r="BX1376" s="2" t="s">
        <v>337</v>
      </c>
      <c r="BY1376" s="2" t="s">
        <v>274</v>
      </c>
      <c r="BZ1376" s="2" t="s">
        <v>240</v>
      </c>
      <c r="CA1376" s="2" t="s">
        <v>1094</v>
      </c>
      <c r="CB1376" s="2" t="s">
        <v>5503</v>
      </c>
      <c r="CC1376" s="2" t="s">
        <v>241</v>
      </c>
      <c r="CD1376" s="2" t="s">
        <v>228</v>
      </c>
      <c r="CE1376" s="4">
        <v>428</v>
      </c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/>
      <c r="GF1376" s="4"/>
      <c r="GG1376" s="4"/>
      <c r="GH1376" s="4"/>
      <c r="GI1376" s="4"/>
      <c r="GJ1376" s="4"/>
      <c r="GK1376" s="4"/>
      <c r="GL1376" s="4"/>
      <c r="GM1376" s="4"/>
      <c r="GN1376" s="4"/>
      <c r="GO1376" s="4"/>
      <c r="GP1376" s="4"/>
      <c r="GQ1376" s="4"/>
      <c r="GR1376" s="4"/>
      <c r="GS1376" s="4"/>
      <c r="GT1376" s="4"/>
      <c r="GU1376" s="4"/>
      <c r="GV1376" s="4"/>
      <c r="GW1376" s="4"/>
      <c r="GX1376" s="4"/>
      <c r="GY1376" s="4"/>
      <c r="GZ1376" s="4"/>
      <c r="HA1376" s="4"/>
      <c r="HB1376" s="4"/>
      <c r="HC1376" s="4"/>
      <c r="HD1376" s="4"/>
      <c r="HE1376" s="4"/>
    </row>
    <row r="1377">
      <c r="A1377" s="2" t="s">
        <v>7051</v>
      </c>
      <c r="B1377" s="2" t="s">
        <v>970</v>
      </c>
      <c r="C1377" s="2" t="s">
        <v>300</v>
      </c>
      <c r="D1377" s="2" t="s">
        <v>971</v>
      </c>
      <c r="E1377" s="2" t="s">
        <v>3486</v>
      </c>
      <c r="F1377" s="2" t="s">
        <v>7042</v>
      </c>
      <c r="G1377" s="2" t="s">
        <v>7043</v>
      </c>
      <c r="H1377" s="2" t="s">
        <v>6884</v>
      </c>
      <c r="I1377" s="2" t="s">
        <v>7044</v>
      </c>
      <c r="J1377" s="2" t="s">
        <v>7052</v>
      </c>
      <c r="K1377" s="2" t="s">
        <v>249</v>
      </c>
      <c r="L1377" s="3">
        <v>38.5</v>
      </c>
      <c r="M1377" s="3">
        <v>40.43</v>
      </c>
      <c r="N1377" s="3">
        <v>81.99</v>
      </c>
      <c r="O1377" s="2" t="s">
        <v>461</v>
      </c>
      <c r="P1377" s="2" t="s">
        <v>333</v>
      </c>
      <c r="Q1377" s="2" t="s">
        <v>234</v>
      </c>
      <c r="R1377" s="2" t="s">
        <v>228</v>
      </c>
      <c r="S1377" s="2" t="s">
        <v>7045</v>
      </c>
      <c r="T1377" s="2" t="s">
        <v>415</v>
      </c>
      <c r="U1377" s="2" t="s">
        <v>416</v>
      </c>
      <c r="V1377" s="2" t="s">
        <v>236</v>
      </c>
      <c r="W1377" s="2" t="s">
        <v>269</v>
      </c>
      <c r="X1377" s="2" t="s">
        <v>228</v>
      </c>
      <c r="Y1377" s="2" t="s">
        <v>1091</v>
      </c>
      <c r="Z1377" s="4">
        <v>500</v>
      </c>
      <c r="AA1377" s="4">
        <f>=ROUNDDOWN(500,0)</f>
      </c>
      <c r="AB1377" s="5">
        <v>1</v>
      </c>
      <c r="AC1377" s="2" t="s">
        <v>228</v>
      </c>
      <c r="AD1377" s="4"/>
      <c r="AE1377" s="4"/>
      <c r="AF1377" s="6">
        <v>65</v>
      </c>
      <c r="AG1377" s="6"/>
      <c r="AH1377" s="7">
        <v>1</v>
      </c>
      <c r="AI1377" s="4"/>
      <c r="AJ1377" s="4">
        <f>=ROUNDDOWN({0},0)</f>
      </c>
      <c r="AK1377" s="5"/>
      <c r="AL1377" s="2" t="s">
        <v>228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228</v>
      </c>
      <c r="AW1377" s="8" t="s">
        <v>228</v>
      </c>
      <c r="AX1377" s="4" t="s">
        <v>228</v>
      </c>
      <c r="AY1377" s="8" t="s">
        <v>228</v>
      </c>
      <c r="AZ1377" s="7" t="s">
        <v>228</v>
      </c>
      <c r="BA1377" s="7" t="s">
        <v>228</v>
      </c>
      <c r="BB1377" s="7"/>
      <c r="BC1377" s="4" t="s">
        <v>228</v>
      </c>
      <c r="BD1377" s="8" t="s">
        <v>228</v>
      </c>
      <c r="BE1377" s="4" t="s">
        <v>228</v>
      </c>
      <c r="BF1377" s="8" t="s">
        <v>228</v>
      </c>
      <c r="BG1377" s="7" t="s">
        <v>228</v>
      </c>
      <c r="BH1377" s="7" t="s">
        <v>228</v>
      </c>
      <c r="BI1377" s="7"/>
      <c r="BJ1377" s="4">
        <v>2</v>
      </c>
      <c r="BK1377" s="8">
        <v>84.9</v>
      </c>
      <c r="BL1377" s="2" t="s">
        <v>1322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7053</v>
      </c>
      <c r="BV1377" s="2" t="s">
        <v>228</v>
      </c>
      <c r="BW1377" s="2" t="s">
        <v>228</v>
      </c>
      <c r="BX1377" s="2" t="s">
        <v>337</v>
      </c>
      <c r="BY1377" s="2" t="s">
        <v>274</v>
      </c>
      <c r="BZ1377" s="2" t="s">
        <v>240</v>
      </c>
      <c r="CA1377" s="2" t="s">
        <v>1094</v>
      </c>
      <c r="CB1377" s="2" t="s">
        <v>1832</v>
      </c>
      <c r="CC1377" s="2" t="s">
        <v>241</v>
      </c>
      <c r="CD1377" s="2" t="s">
        <v>228</v>
      </c>
      <c r="CE1377" s="4">
        <v>500</v>
      </c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/>
      <c r="GH1377" s="4"/>
      <c r="GI1377" s="4"/>
      <c r="GJ1377" s="4"/>
      <c r="GK1377" s="4"/>
      <c r="GL1377" s="4"/>
      <c r="GM1377" s="4"/>
      <c r="GN1377" s="4"/>
      <c r="GO1377" s="4"/>
      <c r="GP1377" s="4"/>
      <c r="GQ1377" s="4"/>
      <c r="GR1377" s="4"/>
      <c r="GS1377" s="4"/>
      <c r="GT1377" s="4"/>
      <c r="GU1377" s="4"/>
      <c r="GV1377" s="4"/>
      <c r="GW1377" s="4"/>
      <c r="GX1377" s="4"/>
      <c r="GY1377" s="4"/>
      <c r="GZ1377" s="4"/>
      <c r="HA1377" s="4"/>
      <c r="HB1377" s="4"/>
      <c r="HC1377" s="4"/>
      <c r="HD1377" s="4"/>
      <c r="HE1377" s="4"/>
    </row>
    <row r="1378">
      <c r="A1378" s="2" t="s">
        <v>7054</v>
      </c>
      <c r="B1378" s="2" t="s">
        <v>970</v>
      </c>
      <c r="C1378" s="2" t="s">
        <v>300</v>
      </c>
      <c r="D1378" s="2" t="s">
        <v>971</v>
      </c>
      <c r="E1378" s="2" t="s">
        <v>3486</v>
      </c>
      <c r="F1378" s="2" t="s">
        <v>7042</v>
      </c>
      <c r="G1378" s="2" t="s">
        <v>7043</v>
      </c>
      <c r="H1378" s="2" t="s">
        <v>6884</v>
      </c>
      <c r="I1378" s="2" t="s">
        <v>7044</v>
      </c>
      <c r="J1378" s="2" t="s">
        <v>3516</v>
      </c>
      <c r="K1378" s="2" t="s">
        <v>249</v>
      </c>
      <c r="L1378" s="3">
        <v>39.65</v>
      </c>
      <c r="M1378" s="3">
        <v>41.63</v>
      </c>
      <c r="N1378" s="3">
        <v>83.99</v>
      </c>
      <c r="O1378" s="2" t="s">
        <v>461</v>
      </c>
      <c r="P1378" s="2" t="s">
        <v>333</v>
      </c>
      <c r="Q1378" s="2" t="s">
        <v>234</v>
      </c>
      <c r="R1378" s="2" t="s">
        <v>228</v>
      </c>
      <c r="S1378" s="2" t="s">
        <v>7045</v>
      </c>
      <c r="T1378" s="2" t="s">
        <v>415</v>
      </c>
      <c r="U1378" s="2" t="s">
        <v>416</v>
      </c>
      <c r="V1378" s="2" t="s">
        <v>236</v>
      </c>
      <c r="W1378" s="2" t="s">
        <v>269</v>
      </c>
      <c r="X1378" s="2" t="s">
        <v>228</v>
      </c>
      <c r="Y1378" s="2" t="s">
        <v>1091</v>
      </c>
      <c r="Z1378" s="4">
        <v>358</v>
      </c>
      <c r="AA1378" s="4">
        <f>=ROUNDDOWN(143.2,0)</f>
      </c>
      <c r="AB1378" s="5">
        <v>2.5</v>
      </c>
      <c r="AC1378" s="2" t="s">
        <v>228</v>
      </c>
      <c r="AD1378" s="4"/>
      <c r="AE1378" s="4"/>
      <c r="AF1378" s="6">
        <v>65</v>
      </c>
      <c r="AG1378" s="6"/>
      <c r="AH1378" s="7">
        <v>1</v>
      </c>
      <c r="AI1378" s="4"/>
      <c r="AJ1378" s="4">
        <f>=ROUNDDOWN({0},0)</f>
      </c>
      <c r="AK1378" s="5"/>
      <c r="AL1378" s="2" t="s">
        <v>228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228</v>
      </c>
      <c r="AW1378" s="8" t="s">
        <v>228</v>
      </c>
      <c r="AX1378" s="4" t="s">
        <v>228</v>
      </c>
      <c r="AY1378" s="8" t="s">
        <v>228</v>
      </c>
      <c r="AZ1378" s="7" t="s">
        <v>228</v>
      </c>
      <c r="BA1378" s="7" t="s">
        <v>228</v>
      </c>
      <c r="BB1378" s="7"/>
      <c r="BC1378" s="4" t="s">
        <v>228</v>
      </c>
      <c r="BD1378" s="8" t="s">
        <v>228</v>
      </c>
      <c r="BE1378" s="4" t="s">
        <v>228</v>
      </c>
      <c r="BF1378" s="8" t="s">
        <v>228</v>
      </c>
      <c r="BG1378" s="7" t="s">
        <v>228</v>
      </c>
      <c r="BH1378" s="7" t="s">
        <v>228</v>
      </c>
      <c r="BI1378" s="7"/>
      <c r="BJ1378" s="4">
        <v>20</v>
      </c>
      <c r="BK1378" s="8">
        <v>814.55</v>
      </c>
      <c r="BL1378" s="2" t="s">
        <v>5179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7055</v>
      </c>
      <c r="BV1378" s="2" t="s">
        <v>228</v>
      </c>
      <c r="BW1378" s="2" t="s">
        <v>228</v>
      </c>
      <c r="BX1378" s="2" t="s">
        <v>337</v>
      </c>
      <c r="BY1378" s="2" t="s">
        <v>274</v>
      </c>
      <c r="BZ1378" s="2" t="s">
        <v>240</v>
      </c>
      <c r="CA1378" s="2" t="s">
        <v>1094</v>
      </c>
      <c r="CB1378" s="2" t="s">
        <v>6926</v>
      </c>
      <c r="CC1378" s="2" t="s">
        <v>241</v>
      </c>
      <c r="CD1378" s="2" t="s">
        <v>228</v>
      </c>
      <c r="CE1378" s="4">
        <v>358</v>
      </c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/>
      <c r="GH1378" s="4"/>
      <c r="GI1378" s="4"/>
      <c r="GJ1378" s="4"/>
      <c r="GK1378" s="4"/>
      <c r="GL1378" s="4"/>
      <c r="GM1378" s="4"/>
      <c r="GN1378" s="4"/>
      <c r="GO1378" s="4"/>
      <c r="GP1378" s="4"/>
      <c r="GQ1378" s="4"/>
      <c r="GR1378" s="4"/>
      <c r="GS1378" s="4"/>
      <c r="GT1378" s="4"/>
      <c r="GU1378" s="4"/>
      <c r="GV1378" s="4"/>
      <c r="GW1378" s="4"/>
      <c r="GX1378" s="4"/>
      <c r="GY1378" s="4"/>
      <c r="GZ1378" s="4"/>
      <c r="HA1378" s="4"/>
      <c r="HB1378" s="4"/>
      <c r="HC1378" s="4"/>
      <c r="HD1378" s="4"/>
      <c r="HE1378" s="4"/>
    </row>
    <row r="1379">
      <c r="A1379" s="2" t="s">
        <v>7056</v>
      </c>
      <c r="B1379" s="2" t="s">
        <v>970</v>
      </c>
      <c r="C1379" s="2" t="s">
        <v>300</v>
      </c>
      <c r="D1379" s="2" t="s">
        <v>971</v>
      </c>
      <c r="E1379" s="2" t="s">
        <v>1121</v>
      </c>
      <c r="F1379" s="2" t="s">
        <v>7042</v>
      </c>
      <c r="G1379" s="2" t="s">
        <v>7043</v>
      </c>
      <c r="H1379" s="2" t="s">
        <v>6884</v>
      </c>
      <c r="I1379" s="2" t="s">
        <v>7057</v>
      </c>
      <c r="J1379" s="2" t="s">
        <v>7058</v>
      </c>
      <c r="K1379" s="2" t="s">
        <v>1357</v>
      </c>
      <c r="L1379" s="3">
        <v>22.75</v>
      </c>
      <c r="M1379" s="3">
        <v>23.89</v>
      </c>
      <c r="N1379" s="3">
        <v>47.99</v>
      </c>
      <c r="O1379" s="2" t="s">
        <v>240</v>
      </c>
      <c r="P1379" s="2" t="s">
        <v>266</v>
      </c>
      <c r="Q1379" s="2" t="s">
        <v>234</v>
      </c>
      <c r="R1379" s="2" t="s">
        <v>228</v>
      </c>
      <c r="S1379" s="2" t="s">
        <v>7059</v>
      </c>
      <c r="T1379" s="2" t="s">
        <v>228</v>
      </c>
      <c r="U1379" s="2" t="s">
        <v>520</v>
      </c>
      <c r="V1379" s="2" t="s">
        <v>236</v>
      </c>
      <c r="W1379" s="2" t="s">
        <v>269</v>
      </c>
      <c r="X1379" s="2" t="s">
        <v>1345</v>
      </c>
      <c r="Y1379" s="2" t="s">
        <v>7060</v>
      </c>
      <c r="Z1379" s="4">
        <v>106</v>
      </c>
      <c r="AA1379" s="4">
        <f>=ROUNDDOWN(6.23529411764706,0)</f>
      </c>
      <c r="AB1379" s="5">
        <v>17</v>
      </c>
      <c r="AC1379" s="2" t="s">
        <v>154</v>
      </c>
      <c r="AD1379" s="4">
        <v>452</v>
      </c>
      <c r="AE1379" s="4">
        <v>452</v>
      </c>
      <c r="AF1379" s="6">
        <v>65</v>
      </c>
      <c r="AG1379" s="6"/>
      <c r="AH1379" s="7">
        <v>1</v>
      </c>
      <c r="AI1379" s="4"/>
      <c r="AJ1379" s="4">
        <f>=ROUNDDOWN({0},0)</f>
      </c>
      <c r="AK1379" s="5"/>
      <c r="AL1379" s="2" t="s">
        <v>228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228</v>
      </c>
      <c r="AW1379" s="8" t="s">
        <v>228</v>
      </c>
      <c r="AX1379" s="4" t="s">
        <v>228</v>
      </c>
      <c r="AY1379" s="8" t="s">
        <v>228</v>
      </c>
      <c r="AZ1379" s="7" t="s">
        <v>228</v>
      </c>
      <c r="BA1379" s="7" t="s">
        <v>228</v>
      </c>
      <c r="BB1379" s="7"/>
      <c r="BC1379" s="4" t="s">
        <v>228</v>
      </c>
      <c r="BD1379" s="8" t="s">
        <v>228</v>
      </c>
      <c r="BE1379" s="4" t="s">
        <v>228</v>
      </c>
      <c r="BF1379" s="8" t="s">
        <v>228</v>
      </c>
      <c r="BG1379" s="7" t="s">
        <v>228</v>
      </c>
      <c r="BH1379" s="7" t="s">
        <v>228</v>
      </c>
      <c r="BI1379" s="7"/>
      <c r="BJ1379" s="4">
        <v>70</v>
      </c>
      <c r="BK1379" s="8">
        <v>2248.03</v>
      </c>
      <c r="BL1379" s="2" t="s">
        <v>7061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7062</v>
      </c>
      <c r="BV1379" s="2" t="s">
        <v>228</v>
      </c>
      <c r="BW1379" s="2" t="s">
        <v>228</v>
      </c>
      <c r="BX1379" s="2" t="s">
        <v>273</v>
      </c>
      <c r="BY1379" s="2" t="s">
        <v>274</v>
      </c>
      <c r="BZ1379" s="2" t="s">
        <v>240</v>
      </c>
      <c r="CA1379" s="2" t="s">
        <v>464</v>
      </c>
      <c r="CB1379" s="2" t="s">
        <v>6695</v>
      </c>
      <c r="CC1379" s="2" t="s">
        <v>241</v>
      </c>
      <c r="CD1379" s="2" t="s">
        <v>228</v>
      </c>
      <c r="CE1379" s="4">
        <v>106</v>
      </c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>
        <v>452</v>
      </c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/>
      <c r="GG1379" s="4"/>
      <c r="GH1379" s="4"/>
      <c r="GI1379" s="4"/>
      <c r="GJ1379" s="4"/>
      <c r="GK1379" s="4"/>
      <c r="GL1379" s="4"/>
      <c r="GM1379" s="4"/>
      <c r="GN1379" s="4"/>
      <c r="GO1379" s="4"/>
      <c r="GP1379" s="4"/>
      <c r="GQ1379" s="4"/>
      <c r="GR1379" s="4"/>
      <c r="GS1379" s="4"/>
      <c r="GT1379" s="4"/>
      <c r="GU1379" s="4"/>
      <c r="GV1379" s="4"/>
      <c r="GW1379" s="4"/>
      <c r="GX1379" s="4"/>
      <c r="GY1379" s="4"/>
      <c r="GZ1379" s="4"/>
      <c r="HA1379" s="4"/>
      <c r="HB1379" s="4"/>
      <c r="HC1379" s="4"/>
      <c r="HD1379" s="4"/>
      <c r="HE1379" s="4"/>
    </row>
    <row r="1380">
      <c r="A1380" s="2" t="s">
        <v>7063</v>
      </c>
      <c r="B1380" s="2" t="s">
        <v>970</v>
      </c>
      <c r="C1380" s="2" t="s">
        <v>300</v>
      </c>
      <c r="D1380" s="2" t="s">
        <v>971</v>
      </c>
      <c r="E1380" s="2" t="s">
        <v>3486</v>
      </c>
      <c r="F1380" s="2" t="s">
        <v>7042</v>
      </c>
      <c r="G1380" s="2" t="s">
        <v>7043</v>
      </c>
      <c r="H1380" s="2" t="s">
        <v>6884</v>
      </c>
      <c r="I1380" s="2" t="s">
        <v>7044</v>
      </c>
      <c r="J1380" s="2" t="s">
        <v>5621</v>
      </c>
      <c r="K1380" s="2" t="s">
        <v>1357</v>
      </c>
      <c r="L1380" s="3">
        <v>32.75</v>
      </c>
      <c r="M1380" s="3">
        <v>34.39</v>
      </c>
      <c r="N1380" s="3">
        <v>69.99</v>
      </c>
      <c r="O1380" s="2" t="s">
        <v>240</v>
      </c>
      <c r="P1380" s="2" t="s">
        <v>1012</v>
      </c>
      <c r="Q1380" s="2" t="s">
        <v>234</v>
      </c>
      <c r="R1380" s="2" t="s">
        <v>228</v>
      </c>
      <c r="S1380" s="2" t="s">
        <v>7059</v>
      </c>
      <c r="T1380" s="2" t="s">
        <v>415</v>
      </c>
      <c r="U1380" s="2" t="s">
        <v>416</v>
      </c>
      <c r="V1380" s="2" t="s">
        <v>236</v>
      </c>
      <c r="W1380" s="2" t="s">
        <v>269</v>
      </c>
      <c r="X1380" s="2" t="s">
        <v>228</v>
      </c>
      <c r="Y1380" s="2" t="s">
        <v>1091</v>
      </c>
      <c r="Z1380" s="4">
        <v>3</v>
      </c>
      <c r="AA1380" s="4">
        <f>=ROUNDDOWN(0.375,0)</f>
      </c>
      <c r="AB1380" s="5">
        <v>8</v>
      </c>
      <c r="AC1380" s="2" t="s">
        <v>154</v>
      </c>
      <c r="AD1380" s="4">
        <v>300</v>
      </c>
      <c r="AE1380" s="4">
        <v>300</v>
      </c>
      <c r="AF1380" s="6">
        <v>65</v>
      </c>
      <c r="AG1380" s="6"/>
      <c r="AH1380" s="7">
        <v>0</v>
      </c>
      <c r="AI1380" s="4"/>
      <c r="AJ1380" s="4">
        <f>=ROUNDDOWN({0},0)</f>
      </c>
      <c r="AK1380" s="5"/>
      <c r="AL1380" s="2" t="s">
        <v>228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 t="s">
        <v>228</v>
      </c>
      <c r="AW1380" s="8" t="s">
        <v>228</v>
      </c>
      <c r="AX1380" s="4" t="s">
        <v>228</v>
      </c>
      <c r="AY1380" s="8" t="s">
        <v>228</v>
      </c>
      <c r="AZ1380" s="7" t="s">
        <v>228</v>
      </c>
      <c r="BA1380" s="7" t="s">
        <v>228</v>
      </c>
      <c r="BB1380" s="7"/>
      <c r="BC1380" s="4" t="s">
        <v>228</v>
      </c>
      <c r="BD1380" s="8" t="s">
        <v>228</v>
      </c>
      <c r="BE1380" s="4" t="s">
        <v>228</v>
      </c>
      <c r="BF1380" s="8" t="s">
        <v>228</v>
      </c>
      <c r="BG1380" s="7" t="s">
        <v>228</v>
      </c>
      <c r="BH1380" s="7" t="s">
        <v>228</v>
      </c>
      <c r="BI1380" s="7"/>
      <c r="BJ1380" s="4"/>
      <c r="BK1380" s="8"/>
      <c r="BL1380" s="2" t="s">
        <v>6443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7064</v>
      </c>
      <c r="BV1380" s="2" t="s">
        <v>228</v>
      </c>
      <c r="BW1380" s="2" t="s">
        <v>228</v>
      </c>
      <c r="BX1380" s="2" t="s">
        <v>273</v>
      </c>
      <c r="BY1380" s="2" t="s">
        <v>274</v>
      </c>
      <c r="BZ1380" s="2" t="s">
        <v>240</v>
      </c>
      <c r="CA1380" s="2" t="s">
        <v>1094</v>
      </c>
      <c r="CB1380" s="2" t="s">
        <v>5401</v>
      </c>
      <c r="CC1380" s="2" t="s">
        <v>241</v>
      </c>
      <c r="CD1380" s="2" t="s">
        <v>228</v>
      </c>
      <c r="CE1380" s="4">
        <v>3</v>
      </c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>
        <v>300</v>
      </c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/>
      <c r="GG1380" s="4"/>
      <c r="GH1380" s="4"/>
      <c r="GI1380" s="4"/>
      <c r="GJ1380" s="4"/>
      <c r="GK1380" s="4"/>
      <c r="GL1380" s="4"/>
      <c r="GM1380" s="4"/>
      <c r="GN1380" s="4"/>
      <c r="GO1380" s="4"/>
      <c r="GP1380" s="4"/>
      <c r="GQ1380" s="4"/>
      <c r="GR1380" s="4"/>
      <c r="GS1380" s="4"/>
      <c r="GT1380" s="4"/>
      <c r="GU1380" s="4"/>
      <c r="GV1380" s="4"/>
      <c r="GW1380" s="4"/>
      <c r="GX1380" s="4"/>
      <c r="GY1380" s="4"/>
      <c r="GZ1380" s="4"/>
      <c r="HA1380" s="4"/>
      <c r="HB1380" s="4"/>
      <c r="HC1380" s="4"/>
      <c r="HD1380" s="4"/>
      <c r="HE1380" s="4"/>
    </row>
    <row r="1381">
      <c r="A1381" s="2" t="s">
        <v>7065</v>
      </c>
      <c r="B1381" s="2" t="s">
        <v>970</v>
      </c>
      <c r="C1381" s="2" t="s">
        <v>300</v>
      </c>
      <c r="D1381" s="2" t="s">
        <v>971</v>
      </c>
      <c r="E1381" s="2" t="s">
        <v>3486</v>
      </c>
      <c r="F1381" s="2" t="s">
        <v>7042</v>
      </c>
      <c r="G1381" s="2" t="s">
        <v>7043</v>
      </c>
      <c r="H1381" s="2" t="s">
        <v>6884</v>
      </c>
      <c r="I1381" s="2" t="s">
        <v>7044</v>
      </c>
      <c r="J1381" s="2" t="s">
        <v>3516</v>
      </c>
      <c r="K1381" s="2" t="s">
        <v>1357</v>
      </c>
      <c r="L1381" s="3">
        <v>39.65</v>
      </c>
      <c r="M1381" s="3">
        <v>41.63</v>
      </c>
      <c r="N1381" s="3">
        <v>83.99</v>
      </c>
      <c r="O1381" s="2" t="s">
        <v>240</v>
      </c>
      <c r="P1381" s="2" t="s">
        <v>1012</v>
      </c>
      <c r="Q1381" s="2" t="s">
        <v>234</v>
      </c>
      <c r="R1381" s="2" t="s">
        <v>228</v>
      </c>
      <c r="S1381" s="2" t="s">
        <v>7059</v>
      </c>
      <c r="T1381" s="2" t="s">
        <v>415</v>
      </c>
      <c r="U1381" s="2" t="s">
        <v>416</v>
      </c>
      <c r="V1381" s="2" t="s">
        <v>236</v>
      </c>
      <c r="W1381" s="2" t="s">
        <v>269</v>
      </c>
      <c r="X1381" s="2" t="s">
        <v>228</v>
      </c>
      <c r="Y1381" s="2" t="s">
        <v>1091</v>
      </c>
      <c r="Z1381" s="4">
        <v>47</v>
      </c>
      <c r="AA1381" s="4">
        <f>=ROUNDDOWN(7.83333333333333,0)</f>
      </c>
      <c r="AB1381" s="5">
        <v>6</v>
      </c>
      <c r="AC1381" s="2" t="s">
        <v>154</v>
      </c>
      <c r="AD1381" s="4">
        <v>126</v>
      </c>
      <c r="AE1381" s="4">
        <v>126</v>
      </c>
      <c r="AF1381" s="6">
        <v>65</v>
      </c>
      <c r="AG1381" s="6"/>
      <c r="AH1381" s="7">
        <v>1</v>
      </c>
      <c r="AI1381" s="4"/>
      <c r="AJ1381" s="4">
        <f>=ROUNDDOWN({0},0)</f>
      </c>
      <c r="AK1381" s="5"/>
      <c r="AL1381" s="2" t="s">
        <v>228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 t="s">
        <v>228</v>
      </c>
      <c r="AW1381" s="8" t="s">
        <v>228</v>
      </c>
      <c r="AX1381" s="4" t="s">
        <v>228</v>
      </c>
      <c r="AY1381" s="8" t="s">
        <v>228</v>
      </c>
      <c r="AZ1381" s="7" t="s">
        <v>228</v>
      </c>
      <c r="BA1381" s="7" t="s">
        <v>228</v>
      </c>
      <c r="BB1381" s="7"/>
      <c r="BC1381" s="4" t="s">
        <v>228</v>
      </c>
      <c r="BD1381" s="8" t="s">
        <v>228</v>
      </c>
      <c r="BE1381" s="4" t="s">
        <v>228</v>
      </c>
      <c r="BF1381" s="8" t="s">
        <v>228</v>
      </c>
      <c r="BG1381" s="7" t="s">
        <v>228</v>
      </c>
      <c r="BH1381" s="7" t="s">
        <v>228</v>
      </c>
      <c r="BI1381" s="7"/>
      <c r="BJ1381" s="4">
        <v>37</v>
      </c>
      <c r="BK1381" s="8">
        <v>1637.68</v>
      </c>
      <c r="BL1381" s="2" t="s">
        <v>6190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7066</v>
      </c>
      <c r="BV1381" s="2" t="s">
        <v>228</v>
      </c>
      <c r="BW1381" s="2" t="s">
        <v>228</v>
      </c>
      <c r="BX1381" s="2" t="s">
        <v>273</v>
      </c>
      <c r="BY1381" s="2" t="s">
        <v>274</v>
      </c>
      <c r="BZ1381" s="2" t="s">
        <v>240</v>
      </c>
      <c r="CA1381" s="2" t="s">
        <v>1094</v>
      </c>
      <c r="CB1381" s="2" t="s">
        <v>2219</v>
      </c>
      <c r="CC1381" s="2" t="s">
        <v>241</v>
      </c>
      <c r="CD1381" s="2" t="s">
        <v>228</v>
      </c>
      <c r="CE1381" s="4">
        <v>47</v>
      </c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>
        <v>126</v>
      </c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  <c r="GG1381" s="4"/>
      <c r="GH1381" s="4"/>
      <c r="GI1381" s="4"/>
      <c r="GJ1381" s="4"/>
      <c r="GK1381" s="4"/>
      <c r="GL1381" s="4"/>
      <c r="GM1381" s="4"/>
      <c r="GN1381" s="4"/>
      <c r="GO1381" s="4"/>
      <c r="GP1381" s="4"/>
      <c r="GQ1381" s="4"/>
      <c r="GR1381" s="4"/>
      <c r="GS1381" s="4"/>
      <c r="GT1381" s="4"/>
      <c r="GU1381" s="4"/>
      <c r="GV1381" s="4"/>
      <c r="GW1381" s="4"/>
      <c r="GX1381" s="4"/>
      <c r="GY1381" s="4"/>
      <c r="GZ1381" s="4"/>
      <c r="HA1381" s="4"/>
      <c r="HB1381" s="4"/>
      <c r="HC1381" s="4"/>
      <c r="HD1381" s="4"/>
      <c r="HE1381" s="4"/>
    </row>
    <row r="1382">
      <c r="A1382" s="2" t="s">
        <v>7067</v>
      </c>
      <c r="B1382" s="2" t="s">
        <v>970</v>
      </c>
      <c r="C1382" s="2" t="s">
        <v>300</v>
      </c>
      <c r="D1382" s="2" t="s">
        <v>971</v>
      </c>
      <c r="E1382" s="2" t="s">
        <v>1121</v>
      </c>
      <c r="F1382" s="2" t="s">
        <v>7042</v>
      </c>
      <c r="G1382" s="2" t="s">
        <v>7043</v>
      </c>
      <c r="H1382" s="2" t="s">
        <v>6884</v>
      </c>
      <c r="I1382" s="2" t="s">
        <v>7057</v>
      </c>
      <c r="J1382" s="2" t="s">
        <v>7058</v>
      </c>
      <c r="K1382" s="2" t="s">
        <v>316</v>
      </c>
      <c r="L1382" s="3">
        <v>22.75</v>
      </c>
      <c r="M1382" s="3">
        <v>23.89</v>
      </c>
      <c r="N1382" s="3">
        <v>47.99</v>
      </c>
      <c r="O1382" s="2" t="s">
        <v>240</v>
      </c>
      <c r="P1382" s="2" t="s">
        <v>266</v>
      </c>
      <c r="Q1382" s="2" t="s">
        <v>234</v>
      </c>
      <c r="R1382" s="2" t="s">
        <v>228</v>
      </c>
      <c r="S1382" s="2" t="s">
        <v>7068</v>
      </c>
      <c r="T1382" s="2" t="s">
        <v>228</v>
      </c>
      <c r="U1382" s="2" t="s">
        <v>520</v>
      </c>
      <c r="V1382" s="2" t="s">
        <v>236</v>
      </c>
      <c r="W1382" s="2" t="s">
        <v>269</v>
      </c>
      <c r="X1382" s="2" t="s">
        <v>1345</v>
      </c>
      <c r="Y1382" s="2" t="s">
        <v>7060</v>
      </c>
      <c r="Z1382" s="4">
        <v>802</v>
      </c>
      <c r="AA1382" s="4">
        <f>=ROUNDDOWN(80.2,0)</f>
      </c>
      <c r="AB1382" s="5">
        <v>10</v>
      </c>
      <c r="AC1382" s="2" t="s">
        <v>228</v>
      </c>
      <c r="AD1382" s="4"/>
      <c r="AE1382" s="4"/>
      <c r="AF1382" s="6">
        <v>65</v>
      </c>
      <c r="AG1382" s="6"/>
      <c r="AH1382" s="7">
        <v>1</v>
      </c>
      <c r="AI1382" s="4"/>
      <c r="AJ1382" s="4">
        <f>=ROUNDDOWN({0},0)</f>
      </c>
      <c r="AK1382" s="5"/>
      <c r="AL1382" s="2" t="s">
        <v>228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/>
      <c r="AW1382" s="8"/>
      <c r="AX1382" s="4"/>
      <c r="AY1382" s="8"/>
      <c r="AZ1382" s="7"/>
      <c r="BA1382" s="7"/>
      <c r="BB1382" s="7"/>
      <c r="BC1382" s="4" t="s">
        <v>228</v>
      </c>
      <c r="BD1382" s="8" t="s">
        <v>228</v>
      </c>
      <c r="BE1382" s="4" t="s">
        <v>228</v>
      </c>
      <c r="BF1382" s="8" t="s">
        <v>228</v>
      </c>
      <c r="BG1382" s="7" t="s">
        <v>228</v>
      </c>
      <c r="BH1382" s="7" t="s">
        <v>228</v>
      </c>
      <c r="BI1382" s="7"/>
      <c r="BJ1382" s="4">
        <v>23</v>
      </c>
      <c r="BK1382" s="8">
        <v>804.65</v>
      </c>
      <c r="BL1382" s="2" t="s">
        <v>7069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7070</v>
      </c>
      <c r="BV1382" s="2" t="s">
        <v>228</v>
      </c>
      <c r="BW1382" s="2" t="s">
        <v>228</v>
      </c>
      <c r="BX1382" s="2" t="s">
        <v>273</v>
      </c>
      <c r="BY1382" s="2" t="s">
        <v>274</v>
      </c>
      <c r="BZ1382" s="2" t="s">
        <v>240</v>
      </c>
      <c r="CA1382" s="2" t="s">
        <v>464</v>
      </c>
      <c r="CB1382" s="2" t="s">
        <v>3101</v>
      </c>
      <c r="CC1382" s="2" t="s">
        <v>241</v>
      </c>
      <c r="CD1382" s="2" t="s">
        <v>228</v>
      </c>
      <c r="CE1382" s="4">
        <v>802</v>
      </c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/>
      <c r="GG1382" s="4"/>
      <c r="GH1382" s="4"/>
      <c r="GI1382" s="4"/>
      <c r="GJ1382" s="4"/>
      <c r="GK1382" s="4"/>
      <c r="GL1382" s="4"/>
      <c r="GM1382" s="4"/>
      <c r="GN1382" s="4"/>
      <c r="GO1382" s="4"/>
      <c r="GP1382" s="4"/>
      <c r="GQ1382" s="4"/>
      <c r="GR1382" s="4"/>
      <c r="GS1382" s="4"/>
      <c r="GT1382" s="4"/>
      <c r="GU1382" s="4"/>
      <c r="GV1382" s="4"/>
      <c r="GW1382" s="4"/>
      <c r="GX1382" s="4"/>
      <c r="GY1382" s="4"/>
      <c r="GZ1382" s="4"/>
      <c r="HA1382" s="4"/>
      <c r="HB1382" s="4"/>
      <c r="HC1382" s="4"/>
      <c r="HD1382" s="4"/>
      <c r="HE1382" s="4"/>
    </row>
    <row r="1383">
      <c r="A1383" s="2" t="s">
        <v>7071</v>
      </c>
      <c r="B1383" s="2" t="s">
        <v>1150</v>
      </c>
      <c r="C1383" s="2" t="s">
        <v>300</v>
      </c>
      <c r="D1383" s="2" t="s">
        <v>1316</v>
      </c>
      <c r="E1383" s="2" t="s">
        <v>1317</v>
      </c>
      <c r="F1383" s="2" t="s">
        <v>7072</v>
      </c>
      <c r="G1383" s="2" t="s">
        <v>7073</v>
      </c>
      <c r="H1383" s="2" t="s">
        <v>7074</v>
      </c>
      <c r="I1383" s="2" t="s">
        <v>7075</v>
      </c>
      <c r="J1383" s="2" t="s">
        <v>1043</v>
      </c>
      <c r="K1383" s="2" t="s">
        <v>556</v>
      </c>
      <c r="L1383" s="3">
        <v>57.6</v>
      </c>
      <c r="M1383" s="3">
        <v>60.47</v>
      </c>
      <c r="N1383" s="3">
        <v>119.99</v>
      </c>
      <c r="O1383" s="2" t="s">
        <v>240</v>
      </c>
      <c r="P1383" s="2" t="s">
        <v>266</v>
      </c>
      <c r="Q1383" s="2" t="s">
        <v>234</v>
      </c>
      <c r="R1383" s="2" t="s">
        <v>228</v>
      </c>
      <c r="S1383" s="2" t="s">
        <v>7076</v>
      </c>
      <c r="T1383" s="2" t="s">
        <v>350</v>
      </c>
      <c r="U1383" s="2" t="s">
        <v>500</v>
      </c>
      <c r="V1383" s="2" t="s">
        <v>1681</v>
      </c>
      <c r="W1383" s="2" t="s">
        <v>2512</v>
      </c>
      <c r="X1383" s="2" t="s">
        <v>7077</v>
      </c>
      <c r="Y1383" s="2" t="s">
        <v>7078</v>
      </c>
      <c r="Z1383" s="4">
        <v>761</v>
      </c>
      <c r="AA1383" s="4">
        <f>=ROUNDDOWN(84.5555555555556,0)</f>
      </c>
      <c r="AB1383" s="5">
        <v>9</v>
      </c>
      <c r="AC1383" s="2" t="s">
        <v>228</v>
      </c>
      <c r="AD1383" s="4"/>
      <c r="AE1383" s="4"/>
      <c r="AF1383" s="6">
        <v>71</v>
      </c>
      <c r="AG1383" s="6">
        <v>79</v>
      </c>
      <c r="AH1383" s="7">
        <v>1</v>
      </c>
      <c r="AI1383" s="4"/>
      <c r="AJ1383" s="4">
        <f>=ROUNDDOWN({0},0)</f>
      </c>
      <c r="AK1383" s="5"/>
      <c r="AL1383" s="2" t="s">
        <v>228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/>
      <c r="AW1383" s="8"/>
      <c r="AX1383" s="4"/>
      <c r="AY1383" s="8"/>
      <c r="AZ1383" s="7"/>
      <c r="BA1383" s="7"/>
      <c r="BB1383" s="7"/>
      <c r="BC1383" s="4"/>
      <c r="BD1383" s="8"/>
      <c r="BE1383" s="4"/>
      <c r="BF1383" s="8"/>
      <c r="BG1383" s="7"/>
      <c r="BH1383" s="7"/>
      <c r="BI1383" s="7"/>
      <c r="BJ1383" s="4">
        <v>24</v>
      </c>
      <c r="BK1383" s="8">
        <v>1508.37</v>
      </c>
      <c r="BL1383" s="2" t="s">
        <v>7079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7080</v>
      </c>
      <c r="BV1383" s="2" t="s">
        <v>228</v>
      </c>
      <c r="BW1383" s="2" t="s">
        <v>228</v>
      </c>
      <c r="BX1383" s="2" t="s">
        <v>273</v>
      </c>
      <c r="BY1383" s="2" t="s">
        <v>274</v>
      </c>
      <c r="BZ1383" s="2" t="s">
        <v>240</v>
      </c>
      <c r="CA1383" s="2" t="s">
        <v>7078</v>
      </c>
      <c r="CB1383" s="2" t="s">
        <v>7081</v>
      </c>
      <c r="CC1383" s="2" t="s">
        <v>241</v>
      </c>
      <c r="CD1383" s="2" t="s">
        <v>228</v>
      </c>
      <c r="CE1383" s="4">
        <v>545</v>
      </c>
      <c r="CF1383" s="4"/>
      <c r="CG1383" s="4"/>
      <c r="CH1383" s="4">
        <v>216</v>
      </c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/>
      <c r="GE1383" s="4"/>
      <c r="GF1383" s="4"/>
      <c r="GG1383" s="4"/>
      <c r="GH1383" s="4"/>
      <c r="GI1383" s="4"/>
      <c r="GJ1383" s="4"/>
      <c r="GK1383" s="4"/>
      <c r="GL1383" s="4"/>
      <c r="GM1383" s="4"/>
      <c r="GN1383" s="4"/>
      <c r="GO1383" s="4"/>
      <c r="GP1383" s="4"/>
      <c r="GQ1383" s="4"/>
      <c r="GR1383" s="4"/>
      <c r="GS1383" s="4"/>
      <c r="GT1383" s="4"/>
      <c r="GU1383" s="4"/>
      <c r="GV1383" s="4"/>
      <c r="GW1383" s="4"/>
      <c r="GX1383" s="4"/>
      <c r="GY1383" s="4"/>
      <c r="GZ1383" s="4"/>
      <c r="HA1383" s="4"/>
      <c r="HB1383" s="4"/>
      <c r="HC1383" s="4"/>
      <c r="HD1383" s="4"/>
      <c r="HE1383" s="4"/>
    </row>
    <row r="1384">
      <c r="A1384" s="2" t="s">
        <v>7082</v>
      </c>
      <c r="B1384" s="2" t="s">
        <v>834</v>
      </c>
      <c r="C1384" s="2" t="s">
        <v>835</v>
      </c>
      <c r="D1384" s="2" t="s">
        <v>1744</v>
      </c>
      <c r="E1384" s="2" t="s">
        <v>1745</v>
      </c>
      <c r="F1384" s="2" t="s">
        <v>7083</v>
      </c>
      <c r="G1384" s="2" t="s">
        <v>7083</v>
      </c>
      <c r="H1384" s="2" t="s">
        <v>7083</v>
      </c>
      <c r="I1384" s="2" t="s">
        <v>7084</v>
      </c>
      <c r="J1384" s="2" t="s">
        <v>840</v>
      </c>
      <c r="K1384" s="2" t="s">
        <v>7085</v>
      </c>
      <c r="L1384" s="3">
        <v>76</v>
      </c>
      <c r="M1384" s="3">
        <v>79.8</v>
      </c>
      <c r="N1384" s="3">
        <v>159.99</v>
      </c>
      <c r="O1384" s="2" t="s">
        <v>240</v>
      </c>
      <c r="P1384" s="2" t="s">
        <v>233</v>
      </c>
      <c r="Q1384" s="2" t="s">
        <v>234</v>
      </c>
      <c r="R1384" s="2" t="s">
        <v>228</v>
      </c>
      <c r="S1384" s="2" t="s">
        <v>228</v>
      </c>
      <c r="T1384" s="2" t="s">
        <v>228</v>
      </c>
      <c r="U1384" s="2" t="s">
        <v>416</v>
      </c>
      <c r="V1384" s="2" t="s">
        <v>842</v>
      </c>
      <c r="W1384" s="2" t="s">
        <v>269</v>
      </c>
      <c r="X1384" s="2" t="s">
        <v>417</v>
      </c>
      <c r="Y1384" s="2" t="s">
        <v>3125</v>
      </c>
      <c r="Z1384" s="4">
        <v>98</v>
      </c>
      <c r="AA1384" s="4">
        <f>=ROUNDDOWN(98,0)</f>
      </c>
      <c r="AB1384" s="5">
        <v>1</v>
      </c>
      <c r="AC1384" s="2" t="s">
        <v>228</v>
      </c>
      <c r="AD1384" s="4"/>
      <c r="AE1384" s="4"/>
      <c r="AF1384" s="6">
        <v>65</v>
      </c>
      <c r="AG1384" s="6"/>
      <c r="AH1384" s="7">
        <v>1</v>
      </c>
      <c r="AI1384" s="4"/>
      <c r="AJ1384" s="4">
        <f>=ROUNDDOWN({0},0)</f>
      </c>
      <c r="AK1384" s="5"/>
      <c r="AL1384" s="2" t="s">
        <v>228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/>
      <c r="AW1384" s="8"/>
      <c r="AX1384" s="4"/>
      <c r="AY1384" s="8"/>
      <c r="AZ1384" s="7"/>
      <c r="BA1384" s="7"/>
      <c r="BB1384" s="7"/>
      <c r="BC1384" s="4"/>
      <c r="BD1384" s="8"/>
      <c r="BE1384" s="4"/>
      <c r="BF1384" s="8"/>
      <c r="BG1384" s="7"/>
      <c r="BH1384" s="7"/>
      <c r="BI1384" s="7"/>
      <c r="BJ1384" s="4">
        <v>1</v>
      </c>
      <c r="BK1384" s="8">
        <v>79.8</v>
      </c>
      <c r="BL1384" s="2" t="s">
        <v>1033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7086</v>
      </c>
      <c r="BV1384" s="2" t="s">
        <v>228</v>
      </c>
      <c r="BW1384" s="2" t="s">
        <v>228</v>
      </c>
      <c r="BX1384" s="2" t="s">
        <v>238</v>
      </c>
      <c r="BY1384" s="2" t="s">
        <v>274</v>
      </c>
      <c r="BZ1384" s="2" t="s">
        <v>240</v>
      </c>
      <c r="CA1384" s="2" t="s">
        <v>228</v>
      </c>
      <c r="CB1384" s="2" t="s">
        <v>228</v>
      </c>
      <c r="CC1384" s="2" t="s">
        <v>241</v>
      </c>
      <c r="CD1384" s="2" t="s">
        <v>228</v>
      </c>
      <c r="CE1384" s="4"/>
      <c r="CF1384" s="4">
        <v>98</v>
      </c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/>
      <c r="GG1384" s="4"/>
      <c r="GH1384" s="4"/>
      <c r="GI1384" s="4"/>
      <c r="GJ1384" s="4"/>
      <c r="GK1384" s="4"/>
      <c r="GL1384" s="4"/>
      <c r="GM1384" s="4"/>
      <c r="GN1384" s="4"/>
      <c r="GO1384" s="4"/>
      <c r="GP1384" s="4"/>
      <c r="GQ1384" s="4"/>
      <c r="GR1384" s="4"/>
      <c r="GS1384" s="4"/>
      <c r="GT1384" s="4"/>
      <c r="GU1384" s="4"/>
      <c r="GV1384" s="4"/>
      <c r="GW1384" s="4"/>
      <c r="GX1384" s="4"/>
      <c r="GY1384" s="4"/>
      <c r="GZ1384" s="4"/>
      <c r="HA1384" s="4"/>
      <c r="HB1384" s="4"/>
      <c r="HC1384" s="4"/>
      <c r="HD1384" s="4"/>
      <c r="HE1384" s="4"/>
    </row>
    <row r="1385">
      <c r="A1385" s="2" t="s">
        <v>7087</v>
      </c>
      <c r="B1385" s="2" t="s">
        <v>223</v>
      </c>
      <c r="C1385" s="2" t="s">
        <v>300</v>
      </c>
      <c r="D1385" s="2" t="s">
        <v>1112</v>
      </c>
      <c r="E1385" s="2" t="s">
        <v>1113</v>
      </c>
      <c r="F1385" s="2" t="s">
        <v>7088</v>
      </c>
      <c r="G1385" s="2" t="s">
        <v>7089</v>
      </c>
      <c r="H1385" s="2" t="s">
        <v>7089</v>
      </c>
      <c r="I1385" s="2" t="s">
        <v>7090</v>
      </c>
      <c r="J1385" s="2" t="s">
        <v>294</v>
      </c>
      <c r="K1385" s="2" t="s">
        <v>7091</v>
      </c>
      <c r="L1385" s="3">
        <v>50.4</v>
      </c>
      <c r="M1385" s="3">
        <v>52.92</v>
      </c>
      <c r="N1385" s="3">
        <v>104.99</v>
      </c>
      <c r="O1385" s="2" t="s">
        <v>240</v>
      </c>
      <c r="P1385" s="2" t="s">
        <v>333</v>
      </c>
      <c r="Q1385" s="2" t="s">
        <v>234</v>
      </c>
      <c r="R1385" s="2" t="s">
        <v>228</v>
      </c>
      <c r="S1385" s="2" t="s">
        <v>7092</v>
      </c>
      <c r="T1385" s="2" t="s">
        <v>1608</v>
      </c>
      <c r="U1385" s="2" t="s">
        <v>500</v>
      </c>
      <c r="V1385" s="2" t="s">
        <v>859</v>
      </c>
      <c r="W1385" s="2" t="s">
        <v>309</v>
      </c>
      <c r="X1385" s="2" t="s">
        <v>417</v>
      </c>
      <c r="Y1385" s="2" t="s">
        <v>7093</v>
      </c>
      <c r="Z1385" s="4">
        <v>31</v>
      </c>
      <c r="AA1385" s="4">
        <f>=ROUNDDOWN(4.42857142857143,0)</f>
      </c>
      <c r="AB1385" s="5">
        <v>7</v>
      </c>
      <c r="AC1385" s="2" t="s">
        <v>228</v>
      </c>
      <c r="AD1385" s="4"/>
      <c r="AE1385" s="4"/>
      <c r="AF1385" s="6">
        <v>65</v>
      </c>
      <c r="AG1385" s="6"/>
      <c r="AH1385" s="7">
        <v>1</v>
      </c>
      <c r="AI1385" s="4"/>
      <c r="AJ1385" s="4">
        <f>=ROUNDDOWN({0},0)</f>
      </c>
      <c r="AK1385" s="5"/>
      <c r="AL1385" s="2" t="s">
        <v>228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/>
      <c r="AW1385" s="8"/>
      <c r="AX1385" s="4"/>
      <c r="AY1385" s="8"/>
      <c r="AZ1385" s="7"/>
      <c r="BA1385" s="7"/>
      <c r="BB1385" s="7"/>
      <c r="BC1385" s="4"/>
      <c r="BD1385" s="8"/>
      <c r="BE1385" s="4"/>
      <c r="BF1385" s="8"/>
      <c r="BG1385" s="7"/>
      <c r="BH1385" s="7"/>
      <c r="BI1385" s="7"/>
      <c r="BJ1385" s="4">
        <v>8</v>
      </c>
      <c r="BK1385" s="8">
        <v>352.23</v>
      </c>
      <c r="BL1385" s="2" t="s">
        <v>7094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7095</v>
      </c>
      <c r="BV1385" s="2" t="s">
        <v>228</v>
      </c>
      <c r="BW1385" s="2" t="s">
        <v>228</v>
      </c>
      <c r="BX1385" s="2" t="s">
        <v>337</v>
      </c>
      <c r="BY1385" s="2" t="s">
        <v>274</v>
      </c>
      <c r="BZ1385" s="2" t="s">
        <v>240</v>
      </c>
      <c r="CA1385" s="2" t="s">
        <v>7093</v>
      </c>
      <c r="CB1385" s="2" t="s">
        <v>7096</v>
      </c>
      <c r="CC1385" s="2" t="s">
        <v>241</v>
      </c>
      <c r="CD1385" s="2" t="s">
        <v>228</v>
      </c>
      <c r="CE1385" s="4">
        <v>31</v>
      </c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/>
      <c r="GA1385" s="4"/>
      <c r="GB1385" s="4"/>
      <c r="GC1385" s="4"/>
      <c r="GD1385" s="4"/>
      <c r="GE1385" s="4"/>
      <c r="GF1385" s="4"/>
      <c r="GG1385" s="4"/>
      <c r="GH1385" s="4"/>
      <c r="GI1385" s="4"/>
      <c r="GJ1385" s="4"/>
      <c r="GK1385" s="4"/>
      <c r="GL1385" s="4"/>
      <c r="GM1385" s="4"/>
      <c r="GN1385" s="4"/>
      <c r="GO1385" s="4"/>
      <c r="GP1385" s="4"/>
      <c r="GQ1385" s="4"/>
      <c r="GR1385" s="4"/>
      <c r="GS1385" s="4"/>
      <c r="GT1385" s="4"/>
      <c r="GU1385" s="4"/>
      <c r="GV1385" s="4"/>
      <c r="GW1385" s="4"/>
      <c r="GX1385" s="4"/>
      <c r="GY1385" s="4"/>
      <c r="GZ1385" s="4"/>
      <c r="HA1385" s="4"/>
      <c r="HB1385" s="4"/>
      <c r="HC1385" s="4"/>
      <c r="HD1385" s="4"/>
      <c r="HE1385" s="4"/>
    </row>
    <row r="1386">
      <c r="A1386" s="2" t="s">
        <v>7097</v>
      </c>
      <c r="B1386" s="2" t="s">
        <v>958</v>
      </c>
      <c r="C1386" s="2" t="s">
        <v>835</v>
      </c>
      <c r="D1386" s="2" t="s">
        <v>987</v>
      </c>
      <c r="E1386" s="2" t="s">
        <v>988</v>
      </c>
      <c r="F1386" s="2" t="s">
        <v>7098</v>
      </c>
      <c r="G1386" s="2" t="s">
        <v>7098</v>
      </c>
      <c r="H1386" s="2" t="s">
        <v>228</v>
      </c>
      <c r="I1386" s="2" t="s">
        <v>988</v>
      </c>
      <c r="J1386" s="2" t="s">
        <v>840</v>
      </c>
      <c r="K1386" s="2" t="s">
        <v>7099</v>
      </c>
      <c r="L1386" s="3">
        <v>310</v>
      </c>
      <c r="M1386" s="3">
        <v>325.5</v>
      </c>
      <c r="N1386" s="3">
        <v>649</v>
      </c>
      <c r="O1386" s="2" t="s">
        <v>461</v>
      </c>
      <c r="P1386" s="2" t="s">
        <v>333</v>
      </c>
      <c r="Q1386" s="2" t="s">
        <v>234</v>
      </c>
      <c r="R1386" s="2" t="s">
        <v>228</v>
      </c>
      <c r="S1386" s="2" t="s">
        <v>7100</v>
      </c>
      <c r="T1386" s="2" t="s">
        <v>228</v>
      </c>
      <c r="U1386" s="2" t="s">
        <v>228</v>
      </c>
      <c r="V1386" s="2" t="s">
        <v>236</v>
      </c>
      <c r="W1386" s="2" t="s">
        <v>3057</v>
      </c>
      <c r="X1386" s="2" t="s">
        <v>228</v>
      </c>
      <c r="Y1386" s="2" t="s">
        <v>270</v>
      </c>
      <c r="Z1386" s="4">
        <v>423</v>
      </c>
      <c r="AA1386" s="4">
        <f>=ROUNDDOWN(17.1951219512195,0)</f>
      </c>
      <c r="AB1386" s="5">
        <v>24.6</v>
      </c>
      <c r="AC1386" s="2" t="s">
        <v>228</v>
      </c>
      <c r="AD1386" s="4"/>
      <c r="AE1386" s="4"/>
      <c r="AF1386" s="6">
        <v>74</v>
      </c>
      <c r="AG1386" s="6">
        <v>60</v>
      </c>
      <c r="AH1386" s="7">
        <v>1</v>
      </c>
      <c r="AI1386" s="4"/>
      <c r="AJ1386" s="4">
        <f>=ROUNDDOWN({0},0)</f>
      </c>
      <c r="AK1386" s="5"/>
      <c r="AL1386" s="2" t="s">
        <v>228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/>
      <c r="AW1386" s="8"/>
      <c r="AX1386" s="4"/>
      <c r="AY1386" s="8"/>
      <c r="AZ1386" s="7"/>
      <c r="BA1386" s="7"/>
      <c r="BB1386" s="7"/>
      <c r="BC1386" s="4" t="s">
        <v>228</v>
      </c>
      <c r="BD1386" s="8" t="s">
        <v>228</v>
      </c>
      <c r="BE1386" s="4" t="s">
        <v>228</v>
      </c>
      <c r="BF1386" s="8" t="s">
        <v>228</v>
      </c>
      <c r="BG1386" s="7" t="s">
        <v>228</v>
      </c>
      <c r="BH1386" s="7" t="s">
        <v>228</v>
      </c>
      <c r="BI1386" s="7"/>
      <c r="BJ1386" s="4">
        <v>97</v>
      </c>
      <c r="BK1386" s="8">
        <v>22936.51</v>
      </c>
      <c r="BL1386" s="2" t="s">
        <v>3281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7101</v>
      </c>
      <c r="BV1386" s="2" t="s">
        <v>228</v>
      </c>
      <c r="BW1386" s="2" t="s">
        <v>228</v>
      </c>
      <c r="BX1386" s="2" t="s">
        <v>337</v>
      </c>
      <c r="BY1386" s="2" t="s">
        <v>274</v>
      </c>
      <c r="BZ1386" s="2" t="s">
        <v>240</v>
      </c>
      <c r="CA1386" s="2" t="s">
        <v>7102</v>
      </c>
      <c r="CB1386" s="2" t="s">
        <v>7103</v>
      </c>
      <c r="CC1386" s="2" t="s">
        <v>241</v>
      </c>
      <c r="CD1386" s="2" t="s">
        <v>228</v>
      </c>
      <c r="CE1386" s="4"/>
      <c r="CF1386" s="4">
        <v>68</v>
      </c>
      <c r="CG1386" s="4"/>
      <c r="CH1386" s="4">
        <v>355</v>
      </c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/>
      <c r="GG1386" s="4"/>
      <c r="GH1386" s="4"/>
      <c r="GI1386" s="4"/>
      <c r="GJ1386" s="4"/>
      <c r="GK1386" s="4"/>
      <c r="GL1386" s="4"/>
      <c r="GM1386" s="4"/>
      <c r="GN1386" s="4"/>
      <c r="GO1386" s="4"/>
      <c r="GP1386" s="4"/>
      <c r="GQ1386" s="4"/>
      <c r="GR1386" s="4"/>
      <c r="GS1386" s="4"/>
      <c r="GT1386" s="4"/>
      <c r="GU1386" s="4"/>
      <c r="GV1386" s="4"/>
      <c r="GW1386" s="4"/>
      <c r="GX1386" s="4"/>
      <c r="GY1386" s="4"/>
      <c r="GZ1386" s="4"/>
      <c r="HA1386" s="4"/>
      <c r="HB1386" s="4"/>
      <c r="HC1386" s="4"/>
      <c r="HD1386" s="4"/>
      <c r="HE1386" s="4"/>
    </row>
    <row r="1387">
      <c r="A1387" s="2" t="s">
        <v>7104</v>
      </c>
      <c r="B1387" s="2" t="s">
        <v>958</v>
      </c>
      <c r="C1387" s="2" t="s">
        <v>835</v>
      </c>
      <c r="D1387" s="2" t="s">
        <v>2164</v>
      </c>
      <c r="E1387" s="2" t="s">
        <v>2165</v>
      </c>
      <c r="F1387" s="2" t="s">
        <v>7098</v>
      </c>
      <c r="G1387" s="2" t="s">
        <v>7098</v>
      </c>
      <c r="H1387" s="2" t="s">
        <v>7098</v>
      </c>
      <c r="I1387" s="2" t="s">
        <v>2165</v>
      </c>
      <c r="J1387" s="2" t="s">
        <v>840</v>
      </c>
      <c r="K1387" s="2" t="s">
        <v>7105</v>
      </c>
      <c r="L1387" s="3">
        <v>460</v>
      </c>
      <c r="M1387" s="3">
        <v>483</v>
      </c>
      <c r="N1387" s="3">
        <v>969</v>
      </c>
      <c r="O1387" s="2" t="s">
        <v>461</v>
      </c>
      <c r="P1387" s="2" t="s">
        <v>333</v>
      </c>
      <c r="Q1387" s="2" t="s">
        <v>234</v>
      </c>
      <c r="R1387" s="2" t="s">
        <v>228</v>
      </c>
      <c r="S1387" s="2" t="s">
        <v>228</v>
      </c>
      <c r="T1387" s="2" t="s">
        <v>228</v>
      </c>
      <c r="U1387" s="2" t="s">
        <v>416</v>
      </c>
      <c r="V1387" s="2" t="s">
        <v>236</v>
      </c>
      <c r="W1387" s="2" t="s">
        <v>3057</v>
      </c>
      <c r="X1387" s="2" t="s">
        <v>417</v>
      </c>
      <c r="Y1387" s="2" t="s">
        <v>7106</v>
      </c>
      <c r="Z1387" s="4">
        <v>34</v>
      </c>
      <c r="AA1387" s="4">
        <f>=ROUNDDOWN(340,0)</f>
      </c>
      <c r="AB1387" s="5">
        <v>0.1</v>
      </c>
      <c r="AC1387" s="2" t="s">
        <v>228</v>
      </c>
      <c r="AD1387" s="4"/>
      <c r="AE1387" s="4"/>
      <c r="AF1387" s="6">
        <v>74</v>
      </c>
      <c r="AG1387" s="6"/>
      <c r="AH1387" s="7">
        <v>1</v>
      </c>
      <c r="AI1387" s="4"/>
      <c r="AJ1387" s="4">
        <f>=ROUNDDOWN({0},0)</f>
      </c>
      <c r="AK1387" s="5"/>
      <c r="AL1387" s="2" t="s">
        <v>228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/>
      <c r="AW1387" s="8"/>
      <c r="AX1387" s="4"/>
      <c r="AY1387" s="8"/>
      <c r="AZ1387" s="7"/>
      <c r="BA1387" s="7"/>
      <c r="BB1387" s="7"/>
      <c r="BC1387" s="4" t="s">
        <v>228</v>
      </c>
      <c r="BD1387" s="8" t="s">
        <v>228</v>
      </c>
      <c r="BE1387" s="4" t="s">
        <v>228</v>
      </c>
      <c r="BF1387" s="8" t="s">
        <v>228</v>
      </c>
      <c r="BG1387" s="7" t="s">
        <v>228</v>
      </c>
      <c r="BH1387" s="7" t="s">
        <v>228</v>
      </c>
      <c r="BI1387" s="7"/>
      <c r="BJ1387" s="4"/>
      <c r="BK1387" s="8"/>
      <c r="BL1387" s="2" t="s">
        <v>1933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7107</v>
      </c>
      <c r="BV1387" s="2" t="s">
        <v>228</v>
      </c>
      <c r="BW1387" s="2" t="s">
        <v>228</v>
      </c>
      <c r="BX1387" s="2" t="s">
        <v>337</v>
      </c>
      <c r="BY1387" s="2" t="s">
        <v>274</v>
      </c>
      <c r="BZ1387" s="2" t="s">
        <v>240</v>
      </c>
      <c r="CA1387" s="2" t="s">
        <v>5372</v>
      </c>
      <c r="CB1387" s="2" t="s">
        <v>7108</v>
      </c>
      <c r="CC1387" s="2" t="s">
        <v>241</v>
      </c>
      <c r="CD1387" s="2" t="s">
        <v>228</v>
      </c>
      <c r="CE1387" s="4"/>
      <c r="CF1387" s="4">
        <v>34</v>
      </c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/>
      <c r="GC1387" s="4"/>
      <c r="GD1387" s="4"/>
      <c r="GE1387" s="4"/>
      <c r="GF1387" s="4"/>
      <c r="GG1387" s="4"/>
      <c r="GH1387" s="4"/>
      <c r="GI1387" s="4"/>
      <c r="GJ1387" s="4"/>
      <c r="GK1387" s="4"/>
      <c r="GL1387" s="4"/>
      <c r="GM1387" s="4"/>
      <c r="GN1387" s="4"/>
      <c r="GO1387" s="4"/>
      <c r="GP1387" s="4"/>
      <c r="GQ1387" s="4"/>
      <c r="GR1387" s="4"/>
      <c r="GS1387" s="4"/>
      <c r="GT1387" s="4"/>
      <c r="GU1387" s="4"/>
      <c r="GV1387" s="4"/>
      <c r="GW1387" s="4"/>
      <c r="GX1387" s="4"/>
      <c r="GY1387" s="4"/>
      <c r="GZ1387" s="4"/>
      <c r="HA1387" s="4"/>
      <c r="HB1387" s="4"/>
      <c r="HC1387" s="4"/>
      <c r="HD1387" s="4"/>
      <c r="HE1387" s="4"/>
    </row>
    <row r="1388">
      <c r="A1388" s="2" t="s">
        <v>7109</v>
      </c>
      <c r="B1388" s="2" t="s">
        <v>958</v>
      </c>
      <c r="C1388" s="2" t="s">
        <v>835</v>
      </c>
      <c r="D1388" s="2" t="s">
        <v>987</v>
      </c>
      <c r="E1388" s="2" t="s">
        <v>988</v>
      </c>
      <c r="F1388" s="2" t="s">
        <v>7098</v>
      </c>
      <c r="G1388" s="2" t="s">
        <v>7098</v>
      </c>
      <c r="H1388" s="2" t="s">
        <v>7098</v>
      </c>
      <c r="I1388" s="2" t="s">
        <v>988</v>
      </c>
      <c r="J1388" s="2" t="s">
        <v>840</v>
      </c>
      <c r="K1388" s="2" t="s">
        <v>7110</v>
      </c>
      <c r="L1388" s="3">
        <v>310</v>
      </c>
      <c r="M1388" s="3">
        <v>325.5</v>
      </c>
      <c r="N1388" s="3">
        <v>649</v>
      </c>
      <c r="O1388" s="2" t="s">
        <v>491</v>
      </c>
      <c r="P1388" s="2" t="s">
        <v>333</v>
      </c>
      <c r="Q1388" s="2" t="s">
        <v>234</v>
      </c>
      <c r="R1388" s="2" t="s">
        <v>228</v>
      </c>
      <c r="S1388" s="2" t="s">
        <v>228</v>
      </c>
      <c r="T1388" s="2" t="s">
        <v>228</v>
      </c>
      <c r="U1388" s="2" t="s">
        <v>416</v>
      </c>
      <c r="V1388" s="2" t="s">
        <v>236</v>
      </c>
      <c r="W1388" s="2" t="s">
        <v>3057</v>
      </c>
      <c r="X1388" s="2" t="s">
        <v>417</v>
      </c>
      <c r="Y1388" s="2" t="s">
        <v>3699</v>
      </c>
      <c r="Z1388" s="4">
        <v>85</v>
      </c>
      <c r="AA1388" s="4">
        <f>=ROUNDDOWN(29.3103448275862,0)</f>
      </c>
      <c r="AB1388" s="5">
        <v>2.9</v>
      </c>
      <c r="AC1388" s="2" t="s">
        <v>228</v>
      </c>
      <c r="AD1388" s="4"/>
      <c r="AE1388" s="4"/>
      <c r="AF1388" s="6">
        <v>74</v>
      </c>
      <c r="AG1388" s="6"/>
      <c r="AH1388" s="7">
        <v>1</v>
      </c>
      <c r="AI1388" s="4"/>
      <c r="AJ1388" s="4">
        <f>=ROUNDDOWN({0},0)</f>
      </c>
      <c r="AK1388" s="5"/>
      <c r="AL1388" s="2" t="s">
        <v>228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/>
      <c r="AW1388" s="8"/>
      <c r="AX1388" s="4"/>
      <c r="AY1388" s="8"/>
      <c r="AZ1388" s="7"/>
      <c r="BA1388" s="7"/>
      <c r="BB1388" s="7"/>
      <c r="BC1388" s="4" t="s">
        <v>228</v>
      </c>
      <c r="BD1388" s="8" t="s">
        <v>228</v>
      </c>
      <c r="BE1388" s="4" t="s">
        <v>228</v>
      </c>
      <c r="BF1388" s="8" t="s">
        <v>228</v>
      </c>
      <c r="BG1388" s="7" t="s">
        <v>228</v>
      </c>
      <c r="BH1388" s="7" t="s">
        <v>228</v>
      </c>
      <c r="BI1388" s="7"/>
      <c r="BJ1388" s="4">
        <v>14</v>
      </c>
      <c r="BK1388" s="8">
        <v>3195.39</v>
      </c>
      <c r="BL1388" s="2" t="s">
        <v>3281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7111</v>
      </c>
      <c r="BV1388" s="2" t="s">
        <v>228</v>
      </c>
      <c r="BW1388" s="2" t="s">
        <v>228</v>
      </c>
      <c r="BX1388" s="2" t="s">
        <v>337</v>
      </c>
      <c r="BY1388" s="2" t="s">
        <v>274</v>
      </c>
      <c r="BZ1388" s="2" t="s">
        <v>240</v>
      </c>
      <c r="CA1388" s="2" t="s">
        <v>3699</v>
      </c>
      <c r="CB1388" s="2" t="s">
        <v>2565</v>
      </c>
      <c r="CC1388" s="2" t="s">
        <v>241</v>
      </c>
      <c r="CD1388" s="2" t="s">
        <v>228</v>
      </c>
      <c r="CE1388" s="4"/>
      <c r="CF1388" s="4">
        <v>85</v>
      </c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/>
      <c r="GE1388" s="4"/>
      <c r="GF1388" s="4"/>
      <c r="GG1388" s="4"/>
      <c r="GH1388" s="4"/>
      <c r="GI1388" s="4"/>
      <c r="GJ1388" s="4"/>
      <c r="GK1388" s="4"/>
      <c r="GL1388" s="4"/>
      <c r="GM1388" s="4"/>
      <c r="GN1388" s="4"/>
      <c r="GO1388" s="4"/>
      <c r="GP1388" s="4"/>
      <c r="GQ1388" s="4"/>
      <c r="GR1388" s="4"/>
      <c r="GS1388" s="4"/>
      <c r="GT1388" s="4"/>
      <c r="GU1388" s="4"/>
      <c r="GV1388" s="4"/>
      <c r="GW1388" s="4"/>
      <c r="GX1388" s="4"/>
      <c r="GY1388" s="4"/>
      <c r="GZ1388" s="4"/>
      <c r="HA1388" s="4"/>
      <c r="HB1388" s="4"/>
      <c r="HC1388" s="4"/>
      <c r="HD1388" s="4"/>
      <c r="HE1388" s="4"/>
    </row>
    <row r="1389">
      <c r="A1389" s="2" t="s">
        <v>7112</v>
      </c>
      <c r="B1389" s="2" t="s">
        <v>1150</v>
      </c>
      <c r="C1389" s="2" t="s">
        <v>300</v>
      </c>
      <c r="D1389" s="2" t="s">
        <v>850</v>
      </c>
      <c r="E1389" s="2" t="s">
        <v>1038</v>
      </c>
      <c r="F1389" s="2" t="s">
        <v>7113</v>
      </c>
      <c r="G1389" s="2" t="s">
        <v>7113</v>
      </c>
      <c r="H1389" s="2" t="s">
        <v>7114</v>
      </c>
      <c r="I1389" s="2" t="s">
        <v>7115</v>
      </c>
      <c r="J1389" s="2" t="s">
        <v>1189</v>
      </c>
      <c r="K1389" s="2" t="s">
        <v>6094</v>
      </c>
      <c r="L1389" s="3">
        <v>33.33</v>
      </c>
      <c r="M1389" s="3">
        <v>35</v>
      </c>
      <c r="N1389" s="3">
        <v>69.99</v>
      </c>
      <c r="O1389" s="2" t="s">
        <v>461</v>
      </c>
      <c r="P1389" s="2" t="s">
        <v>333</v>
      </c>
      <c r="Q1389" s="2" t="s">
        <v>234</v>
      </c>
      <c r="R1389" s="2" t="s">
        <v>228</v>
      </c>
      <c r="S1389" s="2" t="s">
        <v>7116</v>
      </c>
      <c r="T1389" s="2" t="s">
        <v>415</v>
      </c>
      <c r="U1389" s="2" t="s">
        <v>500</v>
      </c>
      <c r="V1389" s="2" t="s">
        <v>374</v>
      </c>
      <c r="W1389" s="2" t="s">
        <v>2472</v>
      </c>
      <c r="X1389" s="2" t="s">
        <v>269</v>
      </c>
      <c r="Y1389" s="2" t="s">
        <v>4414</v>
      </c>
      <c r="Z1389" s="4">
        <v>54</v>
      </c>
      <c r="AA1389" s="4">
        <f>=ROUNDDOWN(27,0)</f>
      </c>
      <c r="AB1389" s="5">
        <v>2</v>
      </c>
      <c r="AC1389" s="2" t="s">
        <v>228</v>
      </c>
      <c r="AD1389" s="4"/>
      <c r="AE1389" s="4"/>
      <c r="AF1389" s="6">
        <v>68</v>
      </c>
      <c r="AG1389" s="6"/>
      <c r="AH1389" s="7">
        <v>1</v>
      </c>
      <c r="AI1389" s="4"/>
      <c r="AJ1389" s="4">
        <f>=ROUNDDOWN({0},0)</f>
      </c>
      <c r="AK1389" s="5"/>
      <c r="AL1389" s="2" t="s">
        <v>228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228</v>
      </c>
      <c r="AW1389" s="8" t="s">
        <v>228</v>
      </c>
      <c r="AX1389" s="4" t="s">
        <v>228</v>
      </c>
      <c r="AY1389" s="8" t="s">
        <v>228</v>
      </c>
      <c r="AZ1389" s="7" t="s">
        <v>228</v>
      </c>
      <c r="BA1389" s="7" t="s">
        <v>228</v>
      </c>
      <c r="BB1389" s="7"/>
      <c r="BC1389" s="4" t="s">
        <v>228</v>
      </c>
      <c r="BD1389" s="8" t="s">
        <v>228</v>
      </c>
      <c r="BE1389" s="4" t="s">
        <v>228</v>
      </c>
      <c r="BF1389" s="8" t="s">
        <v>228</v>
      </c>
      <c r="BG1389" s="7" t="s">
        <v>228</v>
      </c>
      <c r="BH1389" s="7" t="s">
        <v>228</v>
      </c>
      <c r="BI1389" s="7"/>
      <c r="BJ1389" s="4">
        <v>4</v>
      </c>
      <c r="BK1389" s="8">
        <v>66.5</v>
      </c>
      <c r="BL1389" s="2" t="s">
        <v>7117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7118</v>
      </c>
      <c r="BV1389" s="2" t="s">
        <v>228</v>
      </c>
      <c r="BW1389" s="2" t="s">
        <v>228</v>
      </c>
      <c r="BX1389" s="2" t="s">
        <v>337</v>
      </c>
      <c r="BY1389" s="2" t="s">
        <v>274</v>
      </c>
      <c r="BZ1389" s="2" t="s">
        <v>240</v>
      </c>
      <c r="CA1389" s="2" t="s">
        <v>7119</v>
      </c>
      <c r="CB1389" s="2" t="s">
        <v>3296</v>
      </c>
      <c r="CC1389" s="2" t="s">
        <v>241</v>
      </c>
      <c r="CD1389" s="2" t="s">
        <v>228</v>
      </c>
      <c r="CE1389" s="4">
        <v>54</v>
      </c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/>
      <c r="GG1389" s="4"/>
      <c r="GH1389" s="4"/>
      <c r="GI1389" s="4"/>
      <c r="GJ1389" s="4"/>
      <c r="GK1389" s="4"/>
      <c r="GL1389" s="4"/>
      <c r="GM1389" s="4"/>
      <c r="GN1389" s="4"/>
      <c r="GO1389" s="4"/>
      <c r="GP1389" s="4"/>
      <c r="GQ1389" s="4"/>
      <c r="GR1389" s="4"/>
      <c r="GS1389" s="4"/>
      <c r="GT1389" s="4"/>
      <c r="GU1389" s="4"/>
      <c r="GV1389" s="4"/>
      <c r="GW1389" s="4"/>
      <c r="GX1389" s="4"/>
      <c r="GY1389" s="4"/>
      <c r="GZ1389" s="4"/>
      <c r="HA1389" s="4"/>
      <c r="HB1389" s="4"/>
      <c r="HC1389" s="4"/>
      <c r="HD1389" s="4"/>
      <c r="HE1389" s="4"/>
    </row>
    <row r="1390">
      <c r="A1390" s="2" t="s">
        <v>7120</v>
      </c>
      <c r="B1390" s="2" t="s">
        <v>1150</v>
      </c>
      <c r="C1390" s="2" t="s">
        <v>300</v>
      </c>
      <c r="D1390" s="2" t="s">
        <v>850</v>
      </c>
      <c r="E1390" s="2" t="s">
        <v>1038</v>
      </c>
      <c r="F1390" s="2" t="s">
        <v>7113</v>
      </c>
      <c r="G1390" s="2" t="s">
        <v>7113</v>
      </c>
      <c r="H1390" s="2" t="s">
        <v>7114</v>
      </c>
      <c r="I1390" s="2" t="s">
        <v>7115</v>
      </c>
      <c r="J1390" s="2" t="s">
        <v>1043</v>
      </c>
      <c r="K1390" s="2" t="s">
        <v>6094</v>
      </c>
      <c r="L1390" s="3">
        <v>38.09</v>
      </c>
      <c r="M1390" s="3">
        <v>39.99</v>
      </c>
      <c r="N1390" s="3">
        <v>79.99</v>
      </c>
      <c r="O1390" s="2" t="s">
        <v>461</v>
      </c>
      <c r="P1390" s="2" t="s">
        <v>333</v>
      </c>
      <c r="Q1390" s="2" t="s">
        <v>234</v>
      </c>
      <c r="R1390" s="2" t="s">
        <v>228</v>
      </c>
      <c r="S1390" s="2" t="s">
        <v>7116</v>
      </c>
      <c r="T1390" s="2" t="s">
        <v>415</v>
      </c>
      <c r="U1390" s="2" t="s">
        <v>500</v>
      </c>
      <c r="V1390" s="2" t="s">
        <v>374</v>
      </c>
      <c r="W1390" s="2" t="s">
        <v>2472</v>
      </c>
      <c r="X1390" s="2" t="s">
        <v>269</v>
      </c>
      <c r="Y1390" s="2" t="s">
        <v>4414</v>
      </c>
      <c r="Z1390" s="4">
        <v>144</v>
      </c>
      <c r="AA1390" s="4">
        <f>=ROUNDDOWN(160,0)</f>
      </c>
      <c r="AB1390" s="5">
        <v>0.9</v>
      </c>
      <c r="AC1390" s="2" t="s">
        <v>228</v>
      </c>
      <c r="AD1390" s="4"/>
      <c r="AE1390" s="4"/>
      <c r="AF1390" s="6">
        <v>68</v>
      </c>
      <c r="AG1390" s="6"/>
      <c r="AH1390" s="7">
        <v>1</v>
      </c>
      <c r="AI1390" s="4"/>
      <c r="AJ1390" s="4">
        <f>=ROUNDDOWN({0},0)</f>
      </c>
      <c r="AK1390" s="5"/>
      <c r="AL1390" s="2" t="s">
        <v>228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 t="s">
        <v>228</v>
      </c>
      <c r="AW1390" s="8" t="s">
        <v>228</v>
      </c>
      <c r="AX1390" s="4" t="s">
        <v>228</v>
      </c>
      <c r="AY1390" s="8" t="s">
        <v>228</v>
      </c>
      <c r="AZ1390" s="7" t="s">
        <v>228</v>
      </c>
      <c r="BA1390" s="7" t="s">
        <v>228</v>
      </c>
      <c r="BB1390" s="7"/>
      <c r="BC1390" s="4" t="s">
        <v>228</v>
      </c>
      <c r="BD1390" s="8" t="s">
        <v>228</v>
      </c>
      <c r="BE1390" s="4" t="s">
        <v>228</v>
      </c>
      <c r="BF1390" s="8" t="s">
        <v>228</v>
      </c>
      <c r="BG1390" s="7" t="s">
        <v>228</v>
      </c>
      <c r="BH1390" s="7" t="s">
        <v>228</v>
      </c>
      <c r="BI1390" s="7"/>
      <c r="BJ1390" s="4">
        <v>3</v>
      </c>
      <c r="BK1390" s="8">
        <v>113.57</v>
      </c>
      <c r="BL1390" s="2" t="s">
        <v>7121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7122</v>
      </c>
      <c r="BV1390" s="2" t="s">
        <v>228</v>
      </c>
      <c r="BW1390" s="2" t="s">
        <v>228</v>
      </c>
      <c r="BX1390" s="2" t="s">
        <v>337</v>
      </c>
      <c r="BY1390" s="2" t="s">
        <v>274</v>
      </c>
      <c r="BZ1390" s="2" t="s">
        <v>240</v>
      </c>
      <c r="CA1390" s="2" t="s">
        <v>7119</v>
      </c>
      <c r="CB1390" s="2" t="s">
        <v>7123</v>
      </c>
      <c r="CC1390" s="2" t="s">
        <v>241</v>
      </c>
      <c r="CD1390" s="2" t="s">
        <v>228</v>
      </c>
      <c r="CE1390" s="4">
        <v>144</v>
      </c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/>
      <c r="GG1390" s="4"/>
      <c r="GH1390" s="4"/>
      <c r="GI1390" s="4"/>
      <c r="GJ1390" s="4"/>
      <c r="GK1390" s="4"/>
      <c r="GL1390" s="4"/>
      <c r="GM1390" s="4"/>
      <c r="GN1390" s="4"/>
      <c r="GO1390" s="4"/>
      <c r="GP1390" s="4"/>
      <c r="GQ1390" s="4"/>
      <c r="GR1390" s="4"/>
      <c r="GS1390" s="4"/>
      <c r="GT1390" s="4"/>
      <c r="GU1390" s="4"/>
      <c r="GV1390" s="4"/>
      <c r="GW1390" s="4"/>
      <c r="GX1390" s="4"/>
      <c r="GY1390" s="4"/>
      <c r="GZ1390" s="4"/>
      <c r="HA1390" s="4"/>
      <c r="HB1390" s="4"/>
      <c r="HC1390" s="4"/>
      <c r="HD1390" s="4"/>
      <c r="HE1390" s="4"/>
    </row>
    <row r="1391">
      <c r="A1391" s="2" t="s">
        <v>7124</v>
      </c>
      <c r="B1391" s="2" t="s">
        <v>848</v>
      </c>
      <c r="C1391" s="2" t="s">
        <v>849</v>
      </c>
      <c r="D1391" s="2" t="s">
        <v>850</v>
      </c>
      <c r="E1391" s="2" t="s">
        <v>1038</v>
      </c>
      <c r="F1391" s="2" t="s">
        <v>6704</v>
      </c>
      <c r="G1391" s="2" t="s">
        <v>3621</v>
      </c>
      <c r="H1391" s="2" t="s">
        <v>7125</v>
      </c>
      <c r="I1391" s="2" t="s">
        <v>7126</v>
      </c>
      <c r="J1391" s="2" t="s">
        <v>1043</v>
      </c>
      <c r="K1391" s="2" t="s">
        <v>7127</v>
      </c>
      <c r="L1391" s="3">
        <v>33.33</v>
      </c>
      <c r="M1391" s="3">
        <v>35</v>
      </c>
      <c r="N1391" s="3">
        <v>69.99</v>
      </c>
      <c r="O1391" s="2" t="s">
        <v>240</v>
      </c>
      <c r="P1391" s="2" t="s">
        <v>233</v>
      </c>
      <c r="Q1391" s="2" t="s">
        <v>234</v>
      </c>
      <c r="R1391" s="2" t="s">
        <v>228</v>
      </c>
      <c r="S1391" s="2" t="s">
        <v>7128</v>
      </c>
      <c r="T1391" s="2" t="s">
        <v>1414</v>
      </c>
      <c r="U1391" s="2" t="s">
        <v>500</v>
      </c>
      <c r="V1391" s="2" t="s">
        <v>2042</v>
      </c>
      <c r="W1391" s="2" t="s">
        <v>417</v>
      </c>
      <c r="X1391" s="2" t="s">
        <v>269</v>
      </c>
      <c r="Y1391" s="2" t="s">
        <v>3591</v>
      </c>
      <c r="Z1391" s="4">
        <v>79</v>
      </c>
      <c r="AA1391" s="4">
        <f>=ROUNDDOWN({0},0)</f>
      </c>
      <c r="AB1391" s="5"/>
      <c r="AC1391" s="2" t="s">
        <v>228</v>
      </c>
      <c r="AD1391" s="4"/>
      <c r="AE1391" s="4"/>
      <c r="AF1391" s="6">
        <v>66</v>
      </c>
      <c r="AG1391" s="6"/>
      <c r="AH1391" s="7">
        <v>1</v>
      </c>
      <c r="AI1391" s="4"/>
      <c r="AJ1391" s="4">
        <f>=ROUNDDOWN({0},0)</f>
      </c>
      <c r="AK1391" s="5"/>
      <c r="AL1391" s="2" t="s">
        <v>228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/>
      <c r="AW1391" s="8"/>
      <c r="AX1391" s="4"/>
      <c r="AY1391" s="8"/>
      <c r="AZ1391" s="7"/>
      <c r="BA1391" s="7"/>
      <c r="BB1391" s="7"/>
      <c r="BC1391" s="4"/>
      <c r="BD1391" s="8"/>
      <c r="BE1391" s="4"/>
      <c r="BF1391" s="8"/>
      <c r="BG1391" s="7"/>
      <c r="BH1391" s="7"/>
      <c r="BI1391" s="7"/>
      <c r="BJ1391" s="4"/>
      <c r="BK1391" s="8"/>
      <c r="BL1391" s="2" t="s">
        <v>228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7129</v>
      </c>
      <c r="BV1391" s="2" t="s">
        <v>228</v>
      </c>
      <c r="BW1391" s="2" t="s">
        <v>228</v>
      </c>
      <c r="BX1391" s="2" t="s">
        <v>273</v>
      </c>
      <c r="BY1391" s="2" t="s">
        <v>274</v>
      </c>
      <c r="BZ1391" s="2" t="s">
        <v>240</v>
      </c>
      <c r="CA1391" s="2" t="s">
        <v>1217</v>
      </c>
      <c r="CB1391" s="2" t="s">
        <v>228</v>
      </c>
      <c r="CC1391" s="2" t="s">
        <v>241</v>
      </c>
      <c r="CD1391" s="2" t="s">
        <v>228</v>
      </c>
      <c r="CE1391" s="4">
        <v>79</v>
      </c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  <c r="GG1391" s="4"/>
      <c r="GH1391" s="4"/>
      <c r="GI1391" s="4"/>
      <c r="GJ1391" s="4"/>
      <c r="GK1391" s="4"/>
      <c r="GL1391" s="4"/>
      <c r="GM1391" s="4"/>
      <c r="GN1391" s="4"/>
      <c r="GO1391" s="4"/>
      <c r="GP1391" s="4"/>
      <c r="GQ1391" s="4"/>
      <c r="GR1391" s="4"/>
      <c r="GS1391" s="4"/>
      <c r="GT1391" s="4"/>
      <c r="GU1391" s="4"/>
      <c r="GV1391" s="4"/>
      <c r="GW1391" s="4"/>
      <c r="GX1391" s="4"/>
      <c r="GY1391" s="4"/>
      <c r="GZ1391" s="4"/>
      <c r="HA1391" s="4"/>
      <c r="HB1391" s="4"/>
      <c r="HC1391" s="4"/>
      <c r="HD1391" s="4"/>
      <c r="HE1391" s="4"/>
    </row>
    <row r="1392">
      <c r="A1392" s="2" t="s">
        <v>7130</v>
      </c>
      <c r="B1392" s="2" t="s">
        <v>1374</v>
      </c>
      <c r="C1392" s="2" t="s">
        <v>300</v>
      </c>
      <c r="D1392" s="2" t="s">
        <v>1375</v>
      </c>
      <c r="E1392" s="2" t="s">
        <v>1376</v>
      </c>
      <c r="F1392" s="2" t="s">
        <v>7131</v>
      </c>
      <c r="G1392" s="2" t="s">
        <v>7132</v>
      </c>
      <c r="H1392" s="2" t="s">
        <v>7133</v>
      </c>
      <c r="I1392" s="2" t="s">
        <v>7134</v>
      </c>
      <c r="J1392" s="2" t="s">
        <v>7135</v>
      </c>
      <c r="K1392" s="2" t="s">
        <v>316</v>
      </c>
      <c r="L1392" s="3">
        <v>13.29</v>
      </c>
      <c r="M1392" s="3">
        <v>13.95</v>
      </c>
      <c r="N1392" s="3">
        <v>26.99</v>
      </c>
      <c r="O1392" s="2" t="s">
        <v>240</v>
      </c>
      <c r="P1392" s="2" t="s">
        <v>266</v>
      </c>
      <c r="Q1392" s="2" t="s">
        <v>234</v>
      </c>
      <c r="R1392" s="2" t="s">
        <v>228</v>
      </c>
      <c r="S1392" s="2" t="s">
        <v>7136</v>
      </c>
      <c r="T1392" s="2" t="s">
        <v>228</v>
      </c>
      <c r="U1392" s="2" t="s">
        <v>416</v>
      </c>
      <c r="V1392" s="2" t="s">
        <v>236</v>
      </c>
      <c r="W1392" s="2" t="s">
        <v>269</v>
      </c>
      <c r="X1392" s="2" t="s">
        <v>228</v>
      </c>
      <c r="Y1392" s="2" t="s">
        <v>7137</v>
      </c>
      <c r="Z1392" s="4">
        <v>410</v>
      </c>
      <c r="AA1392" s="4">
        <f>=ROUNDDOWN(29.2857142857143,0)</f>
      </c>
      <c r="AB1392" s="5">
        <v>14</v>
      </c>
      <c r="AC1392" s="2" t="s">
        <v>187</v>
      </c>
      <c r="AD1392" s="4">
        <v>150</v>
      </c>
      <c r="AE1392" s="4">
        <v>180</v>
      </c>
      <c r="AF1392" s="6">
        <v>69</v>
      </c>
      <c r="AG1392" s="6"/>
      <c r="AH1392" s="7">
        <v>1</v>
      </c>
      <c r="AI1392" s="4"/>
      <c r="AJ1392" s="4">
        <f>=ROUNDDOWN({0},0)</f>
      </c>
      <c r="AK1392" s="5"/>
      <c r="AL1392" s="2" t="s">
        <v>228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 t="s">
        <v>228</v>
      </c>
      <c r="AW1392" s="8" t="s">
        <v>228</v>
      </c>
      <c r="AX1392" s="4" t="s">
        <v>228</v>
      </c>
      <c r="AY1392" s="8" t="s">
        <v>228</v>
      </c>
      <c r="AZ1392" s="7" t="s">
        <v>228</v>
      </c>
      <c r="BA1392" s="7" t="s">
        <v>228</v>
      </c>
      <c r="BB1392" s="7"/>
      <c r="BC1392" s="4" t="s">
        <v>228</v>
      </c>
      <c r="BD1392" s="8" t="s">
        <v>228</v>
      </c>
      <c r="BE1392" s="4" t="s">
        <v>228</v>
      </c>
      <c r="BF1392" s="8" t="s">
        <v>228</v>
      </c>
      <c r="BG1392" s="7" t="s">
        <v>228</v>
      </c>
      <c r="BH1392" s="7" t="s">
        <v>228</v>
      </c>
      <c r="BI1392" s="7"/>
      <c r="BJ1392" s="4">
        <v>45</v>
      </c>
      <c r="BK1392" s="8">
        <v>653.52</v>
      </c>
      <c r="BL1392" s="2" t="s">
        <v>5364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7138</v>
      </c>
      <c r="BV1392" s="2" t="s">
        <v>228</v>
      </c>
      <c r="BW1392" s="2" t="s">
        <v>228</v>
      </c>
      <c r="BX1392" s="2" t="s">
        <v>273</v>
      </c>
      <c r="BY1392" s="2" t="s">
        <v>274</v>
      </c>
      <c r="BZ1392" s="2" t="s">
        <v>240</v>
      </c>
      <c r="CA1392" s="2" t="s">
        <v>7139</v>
      </c>
      <c r="CB1392" s="2" t="s">
        <v>7140</v>
      </c>
      <c r="CC1392" s="2" t="s">
        <v>241</v>
      </c>
      <c r="CD1392" s="2" t="s">
        <v>228</v>
      </c>
      <c r="CE1392" s="4">
        <v>410</v>
      </c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>
        <v>150</v>
      </c>
      <c r="FX1392" s="4"/>
      <c r="FY1392" s="4"/>
      <c r="FZ1392" s="4"/>
      <c r="GA1392" s="4"/>
      <c r="GB1392" s="4"/>
      <c r="GC1392" s="4"/>
      <c r="GD1392" s="4"/>
      <c r="GE1392" s="4"/>
      <c r="GF1392" s="4"/>
      <c r="GG1392" s="4"/>
      <c r="GH1392" s="4"/>
      <c r="GI1392" s="4"/>
      <c r="GJ1392" s="4"/>
      <c r="GK1392" s="4"/>
      <c r="GL1392" s="4"/>
      <c r="GM1392" s="4"/>
      <c r="GN1392" s="4"/>
      <c r="GO1392" s="4"/>
      <c r="GP1392" s="4"/>
      <c r="GQ1392" s="4"/>
      <c r="GR1392" s="4"/>
      <c r="GS1392" s="4"/>
      <c r="GT1392" s="4"/>
      <c r="GU1392" s="4"/>
      <c r="GV1392" s="4"/>
      <c r="GW1392" s="4"/>
      <c r="GX1392" s="4"/>
      <c r="GY1392" s="4"/>
      <c r="GZ1392" s="4">
        <v>30</v>
      </c>
      <c r="HA1392" s="4"/>
      <c r="HB1392" s="4"/>
      <c r="HC1392" s="4"/>
      <c r="HD1392" s="4"/>
      <c r="HE1392" s="4"/>
    </row>
    <row r="1393">
      <c r="A1393" s="2" t="s">
        <v>7141</v>
      </c>
      <c r="B1393" s="2" t="s">
        <v>1374</v>
      </c>
      <c r="C1393" s="2" t="s">
        <v>300</v>
      </c>
      <c r="D1393" s="2" t="s">
        <v>1375</v>
      </c>
      <c r="E1393" s="2" t="s">
        <v>1376</v>
      </c>
      <c r="F1393" s="2" t="s">
        <v>7131</v>
      </c>
      <c r="G1393" s="2" t="s">
        <v>7132</v>
      </c>
      <c r="H1393" s="2" t="s">
        <v>7133</v>
      </c>
      <c r="I1393" s="2" t="s">
        <v>7134</v>
      </c>
      <c r="J1393" s="2" t="s">
        <v>1378</v>
      </c>
      <c r="K1393" s="2" t="s">
        <v>316</v>
      </c>
      <c r="L1393" s="3">
        <v>16.24</v>
      </c>
      <c r="M1393" s="3">
        <v>17.05</v>
      </c>
      <c r="N1393" s="3">
        <v>32.99</v>
      </c>
      <c r="O1393" s="2" t="s">
        <v>240</v>
      </c>
      <c r="P1393" s="2" t="s">
        <v>266</v>
      </c>
      <c r="Q1393" s="2" t="s">
        <v>234</v>
      </c>
      <c r="R1393" s="2" t="s">
        <v>228</v>
      </c>
      <c r="S1393" s="2" t="s">
        <v>7136</v>
      </c>
      <c r="T1393" s="2" t="s">
        <v>228</v>
      </c>
      <c r="U1393" s="2" t="s">
        <v>416</v>
      </c>
      <c r="V1393" s="2" t="s">
        <v>236</v>
      </c>
      <c r="W1393" s="2" t="s">
        <v>269</v>
      </c>
      <c r="X1393" s="2" t="s">
        <v>228</v>
      </c>
      <c r="Y1393" s="2" t="s">
        <v>7137</v>
      </c>
      <c r="Z1393" s="4">
        <v>305</v>
      </c>
      <c r="AA1393" s="4">
        <f>=ROUNDDOWN(21.7857142857143,0)</f>
      </c>
      <c r="AB1393" s="5">
        <v>14</v>
      </c>
      <c r="AC1393" s="2" t="s">
        <v>187</v>
      </c>
      <c r="AD1393" s="4">
        <v>60</v>
      </c>
      <c r="AE1393" s="4">
        <v>132</v>
      </c>
      <c r="AF1393" s="6">
        <v>69</v>
      </c>
      <c r="AG1393" s="6"/>
      <c r="AH1393" s="7">
        <v>1</v>
      </c>
      <c r="AI1393" s="4"/>
      <c r="AJ1393" s="4">
        <f>=ROUNDDOWN({0},0)</f>
      </c>
      <c r="AK1393" s="5"/>
      <c r="AL1393" s="2" t="s">
        <v>228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 t="s">
        <v>228</v>
      </c>
      <c r="AW1393" s="8" t="s">
        <v>228</v>
      </c>
      <c r="AX1393" s="4" t="s">
        <v>228</v>
      </c>
      <c r="AY1393" s="8" t="s">
        <v>228</v>
      </c>
      <c r="AZ1393" s="7" t="s">
        <v>228</v>
      </c>
      <c r="BA1393" s="7" t="s">
        <v>228</v>
      </c>
      <c r="BB1393" s="7"/>
      <c r="BC1393" s="4" t="s">
        <v>228</v>
      </c>
      <c r="BD1393" s="8" t="s">
        <v>228</v>
      </c>
      <c r="BE1393" s="4" t="s">
        <v>228</v>
      </c>
      <c r="BF1393" s="8" t="s">
        <v>228</v>
      </c>
      <c r="BG1393" s="7" t="s">
        <v>228</v>
      </c>
      <c r="BH1393" s="7" t="s">
        <v>228</v>
      </c>
      <c r="BI1393" s="7"/>
      <c r="BJ1393" s="4">
        <v>72</v>
      </c>
      <c r="BK1393" s="8">
        <v>1305.85</v>
      </c>
      <c r="BL1393" s="2" t="s">
        <v>7142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7143</v>
      </c>
      <c r="BV1393" s="2" t="s">
        <v>228</v>
      </c>
      <c r="BW1393" s="2" t="s">
        <v>228</v>
      </c>
      <c r="BX1393" s="2" t="s">
        <v>273</v>
      </c>
      <c r="BY1393" s="2" t="s">
        <v>274</v>
      </c>
      <c r="BZ1393" s="2" t="s">
        <v>240</v>
      </c>
      <c r="CA1393" s="2" t="s">
        <v>7139</v>
      </c>
      <c r="CB1393" s="2" t="s">
        <v>7144</v>
      </c>
      <c r="CC1393" s="2" t="s">
        <v>241</v>
      </c>
      <c r="CD1393" s="2" t="s">
        <v>228</v>
      </c>
      <c r="CE1393" s="4">
        <v>305</v>
      </c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>
        <v>60</v>
      </c>
      <c r="FX1393" s="4"/>
      <c r="FY1393" s="4"/>
      <c r="FZ1393" s="4"/>
      <c r="GA1393" s="4"/>
      <c r="GB1393" s="4"/>
      <c r="GC1393" s="4"/>
      <c r="GD1393" s="4"/>
      <c r="GE1393" s="4"/>
      <c r="GF1393" s="4"/>
      <c r="GG1393" s="4"/>
      <c r="GH1393" s="4"/>
      <c r="GI1393" s="4"/>
      <c r="GJ1393" s="4"/>
      <c r="GK1393" s="4"/>
      <c r="GL1393" s="4"/>
      <c r="GM1393" s="4"/>
      <c r="GN1393" s="4"/>
      <c r="GO1393" s="4"/>
      <c r="GP1393" s="4"/>
      <c r="GQ1393" s="4"/>
      <c r="GR1393" s="4"/>
      <c r="GS1393" s="4"/>
      <c r="GT1393" s="4"/>
      <c r="GU1393" s="4"/>
      <c r="GV1393" s="4"/>
      <c r="GW1393" s="4"/>
      <c r="GX1393" s="4"/>
      <c r="GY1393" s="4"/>
      <c r="GZ1393" s="4">
        <v>72</v>
      </c>
      <c r="HA1393" s="4"/>
      <c r="HB1393" s="4"/>
      <c r="HC1393" s="4"/>
      <c r="HD1393" s="4"/>
      <c r="HE1393" s="4"/>
    </row>
    <row r="1394">
      <c r="A1394" s="2" t="s">
        <v>7145</v>
      </c>
      <c r="B1394" s="2" t="s">
        <v>1374</v>
      </c>
      <c r="C1394" s="2" t="s">
        <v>300</v>
      </c>
      <c r="D1394" s="2" t="s">
        <v>1375</v>
      </c>
      <c r="E1394" s="2" t="s">
        <v>1376</v>
      </c>
      <c r="F1394" s="2" t="s">
        <v>7131</v>
      </c>
      <c r="G1394" s="2" t="s">
        <v>7132</v>
      </c>
      <c r="H1394" s="2" t="s">
        <v>7133</v>
      </c>
      <c r="I1394" s="2" t="s">
        <v>7134</v>
      </c>
      <c r="J1394" s="2" t="s">
        <v>7146</v>
      </c>
      <c r="K1394" s="2" t="s">
        <v>316</v>
      </c>
      <c r="L1394" s="3">
        <v>23.63</v>
      </c>
      <c r="M1394" s="3">
        <v>24.81</v>
      </c>
      <c r="N1394" s="3">
        <v>47.99</v>
      </c>
      <c r="O1394" s="2" t="s">
        <v>240</v>
      </c>
      <c r="P1394" s="2" t="s">
        <v>266</v>
      </c>
      <c r="Q1394" s="2" t="s">
        <v>234</v>
      </c>
      <c r="R1394" s="2" t="s">
        <v>228</v>
      </c>
      <c r="S1394" s="2" t="s">
        <v>7136</v>
      </c>
      <c r="T1394" s="2" t="s">
        <v>228</v>
      </c>
      <c r="U1394" s="2" t="s">
        <v>416</v>
      </c>
      <c r="V1394" s="2" t="s">
        <v>236</v>
      </c>
      <c r="W1394" s="2" t="s">
        <v>269</v>
      </c>
      <c r="X1394" s="2" t="s">
        <v>228</v>
      </c>
      <c r="Y1394" s="2" t="s">
        <v>7137</v>
      </c>
      <c r="Z1394" s="4">
        <v>409</v>
      </c>
      <c r="AA1394" s="4">
        <f>=ROUNDDOWN(29.2142857142857,0)</f>
      </c>
      <c r="AB1394" s="5">
        <v>14</v>
      </c>
      <c r="AC1394" s="2" t="s">
        <v>187</v>
      </c>
      <c r="AD1394" s="4">
        <v>138</v>
      </c>
      <c r="AE1394" s="4">
        <v>282</v>
      </c>
      <c r="AF1394" s="6">
        <v>69</v>
      </c>
      <c r="AG1394" s="6"/>
      <c r="AH1394" s="7">
        <v>1</v>
      </c>
      <c r="AI1394" s="4"/>
      <c r="AJ1394" s="4">
        <f>=ROUNDDOWN({0},0)</f>
      </c>
      <c r="AK1394" s="5"/>
      <c r="AL1394" s="2" t="s">
        <v>228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 t="s">
        <v>228</v>
      </c>
      <c r="AW1394" s="8" t="s">
        <v>228</v>
      </c>
      <c r="AX1394" s="4" t="s">
        <v>228</v>
      </c>
      <c r="AY1394" s="8" t="s">
        <v>228</v>
      </c>
      <c r="AZ1394" s="7" t="s">
        <v>228</v>
      </c>
      <c r="BA1394" s="7" t="s">
        <v>228</v>
      </c>
      <c r="BB1394" s="7"/>
      <c r="BC1394" s="4" t="s">
        <v>228</v>
      </c>
      <c r="BD1394" s="8" t="s">
        <v>228</v>
      </c>
      <c r="BE1394" s="4" t="s">
        <v>228</v>
      </c>
      <c r="BF1394" s="8" t="s">
        <v>228</v>
      </c>
      <c r="BG1394" s="7" t="s">
        <v>228</v>
      </c>
      <c r="BH1394" s="7" t="s">
        <v>228</v>
      </c>
      <c r="BI1394" s="7"/>
      <c r="BJ1394" s="4">
        <v>21</v>
      </c>
      <c r="BK1394" s="8">
        <v>536.41</v>
      </c>
      <c r="BL1394" s="2" t="s">
        <v>7147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7148</v>
      </c>
      <c r="BV1394" s="2" t="s">
        <v>228</v>
      </c>
      <c r="BW1394" s="2" t="s">
        <v>228</v>
      </c>
      <c r="BX1394" s="2" t="s">
        <v>273</v>
      </c>
      <c r="BY1394" s="2" t="s">
        <v>274</v>
      </c>
      <c r="BZ1394" s="2" t="s">
        <v>240</v>
      </c>
      <c r="CA1394" s="2" t="s">
        <v>7149</v>
      </c>
      <c r="CB1394" s="2" t="s">
        <v>7150</v>
      </c>
      <c r="CC1394" s="2" t="s">
        <v>241</v>
      </c>
      <c r="CD1394" s="2" t="s">
        <v>228</v>
      </c>
      <c r="CE1394" s="4">
        <v>408</v>
      </c>
      <c r="CF1394" s="4">
        <v>1</v>
      </c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>
        <v>138</v>
      </c>
      <c r="FX1394" s="4"/>
      <c r="FY1394" s="4"/>
      <c r="FZ1394" s="4"/>
      <c r="GA1394" s="4"/>
      <c r="GB1394" s="4"/>
      <c r="GC1394" s="4"/>
      <c r="GD1394" s="4"/>
      <c r="GE1394" s="4"/>
      <c r="GF1394" s="4"/>
      <c r="GG1394" s="4"/>
      <c r="GH1394" s="4"/>
      <c r="GI1394" s="4"/>
      <c r="GJ1394" s="4"/>
      <c r="GK1394" s="4"/>
      <c r="GL1394" s="4"/>
      <c r="GM1394" s="4"/>
      <c r="GN1394" s="4"/>
      <c r="GO1394" s="4"/>
      <c r="GP1394" s="4"/>
      <c r="GQ1394" s="4"/>
      <c r="GR1394" s="4"/>
      <c r="GS1394" s="4"/>
      <c r="GT1394" s="4"/>
      <c r="GU1394" s="4"/>
      <c r="GV1394" s="4"/>
      <c r="GW1394" s="4"/>
      <c r="GX1394" s="4"/>
      <c r="GY1394" s="4"/>
      <c r="GZ1394" s="4">
        <v>144</v>
      </c>
      <c r="HA1394" s="4"/>
      <c r="HB1394" s="4"/>
      <c r="HC1394" s="4"/>
      <c r="HD1394" s="4"/>
      <c r="HE1394" s="4"/>
    </row>
    <row r="1395">
      <c r="A1395" s="2" t="s">
        <v>7151</v>
      </c>
      <c r="B1395" s="2" t="s">
        <v>1150</v>
      </c>
      <c r="C1395" s="2" t="s">
        <v>300</v>
      </c>
      <c r="D1395" s="2" t="s">
        <v>1112</v>
      </c>
      <c r="E1395" s="2" t="s">
        <v>1165</v>
      </c>
      <c r="F1395" s="2" t="s">
        <v>2576</v>
      </c>
      <c r="G1395" s="2" t="s">
        <v>7152</v>
      </c>
      <c r="H1395" s="2" t="s">
        <v>7153</v>
      </c>
      <c r="I1395" s="2" t="s">
        <v>7154</v>
      </c>
      <c r="J1395" s="2" t="s">
        <v>312</v>
      </c>
      <c r="K1395" s="2" t="s">
        <v>556</v>
      </c>
      <c r="L1395" s="3">
        <v>63.06</v>
      </c>
      <c r="M1395" s="3">
        <v>66.21</v>
      </c>
      <c r="N1395" s="3">
        <v>119.99</v>
      </c>
      <c r="O1395" s="2" t="s">
        <v>240</v>
      </c>
      <c r="P1395" s="2" t="s">
        <v>266</v>
      </c>
      <c r="Q1395" s="2" t="s">
        <v>234</v>
      </c>
      <c r="R1395" s="2" t="s">
        <v>228</v>
      </c>
      <c r="S1395" s="2" t="s">
        <v>7155</v>
      </c>
      <c r="T1395" s="2" t="s">
        <v>228</v>
      </c>
      <c r="U1395" s="2" t="s">
        <v>1331</v>
      </c>
      <c r="V1395" s="2" t="s">
        <v>5029</v>
      </c>
      <c r="W1395" s="2" t="s">
        <v>463</v>
      </c>
      <c r="X1395" s="2" t="s">
        <v>417</v>
      </c>
      <c r="Y1395" s="2" t="s">
        <v>3919</v>
      </c>
      <c r="Z1395" s="4">
        <v>115</v>
      </c>
      <c r="AA1395" s="4">
        <f>=ROUNDDOWN(28.75,0)</f>
      </c>
      <c r="AB1395" s="5">
        <v>4</v>
      </c>
      <c r="AC1395" s="2" t="s">
        <v>1014</v>
      </c>
      <c r="AD1395" s="4">
        <v>30</v>
      </c>
      <c r="AE1395" s="4">
        <v>200</v>
      </c>
      <c r="AF1395" s="6">
        <v>65</v>
      </c>
      <c r="AG1395" s="6">
        <v>48</v>
      </c>
      <c r="AH1395" s="7">
        <v>1</v>
      </c>
      <c r="AI1395" s="4"/>
      <c r="AJ1395" s="4">
        <f>=ROUNDDOWN({0},0)</f>
      </c>
      <c r="AK1395" s="5"/>
      <c r="AL1395" s="2" t="s">
        <v>228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/>
      <c r="AW1395" s="8"/>
      <c r="AX1395" s="4"/>
      <c r="AY1395" s="8"/>
      <c r="AZ1395" s="7"/>
      <c r="BA1395" s="7"/>
      <c r="BB1395" s="7"/>
      <c r="BC1395" s="4" t="s">
        <v>228</v>
      </c>
      <c r="BD1395" s="8" t="s">
        <v>228</v>
      </c>
      <c r="BE1395" s="4" t="s">
        <v>228</v>
      </c>
      <c r="BF1395" s="8" t="s">
        <v>228</v>
      </c>
      <c r="BG1395" s="7" t="s">
        <v>228</v>
      </c>
      <c r="BH1395" s="7" t="s">
        <v>228</v>
      </c>
      <c r="BI1395" s="7"/>
      <c r="BJ1395" s="4">
        <v>8</v>
      </c>
      <c r="BK1395" s="8">
        <v>593.27</v>
      </c>
      <c r="BL1395" s="2" t="s">
        <v>7156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7157</v>
      </c>
      <c r="BV1395" s="2" t="s">
        <v>228</v>
      </c>
      <c r="BW1395" s="2" t="s">
        <v>228</v>
      </c>
      <c r="BX1395" s="2" t="s">
        <v>273</v>
      </c>
      <c r="BY1395" s="2" t="s">
        <v>274</v>
      </c>
      <c r="BZ1395" s="2" t="s">
        <v>240</v>
      </c>
      <c r="CA1395" s="2" t="s">
        <v>7158</v>
      </c>
      <c r="CB1395" s="2" t="s">
        <v>7159</v>
      </c>
      <c r="CC1395" s="2" t="s">
        <v>241</v>
      </c>
      <c r="CD1395" s="2" t="s">
        <v>228</v>
      </c>
      <c r="CE1395" s="4">
        <v>106</v>
      </c>
      <c r="CF1395" s="4"/>
      <c r="CG1395" s="4"/>
      <c r="CH1395" s="4">
        <v>9</v>
      </c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>
        <v>30</v>
      </c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>
        <v>30</v>
      </c>
      <c r="EQ1395" s="4">
        <v>20</v>
      </c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>
        <v>120</v>
      </c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/>
      <c r="GH1395" s="4"/>
      <c r="GI1395" s="4"/>
      <c r="GJ1395" s="4"/>
      <c r="GK1395" s="4"/>
      <c r="GL1395" s="4"/>
      <c r="GM1395" s="4"/>
      <c r="GN1395" s="4"/>
      <c r="GO1395" s="4"/>
      <c r="GP1395" s="4"/>
      <c r="GQ1395" s="4"/>
      <c r="GR1395" s="4"/>
      <c r="GS1395" s="4"/>
      <c r="GT1395" s="4"/>
      <c r="GU1395" s="4"/>
      <c r="GV1395" s="4"/>
      <c r="GW1395" s="4"/>
      <c r="GX1395" s="4"/>
      <c r="GY1395" s="4"/>
      <c r="GZ1395" s="4"/>
      <c r="HA1395" s="4"/>
      <c r="HB1395" s="4"/>
      <c r="HC1395" s="4"/>
      <c r="HD1395" s="4"/>
      <c r="HE1395" s="4"/>
    </row>
    <row r="1396">
      <c r="A1396" s="2" t="s">
        <v>7160</v>
      </c>
      <c r="B1396" s="2" t="s">
        <v>958</v>
      </c>
      <c r="C1396" s="2" t="s">
        <v>1743</v>
      </c>
      <c r="D1396" s="2" t="s">
        <v>987</v>
      </c>
      <c r="E1396" s="2" t="s">
        <v>988</v>
      </c>
      <c r="F1396" s="2" t="s">
        <v>2576</v>
      </c>
      <c r="G1396" s="2" t="s">
        <v>2576</v>
      </c>
      <c r="H1396" s="2" t="s">
        <v>2576</v>
      </c>
      <c r="I1396" s="2" t="s">
        <v>7161</v>
      </c>
      <c r="J1396" s="2" t="s">
        <v>840</v>
      </c>
      <c r="K1396" s="2" t="s">
        <v>5319</v>
      </c>
      <c r="L1396" s="3">
        <v>101.26</v>
      </c>
      <c r="M1396" s="3">
        <v>106.32</v>
      </c>
      <c r="N1396" s="3">
        <v>199.99</v>
      </c>
      <c r="O1396" s="2" t="s">
        <v>461</v>
      </c>
      <c r="P1396" s="2" t="s">
        <v>333</v>
      </c>
      <c r="Q1396" s="2" t="s">
        <v>234</v>
      </c>
      <c r="R1396" s="2" t="s">
        <v>228</v>
      </c>
      <c r="S1396" s="2" t="s">
        <v>228</v>
      </c>
      <c r="T1396" s="2" t="s">
        <v>228</v>
      </c>
      <c r="U1396" s="2" t="s">
        <v>228</v>
      </c>
      <c r="V1396" s="2" t="s">
        <v>842</v>
      </c>
      <c r="W1396" s="2" t="s">
        <v>417</v>
      </c>
      <c r="X1396" s="2" t="s">
        <v>463</v>
      </c>
      <c r="Y1396" s="2" t="s">
        <v>3058</v>
      </c>
      <c r="Z1396" s="4">
        <v>236</v>
      </c>
      <c r="AA1396" s="4">
        <f>=ROUNDDOWN(214.545454545455,0)</f>
      </c>
      <c r="AB1396" s="5">
        <v>1.1</v>
      </c>
      <c r="AC1396" s="2" t="s">
        <v>228</v>
      </c>
      <c r="AD1396" s="4"/>
      <c r="AE1396" s="4"/>
      <c r="AF1396" s="6">
        <v>74</v>
      </c>
      <c r="AG1396" s="6"/>
      <c r="AH1396" s="7">
        <v>1</v>
      </c>
      <c r="AI1396" s="4"/>
      <c r="AJ1396" s="4">
        <f>=ROUNDDOWN({0},0)</f>
      </c>
      <c r="AK1396" s="5"/>
      <c r="AL1396" s="2" t="s">
        <v>228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/>
      <c r="AW1396" s="8"/>
      <c r="AX1396" s="4"/>
      <c r="AY1396" s="8"/>
      <c r="AZ1396" s="7"/>
      <c r="BA1396" s="7"/>
      <c r="BB1396" s="7"/>
      <c r="BC1396" s="4" t="s">
        <v>228</v>
      </c>
      <c r="BD1396" s="8" t="s">
        <v>228</v>
      </c>
      <c r="BE1396" s="4" t="s">
        <v>228</v>
      </c>
      <c r="BF1396" s="8" t="s">
        <v>228</v>
      </c>
      <c r="BG1396" s="7" t="s">
        <v>228</v>
      </c>
      <c r="BH1396" s="7" t="s">
        <v>228</v>
      </c>
      <c r="BI1396" s="7"/>
      <c r="BJ1396" s="4">
        <v>5</v>
      </c>
      <c r="BK1396" s="8">
        <v>592.72</v>
      </c>
      <c r="BL1396" s="2" t="s">
        <v>2800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7162</v>
      </c>
      <c r="BV1396" s="2" t="s">
        <v>228</v>
      </c>
      <c r="BW1396" s="2" t="s">
        <v>228</v>
      </c>
      <c r="BX1396" s="2" t="s">
        <v>337</v>
      </c>
      <c r="BY1396" s="2" t="s">
        <v>274</v>
      </c>
      <c r="BZ1396" s="2" t="s">
        <v>240</v>
      </c>
      <c r="CA1396" s="2" t="s">
        <v>5829</v>
      </c>
      <c r="CB1396" s="2" t="s">
        <v>7163</v>
      </c>
      <c r="CC1396" s="2" t="s">
        <v>241</v>
      </c>
      <c r="CD1396" s="2" t="s">
        <v>228</v>
      </c>
      <c r="CE1396" s="4"/>
      <c r="CF1396" s="4">
        <v>236</v>
      </c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/>
      <c r="GE1396" s="4"/>
      <c r="GF1396" s="4"/>
      <c r="GG1396" s="4"/>
      <c r="GH1396" s="4"/>
      <c r="GI1396" s="4"/>
      <c r="GJ1396" s="4"/>
      <c r="GK1396" s="4"/>
      <c r="GL1396" s="4"/>
      <c r="GM1396" s="4"/>
      <c r="GN1396" s="4"/>
      <c r="GO1396" s="4"/>
      <c r="GP1396" s="4"/>
      <c r="GQ1396" s="4"/>
      <c r="GR1396" s="4"/>
      <c r="GS1396" s="4"/>
      <c r="GT1396" s="4"/>
      <c r="GU1396" s="4"/>
      <c r="GV1396" s="4"/>
      <c r="GW1396" s="4"/>
      <c r="GX1396" s="4"/>
      <c r="GY1396" s="4"/>
      <c r="GZ1396" s="4"/>
      <c r="HA1396" s="4"/>
      <c r="HB1396" s="4"/>
      <c r="HC1396" s="4"/>
      <c r="HD1396" s="4"/>
      <c r="HE1396" s="4"/>
    </row>
    <row r="1397">
      <c r="A1397" s="2" t="s">
        <v>7164</v>
      </c>
      <c r="B1397" s="2" t="s">
        <v>1150</v>
      </c>
      <c r="C1397" s="2" t="s">
        <v>300</v>
      </c>
      <c r="D1397" s="2" t="s">
        <v>1112</v>
      </c>
      <c r="E1397" s="2" t="s">
        <v>1165</v>
      </c>
      <c r="F1397" s="2" t="s">
        <v>2576</v>
      </c>
      <c r="G1397" s="2" t="s">
        <v>7152</v>
      </c>
      <c r="H1397" s="2" t="s">
        <v>7153</v>
      </c>
      <c r="I1397" s="2" t="s">
        <v>7154</v>
      </c>
      <c r="J1397" s="2" t="s">
        <v>284</v>
      </c>
      <c r="K1397" s="2" t="s">
        <v>7165</v>
      </c>
      <c r="L1397" s="3">
        <v>49.9</v>
      </c>
      <c r="M1397" s="3">
        <v>52.4</v>
      </c>
      <c r="N1397" s="3">
        <v>89.99</v>
      </c>
      <c r="O1397" s="2" t="s">
        <v>240</v>
      </c>
      <c r="P1397" s="2" t="s">
        <v>266</v>
      </c>
      <c r="Q1397" s="2" t="s">
        <v>234</v>
      </c>
      <c r="R1397" s="2" t="s">
        <v>228</v>
      </c>
      <c r="S1397" s="2" t="s">
        <v>7166</v>
      </c>
      <c r="T1397" s="2" t="s">
        <v>228</v>
      </c>
      <c r="U1397" s="2" t="s">
        <v>1331</v>
      </c>
      <c r="V1397" s="2" t="s">
        <v>5029</v>
      </c>
      <c r="W1397" s="2" t="s">
        <v>463</v>
      </c>
      <c r="X1397" s="2" t="s">
        <v>417</v>
      </c>
      <c r="Y1397" s="2" t="s">
        <v>270</v>
      </c>
      <c r="Z1397" s="4">
        <v>115</v>
      </c>
      <c r="AA1397" s="4">
        <f>=ROUNDDOWN(23,0)</f>
      </c>
      <c r="AB1397" s="5">
        <v>5</v>
      </c>
      <c r="AC1397" s="2" t="s">
        <v>1481</v>
      </c>
      <c r="AD1397" s="4">
        <v>30</v>
      </c>
      <c r="AE1397" s="4">
        <v>280</v>
      </c>
      <c r="AF1397" s="6">
        <v>65</v>
      </c>
      <c r="AG1397" s="6">
        <v>48</v>
      </c>
      <c r="AH1397" s="7">
        <v>1</v>
      </c>
      <c r="AI1397" s="4"/>
      <c r="AJ1397" s="4">
        <f>=ROUNDDOWN({0},0)</f>
      </c>
      <c r="AK1397" s="5"/>
      <c r="AL1397" s="2" t="s">
        <v>228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/>
      <c r="AW1397" s="8"/>
      <c r="AX1397" s="4"/>
      <c r="AY1397" s="8"/>
      <c r="AZ1397" s="7"/>
      <c r="BA1397" s="7"/>
      <c r="BB1397" s="7"/>
      <c r="BC1397" s="4" t="s">
        <v>228</v>
      </c>
      <c r="BD1397" s="8" t="s">
        <v>228</v>
      </c>
      <c r="BE1397" s="4" t="s">
        <v>228</v>
      </c>
      <c r="BF1397" s="8" t="s">
        <v>228</v>
      </c>
      <c r="BG1397" s="7" t="s">
        <v>228</v>
      </c>
      <c r="BH1397" s="7" t="s">
        <v>228</v>
      </c>
      <c r="BI1397" s="7"/>
      <c r="BJ1397" s="4">
        <v>10</v>
      </c>
      <c r="BK1397" s="8">
        <v>487.57</v>
      </c>
      <c r="BL1397" s="2" t="s">
        <v>7167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7168</v>
      </c>
      <c r="BV1397" s="2" t="s">
        <v>228</v>
      </c>
      <c r="BW1397" s="2" t="s">
        <v>228</v>
      </c>
      <c r="BX1397" s="2" t="s">
        <v>273</v>
      </c>
      <c r="BY1397" s="2" t="s">
        <v>274</v>
      </c>
      <c r="BZ1397" s="2" t="s">
        <v>240</v>
      </c>
      <c r="CA1397" s="2" t="s">
        <v>275</v>
      </c>
      <c r="CB1397" s="2" t="s">
        <v>609</v>
      </c>
      <c r="CC1397" s="2" t="s">
        <v>241</v>
      </c>
      <c r="CD1397" s="2" t="s">
        <v>228</v>
      </c>
      <c r="CE1397" s="4">
        <v>66</v>
      </c>
      <c r="CF1397" s="4"/>
      <c r="CG1397" s="4"/>
      <c r="CH1397" s="4">
        <v>49</v>
      </c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>
        <v>30</v>
      </c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>
        <v>20</v>
      </c>
      <c r="EX1397" s="4"/>
      <c r="EY1397" s="4"/>
      <c r="EZ1397" s="4"/>
      <c r="FA1397" s="4">
        <v>50</v>
      </c>
      <c r="FB1397" s="4"/>
      <c r="FC1397" s="4"/>
      <c r="FD1397" s="4">
        <v>180</v>
      </c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  <c r="FX1397" s="4"/>
      <c r="FY1397" s="4"/>
      <c r="FZ1397" s="4"/>
      <c r="GA1397" s="4"/>
      <c r="GB1397" s="4"/>
      <c r="GC1397" s="4"/>
      <c r="GD1397" s="4"/>
      <c r="GE1397" s="4"/>
      <c r="GF1397" s="4"/>
      <c r="GG1397" s="4"/>
      <c r="GH1397" s="4"/>
      <c r="GI1397" s="4"/>
      <c r="GJ1397" s="4"/>
      <c r="GK1397" s="4"/>
      <c r="GL1397" s="4"/>
      <c r="GM1397" s="4"/>
      <c r="GN1397" s="4"/>
      <c r="GO1397" s="4"/>
      <c r="GP1397" s="4"/>
      <c r="GQ1397" s="4"/>
      <c r="GR1397" s="4"/>
      <c r="GS1397" s="4"/>
      <c r="GT1397" s="4"/>
      <c r="GU1397" s="4"/>
      <c r="GV1397" s="4"/>
      <c r="GW1397" s="4"/>
      <c r="GX1397" s="4"/>
      <c r="GY1397" s="4"/>
      <c r="GZ1397" s="4"/>
      <c r="HA1397" s="4"/>
      <c r="HB1397" s="4"/>
      <c r="HC1397" s="4"/>
      <c r="HD1397" s="4"/>
      <c r="HE1397" s="4"/>
    </row>
    <row r="1398">
      <c r="A1398" s="2" t="s">
        <v>7169</v>
      </c>
      <c r="B1398" s="2" t="s">
        <v>1150</v>
      </c>
      <c r="C1398" s="2" t="s">
        <v>300</v>
      </c>
      <c r="D1398" s="2" t="s">
        <v>1112</v>
      </c>
      <c r="E1398" s="2" t="s">
        <v>1165</v>
      </c>
      <c r="F1398" s="2" t="s">
        <v>2576</v>
      </c>
      <c r="G1398" s="2" t="s">
        <v>7152</v>
      </c>
      <c r="H1398" s="2" t="s">
        <v>7153</v>
      </c>
      <c r="I1398" s="2" t="s">
        <v>7154</v>
      </c>
      <c r="J1398" s="2" t="s">
        <v>312</v>
      </c>
      <c r="K1398" s="2" t="s">
        <v>525</v>
      </c>
      <c r="L1398" s="3">
        <v>63.06</v>
      </c>
      <c r="M1398" s="3">
        <v>66.21</v>
      </c>
      <c r="N1398" s="3">
        <v>119.99</v>
      </c>
      <c r="O1398" s="2" t="s">
        <v>240</v>
      </c>
      <c r="P1398" s="2" t="s">
        <v>266</v>
      </c>
      <c r="Q1398" s="2" t="s">
        <v>234</v>
      </c>
      <c r="R1398" s="2" t="s">
        <v>228</v>
      </c>
      <c r="S1398" s="2" t="s">
        <v>7170</v>
      </c>
      <c r="T1398" s="2" t="s">
        <v>228</v>
      </c>
      <c r="U1398" s="2" t="s">
        <v>1331</v>
      </c>
      <c r="V1398" s="2" t="s">
        <v>5029</v>
      </c>
      <c r="W1398" s="2" t="s">
        <v>463</v>
      </c>
      <c r="X1398" s="2" t="s">
        <v>417</v>
      </c>
      <c r="Y1398" s="2" t="s">
        <v>270</v>
      </c>
      <c r="Z1398" s="4">
        <v>112</v>
      </c>
      <c r="AA1398" s="4">
        <f>=ROUNDDOWN(22.4,0)</f>
      </c>
      <c r="AB1398" s="5">
        <v>5</v>
      </c>
      <c r="AC1398" s="2" t="s">
        <v>1481</v>
      </c>
      <c r="AD1398" s="4">
        <v>30</v>
      </c>
      <c r="AE1398" s="4">
        <v>340</v>
      </c>
      <c r="AF1398" s="6">
        <v>65</v>
      </c>
      <c r="AG1398" s="6"/>
      <c r="AH1398" s="7">
        <v>1</v>
      </c>
      <c r="AI1398" s="4"/>
      <c r="AJ1398" s="4">
        <f>=ROUNDDOWN({0},0)</f>
      </c>
      <c r="AK1398" s="5"/>
      <c r="AL1398" s="2" t="s">
        <v>228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/>
      <c r="AW1398" s="8"/>
      <c r="AX1398" s="4"/>
      <c r="AY1398" s="8"/>
      <c r="AZ1398" s="7"/>
      <c r="BA1398" s="7"/>
      <c r="BB1398" s="7"/>
      <c r="BC1398" s="4" t="s">
        <v>228</v>
      </c>
      <c r="BD1398" s="8" t="s">
        <v>228</v>
      </c>
      <c r="BE1398" s="4" t="s">
        <v>228</v>
      </c>
      <c r="BF1398" s="8" t="s">
        <v>228</v>
      </c>
      <c r="BG1398" s="7" t="s">
        <v>228</v>
      </c>
      <c r="BH1398" s="7" t="s">
        <v>228</v>
      </c>
      <c r="BI1398" s="7"/>
      <c r="BJ1398" s="4">
        <v>15</v>
      </c>
      <c r="BK1398" s="8">
        <v>986.18</v>
      </c>
      <c r="BL1398" s="2" t="s">
        <v>7079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7171</v>
      </c>
      <c r="BV1398" s="2" t="s">
        <v>228</v>
      </c>
      <c r="BW1398" s="2" t="s">
        <v>228</v>
      </c>
      <c r="BX1398" s="2" t="s">
        <v>273</v>
      </c>
      <c r="BY1398" s="2" t="s">
        <v>274</v>
      </c>
      <c r="BZ1398" s="2" t="s">
        <v>240</v>
      </c>
      <c r="CA1398" s="2" t="s">
        <v>275</v>
      </c>
      <c r="CB1398" s="2" t="s">
        <v>609</v>
      </c>
      <c r="CC1398" s="2" t="s">
        <v>241</v>
      </c>
      <c r="CD1398" s="2" t="s">
        <v>228</v>
      </c>
      <c r="CE1398" s="4">
        <v>112</v>
      </c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>
        <v>30</v>
      </c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>
        <v>90</v>
      </c>
      <c r="FB1398" s="4"/>
      <c r="FC1398" s="4"/>
      <c r="FD1398" s="4">
        <v>220</v>
      </c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/>
      <c r="GE1398" s="4"/>
      <c r="GF1398" s="4"/>
      <c r="GG1398" s="4"/>
      <c r="GH1398" s="4"/>
      <c r="GI1398" s="4"/>
      <c r="GJ1398" s="4"/>
      <c r="GK1398" s="4"/>
      <c r="GL1398" s="4"/>
      <c r="GM1398" s="4"/>
      <c r="GN1398" s="4"/>
      <c r="GO1398" s="4"/>
      <c r="GP1398" s="4"/>
      <c r="GQ1398" s="4"/>
      <c r="GR1398" s="4"/>
      <c r="GS1398" s="4"/>
      <c r="GT1398" s="4"/>
      <c r="GU1398" s="4"/>
      <c r="GV1398" s="4"/>
      <c r="GW1398" s="4"/>
      <c r="GX1398" s="4"/>
      <c r="GY1398" s="4"/>
      <c r="GZ1398" s="4"/>
      <c r="HA1398" s="4"/>
      <c r="HB1398" s="4"/>
      <c r="HC1398" s="4"/>
      <c r="HD1398" s="4"/>
      <c r="HE1398" s="4"/>
    </row>
    <row r="1399">
      <c r="A1399" s="2" t="s">
        <v>7172</v>
      </c>
      <c r="B1399" s="2" t="s">
        <v>958</v>
      </c>
      <c r="C1399" s="2" t="s">
        <v>773</v>
      </c>
      <c r="D1399" s="2" t="s">
        <v>7173</v>
      </c>
      <c r="E1399" s="2" t="s">
        <v>7174</v>
      </c>
      <c r="F1399" s="2" t="s">
        <v>7175</v>
      </c>
      <c r="G1399" s="2" t="s">
        <v>228</v>
      </c>
      <c r="H1399" s="2" t="s">
        <v>228</v>
      </c>
      <c r="I1399" s="2" t="s">
        <v>7174</v>
      </c>
      <c r="J1399" s="2" t="s">
        <v>840</v>
      </c>
      <c r="K1399" s="2" t="s">
        <v>4927</v>
      </c>
      <c r="L1399" s="3">
        <v>166.98</v>
      </c>
      <c r="M1399" s="3">
        <v>175.33</v>
      </c>
      <c r="N1399" s="3">
        <v>349</v>
      </c>
      <c r="O1399" s="2" t="s">
        <v>240</v>
      </c>
      <c r="P1399" s="2" t="s">
        <v>266</v>
      </c>
      <c r="Q1399" s="2" t="s">
        <v>234</v>
      </c>
      <c r="R1399" s="2" t="s">
        <v>228</v>
      </c>
      <c r="S1399" s="2" t="s">
        <v>7176</v>
      </c>
      <c r="T1399" s="2" t="s">
        <v>228</v>
      </c>
      <c r="U1399" s="2" t="s">
        <v>228</v>
      </c>
      <c r="V1399" s="2" t="s">
        <v>236</v>
      </c>
      <c r="W1399" s="2" t="s">
        <v>417</v>
      </c>
      <c r="X1399" s="2" t="s">
        <v>228</v>
      </c>
      <c r="Y1399" s="2" t="s">
        <v>7177</v>
      </c>
      <c r="Z1399" s="4">
        <v>327</v>
      </c>
      <c r="AA1399" s="4">
        <f>=ROUNDDOWN(81.75,0)</f>
      </c>
      <c r="AB1399" s="5">
        <v>4</v>
      </c>
      <c r="AC1399" s="2" t="s">
        <v>228</v>
      </c>
      <c r="AD1399" s="4"/>
      <c r="AE1399" s="4"/>
      <c r="AF1399" s="6">
        <v>66</v>
      </c>
      <c r="AG1399" s="6">
        <v>49</v>
      </c>
      <c r="AH1399" s="7">
        <v>1</v>
      </c>
      <c r="AI1399" s="4"/>
      <c r="AJ1399" s="4">
        <f>=ROUNDDOWN({0},0)</f>
      </c>
      <c r="AK1399" s="5"/>
      <c r="AL1399" s="2" t="s">
        <v>228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/>
      <c r="AW1399" s="8"/>
      <c r="AX1399" s="4"/>
      <c r="AY1399" s="8"/>
      <c r="AZ1399" s="7"/>
      <c r="BA1399" s="7"/>
      <c r="BB1399" s="7"/>
      <c r="BC1399" s="4" t="s">
        <v>228</v>
      </c>
      <c r="BD1399" s="8" t="s">
        <v>228</v>
      </c>
      <c r="BE1399" s="4" t="s">
        <v>228</v>
      </c>
      <c r="BF1399" s="8" t="s">
        <v>228</v>
      </c>
      <c r="BG1399" s="7" t="s">
        <v>228</v>
      </c>
      <c r="BH1399" s="7" t="s">
        <v>228</v>
      </c>
      <c r="BI1399" s="7"/>
      <c r="BJ1399" s="4">
        <v>6</v>
      </c>
      <c r="BK1399" s="8">
        <v>969.72</v>
      </c>
      <c r="BL1399" s="2" t="s">
        <v>7178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7179</v>
      </c>
      <c r="BV1399" s="2" t="s">
        <v>228</v>
      </c>
      <c r="BW1399" s="2" t="s">
        <v>228</v>
      </c>
      <c r="BX1399" s="2" t="s">
        <v>273</v>
      </c>
      <c r="BY1399" s="2" t="s">
        <v>274</v>
      </c>
      <c r="BZ1399" s="2" t="s">
        <v>240</v>
      </c>
      <c r="CA1399" s="2" t="s">
        <v>7180</v>
      </c>
      <c r="CB1399" s="2" t="s">
        <v>3392</v>
      </c>
      <c r="CC1399" s="2" t="s">
        <v>241</v>
      </c>
      <c r="CD1399" s="2" t="s">
        <v>228</v>
      </c>
      <c r="CE1399" s="4"/>
      <c r="CF1399" s="4">
        <v>327</v>
      </c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/>
      <c r="FZ1399" s="4"/>
      <c r="GA1399" s="4"/>
      <c r="GB1399" s="4"/>
      <c r="GC1399" s="4"/>
      <c r="GD1399" s="4"/>
      <c r="GE1399" s="4"/>
      <c r="GF1399" s="4"/>
      <c r="GG1399" s="4"/>
      <c r="GH1399" s="4"/>
      <c r="GI1399" s="4"/>
      <c r="GJ1399" s="4"/>
      <c r="GK1399" s="4"/>
      <c r="GL1399" s="4"/>
      <c r="GM1399" s="4"/>
      <c r="GN1399" s="4"/>
      <c r="GO1399" s="4"/>
      <c r="GP1399" s="4"/>
      <c r="GQ1399" s="4"/>
      <c r="GR1399" s="4"/>
      <c r="GS1399" s="4"/>
      <c r="GT1399" s="4"/>
      <c r="GU1399" s="4"/>
      <c r="GV1399" s="4"/>
      <c r="GW1399" s="4"/>
      <c r="GX1399" s="4"/>
      <c r="GY1399" s="4"/>
      <c r="GZ1399" s="4"/>
      <c r="HA1399" s="4"/>
      <c r="HB1399" s="4"/>
      <c r="HC1399" s="4"/>
      <c r="HD1399" s="4"/>
      <c r="HE1399" s="4"/>
    </row>
    <row r="1400">
      <c r="A1400" s="2" t="s">
        <v>7181</v>
      </c>
      <c r="B1400" s="2" t="s">
        <v>958</v>
      </c>
      <c r="C1400" s="2" t="s">
        <v>773</v>
      </c>
      <c r="D1400" s="2" t="s">
        <v>1257</v>
      </c>
      <c r="E1400" s="2" t="s">
        <v>238</v>
      </c>
      <c r="F1400" s="2" t="s">
        <v>7175</v>
      </c>
      <c r="G1400" s="2" t="s">
        <v>7175</v>
      </c>
      <c r="H1400" s="2" t="s">
        <v>7175</v>
      </c>
      <c r="I1400" s="2" t="s">
        <v>228</v>
      </c>
      <c r="J1400" s="2" t="s">
        <v>7182</v>
      </c>
      <c r="K1400" s="2" t="s">
        <v>305</v>
      </c>
      <c r="L1400" s="3">
        <v>180.71</v>
      </c>
      <c r="M1400" s="3"/>
      <c r="N1400" s="3"/>
      <c r="O1400" s="2" t="s">
        <v>232</v>
      </c>
      <c r="P1400" s="2" t="s">
        <v>228</v>
      </c>
      <c r="Q1400" s="2" t="s">
        <v>228</v>
      </c>
      <c r="R1400" s="2" t="s">
        <v>228</v>
      </c>
      <c r="S1400" s="2" t="s">
        <v>228</v>
      </c>
      <c r="T1400" s="2" t="s">
        <v>228</v>
      </c>
      <c r="U1400" s="2" t="s">
        <v>228</v>
      </c>
      <c r="V1400" s="2" t="s">
        <v>228</v>
      </c>
      <c r="W1400" s="2" t="s">
        <v>228</v>
      </c>
      <c r="X1400" s="2" t="s">
        <v>228</v>
      </c>
      <c r="Y1400" s="2" t="s">
        <v>228</v>
      </c>
      <c r="Z1400" s="4"/>
      <c r="AA1400" s="4">
        <f>=ROUNDDOWN({0},0)</f>
      </c>
      <c r="AB1400" s="5"/>
      <c r="AC1400" s="2" t="s">
        <v>228</v>
      </c>
      <c r="AD1400" s="4"/>
      <c r="AE1400" s="4"/>
      <c r="AF1400" s="6"/>
      <c r="AG1400" s="6"/>
      <c r="AH1400" s="7"/>
      <c r="AI1400" s="4"/>
      <c r="AJ1400" s="4">
        <f>=ROUNDDOWN({0},0)</f>
      </c>
      <c r="AK1400" s="5"/>
      <c r="AL1400" s="2" t="s">
        <v>228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/>
      <c r="AW1400" s="8"/>
      <c r="AX1400" s="4"/>
      <c r="AY1400" s="8"/>
      <c r="AZ1400" s="7"/>
      <c r="BA1400" s="7"/>
      <c r="BB1400" s="7"/>
      <c r="BC1400" s="4" t="s">
        <v>228</v>
      </c>
      <c r="BD1400" s="8" t="s">
        <v>228</v>
      </c>
      <c r="BE1400" s="4" t="s">
        <v>228</v>
      </c>
      <c r="BF1400" s="8" t="s">
        <v>228</v>
      </c>
      <c r="BG1400" s="7" t="s">
        <v>228</v>
      </c>
      <c r="BH1400" s="7" t="s">
        <v>228</v>
      </c>
      <c r="BI1400" s="7"/>
      <c r="BJ1400" s="4"/>
      <c r="BK1400" s="8"/>
      <c r="BL1400" s="2" t="s">
        <v>228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228</v>
      </c>
      <c r="BV1400" s="2" t="s">
        <v>228</v>
      </c>
      <c r="BW1400" s="2" t="s">
        <v>228</v>
      </c>
      <c r="BX1400" s="2" t="s">
        <v>228</v>
      </c>
      <c r="BY1400" s="2" t="s">
        <v>228</v>
      </c>
      <c r="BZ1400" s="2" t="s">
        <v>228</v>
      </c>
      <c r="CA1400" s="2" t="s">
        <v>228</v>
      </c>
      <c r="CB1400" s="2" t="s">
        <v>228</v>
      </c>
      <c r="CC1400" s="2" t="s">
        <v>228</v>
      </c>
      <c r="CD1400" s="2" t="s">
        <v>228</v>
      </c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/>
      <c r="FR1400" s="4"/>
      <c r="FS1400" s="4"/>
      <c r="FT1400" s="4"/>
      <c r="FU1400" s="4"/>
      <c r="FV1400" s="4"/>
      <c r="FW1400" s="4"/>
      <c r="FX1400" s="4"/>
      <c r="FY1400" s="4"/>
      <c r="FZ1400" s="4"/>
      <c r="GA1400" s="4"/>
      <c r="GB1400" s="4"/>
      <c r="GC1400" s="4"/>
      <c r="GD1400" s="4"/>
      <c r="GE1400" s="4"/>
      <c r="GF1400" s="4"/>
      <c r="GG1400" s="4"/>
      <c r="GH1400" s="4"/>
      <c r="GI1400" s="4"/>
      <c r="GJ1400" s="4"/>
      <c r="GK1400" s="4"/>
      <c r="GL1400" s="4"/>
      <c r="GM1400" s="4"/>
      <c r="GN1400" s="4"/>
      <c r="GO1400" s="4"/>
      <c r="GP1400" s="4"/>
      <c r="GQ1400" s="4"/>
      <c r="GR1400" s="4"/>
      <c r="GS1400" s="4"/>
      <c r="GT1400" s="4"/>
      <c r="GU1400" s="4"/>
      <c r="GV1400" s="4"/>
      <c r="GW1400" s="4"/>
      <c r="GX1400" s="4"/>
      <c r="GY1400" s="4"/>
      <c r="GZ1400" s="4"/>
      <c r="HA1400" s="4"/>
      <c r="HB1400" s="4"/>
      <c r="HC1400" s="4"/>
      <c r="HD1400" s="4"/>
      <c r="HE1400" s="4"/>
    </row>
    <row r="1401">
      <c r="A1401" s="2" t="s">
        <v>7183</v>
      </c>
      <c r="B1401" s="2" t="s">
        <v>223</v>
      </c>
      <c r="C1401" s="2" t="s">
        <v>4000</v>
      </c>
      <c r="D1401" s="2" t="s">
        <v>1112</v>
      </c>
      <c r="E1401" s="2" t="s">
        <v>1113</v>
      </c>
      <c r="F1401" s="2" t="s">
        <v>7184</v>
      </c>
      <c r="G1401" s="2" t="s">
        <v>7185</v>
      </c>
      <c r="H1401" s="2" t="s">
        <v>7185</v>
      </c>
      <c r="I1401" s="2" t="s">
        <v>7186</v>
      </c>
      <c r="J1401" s="2" t="s">
        <v>1189</v>
      </c>
      <c r="K1401" s="2" t="s">
        <v>249</v>
      </c>
      <c r="L1401" s="3">
        <v>40.4</v>
      </c>
      <c r="M1401" s="3">
        <v>42.42</v>
      </c>
      <c r="N1401" s="3">
        <v>89.99</v>
      </c>
      <c r="O1401" s="2" t="s">
        <v>461</v>
      </c>
      <c r="P1401" s="2" t="s">
        <v>333</v>
      </c>
      <c r="Q1401" s="2" t="s">
        <v>234</v>
      </c>
      <c r="R1401" s="2" t="s">
        <v>228</v>
      </c>
      <c r="S1401" s="2" t="s">
        <v>7187</v>
      </c>
      <c r="T1401" s="2" t="s">
        <v>1266</v>
      </c>
      <c r="U1401" s="2" t="s">
        <v>500</v>
      </c>
      <c r="V1401" s="2" t="s">
        <v>236</v>
      </c>
      <c r="W1401" s="2" t="s">
        <v>269</v>
      </c>
      <c r="X1401" s="2" t="s">
        <v>228</v>
      </c>
      <c r="Y1401" s="2" t="s">
        <v>1286</v>
      </c>
      <c r="Z1401" s="4">
        <v>64</v>
      </c>
      <c r="AA1401" s="4">
        <f>=ROUNDDOWN(13.3333333333333,0)</f>
      </c>
      <c r="AB1401" s="5">
        <v>4.8</v>
      </c>
      <c r="AC1401" s="2" t="s">
        <v>228</v>
      </c>
      <c r="AD1401" s="4"/>
      <c r="AE1401" s="4"/>
      <c r="AF1401" s="6">
        <v>65</v>
      </c>
      <c r="AG1401" s="6"/>
      <c r="AH1401" s="7">
        <v>1</v>
      </c>
      <c r="AI1401" s="4"/>
      <c r="AJ1401" s="4">
        <f>=ROUNDDOWN({0},0)</f>
      </c>
      <c r="AK1401" s="5"/>
      <c r="AL1401" s="2" t="s">
        <v>228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/>
      <c r="AW1401" s="8"/>
      <c r="AX1401" s="4"/>
      <c r="AY1401" s="8"/>
      <c r="AZ1401" s="7"/>
      <c r="BA1401" s="7"/>
      <c r="BB1401" s="7"/>
      <c r="BC1401" s="4" t="s">
        <v>228</v>
      </c>
      <c r="BD1401" s="8" t="s">
        <v>228</v>
      </c>
      <c r="BE1401" s="4" t="s">
        <v>228</v>
      </c>
      <c r="BF1401" s="8" t="s">
        <v>228</v>
      </c>
      <c r="BG1401" s="7" t="s">
        <v>228</v>
      </c>
      <c r="BH1401" s="7" t="s">
        <v>228</v>
      </c>
      <c r="BI1401" s="7"/>
      <c r="BJ1401" s="4">
        <v>21</v>
      </c>
      <c r="BK1401" s="8">
        <v>694.5</v>
      </c>
      <c r="BL1401" s="2" t="s">
        <v>7188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7189</v>
      </c>
      <c r="BV1401" s="2" t="s">
        <v>228</v>
      </c>
      <c r="BW1401" s="2" t="s">
        <v>228</v>
      </c>
      <c r="BX1401" s="2" t="s">
        <v>337</v>
      </c>
      <c r="BY1401" s="2" t="s">
        <v>274</v>
      </c>
      <c r="BZ1401" s="2" t="s">
        <v>240</v>
      </c>
      <c r="CA1401" s="2" t="s">
        <v>7190</v>
      </c>
      <c r="CB1401" s="2" t="s">
        <v>4896</v>
      </c>
      <c r="CC1401" s="2" t="s">
        <v>241</v>
      </c>
      <c r="CD1401" s="2" t="s">
        <v>228</v>
      </c>
      <c r="CE1401" s="4">
        <v>64</v>
      </c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  <c r="FX1401" s="4"/>
      <c r="FY1401" s="4"/>
      <c r="FZ1401" s="4"/>
      <c r="GA1401" s="4"/>
      <c r="GB1401" s="4"/>
      <c r="GC1401" s="4"/>
      <c r="GD1401" s="4"/>
      <c r="GE1401" s="4"/>
      <c r="GF1401" s="4"/>
      <c r="GG1401" s="4"/>
      <c r="GH1401" s="4"/>
      <c r="GI1401" s="4"/>
      <c r="GJ1401" s="4"/>
      <c r="GK1401" s="4"/>
      <c r="GL1401" s="4"/>
      <c r="GM1401" s="4"/>
      <c r="GN1401" s="4"/>
      <c r="GO1401" s="4"/>
      <c r="GP1401" s="4"/>
      <c r="GQ1401" s="4"/>
      <c r="GR1401" s="4"/>
      <c r="GS1401" s="4"/>
      <c r="GT1401" s="4"/>
      <c r="GU1401" s="4"/>
      <c r="GV1401" s="4"/>
      <c r="GW1401" s="4"/>
      <c r="GX1401" s="4"/>
      <c r="GY1401" s="4"/>
      <c r="GZ1401" s="4"/>
      <c r="HA1401" s="4"/>
      <c r="HB1401" s="4"/>
      <c r="HC1401" s="4"/>
      <c r="HD1401" s="4"/>
      <c r="HE1401" s="4"/>
    </row>
    <row r="1402">
      <c r="A1402" s="2" t="s">
        <v>7191</v>
      </c>
      <c r="B1402" s="2" t="s">
        <v>223</v>
      </c>
      <c r="C1402" s="2" t="s">
        <v>4000</v>
      </c>
      <c r="D1402" s="2" t="s">
        <v>1112</v>
      </c>
      <c r="E1402" s="2" t="s">
        <v>1113</v>
      </c>
      <c r="F1402" s="2" t="s">
        <v>7184</v>
      </c>
      <c r="G1402" s="2" t="s">
        <v>7185</v>
      </c>
      <c r="H1402" s="2" t="s">
        <v>7185</v>
      </c>
      <c r="I1402" s="2" t="s">
        <v>7186</v>
      </c>
      <c r="J1402" s="2" t="s">
        <v>1189</v>
      </c>
      <c r="K1402" s="2" t="s">
        <v>480</v>
      </c>
      <c r="L1402" s="3">
        <v>40.4</v>
      </c>
      <c r="M1402" s="3">
        <v>42.42</v>
      </c>
      <c r="N1402" s="3">
        <v>89.99</v>
      </c>
      <c r="O1402" s="2" t="s">
        <v>461</v>
      </c>
      <c r="P1402" s="2" t="s">
        <v>333</v>
      </c>
      <c r="Q1402" s="2" t="s">
        <v>234</v>
      </c>
      <c r="R1402" s="2" t="s">
        <v>228</v>
      </c>
      <c r="S1402" s="2" t="s">
        <v>7192</v>
      </c>
      <c r="T1402" s="2" t="s">
        <v>1266</v>
      </c>
      <c r="U1402" s="2" t="s">
        <v>500</v>
      </c>
      <c r="V1402" s="2" t="s">
        <v>236</v>
      </c>
      <c r="W1402" s="2" t="s">
        <v>269</v>
      </c>
      <c r="X1402" s="2" t="s">
        <v>228</v>
      </c>
      <c r="Y1402" s="2" t="s">
        <v>1286</v>
      </c>
      <c r="Z1402" s="4">
        <v>576</v>
      </c>
      <c r="AA1402" s="4">
        <f>=ROUNDDOWN(198.620689655172,0)</f>
      </c>
      <c r="AB1402" s="5">
        <v>2.9</v>
      </c>
      <c r="AC1402" s="2" t="s">
        <v>228</v>
      </c>
      <c r="AD1402" s="4"/>
      <c r="AE1402" s="4"/>
      <c r="AF1402" s="6">
        <v>65</v>
      </c>
      <c r="AG1402" s="6"/>
      <c r="AH1402" s="7">
        <v>1</v>
      </c>
      <c r="AI1402" s="4"/>
      <c r="AJ1402" s="4">
        <f>=ROUNDDOWN({0},0)</f>
      </c>
      <c r="AK1402" s="5"/>
      <c r="AL1402" s="2" t="s">
        <v>228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/>
      <c r="AW1402" s="8"/>
      <c r="AX1402" s="4"/>
      <c r="AY1402" s="8"/>
      <c r="AZ1402" s="7"/>
      <c r="BA1402" s="7"/>
      <c r="BB1402" s="7"/>
      <c r="BC1402" s="4" t="s">
        <v>228</v>
      </c>
      <c r="BD1402" s="8" t="s">
        <v>228</v>
      </c>
      <c r="BE1402" s="4" t="s">
        <v>228</v>
      </c>
      <c r="BF1402" s="8" t="s">
        <v>228</v>
      </c>
      <c r="BG1402" s="7" t="s">
        <v>228</v>
      </c>
      <c r="BH1402" s="7" t="s">
        <v>228</v>
      </c>
      <c r="BI1402" s="7"/>
      <c r="BJ1402" s="4">
        <v>12</v>
      </c>
      <c r="BK1402" s="8">
        <v>324.9</v>
      </c>
      <c r="BL1402" s="2" t="s">
        <v>7193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7194</v>
      </c>
      <c r="BV1402" s="2" t="s">
        <v>228</v>
      </c>
      <c r="BW1402" s="2" t="s">
        <v>228</v>
      </c>
      <c r="BX1402" s="2" t="s">
        <v>337</v>
      </c>
      <c r="BY1402" s="2" t="s">
        <v>274</v>
      </c>
      <c r="BZ1402" s="2" t="s">
        <v>240</v>
      </c>
      <c r="CA1402" s="2" t="s">
        <v>7190</v>
      </c>
      <c r="CB1402" s="2" t="s">
        <v>2079</v>
      </c>
      <c r="CC1402" s="2" t="s">
        <v>241</v>
      </c>
      <c r="CD1402" s="2" t="s">
        <v>228</v>
      </c>
      <c r="CE1402" s="4">
        <v>576</v>
      </c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  <c r="GG1402" s="4"/>
      <c r="GH1402" s="4"/>
      <c r="GI1402" s="4"/>
      <c r="GJ1402" s="4"/>
      <c r="GK1402" s="4"/>
      <c r="GL1402" s="4"/>
      <c r="GM1402" s="4"/>
      <c r="GN1402" s="4"/>
      <c r="GO1402" s="4"/>
      <c r="GP1402" s="4"/>
      <c r="GQ1402" s="4"/>
      <c r="GR1402" s="4"/>
      <c r="GS1402" s="4"/>
      <c r="GT1402" s="4"/>
      <c r="GU1402" s="4"/>
      <c r="GV1402" s="4"/>
      <c r="GW1402" s="4"/>
      <c r="GX1402" s="4"/>
      <c r="GY1402" s="4"/>
      <c r="GZ1402" s="4"/>
      <c r="HA1402" s="4"/>
      <c r="HB1402" s="4"/>
      <c r="HC1402" s="4"/>
      <c r="HD1402" s="4"/>
      <c r="HE1402" s="4"/>
    </row>
    <row r="1403">
      <c r="A1403" s="2" t="s">
        <v>7195</v>
      </c>
      <c r="B1403" s="2" t="s">
        <v>1150</v>
      </c>
      <c r="C1403" s="2" t="s">
        <v>300</v>
      </c>
      <c r="D1403" s="2" t="s">
        <v>1112</v>
      </c>
      <c r="E1403" s="2" t="s">
        <v>1151</v>
      </c>
      <c r="F1403" s="2" t="s">
        <v>7196</v>
      </c>
      <c r="G1403" s="2" t="s">
        <v>7197</v>
      </c>
      <c r="H1403" s="2" t="s">
        <v>7198</v>
      </c>
      <c r="I1403" s="2" t="s">
        <v>1818</v>
      </c>
      <c r="J1403" s="2" t="s">
        <v>312</v>
      </c>
      <c r="K1403" s="2" t="s">
        <v>265</v>
      </c>
      <c r="L1403" s="3">
        <v>107.8</v>
      </c>
      <c r="M1403" s="3">
        <v>113.18</v>
      </c>
      <c r="N1403" s="3">
        <v>219.99</v>
      </c>
      <c r="O1403" s="2" t="s">
        <v>240</v>
      </c>
      <c r="P1403" s="2" t="s">
        <v>266</v>
      </c>
      <c r="Q1403" s="2" t="s">
        <v>234</v>
      </c>
      <c r="R1403" s="2" t="s">
        <v>228</v>
      </c>
      <c r="S1403" s="2" t="s">
        <v>7199</v>
      </c>
      <c r="T1403" s="2" t="s">
        <v>228</v>
      </c>
      <c r="U1403" s="2" t="s">
        <v>1820</v>
      </c>
      <c r="V1403" s="2" t="s">
        <v>1681</v>
      </c>
      <c r="W1403" s="2" t="s">
        <v>743</v>
      </c>
      <c r="X1403" s="2" t="s">
        <v>7200</v>
      </c>
      <c r="Y1403" s="2" t="s">
        <v>270</v>
      </c>
      <c r="Z1403" s="4">
        <v>301</v>
      </c>
      <c r="AA1403" s="4">
        <f>=ROUNDDOWN(33.4444444444444,0)</f>
      </c>
      <c r="AB1403" s="5">
        <v>9</v>
      </c>
      <c r="AC1403" s="2" t="s">
        <v>193</v>
      </c>
      <c r="AD1403" s="4">
        <v>100</v>
      </c>
      <c r="AE1403" s="4">
        <v>140</v>
      </c>
      <c r="AF1403" s="6">
        <v>65</v>
      </c>
      <c r="AG1403" s="6">
        <v>48</v>
      </c>
      <c r="AH1403" s="7">
        <v>1</v>
      </c>
      <c r="AI1403" s="4"/>
      <c r="AJ1403" s="4">
        <f>=ROUNDDOWN({0},0)</f>
      </c>
      <c r="AK1403" s="5"/>
      <c r="AL1403" s="2" t="s">
        <v>228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/>
      <c r="AW1403" s="8"/>
      <c r="AX1403" s="4"/>
      <c r="AY1403" s="8"/>
      <c r="AZ1403" s="7"/>
      <c r="BA1403" s="7"/>
      <c r="BB1403" s="7"/>
      <c r="BC1403" s="4"/>
      <c r="BD1403" s="8"/>
      <c r="BE1403" s="4"/>
      <c r="BF1403" s="8"/>
      <c r="BG1403" s="7"/>
      <c r="BH1403" s="7"/>
      <c r="BI1403" s="7"/>
      <c r="BJ1403" s="4">
        <v>7</v>
      </c>
      <c r="BK1403" s="8">
        <v>733.31</v>
      </c>
      <c r="BL1403" s="2" t="s">
        <v>398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7201</v>
      </c>
      <c r="BV1403" s="2" t="s">
        <v>228</v>
      </c>
      <c r="BW1403" s="2" t="s">
        <v>228</v>
      </c>
      <c r="BX1403" s="2" t="s">
        <v>273</v>
      </c>
      <c r="BY1403" s="2" t="s">
        <v>274</v>
      </c>
      <c r="BZ1403" s="2" t="s">
        <v>240</v>
      </c>
      <c r="CA1403" s="2" t="s">
        <v>275</v>
      </c>
      <c r="CB1403" s="2" t="s">
        <v>7202</v>
      </c>
      <c r="CC1403" s="2" t="s">
        <v>241</v>
      </c>
      <c r="CD1403" s="2" t="s">
        <v>228</v>
      </c>
      <c r="CE1403" s="4">
        <v>156</v>
      </c>
      <c r="CF1403" s="4">
        <v>84</v>
      </c>
      <c r="CG1403" s="4"/>
      <c r="CH1403" s="4">
        <v>61</v>
      </c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/>
      <c r="GB1403" s="4"/>
      <c r="GC1403" s="4">
        <v>100</v>
      </c>
      <c r="GD1403" s="4"/>
      <c r="GE1403" s="4"/>
      <c r="GF1403" s="4"/>
      <c r="GG1403" s="4"/>
      <c r="GH1403" s="4"/>
      <c r="GI1403" s="4"/>
      <c r="GJ1403" s="4"/>
      <c r="GK1403" s="4"/>
      <c r="GL1403" s="4"/>
      <c r="GM1403" s="4"/>
      <c r="GN1403" s="4">
        <v>40</v>
      </c>
      <c r="GO1403" s="4"/>
      <c r="GP1403" s="4"/>
      <c r="GQ1403" s="4"/>
      <c r="GR1403" s="4"/>
      <c r="GS1403" s="4"/>
      <c r="GT1403" s="4"/>
      <c r="GU1403" s="4"/>
      <c r="GV1403" s="4"/>
      <c r="GW1403" s="4"/>
      <c r="GX1403" s="4"/>
      <c r="GY1403" s="4"/>
      <c r="GZ1403" s="4"/>
      <c r="HA1403" s="4"/>
      <c r="HB1403" s="4"/>
      <c r="HC1403" s="4"/>
      <c r="HD1403" s="4"/>
      <c r="HE1403" s="4"/>
    </row>
    <row r="1404">
      <c r="A1404" s="2" t="s">
        <v>7203</v>
      </c>
      <c r="B1404" s="2" t="s">
        <v>958</v>
      </c>
      <c r="C1404" s="2" t="s">
        <v>835</v>
      </c>
      <c r="D1404" s="2" t="s">
        <v>2144</v>
      </c>
      <c r="E1404" s="2" t="s">
        <v>7204</v>
      </c>
      <c r="F1404" s="2" t="s">
        <v>7205</v>
      </c>
      <c r="G1404" s="2" t="s">
        <v>7205</v>
      </c>
      <c r="H1404" s="2" t="s">
        <v>7205</v>
      </c>
      <c r="I1404" s="2" t="s">
        <v>7206</v>
      </c>
      <c r="J1404" s="2" t="s">
        <v>840</v>
      </c>
      <c r="K1404" s="2" t="s">
        <v>7207</v>
      </c>
      <c r="L1404" s="3">
        <v>225</v>
      </c>
      <c r="M1404" s="3">
        <v>236.25</v>
      </c>
      <c r="N1404" s="3">
        <v>459</v>
      </c>
      <c r="O1404" s="2" t="s">
        <v>240</v>
      </c>
      <c r="P1404" s="2" t="s">
        <v>233</v>
      </c>
      <c r="Q1404" s="2" t="s">
        <v>234</v>
      </c>
      <c r="R1404" s="2" t="s">
        <v>228</v>
      </c>
      <c r="S1404" s="2" t="s">
        <v>228</v>
      </c>
      <c r="T1404" s="2" t="s">
        <v>228</v>
      </c>
      <c r="U1404" s="2" t="s">
        <v>416</v>
      </c>
      <c r="V1404" s="2" t="s">
        <v>842</v>
      </c>
      <c r="W1404" s="2" t="s">
        <v>417</v>
      </c>
      <c r="X1404" s="2" t="s">
        <v>228</v>
      </c>
      <c r="Y1404" s="2" t="s">
        <v>4443</v>
      </c>
      <c r="Z1404" s="4">
        <v>58</v>
      </c>
      <c r="AA1404" s="4">
        <f>=ROUNDDOWN({0},0)</f>
      </c>
      <c r="AB1404" s="5"/>
      <c r="AC1404" s="2" t="s">
        <v>156</v>
      </c>
      <c r="AD1404" s="4">
        <v>42</v>
      </c>
      <c r="AE1404" s="4">
        <v>42</v>
      </c>
      <c r="AF1404" s="6">
        <v>74</v>
      </c>
      <c r="AG1404" s="6"/>
      <c r="AH1404" s="7">
        <v>0.5806</v>
      </c>
      <c r="AI1404" s="4"/>
      <c r="AJ1404" s="4">
        <f>=ROUNDDOWN({0},0)</f>
      </c>
      <c r="AK1404" s="5"/>
      <c r="AL1404" s="2" t="s">
        <v>228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228</v>
      </c>
      <c r="AW1404" s="8" t="s">
        <v>228</v>
      </c>
      <c r="AX1404" s="4" t="s">
        <v>228</v>
      </c>
      <c r="AY1404" s="8" t="s">
        <v>228</v>
      </c>
      <c r="AZ1404" s="7" t="s">
        <v>228</v>
      </c>
      <c r="BA1404" s="7" t="s">
        <v>228</v>
      </c>
      <c r="BB1404" s="7" t="s">
        <v>228</v>
      </c>
      <c r="BC1404" s="4" t="s">
        <v>228</v>
      </c>
      <c r="BD1404" s="8" t="s">
        <v>228</v>
      </c>
      <c r="BE1404" s="4" t="s">
        <v>228</v>
      </c>
      <c r="BF1404" s="8" t="s">
        <v>228</v>
      </c>
      <c r="BG1404" s="7" t="s">
        <v>228</v>
      </c>
      <c r="BH1404" s="7" t="s">
        <v>228</v>
      </c>
      <c r="BI1404" s="7"/>
      <c r="BJ1404" s="4"/>
      <c r="BK1404" s="8"/>
      <c r="BL1404" s="2" t="s">
        <v>228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7208</v>
      </c>
      <c r="BV1404" s="2" t="s">
        <v>228</v>
      </c>
      <c r="BW1404" s="2" t="s">
        <v>228</v>
      </c>
      <c r="BX1404" s="2" t="s">
        <v>238</v>
      </c>
      <c r="BY1404" s="2" t="s">
        <v>274</v>
      </c>
      <c r="BZ1404" s="2" t="s">
        <v>240</v>
      </c>
      <c r="CA1404" s="2" t="s">
        <v>1590</v>
      </c>
      <c r="CB1404" s="2" t="s">
        <v>228</v>
      </c>
      <c r="CC1404" s="2" t="s">
        <v>241</v>
      </c>
      <c r="CD1404" s="2" t="s">
        <v>228</v>
      </c>
      <c r="CE1404" s="4"/>
      <c r="CF1404" s="4">
        <v>58</v>
      </c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>
        <v>42</v>
      </c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/>
      <c r="GD1404" s="4"/>
      <c r="GE1404" s="4"/>
      <c r="GF1404" s="4"/>
      <c r="GG1404" s="4"/>
      <c r="GH1404" s="4"/>
      <c r="GI1404" s="4"/>
      <c r="GJ1404" s="4"/>
      <c r="GK1404" s="4"/>
      <c r="GL1404" s="4"/>
      <c r="GM1404" s="4"/>
      <c r="GN1404" s="4"/>
      <c r="GO1404" s="4"/>
      <c r="GP1404" s="4"/>
      <c r="GQ1404" s="4"/>
      <c r="GR1404" s="4"/>
      <c r="GS1404" s="4"/>
      <c r="GT1404" s="4"/>
      <c r="GU1404" s="4"/>
      <c r="GV1404" s="4"/>
      <c r="GW1404" s="4"/>
      <c r="GX1404" s="4"/>
      <c r="GY1404" s="4"/>
      <c r="GZ1404" s="4"/>
      <c r="HA1404" s="4"/>
      <c r="HB1404" s="4"/>
      <c r="HC1404" s="4"/>
      <c r="HD1404" s="4"/>
      <c r="HE1404" s="4"/>
    </row>
    <row r="1405">
      <c r="A1405" s="2" t="s">
        <v>7209</v>
      </c>
      <c r="B1405" s="2" t="s">
        <v>958</v>
      </c>
      <c r="C1405" s="2" t="s">
        <v>835</v>
      </c>
      <c r="D1405" s="2" t="s">
        <v>2144</v>
      </c>
      <c r="E1405" s="2" t="s">
        <v>2145</v>
      </c>
      <c r="F1405" s="2" t="s">
        <v>7205</v>
      </c>
      <c r="G1405" s="2" t="s">
        <v>7205</v>
      </c>
      <c r="H1405" s="2" t="s">
        <v>7205</v>
      </c>
      <c r="I1405" s="2" t="s">
        <v>7210</v>
      </c>
      <c r="J1405" s="2" t="s">
        <v>840</v>
      </c>
      <c r="K1405" s="2" t="s">
        <v>7207</v>
      </c>
      <c r="L1405" s="3">
        <v>244.7</v>
      </c>
      <c r="M1405" s="3">
        <v>256.94</v>
      </c>
      <c r="N1405" s="3">
        <v>499</v>
      </c>
      <c r="O1405" s="2" t="s">
        <v>240</v>
      </c>
      <c r="P1405" s="2" t="s">
        <v>233</v>
      </c>
      <c r="Q1405" s="2" t="s">
        <v>234</v>
      </c>
      <c r="R1405" s="2" t="s">
        <v>228</v>
      </c>
      <c r="S1405" s="2" t="s">
        <v>228</v>
      </c>
      <c r="T1405" s="2" t="s">
        <v>228</v>
      </c>
      <c r="U1405" s="2" t="s">
        <v>416</v>
      </c>
      <c r="V1405" s="2" t="s">
        <v>842</v>
      </c>
      <c r="W1405" s="2" t="s">
        <v>417</v>
      </c>
      <c r="X1405" s="2" t="s">
        <v>228</v>
      </c>
      <c r="Y1405" s="2" t="s">
        <v>4443</v>
      </c>
      <c r="Z1405" s="4">
        <v>58</v>
      </c>
      <c r="AA1405" s="4">
        <f>=ROUNDDOWN({0},0)</f>
      </c>
      <c r="AB1405" s="5"/>
      <c r="AC1405" s="2" t="s">
        <v>156</v>
      </c>
      <c r="AD1405" s="4">
        <v>42</v>
      </c>
      <c r="AE1405" s="4">
        <v>42</v>
      </c>
      <c r="AF1405" s="6">
        <v>74</v>
      </c>
      <c r="AG1405" s="6"/>
      <c r="AH1405" s="7">
        <v>0.5806</v>
      </c>
      <c r="AI1405" s="4"/>
      <c r="AJ1405" s="4">
        <f>=ROUNDDOWN({0},0)</f>
      </c>
      <c r="AK1405" s="5"/>
      <c r="AL1405" s="2" t="s">
        <v>228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 t="s">
        <v>228</v>
      </c>
      <c r="AW1405" s="8" t="s">
        <v>228</v>
      </c>
      <c r="AX1405" s="4" t="s">
        <v>228</v>
      </c>
      <c r="AY1405" s="8" t="s">
        <v>228</v>
      </c>
      <c r="AZ1405" s="7" t="s">
        <v>228</v>
      </c>
      <c r="BA1405" s="7" t="s">
        <v>228</v>
      </c>
      <c r="BB1405" s="7" t="s">
        <v>228</v>
      </c>
      <c r="BC1405" s="4" t="s">
        <v>228</v>
      </c>
      <c r="BD1405" s="8" t="s">
        <v>228</v>
      </c>
      <c r="BE1405" s="4" t="s">
        <v>228</v>
      </c>
      <c r="BF1405" s="8" t="s">
        <v>228</v>
      </c>
      <c r="BG1405" s="7" t="s">
        <v>228</v>
      </c>
      <c r="BH1405" s="7" t="s">
        <v>228</v>
      </c>
      <c r="BI1405" s="7"/>
      <c r="BJ1405" s="4"/>
      <c r="BK1405" s="8"/>
      <c r="BL1405" s="2" t="s">
        <v>228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7211</v>
      </c>
      <c r="BV1405" s="2" t="s">
        <v>228</v>
      </c>
      <c r="BW1405" s="2" t="s">
        <v>228</v>
      </c>
      <c r="BX1405" s="2" t="s">
        <v>238</v>
      </c>
      <c r="BY1405" s="2" t="s">
        <v>274</v>
      </c>
      <c r="BZ1405" s="2" t="s">
        <v>240</v>
      </c>
      <c r="CA1405" s="2" t="s">
        <v>916</v>
      </c>
      <c r="CB1405" s="2" t="s">
        <v>228</v>
      </c>
      <c r="CC1405" s="2" t="s">
        <v>241</v>
      </c>
      <c r="CD1405" s="2" t="s">
        <v>228</v>
      </c>
      <c r="CE1405" s="4"/>
      <c r="CF1405" s="4">
        <v>58</v>
      </c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>
        <v>42</v>
      </c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/>
      <c r="GB1405" s="4"/>
      <c r="GC1405" s="4"/>
      <c r="GD1405" s="4"/>
      <c r="GE1405" s="4"/>
      <c r="GF1405" s="4"/>
      <c r="GG1405" s="4"/>
      <c r="GH1405" s="4"/>
      <c r="GI1405" s="4"/>
      <c r="GJ1405" s="4"/>
      <c r="GK1405" s="4"/>
      <c r="GL1405" s="4"/>
      <c r="GM1405" s="4"/>
      <c r="GN1405" s="4"/>
      <c r="GO1405" s="4"/>
      <c r="GP1405" s="4"/>
      <c r="GQ1405" s="4"/>
      <c r="GR1405" s="4"/>
      <c r="GS1405" s="4"/>
      <c r="GT1405" s="4"/>
      <c r="GU1405" s="4"/>
      <c r="GV1405" s="4"/>
      <c r="GW1405" s="4"/>
      <c r="GX1405" s="4"/>
      <c r="GY1405" s="4"/>
      <c r="GZ1405" s="4"/>
      <c r="HA1405" s="4"/>
      <c r="HB1405" s="4"/>
      <c r="HC1405" s="4"/>
      <c r="HD1405" s="4"/>
      <c r="HE1405" s="4"/>
    </row>
    <row r="1406">
      <c r="A1406" s="2" t="s">
        <v>7212</v>
      </c>
      <c r="B1406" s="2" t="s">
        <v>866</v>
      </c>
      <c r="C1406" s="2" t="s">
        <v>300</v>
      </c>
      <c r="D1406" s="2" t="s">
        <v>1880</v>
      </c>
      <c r="E1406" s="2" t="s">
        <v>868</v>
      </c>
      <c r="F1406" s="2" t="s">
        <v>7213</v>
      </c>
      <c r="G1406" s="2" t="s">
        <v>7214</v>
      </c>
      <c r="H1406" s="2" t="s">
        <v>7213</v>
      </c>
      <c r="I1406" s="2" t="s">
        <v>7215</v>
      </c>
      <c r="J1406" s="2" t="s">
        <v>840</v>
      </c>
      <c r="K1406" s="2" t="s">
        <v>5319</v>
      </c>
      <c r="L1406" s="3">
        <v>34.2</v>
      </c>
      <c r="M1406" s="3">
        <v>35.91</v>
      </c>
      <c r="N1406" s="3">
        <v>67.99</v>
      </c>
      <c r="O1406" s="2" t="s">
        <v>240</v>
      </c>
      <c r="P1406" s="2" t="s">
        <v>1012</v>
      </c>
      <c r="Q1406" s="2" t="s">
        <v>234</v>
      </c>
      <c r="R1406" s="2" t="s">
        <v>228</v>
      </c>
      <c r="S1406" s="2" t="s">
        <v>7216</v>
      </c>
      <c r="T1406" s="2" t="s">
        <v>228</v>
      </c>
      <c r="U1406" s="2" t="s">
        <v>416</v>
      </c>
      <c r="V1406" s="2" t="s">
        <v>1681</v>
      </c>
      <c r="W1406" s="2" t="s">
        <v>2472</v>
      </c>
      <c r="X1406" s="2" t="s">
        <v>269</v>
      </c>
      <c r="Y1406" s="2" t="s">
        <v>5321</v>
      </c>
      <c r="Z1406" s="4">
        <v>61</v>
      </c>
      <c r="AA1406" s="4">
        <f>=ROUNDDOWN(15.25,0)</f>
      </c>
      <c r="AB1406" s="5">
        <v>4</v>
      </c>
      <c r="AC1406" s="2" t="s">
        <v>184</v>
      </c>
      <c r="AD1406" s="4">
        <v>100</v>
      </c>
      <c r="AE1406" s="4">
        <v>100</v>
      </c>
      <c r="AF1406" s="6">
        <v>65</v>
      </c>
      <c r="AG1406" s="6"/>
      <c r="AH1406" s="7">
        <v>1</v>
      </c>
      <c r="AI1406" s="4"/>
      <c r="AJ1406" s="4">
        <f>=ROUNDDOWN({0},0)</f>
      </c>
      <c r="AK1406" s="5"/>
      <c r="AL1406" s="2" t="s">
        <v>228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/>
      <c r="AW1406" s="8"/>
      <c r="AX1406" s="4"/>
      <c r="AY1406" s="8"/>
      <c r="AZ1406" s="7"/>
      <c r="BA1406" s="7"/>
      <c r="BB1406" s="7"/>
      <c r="BC1406" s="4"/>
      <c r="BD1406" s="8"/>
      <c r="BE1406" s="4"/>
      <c r="BF1406" s="8"/>
      <c r="BG1406" s="7"/>
      <c r="BH1406" s="7"/>
      <c r="BI1406" s="7"/>
      <c r="BJ1406" s="4">
        <v>20</v>
      </c>
      <c r="BK1406" s="8">
        <v>921.6</v>
      </c>
      <c r="BL1406" s="2" t="s">
        <v>7217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7218</v>
      </c>
      <c r="BV1406" s="2" t="s">
        <v>228</v>
      </c>
      <c r="BW1406" s="2" t="s">
        <v>228</v>
      </c>
      <c r="BX1406" s="2" t="s">
        <v>273</v>
      </c>
      <c r="BY1406" s="2" t="s">
        <v>274</v>
      </c>
      <c r="BZ1406" s="2" t="s">
        <v>240</v>
      </c>
      <c r="CA1406" s="2" t="s">
        <v>5324</v>
      </c>
      <c r="CB1406" s="2" t="s">
        <v>7219</v>
      </c>
      <c r="CC1406" s="2" t="s">
        <v>241</v>
      </c>
      <c r="CD1406" s="2" t="s">
        <v>228</v>
      </c>
      <c r="CE1406" s="4"/>
      <c r="CF1406" s="4">
        <v>61</v>
      </c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>
        <v>100</v>
      </c>
      <c r="FU1406" s="4"/>
      <c r="FV1406" s="4"/>
      <c r="FW1406" s="4"/>
      <c r="FX1406" s="4"/>
      <c r="FY1406" s="4"/>
      <c r="FZ1406" s="4"/>
      <c r="GA1406" s="4"/>
      <c r="GB1406" s="4"/>
      <c r="GC1406" s="4"/>
      <c r="GD1406" s="4"/>
      <c r="GE1406" s="4"/>
      <c r="GF1406" s="4"/>
      <c r="GG1406" s="4"/>
      <c r="GH1406" s="4"/>
      <c r="GI1406" s="4"/>
      <c r="GJ1406" s="4"/>
      <c r="GK1406" s="4"/>
      <c r="GL1406" s="4"/>
      <c r="GM1406" s="4"/>
      <c r="GN1406" s="4"/>
      <c r="GO1406" s="4"/>
      <c r="GP1406" s="4"/>
      <c r="GQ1406" s="4"/>
      <c r="GR1406" s="4"/>
      <c r="GS1406" s="4"/>
      <c r="GT1406" s="4"/>
      <c r="GU1406" s="4"/>
      <c r="GV1406" s="4"/>
      <c r="GW1406" s="4"/>
      <c r="GX1406" s="4"/>
      <c r="GY1406" s="4"/>
      <c r="GZ1406" s="4"/>
      <c r="HA1406" s="4"/>
      <c r="HB1406" s="4"/>
      <c r="HC1406" s="4"/>
      <c r="HD1406" s="4"/>
      <c r="HE1406" s="4"/>
    </row>
    <row r="1407">
      <c r="A1407" s="2" t="s">
        <v>7220</v>
      </c>
      <c r="B1407" s="2" t="s">
        <v>223</v>
      </c>
      <c r="C1407" s="2" t="s">
        <v>1261</v>
      </c>
      <c r="D1407" s="2" t="s">
        <v>1601</v>
      </c>
      <c r="E1407" s="2" t="s">
        <v>1602</v>
      </c>
      <c r="F1407" s="2" t="s">
        <v>7221</v>
      </c>
      <c r="G1407" s="2" t="s">
        <v>7221</v>
      </c>
      <c r="H1407" s="2" t="s">
        <v>7221</v>
      </c>
      <c r="I1407" s="2" t="s">
        <v>7222</v>
      </c>
      <c r="J1407" s="2" t="s">
        <v>2651</v>
      </c>
      <c r="K1407" s="2" t="s">
        <v>251</v>
      </c>
      <c r="L1407" s="3">
        <v>16.1</v>
      </c>
      <c r="M1407" s="3">
        <v>16.9</v>
      </c>
      <c r="N1407" s="3">
        <v>34.99</v>
      </c>
      <c r="O1407" s="2" t="s">
        <v>240</v>
      </c>
      <c r="P1407" s="2" t="s">
        <v>333</v>
      </c>
      <c r="Q1407" s="2" t="s">
        <v>234</v>
      </c>
      <c r="R1407" s="2" t="s">
        <v>228</v>
      </c>
      <c r="S1407" s="2" t="s">
        <v>7223</v>
      </c>
      <c r="T1407" s="2" t="s">
        <v>1266</v>
      </c>
      <c r="U1407" s="2" t="s">
        <v>228</v>
      </c>
      <c r="V1407" s="2" t="s">
        <v>1438</v>
      </c>
      <c r="W1407" s="2" t="s">
        <v>1267</v>
      </c>
      <c r="X1407" s="2" t="s">
        <v>1268</v>
      </c>
      <c r="Y1407" s="2" t="s">
        <v>1645</v>
      </c>
      <c r="Z1407" s="4"/>
      <c r="AA1407" s="4">
        <f>=ROUNDDOWN({0},0)</f>
      </c>
      <c r="AB1407" s="5">
        <v>15</v>
      </c>
      <c r="AC1407" s="2" t="s">
        <v>228</v>
      </c>
      <c r="AD1407" s="4"/>
      <c r="AE1407" s="4"/>
      <c r="AF1407" s="6">
        <v>65</v>
      </c>
      <c r="AG1407" s="6"/>
      <c r="AH1407" s="7">
        <v>0</v>
      </c>
      <c r="AI1407" s="4"/>
      <c r="AJ1407" s="4">
        <f>=ROUNDDOWN({0},0)</f>
      </c>
      <c r="AK1407" s="5"/>
      <c r="AL1407" s="2" t="s">
        <v>228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/>
      <c r="AW1407" s="8"/>
      <c r="AX1407" s="4"/>
      <c r="AY1407" s="8"/>
      <c r="AZ1407" s="7"/>
      <c r="BA1407" s="7"/>
      <c r="BB1407" s="7"/>
      <c r="BC1407" s="4"/>
      <c r="BD1407" s="8"/>
      <c r="BE1407" s="4"/>
      <c r="BF1407" s="8"/>
      <c r="BG1407" s="7"/>
      <c r="BH1407" s="7"/>
      <c r="BI1407" s="7"/>
      <c r="BJ1407" s="4"/>
      <c r="BK1407" s="8"/>
      <c r="BL1407" s="2" t="s">
        <v>7224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7225</v>
      </c>
      <c r="BV1407" s="2" t="s">
        <v>228</v>
      </c>
      <c r="BW1407" s="2" t="s">
        <v>228</v>
      </c>
      <c r="BX1407" s="2" t="s">
        <v>337</v>
      </c>
      <c r="BY1407" s="2" t="s">
        <v>274</v>
      </c>
      <c r="BZ1407" s="2" t="s">
        <v>240</v>
      </c>
      <c r="CA1407" s="2" t="s">
        <v>2655</v>
      </c>
      <c r="CB1407" s="2" t="s">
        <v>7226</v>
      </c>
      <c r="CC1407" s="2" t="s">
        <v>241</v>
      </c>
      <c r="CD1407" s="2" t="s">
        <v>228</v>
      </c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/>
      <c r="GB1407" s="4"/>
      <c r="GC1407" s="4"/>
      <c r="GD1407" s="4"/>
      <c r="GE1407" s="4"/>
      <c r="GF1407" s="4"/>
      <c r="GG1407" s="4"/>
      <c r="GH1407" s="4"/>
      <c r="GI1407" s="4"/>
      <c r="GJ1407" s="4"/>
      <c r="GK1407" s="4"/>
      <c r="GL1407" s="4"/>
      <c r="GM1407" s="4"/>
      <c r="GN1407" s="4"/>
      <c r="GO1407" s="4"/>
      <c r="GP1407" s="4"/>
      <c r="GQ1407" s="4"/>
      <c r="GR1407" s="4"/>
      <c r="GS1407" s="4"/>
      <c r="GT1407" s="4"/>
      <c r="GU1407" s="4"/>
      <c r="GV1407" s="4"/>
      <c r="GW1407" s="4"/>
      <c r="GX1407" s="4"/>
      <c r="GY1407" s="4"/>
      <c r="GZ1407" s="4"/>
      <c r="HA1407" s="4"/>
      <c r="HB1407" s="4"/>
      <c r="HC1407" s="4"/>
      <c r="HD1407" s="4"/>
      <c r="HE1407" s="4"/>
    </row>
    <row r="1408">
      <c r="A1408" s="2" t="s">
        <v>7227</v>
      </c>
      <c r="B1408" s="2" t="s">
        <v>970</v>
      </c>
      <c r="C1408" s="2" t="s">
        <v>300</v>
      </c>
      <c r="D1408" s="2" t="s">
        <v>971</v>
      </c>
      <c r="E1408" s="2" t="s">
        <v>1940</v>
      </c>
      <c r="F1408" s="2" t="s">
        <v>7228</v>
      </c>
      <c r="G1408" s="2" t="s">
        <v>7229</v>
      </c>
      <c r="H1408" s="2" t="s">
        <v>7230</v>
      </c>
      <c r="I1408" s="2" t="s">
        <v>7231</v>
      </c>
      <c r="J1408" s="2" t="s">
        <v>1525</v>
      </c>
      <c r="K1408" s="2" t="s">
        <v>1357</v>
      </c>
      <c r="L1408" s="3">
        <v>11.88</v>
      </c>
      <c r="M1408" s="3">
        <v>12.47</v>
      </c>
      <c r="N1408" s="3">
        <v>26.99</v>
      </c>
      <c r="O1408" s="2" t="s">
        <v>240</v>
      </c>
      <c r="P1408" s="2" t="s">
        <v>266</v>
      </c>
      <c r="Q1408" s="2" t="s">
        <v>234</v>
      </c>
      <c r="R1408" s="2" t="s">
        <v>228</v>
      </c>
      <c r="S1408" s="2" t="s">
        <v>7232</v>
      </c>
      <c r="T1408" s="2" t="s">
        <v>228</v>
      </c>
      <c r="U1408" s="2" t="s">
        <v>416</v>
      </c>
      <c r="V1408" s="2" t="s">
        <v>351</v>
      </c>
      <c r="W1408" s="2" t="s">
        <v>351</v>
      </c>
      <c r="X1408" s="2" t="s">
        <v>1940</v>
      </c>
      <c r="Y1408" s="2" t="s">
        <v>4051</v>
      </c>
      <c r="Z1408" s="4">
        <v>134</v>
      </c>
      <c r="AA1408" s="4">
        <f>=ROUNDDOWN(7.44444444444445,0)</f>
      </c>
      <c r="AB1408" s="5">
        <v>18</v>
      </c>
      <c r="AC1408" s="2" t="s">
        <v>1527</v>
      </c>
      <c r="AD1408" s="4">
        <v>300</v>
      </c>
      <c r="AE1408" s="4">
        <v>520</v>
      </c>
      <c r="AF1408" s="6">
        <v>65</v>
      </c>
      <c r="AG1408" s="6"/>
      <c r="AH1408" s="7">
        <v>1</v>
      </c>
      <c r="AI1408" s="4"/>
      <c r="AJ1408" s="4">
        <f>=ROUNDDOWN({0},0)</f>
      </c>
      <c r="AK1408" s="5"/>
      <c r="AL1408" s="2" t="s">
        <v>228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 t="s">
        <v>228</v>
      </c>
      <c r="AW1408" s="8" t="s">
        <v>228</v>
      </c>
      <c r="AX1408" s="4" t="s">
        <v>228</v>
      </c>
      <c r="AY1408" s="8" t="s">
        <v>228</v>
      </c>
      <c r="AZ1408" s="7" t="s">
        <v>228</v>
      </c>
      <c r="BA1408" s="7" t="s">
        <v>228</v>
      </c>
      <c r="BB1408" s="7"/>
      <c r="BC1408" s="4" t="s">
        <v>228</v>
      </c>
      <c r="BD1408" s="8" t="s">
        <v>228</v>
      </c>
      <c r="BE1408" s="4" t="s">
        <v>228</v>
      </c>
      <c r="BF1408" s="8" t="s">
        <v>228</v>
      </c>
      <c r="BG1408" s="7" t="s">
        <v>228</v>
      </c>
      <c r="BH1408" s="7" t="s">
        <v>228</v>
      </c>
      <c r="BI1408" s="7"/>
      <c r="BJ1408" s="4">
        <v>38</v>
      </c>
      <c r="BK1408" s="8">
        <v>699.18</v>
      </c>
      <c r="BL1408" s="2" t="s">
        <v>7233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7234</v>
      </c>
      <c r="BV1408" s="2" t="s">
        <v>228</v>
      </c>
      <c r="BW1408" s="2" t="s">
        <v>228</v>
      </c>
      <c r="BX1408" s="2" t="s">
        <v>5060</v>
      </c>
      <c r="BY1408" s="2" t="s">
        <v>274</v>
      </c>
      <c r="BZ1408" s="2" t="s">
        <v>240</v>
      </c>
      <c r="CA1408" s="2" t="s">
        <v>6414</v>
      </c>
      <c r="CB1408" s="2" t="s">
        <v>7235</v>
      </c>
      <c r="CC1408" s="2" t="s">
        <v>241</v>
      </c>
      <c r="CD1408" s="2" t="s">
        <v>228</v>
      </c>
      <c r="CE1408" s="4">
        <v>134</v>
      </c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>
        <v>300</v>
      </c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>
        <v>120</v>
      </c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/>
      <c r="GE1408" s="4"/>
      <c r="GF1408" s="4"/>
      <c r="GG1408" s="4"/>
      <c r="GH1408" s="4"/>
      <c r="GI1408" s="4"/>
      <c r="GJ1408" s="4"/>
      <c r="GK1408" s="4"/>
      <c r="GL1408" s="4"/>
      <c r="GM1408" s="4"/>
      <c r="GN1408" s="4"/>
      <c r="GO1408" s="4"/>
      <c r="GP1408" s="4"/>
      <c r="GQ1408" s="4"/>
      <c r="GR1408" s="4"/>
      <c r="GS1408" s="4"/>
      <c r="GT1408" s="4"/>
      <c r="GU1408" s="4"/>
      <c r="GV1408" s="4"/>
      <c r="GW1408" s="4"/>
      <c r="GX1408" s="4"/>
      <c r="GY1408" s="4"/>
      <c r="GZ1408" s="4">
        <v>100</v>
      </c>
      <c r="HA1408" s="4"/>
      <c r="HB1408" s="4"/>
      <c r="HC1408" s="4"/>
      <c r="HD1408" s="4"/>
      <c r="HE1408" s="4"/>
    </row>
    <row r="1409">
      <c r="A1409" s="2" t="s">
        <v>7236</v>
      </c>
      <c r="B1409" s="2" t="s">
        <v>970</v>
      </c>
      <c r="C1409" s="2" t="s">
        <v>300</v>
      </c>
      <c r="D1409" s="2" t="s">
        <v>971</v>
      </c>
      <c r="E1409" s="2" t="s">
        <v>1940</v>
      </c>
      <c r="F1409" s="2" t="s">
        <v>7228</v>
      </c>
      <c r="G1409" s="2" t="s">
        <v>7229</v>
      </c>
      <c r="H1409" s="2" t="s">
        <v>7230</v>
      </c>
      <c r="I1409" s="2" t="s">
        <v>7231</v>
      </c>
      <c r="J1409" s="2" t="s">
        <v>1300</v>
      </c>
      <c r="K1409" s="2" t="s">
        <v>1357</v>
      </c>
      <c r="L1409" s="3">
        <v>15.91</v>
      </c>
      <c r="M1409" s="3">
        <v>16.71</v>
      </c>
      <c r="N1409" s="3">
        <v>36.99</v>
      </c>
      <c r="O1409" s="2" t="s">
        <v>240</v>
      </c>
      <c r="P1409" s="2" t="s">
        <v>266</v>
      </c>
      <c r="Q1409" s="2" t="s">
        <v>234</v>
      </c>
      <c r="R1409" s="2" t="s">
        <v>228</v>
      </c>
      <c r="S1409" s="2" t="s">
        <v>7232</v>
      </c>
      <c r="T1409" s="2" t="s">
        <v>228</v>
      </c>
      <c r="U1409" s="2" t="s">
        <v>416</v>
      </c>
      <c r="V1409" s="2" t="s">
        <v>351</v>
      </c>
      <c r="W1409" s="2" t="s">
        <v>351</v>
      </c>
      <c r="X1409" s="2" t="s">
        <v>1940</v>
      </c>
      <c r="Y1409" s="2" t="s">
        <v>4051</v>
      </c>
      <c r="Z1409" s="4">
        <v>322</v>
      </c>
      <c r="AA1409" s="4">
        <f>=ROUNDDOWN(26.8333333333333,0)</f>
      </c>
      <c r="AB1409" s="5">
        <v>12</v>
      </c>
      <c r="AC1409" s="2" t="s">
        <v>173</v>
      </c>
      <c r="AD1409" s="4">
        <v>40</v>
      </c>
      <c r="AE1409" s="4">
        <v>140</v>
      </c>
      <c r="AF1409" s="6">
        <v>65</v>
      </c>
      <c r="AG1409" s="6"/>
      <c r="AH1409" s="7">
        <v>1</v>
      </c>
      <c r="AI1409" s="4"/>
      <c r="AJ1409" s="4">
        <f>=ROUNDDOWN({0},0)</f>
      </c>
      <c r="AK1409" s="5"/>
      <c r="AL1409" s="2" t="s">
        <v>228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 t="s">
        <v>228</v>
      </c>
      <c r="AW1409" s="8" t="s">
        <v>228</v>
      </c>
      <c r="AX1409" s="4" t="s">
        <v>228</v>
      </c>
      <c r="AY1409" s="8" t="s">
        <v>228</v>
      </c>
      <c r="AZ1409" s="7" t="s">
        <v>228</v>
      </c>
      <c r="BA1409" s="7" t="s">
        <v>228</v>
      </c>
      <c r="BB1409" s="7"/>
      <c r="BC1409" s="4" t="s">
        <v>228</v>
      </c>
      <c r="BD1409" s="8" t="s">
        <v>228</v>
      </c>
      <c r="BE1409" s="4" t="s">
        <v>228</v>
      </c>
      <c r="BF1409" s="8" t="s">
        <v>228</v>
      </c>
      <c r="BG1409" s="7" t="s">
        <v>228</v>
      </c>
      <c r="BH1409" s="7" t="s">
        <v>228</v>
      </c>
      <c r="BI1409" s="7"/>
      <c r="BJ1409" s="4">
        <v>33</v>
      </c>
      <c r="BK1409" s="8">
        <v>571.98</v>
      </c>
      <c r="BL1409" s="2" t="s">
        <v>1098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7237</v>
      </c>
      <c r="BV1409" s="2" t="s">
        <v>228</v>
      </c>
      <c r="BW1409" s="2" t="s">
        <v>228</v>
      </c>
      <c r="BX1409" s="2" t="s">
        <v>5060</v>
      </c>
      <c r="BY1409" s="2" t="s">
        <v>274</v>
      </c>
      <c r="BZ1409" s="2" t="s">
        <v>240</v>
      </c>
      <c r="CA1409" s="2" t="s">
        <v>6414</v>
      </c>
      <c r="CB1409" s="2" t="s">
        <v>7238</v>
      </c>
      <c r="CC1409" s="2" t="s">
        <v>241</v>
      </c>
      <c r="CD1409" s="2" t="s">
        <v>228</v>
      </c>
      <c r="CE1409" s="4">
        <v>322</v>
      </c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>
        <v>40</v>
      </c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4"/>
      <c r="FZ1409" s="4"/>
      <c r="GA1409" s="4"/>
      <c r="GB1409" s="4"/>
      <c r="GC1409" s="4"/>
      <c r="GD1409" s="4"/>
      <c r="GE1409" s="4"/>
      <c r="GF1409" s="4"/>
      <c r="GG1409" s="4"/>
      <c r="GH1409" s="4"/>
      <c r="GI1409" s="4"/>
      <c r="GJ1409" s="4"/>
      <c r="GK1409" s="4"/>
      <c r="GL1409" s="4"/>
      <c r="GM1409" s="4"/>
      <c r="GN1409" s="4"/>
      <c r="GO1409" s="4"/>
      <c r="GP1409" s="4"/>
      <c r="GQ1409" s="4"/>
      <c r="GR1409" s="4"/>
      <c r="GS1409" s="4"/>
      <c r="GT1409" s="4"/>
      <c r="GU1409" s="4"/>
      <c r="GV1409" s="4"/>
      <c r="GW1409" s="4"/>
      <c r="GX1409" s="4"/>
      <c r="GY1409" s="4"/>
      <c r="GZ1409" s="4">
        <v>100</v>
      </c>
      <c r="HA1409" s="4"/>
      <c r="HB1409" s="4"/>
      <c r="HC1409" s="4"/>
      <c r="HD1409" s="4"/>
      <c r="HE1409" s="4"/>
    </row>
    <row r="1410">
      <c r="A1410" s="2" t="s">
        <v>7239</v>
      </c>
      <c r="B1410" s="2" t="s">
        <v>970</v>
      </c>
      <c r="C1410" s="2" t="s">
        <v>300</v>
      </c>
      <c r="D1410" s="2" t="s">
        <v>971</v>
      </c>
      <c r="E1410" s="2" t="s">
        <v>1940</v>
      </c>
      <c r="F1410" s="2" t="s">
        <v>7228</v>
      </c>
      <c r="G1410" s="2" t="s">
        <v>7229</v>
      </c>
      <c r="H1410" s="2" t="s">
        <v>7230</v>
      </c>
      <c r="I1410" s="2" t="s">
        <v>7231</v>
      </c>
      <c r="J1410" s="2" t="s">
        <v>1525</v>
      </c>
      <c r="K1410" s="2" t="s">
        <v>316</v>
      </c>
      <c r="L1410" s="3">
        <v>11.88</v>
      </c>
      <c r="M1410" s="3">
        <v>12.47</v>
      </c>
      <c r="N1410" s="3">
        <v>26.99</v>
      </c>
      <c r="O1410" s="2" t="s">
        <v>240</v>
      </c>
      <c r="P1410" s="2" t="s">
        <v>715</v>
      </c>
      <c r="Q1410" s="2" t="s">
        <v>234</v>
      </c>
      <c r="R1410" s="2" t="s">
        <v>228</v>
      </c>
      <c r="S1410" s="2" t="s">
        <v>7240</v>
      </c>
      <c r="T1410" s="2" t="s">
        <v>228</v>
      </c>
      <c r="U1410" s="2" t="s">
        <v>228</v>
      </c>
      <c r="V1410" s="2" t="s">
        <v>351</v>
      </c>
      <c r="W1410" s="2" t="s">
        <v>351</v>
      </c>
      <c r="X1410" s="2" t="s">
        <v>1940</v>
      </c>
      <c r="Y1410" s="2" t="s">
        <v>7241</v>
      </c>
      <c r="Z1410" s="4">
        <v>734</v>
      </c>
      <c r="AA1410" s="4">
        <f>=ROUNDDOWN(17.4761904761905,0)</f>
      </c>
      <c r="AB1410" s="5">
        <v>42</v>
      </c>
      <c r="AC1410" s="2" t="s">
        <v>187</v>
      </c>
      <c r="AD1410" s="4">
        <v>260</v>
      </c>
      <c r="AE1410" s="4">
        <v>640</v>
      </c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228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/>
      <c r="AW1410" s="8"/>
      <c r="AX1410" s="4"/>
      <c r="AY1410" s="8"/>
      <c r="AZ1410" s="7"/>
      <c r="BA1410" s="7"/>
      <c r="BB1410" s="7"/>
      <c r="BC1410" s="4" t="s">
        <v>228</v>
      </c>
      <c r="BD1410" s="8" t="s">
        <v>228</v>
      </c>
      <c r="BE1410" s="4" t="s">
        <v>228</v>
      </c>
      <c r="BF1410" s="8" t="s">
        <v>228</v>
      </c>
      <c r="BG1410" s="7" t="s">
        <v>228</v>
      </c>
      <c r="BH1410" s="7" t="s">
        <v>228</v>
      </c>
      <c r="BI1410" s="7"/>
      <c r="BJ1410" s="4">
        <v>128</v>
      </c>
      <c r="BK1410" s="8">
        <v>1546.15</v>
      </c>
      <c r="BL1410" s="2" t="s">
        <v>7242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7243</v>
      </c>
      <c r="BV1410" s="2" t="s">
        <v>228</v>
      </c>
      <c r="BW1410" s="2" t="s">
        <v>228</v>
      </c>
      <c r="BX1410" s="2" t="s">
        <v>5060</v>
      </c>
      <c r="BY1410" s="2" t="s">
        <v>274</v>
      </c>
      <c r="BZ1410" s="2" t="s">
        <v>240</v>
      </c>
      <c r="CA1410" s="2" t="s">
        <v>707</v>
      </c>
      <c r="CB1410" s="2" t="s">
        <v>2440</v>
      </c>
      <c r="CC1410" s="2" t="s">
        <v>241</v>
      </c>
      <c r="CD1410" s="2" t="s">
        <v>228</v>
      </c>
      <c r="CE1410" s="4">
        <v>734</v>
      </c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>
        <v>260</v>
      </c>
      <c r="FX1410" s="4"/>
      <c r="FY1410" s="4"/>
      <c r="FZ1410" s="4"/>
      <c r="GA1410" s="4"/>
      <c r="GB1410" s="4"/>
      <c r="GC1410" s="4"/>
      <c r="GD1410" s="4"/>
      <c r="GE1410" s="4"/>
      <c r="GF1410" s="4"/>
      <c r="GG1410" s="4"/>
      <c r="GH1410" s="4"/>
      <c r="GI1410" s="4"/>
      <c r="GJ1410" s="4"/>
      <c r="GK1410" s="4"/>
      <c r="GL1410" s="4"/>
      <c r="GM1410" s="4"/>
      <c r="GN1410" s="4"/>
      <c r="GO1410" s="4"/>
      <c r="GP1410" s="4"/>
      <c r="GQ1410" s="4"/>
      <c r="GR1410" s="4"/>
      <c r="GS1410" s="4"/>
      <c r="GT1410" s="4"/>
      <c r="GU1410" s="4"/>
      <c r="GV1410" s="4"/>
      <c r="GW1410" s="4"/>
      <c r="GX1410" s="4"/>
      <c r="GY1410" s="4"/>
      <c r="GZ1410" s="4">
        <v>380</v>
      </c>
      <c r="HA1410" s="4"/>
      <c r="HB1410" s="4"/>
      <c r="HC1410" s="4"/>
      <c r="HD1410" s="4"/>
      <c r="HE1410" s="4"/>
    </row>
    <row r="1411">
      <c r="A1411" s="2" t="s">
        <v>7244</v>
      </c>
      <c r="B1411" s="2" t="s">
        <v>958</v>
      </c>
      <c r="C1411" s="2" t="s">
        <v>835</v>
      </c>
      <c r="D1411" s="2" t="s">
        <v>1795</v>
      </c>
      <c r="E1411" s="2" t="s">
        <v>1796</v>
      </c>
      <c r="F1411" s="2" t="s">
        <v>7245</v>
      </c>
      <c r="G1411" s="2" t="s">
        <v>7245</v>
      </c>
      <c r="H1411" s="2" t="s">
        <v>7245</v>
      </c>
      <c r="I1411" s="2" t="s">
        <v>7246</v>
      </c>
      <c r="J1411" s="2" t="s">
        <v>840</v>
      </c>
      <c r="K1411" s="2" t="s">
        <v>1478</v>
      </c>
      <c r="L1411" s="3">
        <v>190</v>
      </c>
      <c r="M1411" s="3">
        <v>199.5</v>
      </c>
      <c r="N1411" s="3">
        <v>399</v>
      </c>
      <c r="O1411" s="2" t="s">
        <v>240</v>
      </c>
      <c r="P1411" s="2" t="s">
        <v>1012</v>
      </c>
      <c r="Q1411" s="2" t="s">
        <v>234</v>
      </c>
      <c r="R1411" s="2" t="s">
        <v>228</v>
      </c>
      <c r="S1411" s="2" t="s">
        <v>228</v>
      </c>
      <c r="T1411" s="2" t="s">
        <v>228</v>
      </c>
      <c r="U1411" s="2" t="s">
        <v>520</v>
      </c>
      <c r="V1411" s="2" t="s">
        <v>236</v>
      </c>
      <c r="W1411" s="2" t="s">
        <v>417</v>
      </c>
      <c r="X1411" s="2" t="s">
        <v>843</v>
      </c>
      <c r="Y1411" s="2" t="s">
        <v>5535</v>
      </c>
      <c r="Z1411" s="4">
        <v>109</v>
      </c>
      <c r="AA1411" s="4">
        <f>=ROUNDDOWN(109,0)</f>
      </c>
      <c r="AB1411" s="5">
        <v>1</v>
      </c>
      <c r="AC1411" s="2" t="s">
        <v>228</v>
      </c>
      <c r="AD1411" s="4"/>
      <c r="AE1411" s="4"/>
      <c r="AF1411" s="6">
        <v>67</v>
      </c>
      <c r="AG1411" s="6"/>
      <c r="AH1411" s="7">
        <v>1</v>
      </c>
      <c r="AI1411" s="4"/>
      <c r="AJ1411" s="4">
        <f>=ROUNDDOWN({0},0)</f>
      </c>
      <c r="AK1411" s="5"/>
      <c r="AL1411" s="2" t="s">
        <v>228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/>
      <c r="AW1411" s="8"/>
      <c r="AX1411" s="4"/>
      <c r="AY1411" s="8"/>
      <c r="AZ1411" s="7"/>
      <c r="BA1411" s="7"/>
      <c r="BB1411" s="7"/>
      <c r="BC1411" s="4"/>
      <c r="BD1411" s="8"/>
      <c r="BE1411" s="4"/>
      <c r="BF1411" s="8"/>
      <c r="BG1411" s="7"/>
      <c r="BH1411" s="7"/>
      <c r="BI1411" s="7"/>
      <c r="BJ1411" s="4">
        <v>8</v>
      </c>
      <c r="BK1411" s="8">
        <v>1639.21</v>
      </c>
      <c r="BL1411" s="2" t="s">
        <v>7247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7248</v>
      </c>
      <c r="BV1411" s="2" t="s">
        <v>228</v>
      </c>
      <c r="BW1411" s="2" t="s">
        <v>228</v>
      </c>
      <c r="BX1411" s="2" t="s">
        <v>273</v>
      </c>
      <c r="BY1411" s="2" t="s">
        <v>274</v>
      </c>
      <c r="BZ1411" s="2" t="s">
        <v>240</v>
      </c>
      <c r="CA1411" s="2" t="s">
        <v>7249</v>
      </c>
      <c r="CB1411" s="2" t="s">
        <v>5740</v>
      </c>
      <c r="CC1411" s="2" t="s">
        <v>241</v>
      </c>
      <c r="CD1411" s="2" t="s">
        <v>228</v>
      </c>
      <c r="CE1411" s="4"/>
      <c r="CF1411" s="4">
        <v>109</v>
      </c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/>
      <c r="GE1411" s="4"/>
      <c r="GF1411" s="4"/>
      <c r="GG1411" s="4"/>
      <c r="GH1411" s="4"/>
      <c r="GI1411" s="4"/>
      <c r="GJ1411" s="4"/>
      <c r="GK1411" s="4"/>
      <c r="GL1411" s="4"/>
      <c r="GM1411" s="4"/>
      <c r="GN1411" s="4"/>
      <c r="GO1411" s="4"/>
      <c r="GP1411" s="4"/>
      <c r="GQ1411" s="4"/>
      <c r="GR1411" s="4"/>
      <c r="GS1411" s="4"/>
      <c r="GT1411" s="4"/>
      <c r="GU1411" s="4"/>
      <c r="GV1411" s="4"/>
      <c r="GW1411" s="4"/>
      <c r="GX1411" s="4"/>
      <c r="GY1411" s="4"/>
      <c r="GZ1411" s="4"/>
      <c r="HA1411" s="4"/>
      <c r="HB1411" s="4"/>
      <c r="HC1411" s="4"/>
      <c r="HD1411" s="4"/>
      <c r="HE1411" s="4"/>
    </row>
    <row r="1412">
      <c r="A1412" s="2" t="s">
        <v>7250</v>
      </c>
      <c r="B1412" s="2" t="s">
        <v>1150</v>
      </c>
      <c r="C1412" s="2" t="s">
        <v>835</v>
      </c>
      <c r="D1412" s="2" t="s">
        <v>1112</v>
      </c>
      <c r="E1412" s="2" t="s">
        <v>1113</v>
      </c>
      <c r="F1412" s="2" t="s">
        <v>7251</v>
      </c>
      <c r="G1412" s="2" t="s">
        <v>7251</v>
      </c>
      <c r="H1412" s="2" t="s">
        <v>7251</v>
      </c>
      <c r="I1412" s="2" t="s">
        <v>7252</v>
      </c>
      <c r="J1412" s="2" t="s">
        <v>1189</v>
      </c>
      <c r="K1412" s="2" t="s">
        <v>1466</v>
      </c>
      <c r="L1412" s="3">
        <v>70</v>
      </c>
      <c r="M1412" s="3">
        <v>73.49</v>
      </c>
      <c r="N1412" s="3">
        <v>139.99</v>
      </c>
      <c r="O1412" s="2" t="s">
        <v>491</v>
      </c>
      <c r="P1412" s="2" t="s">
        <v>333</v>
      </c>
      <c r="Q1412" s="2" t="s">
        <v>234</v>
      </c>
      <c r="R1412" s="2" t="s">
        <v>228</v>
      </c>
      <c r="S1412" s="2" t="s">
        <v>7253</v>
      </c>
      <c r="T1412" s="2" t="s">
        <v>350</v>
      </c>
      <c r="U1412" s="2" t="s">
        <v>500</v>
      </c>
      <c r="V1412" s="2" t="s">
        <v>374</v>
      </c>
      <c r="W1412" s="2" t="s">
        <v>1761</v>
      </c>
      <c r="X1412" s="2" t="s">
        <v>269</v>
      </c>
      <c r="Y1412" s="2" t="s">
        <v>7254</v>
      </c>
      <c r="Z1412" s="4">
        <v>13</v>
      </c>
      <c r="AA1412" s="4">
        <f>=ROUNDDOWN(2.6,0)</f>
      </c>
      <c r="AB1412" s="5">
        <v>5</v>
      </c>
      <c r="AC1412" s="2" t="s">
        <v>228</v>
      </c>
      <c r="AD1412" s="4"/>
      <c r="AE1412" s="4"/>
      <c r="AF1412" s="6">
        <v>67</v>
      </c>
      <c r="AG1412" s="6"/>
      <c r="AH1412" s="7">
        <v>0.6452</v>
      </c>
      <c r="AI1412" s="4"/>
      <c r="AJ1412" s="4">
        <f>=ROUNDDOWN({0},0)</f>
      </c>
      <c r="AK1412" s="5"/>
      <c r="AL1412" s="2" t="s">
        <v>228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/>
      <c r="AW1412" s="8"/>
      <c r="AX1412" s="4"/>
      <c r="AY1412" s="8"/>
      <c r="AZ1412" s="7"/>
      <c r="BA1412" s="7"/>
      <c r="BB1412" s="7"/>
      <c r="BC1412" s="4"/>
      <c r="BD1412" s="8"/>
      <c r="BE1412" s="4"/>
      <c r="BF1412" s="8"/>
      <c r="BG1412" s="7"/>
      <c r="BH1412" s="7"/>
      <c r="BI1412" s="7"/>
      <c r="BJ1412" s="4">
        <v>1</v>
      </c>
      <c r="BK1412" s="8">
        <v>58.34</v>
      </c>
      <c r="BL1412" s="2" t="s">
        <v>7255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7256</v>
      </c>
      <c r="BV1412" s="2" t="s">
        <v>228</v>
      </c>
      <c r="BW1412" s="2" t="s">
        <v>228</v>
      </c>
      <c r="BX1412" s="2" t="s">
        <v>337</v>
      </c>
      <c r="BY1412" s="2" t="s">
        <v>274</v>
      </c>
      <c r="BZ1412" s="2" t="s">
        <v>240</v>
      </c>
      <c r="CA1412" s="2" t="s">
        <v>7254</v>
      </c>
      <c r="CB1412" s="2" t="s">
        <v>6674</v>
      </c>
      <c r="CC1412" s="2" t="s">
        <v>241</v>
      </c>
      <c r="CD1412" s="2" t="s">
        <v>228</v>
      </c>
      <c r="CE1412" s="4">
        <v>13</v>
      </c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/>
      <c r="GE1412" s="4"/>
      <c r="GF1412" s="4"/>
      <c r="GG1412" s="4"/>
      <c r="GH1412" s="4"/>
      <c r="GI1412" s="4"/>
      <c r="GJ1412" s="4"/>
      <c r="GK1412" s="4"/>
      <c r="GL1412" s="4"/>
      <c r="GM1412" s="4"/>
      <c r="GN1412" s="4"/>
      <c r="GO1412" s="4"/>
      <c r="GP1412" s="4"/>
      <c r="GQ1412" s="4"/>
      <c r="GR1412" s="4"/>
      <c r="GS1412" s="4"/>
      <c r="GT1412" s="4"/>
      <c r="GU1412" s="4"/>
      <c r="GV1412" s="4"/>
      <c r="GW1412" s="4"/>
      <c r="GX1412" s="4"/>
      <c r="GY1412" s="4"/>
      <c r="GZ1412" s="4"/>
      <c r="HA1412" s="4"/>
      <c r="HB1412" s="4"/>
      <c r="HC1412" s="4"/>
      <c r="HD1412" s="4"/>
      <c r="HE1412" s="4"/>
    </row>
    <row r="1413">
      <c r="A1413" s="2" t="s">
        <v>7257</v>
      </c>
      <c r="B1413" s="2" t="s">
        <v>223</v>
      </c>
      <c r="C1413" s="2" t="s">
        <v>1037</v>
      </c>
      <c r="D1413" s="2" t="s">
        <v>1601</v>
      </c>
      <c r="E1413" s="2" t="s">
        <v>2421</v>
      </c>
      <c r="F1413" s="2" t="s">
        <v>7258</v>
      </c>
      <c r="G1413" s="2" t="s">
        <v>3002</v>
      </c>
      <c r="H1413" s="2" t="s">
        <v>3002</v>
      </c>
      <c r="I1413" s="2" t="s">
        <v>7259</v>
      </c>
      <c r="J1413" s="2" t="s">
        <v>1412</v>
      </c>
      <c r="K1413" s="2" t="s">
        <v>265</v>
      </c>
      <c r="L1413" s="3">
        <v>16.33</v>
      </c>
      <c r="M1413" s="3">
        <v>17.15</v>
      </c>
      <c r="N1413" s="3">
        <v>35.99</v>
      </c>
      <c r="O1413" s="2" t="s">
        <v>461</v>
      </c>
      <c r="P1413" s="2" t="s">
        <v>333</v>
      </c>
      <c r="Q1413" s="2" t="s">
        <v>234</v>
      </c>
      <c r="R1413" s="2" t="s">
        <v>228</v>
      </c>
      <c r="S1413" s="2" t="s">
        <v>7260</v>
      </c>
      <c r="T1413" s="2" t="s">
        <v>2594</v>
      </c>
      <c r="U1413" s="2" t="s">
        <v>228</v>
      </c>
      <c r="V1413" s="2" t="s">
        <v>236</v>
      </c>
      <c r="W1413" s="2" t="s">
        <v>417</v>
      </c>
      <c r="X1413" s="2" t="s">
        <v>228</v>
      </c>
      <c r="Y1413" s="2" t="s">
        <v>270</v>
      </c>
      <c r="Z1413" s="4">
        <v>106</v>
      </c>
      <c r="AA1413" s="4">
        <f>=ROUNDDOWN(21.2,0)</f>
      </c>
      <c r="AB1413" s="5">
        <v>5</v>
      </c>
      <c r="AC1413" s="2" t="s">
        <v>228</v>
      </c>
      <c r="AD1413" s="4"/>
      <c r="AE1413" s="4"/>
      <c r="AF1413" s="6">
        <v>64</v>
      </c>
      <c r="AG1413" s="6"/>
      <c r="AH1413" s="7">
        <v>1</v>
      </c>
      <c r="AI1413" s="4"/>
      <c r="AJ1413" s="4">
        <f>=ROUNDDOWN({0},0)</f>
      </c>
      <c r="AK1413" s="5"/>
      <c r="AL1413" s="2" t="s">
        <v>228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/>
      <c r="AW1413" s="8"/>
      <c r="AX1413" s="4"/>
      <c r="AY1413" s="8"/>
      <c r="AZ1413" s="7"/>
      <c r="BA1413" s="7"/>
      <c r="BB1413" s="7"/>
      <c r="BC1413" s="4"/>
      <c r="BD1413" s="8"/>
      <c r="BE1413" s="4"/>
      <c r="BF1413" s="8"/>
      <c r="BG1413" s="7"/>
      <c r="BH1413" s="7"/>
      <c r="BI1413" s="7"/>
      <c r="BJ1413" s="4">
        <v>20</v>
      </c>
      <c r="BK1413" s="8">
        <v>148.41</v>
      </c>
      <c r="BL1413" s="2" t="s">
        <v>7261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7262</v>
      </c>
      <c r="BV1413" s="2" t="s">
        <v>228</v>
      </c>
      <c r="BW1413" s="2" t="s">
        <v>228</v>
      </c>
      <c r="BX1413" s="2" t="s">
        <v>337</v>
      </c>
      <c r="BY1413" s="2" t="s">
        <v>274</v>
      </c>
      <c r="BZ1413" s="2" t="s">
        <v>240</v>
      </c>
      <c r="CA1413" s="2" t="s">
        <v>1618</v>
      </c>
      <c r="CB1413" s="2" t="s">
        <v>7263</v>
      </c>
      <c r="CC1413" s="2" t="s">
        <v>241</v>
      </c>
      <c r="CD1413" s="2" t="s">
        <v>228</v>
      </c>
      <c r="CE1413" s="4">
        <v>106</v>
      </c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/>
      <c r="GE1413" s="4"/>
      <c r="GF1413" s="4"/>
      <c r="GG1413" s="4"/>
      <c r="GH1413" s="4"/>
      <c r="GI1413" s="4"/>
      <c r="GJ1413" s="4"/>
      <c r="GK1413" s="4"/>
      <c r="GL1413" s="4"/>
      <c r="GM1413" s="4"/>
      <c r="GN1413" s="4"/>
      <c r="GO1413" s="4"/>
      <c r="GP1413" s="4"/>
      <c r="GQ1413" s="4"/>
      <c r="GR1413" s="4"/>
      <c r="GS1413" s="4"/>
      <c r="GT1413" s="4"/>
      <c r="GU1413" s="4"/>
      <c r="GV1413" s="4"/>
      <c r="GW1413" s="4"/>
      <c r="GX1413" s="4"/>
      <c r="GY1413" s="4"/>
      <c r="GZ1413" s="4"/>
      <c r="HA1413" s="4"/>
      <c r="HB1413" s="4"/>
      <c r="HC1413" s="4"/>
      <c r="HD1413" s="4"/>
      <c r="HE1413" s="4"/>
    </row>
    <row r="1414">
      <c r="A1414" s="2" t="s">
        <v>7264</v>
      </c>
      <c r="B1414" s="2" t="s">
        <v>866</v>
      </c>
      <c r="C1414" s="2" t="s">
        <v>885</v>
      </c>
      <c r="D1414" s="2" t="s">
        <v>1880</v>
      </c>
      <c r="E1414" s="2" t="s">
        <v>7265</v>
      </c>
      <c r="F1414" s="2" t="s">
        <v>5056</v>
      </c>
      <c r="G1414" s="2" t="s">
        <v>5056</v>
      </c>
      <c r="H1414" s="2" t="s">
        <v>5056</v>
      </c>
      <c r="I1414" s="2" t="s">
        <v>7266</v>
      </c>
      <c r="J1414" s="2" t="s">
        <v>840</v>
      </c>
      <c r="K1414" s="2" t="s">
        <v>7127</v>
      </c>
      <c r="L1414" s="3">
        <v>40.47</v>
      </c>
      <c r="M1414" s="3">
        <v>42.49</v>
      </c>
      <c r="N1414" s="3">
        <v>84.99</v>
      </c>
      <c r="O1414" s="2" t="s">
        <v>240</v>
      </c>
      <c r="P1414" s="2" t="s">
        <v>1012</v>
      </c>
      <c r="Q1414" s="2" t="s">
        <v>234</v>
      </c>
      <c r="R1414" s="2" t="s">
        <v>228</v>
      </c>
      <c r="S1414" s="2" t="s">
        <v>228</v>
      </c>
      <c r="T1414" s="2" t="s">
        <v>228</v>
      </c>
      <c r="U1414" s="2" t="s">
        <v>416</v>
      </c>
      <c r="V1414" s="2" t="s">
        <v>387</v>
      </c>
      <c r="W1414" s="2" t="s">
        <v>4981</v>
      </c>
      <c r="X1414" s="2" t="s">
        <v>1761</v>
      </c>
      <c r="Y1414" s="2" t="s">
        <v>1001</v>
      </c>
      <c r="Z1414" s="4">
        <v>26</v>
      </c>
      <c r="AA1414" s="4">
        <f>=ROUNDDOWN(9.28571428571429,0)</f>
      </c>
      <c r="AB1414" s="5">
        <v>2.8</v>
      </c>
      <c r="AC1414" s="2" t="s">
        <v>228</v>
      </c>
      <c r="AD1414" s="4"/>
      <c r="AE1414" s="4"/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228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/>
      <c r="AW1414" s="8"/>
      <c r="AX1414" s="4"/>
      <c r="AY1414" s="8"/>
      <c r="AZ1414" s="7"/>
      <c r="BA1414" s="7"/>
      <c r="BB1414" s="7"/>
      <c r="BC1414" s="4"/>
      <c r="BD1414" s="8"/>
      <c r="BE1414" s="4"/>
      <c r="BF1414" s="8"/>
      <c r="BG1414" s="7"/>
      <c r="BH1414" s="7"/>
      <c r="BI1414" s="7"/>
      <c r="BJ1414" s="4">
        <v>4</v>
      </c>
      <c r="BK1414" s="8">
        <v>172.09</v>
      </c>
      <c r="BL1414" s="2" t="s">
        <v>807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7267</v>
      </c>
      <c r="BV1414" s="2" t="s">
        <v>228</v>
      </c>
      <c r="BW1414" s="2" t="s">
        <v>228</v>
      </c>
      <c r="BX1414" s="2" t="s">
        <v>273</v>
      </c>
      <c r="BY1414" s="2" t="s">
        <v>274</v>
      </c>
      <c r="BZ1414" s="2" t="s">
        <v>240</v>
      </c>
      <c r="CA1414" s="2" t="s">
        <v>846</v>
      </c>
      <c r="CB1414" s="2" t="s">
        <v>504</v>
      </c>
      <c r="CC1414" s="2" t="s">
        <v>241</v>
      </c>
      <c r="CD1414" s="2" t="s">
        <v>228</v>
      </c>
      <c r="CE1414" s="4"/>
      <c r="CF1414" s="4">
        <v>26</v>
      </c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4"/>
      <c r="GA1414" s="4"/>
      <c r="GB1414" s="4"/>
      <c r="GC1414" s="4"/>
      <c r="GD1414" s="4"/>
      <c r="GE1414" s="4"/>
      <c r="GF1414" s="4"/>
      <c r="GG1414" s="4"/>
      <c r="GH1414" s="4"/>
      <c r="GI1414" s="4"/>
      <c r="GJ1414" s="4"/>
      <c r="GK1414" s="4"/>
      <c r="GL1414" s="4"/>
      <c r="GM1414" s="4"/>
      <c r="GN1414" s="4"/>
      <c r="GO1414" s="4"/>
      <c r="GP1414" s="4"/>
      <c r="GQ1414" s="4"/>
      <c r="GR1414" s="4"/>
      <c r="GS1414" s="4"/>
      <c r="GT1414" s="4"/>
      <c r="GU1414" s="4"/>
      <c r="GV1414" s="4"/>
      <c r="GW1414" s="4"/>
      <c r="GX1414" s="4"/>
      <c r="GY1414" s="4"/>
      <c r="GZ1414" s="4"/>
      <c r="HA1414" s="4"/>
      <c r="HB1414" s="4"/>
      <c r="HC1414" s="4"/>
      <c r="HD1414" s="4"/>
      <c r="HE1414" s="4"/>
    </row>
    <row r="1415">
      <c r="A1415" s="2" t="s">
        <v>7268</v>
      </c>
      <c r="B1415" s="2" t="s">
        <v>958</v>
      </c>
      <c r="C1415" s="2" t="s">
        <v>300</v>
      </c>
      <c r="D1415" s="2" t="s">
        <v>959</v>
      </c>
      <c r="E1415" s="2" t="s">
        <v>7269</v>
      </c>
      <c r="F1415" s="2" t="s">
        <v>7270</v>
      </c>
      <c r="G1415" s="2" t="s">
        <v>5942</v>
      </c>
      <c r="H1415" s="2" t="s">
        <v>4523</v>
      </c>
      <c r="I1415" s="2" t="s">
        <v>7271</v>
      </c>
      <c r="J1415" s="2" t="s">
        <v>840</v>
      </c>
      <c r="K1415" s="2" t="s">
        <v>1421</v>
      </c>
      <c r="L1415" s="3">
        <v>183.83</v>
      </c>
      <c r="M1415" s="3">
        <v>193.02</v>
      </c>
      <c r="N1415" s="3">
        <v>389</v>
      </c>
      <c r="O1415" s="2" t="s">
        <v>461</v>
      </c>
      <c r="P1415" s="2" t="s">
        <v>333</v>
      </c>
      <c r="Q1415" s="2" t="s">
        <v>234</v>
      </c>
      <c r="R1415" s="2" t="s">
        <v>228</v>
      </c>
      <c r="S1415" s="2" t="s">
        <v>228</v>
      </c>
      <c r="T1415" s="2" t="s">
        <v>228</v>
      </c>
      <c r="U1415" s="2" t="s">
        <v>416</v>
      </c>
      <c r="V1415" s="2" t="s">
        <v>842</v>
      </c>
      <c r="W1415" s="2" t="s">
        <v>463</v>
      </c>
      <c r="X1415" s="2" t="s">
        <v>269</v>
      </c>
      <c r="Y1415" s="2" t="s">
        <v>6697</v>
      </c>
      <c r="Z1415" s="4">
        <v>58</v>
      </c>
      <c r="AA1415" s="4">
        <f>=ROUNDDOWN(58,0)</f>
      </c>
      <c r="AB1415" s="5">
        <v>1</v>
      </c>
      <c r="AC1415" s="2" t="s">
        <v>228</v>
      </c>
      <c r="AD1415" s="4"/>
      <c r="AE1415" s="4"/>
      <c r="AF1415" s="6">
        <v>65</v>
      </c>
      <c r="AG1415" s="6"/>
      <c r="AH1415" s="7">
        <v>1</v>
      </c>
      <c r="AI1415" s="4"/>
      <c r="AJ1415" s="4">
        <f>=ROUNDDOWN({0},0)</f>
      </c>
      <c r="AK1415" s="5"/>
      <c r="AL1415" s="2" t="s">
        <v>228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/>
      <c r="AW1415" s="8"/>
      <c r="AX1415" s="4"/>
      <c r="AY1415" s="8"/>
      <c r="AZ1415" s="7"/>
      <c r="BA1415" s="7"/>
      <c r="BB1415" s="7"/>
      <c r="BC1415" s="4"/>
      <c r="BD1415" s="8"/>
      <c r="BE1415" s="4"/>
      <c r="BF1415" s="8"/>
      <c r="BG1415" s="7"/>
      <c r="BH1415" s="7"/>
      <c r="BI1415" s="7"/>
      <c r="BJ1415" s="4"/>
      <c r="BK1415" s="8"/>
      <c r="BL1415" s="2" t="s">
        <v>1033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7272</v>
      </c>
      <c r="BV1415" s="2" t="s">
        <v>228</v>
      </c>
      <c r="BW1415" s="2" t="s">
        <v>228</v>
      </c>
      <c r="BX1415" s="2" t="s">
        <v>337</v>
      </c>
      <c r="BY1415" s="2" t="s">
        <v>274</v>
      </c>
      <c r="BZ1415" s="2" t="s">
        <v>240</v>
      </c>
      <c r="CA1415" s="2" t="s">
        <v>2700</v>
      </c>
      <c r="CB1415" s="2" t="s">
        <v>5504</v>
      </c>
      <c r="CC1415" s="2" t="s">
        <v>241</v>
      </c>
      <c r="CD1415" s="2" t="s">
        <v>228</v>
      </c>
      <c r="CE1415" s="4"/>
      <c r="CF1415" s="4">
        <v>58</v>
      </c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/>
      <c r="GE1415" s="4"/>
      <c r="GF1415" s="4"/>
      <c r="GG1415" s="4"/>
      <c r="GH1415" s="4"/>
      <c r="GI1415" s="4"/>
      <c r="GJ1415" s="4"/>
      <c r="GK1415" s="4"/>
      <c r="GL1415" s="4"/>
      <c r="GM1415" s="4"/>
      <c r="GN1415" s="4"/>
      <c r="GO1415" s="4"/>
      <c r="GP1415" s="4"/>
      <c r="GQ1415" s="4"/>
      <c r="GR1415" s="4"/>
      <c r="GS1415" s="4"/>
      <c r="GT1415" s="4"/>
      <c r="GU1415" s="4"/>
      <c r="GV1415" s="4"/>
      <c r="GW1415" s="4"/>
      <c r="GX1415" s="4"/>
      <c r="GY1415" s="4"/>
      <c r="GZ1415" s="4"/>
      <c r="HA1415" s="4"/>
      <c r="HB1415" s="4"/>
      <c r="HC1415" s="4"/>
      <c r="HD1415" s="4"/>
      <c r="HE1415" s="4"/>
    </row>
    <row r="1416">
      <c r="A1416" s="2" t="s">
        <v>7273</v>
      </c>
      <c r="B1416" s="2" t="s">
        <v>1150</v>
      </c>
      <c r="C1416" s="2" t="s">
        <v>300</v>
      </c>
      <c r="D1416" s="2" t="s">
        <v>1112</v>
      </c>
      <c r="E1416" s="2" t="s">
        <v>1165</v>
      </c>
      <c r="F1416" s="2" t="s">
        <v>7274</v>
      </c>
      <c r="G1416" s="2" t="s">
        <v>7275</v>
      </c>
      <c r="H1416" s="2" t="s">
        <v>7276</v>
      </c>
      <c r="I1416" s="2" t="s">
        <v>2157</v>
      </c>
      <c r="J1416" s="2" t="s">
        <v>1189</v>
      </c>
      <c r="K1416" s="2" t="s">
        <v>305</v>
      </c>
      <c r="L1416" s="3">
        <v>41.14</v>
      </c>
      <c r="M1416" s="3">
        <v>43.2</v>
      </c>
      <c r="N1416" s="3">
        <v>89.99</v>
      </c>
      <c r="O1416" s="2" t="s">
        <v>240</v>
      </c>
      <c r="P1416" s="2" t="s">
        <v>233</v>
      </c>
      <c r="Q1416" s="2" t="s">
        <v>234</v>
      </c>
      <c r="R1416" s="2" t="s">
        <v>228</v>
      </c>
      <c r="S1416" s="2" t="s">
        <v>7277</v>
      </c>
      <c r="T1416" s="2" t="s">
        <v>1414</v>
      </c>
      <c r="U1416" s="2" t="s">
        <v>1054</v>
      </c>
      <c r="V1416" s="2" t="s">
        <v>1344</v>
      </c>
      <c r="W1416" s="2" t="s">
        <v>743</v>
      </c>
      <c r="X1416" s="2" t="s">
        <v>228</v>
      </c>
      <c r="Y1416" s="2" t="s">
        <v>2159</v>
      </c>
      <c r="Z1416" s="4">
        <v>428</v>
      </c>
      <c r="AA1416" s="4">
        <f>=ROUNDDOWN(356.666666666667,0)</f>
      </c>
      <c r="AB1416" s="5">
        <v>1.2</v>
      </c>
      <c r="AC1416" s="2" t="s">
        <v>228</v>
      </c>
      <c r="AD1416" s="4"/>
      <c r="AE1416" s="4"/>
      <c r="AF1416" s="6">
        <v>64</v>
      </c>
      <c r="AG1416" s="6"/>
      <c r="AH1416" s="7">
        <v>1</v>
      </c>
      <c r="AI1416" s="4"/>
      <c r="AJ1416" s="4">
        <f>=ROUNDDOWN({0},0)</f>
      </c>
      <c r="AK1416" s="5"/>
      <c r="AL1416" s="2" t="s">
        <v>228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/>
      <c r="AW1416" s="8"/>
      <c r="AX1416" s="4"/>
      <c r="AY1416" s="8"/>
      <c r="AZ1416" s="7"/>
      <c r="BA1416" s="7"/>
      <c r="BB1416" s="7"/>
      <c r="BC1416" s="4" t="s">
        <v>228</v>
      </c>
      <c r="BD1416" s="8" t="s">
        <v>228</v>
      </c>
      <c r="BE1416" s="4" t="s">
        <v>228</v>
      </c>
      <c r="BF1416" s="8" t="s">
        <v>228</v>
      </c>
      <c r="BG1416" s="7" t="s">
        <v>228</v>
      </c>
      <c r="BH1416" s="7" t="s">
        <v>228</v>
      </c>
      <c r="BI1416" s="7"/>
      <c r="BJ1416" s="4">
        <v>2</v>
      </c>
      <c r="BK1416" s="8">
        <v>92.01</v>
      </c>
      <c r="BL1416" s="2" t="s">
        <v>2507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7278</v>
      </c>
      <c r="BV1416" s="2" t="s">
        <v>228</v>
      </c>
      <c r="BW1416" s="2" t="s">
        <v>228</v>
      </c>
      <c r="BX1416" s="2" t="s">
        <v>273</v>
      </c>
      <c r="BY1416" s="2" t="s">
        <v>274</v>
      </c>
      <c r="BZ1416" s="2" t="s">
        <v>240</v>
      </c>
      <c r="CA1416" s="2" t="s">
        <v>2162</v>
      </c>
      <c r="CB1416" s="2" t="s">
        <v>228</v>
      </c>
      <c r="CC1416" s="2" t="s">
        <v>241</v>
      </c>
      <c r="CD1416" s="2" t="s">
        <v>228</v>
      </c>
      <c r="CE1416" s="4">
        <v>428</v>
      </c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/>
      <c r="GE1416" s="4"/>
      <c r="GF1416" s="4"/>
      <c r="GG1416" s="4"/>
      <c r="GH1416" s="4"/>
      <c r="GI1416" s="4"/>
      <c r="GJ1416" s="4"/>
      <c r="GK1416" s="4"/>
      <c r="GL1416" s="4"/>
      <c r="GM1416" s="4"/>
      <c r="GN1416" s="4"/>
      <c r="GO1416" s="4"/>
      <c r="GP1416" s="4"/>
      <c r="GQ1416" s="4"/>
      <c r="GR1416" s="4"/>
      <c r="GS1416" s="4"/>
      <c r="GT1416" s="4"/>
      <c r="GU1416" s="4"/>
      <c r="GV1416" s="4"/>
      <c r="GW1416" s="4"/>
      <c r="GX1416" s="4"/>
      <c r="GY1416" s="4"/>
      <c r="GZ1416" s="4"/>
      <c r="HA1416" s="4"/>
      <c r="HB1416" s="4"/>
      <c r="HC1416" s="4"/>
      <c r="HD1416" s="4"/>
      <c r="HE1416" s="4"/>
    </row>
    <row r="1417">
      <c r="A1417" s="2" t="s">
        <v>7279</v>
      </c>
      <c r="B1417" s="2" t="s">
        <v>1150</v>
      </c>
      <c r="C1417" s="2" t="s">
        <v>300</v>
      </c>
      <c r="D1417" s="2" t="s">
        <v>1112</v>
      </c>
      <c r="E1417" s="2" t="s">
        <v>1165</v>
      </c>
      <c r="F1417" s="2" t="s">
        <v>7274</v>
      </c>
      <c r="G1417" s="2" t="s">
        <v>7275</v>
      </c>
      <c r="H1417" s="2" t="s">
        <v>7276</v>
      </c>
      <c r="I1417" s="2" t="s">
        <v>2157</v>
      </c>
      <c r="J1417" s="2" t="s">
        <v>1189</v>
      </c>
      <c r="K1417" s="2" t="s">
        <v>7165</v>
      </c>
      <c r="L1417" s="3">
        <v>41.14</v>
      </c>
      <c r="M1417" s="3">
        <v>43.2</v>
      </c>
      <c r="N1417" s="3">
        <v>89.99</v>
      </c>
      <c r="O1417" s="2" t="s">
        <v>240</v>
      </c>
      <c r="P1417" s="2" t="s">
        <v>233</v>
      </c>
      <c r="Q1417" s="2" t="s">
        <v>234</v>
      </c>
      <c r="R1417" s="2" t="s">
        <v>228</v>
      </c>
      <c r="S1417" s="2" t="s">
        <v>7280</v>
      </c>
      <c r="T1417" s="2" t="s">
        <v>1414</v>
      </c>
      <c r="U1417" s="2" t="s">
        <v>1054</v>
      </c>
      <c r="V1417" s="2" t="s">
        <v>1344</v>
      </c>
      <c r="W1417" s="2" t="s">
        <v>743</v>
      </c>
      <c r="X1417" s="2" t="s">
        <v>228</v>
      </c>
      <c r="Y1417" s="2" t="s">
        <v>2159</v>
      </c>
      <c r="Z1417" s="4">
        <v>424</v>
      </c>
      <c r="AA1417" s="4">
        <f>=ROUNDDOWN(223.157894736842,0)</f>
      </c>
      <c r="AB1417" s="5">
        <v>1.9</v>
      </c>
      <c r="AC1417" s="2" t="s">
        <v>228</v>
      </c>
      <c r="AD1417" s="4"/>
      <c r="AE1417" s="4"/>
      <c r="AF1417" s="6">
        <v>64</v>
      </c>
      <c r="AG1417" s="6"/>
      <c r="AH1417" s="7">
        <v>1</v>
      </c>
      <c r="AI1417" s="4"/>
      <c r="AJ1417" s="4">
        <f>=ROUNDDOWN({0},0)</f>
      </c>
      <c r="AK1417" s="5"/>
      <c r="AL1417" s="2" t="s">
        <v>228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 t="s">
        <v>228</v>
      </c>
      <c r="AW1417" s="8" t="s">
        <v>228</v>
      </c>
      <c r="AX1417" s="4" t="s">
        <v>228</v>
      </c>
      <c r="AY1417" s="8" t="s">
        <v>228</v>
      </c>
      <c r="AZ1417" s="7" t="s">
        <v>228</v>
      </c>
      <c r="BA1417" s="7" t="s">
        <v>228</v>
      </c>
      <c r="BB1417" s="7"/>
      <c r="BC1417" s="4" t="s">
        <v>228</v>
      </c>
      <c r="BD1417" s="8" t="s">
        <v>228</v>
      </c>
      <c r="BE1417" s="4" t="s">
        <v>228</v>
      </c>
      <c r="BF1417" s="8" t="s">
        <v>228</v>
      </c>
      <c r="BG1417" s="7" t="s">
        <v>228</v>
      </c>
      <c r="BH1417" s="7" t="s">
        <v>228</v>
      </c>
      <c r="BI1417" s="7"/>
      <c r="BJ1417" s="4">
        <v>5</v>
      </c>
      <c r="BK1417" s="8">
        <v>227.22</v>
      </c>
      <c r="BL1417" s="2" t="s">
        <v>357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7281</v>
      </c>
      <c r="BV1417" s="2" t="s">
        <v>228</v>
      </c>
      <c r="BW1417" s="2" t="s">
        <v>228</v>
      </c>
      <c r="BX1417" s="2" t="s">
        <v>273</v>
      </c>
      <c r="BY1417" s="2" t="s">
        <v>274</v>
      </c>
      <c r="BZ1417" s="2" t="s">
        <v>240</v>
      </c>
      <c r="CA1417" s="2" t="s">
        <v>2162</v>
      </c>
      <c r="CB1417" s="2" t="s">
        <v>812</v>
      </c>
      <c r="CC1417" s="2" t="s">
        <v>241</v>
      </c>
      <c r="CD1417" s="2" t="s">
        <v>228</v>
      </c>
      <c r="CE1417" s="4">
        <v>424</v>
      </c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/>
      <c r="FZ1417" s="4"/>
      <c r="GA1417" s="4"/>
      <c r="GB1417" s="4"/>
      <c r="GC1417" s="4"/>
      <c r="GD1417" s="4"/>
      <c r="GE1417" s="4"/>
      <c r="GF1417" s="4"/>
      <c r="GG1417" s="4"/>
      <c r="GH1417" s="4"/>
      <c r="GI1417" s="4"/>
      <c r="GJ1417" s="4"/>
      <c r="GK1417" s="4"/>
      <c r="GL1417" s="4"/>
      <c r="GM1417" s="4"/>
      <c r="GN1417" s="4"/>
      <c r="GO1417" s="4"/>
      <c r="GP1417" s="4"/>
      <c r="GQ1417" s="4"/>
      <c r="GR1417" s="4"/>
      <c r="GS1417" s="4"/>
      <c r="GT1417" s="4"/>
      <c r="GU1417" s="4"/>
      <c r="GV1417" s="4"/>
      <c r="GW1417" s="4"/>
      <c r="GX1417" s="4"/>
      <c r="GY1417" s="4"/>
      <c r="GZ1417" s="4"/>
      <c r="HA1417" s="4"/>
      <c r="HB1417" s="4"/>
      <c r="HC1417" s="4"/>
      <c r="HD1417" s="4"/>
      <c r="HE1417" s="4"/>
    </row>
    <row r="1418">
      <c r="A1418" s="2" t="s">
        <v>7282</v>
      </c>
      <c r="B1418" s="2" t="s">
        <v>1150</v>
      </c>
      <c r="C1418" s="2" t="s">
        <v>300</v>
      </c>
      <c r="D1418" s="2" t="s">
        <v>1112</v>
      </c>
      <c r="E1418" s="2" t="s">
        <v>1165</v>
      </c>
      <c r="F1418" s="2" t="s">
        <v>7274</v>
      </c>
      <c r="G1418" s="2" t="s">
        <v>7275</v>
      </c>
      <c r="H1418" s="2" t="s">
        <v>7276</v>
      </c>
      <c r="I1418" s="2" t="s">
        <v>2157</v>
      </c>
      <c r="J1418" s="2" t="s">
        <v>1043</v>
      </c>
      <c r="K1418" s="2" t="s">
        <v>7165</v>
      </c>
      <c r="L1418" s="3">
        <v>45.71</v>
      </c>
      <c r="M1418" s="3">
        <v>48</v>
      </c>
      <c r="N1418" s="3">
        <v>99.99</v>
      </c>
      <c r="O1418" s="2" t="s">
        <v>240</v>
      </c>
      <c r="P1418" s="2" t="s">
        <v>233</v>
      </c>
      <c r="Q1418" s="2" t="s">
        <v>234</v>
      </c>
      <c r="R1418" s="2" t="s">
        <v>228</v>
      </c>
      <c r="S1418" s="2" t="s">
        <v>7280</v>
      </c>
      <c r="T1418" s="2" t="s">
        <v>1414</v>
      </c>
      <c r="U1418" s="2" t="s">
        <v>1054</v>
      </c>
      <c r="V1418" s="2" t="s">
        <v>1344</v>
      </c>
      <c r="W1418" s="2" t="s">
        <v>743</v>
      </c>
      <c r="X1418" s="2" t="s">
        <v>228</v>
      </c>
      <c r="Y1418" s="2" t="s">
        <v>2159</v>
      </c>
      <c r="Z1418" s="4">
        <v>354</v>
      </c>
      <c r="AA1418" s="4">
        <f>=ROUNDDOWN(354,0)</f>
      </c>
      <c r="AB1418" s="5">
        <v>1</v>
      </c>
      <c r="AC1418" s="2" t="s">
        <v>228</v>
      </c>
      <c r="AD1418" s="4"/>
      <c r="AE1418" s="4"/>
      <c r="AF1418" s="6">
        <v>64</v>
      </c>
      <c r="AG1418" s="6"/>
      <c r="AH1418" s="7">
        <v>1</v>
      </c>
      <c r="AI1418" s="4"/>
      <c r="AJ1418" s="4">
        <f>=ROUNDDOWN({0},0)</f>
      </c>
      <c r="AK1418" s="5"/>
      <c r="AL1418" s="2" t="s">
        <v>228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 t="s">
        <v>228</v>
      </c>
      <c r="AW1418" s="8" t="s">
        <v>228</v>
      </c>
      <c r="AX1418" s="4" t="s">
        <v>228</v>
      </c>
      <c r="AY1418" s="8" t="s">
        <v>228</v>
      </c>
      <c r="AZ1418" s="7" t="s">
        <v>228</v>
      </c>
      <c r="BA1418" s="7" t="s">
        <v>228</v>
      </c>
      <c r="BB1418" s="7"/>
      <c r="BC1418" s="4" t="s">
        <v>228</v>
      </c>
      <c r="BD1418" s="8" t="s">
        <v>228</v>
      </c>
      <c r="BE1418" s="4" t="s">
        <v>228</v>
      </c>
      <c r="BF1418" s="8" t="s">
        <v>228</v>
      </c>
      <c r="BG1418" s="7" t="s">
        <v>228</v>
      </c>
      <c r="BH1418" s="7" t="s">
        <v>228</v>
      </c>
      <c r="BI1418" s="7"/>
      <c r="BJ1418" s="4">
        <v>3</v>
      </c>
      <c r="BK1418" s="8">
        <v>148</v>
      </c>
      <c r="BL1418" s="2" t="s">
        <v>2974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7283</v>
      </c>
      <c r="BV1418" s="2" t="s">
        <v>228</v>
      </c>
      <c r="BW1418" s="2" t="s">
        <v>228</v>
      </c>
      <c r="BX1418" s="2" t="s">
        <v>273</v>
      </c>
      <c r="BY1418" s="2" t="s">
        <v>274</v>
      </c>
      <c r="BZ1418" s="2" t="s">
        <v>240</v>
      </c>
      <c r="CA1418" s="2" t="s">
        <v>2162</v>
      </c>
      <c r="CB1418" s="2" t="s">
        <v>228</v>
      </c>
      <c r="CC1418" s="2" t="s">
        <v>241</v>
      </c>
      <c r="CD1418" s="2" t="s">
        <v>228</v>
      </c>
      <c r="CE1418" s="4">
        <v>354</v>
      </c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  <c r="FX1418" s="4"/>
      <c r="FY1418" s="4"/>
      <c r="FZ1418" s="4"/>
      <c r="GA1418" s="4"/>
      <c r="GB1418" s="4"/>
      <c r="GC1418" s="4"/>
      <c r="GD1418" s="4"/>
      <c r="GE1418" s="4"/>
      <c r="GF1418" s="4"/>
      <c r="GG1418" s="4"/>
      <c r="GH1418" s="4"/>
      <c r="GI1418" s="4"/>
      <c r="GJ1418" s="4"/>
      <c r="GK1418" s="4"/>
      <c r="GL1418" s="4"/>
      <c r="GM1418" s="4"/>
      <c r="GN1418" s="4"/>
      <c r="GO1418" s="4"/>
      <c r="GP1418" s="4"/>
      <c r="GQ1418" s="4"/>
      <c r="GR1418" s="4"/>
      <c r="GS1418" s="4"/>
      <c r="GT1418" s="4"/>
      <c r="GU1418" s="4"/>
      <c r="GV1418" s="4"/>
      <c r="GW1418" s="4"/>
      <c r="GX1418" s="4"/>
      <c r="GY1418" s="4"/>
      <c r="GZ1418" s="4"/>
      <c r="HA1418" s="4"/>
      <c r="HB1418" s="4"/>
      <c r="HC1418" s="4"/>
      <c r="HD1418" s="4"/>
      <c r="HE1418" s="4"/>
    </row>
    <row r="1419">
      <c r="A1419" s="2" t="s">
        <v>7284</v>
      </c>
      <c r="B1419" s="2" t="s">
        <v>958</v>
      </c>
      <c r="C1419" s="2" t="s">
        <v>300</v>
      </c>
      <c r="D1419" s="2" t="s">
        <v>2256</v>
      </c>
      <c r="E1419" s="2" t="s">
        <v>2257</v>
      </c>
      <c r="F1419" s="2" t="s">
        <v>7285</v>
      </c>
      <c r="G1419" s="2" t="s">
        <v>7286</v>
      </c>
      <c r="H1419" s="2" t="s">
        <v>7287</v>
      </c>
      <c r="I1419" s="2" t="s">
        <v>7288</v>
      </c>
      <c r="J1419" s="2" t="s">
        <v>840</v>
      </c>
      <c r="K1419" s="2" t="s">
        <v>1466</v>
      </c>
      <c r="L1419" s="3">
        <v>173.25</v>
      </c>
      <c r="M1419" s="3">
        <v>181.91</v>
      </c>
      <c r="N1419" s="3">
        <v>369</v>
      </c>
      <c r="O1419" s="2" t="s">
        <v>461</v>
      </c>
      <c r="P1419" s="2" t="s">
        <v>333</v>
      </c>
      <c r="Q1419" s="2" t="s">
        <v>234</v>
      </c>
      <c r="R1419" s="2" t="s">
        <v>228</v>
      </c>
      <c r="S1419" s="2" t="s">
        <v>228</v>
      </c>
      <c r="T1419" s="2" t="s">
        <v>228</v>
      </c>
      <c r="U1419" s="2" t="s">
        <v>228</v>
      </c>
      <c r="V1419" s="2" t="s">
        <v>236</v>
      </c>
      <c r="W1419" s="2" t="s">
        <v>743</v>
      </c>
      <c r="X1419" s="2" t="s">
        <v>228</v>
      </c>
      <c r="Y1419" s="2" t="s">
        <v>6332</v>
      </c>
      <c r="Z1419" s="4">
        <v>277</v>
      </c>
      <c r="AA1419" s="4">
        <f>=ROUNDDOWN(307.777777777778,0)</f>
      </c>
      <c r="AB1419" s="5">
        <v>0.9</v>
      </c>
      <c r="AC1419" s="2" t="s">
        <v>228</v>
      </c>
      <c r="AD1419" s="4"/>
      <c r="AE1419" s="4"/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228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/>
      <c r="AW1419" s="8"/>
      <c r="AX1419" s="4"/>
      <c r="AY1419" s="8"/>
      <c r="AZ1419" s="7"/>
      <c r="BA1419" s="7"/>
      <c r="BB1419" s="7"/>
      <c r="BC1419" s="4"/>
      <c r="BD1419" s="8"/>
      <c r="BE1419" s="4"/>
      <c r="BF1419" s="8"/>
      <c r="BG1419" s="7"/>
      <c r="BH1419" s="7"/>
      <c r="BI1419" s="7"/>
      <c r="BJ1419" s="4">
        <v>3</v>
      </c>
      <c r="BK1419" s="8">
        <v>426.64</v>
      </c>
      <c r="BL1419" s="2" t="s">
        <v>7289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7290</v>
      </c>
      <c r="BV1419" s="2" t="s">
        <v>228</v>
      </c>
      <c r="BW1419" s="2" t="s">
        <v>228</v>
      </c>
      <c r="BX1419" s="2" t="s">
        <v>337</v>
      </c>
      <c r="BY1419" s="2" t="s">
        <v>274</v>
      </c>
      <c r="BZ1419" s="2" t="s">
        <v>240</v>
      </c>
      <c r="CA1419" s="2" t="s">
        <v>7291</v>
      </c>
      <c r="CB1419" s="2" t="s">
        <v>1889</v>
      </c>
      <c r="CC1419" s="2" t="s">
        <v>241</v>
      </c>
      <c r="CD1419" s="2" t="s">
        <v>228</v>
      </c>
      <c r="CE1419" s="4"/>
      <c r="CF1419" s="4">
        <v>277</v>
      </c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/>
      <c r="FZ1419" s="4"/>
      <c r="GA1419" s="4"/>
      <c r="GB1419" s="4"/>
      <c r="GC1419" s="4"/>
      <c r="GD1419" s="4"/>
      <c r="GE1419" s="4"/>
      <c r="GF1419" s="4"/>
      <c r="GG1419" s="4"/>
      <c r="GH1419" s="4"/>
      <c r="GI1419" s="4"/>
      <c r="GJ1419" s="4"/>
      <c r="GK1419" s="4"/>
      <c r="GL1419" s="4"/>
      <c r="GM1419" s="4"/>
      <c r="GN1419" s="4"/>
      <c r="GO1419" s="4"/>
      <c r="GP1419" s="4"/>
      <c r="GQ1419" s="4"/>
      <c r="GR1419" s="4"/>
      <c r="GS1419" s="4"/>
      <c r="GT1419" s="4"/>
      <c r="GU1419" s="4"/>
      <c r="GV1419" s="4"/>
      <c r="GW1419" s="4"/>
      <c r="GX1419" s="4"/>
      <c r="GY1419" s="4"/>
      <c r="GZ1419" s="4"/>
      <c r="HA1419" s="4"/>
      <c r="HB1419" s="4"/>
      <c r="HC1419" s="4"/>
      <c r="HD1419" s="4"/>
      <c r="HE1419" s="4"/>
    </row>
    <row r="1420">
      <c r="A1420" s="2" t="s">
        <v>7292</v>
      </c>
      <c r="B1420" s="2" t="s">
        <v>866</v>
      </c>
      <c r="C1420" s="2" t="s">
        <v>300</v>
      </c>
      <c r="D1420" s="2" t="s">
        <v>899</v>
      </c>
      <c r="E1420" s="2" t="s">
        <v>1891</v>
      </c>
      <c r="F1420" s="2" t="s">
        <v>7293</v>
      </c>
      <c r="G1420" s="2" t="s">
        <v>7293</v>
      </c>
      <c r="H1420" s="2" t="s">
        <v>7293</v>
      </c>
      <c r="I1420" s="2" t="s">
        <v>7294</v>
      </c>
      <c r="J1420" s="2" t="s">
        <v>840</v>
      </c>
      <c r="K1420" s="2" t="s">
        <v>888</v>
      </c>
      <c r="L1420" s="3">
        <v>16.15</v>
      </c>
      <c r="M1420" s="3">
        <v>16.96</v>
      </c>
      <c r="N1420" s="3">
        <v>33.99</v>
      </c>
      <c r="O1420" s="2" t="s">
        <v>240</v>
      </c>
      <c r="P1420" s="2" t="s">
        <v>1012</v>
      </c>
      <c r="Q1420" s="2" t="s">
        <v>234</v>
      </c>
      <c r="R1420" s="2" t="s">
        <v>228</v>
      </c>
      <c r="S1420" s="2" t="s">
        <v>7295</v>
      </c>
      <c r="T1420" s="2" t="s">
        <v>228</v>
      </c>
      <c r="U1420" s="2" t="s">
        <v>500</v>
      </c>
      <c r="V1420" s="2" t="s">
        <v>1156</v>
      </c>
      <c r="W1420" s="2" t="s">
        <v>463</v>
      </c>
      <c r="X1420" s="2" t="s">
        <v>228</v>
      </c>
      <c r="Y1420" s="2" t="s">
        <v>270</v>
      </c>
      <c r="Z1420" s="4">
        <v>101</v>
      </c>
      <c r="AA1420" s="4">
        <f>=ROUNDDOWN(16.8333333333333,0)</f>
      </c>
      <c r="AB1420" s="5">
        <v>6</v>
      </c>
      <c r="AC1420" s="2" t="s">
        <v>168</v>
      </c>
      <c r="AD1420" s="4">
        <v>100</v>
      </c>
      <c r="AE1420" s="4">
        <v>100</v>
      </c>
      <c r="AF1420" s="6">
        <v>63</v>
      </c>
      <c r="AG1420" s="6">
        <v>46</v>
      </c>
      <c r="AH1420" s="7">
        <v>0.5484</v>
      </c>
      <c r="AI1420" s="4"/>
      <c r="AJ1420" s="4">
        <f>=ROUNDDOWN({0},0)</f>
      </c>
      <c r="AK1420" s="5"/>
      <c r="AL1420" s="2" t="s">
        <v>228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/>
      <c r="AW1420" s="8"/>
      <c r="AX1420" s="4"/>
      <c r="AY1420" s="8"/>
      <c r="AZ1420" s="7"/>
      <c r="BA1420" s="7"/>
      <c r="BB1420" s="7"/>
      <c r="BC1420" s="4"/>
      <c r="BD1420" s="8"/>
      <c r="BE1420" s="4"/>
      <c r="BF1420" s="8"/>
      <c r="BG1420" s="7"/>
      <c r="BH1420" s="7"/>
      <c r="BI1420" s="7"/>
      <c r="BJ1420" s="4">
        <v>5</v>
      </c>
      <c r="BK1420" s="8">
        <v>81.92</v>
      </c>
      <c r="BL1420" s="2" t="s">
        <v>7296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7297</v>
      </c>
      <c r="BV1420" s="2" t="s">
        <v>228</v>
      </c>
      <c r="BW1420" s="2" t="s">
        <v>228</v>
      </c>
      <c r="BX1420" s="2" t="s">
        <v>273</v>
      </c>
      <c r="BY1420" s="2" t="s">
        <v>274</v>
      </c>
      <c r="BZ1420" s="2" t="s">
        <v>240</v>
      </c>
      <c r="CA1420" s="2" t="s">
        <v>275</v>
      </c>
      <c r="CB1420" s="2" t="s">
        <v>7298</v>
      </c>
      <c r="CC1420" s="2" t="s">
        <v>241</v>
      </c>
      <c r="CD1420" s="2" t="s">
        <v>228</v>
      </c>
      <c r="CE1420" s="4"/>
      <c r="CF1420" s="4">
        <v>101</v>
      </c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>
        <v>100</v>
      </c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/>
      <c r="GE1420" s="4"/>
      <c r="GF1420" s="4"/>
      <c r="GG1420" s="4"/>
      <c r="GH1420" s="4"/>
      <c r="GI1420" s="4"/>
      <c r="GJ1420" s="4"/>
      <c r="GK1420" s="4"/>
      <c r="GL1420" s="4"/>
      <c r="GM1420" s="4"/>
      <c r="GN1420" s="4"/>
      <c r="GO1420" s="4"/>
      <c r="GP1420" s="4"/>
      <c r="GQ1420" s="4"/>
      <c r="GR1420" s="4"/>
      <c r="GS1420" s="4"/>
      <c r="GT1420" s="4"/>
      <c r="GU1420" s="4"/>
      <c r="GV1420" s="4"/>
      <c r="GW1420" s="4"/>
      <c r="GX1420" s="4"/>
      <c r="GY1420" s="4"/>
      <c r="GZ1420" s="4"/>
      <c r="HA1420" s="4"/>
      <c r="HB1420" s="4"/>
      <c r="HC1420" s="4"/>
      <c r="HD1420" s="4"/>
      <c r="HE1420" s="4"/>
    </row>
    <row r="1421">
      <c r="A1421" s="2" t="s">
        <v>7299</v>
      </c>
      <c r="B1421" s="2" t="s">
        <v>958</v>
      </c>
      <c r="C1421" s="2" t="s">
        <v>885</v>
      </c>
      <c r="D1421" s="2" t="s">
        <v>7173</v>
      </c>
      <c r="E1421" s="2" t="s">
        <v>7174</v>
      </c>
      <c r="F1421" s="2" t="s">
        <v>7300</v>
      </c>
      <c r="G1421" s="2" t="s">
        <v>7300</v>
      </c>
      <c r="H1421" s="2" t="s">
        <v>7300</v>
      </c>
      <c r="I1421" s="2" t="s">
        <v>7301</v>
      </c>
      <c r="J1421" s="2" t="s">
        <v>840</v>
      </c>
      <c r="K1421" s="2" t="s">
        <v>4927</v>
      </c>
      <c r="L1421" s="3">
        <v>165</v>
      </c>
      <c r="M1421" s="3">
        <v>173.25</v>
      </c>
      <c r="N1421" s="3">
        <v>349</v>
      </c>
      <c r="O1421" s="2" t="s">
        <v>240</v>
      </c>
      <c r="P1421" s="2" t="s">
        <v>1012</v>
      </c>
      <c r="Q1421" s="2" t="s">
        <v>234</v>
      </c>
      <c r="R1421" s="2" t="s">
        <v>228</v>
      </c>
      <c r="S1421" s="2" t="s">
        <v>7302</v>
      </c>
      <c r="T1421" s="2" t="s">
        <v>228</v>
      </c>
      <c r="U1421" s="2" t="s">
        <v>228</v>
      </c>
      <c r="V1421" s="2" t="s">
        <v>842</v>
      </c>
      <c r="W1421" s="2" t="s">
        <v>309</v>
      </c>
      <c r="X1421" s="2" t="s">
        <v>1514</v>
      </c>
      <c r="Y1421" s="2" t="s">
        <v>1659</v>
      </c>
      <c r="Z1421" s="4">
        <v>65</v>
      </c>
      <c r="AA1421" s="4">
        <f>=ROUNDDOWN(32.5,0)</f>
      </c>
      <c r="AB1421" s="5">
        <v>2</v>
      </c>
      <c r="AC1421" s="2" t="s">
        <v>228</v>
      </c>
      <c r="AD1421" s="4"/>
      <c r="AE1421" s="4"/>
      <c r="AF1421" s="6">
        <v>66</v>
      </c>
      <c r="AG1421" s="6"/>
      <c r="AH1421" s="7">
        <v>1</v>
      </c>
      <c r="AI1421" s="4"/>
      <c r="AJ1421" s="4">
        <f>=ROUNDDOWN({0},0)</f>
      </c>
      <c r="AK1421" s="5"/>
      <c r="AL1421" s="2" t="s">
        <v>228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/>
      <c r="AW1421" s="8"/>
      <c r="AX1421" s="4"/>
      <c r="AY1421" s="8"/>
      <c r="AZ1421" s="7"/>
      <c r="BA1421" s="7"/>
      <c r="BB1421" s="7"/>
      <c r="BC1421" s="4"/>
      <c r="BD1421" s="8"/>
      <c r="BE1421" s="4"/>
      <c r="BF1421" s="8"/>
      <c r="BG1421" s="7"/>
      <c r="BH1421" s="7"/>
      <c r="BI1421" s="7"/>
      <c r="BJ1421" s="4">
        <v>6</v>
      </c>
      <c r="BK1421" s="8">
        <v>964.64</v>
      </c>
      <c r="BL1421" s="2" t="s">
        <v>7303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7304</v>
      </c>
      <c r="BV1421" s="2" t="s">
        <v>228</v>
      </c>
      <c r="BW1421" s="2" t="s">
        <v>228</v>
      </c>
      <c r="BX1421" s="2" t="s">
        <v>273</v>
      </c>
      <c r="BY1421" s="2" t="s">
        <v>274</v>
      </c>
      <c r="BZ1421" s="2" t="s">
        <v>240</v>
      </c>
      <c r="CA1421" s="2" t="s">
        <v>7305</v>
      </c>
      <c r="CB1421" s="2" t="s">
        <v>7306</v>
      </c>
      <c r="CC1421" s="2" t="s">
        <v>241</v>
      </c>
      <c r="CD1421" s="2" t="s">
        <v>228</v>
      </c>
      <c r="CE1421" s="4"/>
      <c r="CF1421" s="4">
        <v>65</v>
      </c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/>
      <c r="FZ1421" s="4"/>
      <c r="GA1421" s="4"/>
      <c r="GB1421" s="4"/>
      <c r="GC1421" s="4"/>
      <c r="GD1421" s="4"/>
      <c r="GE1421" s="4"/>
      <c r="GF1421" s="4"/>
      <c r="GG1421" s="4"/>
      <c r="GH1421" s="4"/>
      <c r="GI1421" s="4"/>
      <c r="GJ1421" s="4"/>
      <c r="GK1421" s="4"/>
      <c r="GL1421" s="4"/>
      <c r="GM1421" s="4"/>
      <c r="GN1421" s="4"/>
      <c r="GO1421" s="4"/>
      <c r="GP1421" s="4"/>
      <c r="GQ1421" s="4"/>
      <c r="GR1421" s="4"/>
      <c r="GS1421" s="4"/>
      <c r="GT1421" s="4"/>
      <c r="GU1421" s="4"/>
      <c r="GV1421" s="4"/>
      <c r="GW1421" s="4"/>
      <c r="GX1421" s="4"/>
      <c r="GY1421" s="4"/>
      <c r="GZ1421" s="4"/>
      <c r="HA1421" s="4"/>
      <c r="HB1421" s="4"/>
      <c r="HC1421" s="4"/>
      <c r="HD1421" s="4"/>
      <c r="HE1421" s="4"/>
    </row>
    <row r="1422">
      <c r="A1422" s="2" t="s">
        <v>7307</v>
      </c>
      <c r="B1422" s="2" t="s">
        <v>834</v>
      </c>
      <c r="C1422" s="2" t="s">
        <v>1743</v>
      </c>
      <c r="D1422" s="2" t="s">
        <v>1101</v>
      </c>
      <c r="E1422" s="2" t="s">
        <v>1102</v>
      </c>
      <c r="F1422" s="2" t="s">
        <v>7308</v>
      </c>
      <c r="G1422" s="2" t="s">
        <v>7308</v>
      </c>
      <c r="H1422" s="2" t="s">
        <v>7308</v>
      </c>
      <c r="I1422" s="2" t="s">
        <v>7309</v>
      </c>
      <c r="J1422" s="2" t="s">
        <v>840</v>
      </c>
      <c r="K1422" s="2" t="s">
        <v>841</v>
      </c>
      <c r="L1422" s="3">
        <v>76.5</v>
      </c>
      <c r="M1422" s="3">
        <v>80.33</v>
      </c>
      <c r="N1422" s="3">
        <v>159.99</v>
      </c>
      <c r="O1422" s="2" t="s">
        <v>240</v>
      </c>
      <c r="P1422" s="2" t="s">
        <v>233</v>
      </c>
      <c r="Q1422" s="2" t="s">
        <v>234</v>
      </c>
      <c r="R1422" s="2" t="s">
        <v>228</v>
      </c>
      <c r="S1422" s="2" t="s">
        <v>228</v>
      </c>
      <c r="T1422" s="2" t="s">
        <v>228</v>
      </c>
      <c r="U1422" s="2" t="s">
        <v>520</v>
      </c>
      <c r="V1422" s="2" t="s">
        <v>842</v>
      </c>
      <c r="W1422" s="2" t="s">
        <v>417</v>
      </c>
      <c r="X1422" s="2" t="s">
        <v>417</v>
      </c>
      <c r="Y1422" s="2" t="s">
        <v>2806</v>
      </c>
      <c r="Z1422" s="4">
        <v>78</v>
      </c>
      <c r="AA1422" s="4">
        <f>=ROUNDDOWN(78,0)</f>
      </c>
      <c r="AB1422" s="5">
        <v>1</v>
      </c>
      <c r="AC1422" s="2" t="s">
        <v>228</v>
      </c>
      <c r="AD1422" s="4"/>
      <c r="AE1422" s="4"/>
      <c r="AF1422" s="6">
        <v>63</v>
      </c>
      <c r="AG1422" s="6"/>
      <c r="AH1422" s="7">
        <v>1</v>
      </c>
      <c r="AI1422" s="4"/>
      <c r="AJ1422" s="4">
        <f>=ROUNDDOWN({0},0)</f>
      </c>
      <c r="AK1422" s="5"/>
      <c r="AL1422" s="2" t="s">
        <v>228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/>
      <c r="AW1422" s="8"/>
      <c r="AX1422" s="4"/>
      <c r="AY1422" s="8"/>
      <c r="AZ1422" s="7"/>
      <c r="BA1422" s="7"/>
      <c r="BB1422" s="7"/>
      <c r="BC1422" s="4" t="s">
        <v>228</v>
      </c>
      <c r="BD1422" s="8" t="s">
        <v>228</v>
      </c>
      <c r="BE1422" s="4" t="s">
        <v>228</v>
      </c>
      <c r="BF1422" s="8" t="s">
        <v>228</v>
      </c>
      <c r="BG1422" s="7" t="s">
        <v>228</v>
      </c>
      <c r="BH1422" s="7" t="s">
        <v>228</v>
      </c>
      <c r="BI1422" s="7"/>
      <c r="BJ1422" s="4"/>
      <c r="BK1422" s="8"/>
      <c r="BL1422" s="2" t="s">
        <v>228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7310</v>
      </c>
      <c r="BV1422" s="2" t="s">
        <v>228</v>
      </c>
      <c r="BW1422" s="2" t="s">
        <v>228</v>
      </c>
      <c r="BX1422" s="2" t="s">
        <v>273</v>
      </c>
      <c r="BY1422" s="2" t="s">
        <v>274</v>
      </c>
      <c r="BZ1422" s="2" t="s">
        <v>240</v>
      </c>
      <c r="CA1422" s="2" t="s">
        <v>383</v>
      </c>
      <c r="CB1422" s="2" t="s">
        <v>2673</v>
      </c>
      <c r="CC1422" s="2" t="s">
        <v>241</v>
      </c>
      <c r="CD1422" s="2" t="s">
        <v>228</v>
      </c>
      <c r="CE1422" s="4"/>
      <c r="CF1422" s="4">
        <v>78</v>
      </c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/>
      <c r="GG1422" s="4"/>
      <c r="GH1422" s="4"/>
      <c r="GI1422" s="4"/>
      <c r="GJ1422" s="4"/>
      <c r="GK1422" s="4"/>
      <c r="GL1422" s="4"/>
      <c r="GM1422" s="4"/>
      <c r="GN1422" s="4"/>
      <c r="GO1422" s="4"/>
      <c r="GP1422" s="4"/>
      <c r="GQ1422" s="4"/>
      <c r="GR1422" s="4"/>
      <c r="GS1422" s="4"/>
      <c r="GT1422" s="4"/>
      <c r="GU1422" s="4"/>
      <c r="GV1422" s="4"/>
      <c r="GW1422" s="4"/>
      <c r="GX1422" s="4"/>
      <c r="GY1422" s="4"/>
      <c r="GZ1422" s="4"/>
      <c r="HA1422" s="4"/>
      <c r="HB1422" s="4"/>
      <c r="HC1422" s="4"/>
      <c r="HD1422" s="4"/>
      <c r="HE1422" s="4"/>
    </row>
    <row r="1423">
      <c r="A1423" s="2" t="s">
        <v>7311</v>
      </c>
      <c r="B1423" s="2" t="s">
        <v>834</v>
      </c>
      <c r="C1423" s="2" t="s">
        <v>1743</v>
      </c>
      <c r="D1423" s="2" t="s">
        <v>1101</v>
      </c>
      <c r="E1423" s="2" t="s">
        <v>1102</v>
      </c>
      <c r="F1423" s="2" t="s">
        <v>7308</v>
      </c>
      <c r="G1423" s="2" t="s">
        <v>7308</v>
      </c>
      <c r="H1423" s="2" t="s">
        <v>7308</v>
      </c>
      <c r="I1423" s="2" t="s">
        <v>7309</v>
      </c>
      <c r="J1423" s="2" t="s">
        <v>840</v>
      </c>
      <c r="K1423" s="2" t="s">
        <v>7312</v>
      </c>
      <c r="L1423" s="3">
        <v>76.5</v>
      </c>
      <c r="M1423" s="3">
        <v>80.33</v>
      </c>
      <c r="N1423" s="3">
        <v>159.99</v>
      </c>
      <c r="O1423" s="2" t="s">
        <v>240</v>
      </c>
      <c r="P1423" s="2" t="s">
        <v>233</v>
      </c>
      <c r="Q1423" s="2" t="s">
        <v>234</v>
      </c>
      <c r="R1423" s="2" t="s">
        <v>228</v>
      </c>
      <c r="S1423" s="2" t="s">
        <v>228</v>
      </c>
      <c r="T1423" s="2" t="s">
        <v>228</v>
      </c>
      <c r="U1423" s="2" t="s">
        <v>520</v>
      </c>
      <c r="V1423" s="2" t="s">
        <v>842</v>
      </c>
      <c r="W1423" s="2" t="s">
        <v>417</v>
      </c>
      <c r="X1423" s="2" t="s">
        <v>417</v>
      </c>
      <c r="Y1423" s="2" t="s">
        <v>2806</v>
      </c>
      <c r="Z1423" s="4">
        <v>78</v>
      </c>
      <c r="AA1423" s="4">
        <f>=ROUNDDOWN(78,0)</f>
      </c>
      <c r="AB1423" s="5">
        <v>1</v>
      </c>
      <c r="AC1423" s="2" t="s">
        <v>228</v>
      </c>
      <c r="AD1423" s="4"/>
      <c r="AE1423" s="4"/>
      <c r="AF1423" s="6">
        <v>63</v>
      </c>
      <c r="AG1423" s="6"/>
      <c r="AH1423" s="7">
        <v>1</v>
      </c>
      <c r="AI1423" s="4"/>
      <c r="AJ1423" s="4">
        <f>=ROUNDDOWN({0},0)</f>
      </c>
      <c r="AK1423" s="5"/>
      <c r="AL1423" s="2" t="s">
        <v>228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/>
      <c r="AW1423" s="8"/>
      <c r="AX1423" s="4"/>
      <c r="AY1423" s="8"/>
      <c r="AZ1423" s="7"/>
      <c r="BA1423" s="7"/>
      <c r="BB1423" s="7"/>
      <c r="BC1423" s="4" t="s">
        <v>228</v>
      </c>
      <c r="BD1423" s="8" t="s">
        <v>228</v>
      </c>
      <c r="BE1423" s="4" t="s">
        <v>228</v>
      </c>
      <c r="BF1423" s="8" t="s">
        <v>228</v>
      </c>
      <c r="BG1423" s="7" t="s">
        <v>228</v>
      </c>
      <c r="BH1423" s="7" t="s">
        <v>228</v>
      </c>
      <c r="BI1423" s="7"/>
      <c r="BJ1423" s="4">
        <v>4</v>
      </c>
      <c r="BK1423" s="8">
        <v>359.84</v>
      </c>
      <c r="BL1423" s="2" t="s">
        <v>622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7313</v>
      </c>
      <c r="BV1423" s="2" t="s">
        <v>228</v>
      </c>
      <c r="BW1423" s="2" t="s">
        <v>228</v>
      </c>
      <c r="BX1423" s="2" t="s">
        <v>273</v>
      </c>
      <c r="BY1423" s="2" t="s">
        <v>274</v>
      </c>
      <c r="BZ1423" s="2" t="s">
        <v>240</v>
      </c>
      <c r="CA1423" s="2" t="s">
        <v>383</v>
      </c>
      <c r="CB1423" s="2" t="s">
        <v>228</v>
      </c>
      <c r="CC1423" s="2" t="s">
        <v>241</v>
      </c>
      <c r="CD1423" s="2" t="s">
        <v>228</v>
      </c>
      <c r="CE1423" s="4"/>
      <c r="CF1423" s="4">
        <v>78</v>
      </c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4"/>
      <c r="GC1423" s="4"/>
      <c r="GD1423" s="4"/>
      <c r="GE1423" s="4"/>
      <c r="GF1423" s="4"/>
      <c r="GG1423" s="4"/>
      <c r="GH1423" s="4"/>
      <c r="GI1423" s="4"/>
      <c r="GJ1423" s="4"/>
      <c r="GK1423" s="4"/>
      <c r="GL1423" s="4"/>
      <c r="GM1423" s="4"/>
      <c r="GN1423" s="4"/>
      <c r="GO1423" s="4"/>
      <c r="GP1423" s="4"/>
      <c r="GQ1423" s="4"/>
      <c r="GR1423" s="4"/>
      <c r="GS1423" s="4"/>
      <c r="GT1423" s="4"/>
      <c r="GU1423" s="4"/>
      <c r="GV1423" s="4"/>
      <c r="GW1423" s="4"/>
      <c r="GX1423" s="4"/>
      <c r="GY1423" s="4"/>
      <c r="GZ1423" s="4"/>
      <c r="HA1423" s="4"/>
      <c r="HB1423" s="4"/>
      <c r="HC1423" s="4"/>
      <c r="HD1423" s="4"/>
      <c r="HE1423" s="4"/>
    </row>
    <row r="1424">
      <c r="A1424" s="2" t="s">
        <v>7314</v>
      </c>
      <c r="B1424" s="2" t="s">
        <v>223</v>
      </c>
      <c r="C1424" s="2" t="s">
        <v>300</v>
      </c>
      <c r="D1424" s="2" t="s">
        <v>225</v>
      </c>
      <c r="E1424" s="2" t="s">
        <v>226</v>
      </c>
      <c r="F1424" s="2" t="s">
        <v>7315</v>
      </c>
      <c r="G1424" s="2" t="s">
        <v>7315</v>
      </c>
      <c r="H1424" s="2" t="s">
        <v>7315</v>
      </c>
      <c r="I1424" s="2" t="s">
        <v>226</v>
      </c>
      <c r="J1424" s="2" t="s">
        <v>264</v>
      </c>
      <c r="K1424" s="2" t="s">
        <v>265</v>
      </c>
      <c r="L1424" s="3">
        <v>21.15</v>
      </c>
      <c r="M1424" s="3">
        <v>22.21</v>
      </c>
      <c r="N1424" s="3">
        <v>44.99</v>
      </c>
      <c r="O1424" s="2" t="s">
        <v>240</v>
      </c>
      <c r="P1424" s="2" t="s">
        <v>266</v>
      </c>
      <c r="Q1424" s="2" t="s">
        <v>234</v>
      </c>
      <c r="R1424" s="2" t="s">
        <v>228</v>
      </c>
      <c r="S1424" s="2" t="s">
        <v>7316</v>
      </c>
      <c r="T1424" s="2" t="s">
        <v>350</v>
      </c>
      <c r="U1424" s="2" t="s">
        <v>228</v>
      </c>
      <c r="V1424" s="2" t="s">
        <v>236</v>
      </c>
      <c r="W1424" s="2" t="s">
        <v>269</v>
      </c>
      <c r="X1424" s="2" t="s">
        <v>228</v>
      </c>
      <c r="Y1424" s="2" t="s">
        <v>270</v>
      </c>
      <c r="Z1424" s="4">
        <v>295</v>
      </c>
      <c r="AA1424" s="4">
        <f>=ROUNDDOWN(14.75,0)</f>
      </c>
      <c r="AB1424" s="5">
        <v>20</v>
      </c>
      <c r="AC1424" s="2" t="s">
        <v>1352</v>
      </c>
      <c r="AD1424" s="4">
        <v>30</v>
      </c>
      <c r="AE1424" s="4">
        <v>350</v>
      </c>
      <c r="AF1424" s="6">
        <v>69</v>
      </c>
      <c r="AG1424" s="6"/>
      <c r="AH1424" s="7">
        <v>1</v>
      </c>
      <c r="AI1424" s="4"/>
      <c r="AJ1424" s="4">
        <f>=ROUNDDOWN({0},0)</f>
      </c>
      <c r="AK1424" s="5"/>
      <c r="AL1424" s="2" t="s">
        <v>228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/>
      <c r="AW1424" s="8"/>
      <c r="AX1424" s="4"/>
      <c r="AY1424" s="8"/>
      <c r="AZ1424" s="7"/>
      <c r="BA1424" s="7"/>
      <c r="BB1424" s="7"/>
      <c r="BC1424" s="4" t="s">
        <v>228</v>
      </c>
      <c r="BD1424" s="8" t="s">
        <v>228</v>
      </c>
      <c r="BE1424" s="4" t="s">
        <v>228</v>
      </c>
      <c r="BF1424" s="8" t="s">
        <v>228</v>
      </c>
      <c r="BG1424" s="7" t="s">
        <v>228</v>
      </c>
      <c r="BH1424" s="7" t="s">
        <v>228</v>
      </c>
      <c r="BI1424" s="7"/>
      <c r="BJ1424" s="4">
        <v>72</v>
      </c>
      <c r="BK1424" s="8">
        <v>1508.38</v>
      </c>
      <c r="BL1424" s="2" t="s">
        <v>1253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7317</v>
      </c>
      <c r="BV1424" s="2" t="s">
        <v>228</v>
      </c>
      <c r="BW1424" s="2" t="s">
        <v>228</v>
      </c>
      <c r="BX1424" s="2" t="s">
        <v>273</v>
      </c>
      <c r="BY1424" s="2" t="s">
        <v>274</v>
      </c>
      <c r="BZ1424" s="2" t="s">
        <v>240</v>
      </c>
      <c r="CA1424" s="2" t="s">
        <v>275</v>
      </c>
      <c r="CB1424" s="2" t="s">
        <v>5760</v>
      </c>
      <c r="CC1424" s="2" t="s">
        <v>241</v>
      </c>
      <c r="CD1424" s="2" t="s">
        <v>228</v>
      </c>
      <c r="CE1424" s="4">
        <v>295</v>
      </c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>
        <v>30</v>
      </c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/>
      <c r="GE1424" s="4"/>
      <c r="GF1424" s="4"/>
      <c r="GG1424" s="4"/>
      <c r="GH1424" s="4"/>
      <c r="GI1424" s="4"/>
      <c r="GJ1424" s="4"/>
      <c r="GK1424" s="4"/>
      <c r="GL1424" s="4"/>
      <c r="GM1424" s="4"/>
      <c r="GN1424" s="4"/>
      <c r="GO1424" s="4"/>
      <c r="GP1424" s="4"/>
      <c r="GQ1424" s="4"/>
      <c r="GR1424" s="4"/>
      <c r="GS1424" s="4"/>
      <c r="GT1424" s="4"/>
      <c r="GU1424" s="4"/>
      <c r="GV1424" s="4"/>
      <c r="GW1424" s="4"/>
      <c r="GX1424" s="4"/>
      <c r="GY1424" s="4"/>
      <c r="GZ1424" s="4"/>
      <c r="HA1424" s="4"/>
      <c r="HB1424" s="4">
        <v>320</v>
      </c>
      <c r="HC1424" s="4"/>
      <c r="HD1424" s="4"/>
      <c r="HE1424" s="4"/>
    </row>
    <row r="1425">
      <c r="A1425" s="2" t="s">
        <v>7318</v>
      </c>
      <c r="B1425" s="2" t="s">
        <v>223</v>
      </c>
      <c r="C1425" s="2" t="s">
        <v>300</v>
      </c>
      <c r="D1425" s="2" t="s">
        <v>225</v>
      </c>
      <c r="E1425" s="2" t="s">
        <v>226</v>
      </c>
      <c r="F1425" s="2" t="s">
        <v>7315</v>
      </c>
      <c r="G1425" s="2" t="s">
        <v>7315</v>
      </c>
      <c r="H1425" s="2" t="s">
        <v>7315</v>
      </c>
      <c r="I1425" s="2" t="s">
        <v>226</v>
      </c>
      <c r="J1425" s="2" t="s">
        <v>264</v>
      </c>
      <c r="K1425" s="2" t="s">
        <v>556</v>
      </c>
      <c r="L1425" s="3">
        <v>21.15</v>
      </c>
      <c r="M1425" s="3">
        <v>22.21</v>
      </c>
      <c r="N1425" s="3">
        <v>44.99</v>
      </c>
      <c r="O1425" s="2" t="s">
        <v>461</v>
      </c>
      <c r="P1425" s="2" t="s">
        <v>922</v>
      </c>
      <c r="Q1425" s="2" t="s">
        <v>234</v>
      </c>
      <c r="R1425" s="2" t="s">
        <v>228</v>
      </c>
      <c r="S1425" s="2" t="s">
        <v>7319</v>
      </c>
      <c r="T1425" s="2" t="s">
        <v>350</v>
      </c>
      <c r="U1425" s="2" t="s">
        <v>228</v>
      </c>
      <c r="V1425" s="2" t="s">
        <v>236</v>
      </c>
      <c r="W1425" s="2" t="s">
        <v>269</v>
      </c>
      <c r="X1425" s="2" t="s">
        <v>228</v>
      </c>
      <c r="Y1425" s="2" t="s">
        <v>1269</v>
      </c>
      <c r="Z1425" s="4">
        <v>23</v>
      </c>
      <c r="AA1425" s="4">
        <f>=ROUNDDOWN(2.21153846153846,0)</f>
      </c>
      <c r="AB1425" s="5">
        <v>10.4</v>
      </c>
      <c r="AC1425" s="2" t="s">
        <v>228</v>
      </c>
      <c r="AD1425" s="4"/>
      <c r="AE1425" s="4"/>
      <c r="AF1425" s="6">
        <v>69</v>
      </c>
      <c r="AG1425" s="6"/>
      <c r="AH1425" s="7">
        <v>1</v>
      </c>
      <c r="AI1425" s="4"/>
      <c r="AJ1425" s="4">
        <f>=ROUNDDOWN({0},0)</f>
      </c>
      <c r="AK1425" s="5"/>
      <c r="AL1425" s="2" t="s">
        <v>228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/>
      <c r="AW1425" s="8"/>
      <c r="AX1425" s="4"/>
      <c r="AY1425" s="8"/>
      <c r="AZ1425" s="7"/>
      <c r="BA1425" s="7"/>
      <c r="BB1425" s="7"/>
      <c r="BC1425" s="4" t="s">
        <v>228</v>
      </c>
      <c r="BD1425" s="8" t="s">
        <v>228</v>
      </c>
      <c r="BE1425" s="4" t="s">
        <v>228</v>
      </c>
      <c r="BF1425" s="8" t="s">
        <v>228</v>
      </c>
      <c r="BG1425" s="7" t="s">
        <v>228</v>
      </c>
      <c r="BH1425" s="7" t="s">
        <v>228</v>
      </c>
      <c r="BI1425" s="7"/>
      <c r="BJ1425" s="4">
        <v>23</v>
      </c>
      <c r="BK1425" s="8">
        <v>445.82</v>
      </c>
      <c r="BL1425" s="2" t="s">
        <v>7320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7321</v>
      </c>
      <c r="BV1425" s="2" t="s">
        <v>228</v>
      </c>
      <c r="BW1425" s="2" t="s">
        <v>228</v>
      </c>
      <c r="BX1425" s="2" t="s">
        <v>337</v>
      </c>
      <c r="BY1425" s="2" t="s">
        <v>274</v>
      </c>
      <c r="BZ1425" s="2" t="s">
        <v>240</v>
      </c>
      <c r="CA1425" s="2" t="s">
        <v>4940</v>
      </c>
      <c r="CB1425" s="2" t="s">
        <v>5110</v>
      </c>
      <c r="CC1425" s="2" t="s">
        <v>241</v>
      </c>
      <c r="CD1425" s="2" t="s">
        <v>228</v>
      </c>
      <c r="CE1425" s="4">
        <v>23</v>
      </c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  <c r="GG1425" s="4"/>
      <c r="GH1425" s="4"/>
      <c r="GI1425" s="4"/>
      <c r="GJ1425" s="4"/>
      <c r="GK1425" s="4"/>
      <c r="GL1425" s="4"/>
      <c r="GM1425" s="4"/>
      <c r="GN1425" s="4"/>
      <c r="GO1425" s="4"/>
      <c r="GP1425" s="4"/>
      <c r="GQ1425" s="4"/>
      <c r="GR1425" s="4"/>
      <c r="GS1425" s="4"/>
      <c r="GT1425" s="4"/>
      <c r="GU1425" s="4"/>
      <c r="GV1425" s="4"/>
      <c r="GW1425" s="4"/>
      <c r="GX1425" s="4"/>
      <c r="GY1425" s="4"/>
      <c r="GZ1425" s="4"/>
      <c r="HA1425" s="4"/>
      <c r="HB1425" s="4"/>
      <c r="HC1425" s="4"/>
      <c r="HD1425" s="4"/>
      <c r="HE1425" s="4"/>
    </row>
    <row r="1426">
      <c r="A1426" s="2" t="s">
        <v>7322</v>
      </c>
      <c r="B1426" s="2" t="s">
        <v>223</v>
      </c>
      <c r="C1426" s="2" t="s">
        <v>300</v>
      </c>
      <c r="D1426" s="2" t="s">
        <v>225</v>
      </c>
      <c r="E1426" s="2" t="s">
        <v>226</v>
      </c>
      <c r="F1426" s="2" t="s">
        <v>7315</v>
      </c>
      <c r="G1426" s="2" t="s">
        <v>7315</v>
      </c>
      <c r="H1426" s="2" t="s">
        <v>7315</v>
      </c>
      <c r="I1426" s="2" t="s">
        <v>226</v>
      </c>
      <c r="J1426" s="2" t="s">
        <v>294</v>
      </c>
      <c r="K1426" s="2" t="s">
        <v>249</v>
      </c>
      <c r="L1426" s="3">
        <v>31.85</v>
      </c>
      <c r="M1426" s="3">
        <v>33.44</v>
      </c>
      <c r="N1426" s="3">
        <v>64.99</v>
      </c>
      <c r="O1426" s="2" t="s">
        <v>240</v>
      </c>
      <c r="P1426" s="2" t="s">
        <v>266</v>
      </c>
      <c r="Q1426" s="2" t="s">
        <v>234</v>
      </c>
      <c r="R1426" s="2" t="s">
        <v>228</v>
      </c>
      <c r="S1426" s="2" t="s">
        <v>7323</v>
      </c>
      <c r="T1426" s="2" t="s">
        <v>350</v>
      </c>
      <c r="U1426" s="2" t="s">
        <v>228</v>
      </c>
      <c r="V1426" s="2" t="s">
        <v>236</v>
      </c>
      <c r="W1426" s="2" t="s">
        <v>269</v>
      </c>
      <c r="X1426" s="2" t="s">
        <v>228</v>
      </c>
      <c r="Y1426" s="2" t="s">
        <v>270</v>
      </c>
      <c r="Z1426" s="4">
        <v>553</v>
      </c>
      <c r="AA1426" s="4">
        <f>=ROUNDDOWN(21.2692307692308,0)</f>
      </c>
      <c r="AB1426" s="5">
        <v>26</v>
      </c>
      <c r="AC1426" s="2" t="s">
        <v>1352</v>
      </c>
      <c r="AD1426" s="4">
        <v>300</v>
      </c>
      <c r="AE1426" s="4">
        <v>650</v>
      </c>
      <c r="AF1426" s="6">
        <v>69</v>
      </c>
      <c r="AG1426" s="6"/>
      <c r="AH1426" s="7">
        <v>1</v>
      </c>
      <c r="AI1426" s="4"/>
      <c r="AJ1426" s="4">
        <f>=ROUNDDOWN({0},0)</f>
      </c>
      <c r="AK1426" s="5"/>
      <c r="AL1426" s="2" t="s">
        <v>228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/>
      <c r="AW1426" s="8"/>
      <c r="AX1426" s="4"/>
      <c r="AY1426" s="8"/>
      <c r="AZ1426" s="7"/>
      <c r="BA1426" s="7"/>
      <c r="BB1426" s="7"/>
      <c r="BC1426" s="4" t="s">
        <v>228</v>
      </c>
      <c r="BD1426" s="8" t="s">
        <v>228</v>
      </c>
      <c r="BE1426" s="4" t="s">
        <v>228</v>
      </c>
      <c r="BF1426" s="8" t="s">
        <v>228</v>
      </c>
      <c r="BG1426" s="7" t="s">
        <v>228</v>
      </c>
      <c r="BH1426" s="7" t="s">
        <v>228</v>
      </c>
      <c r="BI1426" s="7"/>
      <c r="BJ1426" s="4">
        <v>80</v>
      </c>
      <c r="BK1426" s="8">
        <v>2467.36</v>
      </c>
      <c r="BL1426" s="2" t="s">
        <v>7324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7325</v>
      </c>
      <c r="BV1426" s="2" t="s">
        <v>228</v>
      </c>
      <c r="BW1426" s="2" t="s">
        <v>228</v>
      </c>
      <c r="BX1426" s="2" t="s">
        <v>273</v>
      </c>
      <c r="BY1426" s="2" t="s">
        <v>274</v>
      </c>
      <c r="BZ1426" s="2" t="s">
        <v>240</v>
      </c>
      <c r="CA1426" s="2" t="s">
        <v>275</v>
      </c>
      <c r="CB1426" s="2" t="s">
        <v>5137</v>
      </c>
      <c r="CC1426" s="2" t="s">
        <v>241</v>
      </c>
      <c r="CD1426" s="2" t="s">
        <v>228</v>
      </c>
      <c r="CE1426" s="4">
        <v>553</v>
      </c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>
        <v>300</v>
      </c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>
        <v>250</v>
      </c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>
        <v>100</v>
      </c>
      <c r="FY1426" s="4"/>
      <c r="FZ1426" s="4"/>
      <c r="GA1426" s="4"/>
      <c r="GB1426" s="4"/>
      <c r="GC1426" s="4"/>
      <c r="GD1426" s="4"/>
      <c r="GE1426" s="4"/>
      <c r="GF1426" s="4"/>
      <c r="GG1426" s="4"/>
      <c r="GH1426" s="4"/>
      <c r="GI1426" s="4"/>
      <c r="GJ1426" s="4"/>
      <c r="GK1426" s="4"/>
      <c r="GL1426" s="4"/>
      <c r="GM1426" s="4"/>
      <c r="GN1426" s="4"/>
      <c r="GO1426" s="4"/>
      <c r="GP1426" s="4"/>
      <c r="GQ1426" s="4"/>
      <c r="GR1426" s="4"/>
      <c r="GS1426" s="4"/>
      <c r="GT1426" s="4"/>
      <c r="GU1426" s="4"/>
      <c r="GV1426" s="4"/>
      <c r="GW1426" s="4"/>
      <c r="GX1426" s="4"/>
      <c r="GY1426" s="4"/>
      <c r="GZ1426" s="4"/>
      <c r="HA1426" s="4"/>
      <c r="HB1426" s="4"/>
      <c r="HC1426" s="4"/>
      <c r="HD1426" s="4"/>
      <c r="HE1426" s="4"/>
    </row>
    <row r="1427">
      <c r="A1427" s="2" t="s">
        <v>7326</v>
      </c>
      <c r="B1427" s="2" t="s">
        <v>223</v>
      </c>
      <c r="C1427" s="2" t="s">
        <v>300</v>
      </c>
      <c r="D1427" s="2" t="s">
        <v>225</v>
      </c>
      <c r="E1427" s="2" t="s">
        <v>226</v>
      </c>
      <c r="F1427" s="2" t="s">
        <v>7315</v>
      </c>
      <c r="G1427" s="2" t="s">
        <v>7315</v>
      </c>
      <c r="H1427" s="2" t="s">
        <v>7315</v>
      </c>
      <c r="I1427" s="2" t="s">
        <v>226</v>
      </c>
      <c r="J1427" s="2" t="s">
        <v>1189</v>
      </c>
      <c r="K1427" s="2" t="s">
        <v>480</v>
      </c>
      <c r="L1427" s="3">
        <v>26.4</v>
      </c>
      <c r="M1427" s="3">
        <v>27.72</v>
      </c>
      <c r="N1427" s="3">
        <v>54.99</v>
      </c>
      <c r="O1427" s="2" t="s">
        <v>240</v>
      </c>
      <c r="P1427" s="2" t="s">
        <v>266</v>
      </c>
      <c r="Q1427" s="2" t="s">
        <v>234</v>
      </c>
      <c r="R1427" s="2" t="s">
        <v>228</v>
      </c>
      <c r="S1427" s="2" t="s">
        <v>7327</v>
      </c>
      <c r="T1427" s="2" t="s">
        <v>350</v>
      </c>
      <c r="U1427" s="2" t="s">
        <v>228</v>
      </c>
      <c r="V1427" s="2" t="s">
        <v>236</v>
      </c>
      <c r="W1427" s="2" t="s">
        <v>269</v>
      </c>
      <c r="X1427" s="2" t="s">
        <v>228</v>
      </c>
      <c r="Y1427" s="2" t="s">
        <v>270</v>
      </c>
      <c r="Z1427" s="4">
        <v>976</v>
      </c>
      <c r="AA1427" s="4">
        <f>=ROUNDDOWN(40.6666666666667,0)</f>
      </c>
      <c r="AB1427" s="5">
        <v>24</v>
      </c>
      <c r="AC1427" s="2" t="s">
        <v>228</v>
      </c>
      <c r="AD1427" s="4"/>
      <c r="AE1427" s="4"/>
      <c r="AF1427" s="6">
        <v>69</v>
      </c>
      <c r="AG1427" s="6"/>
      <c r="AH1427" s="7">
        <v>1</v>
      </c>
      <c r="AI1427" s="4"/>
      <c r="AJ1427" s="4">
        <f>=ROUNDDOWN({0},0)</f>
      </c>
      <c r="AK1427" s="5"/>
      <c r="AL1427" s="2" t="s">
        <v>228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/>
      <c r="AW1427" s="8"/>
      <c r="AX1427" s="4"/>
      <c r="AY1427" s="8"/>
      <c r="AZ1427" s="7"/>
      <c r="BA1427" s="7"/>
      <c r="BB1427" s="7"/>
      <c r="BC1427" s="4" t="s">
        <v>228</v>
      </c>
      <c r="BD1427" s="8" t="s">
        <v>228</v>
      </c>
      <c r="BE1427" s="4" t="s">
        <v>228</v>
      </c>
      <c r="BF1427" s="8" t="s">
        <v>228</v>
      </c>
      <c r="BG1427" s="7" t="s">
        <v>228</v>
      </c>
      <c r="BH1427" s="7" t="s">
        <v>228</v>
      </c>
      <c r="BI1427" s="7"/>
      <c r="BJ1427" s="4">
        <v>76</v>
      </c>
      <c r="BK1427" s="8">
        <v>1988.6</v>
      </c>
      <c r="BL1427" s="2" t="s">
        <v>7328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7329</v>
      </c>
      <c r="BV1427" s="2" t="s">
        <v>228</v>
      </c>
      <c r="BW1427" s="2" t="s">
        <v>228</v>
      </c>
      <c r="BX1427" s="2" t="s">
        <v>273</v>
      </c>
      <c r="BY1427" s="2" t="s">
        <v>274</v>
      </c>
      <c r="BZ1427" s="2" t="s">
        <v>240</v>
      </c>
      <c r="CA1427" s="2" t="s">
        <v>275</v>
      </c>
      <c r="CB1427" s="2" t="s">
        <v>605</v>
      </c>
      <c r="CC1427" s="2" t="s">
        <v>241</v>
      </c>
      <c r="CD1427" s="2" t="s">
        <v>228</v>
      </c>
      <c r="CE1427" s="4">
        <v>976</v>
      </c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/>
      <c r="GA1427" s="4"/>
      <c r="GB1427" s="4"/>
      <c r="GC1427" s="4"/>
      <c r="GD1427" s="4"/>
      <c r="GE1427" s="4"/>
      <c r="GF1427" s="4"/>
      <c r="GG1427" s="4"/>
      <c r="GH1427" s="4"/>
      <c r="GI1427" s="4"/>
      <c r="GJ1427" s="4"/>
      <c r="GK1427" s="4"/>
      <c r="GL1427" s="4"/>
      <c r="GM1427" s="4"/>
      <c r="GN1427" s="4"/>
      <c r="GO1427" s="4"/>
      <c r="GP1427" s="4"/>
      <c r="GQ1427" s="4"/>
      <c r="GR1427" s="4"/>
      <c r="GS1427" s="4"/>
      <c r="GT1427" s="4"/>
      <c r="GU1427" s="4"/>
      <c r="GV1427" s="4"/>
      <c r="GW1427" s="4"/>
      <c r="GX1427" s="4"/>
      <c r="GY1427" s="4"/>
      <c r="GZ1427" s="4"/>
      <c r="HA1427" s="4"/>
      <c r="HB1427" s="4"/>
      <c r="HC1427" s="4"/>
      <c r="HD1427" s="4"/>
      <c r="HE1427" s="4"/>
    </row>
    <row r="1428">
      <c r="A1428" s="2" t="s">
        <v>7330</v>
      </c>
      <c r="B1428" s="2" t="s">
        <v>223</v>
      </c>
      <c r="C1428" s="2" t="s">
        <v>300</v>
      </c>
      <c r="D1428" s="2" t="s">
        <v>225</v>
      </c>
      <c r="E1428" s="2" t="s">
        <v>226</v>
      </c>
      <c r="F1428" s="2" t="s">
        <v>7315</v>
      </c>
      <c r="G1428" s="2" t="s">
        <v>7315</v>
      </c>
      <c r="H1428" s="2" t="s">
        <v>7315</v>
      </c>
      <c r="I1428" s="2" t="s">
        <v>226</v>
      </c>
      <c r="J1428" s="2" t="s">
        <v>264</v>
      </c>
      <c r="K1428" s="2" t="s">
        <v>3067</v>
      </c>
      <c r="L1428" s="3">
        <v>21.15</v>
      </c>
      <c r="M1428" s="3">
        <v>22.21</v>
      </c>
      <c r="N1428" s="3">
        <v>44.99</v>
      </c>
      <c r="O1428" s="2" t="s">
        <v>240</v>
      </c>
      <c r="P1428" s="2" t="s">
        <v>266</v>
      </c>
      <c r="Q1428" s="2" t="s">
        <v>234</v>
      </c>
      <c r="R1428" s="2" t="s">
        <v>228</v>
      </c>
      <c r="S1428" s="2" t="s">
        <v>7331</v>
      </c>
      <c r="T1428" s="2" t="s">
        <v>350</v>
      </c>
      <c r="U1428" s="2" t="s">
        <v>228</v>
      </c>
      <c r="V1428" s="2" t="s">
        <v>236</v>
      </c>
      <c r="W1428" s="2" t="s">
        <v>269</v>
      </c>
      <c r="X1428" s="2" t="s">
        <v>228</v>
      </c>
      <c r="Y1428" s="2" t="s">
        <v>270</v>
      </c>
      <c r="Z1428" s="4">
        <v>307</v>
      </c>
      <c r="AA1428" s="4">
        <f>=ROUNDDOWN(27.9090909090909,0)</f>
      </c>
      <c r="AB1428" s="5">
        <v>11</v>
      </c>
      <c r="AC1428" s="2" t="s">
        <v>228</v>
      </c>
      <c r="AD1428" s="4"/>
      <c r="AE1428" s="4"/>
      <c r="AF1428" s="6">
        <v>69</v>
      </c>
      <c r="AG1428" s="6"/>
      <c r="AH1428" s="7">
        <v>1</v>
      </c>
      <c r="AI1428" s="4"/>
      <c r="AJ1428" s="4">
        <f>=ROUNDDOWN({0},0)</f>
      </c>
      <c r="AK1428" s="5"/>
      <c r="AL1428" s="2" t="s">
        <v>228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/>
      <c r="AW1428" s="8"/>
      <c r="AX1428" s="4"/>
      <c r="AY1428" s="8"/>
      <c r="AZ1428" s="7"/>
      <c r="BA1428" s="7"/>
      <c r="BB1428" s="7"/>
      <c r="BC1428" s="4" t="s">
        <v>228</v>
      </c>
      <c r="BD1428" s="8" t="s">
        <v>228</v>
      </c>
      <c r="BE1428" s="4" t="s">
        <v>228</v>
      </c>
      <c r="BF1428" s="8" t="s">
        <v>228</v>
      </c>
      <c r="BG1428" s="7" t="s">
        <v>228</v>
      </c>
      <c r="BH1428" s="7" t="s">
        <v>228</v>
      </c>
      <c r="BI1428" s="7"/>
      <c r="BJ1428" s="4">
        <v>30</v>
      </c>
      <c r="BK1428" s="8">
        <v>628.24</v>
      </c>
      <c r="BL1428" s="2" t="s">
        <v>398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7332</v>
      </c>
      <c r="BV1428" s="2" t="s">
        <v>228</v>
      </c>
      <c r="BW1428" s="2" t="s">
        <v>228</v>
      </c>
      <c r="BX1428" s="2" t="s">
        <v>273</v>
      </c>
      <c r="BY1428" s="2" t="s">
        <v>274</v>
      </c>
      <c r="BZ1428" s="2" t="s">
        <v>240</v>
      </c>
      <c r="CA1428" s="2" t="s">
        <v>275</v>
      </c>
      <c r="CB1428" s="2" t="s">
        <v>7333</v>
      </c>
      <c r="CC1428" s="2" t="s">
        <v>241</v>
      </c>
      <c r="CD1428" s="2" t="s">
        <v>228</v>
      </c>
      <c r="CE1428" s="4">
        <v>307</v>
      </c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  <c r="GG1428" s="4"/>
      <c r="GH1428" s="4"/>
      <c r="GI1428" s="4"/>
      <c r="GJ1428" s="4"/>
      <c r="GK1428" s="4"/>
      <c r="GL1428" s="4"/>
      <c r="GM1428" s="4"/>
      <c r="GN1428" s="4"/>
      <c r="GO1428" s="4"/>
      <c r="GP1428" s="4"/>
      <c r="GQ1428" s="4"/>
      <c r="GR1428" s="4"/>
      <c r="GS1428" s="4"/>
      <c r="GT1428" s="4"/>
      <c r="GU1428" s="4"/>
      <c r="GV1428" s="4"/>
      <c r="GW1428" s="4"/>
      <c r="GX1428" s="4"/>
      <c r="GY1428" s="4"/>
      <c r="GZ1428" s="4"/>
      <c r="HA1428" s="4"/>
      <c r="HB1428" s="4"/>
      <c r="HC1428" s="4"/>
      <c r="HD1428" s="4"/>
      <c r="HE1428" s="4"/>
    </row>
    <row r="1429">
      <c r="A1429" s="2" t="s">
        <v>7334</v>
      </c>
      <c r="B1429" s="2" t="s">
        <v>223</v>
      </c>
      <c r="C1429" s="2" t="s">
        <v>300</v>
      </c>
      <c r="D1429" s="2" t="s">
        <v>225</v>
      </c>
      <c r="E1429" s="2" t="s">
        <v>226</v>
      </c>
      <c r="F1429" s="2" t="s">
        <v>7315</v>
      </c>
      <c r="G1429" s="2" t="s">
        <v>7315</v>
      </c>
      <c r="H1429" s="2" t="s">
        <v>7315</v>
      </c>
      <c r="I1429" s="2" t="s">
        <v>226</v>
      </c>
      <c r="J1429" s="2" t="s">
        <v>264</v>
      </c>
      <c r="K1429" s="2" t="s">
        <v>251</v>
      </c>
      <c r="L1429" s="3">
        <v>21.15</v>
      </c>
      <c r="M1429" s="3">
        <v>22.21</v>
      </c>
      <c r="N1429" s="3">
        <v>44.99</v>
      </c>
      <c r="O1429" s="2" t="s">
        <v>240</v>
      </c>
      <c r="P1429" s="2" t="s">
        <v>266</v>
      </c>
      <c r="Q1429" s="2" t="s">
        <v>234</v>
      </c>
      <c r="R1429" s="2" t="s">
        <v>228</v>
      </c>
      <c r="S1429" s="2" t="s">
        <v>7335</v>
      </c>
      <c r="T1429" s="2" t="s">
        <v>350</v>
      </c>
      <c r="U1429" s="2" t="s">
        <v>416</v>
      </c>
      <c r="V1429" s="2" t="s">
        <v>236</v>
      </c>
      <c r="W1429" s="2" t="s">
        <v>269</v>
      </c>
      <c r="X1429" s="2" t="s">
        <v>228</v>
      </c>
      <c r="Y1429" s="2" t="s">
        <v>4985</v>
      </c>
      <c r="Z1429" s="4">
        <v>152</v>
      </c>
      <c r="AA1429" s="4">
        <f>=ROUNDDOWN(8,0)</f>
      </c>
      <c r="AB1429" s="5">
        <v>19</v>
      </c>
      <c r="AC1429" s="2" t="s">
        <v>159</v>
      </c>
      <c r="AD1429" s="4">
        <v>80</v>
      </c>
      <c r="AE1429" s="4">
        <v>310</v>
      </c>
      <c r="AF1429" s="6">
        <v>69</v>
      </c>
      <c r="AG1429" s="6"/>
      <c r="AH1429" s="7">
        <v>1</v>
      </c>
      <c r="AI1429" s="4"/>
      <c r="AJ1429" s="4">
        <f>=ROUNDDOWN({0},0)</f>
      </c>
      <c r="AK1429" s="5"/>
      <c r="AL1429" s="2" t="s">
        <v>228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/>
      <c r="AW1429" s="8"/>
      <c r="AX1429" s="4"/>
      <c r="AY1429" s="8"/>
      <c r="AZ1429" s="7"/>
      <c r="BA1429" s="7"/>
      <c r="BB1429" s="7"/>
      <c r="BC1429" s="4" t="s">
        <v>228</v>
      </c>
      <c r="BD1429" s="8" t="s">
        <v>228</v>
      </c>
      <c r="BE1429" s="4" t="s">
        <v>228</v>
      </c>
      <c r="BF1429" s="8" t="s">
        <v>228</v>
      </c>
      <c r="BG1429" s="7" t="s">
        <v>228</v>
      </c>
      <c r="BH1429" s="7" t="s">
        <v>228</v>
      </c>
      <c r="BI1429" s="7"/>
      <c r="BJ1429" s="4">
        <v>49</v>
      </c>
      <c r="BK1429" s="8">
        <v>1078.76</v>
      </c>
      <c r="BL1429" s="2" t="s">
        <v>1245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7336</v>
      </c>
      <c r="BV1429" s="2" t="s">
        <v>228</v>
      </c>
      <c r="BW1429" s="2" t="s">
        <v>228</v>
      </c>
      <c r="BX1429" s="2" t="s">
        <v>273</v>
      </c>
      <c r="BY1429" s="2" t="s">
        <v>274</v>
      </c>
      <c r="BZ1429" s="2" t="s">
        <v>240</v>
      </c>
      <c r="CA1429" s="2" t="s">
        <v>2370</v>
      </c>
      <c r="CB1429" s="2" t="s">
        <v>523</v>
      </c>
      <c r="CC1429" s="2" t="s">
        <v>241</v>
      </c>
      <c r="CD1429" s="2" t="s">
        <v>228</v>
      </c>
      <c r="CE1429" s="4">
        <v>152</v>
      </c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>
        <v>80</v>
      </c>
      <c r="EV1429" s="4"/>
      <c r="EW1429" s="4"/>
      <c r="EX1429" s="4"/>
      <c r="EY1429" s="4"/>
      <c r="EZ1429" s="4">
        <v>150</v>
      </c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  <c r="FX1429" s="4"/>
      <c r="FY1429" s="4"/>
      <c r="FZ1429" s="4"/>
      <c r="GA1429" s="4"/>
      <c r="GB1429" s="4"/>
      <c r="GC1429" s="4"/>
      <c r="GD1429" s="4"/>
      <c r="GE1429" s="4"/>
      <c r="GF1429" s="4"/>
      <c r="GG1429" s="4"/>
      <c r="GH1429" s="4"/>
      <c r="GI1429" s="4"/>
      <c r="GJ1429" s="4"/>
      <c r="GK1429" s="4"/>
      <c r="GL1429" s="4"/>
      <c r="GM1429" s="4"/>
      <c r="GN1429" s="4"/>
      <c r="GO1429" s="4"/>
      <c r="GP1429" s="4"/>
      <c r="GQ1429" s="4"/>
      <c r="GR1429" s="4"/>
      <c r="GS1429" s="4"/>
      <c r="GT1429" s="4"/>
      <c r="GU1429" s="4"/>
      <c r="GV1429" s="4"/>
      <c r="GW1429" s="4"/>
      <c r="GX1429" s="4"/>
      <c r="GY1429" s="4"/>
      <c r="GZ1429" s="4"/>
      <c r="HA1429" s="4"/>
      <c r="HB1429" s="4">
        <v>80</v>
      </c>
      <c r="HC1429" s="4"/>
      <c r="HD1429" s="4"/>
      <c r="HE1429" s="4"/>
    </row>
    <row r="1430">
      <c r="A1430" s="2" t="s">
        <v>7337</v>
      </c>
      <c r="B1430" s="2" t="s">
        <v>223</v>
      </c>
      <c r="C1430" s="2" t="s">
        <v>300</v>
      </c>
      <c r="D1430" s="2" t="s">
        <v>225</v>
      </c>
      <c r="E1430" s="2" t="s">
        <v>226</v>
      </c>
      <c r="F1430" s="2" t="s">
        <v>7315</v>
      </c>
      <c r="G1430" s="2" t="s">
        <v>7315</v>
      </c>
      <c r="H1430" s="2" t="s">
        <v>7315</v>
      </c>
      <c r="I1430" s="2" t="s">
        <v>226</v>
      </c>
      <c r="J1430" s="2" t="s">
        <v>1189</v>
      </c>
      <c r="K1430" s="2" t="s">
        <v>525</v>
      </c>
      <c r="L1430" s="3">
        <v>26.4</v>
      </c>
      <c r="M1430" s="3">
        <v>27.72</v>
      </c>
      <c r="N1430" s="3">
        <v>54.99</v>
      </c>
      <c r="O1430" s="2" t="s">
        <v>240</v>
      </c>
      <c r="P1430" s="2" t="s">
        <v>266</v>
      </c>
      <c r="Q1430" s="2" t="s">
        <v>234</v>
      </c>
      <c r="R1430" s="2" t="s">
        <v>228</v>
      </c>
      <c r="S1430" s="2" t="s">
        <v>7338</v>
      </c>
      <c r="T1430" s="2" t="s">
        <v>350</v>
      </c>
      <c r="U1430" s="2" t="s">
        <v>228</v>
      </c>
      <c r="V1430" s="2" t="s">
        <v>236</v>
      </c>
      <c r="W1430" s="2" t="s">
        <v>269</v>
      </c>
      <c r="X1430" s="2" t="s">
        <v>228</v>
      </c>
      <c r="Y1430" s="2" t="s">
        <v>270</v>
      </c>
      <c r="Z1430" s="4">
        <v>779</v>
      </c>
      <c r="AA1430" s="4">
        <f>=ROUNDDOWN(25.9666666666667,0)</f>
      </c>
      <c r="AB1430" s="5">
        <v>30</v>
      </c>
      <c r="AC1430" s="2" t="s">
        <v>159</v>
      </c>
      <c r="AD1430" s="4">
        <v>50</v>
      </c>
      <c r="AE1430" s="4">
        <v>530</v>
      </c>
      <c r="AF1430" s="6">
        <v>69</v>
      </c>
      <c r="AG1430" s="6"/>
      <c r="AH1430" s="7">
        <v>1</v>
      </c>
      <c r="AI1430" s="4"/>
      <c r="AJ1430" s="4">
        <f>=ROUNDDOWN({0},0)</f>
      </c>
      <c r="AK1430" s="5"/>
      <c r="AL1430" s="2" t="s">
        <v>228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/>
      <c r="AW1430" s="8"/>
      <c r="AX1430" s="4"/>
      <c r="AY1430" s="8"/>
      <c r="AZ1430" s="7"/>
      <c r="BA1430" s="7"/>
      <c r="BB1430" s="7"/>
      <c r="BC1430" s="4" t="s">
        <v>228</v>
      </c>
      <c r="BD1430" s="8" t="s">
        <v>228</v>
      </c>
      <c r="BE1430" s="4" t="s">
        <v>228</v>
      </c>
      <c r="BF1430" s="8" t="s">
        <v>228</v>
      </c>
      <c r="BG1430" s="7" t="s">
        <v>228</v>
      </c>
      <c r="BH1430" s="7" t="s">
        <v>228</v>
      </c>
      <c r="BI1430" s="7"/>
      <c r="BJ1430" s="4">
        <v>76</v>
      </c>
      <c r="BK1430" s="8">
        <v>2006.73</v>
      </c>
      <c r="BL1430" s="2" t="s">
        <v>7339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7340</v>
      </c>
      <c r="BV1430" s="2" t="s">
        <v>228</v>
      </c>
      <c r="BW1430" s="2" t="s">
        <v>228</v>
      </c>
      <c r="BX1430" s="2" t="s">
        <v>273</v>
      </c>
      <c r="BY1430" s="2" t="s">
        <v>274</v>
      </c>
      <c r="BZ1430" s="2" t="s">
        <v>240</v>
      </c>
      <c r="CA1430" s="2" t="s">
        <v>275</v>
      </c>
      <c r="CB1430" s="2" t="s">
        <v>7341</v>
      </c>
      <c r="CC1430" s="2" t="s">
        <v>241</v>
      </c>
      <c r="CD1430" s="2" t="s">
        <v>228</v>
      </c>
      <c r="CE1430" s="4">
        <v>779</v>
      </c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>
        <v>50</v>
      </c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/>
      <c r="FX1430" s="4">
        <v>50</v>
      </c>
      <c r="FY1430" s="4"/>
      <c r="FZ1430" s="4"/>
      <c r="GA1430" s="4"/>
      <c r="GB1430" s="4"/>
      <c r="GC1430" s="4"/>
      <c r="GD1430" s="4"/>
      <c r="GE1430" s="4"/>
      <c r="GF1430" s="4"/>
      <c r="GG1430" s="4"/>
      <c r="GH1430" s="4"/>
      <c r="GI1430" s="4"/>
      <c r="GJ1430" s="4"/>
      <c r="GK1430" s="4"/>
      <c r="GL1430" s="4"/>
      <c r="GM1430" s="4"/>
      <c r="GN1430" s="4"/>
      <c r="GO1430" s="4">
        <v>380</v>
      </c>
      <c r="GP1430" s="4"/>
      <c r="GQ1430" s="4"/>
      <c r="GR1430" s="4"/>
      <c r="GS1430" s="4"/>
      <c r="GT1430" s="4"/>
      <c r="GU1430" s="4"/>
      <c r="GV1430" s="4"/>
      <c r="GW1430" s="4"/>
      <c r="GX1430" s="4"/>
      <c r="GY1430" s="4"/>
      <c r="GZ1430" s="4"/>
      <c r="HA1430" s="4"/>
      <c r="HB1430" s="4">
        <v>50</v>
      </c>
      <c r="HC1430" s="4"/>
      <c r="HD1430" s="4"/>
      <c r="HE1430" s="4"/>
    </row>
    <row r="1431">
      <c r="A1431" s="2" t="s">
        <v>7342</v>
      </c>
      <c r="B1431" s="2" t="s">
        <v>223</v>
      </c>
      <c r="C1431" s="2" t="s">
        <v>300</v>
      </c>
      <c r="D1431" s="2" t="s">
        <v>225</v>
      </c>
      <c r="E1431" s="2" t="s">
        <v>226</v>
      </c>
      <c r="F1431" s="2" t="s">
        <v>7315</v>
      </c>
      <c r="G1431" s="2" t="s">
        <v>7315</v>
      </c>
      <c r="H1431" s="2" t="s">
        <v>7315</v>
      </c>
      <c r="I1431" s="2" t="s">
        <v>226</v>
      </c>
      <c r="J1431" s="2" t="s">
        <v>294</v>
      </c>
      <c r="K1431" s="2" t="s">
        <v>316</v>
      </c>
      <c r="L1431" s="3">
        <v>31.85</v>
      </c>
      <c r="M1431" s="3">
        <v>33.44</v>
      </c>
      <c r="N1431" s="3">
        <v>64.99</v>
      </c>
      <c r="O1431" s="2" t="s">
        <v>240</v>
      </c>
      <c r="P1431" s="2" t="s">
        <v>715</v>
      </c>
      <c r="Q1431" s="2" t="s">
        <v>234</v>
      </c>
      <c r="R1431" s="2" t="s">
        <v>228</v>
      </c>
      <c r="S1431" s="2" t="s">
        <v>7343</v>
      </c>
      <c r="T1431" s="2" t="s">
        <v>350</v>
      </c>
      <c r="U1431" s="2" t="s">
        <v>228</v>
      </c>
      <c r="V1431" s="2" t="s">
        <v>236</v>
      </c>
      <c r="W1431" s="2" t="s">
        <v>269</v>
      </c>
      <c r="X1431" s="2" t="s">
        <v>228</v>
      </c>
      <c r="Y1431" s="2" t="s">
        <v>270</v>
      </c>
      <c r="Z1431" s="4">
        <v>753</v>
      </c>
      <c r="AA1431" s="4">
        <f>=ROUNDDOWN(19.8157894736842,0)</f>
      </c>
      <c r="AB1431" s="5">
        <v>38</v>
      </c>
      <c r="AC1431" s="2" t="s">
        <v>1352</v>
      </c>
      <c r="AD1431" s="4">
        <v>300</v>
      </c>
      <c r="AE1431" s="4">
        <v>700</v>
      </c>
      <c r="AF1431" s="6">
        <v>69</v>
      </c>
      <c r="AG1431" s="6"/>
      <c r="AH1431" s="7">
        <v>1</v>
      </c>
      <c r="AI1431" s="4"/>
      <c r="AJ1431" s="4">
        <f>=ROUNDDOWN({0},0)</f>
      </c>
      <c r="AK1431" s="5"/>
      <c r="AL1431" s="2" t="s">
        <v>228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/>
      <c r="AW1431" s="8"/>
      <c r="AX1431" s="4"/>
      <c r="AY1431" s="8"/>
      <c r="AZ1431" s="7"/>
      <c r="BA1431" s="7"/>
      <c r="BB1431" s="7"/>
      <c r="BC1431" s="4" t="s">
        <v>228</v>
      </c>
      <c r="BD1431" s="8" t="s">
        <v>228</v>
      </c>
      <c r="BE1431" s="4" t="s">
        <v>228</v>
      </c>
      <c r="BF1431" s="8" t="s">
        <v>228</v>
      </c>
      <c r="BG1431" s="7" t="s">
        <v>228</v>
      </c>
      <c r="BH1431" s="7" t="s">
        <v>228</v>
      </c>
      <c r="BI1431" s="7"/>
      <c r="BJ1431" s="4">
        <v>108</v>
      </c>
      <c r="BK1431" s="8">
        <v>3383.76</v>
      </c>
      <c r="BL1431" s="2" t="s">
        <v>7344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7345</v>
      </c>
      <c r="BV1431" s="2" t="s">
        <v>228</v>
      </c>
      <c r="BW1431" s="2" t="s">
        <v>228</v>
      </c>
      <c r="BX1431" s="2" t="s">
        <v>273</v>
      </c>
      <c r="BY1431" s="2" t="s">
        <v>274</v>
      </c>
      <c r="BZ1431" s="2" t="s">
        <v>240</v>
      </c>
      <c r="CA1431" s="2" t="s">
        <v>275</v>
      </c>
      <c r="CB1431" s="2" t="s">
        <v>692</v>
      </c>
      <c r="CC1431" s="2" t="s">
        <v>241</v>
      </c>
      <c r="CD1431" s="2" t="s">
        <v>228</v>
      </c>
      <c r="CE1431" s="4">
        <v>753</v>
      </c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>
        <v>300</v>
      </c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>
        <v>300</v>
      </c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/>
      <c r="FX1431" s="4"/>
      <c r="FY1431" s="4"/>
      <c r="FZ1431" s="4"/>
      <c r="GA1431" s="4"/>
      <c r="GB1431" s="4"/>
      <c r="GC1431" s="4"/>
      <c r="GD1431" s="4"/>
      <c r="GE1431" s="4"/>
      <c r="GF1431" s="4"/>
      <c r="GG1431" s="4"/>
      <c r="GH1431" s="4"/>
      <c r="GI1431" s="4"/>
      <c r="GJ1431" s="4"/>
      <c r="GK1431" s="4"/>
      <c r="GL1431" s="4"/>
      <c r="GM1431" s="4"/>
      <c r="GN1431" s="4"/>
      <c r="GO1431" s="4">
        <v>100</v>
      </c>
      <c r="GP1431" s="4"/>
      <c r="GQ1431" s="4"/>
      <c r="GR1431" s="4"/>
      <c r="GS1431" s="4"/>
      <c r="GT1431" s="4"/>
      <c r="GU1431" s="4"/>
      <c r="GV1431" s="4"/>
      <c r="GW1431" s="4"/>
      <c r="GX1431" s="4"/>
      <c r="GY1431" s="4"/>
      <c r="GZ1431" s="4"/>
      <c r="HA1431" s="4"/>
      <c r="HB1431" s="4"/>
      <c r="HC1431" s="4"/>
      <c r="HD1431" s="4"/>
      <c r="HE1431" s="4"/>
    </row>
    <row r="1432">
      <c r="A1432" s="2" t="s">
        <v>7346</v>
      </c>
      <c r="B1432" s="2" t="s">
        <v>223</v>
      </c>
      <c r="C1432" s="2" t="s">
        <v>300</v>
      </c>
      <c r="D1432" s="2" t="s">
        <v>225</v>
      </c>
      <c r="E1432" s="2" t="s">
        <v>226</v>
      </c>
      <c r="F1432" s="2" t="s">
        <v>7315</v>
      </c>
      <c r="G1432" s="2" t="s">
        <v>7315</v>
      </c>
      <c r="H1432" s="2" t="s">
        <v>7315</v>
      </c>
      <c r="I1432" s="2" t="s">
        <v>226</v>
      </c>
      <c r="J1432" s="2" t="s">
        <v>294</v>
      </c>
      <c r="K1432" s="2" t="s">
        <v>1077</v>
      </c>
      <c r="L1432" s="3">
        <v>31.85</v>
      </c>
      <c r="M1432" s="3">
        <v>33.44</v>
      </c>
      <c r="N1432" s="3">
        <v>64.99</v>
      </c>
      <c r="O1432" s="2" t="s">
        <v>461</v>
      </c>
      <c r="P1432" s="2" t="s">
        <v>922</v>
      </c>
      <c r="Q1432" s="2" t="s">
        <v>234</v>
      </c>
      <c r="R1432" s="2" t="s">
        <v>228</v>
      </c>
      <c r="S1432" s="2" t="s">
        <v>7347</v>
      </c>
      <c r="T1432" s="2" t="s">
        <v>350</v>
      </c>
      <c r="U1432" s="2" t="s">
        <v>228</v>
      </c>
      <c r="V1432" s="2" t="s">
        <v>236</v>
      </c>
      <c r="W1432" s="2" t="s">
        <v>269</v>
      </c>
      <c r="X1432" s="2" t="s">
        <v>228</v>
      </c>
      <c r="Y1432" s="2" t="s">
        <v>270</v>
      </c>
      <c r="Z1432" s="4"/>
      <c r="AA1432" s="4">
        <f>=ROUNDDOWN({0},0)</f>
      </c>
      <c r="AB1432" s="5">
        <v>11.6</v>
      </c>
      <c r="AC1432" s="2" t="s">
        <v>228</v>
      </c>
      <c r="AD1432" s="4"/>
      <c r="AE1432" s="4"/>
      <c r="AF1432" s="6">
        <v>69</v>
      </c>
      <c r="AG1432" s="6"/>
      <c r="AH1432" s="7">
        <v>0.4194</v>
      </c>
      <c r="AI1432" s="4"/>
      <c r="AJ1432" s="4">
        <f>=ROUNDDOWN({0},0)</f>
      </c>
      <c r="AK1432" s="5"/>
      <c r="AL1432" s="2" t="s">
        <v>228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/>
      <c r="AW1432" s="8"/>
      <c r="AX1432" s="4"/>
      <c r="AY1432" s="8"/>
      <c r="AZ1432" s="7"/>
      <c r="BA1432" s="7"/>
      <c r="BB1432" s="7"/>
      <c r="BC1432" s="4" t="s">
        <v>228</v>
      </c>
      <c r="BD1432" s="8" t="s">
        <v>228</v>
      </c>
      <c r="BE1432" s="4" t="s">
        <v>228</v>
      </c>
      <c r="BF1432" s="8" t="s">
        <v>228</v>
      </c>
      <c r="BG1432" s="7" t="s">
        <v>228</v>
      </c>
      <c r="BH1432" s="7" t="s">
        <v>228</v>
      </c>
      <c r="BI1432" s="7"/>
      <c r="BJ1432" s="4">
        <v>22</v>
      </c>
      <c r="BK1432" s="8">
        <v>669.05</v>
      </c>
      <c r="BL1432" s="2" t="s">
        <v>7348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7349</v>
      </c>
      <c r="BV1432" s="2" t="s">
        <v>228</v>
      </c>
      <c r="BW1432" s="2" t="s">
        <v>228</v>
      </c>
      <c r="BX1432" s="2" t="s">
        <v>337</v>
      </c>
      <c r="BY1432" s="2" t="s">
        <v>274</v>
      </c>
      <c r="BZ1432" s="2" t="s">
        <v>240</v>
      </c>
      <c r="CA1432" s="2" t="s">
        <v>7350</v>
      </c>
      <c r="CB1432" s="2" t="s">
        <v>2020</v>
      </c>
      <c r="CC1432" s="2" t="s">
        <v>241</v>
      </c>
      <c r="CD1432" s="2" t="s">
        <v>228</v>
      </c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/>
      <c r="FX1432" s="4"/>
      <c r="FY1432" s="4"/>
      <c r="FZ1432" s="4"/>
      <c r="GA1432" s="4"/>
      <c r="GB1432" s="4"/>
      <c r="GC1432" s="4"/>
      <c r="GD1432" s="4"/>
      <c r="GE1432" s="4"/>
      <c r="GF1432" s="4"/>
      <c r="GG1432" s="4"/>
      <c r="GH1432" s="4"/>
      <c r="GI1432" s="4"/>
      <c r="GJ1432" s="4"/>
      <c r="GK1432" s="4"/>
      <c r="GL1432" s="4"/>
      <c r="GM1432" s="4"/>
      <c r="GN1432" s="4"/>
      <c r="GO1432" s="4"/>
      <c r="GP1432" s="4"/>
      <c r="GQ1432" s="4"/>
      <c r="GR1432" s="4"/>
      <c r="GS1432" s="4"/>
      <c r="GT1432" s="4"/>
      <c r="GU1432" s="4"/>
      <c r="GV1432" s="4"/>
      <c r="GW1432" s="4"/>
      <c r="GX1432" s="4"/>
      <c r="GY1432" s="4"/>
      <c r="GZ1432" s="4"/>
      <c r="HA1432" s="4"/>
      <c r="HB1432" s="4"/>
      <c r="HC1432" s="4"/>
      <c r="HD1432" s="4"/>
      <c r="HE1432" s="4"/>
    </row>
    <row r="1433">
      <c r="A1433" s="2" t="s">
        <v>7351</v>
      </c>
      <c r="B1433" s="2" t="s">
        <v>1374</v>
      </c>
      <c r="C1433" s="2" t="s">
        <v>849</v>
      </c>
      <c r="D1433" s="2" t="s">
        <v>7352</v>
      </c>
      <c r="E1433" s="2" t="s">
        <v>775</v>
      </c>
      <c r="F1433" s="2" t="s">
        <v>7353</v>
      </c>
      <c r="G1433" s="2" t="s">
        <v>7353</v>
      </c>
      <c r="H1433" s="2" t="s">
        <v>7353</v>
      </c>
      <c r="I1433" s="2" t="s">
        <v>7354</v>
      </c>
      <c r="J1433" s="2" t="s">
        <v>840</v>
      </c>
      <c r="K1433" s="2" t="s">
        <v>7355</v>
      </c>
      <c r="L1433" s="3">
        <v>28.99</v>
      </c>
      <c r="M1433" s="3">
        <v>30.44</v>
      </c>
      <c r="N1433" s="3">
        <v>49.99</v>
      </c>
      <c r="O1433" s="2" t="s">
        <v>240</v>
      </c>
      <c r="P1433" s="2" t="s">
        <v>1012</v>
      </c>
      <c r="Q1433" s="2" t="s">
        <v>234</v>
      </c>
      <c r="R1433" s="2" t="s">
        <v>228</v>
      </c>
      <c r="S1433" s="2" t="s">
        <v>228</v>
      </c>
      <c r="T1433" s="2" t="s">
        <v>228</v>
      </c>
      <c r="U1433" s="2" t="s">
        <v>1054</v>
      </c>
      <c r="V1433" s="2" t="s">
        <v>980</v>
      </c>
      <c r="W1433" s="2" t="s">
        <v>228</v>
      </c>
      <c r="X1433" s="2" t="s">
        <v>228</v>
      </c>
      <c r="Y1433" s="2" t="s">
        <v>5324</v>
      </c>
      <c r="Z1433" s="4">
        <v>94</v>
      </c>
      <c r="AA1433" s="4">
        <f>=ROUNDDOWN(31.3333333333333,0)</f>
      </c>
      <c r="AB1433" s="5">
        <v>3</v>
      </c>
      <c r="AC1433" s="2" t="s">
        <v>228</v>
      </c>
      <c r="AD1433" s="4"/>
      <c r="AE1433" s="4"/>
      <c r="AF1433" s="6">
        <v>73</v>
      </c>
      <c r="AG1433" s="6"/>
      <c r="AH1433" s="7">
        <v>1</v>
      </c>
      <c r="AI1433" s="4"/>
      <c r="AJ1433" s="4">
        <f>=ROUNDDOWN({0},0)</f>
      </c>
      <c r="AK1433" s="5"/>
      <c r="AL1433" s="2" t="s">
        <v>228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/>
      <c r="AW1433" s="8"/>
      <c r="AX1433" s="4"/>
      <c r="AY1433" s="8"/>
      <c r="AZ1433" s="7"/>
      <c r="BA1433" s="7"/>
      <c r="BB1433" s="7"/>
      <c r="BC1433" s="4" t="s">
        <v>228</v>
      </c>
      <c r="BD1433" s="8" t="s">
        <v>228</v>
      </c>
      <c r="BE1433" s="4" t="s">
        <v>228</v>
      </c>
      <c r="BF1433" s="8" t="s">
        <v>228</v>
      </c>
      <c r="BG1433" s="7" t="s">
        <v>228</v>
      </c>
      <c r="BH1433" s="7" t="s">
        <v>228</v>
      </c>
      <c r="BI1433" s="7"/>
      <c r="BJ1433" s="4">
        <v>11</v>
      </c>
      <c r="BK1433" s="8">
        <v>318.99</v>
      </c>
      <c r="BL1433" s="2" t="s">
        <v>7356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7357</v>
      </c>
      <c r="BV1433" s="2" t="s">
        <v>228</v>
      </c>
      <c r="BW1433" s="2" t="s">
        <v>228</v>
      </c>
      <c r="BX1433" s="2" t="s">
        <v>273</v>
      </c>
      <c r="BY1433" s="2" t="s">
        <v>274</v>
      </c>
      <c r="BZ1433" s="2" t="s">
        <v>240</v>
      </c>
      <c r="CA1433" s="2" t="s">
        <v>4841</v>
      </c>
      <c r="CB1433" s="2" t="s">
        <v>228</v>
      </c>
      <c r="CC1433" s="2" t="s">
        <v>241</v>
      </c>
      <c r="CD1433" s="2" t="s">
        <v>228</v>
      </c>
      <c r="CE1433" s="4">
        <v>94</v>
      </c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/>
      <c r="FX1433" s="4"/>
      <c r="FY1433" s="4"/>
      <c r="FZ1433" s="4"/>
      <c r="GA1433" s="4"/>
      <c r="GB1433" s="4"/>
      <c r="GC1433" s="4"/>
      <c r="GD1433" s="4"/>
      <c r="GE1433" s="4"/>
      <c r="GF1433" s="4"/>
      <c r="GG1433" s="4"/>
      <c r="GH1433" s="4"/>
      <c r="GI1433" s="4"/>
      <c r="GJ1433" s="4"/>
      <c r="GK1433" s="4"/>
      <c r="GL1433" s="4"/>
      <c r="GM1433" s="4"/>
      <c r="GN1433" s="4"/>
      <c r="GO1433" s="4"/>
      <c r="GP1433" s="4"/>
      <c r="GQ1433" s="4"/>
      <c r="GR1433" s="4"/>
      <c r="GS1433" s="4"/>
      <c r="GT1433" s="4"/>
      <c r="GU1433" s="4"/>
      <c r="GV1433" s="4"/>
      <c r="GW1433" s="4"/>
      <c r="GX1433" s="4"/>
      <c r="GY1433" s="4"/>
      <c r="GZ1433" s="4"/>
      <c r="HA1433" s="4"/>
      <c r="HB1433" s="4"/>
      <c r="HC1433" s="4"/>
      <c r="HD1433" s="4"/>
      <c r="HE1433" s="4"/>
    </row>
    <row r="1434">
      <c r="A1434" s="2" t="s">
        <v>7358</v>
      </c>
      <c r="B1434" s="2" t="s">
        <v>1374</v>
      </c>
      <c r="C1434" s="2" t="s">
        <v>849</v>
      </c>
      <c r="D1434" s="2" t="s">
        <v>7352</v>
      </c>
      <c r="E1434" s="2" t="s">
        <v>775</v>
      </c>
      <c r="F1434" s="2" t="s">
        <v>7353</v>
      </c>
      <c r="G1434" s="2" t="s">
        <v>7353</v>
      </c>
      <c r="H1434" s="2" t="s">
        <v>7353</v>
      </c>
      <c r="I1434" s="2" t="s">
        <v>7354</v>
      </c>
      <c r="J1434" s="2" t="s">
        <v>840</v>
      </c>
      <c r="K1434" s="2" t="s">
        <v>251</v>
      </c>
      <c r="L1434" s="3">
        <v>28.99</v>
      </c>
      <c r="M1434" s="3">
        <v>30.44</v>
      </c>
      <c r="N1434" s="3">
        <v>49.99</v>
      </c>
      <c r="O1434" s="2" t="s">
        <v>240</v>
      </c>
      <c r="P1434" s="2" t="s">
        <v>266</v>
      </c>
      <c r="Q1434" s="2" t="s">
        <v>234</v>
      </c>
      <c r="R1434" s="2" t="s">
        <v>228</v>
      </c>
      <c r="S1434" s="2" t="s">
        <v>228</v>
      </c>
      <c r="T1434" s="2" t="s">
        <v>228</v>
      </c>
      <c r="U1434" s="2" t="s">
        <v>1054</v>
      </c>
      <c r="V1434" s="2" t="s">
        <v>980</v>
      </c>
      <c r="W1434" s="2" t="s">
        <v>228</v>
      </c>
      <c r="X1434" s="2" t="s">
        <v>228</v>
      </c>
      <c r="Y1434" s="2" t="s">
        <v>5324</v>
      </c>
      <c r="Z1434" s="4">
        <v>175</v>
      </c>
      <c r="AA1434" s="4">
        <f>=ROUNDDOWN(21.875,0)</f>
      </c>
      <c r="AB1434" s="5">
        <v>8</v>
      </c>
      <c r="AC1434" s="2" t="s">
        <v>228</v>
      </c>
      <c r="AD1434" s="4"/>
      <c r="AE1434" s="4"/>
      <c r="AF1434" s="6">
        <v>73</v>
      </c>
      <c r="AG1434" s="6"/>
      <c r="AH1434" s="7">
        <v>1</v>
      </c>
      <c r="AI1434" s="4"/>
      <c r="AJ1434" s="4">
        <f>=ROUNDDOWN({0},0)</f>
      </c>
      <c r="AK1434" s="5"/>
      <c r="AL1434" s="2" t="s">
        <v>228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/>
      <c r="AW1434" s="8"/>
      <c r="AX1434" s="4"/>
      <c r="AY1434" s="8"/>
      <c r="AZ1434" s="7"/>
      <c r="BA1434" s="7"/>
      <c r="BB1434" s="7"/>
      <c r="BC1434" s="4" t="s">
        <v>228</v>
      </c>
      <c r="BD1434" s="8" t="s">
        <v>228</v>
      </c>
      <c r="BE1434" s="4" t="s">
        <v>228</v>
      </c>
      <c r="BF1434" s="8" t="s">
        <v>228</v>
      </c>
      <c r="BG1434" s="7" t="s">
        <v>228</v>
      </c>
      <c r="BH1434" s="7" t="s">
        <v>228</v>
      </c>
      <c r="BI1434" s="7"/>
      <c r="BJ1434" s="4">
        <v>51</v>
      </c>
      <c r="BK1434" s="8">
        <v>1475.12</v>
      </c>
      <c r="BL1434" s="2" t="s">
        <v>5179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7359</v>
      </c>
      <c r="BV1434" s="2" t="s">
        <v>228</v>
      </c>
      <c r="BW1434" s="2" t="s">
        <v>228</v>
      </c>
      <c r="BX1434" s="2" t="s">
        <v>273</v>
      </c>
      <c r="BY1434" s="2" t="s">
        <v>274</v>
      </c>
      <c r="BZ1434" s="2" t="s">
        <v>240</v>
      </c>
      <c r="CA1434" s="2" t="s">
        <v>4841</v>
      </c>
      <c r="CB1434" s="2" t="s">
        <v>228</v>
      </c>
      <c r="CC1434" s="2" t="s">
        <v>241</v>
      </c>
      <c r="CD1434" s="2" t="s">
        <v>228</v>
      </c>
      <c r="CE1434" s="4">
        <v>175</v>
      </c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/>
      <c r="FX1434" s="4"/>
      <c r="FY1434" s="4"/>
      <c r="FZ1434" s="4"/>
      <c r="GA1434" s="4"/>
      <c r="GB1434" s="4"/>
      <c r="GC1434" s="4"/>
      <c r="GD1434" s="4"/>
      <c r="GE1434" s="4"/>
      <c r="GF1434" s="4"/>
      <c r="GG1434" s="4"/>
      <c r="GH1434" s="4"/>
      <c r="GI1434" s="4"/>
      <c r="GJ1434" s="4"/>
      <c r="GK1434" s="4"/>
      <c r="GL1434" s="4"/>
      <c r="GM1434" s="4"/>
      <c r="GN1434" s="4"/>
      <c r="GO1434" s="4"/>
      <c r="GP1434" s="4"/>
      <c r="GQ1434" s="4"/>
      <c r="GR1434" s="4"/>
      <c r="GS1434" s="4"/>
      <c r="GT1434" s="4"/>
      <c r="GU1434" s="4"/>
      <c r="GV1434" s="4"/>
      <c r="GW1434" s="4"/>
      <c r="GX1434" s="4"/>
      <c r="GY1434" s="4"/>
      <c r="GZ1434" s="4"/>
      <c r="HA1434" s="4"/>
      <c r="HB1434" s="4"/>
      <c r="HC1434" s="4"/>
      <c r="HD1434" s="4"/>
      <c r="HE1434" s="4"/>
    </row>
    <row r="1435">
      <c r="A1435" s="2" t="s">
        <v>7360</v>
      </c>
      <c r="B1435" s="2" t="s">
        <v>834</v>
      </c>
      <c r="C1435" s="2" t="s">
        <v>1142</v>
      </c>
      <c r="D1435" s="2" t="s">
        <v>1101</v>
      </c>
      <c r="E1435" s="2" t="s">
        <v>1102</v>
      </c>
      <c r="F1435" s="2" t="s">
        <v>7361</v>
      </c>
      <c r="G1435" s="2" t="s">
        <v>7361</v>
      </c>
      <c r="H1435" s="2" t="s">
        <v>7361</v>
      </c>
      <c r="I1435" s="2" t="s">
        <v>7362</v>
      </c>
      <c r="J1435" s="2" t="s">
        <v>840</v>
      </c>
      <c r="K1435" s="2" t="s">
        <v>7363</v>
      </c>
      <c r="L1435" s="3">
        <v>56.1</v>
      </c>
      <c r="M1435" s="3">
        <v>58.9</v>
      </c>
      <c r="N1435" s="3">
        <v>119.99</v>
      </c>
      <c r="O1435" s="2" t="s">
        <v>461</v>
      </c>
      <c r="P1435" s="2" t="s">
        <v>333</v>
      </c>
      <c r="Q1435" s="2" t="s">
        <v>234</v>
      </c>
      <c r="R1435" s="2" t="s">
        <v>228</v>
      </c>
      <c r="S1435" s="2" t="s">
        <v>228</v>
      </c>
      <c r="T1435" s="2" t="s">
        <v>228</v>
      </c>
      <c r="U1435" s="2" t="s">
        <v>416</v>
      </c>
      <c r="V1435" s="2" t="s">
        <v>842</v>
      </c>
      <c r="W1435" s="2" t="s">
        <v>417</v>
      </c>
      <c r="X1435" s="2" t="s">
        <v>463</v>
      </c>
      <c r="Y1435" s="2" t="s">
        <v>2911</v>
      </c>
      <c r="Z1435" s="4">
        <v>10</v>
      </c>
      <c r="AA1435" s="4">
        <f>=ROUNDDOWN(50,0)</f>
      </c>
      <c r="AB1435" s="5">
        <v>0.2</v>
      </c>
      <c r="AC1435" s="2" t="s">
        <v>228</v>
      </c>
      <c r="AD1435" s="4"/>
      <c r="AE1435" s="4"/>
      <c r="AF1435" s="6">
        <v>65</v>
      </c>
      <c r="AG1435" s="6"/>
      <c r="AH1435" s="7">
        <v>1</v>
      </c>
      <c r="AI1435" s="4"/>
      <c r="AJ1435" s="4">
        <f>=ROUNDDOWN({0},0)</f>
      </c>
      <c r="AK1435" s="5"/>
      <c r="AL1435" s="2" t="s">
        <v>228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/>
      <c r="AW1435" s="8"/>
      <c r="AX1435" s="4"/>
      <c r="AY1435" s="8"/>
      <c r="AZ1435" s="7"/>
      <c r="BA1435" s="7"/>
      <c r="BB1435" s="7"/>
      <c r="BC1435" s="4"/>
      <c r="BD1435" s="8"/>
      <c r="BE1435" s="4"/>
      <c r="BF1435" s="8"/>
      <c r="BG1435" s="7"/>
      <c r="BH1435" s="7"/>
      <c r="BI1435" s="7"/>
      <c r="BJ1435" s="4"/>
      <c r="BK1435" s="8"/>
      <c r="BL1435" s="2" t="s">
        <v>1033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7364</v>
      </c>
      <c r="BV1435" s="2" t="s">
        <v>228</v>
      </c>
      <c r="BW1435" s="2" t="s">
        <v>228</v>
      </c>
      <c r="BX1435" s="2" t="s">
        <v>337</v>
      </c>
      <c r="BY1435" s="2" t="s">
        <v>274</v>
      </c>
      <c r="BZ1435" s="2" t="s">
        <v>240</v>
      </c>
      <c r="CA1435" s="2" t="s">
        <v>7365</v>
      </c>
      <c r="CB1435" s="2" t="s">
        <v>2481</v>
      </c>
      <c r="CC1435" s="2" t="s">
        <v>241</v>
      </c>
      <c r="CD1435" s="2" t="s">
        <v>228</v>
      </c>
      <c r="CE1435" s="4"/>
      <c r="CF1435" s="4">
        <v>10</v>
      </c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/>
      <c r="FZ1435" s="4"/>
      <c r="GA1435" s="4"/>
      <c r="GB1435" s="4"/>
      <c r="GC1435" s="4"/>
      <c r="GD1435" s="4"/>
      <c r="GE1435" s="4"/>
      <c r="GF1435" s="4"/>
      <c r="GG1435" s="4"/>
      <c r="GH1435" s="4"/>
      <c r="GI1435" s="4"/>
      <c r="GJ1435" s="4"/>
      <c r="GK1435" s="4"/>
      <c r="GL1435" s="4"/>
      <c r="GM1435" s="4"/>
      <c r="GN1435" s="4"/>
      <c r="GO1435" s="4"/>
      <c r="GP1435" s="4"/>
      <c r="GQ1435" s="4"/>
      <c r="GR1435" s="4"/>
      <c r="GS1435" s="4"/>
      <c r="GT1435" s="4"/>
      <c r="GU1435" s="4"/>
      <c r="GV1435" s="4"/>
      <c r="GW1435" s="4"/>
      <c r="GX1435" s="4"/>
      <c r="GY1435" s="4"/>
      <c r="GZ1435" s="4"/>
      <c r="HA1435" s="4"/>
      <c r="HB1435" s="4"/>
      <c r="HC1435" s="4"/>
      <c r="HD1435" s="4"/>
      <c r="HE1435" s="4"/>
    </row>
    <row r="1436">
      <c r="A1436" s="2" t="s">
        <v>7366</v>
      </c>
      <c r="B1436" s="2" t="s">
        <v>1150</v>
      </c>
      <c r="C1436" s="2" t="s">
        <v>300</v>
      </c>
      <c r="D1436" s="2" t="s">
        <v>1112</v>
      </c>
      <c r="E1436" s="2" t="s">
        <v>1165</v>
      </c>
      <c r="F1436" s="2" t="s">
        <v>7367</v>
      </c>
      <c r="G1436" s="2" t="s">
        <v>7368</v>
      </c>
      <c r="H1436" s="2" t="s">
        <v>7369</v>
      </c>
      <c r="I1436" s="2" t="s">
        <v>7370</v>
      </c>
      <c r="J1436" s="2" t="s">
        <v>856</v>
      </c>
      <c r="K1436" s="2" t="s">
        <v>978</v>
      </c>
      <c r="L1436" s="3">
        <v>49.68</v>
      </c>
      <c r="M1436" s="3">
        <v>52.16</v>
      </c>
      <c r="N1436" s="3">
        <v>99.99</v>
      </c>
      <c r="O1436" s="2" t="s">
        <v>240</v>
      </c>
      <c r="P1436" s="2" t="s">
        <v>266</v>
      </c>
      <c r="Q1436" s="2" t="s">
        <v>234</v>
      </c>
      <c r="R1436" s="2" t="s">
        <v>228</v>
      </c>
      <c r="S1436" s="2" t="s">
        <v>7371</v>
      </c>
      <c r="T1436" s="2" t="s">
        <v>228</v>
      </c>
      <c r="U1436" s="2" t="s">
        <v>1054</v>
      </c>
      <c r="V1436" s="2" t="s">
        <v>1156</v>
      </c>
      <c r="W1436" s="2" t="s">
        <v>463</v>
      </c>
      <c r="X1436" s="2" t="s">
        <v>7372</v>
      </c>
      <c r="Y1436" s="2" t="s">
        <v>7373</v>
      </c>
      <c r="Z1436" s="4">
        <v>152</v>
      </c>
      <c r="AA1436" s="4">
        <f>=ROUNDDOWN(25.3333333333333,0)</f>
      </c>
      <c r="AB1436" s="5">
        <v>6</v>
      </c>
      <c r="AC1436" s="2" t="s">
        <v>187</v>
      </c>
      <c r="AD1436" s="4">
        <v>100</v>
      </c>
      <c r="AE1436" s="4">
        <v>100</v>
      </c>
      <c r="AF1436" s="6">
        <v>65</v>
      </c>
      <c r="AG1436" s="6"/>
      <c r="AH1436" s="7">
        <v>1</v>
      </c>
      <c r="AI1436" s="4"/>
      <c r="AJ1436" s="4">
        <f>=ROUNDDOWN({0},0)</f>
      </c>
      <c r="AK1436" s="5"/>
      <c r="AL1436" s="2" t="s">
        <v>228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 t="s">
        <v>228</v>
      </c>
      <c r="AW1436" s="8" t="s">
        <v>228</v>
      </c>
      <c r="AX1436" s="4" t="s">
        <v>228</v>
      </c>
      <c r="AY1436" s="8" t="s">
        <v>228</v>
      </c>
      <c r="AZ1436" s="7" t="s">
        <v>228</v>
      </c>
      <c r="BA1436" s="7" t="s">
        <v>228</v>
      </c>
      <c r="BB1436" s="7"/>
      <c r="BC1436" s="4" t="s">
        <v>228</v>
      </c>
      <c r="BD1436" s="8" t="s">
        <v>228</v>
      </c>
      <c r="BE1436" s="4" t="s">
        <v>228</v>
      </c>
      <c r="BF1436" s="8" t="s">
        <v>228</v>
      </c>
      <c r="BG1436" s="7" t="s">
        <v>228</v>
      </c>
      <c r="BH1436" s="7" t="s">
        <v>228</v>
      </c>
      <c r="BI1436" s="7"/>
      <c r="BJ1436" s="4">
        <v>20</v>
      </c>
      <c r="BK1436" s="8">
        <v>1016.54</v>
      </c>
      <c r="BL1436" s="2" t="s">
        <v>1688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7374</v>
      </c>
      <c r="BV1436" s="2" t="s">
        <v>228</v>
      </c>
      <c r="BW1436" s="2" t="s">
        <v>228</v>
      </c>
      <c r="BX1436" s="2" t="s">
        <v>273</v>
      </c>
      <c r="BY1436" s="2" t="s">
        <v>274</v>
      </c>
      <c r="BZ1436" s="2" t="s">
        <v>240</v>
      </c>
      <c r="CA1436" s="2" t="s">
        <v>7375</v>
      </c>
      <c r="CB1436" s="2" t="s">
        <v>7376</v>
      </c>
      <c r="CC1436" s="2" t="s">
        <v>241</v>
      </c>
      <c r="CD1436" s="2" t="s">
        <v>228</v>
      </c>
      <c r="CE1436" s="4">
        <v>152</v>
      </c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>
        <v>100</v>
      </c>
      <c r="FX1436" s="4"/>
      <c r="FY1436" s="4"/>
      <c r="FZ1436" s="4"/>
      <c r="GA1436" s="4"/>
      <c r="GB1436" s="4"/>
      <c r="GC1436" s="4"/>
      <c r="GD1436" s="4"/>
      <c r="GE1436" s="4"/>
      <c r="GF1436" s="4"/>
      <c r="GG1436" s="4"/>
      <c r="GH1436" s="4"/>
      <c r="GI1436" s="4"/>
      <c r="GJ1436" s="4"/>
      <c r="GK1436" s="4"/>
      <c r="GL1436" s="4"/>
      <c r="GM1436" s="4"/>
      <c r="GN1436" s="4"/>
      <c r="GO1436" s="4"/>
      <c r="GP1436" s="4"/>
      <c r="GQ1436" s="4"/>
      <c r="GR1436" s="4"/>
      <c r="GS1436" s="4"/>
      <c r="GT1436" s="4"/>
      <c r="GU1436" s="4"/>
      <c r="GV1436" s="4"/>
      <c r="GW1436" s="4"/>
      <c r="GX1436" s="4"/>
      <c r="GY1436" s="4"/>
      <c r="GZ1436" s="4"/>
      <c r="HA1436" s="4"/>
      <c r="HB1436" s="4"/>
      <c r="HC1436" s="4"/>
      <c r="HD1436" s="4"/>
      <c r="HE1436" s="4"/>
    </row>
    <row r="1437">
      <c r="A1437" s="2" t="s">
        <v>7377</v>
      </c>
      <c r="B1437" s="2" t="s">
        <v>1150</v>
      </c>
      <c r="C1437" s="2" t="s">
        <v>300</v>
      </c>
      <c r="D1437" s="2" t="s">
        <v>1112</v>
      </c>
      <c r="E1437" s="2" t="s">
        <v>1165</v>
      </c>
      <c r="F1437" s="2" t="s">
        <v>7367</v>
      </c>
      <c r="G1437" s="2" t="s">
        <v>7368</v>
      </c>
      <c r="H1437" s="2" t="s">
        <v>7369</v>
      </c>
      <c r="I1437" s="2" t="s">
        <v>7370</v>
      </c>
      <c r="J1437" s="2" t="s">
        <v>289</v>
      </c>
      <c r="K1437" s="2" t="s">
        <v>978</v>
      </c>
      <c r="L1437" s="3">
        <v>64.79</v>
      </c>
      <c r="M1437" s="3">
        <v>68.03</v>
      </c>
      <c r="N1437" s="3">
        <v>129.99</v>
      </c>
      <c r="O1437" s="2" t="s">
        <v>240</v>
      </c>
      <c r="P1437" s="2" t="s">
        <v>266</v>
      </c>
      <c r="Q1437" s="2" t="s">
        <v>234</v>
      </c>
      <c r="R1437" s="2" t="s">
        <v>228</v>
      </c>
      <c r="S1437" s="2" t="s">
        <v>7378</v>
      </c>
      <c r="T1437" s="2" t="s">
        <v>228</v>
      </c>
      <c r="U1437" s="2" t="s">
        <v>1331</v>
      </c>
      <c r="V1437" s="2" t="s">
        <v>1156</v>
      </c>
      <c r="W1437" s="2" t="s">
        <v>463</v>
      </c>
      <c r="X1437" s="2" t="s">
        <v>7372</v>
      </c>
      <c r="Y1437" s="2" t="s">
        <v>7379</v>
      </c>
      <c r="Z1437" s="4">
        <v>293</v>
      </c>
      <c r="AA1437" s="4">
        <f>=ROUNDDOWN(12.2083333333333,0)</f>
      </c>
      <c r="AB1437" s="5">
        <v>24</v>
      </c>
      <c r="AC1437" s="2" t="s">
        <v>2114</v>
      </c>
      <c r="AD1437" s="4">
        <v>110</v>
      </c>
      <c r="AE1437" s="4">
        <v>820</v>
      </c>
      <c r="AF1437" s="6">
        <v>65</v>
      </c>
      <c r="AG1437" s="6">
        <v>73</v>
      </c>
      <c r="AH1437" s="7">
        <v>1</v>
      </c>
      <c r="AI1437" s="4"/>
      <c r="AJ1437" s="4">
        <f>=ROUNDDOWN({0},0)</f>
      </c>
      <c r="AK1437" s="5"/>
      <c r="AL1437" s="2" t="s">
        <v>228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 t="s">
        <v>228</v>
      </c>
      <c r="AW1437" s="8" t="s">
        <v>228</v>
      </c>
      <c r="AX1437" s="4" t="s">
        <v>228</v>
      </c>
      <c r="AY1437" s="8" t="s">
        <v>228</v>
      </c>
      <c r="AZ1437" s="7" t="s">
        <v>228</v>
      </c>
      <c r="BA1437" s="7" t="s">
        <v>228</v>
      </c>
      <c r="BB1437" s="7"/>
      <c r="BC1437" s="4" t="s">
        <v>228</v>
      </c>
      <c r="BD1437" s="8" t="s">
        <v>228</v>
      </c>
      <c r="BE1437" s="4" t="s">
        <v>228</v>
      </c>
      <c r="BF1437" s="8" t="s">
        <v>228</v>
      </c>
      <c r="BG1437" s="7" t="s">
        <v>228</v>
      </c>
      <c r="BH1437" s="7" t="s">
        <v>228</v>
      </c>
      <c r="BI1437" s="7"/>
      <c r="BJ1437" s="4">
        <v>110</v>
      </c>
      <c r="BK1437" s="8">
        <v>7730.69</v>
      </c>
      <c r="BL1437" s="2" t="s">
        <v>7380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7381</v>
      </c>
      <c r="BV1437" s="2" t="s">
        <v>228</v>
      </c>
      <c r="BW1437" s="2" t="s">
        <v>228</v>
      </c>
      <c r="BX1437" s="2" t="s">
        <v>273</v>
      </c>
      <c r="BY1437" s="2" t="s">
        <v>274</v>
      </c>
      <c r="BZ1437" s="2" t="s">
        <v>240</v>
      </c>
      <c r="CA1437" s="2" t="s">
        <v>275</v>
      </c>
      <c r="CB1437" s="2" t="s">
        <v>7382</v>
      </c>
      <c r="CC1437" s="2" t="s">
        <v>241</v>
      </c>
      <c r="CD1437" s="2" t="s">
        <v>228</v>
      </c>
      <c r="CE1437" s="4">
        <v>293</v>
      </c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>
        <v>110</v>
      </c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>
        <v>400</v>
      </c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>
        <v>190</v>
      </c>
      <c r="FX1437" s="4"/>
      <c r="FY1437" s="4"/>
      <c r="FZ1437" s="4"/>
      <c r="GA1437" s="4">
        <v>120</v>
      </c>
      <c r="GB1437" s="4"/>
      <c r="GC1437" s="4"/>
      <c r="GD1437" s="4"/>
      <c r="GE1437" s="4"/>
      <c r="GF1437" s="4"/>
      <c r="GG1437" s="4"/>
      <c r="GH1437" s="4"/>
      <c r="GI1437" s="4"/>
      <c r="GJ1437" s="4"/>
      <c r="GK1437" s="4"/>
      <c r="GL1437" s="4"/>
      <c r="GM1437" s="4"/>
      <c r="GN1437" s="4"/>
      <c r="GO1437" s="4"/>
      <c r="GP1437" s="4"/>
      <c r="GQ1437" s="4"/>
      <c r="GR1437" s="4"/>
      <c r="GS1437" s="4"/>
      <c r="GT1437" s="4"/>
      <c r="GU1437" s="4"/>
      <c r="GV1437" s="4"/>
      <c r="GW1437" s="4"/>
      <c r="GX1437" s="4"/>
      <c r="GY1437" s="4"/>
      <c r="GZ1437" s="4"/>
      <c r="HA1437" s="4"/>
      <c r="HB1437" s="4"/>
      <c r="HC1437" s="4"/>
      <c r="HD1437" s="4"/>
      <c r="HE1437" s="4"/>
    </row>
    <row r="1438">
      <c r="A1438" s="2" t="s">
        <v>7383</v>
      </c>
      <c r="B1438" s="2" t="s">
        <v>1150</v>
      </c>
      <c r="C1438" s="2" t="s">
        <v>300</v>
      </c>
      <c r="D1438" s="2" t="s">
        <v>1316</v>
      </c>
      <c r="E1438" s="2" t="s">
        <v>2876</v>
      </c>
      <c r="F1438" s="2" t="s">
        <v>7367</v>
      </c>
      <c r="G1438" s="2" t="s">
        <v>7368</v>
      </c>
      <c r="H1438" s="2" t="s">
        <v>7369</v>
      </c>
      <c r="I1438" s="2" t="s">
        <v>7384</v>
      </c>
      <c r="J1438" s="2" t="s">
        <v>1043</v>
      </c>
      <c r="K1438" s="2" t="s">
        <v>978</v>
      </c>
      <c r="L1438" s="3">
        <v>66.29</v>
      </c>
      <c r="M1438" s="3">
        <v>69.61</v>
      </c>
      <c r="N1438" s="3">
        <v>129.99</v>
      </c>
      <c r="O1438" s="2" t="s">
        <v>240</v>
      </c>
      <c r="P1438" s="2" t="s">
        <v>266</v>
      </c>
      <c r="Q1438" s="2" t="s">
        <v>234</v>
      </c>
      <c r="R1438" s="2" t="s">
        <v>228</v>
      </c>
      <c r="S1438" s="2" t="s">
        <v>7378</v>
      </c>
      <c r="T1438" s="2" t="s">
        <v>228</v>
      </c>
      <c r="U1438" s="2" t="s">
        <v>1054</v>
      </c>
      <c r="V1438" s="2" t="s">
        <v>1156</v>
      </c>
      <c r="W1438" s="2" t="s">
        <v>463</v>
      </c>
      <c r="X1438" s="2" t="s">
        <v>7372</v>
      </c>
      <c r="Y1438" s="2" t="s">
        <v>270</v>
      </c>
      <c r="Z1438" s="4">
        <v>527</v>
      </c>
      <c r="AA1438" s="4">
        <f>=ROUNDDOWN(43.9166666666667,0)</f>
      </c>
      <c r="AB1438" s="5">
        <v>12</v>
      </c>
      <c r="AC1438" s="2" t="s">
        <v>187</v>
      </c>
      <c r="AD1438" s="4">
        <v>40</v>
      </c>
      <c r="AE1438" s="4">
        <v>40</v>
      </c>
      <c r="AF1438" s="6">
        <v>65</v>
      </c>
      <c r="AG1438" s="6">
        <v>73</v>
      </c>
      <c r="AH1438" s="7">
        <v>1</v>
      </c>
      <c r="AI1438" s="4"/>
      <c r="AJ1438" s="4">
        <f>=ROUNDDOWN({0},0)</f>
      </c>
      <c r="AK1438" s="5"/>
      <c r="AL1438" s="2" t="s">
        <v>228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 t="s">
        <v>228</v>
      </c>
      <c r="AW1438" s="8" t="s">
        <v>228</v>
      </c>
      <c r="AX1438" s="4" t="s">
        <v>228</v>
      </c>
      <c r="AY1438" s="8" t="s">
        <v>228</v>
      </c>
      <c r="AZ1438" s="7" t="s">
        <v>228</v>
      </c>
      <c r="BA1438" s="7" t="s">
        <v>228</v>
      </c>
      <c r="BB1438" s="7"/>
      <c r="BC1438" s="4" t="s">
        <v>228</v>
      </c>
      <c r="BD1438" s="8" t="s">
        <v>228</v>
      </c>
      <c r="BE1438" s="4" t="s">
        <v>228</v>
      </c>
      <c r="BF1438" s="8" t="s">
        <v>228</v>
      </c>
      <c r="BG1438" s="7" t="s">
        <v>228</v>
      </c>
      <c r="BH1438" s="7" t="s">
        <v>228</v>
      </c>
      <c r="BI1438" s="7"/>
      <c r="BJ1438" s="4">
        <v>35</v>
      </c>
      <c r="BK1438" s="8">
        <v>2382.6</v>
      </c>
      <c r="BL1438" s="2" t="s">
        <v>7385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7386</v>
      </c>
      <c r="BV1438" s="2" t="s">
        <v>228</v>
      </c>
      <c r="BW1438" s="2" t="s">
        <v>228</v>
      </c>
      <c r="BX1438" s="2" t="s">
        <v>273</v>
      </c>
      <c r="BY1438" s="2" t="s">
        <v>274</v>
      </c>
      <c r="BZ1438" s="2" t="s">
        <v>240</v>
      </c>
      <c r="CA1438" s="2" t="s">
        <v>275</v>
      </c>
      <c r="CB1438" s="2" t="s">
        <v>3746</v>
      </c>
      <c r="CC1438" s="2" t="s">
        <v>241</v>
      </c>
      <c r="CD1438" s="2" t="s">
        <v>228</v>
      </c>
      <c r="CE1438" s="4">
        <v>348</v>
      </c>
      <c r="CF1438" s="4"/>
      <c r="CG1438" s="4"/>
      <c r="CH1438" s="4">
        <v>179</v>
      </c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>
        <v>40</v>
      </c>
      <c r="FX1438" s="4"/>
      <c r="FY1438" s="4"/>
      <c r="FZ1438" s="4"/>
      <c r="GA1438" s="4"/>
      <c r="GB1438" s="4"/>
      <c r="GC1438" s="4"/>
      <c r="GD1438" s="4"/>
      <c r="GE1438" s="4"/>
      <c r="GF1438" s="4"/>
      <c r="GG1438" s="4"/>
      <c r="GH1438" s="4"/>
      <c r="GI1438" s="4"/>
      <c r="GJ1438" s="4"/>
      <c r="GK1438" s="4"/>
      <c r="GL1438" s="4"/>
      <c r="GM1438" s="4"/>
      <c r="GN1438" s="4"/>
      <c r="GO1438" s="4"/>
      <c r="GP1438" s="4"/>
      <c r="GQ1438" s="4"/>
      <c r="GR1438" s="4"/>
      <c r="GS1438" s="4"/>
      <c r="GT1438" s="4"/>
      <c r="GU1438" s="4"/>
      <c r="GV1438" s="4"/>
      <c r="GW1438" s="4"/>
      <c r="GX1438" s="4"/>
      <c r="GY1438" s="4"/>
      <c r="GZ1438" s="4"/>
      <c r="HA1438" s="4"/>
      <c r="HB1438" s="4"/>
      <c r="HC1438" s="4"/>
      <c r="HD1438" s="4"/>
      <c r="HE1438" s="4"/>
    </row>
    <row r="1439">
      <c r="A1439" s="2" t="s">
        <v>7387</v>
      </c>
      <c r="B1439" s="2" t="s">
        <v>1374</v>
      </c>
      <c r="C1439" s="2" t="s">
        <v>300</v>
      </c>
      <c r="D1439" s="2" t="s">
        <v>1399</v>
      </c>
      <c r="E1439" s="2" t="s">
        <v>1400</v>
      </c>
      <c r="F1439" s="2" t="s">
        <v>7367</v>
      </c>
      <c r="G1439" s="2" t="s">
        <v>7368</v>
      </c>
      <c r="H1439" s="2" t="s">
        <v>7388</v>
      </c>
      <c r="I1439" s="2" t="s">
        <v>7389</v>
      </c>
      <c r="J1439" s="2" t="s">
        <v>1402</v>
      </c>
      <c r="K1439" s="2" t="s">
        <v>7390</v>
      </c>
      <c r="L1439" s="3">
        <v>17.6</v>
      </c>
      <c r="M1439" s="3">
        <v>18.48</v>
      </c>
      <c r="N1439" s="3">
        <v>39.99</v>
      </c>
      <c r="O1439" s="2" t="s">
        <v>240</v>
      </c>
      <c r="P1439" s="2" t="s">
        <v>266</v>
      </c>
      <c r="Q1439" s="2" t="s">
        <v>234</v>
      </c>
      <c r="R1439" s="2" t="s">
        <v>228</v>
      </c>
      <c r="S1439" s="2" t="s">
        <v>7391</v>
      </c>
      <c r="T1439" s="2" t="s">
        <v>350</v>
      </c>
      <c r="U1439" s="2" t="s">
        <v>228</v>
      </c>
      <c r="V1439" s="2" t="s">
        <v>1156</v>
      </c>
      <c r="W1439" s="2" t="s">
        <v>269</v>
      </c>
      <c r="X1439" s="2" t="s">
        <v>228</v>
      </c>
      <c r="Y1439" s="2" t="s">
        <v>7392</v>
      </c>
      <c r="Z1439" s="4">
        <v>260</v>
      </c>
      <c r="AA1439" s="4">
        <f>=ROUNDDOWN(8.38709677419355,0)</f>
      </c>
      <c r="AB1439" s="5">
        <v>31</v>
      </c>
      <c r="AC1439" s="2" t="s">
        <v>2114</v>
      </c>
      <c r="AD1439" s="4">
        <v>240</v>
      </c>
      <c r="AE1439" s="4">
        <v>440</v>
      </c>
      <c r="AF1439" s="6">
        <v>65</v>
      </c>
      <c r="AG1439" s="6"/>
      <c r="AH1439" s="7">
        <v>1</v>
      </c>
      <c r="AI1439" s="4"/>
      <c r="AJ1439" s="4">
        <f>=ROUNDDOWN({0},0)</f>
      </c>
      <c r="AK1439" s="5"/>
      <c r="AL1439" s="2" t="s">
        <v>228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/>
      <c r="AW1439" s="8"/>
      <c r="AX1439" s="4"/>
      <c r="AY1439" s="8"/>
      <c r="AZ1439" s="7"/>
      <c r="BA1439" s="7"/>
      <c r="BB1439" s="7"/>
      <c r="BC1439" s="4" t="s">
        <v>228</v>
      </c>
      <c r="BD1439" s="8" t="s">
        <v>228</v>
      </c>
      <c r="BE1439" s="4" t="s">
        <v>228</v>
      </c>
      <c r="BF1439" s="8" t="s">
        <v>228</v>
      </c>
      <c r="BG1439" s="7" t="s">
        <v>228</v>
      </c>
      <c r="BH1439" s="7" t="s">
        <v>228</v>
      </c>
      <c r="BI1439" s="7"/>
      <c r="BJ1439" s="4">
        <v>108</v>
      </c>
      <c r="BK1439" s="8">
        <v>2096.6</v>
      </c>
      <c r="BL1439" s="2" t="s">
        <v>7393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7394</v>
      </c>
      <c r="BV1439" s="2" t="s">
        <v>228</v>
      </c>
      <c r="BW1439" s="2" t="s">
        <v>228</v>
      </c>
      <c r="BX1439" s="2" t="s">
        <v>273</v>
      </c>
      <c r="BY1439" s="2" t="s">
        <v>274</v>
      </c>
      <c r="BZ1439" s="2" t="s">
        <v>240</v>
      </c>
      <c r="CA1439" s="2" t="s">
        <v>7395</v>
      </c>
      <c r="CB1439" s="2" t="s">
        <v>3795</v>
      </c>
      <c r="CC1439" s="2" t="s">
        <v>241</v>
      </c>
      <c r="CD1439" s="2" t="s">
        <v>228</v>
      </c>
      <c r="CE1439" s="4">
        <v>260</v>
      </c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>
        <v>240</v>
      </c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>
        <v>200</v>
      </c>
      <c r="FX1439" s="4"/>
      <c r="FY1439" s="4"/>
      <c r="FZ1439" s="4"/>
      <c r="GA1439" s="4"/>
      <c r="GB1439" s="4"/>
      <c r="GC1439" s="4"/>
      <c r="GD1439" s="4"/>
      <c r="GE1439" s="4"/>
      <c r="GF1439" s="4"/>
      <c r="GG1439" s="4"/>
      <c r="GH1439" s="4"/>
      <c r="GI1439" s="4"/>
      <c r="GJ1439" s="4"/>
      <c r="GK1439" s="4"/>
      <c r="GL1439" s="4"/>
      <c r="GM1439" s="4"/>
      <c r="GN1439" s="4"/>
      <c r="GO1439" s="4"/>
      <c r="GP1439" s="4"/>
      <c r="GQ1439" s="4"/>
      <c r="GR1439" s="4"/>
      <c r="GS1439" s="4"/>
      <c r="GT1439" s="4"/>
      <c r="GU1439" s="4"/>
      <c r="GV1439" s="4"/>
      <c r="GW1439" s="4"/>
      <c r="GX1439" s="4"/>
      <c r="GY1439" s="4"/>
      <c r="GZ1439" s="4"/>
      <c r="HA1439" s="4"/>
      <c r="HB1439" s="4"/>
      <c r="HC1439" s="4"/>
      <c r="HD1439" s="4"/>
      <c r="HE1439" s="4"/>
    </row>
    <row r="1440">
      <c r="A1440" s="2" t="s">
        <v>7396</v>
      </c>
      <c r="B1440" s="2" t="s">
        <v>848</v>
      </c>
      <c r="C1440" s="2" t="s">
        <v>2925</v>
      </c>
      <c r="D1440" s="2" t="s">
        <v>1112</v>
      </c>
      <c r="E1440" s="2" t="s">
        <v>1165</v>
      </c>
      <c r="F1440" s="2" t="s">
        <v>7367</v>
      </c>
      <c r="G1440" s="2" t="s">
        <v>2675</v>
      </c>
      <c r="H1440" s="2" t="s">
        <v>7397</v>
      </c>
      <c r="I1440" s="2" t="s">
        <v>7398</v>
      </c>
      <c r="J1440" s="2" t="s">
        <v>264</v>
      </c>
      <c r="K1440" s="2" t="s">
        <v>2780</v>
      </c>
      <c r="L1440" s="3">
        <v>38.58</v>
      </c>
      <c r="M1440" s="3">
        <v>40.51</v>
      </c>
      <c r="N1440" s="3">
        <v>79.99</v>
      </c>
      <c r="O1440" s="2" t="s">
        <v>240</v>
      </c>
      <c r="P1440" s="2" t="s">
        <v>715</v>
      </c>
      <c r="Q1440" s="2" t="s">
        <v>234</v>
      </c>
      <c r="R1440" s="2" t="s">
        <v>228</v>
      </c>
      <c r="S1440" s="2" t="s">
        <v>7399</v>
      </c>
      <c r="T1440" s="2" t="s">
        <v>350</v>
      </c>
      <c r="U1440" s="2" t="s">
        <v>308</v>
      </c>
      <c r="V1440" s="2" t="s">
        <v>1644</v>
      </c>
      <c r="W1440" s="2" t="s">
        <v>269</v>
      </c>
      <c r="X1440" s="2" t="s">
        <v>228</v>
      </c>
      <c r="Y1440" s="2" t="s">
        <v>7400</v>
      </c>
      <c r="Z1440" s="4">
        <v>555</v>
      </c>
      <c r="AA1440" s="4">
        <f>=ROUNDDOWN(34.6875,0)</f>
      </c>
      <c r="AB1440" s="5">
        <v>16</v>
      </c>
      <c r="AC1440" s="2" t="s">
        <v>2305</v>
      </c>
      <c r="AD1440" s="4">
        <v>120</v>
      </c>
      <c r="AE1440" s="4">
        <v>710</v>
      </c>
      <c r="AF1440" s="6">
        <v>65</v>
      </c>
      <c r="AG1440" s="6">
        <v>73</v>
      </c>
      <c r="AH1440" s="7">
        <v>1</v>
      </c>
      <c r="AI1440" s="4"/>
      <c r="AJ1440" s="4">
        <f>=ROUNDDOWN({0},0)</f>
      </c>
      <c r="AK1440" s="5"/>
      <c r="AL1440" s="2" t="s">
        <v>228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 t="s">
        <v>228</v>
      </c>
      <c r="AW1440" s="8" t="s">
        <v>228</v>
      </c>
      <c r="AX1440" s="4" t="s">
        <v>228</v>
      </c>
      <c r="AY1440" s="8" t="s">
        <v>228</v>
      </c>
      <c r="AZ1440" s="7" t="s">
        <v>228</v>
      </c>
      <c r="BA1440" s="7" t="s">
        <v>228</v>
      </c>
      <c r="BB1440" s="7" t="s">
        <v>228</v>
      </c>
      <c r="BC1440" s="4" t="s">
        <v>228</v>
      </c>
      <c r="BD1440" s="8" t="s">
        <v>228</v>
      </c>
      <c r="BE1440" s="4" t="s">
        <v>228</v>
      </c>
      <c r="BF1440" s="8" t="s">
        <v>228</v>
      </c>
      <c r="BG1440" s="7" t="s">
        <v>228</v>
      </c>
      <c r="BH1440" s="7" t="s">
        <v>228</v>
      </c>
      <c r="BI1440" s="7"/>
      <c r="BJ1440" s="4">
        <v>84</v>
      </c>
      <c r="BK1440" s="8">
        <v>3834.99</v>
      </c>
      <c r="BL1440" s="2" t="s">
        <v>2932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7401</v>
      </c>
      <c r="BV1440" s="2" t="s">
        <v>228</v>
      </c>
      <c r="BW1440" s="2" t="s">
        <v>228</v>
      </c>
      <c r="BX1440" s="2" t="s">
        <v>273</v>
      </c>
      <c r="BY1440" s="2" t="s">
        <v>274</v>
      </c>
      <c r="BZ1440" s="2" t="s">
        <v>240</v>
      </c>
      <c r="CA1440" s="2" t="s">
        <v>7402</v>
      </c>
      <c r="CB1440" s="2" t="s">
        <v>7144</v>
      </c>
      <c r="CC1440" s="2" t="s">
        <v>241</v>
      </c>
      <c r="CD1440" s="2" t="s">
        <v>228</v>
      </c>
      <c r="CE1440" s="4">
        <v>349</v>
      </c>
      <c r="CF1440" s="4"/>
      <c r="CG1440" s="4"/>
      <c r="CH1440" s="4">
        <v>206</v>
      </c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>
        <v>120</v>
      </c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/>
      <c r="FZ1440" s="4"/>
      <c r="GA1440" s="4"/>
      <c r="GB1440" s="4"/>
      <c r="GC1440" s="4"/>
      <c r="GD1440" s="4"/>
      <c r="GE1440" s="4"/>
      <c r="GF1440" s="4"/>
      <c r="GG1440" s="4">
        <v>400</v>
      </c>
      <c r="GH1440" s="4"/>
      <c r="GI1440" s="4"/>
      <c r="GJ1440" s="4"/>
      <c r="GK1440" s="4"/>
      <c r="GL1440" s="4"/>
      <c r="GM1440" s="4">
        <v>190</v>
      </c>
      <c r="GN1440" s="4"/>
      <c r="GO1440" s="4"/>
      <c r="GP1440" s="4"/>
      <c r="GQ1440" s="4"/>
      <c r="GR1440" s="4"/>
      <c r="GS1440" s="4"/>
      <c r="GT1440" s="4"/>
      <c r="GU1440" s="4"/>
      <c r="GV1440" s="4"/>
      <c r="GW1440" s="4"/>
      <c r="GX1440" s="4"/>
      <c r="GY1440" s="4"/>
      <c r="GZ1440" s="4"/>
      <c r="HA1440" s="4"/>
      <c r="HB1440" s="4"/>
      <c r="HC1440" s="4"/>
      <c r="HD1440" s="4"/>
      <c r="HE1440" s="4"/>
    </row>
    <row r="1441">
      <c r="A1441" s="2" t="s">
        <v>7403</v>
      </c>
      <c r="B1441" s="2" t="s">
        <v>848</v>
      </c>
      <c r="C1441" s="2" t="s">
        <v>2925</v>
      </c>
      <c r="D1441" s="2" t="s">
        <v>1316</v>
      </c>
      <c r="E1441" s="2" t="s">
        <v>2396</v>
      </c>
      <c r="F1441" s="2" t="s">
        <v>7367</v>
      </c>
      <c r="G1441" s="2" t="s">
        <v>2675</v>
      </c>
      <c r="H1441" s="2" t="s">
        <v>7397</v>
      </c>
      <c r="I1441" s="2" t="s">
        <v>7404</v>
      </c>
      <c r="J1441" s="2" t="s">
        <v>264</v>
      </c>
      <c r="K1441" s="2" t="s">
        <v>2780</v>
      </c>
      <c r="L1441" s="3">
        <v>36.8</v>
      </c>
      <c r="M1441" s="3">
        <v>38.64</v>
      </c>
      <c r="N1441" s="3">
        <v>89.99</v>
      </c>
      <c r="O1441" s="2" t="s">
        <v>240</v>
      </c>
      <c r="P1441" s="2" t="s">
        <v>266</v>
      </c>
      <c r="Q1441" s="2" t="s">
        <v>234</v>
      </c>
      <c r="R1441" s="2" t="s">
        <v>228</v>
      </c>
      <c r="S1441" s="2" t="s">
        <v>7399</v>
      </c>
      <c r="T1441" s="2" t="s">
        <v>350</v>
      </c>
      <c r="U1441" s="2" t="s">
        <v>308</v>
      </c>
      <c r="V1441" s="2" t="s">
        <v>1644</v>
      </c>
      <c r="W1441" s="2" t="s">
        <v>269</v>
      </c>
      <c r="X1441" s="2" t="s">
        <v>228</v>
      </c>
      <c r="Y1441" s="2" t="s">
        <v>7405</v>
      </c>
      <c r="Z1441" s="4">
        <v>217</v>
      </c>
      <c r="AA1441" s="4">
        <f>=ROUNDDOWN(13.5625,0)</f>
      </c>
      <c r="AB1441" s="5">
        <v>16</v>
      </c>
      <c r="AC1441" s="2" t="s">
        <v>2305</v>
      </c>
      <c r="AD1441" s="4">
        <v>190</v>
      </c>
      <c r="AE1441" s="4">
        <v>590</v>
      </c>
      <c r="AF1441" s="6">
        <v>65</v>
      </c>
      <c r="AG1441" s="6">
        <v>73</v>
      </c>
      <c r="AH1441" s="7">
        <v>1</v>
      </c>
      <c r="AI1441" s="4"/>
      <c r="AJ1441" s="4">
        <f>=ROUNDDOWN({0},0)</f>
      </c>
      <c r="AK1441" s="5"/>
      <c r="AL1441" s="2" t="s">
        <v>228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 t="s">
        <v>228</v>
      </c>
      <c r="AW1441" s="8" t="s">
        <v>228</v>
      </c>
      <c r="AX1441" s="4" t="s">
        <v>228</v>
      </c>
      <c r="AY1441" s="8" t="s">
        <v>228</v>
      </c>
      <c r="AZ1441" s="7" t="s">
        <v>228</v>
      </c>
      <c r="BA1441" s="7" t="s">
        <v>228</v>
      </c>
      <c r="BB1441" s="7" t="s">
        <v>228</v>
      </c>
      <c r="BC1441" s="4" t="s">
        <v>228</v>
      </c>
      <c r="BD1441" s="8" t="s">
        <v>228</v>
      </c>
      <c r="BE1441" s="4" t="s">
        <v>228</v>
      </c>
      <c r="BF1441" s="8" t="s">
        <v>228</v>
      </c>
      <c r="BG1441" s="7" t="s">
        <v>228</v>
      </c>
      <c r="BH1441" s="7" t="s">
        <v>228</v>
      </c>
      <c r="BI1441" s="7"/>
      <c r="BJ1441" s="4">
        <v>60</v>
      </c>
      <c r="BK1441" s="8">
        <v>2498.36</v>
      </c>
      <c r="BL1441" s="2" t="s">
        <v>3798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7406</v>
      </c>
      <c r="BV1441" s="2" t="s">
        <v>228</v>
      </c>
      <c r="BW1441" s="2" t="s">
        <v>228</v>
      </c>
      <c r="BX1441" s="2" t="s">
        <v>273</v>
      </c>
      <c r="BY1441" s="2" t="s">
        <v>274</v>
      </c>
      <c r="BZ1441" s="2" t="s">
        <v>240</v>
      </c>
      <c r="CA1441" s="2" t="s">
        <v>7144</v>
      </c>
      <c r="CB1441" s="2" t="s">
        <v>1071</v>
      </c>
      <c r="CC1441" s="2" t="s">
        <v>241</v>
      </c>
      <c r="CD1441" s="2" t="s">
        <v>228</v>
      </c>
      <c r="CE1441" s="4">
        <v>215</v>
      </c>
      <c r="CF1441" s="4"/>
      <c r="CG1441" s="4"/>
      <c r="CH1441" s="4">
        <v>2</v>
      </c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>
        <v>190</v>
      </c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>
        <v>350</v>
      </c>
      <c r="FC1441" s="4"/>
      <c r="FD1441" s="4"/>
      <c r="FE1441" s="4">
        <v>50</v>
      </c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/>
      <c r="FX1441" s="4"/>
      <c r="FY1441" s="4"/>
      <c r="FZ1441" s="4"/>
      <c r="GA1441" s="4"/>
      <c r="GB1441" s="4"/>
      <c r="GC1441" s="4"/>
      <c r="GD1441" s="4"/>
      <c r="GE1441" s="4"/>
      <c r="GF1441" s="4"/>
      <c r="GG1441" s="4"/>
      <c r="GH1441" s="4"/>
      <c r="GI1441" s="4"/>
      <c r="GJ1441" s="4"/>
      <c r="GK1441" s="4"/>
      <c r="GL1441" s="4"/>
      <c r="GM1441" s="4"/>
      <c r="GN1441" s="4"/>
      <c r="GO1441" s="4"/>
      <c r="GP1441" s="4"/>
      <c r="GQ1441" s="4"/>
      <c r="GR1441" s="4"/>
      <c r="GS1441" s="4"/>
      <c r="GT1441" s="4"/>
      <c r="GU1441" s="4"/>
      <c r="GV1441" s="4"/>
      <c r="GW1441" s="4"/>
      <c r="GX1441" s="4"/>
      <c r="GY1441" s="4"/>
      <c r="GZ1441" s="4"/>
      <c r="HA1441" s="4"/>
      <c r="HB1441" s="4"/>
      <c r="HC1441" s="4"/>
      <c r="HD1441" s="4"/>
      <c r="HE1441" s="4"/>
    </row>
    <row r="1442">
      <c r="A1442" s="2" t="s">
        <v>7407</v>
      </c>
      <c r="B1442" s="2" t="s">
        <v>848</v>
      </c>
      <c r="C1442" s="2" t="s">
        <v>2925</v>
      </c>
      <c r="D1442" s="2" t="s">
        <v>1316</v>
      </c>
      <c r="E1442" s="2" t="s">
        <v>2396</v>
      </c>
      <c r="F1442" s="2" t="s">
        <v>7367</v>
      </c>
      <c r="G1442" s="2" t="s">
        <v>2675</v>
      </c>
      <c r="H1442" s="2" t="s">
        <v>7397</v>
      </c>
      <c r="I1442" s="2" t="s">
        <v>7404</v>
      </c>
      <c r="J1442" s="2" t="s">
        <v>1189</v>
      </c>
      <c r="K1442" s="2" t="s">
        <v>614</v>
      </c>
      <c r="L1442" s="3">
        <v>48</v>
      </c>
      <c r="M1442" s="3">
        <v>50.4</v>
      </c>
      <c r="N1442" s="3">
        <v>109.99</v>
      </c>
      <c r="O1442" s="2" t="s">
        <v>240</v>
      </c>
      <c r="P1442" s="2" t="s">
        <v>333</v>
      </c>
      <c r="Q1442" s="2" t="s">
        <v>234</v>
      </c>
      <c r="R1442" s="2" t="s">
        <v>228</v>
      </c>
      <c r="S1442" s="2" t="s">
        <v>7408</v>
      </c>
      <c r="T1442" s="2" t="s">
        <v>350</v>
      </c>
      <c r="U1442" s="2" t="s">
        <v>1170</v>
      </c>
      <c r="V1442" s="2" t="s">
        <v>1644</v>
      </c>
      <c r="W1442" s="2" t="s">
        <v>269</v>
      </c>
      <c r="X1442" s="2" t="s">
        <v>228</v>
      </c>
      <c r="Y1442" s="2" t="s">
        <v>7409</v>
      </c>
      <c r="Z1442" s="4">
        <v>124</v>
      </c>
      <c r="AA1442" s="4">
        <f>=ROUNDDOWN(16.5333333333333,0)</f>
      </c>
      <c r="AB1442" s="5">
        <v>7.5</v>
      </c>
      <c r="AC1442" s="2" t="s">
        <v>228</v>
      </c>
      <c r="AD1442" s="4"/>
      <c r="AE1442" s="4"/>
      <c r="AF1442" s="6">
        <v>65</v>
      </c>
      <c r="AG1442" s="6">
        <v>73</v>
      </c>
      <c r="AH1442" s="7">
        <v>1</v>
      </c>
      <c r="AI1442" s="4"/>
      <c r="AJ1442" s="4">
        <f>=ROUNDDOWN({0},0)</f>
      </c>
      <c r="AK1442" s="5"/>
      <c r="AL1442" s="2" t="s">
        <v>228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/>
      <c r="AW1442" s="8"/>
      <c r="AX1442" s="4"/>
      <c r="AY1442" s="8"/>
      <c r="AZ1442" s="7"/>
      <c r="BA1442" s="7"/>
      <c r="BB1442" s="7"/>
      <c r="BC1442" s="4" t="s">
        <v>228</v>
      </c>
      <c r="BD1442" s="8" t="s">
        <v>228</v>
      </c>
      <c r="BE1442" s="4" t="s">
        <v>228</v>
      </c>
      <c r="BF1442" s="8" t="s">
        <v>228</v>
      </c>
      <c r="BG1442" s="7" t="s">
        <v>228</v>
      </c>
      <c r="BH1442" s="7" t="s">
        <v>228</v>
      </c>
      <c r="BI1442" s="7"/>
      <c r="BJ1442" s="4">
        <v>35</v>
      </c>
      <c r="BK1442" s="8">
        <v>1257.39</v>
      </c>
      <c r="BL1442" s="2" t="s">
        <v>1503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7410</v>
      </c>
      <c r="BV1442" s="2" t="s">
        <v>228</v>
      </c>
      <c r="BW1442" s="2" t="s">
        <v>228</v>
      </c>
      <c r="BX1442" s="2" t="s">
        <v>337</v>
      </c>
      <c r="BY1442" s="2" t="s">
        <v>274</v>
      </c>
      <c r="BZ1442" s="2" t="s">
        <v>240</v>
      </c>
      <c r="CA1442" s="2" t="s">
        <v>7411</v>
      </c>
      <c r="CB1442" s="2" t="s">
        <v>1355</v>
      </c>
      <c r="CC1442" s="2" t="s">
        <v>241</v>
      </c>
      <c r="CD1442" s="2" t="s">
        <v>228</v>
      </c>
      <c r="CE1442" s="4">
        <v>106</v>
      </c>
      <c r="CF1442" s="4"/>
      <c r="CG1442" s="4"/>
      <c r="CH1442" s="4">
        <v>18</v>
      </c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/>
      <c r="GF1442" s="4"/>
      <c r="GG1442" s="4"/>
      <c r="GH1442" s="4"/>
      <c r="GI1442" s="4"/>
      <c r="GJ1442" s="4"/>
      <c r="GK1442" s="4"/>
      <c r="GL1442" s="4"/>
      <c r="GM1442" s="4"/>
      <c r="GN1442" s="4"/>
      <c r="GO1442" s="4"/>
      <c r="GP1442" s="4"/>
      <c r="GQ1442" s="4"/>
      <c r="GR1442" s="4"/>
      <c r="GS1442" s="4"/>
      <c r="GT1442" s="4"/>
      <c r="GU1442" s="4"/>
      <c r="GV1442" s="4"/>
      <c r="GW1442" s="4"/>
      <c r="GX1442" s="4"/>
      <c r="GY1442" s="4"/>
      <c r="GZ1442" s="4"/>
      <c r="HA1442" s="4"/>
      <c r="HB1442" s="4"/>
      <c r="HC1442" s="4"/>
      <c r="HD1442" s="4"/>
      <c r="HE1442" s="4"/>
    </row>
    <row r="1443">
      <c r="A1443" s="2" t="s">
        <v>7412</v>
      </c>
      <c r="B1443" s="2" t="s">
        <v>970</v>
      </c>
      <c r="C1443" s="2" t="s">
        <v>849</v>
      </c>
      <c r="D1443" s="2" t="s">
        <v>1980</v>
      </c>
      <c r="E1443" s="2" t="s">
        <v>1981</v>
      </c>
      <c r="F1443" s="2" t="s">
        <v>7413</v>
      </c>
      <c r="G1443" s="2" t="s">
        <v>853</v>
      </c>
      <c r="H1443" s="2" t="s">
        <v>7414</v>
      </c>
      <c r="I1443" s="2" t="s">
        <v>7415</v>
      </c>
      <c r="J1443" s="2" t="s">
        <v>7416</v>
      </c>
      <c r="K1443" s="2" t="s">
        <v>978</v>
      </c>
      <c r="L1443" s="3">
        <v>18.25</v>
      </c>
      <c r="M1443" s="3">
        <v>19.16</v>
      </c>
      <c r="N1443" s="3">
        <v>39.99</v>
      </c>
      <c r="O1443" s="2" t="s">
        <v>240</v>
      </c>
      <c r="P1443" s="2" t="s">
        <v>266</v>
      </c>
      <c r="Q1443" s="2" t="s">
        <v>234</v>
      </c>
      <c r="R1443" s="2" t="s">
        <v>228</v>
      </c>
      <c r="S1443" s="2" t="s">
        <v>1987</v>
      </c>
      <c r="T1443" s="2" t="s">
        <v>228</v>
      </c>
      <c r="U1443" s="2" t="s">
        <v>416</v>
      </c>
      <c r="V1443" s="2" t="s">
        <v>236</v>
      </c>
      <c r="W1443" s="2" t="s">
        <v>269</v>
      </c>
      <c r="X1443" s="2" t="s">
        <v>228</v>
      </c>
      <c r="Y1443" s="2" t="s">
        <v>7417</v>
      </c>
      <c r="Z1443" s="4">
        <v>305</v>
      </c>
      <c r="AA1443" s="4">
        <f>=ROUNDDOWN(27.7272727272727,0)</f>
      </c>
      <c r="AB1443" s="5">
        <v>11</v>
      </c>
      <c r="AC1443" s="2" t="s">
        <v>228</v>
      </c>
      <c r="AD1443" s="4"/>
      <c r="AE1443" s="4"/>
      <c r="AF1443" s="6">
        <v>65</v>
      </c>
      <c r="AG1443" s="6"/>
      <c r="AH1443" s="7">
        <v>1</v>
      </c>
      <c r="AI1443" s="4"/>
      <c r="AJ1443" s="4">
        <f>=ROUNDDOWN({0},0)</f>
      </c>
      <c r="AK1443" s="5"/>
      <c r="AL1443" s="2" t="s">
        <v>228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/>
      <c r="AW1443" s="8"/>
      <c r="AX1443" s="4"/>
      <c r="AY1443" s="8"/>
      <c r="AZ1443" s="7"/>
      <c r="BA1443" s="7"/>
      <c r="BB1443" s="7"/>
      <c r="BC1443" s="4" t="s">
        <v>228</v>
      </c>
      <c r="BD1443" s="8" t="s">
        <v>228</v>
      </c>
      <c r="BE1443" s="4" t="s">
        <v>228</v>
      </c>
      <c r="BF1443" s="8" t="s">
        <v>228</v>
      </c>
      <c r="BG1443" s="7" t="s">
        <v>228</v>
      </c>
      <c r="BH1443" s="7" t="s">
        <v>228</v>
      </c>
      <c r="BI1443" s="7"/>
      <c r="BJ1443" s="4">
        <v>34</v>
      </c>
      <c r="BK1443" s="8">
        <v>689.78</v>
      </c>
      <c r="BL1443" s="2" t="s">
        <v>7418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7419</v>
      </c>
      <c r="BV1443" s="2" t="s">
        <v>228</v>
      </c>
      <c r="BW1443" s="2" t="s">
        <v>228</v>
      </c>
      <c r="BX1443" s="2" t="s">
        <v>273</v>
      </c>
      <c r="BY1443" s="2" t="s">
        <v>274</v>
      </c>
      <c r="BZ1443" s="2" t="s">
        <v>240</v>
      </c>
      <c r="CA1443" s="2" t="s">
        <v>3534</v>
      </c>
      <c r="CB1443" s="2" t="s">
        <v>7420</v>
      </c>
      <c r="CC1443" s="2" t="s">
        <v>241</v>
      </c>
      <c r="CD1443" s="2" t="s">
        <v>228</v>
      </c>
      <c r="CE1443" s="4">
        <v>145</v>
      </c>
      <c r="CF1443" s="4"/>
      <c r="CG1443" s="4"/>
      <c r="CH1443" s="4"/>
      <c r="CI1443" s="4"/>
      <c r="CJ1443" s="4"/>
      <c r="CK1443" s="4">
        <v>160</v>
      </c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/>
      <c r="GE1443" s="4"/>
      <c r="GF1443" s="4"/>
      <c r="GG1443" s="4"/>
      <c r="GH1443" s="4"/>
      <c r="GI1443" s="4"/>
      <c r="GJ1443" s="4"/>
      <c r="GK1443" s="4"/>
      <c r="GL1443" s="4"/>
      <c r="GM1443" s="4"/>
      <c r="GN1443" s="4"/>
      <c r="GO1443" s="4"/>
      <c r="GP1443" s="4"/>
      <c r="GQ1443" s="4"/>
      <c r="GR1443" s="4"/>
      <c r="GS1443" s="4"/>
      <c r="GT1443" s="4"/>
      <c r="GU1443" s="4"/>
      <c r="GV1443" s="4"/>
      <c r="GW1443" s="4"/>
      <c r="GX1443" s="4"/>
      <c r="GY1443" s="4"/>
      <c r="GZ1443" s="4"/>
      <c r="HA1443" s="4"/>
      <c r="HB1443" s="4"/>
      <c r="HC1443" s="4"/>
      <c r="HD1443" s="4"/>
      <c r="HE1443" s="4"/>
    </row>
    <row r="1444">
      <c r="A1444" s="2" t="s">
        <v>7421</v>
      </c>
      <c r="B1444" s="2" t="s">
        <v>1150</v>
      </c>
      <c r="C1444" s="2" t="s">
        <v>1861</v>
      </c>
      <c r="D1444" s="2" t="s">
        <v>1112</v>
      </c>
      <c r="E1444" s="2" t="s">
        <v>1165</v>
      </c>
      <c r="F1444" s="2" t="s">
        <v>7413</v>
      </c>
      <c r="G1444" s="2" t="s">
        <v>7413</v>
      </c>
      <c r="H1444" s="2" t="s">
        <v>7413</v>
      </c>
      <c r="I1444" s="2" t="s">
        <v>6841</v>
      </c>
      <c r="J1444" s="2" t="s">
        <v>294</v>
      </c>
      <c r="K1444" s="2" t="s">
        <v>2480</v>
      </c>
      <c r="L1444" s="3">
        <v>204.28</v>
      </c>
      <c r="M1444" s="3">
        <v>214.49</v>
      </c>
      <c r="N1444" s="3">
        <v>599.99</v>
      </c>
      <c r="O1444" s="2" t="s">
        <v>240</v>
      </c>
      <c r="P1444" s="2" t="s">
        <v>922</v>
      </c>
      <c r="Q1444" s="2" t="s">
        <v>234</v>
      </c>
      <c r="R1444" s="2" t="s">
        <v>228</v>
      </c>
      <c r="S1444" s="2" t="s">
        <v>228</v>
      </c>
      <c r="T1444" s="2" t="s">
        <v>228</v>
      </c>
      <c r="U1444" s="2" t="s">
        <v>308</v>
      </c>
      <c r="V1444" s="2" t="s">
        <v>1737</v>
      </c>
      <c r="W1444" s="2" t="s">
        <v>743</v>
      </c>
      <c r="X1444" s="2" t="s">
        <v>228</v>
      </c>
      <c r="Y1444" s="2" t="s">
        <v>1871</v>
      </c>
      <c r="Z1444" s="4">
        <v>336</v>
      </c>
      <c r="AA1444" s="4">
        <f>=ROUNDDOWN(67.2,0)</f>
      </c>
      <c r="AB1444" s="5">
        <v>5</v>
      </c>
      <c r="AC1444" s="2" t="s">
        <v>228</v>
      </c>
      <c r="AD1444" s="4"/>
      <c r="AE1444" s="4"/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228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228</v>
      </c>
      <c r="AW1444" s="8" t="s">
        <v>228</v>
      </c>
      <c r="AX1444" s="4" t="s">
        <v>228</v>
      </c>
      <c r="AY1444" s="8" t="s">
        <v>228</v>
      </c>
      <c r="AZ1444" s="7" t="s">
        <v>228</v>
      </c>
      <c r="BA1444" s="7" t="s">
        <v>228</v>
      </c>
      <c r="BB1444" s="7"/>
      <c r="BC1444" s="4" t="s">
        <v>228</v>
      </c>
      <c r="BD1444" s="8" t="s">
        <v>228</v>
      </c>
      <c r="BE1444" s="4" t="s">
        <v>228</v>
      </c>
      <c r="BF1444" s="8" t="s">
        <v>228</v>
      </c>
      <c r="BG1444" s="7" t="s">
        <v>228</v>
      </c>
      <c r="BH1444" s="7" t="s">
        <v>228</v>
      </c>
      <c r="BI1444" s="7"/>
      <c r="BJ1444" s="4">
        <v>3</v>
      </c>
      <c r="BK1444" s="8">
        <v>844.7</v>
      </c>
      <c r="BL1444" s="2" t="s">
        <v>1971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7422</v>
      </c>
      <c r="BV1444" s="2" t="s">
        <v>228</v>
      </c>
      <c r="BW1444" s="2" t="s">
        <v>228</v>
      </c>
      <c r="BX1444" s="2" t="s">
        <v>337</v>
      </c>
      <c r="BY1444" s="2" t="s">
        <v>274</v>
      </c>
      <c r="BZ1444" s="2" t="s">
        <v>240</v>
      </c>
      <c r="CA1444" s="2" t="s">
        <v>6430</v>
      </c>
      <c r="CB1444" s="2" t="s">
        <v>5527</v>
      </c>
      <c r="CC1444" s="2" t="s">
        <v>241</v>
      </c>
      <c r="CD1444" s="2" t="s">
        <v>228</v>
      </c>
      <c r="CE1444" s="4">
        <v>336</v>
      </c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/>
      <c r="FX1444" s="4"/>
      <c r="FY1444" s="4"/>
      <c r="FZ1444" s="4"/>
      <c r="GA1444" s="4"/>
      <c r="GB1444" s="4"/>
      <c r="GC1444" s="4"/>
      <c r="GD1444" s="4"/>
      <c r="GE1444" s="4"/>
      <c r="GF1444" s="4"/>
      <c r="GG1444" s="4"/>
      <c r="GH1444" s="4"/>
      <c r="GI1444" s="4"/>
      <c r="GJ1444" s="4"/>
      <c r="GK1444" s="4"/>
      <c r="GL1444" s="4"/>
      <c r="GM1444" s="4"/>
      <c r="GN1444" s="4"/>
      <c r="GO1444" s="4"/>
      <c r="GP1444" s="4"/>
      <c r="GQ1444" s="4"/>
      <c r="GR1444" s="4"/>
      <c r="GS1444" s="4"/>
      <c r="GT1444" s="4"/>
      <c r="GU1444" s="4"/>
      <c r="GV1444" s="4"/>
      <c r="GW1444" s="4"/>
      <c r="GX1444" s="4"/>
      <c r="GY1444" s="4"/>
      <c r="GZ1444" s="4"/>
      <c r="HA1444" s="4"/>
      <c r="HB1444" s="4"/>
      <c r="HC1444" s="4"/>
      <c r="HD1444" s="4"/>
      <c r="HE1444" s="4"/>
    </row>
    <row r="1445">
      <c r="A1445" s="2" t="s">
        <v>7423</v>
      </c>
      <c r="B1445" s="2" t="s">
        <v>1150</v>
      </c>
      <c r="C1445" s="2" t="s">
        <v>1861</v>
      </c>
      <c r="D1445" s="2" t="s">
        <v>1112</v>
      </c>
      <c r="E1445" s="2" t="s">
        <v>1165</v>
      </c>
      <c r="F1445" s="2" t="s">
        <v>7413</v>
      </c>
      <c r="G1445" s="2" t="s">
        <v>7413</v>
      </c>
      <c r="H1445" s="2" t="s">
        <v>7413</v>
      </c>
      <c r="I1445" s="2" t="s">
        <v>6841</v>
      </c>
      <c r="J1445" s="2" t="s">
        <v>312</v>
      </c>
      <c r="K1445" s="2" t="s">
        <v>2480</v>
      </c>
      <c r="L1445" s="3">
        <v>204.28</v>
      </c>
      <c r="M1445" s="3">
        <v>214.49</v>
      </c>
      <c r="N1445" s="3">
        <v>599.99</v>
      </c>
      <c r="O1445" s="2" t="s">
        <v>240</v>
      </c>
      <c r="P1445" s="2" t="s">
        <v>922</v>
      </c>
      <c r="Q1445" s="2" t="s">
        <v>234</v>
      </c>
      <c r="R1445" s="2" t="s">
        <v>228</v>
      </c>
      <c r="S1445" s="2" t="s">
        <v>228</v>
      </c>
      <c r="T1445" s="2" t="s">
        <v>228</v>
      </c>
      <c r="U1445" s="2" t="s">
        <v>308</v>
      </c>
      <c r="V1445" s="2" t="s">
        <v>1737</v>
      </c>
      <c r="W1445" s="2" t="s">
        <v>743</v>
      </c>
      <c r="X1445" s="2" t="s">
        <v>228</v>
      </c>
      <c r="Y1445" s="2" t="s">
        <v>1871</v>
      </c>
      <c r="Z1445" s="4">
        <v>69</v>
      </c>
      <c r="AA1445" s="4">
        <f>=ROUNDDOWN(69,0)</f>
      </c>
      <c r="AB1445" s="5">
        <v>1</v>
      </c>
      <c r="AC1445" s="2" t="s">
        <v>228</v>
      </c>
      <c r="AD1445" s="4"/>
      <c r="AE1445" s="4"/>
      <c r="AF1445" s="6">
        <v>65</v>
      </c>
      <c r="AG1445" s="6"/>
      <c r="AH1445" s="7">
        <v>1</v>
      </c>
      <c r="AI1445" s="4"/>
      <c r="AJ1445" s="4">
        <f>=ROUNDDOWN({0},0)</f>
      </c>
      <c r="AK1445" s="5"/>
      <c r="AL1445" s="2" t="s">
        <v>228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228</v>
      </c>
      <c r="AW1445" s="8" t="s">
        <v>228</v>
      </c>
      <c r="AX1445" s="4" t="s">
        <v>228</v>
      </c>
      <c r="AY1445" s="8" t="s">
        <v>228</v>
      </c>
      <c r="AZ1445" s="7" t="s">
        <v>228</v>
      </c>
      <c r="BA1445" s="7" t="s">
        <v>228</v>
      </c>
      <c r="BB1445" s="7"/>
      <c r="BC1445" s="4" t="s">
        <v>228</v>
      </c>
      <c r="BD1445" s="8" t="s">
        <v>228</v>
      </c>
      <c r="BE1445" s="4" t="s">
        <v>228</v>
      </c>
      <c r="BF1445" s="8" t="s">
        <v>228</v>
      </c>
      <c r="BG1445" s="7" t="s">
        <v>228</v>
      </c>
      <c r="BH1445" s="7" t="s">
        <v>228</v>
      </c>
      <c r="BI1445" s="7"/>
      <c r="BJ1445" s="4"/>
      <c r="BK1445" s="8"/>
      <c r="BL1445" s="2" t="s">
        <v>228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7424</v>
      </c>
      <c r="BV1445" s="2" t="s">
        <v>228</v>
      </c>
      <c r="BW1445" s="2" t="s">
        <v>228</v>
      </c>
      <c r="BX1445" s="2" t="s">
        <v>337</v>
      </c>
      <c r="BY1445" s="2" t="s">
        <v>274</v>
      </c>
      <c r="BZ1445" s="2" t="s">
        <v>240</v>
      </c>
      <c r="CA1445" s="2" t="s">
        <v>6430</v>
      </c>
      <c r="CB1445" s="2" t="s">
        <v>3233</v>
      </c>
      <c r="CC1445" s="2" t="s">
        <v>241</v>
      </c>
      <c r="CD1445" s="2" t="s">
        <v>228</v>
      </c>
      <c r="CE1445" s="4">
        <v>69</v>
      </c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  <c r="FX1445" s="4"/>
      <c r="FY1445" s="4"/>
      <c r="FZ1445" s="4"/>
      <c r="GA1445" s="4"/>
      <c r="GB1445" s="4"/>
      <c r="GC1445" s="4"/>
      <c r="GD1445" s="4"/>
      <c r="GE1445" s="4"/>
      <c r="GF1445" s="4"/>
      <c r="GG1445" s="4"/>
      <c r="GH1445" s="4"/>
      <c r="GI1445" s="4"/>
      <c r="GJ1445" s="4"/>
      <c r="GK1445" s="4"/>
      <c r="GL1445" s="4"/>
      <c r="GM1445" s="4"/>
      <c r="GN1445" s="4"/>
      <c r="GO1445" s="4"/>
      <c r="GP1445" s="4"/>
      <c r="GQ1445" s="4"/>
      <c r="GR1445" s="4"/>
      <c r="GS1445" s="4"/>
      <c r="GT1445" s="4"/>
      <c r="GU1445" s="4"/>
      <c r="GV1445" s="4"/>
      <c r="GW1445" s="4"/>
      <c r="GX1445" s="4"/>
      <c r="GY1445" s="4"/>
      <c r="GZ1445" s="4"/>
      <c r="HA1445" s="4"/>
      <c r="HB1445" s="4"/>
      <c r="HC1445" s="4"/>
      <c r="HD1445" s="4"/>
      <c r="HE1445" s="4"/>
    </row>
    <row r="1446">
      <c r="A1446" s="2" t="s">
        <v>7425</v>
      </c>
      <c r="B1446" s="2" t="s">
        <v>1150</v>
      </c>
      <c r="C1446" s="2" t="s">
        <v>300</v>
      </c>
      <c r="D1446" s="2" t="s">
        <v>1112</v>
      </c>
      <c r="E1446" s="2" t="s">
        <v>1165</v>
      </c>
      <c r="F1446" s="2" t="s">
        <v>7426</v>
      </c>
      <c r="G1446" s="2" t="s">
        <v>7427</v>
      </c>
      <c r="H1446" s="2" t="s">
        <v>7428</v>
      </c>
      <c r="I1446" s="2" t="s">
        <v>2157</v>
      </c>
      <c r="J1446" s="2" t="s">
        <v>1189</v>
      </c>
      <c r="K1446" s="2" t="s">
        <v>7429</v>
      </c>
      <c r="L1446" s="3">
        <v>41.14</v>
      </c>
      <c r="M1446" s="3">
        <v>43.2</v>
      </c>
      <c r="N1446" s="3">
        <v>89.99</v>
      </c>
      <c r="O1446" s="2" t="s">
        <v>240</v>
      </c>
      <c r="P1446" s="2" t="s">
        <v>233</v>
      </c>
      <c r="Q1446" s="2" t="s">
        <v>234</v>
      </c>
      <c r="R1446" s="2" t="s">
        <v>228</v>
      </c>
      <c r="S1446" s="2" t="s">
        <v>7430</v>
      </c>
      <c r="T1446" s="2" t="s">
        <v>1414</v>
      </c>
      <c r="U1446" s="2" t="s">
        <v>1054</v>
      </c>
      <c r="V1446" s="2" t="s">
        <v>374</v>
      </c>
      <c r="W1446" s="2" t="s">
        <v>743</v>
      </c>
      <c r="X1446" s="2" t="s">
        <v>463</v>
      </c>
      <c r="Y1446" s="2" t="s">
        <v>7431</v>
      </c>
      <c r="Z1446" s="4">
        <v>424</v>
      </c>
      <c r="AA1446" s="4">
        <f>=ROUNDDOWN(201.904761904762,0)</f>
      </c>
      <c r="AB1446" s="5">
        <v>2.1</v>
      </c>
      <c r="AC1446" s="2" t="s">
        <v>228</v>
      </c>
      <c r="AD1446" s="4"/>
      <c r="AE1446" s="4"/>
      <c r="AF1446" s="6">
        <v>64</v>
      </c>
      <c r="AG1446" s="6"/>
      <c r="AH1446" s="7">
        <v>1</v>
      </c>
      <c r="AI1446" s="4"/>
      <c r="AJ1446" s="4">
        <f>=ROUNDDOWN({0},0)</f>
      </c>
      <c r="AK1446" s="5"/>
      <c r="AL1446" s="2" t="s">
        <v>228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/>
      <c r="AW1446" s="8"/>
      <c r="AX1446" s="4"/>
      <c r="AY1446" s="8"/>
      <c r="AZ1446" s="7"/>
      <c r="BA1446" s="7"/>
      <c r="BB1446" s="7"/>
      <c r="BC1446" s="4"/>
      <c r="BD1446" s="8"/>
      <c r="BE1446" s="4"/>
      <c r="BF1446" s="8"/>
      <c r="BG1446" s="7"/>
      <c r="BH1446" s="7"/>
      <c r="BI1446" s="7"/>
      <c r="BJ1446" s="4">
        <v>7</v>
      </c>
      <c r="BK1446" s="8">
        <v>321.39</v>
      </c>
      <c r="BL1446" s="2" t="s">
        <v>2507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7432</v>
      </c>
      <c r="BV1446" s="2" t="s">
        <v>228</v>
      </c>
      <c r="BW1446" s="2" t="s">
        <v>228</v>
      </c>
      <c r="BX1446" s="2" t="s">
        <v>273</v>
      </c>
      <c r="BY1446" s="2" t="s">
        <v>274</v>
      </c>
      <c r="BZ1446" s="2" t="s">
        <v>240</v>
      </c>
      <c r="CA1446" s="2" t="s">
        <v>2162</v>
      </c>
      <c r="CB1446" s="2" t="s">
        <v>228</v>
      </c>
      <c r="CC1446" s="2" t="s">
        <v>241</v>
      </c>
      <c r="CD1446" s="2" t="s">
        <v>228</v>
      </c>
      <c r="CE1446" s="4">
        <v>424</v>
      </c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/>
      <c r="FZ1446" s="4"/>
      <c r="GA1446" s="4"/>
      <c r="GB1446" s="4"/>
      <c r="GC1446" s="4"/>
      <c r="GD1446" s="4"/>
      <c r="GE1446" s="4"/>
      <c r="GF1446" s="4"/>
      <c r="GG1446" s="4"/>
      <c r="GH1446" s="4"/>
      <c r="GI1446" s="4"/>
      <c r="GJ1446" s="4"/>
      <c r="GK1446" s="4"/>
      <c r="GL1446" s="4"/>
      <c r="GM1446" s="4"/>
      <c r="GN1446" s="4"/>
      <c r="GO1446" s="4"/>
      <c r="GP1446" s="4"/>
      <c r="GQ1446" s="4"/>
      <c r="GR1446" s="4"/>
      <c r="GS1446" s="4"/>
      <c r="GT1446" s="4"/>
      <c r="GU1446" s="4"/>
      <c r="GV1446" s="4"/>
      <c r="GW1446" s="4"/>
      <c r="GX1446" s="4"/>
      <c r="GY1446" s="4"/>
      <c r="GZ1446" s="4"/>
      <c r="HA1446" s="4"/>
      <c r="HB1446" s="4"/>
      <c r="HC1446" s="4"/>
      <c r="HD1446" s="4"/>
      <c r="HE1446" s="4"/>
    </row>
    <row r="1447">
      <c r="A1447" s="2" t="s">
        <v>7433</v>
      </c>
      <c r="B1447" s="2" t="s">
        <v>958</v>
      </c>
      <c r="C1447" s="2" t="s">
        <v>300</v>
      </c>
      <c r="D1447" s="2" t="s">
        <v>959</v>
      </c>
      <c r="E1447" s="2" t="s">
        <v>960</v>
      </c>
      <c r="F1447" s="2" t="s">
        <v>6684</v>
      </c>
      <c r="G1447" s="2" t="s">
        <v>7434</v>
      </c>
      <c r="H1447" s="2" t="s">
        <v>7435</v>
      </c>
      <c r="I1447" s="2" t="s">
        <v>7436</v>
      </c>
      <c r="J1447" s="2" t="s">
        <v>840</v>
      </c>
      <c r="K1447" s="2" t="s">
        <v>1105</v>
      </c>
      <c r="L1447" s="3">
        <v>207.9</v>
      </c>
      <c r="M1447" s="3">
        <v>218.3</v>
      </c>
      <c r="N1447" s="3">
        <v>439</v>
      </c>
      <c r="O1447" s="2" t="s">
        <v>240</v>
      </c>
      <c r="P1447" s="2" t="s">
        <v>1012</v>
      </c>
      <c r="Q1447" s="2" t="s">
        <v>234</v>
      </c>
      <c r="R1447" s="2" t="s">
        <v>228</v>
      </c>
      <c r="S1447" s="2" t="s">
        <v>7437</v>
      </c>
      <c r="T1447" s="2" t="s">
        <v>228</v>
      </c>
      <c r="U1447" s="2" t="s">
        <v>416</v>
      </c>
      <c r="V1447" s="2" t="s">
        <v>236</v>
      </c>
      <c r="W1447" s="2" t="s">
        <v>1761</v>
      </c>
      <c r="X1447" s="2" t="s">
        <v>228</v>
      </c>
      <c r="Y1447" s="2" t="s">
        <v>7438</v>
      </c>
      <c r="Z1447" s="4">
        <v>99</v>
      </c>
      <c r="AA1447" s="4">
        <f>=ROUNDDOWN(24.75,0)</f>
      </c>
      <c r="AB1447" s="5">
        <v>4</v>
      </c>
      <c r="AC1447" s="2" t="s">
        <v>1370</v>
      </c>
      <c r="AD1447" s="4">
        <v>126</v>
      </c>
      <c r="AE1447" s="4">
        <v>126</v>
      </c>
      <c r="AF1447" s="6">
        <v>66</v>
      </c>
      <c r="AG1447" s="6">
        <v>49</v>
      </c>
      <c r="AH1447" s="7">
        <v>1</v>
      </c>
      <c r="AI1447" s="4"/>
      <c r="AJ1447" s="4">
        <f>=ROUNDDOWN({0},0)</f>
      </c>
      <c r="AK1447" s="5"/>
      <c r="AL1447" s="2" t="s">
        <v>228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/>
      <c r="AW1447" s="8"/>
      <c r="AX1447" s="4"/>
      <c r="AY1447" s="8"/>
      <c r="AZ1447" s="7"/>
      <c r="BA1447" s="7"/>
      <c r="BB1447" s="7"/>
      <c r="BC1447" s="4"/>
      <c r="BD1447" s="8"/>
      <c r="BE1447" s="4"/>
      <c r="BF1447" s="8"/>
      <c r="BG1447" s="7"/>
      <c r="BH1447" s="7"/>
      <c r="BI1447" s="7"/>
      <c r="BJ1447" s="4">
        <v>11</v>
      </c>
      <c r="BK1447" s="8">
        <v>2157.59</v>
      </c>
      <c r="BL1447" s="2" t="s">
        <v>7439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7440</v>
      </c>
      <c r="BV1447" s="2" t="s">
        <v>228</v>
      </c>
      <c r="BW1447" s="2" t="s">
        <v>228</v>
      </c>
      <c r="BX1447" s="2" t="s">
        <v>273</v>
      </c>
      <c r="BY1447" s="2" t="s">
        <v>274</v>
      </c>
      <c r="BZ1447" s="2" t="s">
        <v>240</v>
      </c>
      <c r="CA1447" s="2" t="s">
        <v>7438</v>
      </c>
      <c r="CB1447" s="2" t="s">
        <v>7441</v>
      </c>
      <c r="CC1447" s="2" t="s">
        <v>241</v>
      </c>
      <c r="CD1447" s="2" t="s">
        <v>228</v>
      </c>
      <c r="CE1447" s="4"/>
      <c r="CF1447" s="4">
        <v>98</v>
      </c>
      <c r="CG1447" s="4"/>
      <c r="CH1447" s="4">
        <v>1</v>
      </c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>
        <v>126</v>
      </c>
      <c r="FQ1447" s="4"/>
      <c r="FR1447" s="4"/>
      <c r="FS1447" s="4"/>
      <c r="FT1447" s="4"/>
      <c r="FU1447" s="4"/>
      <c r="FV1447" s="4"/>
      <c r="FW1447" s="4"/>
      <c r="FX1447" s="4"/>
      <c r="FY1447" s="4"/>
      <c r="FZ1447" s="4"/>
      <c r="GA1447" s="4"/>
      <c r="GB1447" s="4"/>
      <c r="GC1447" s="4"/>
      <c r="GD1447" s="4"/>
      <c r="GE1447" s="4"/>
      <c r="GF1447" s="4"/>
      <c r="GG1447" s="4"/>
      <c r="GH1447" s="4"/>
      <c r="GI1447" s="4"/>
      <c r="GJ1447" s="4"/>
      <c r="GK1447" s="4"/>
      <c r="GL1447" s="4"/>
      <c r="GM1447" s="4"/>
      <c r="GN1447" s="4"/>
      <c r="GO1447" s="4"/>
      <c r="GP1447" s="4"/>
      <c r="GQ1447" s="4"/>
      <c r="GR1447" s="4"/>
      <c r="GS1447" s="4"/>
      <c r="GT1447" s="4"/>
      <c r="GU1447" s="4"/>
      <c r="GV1447" s="4"/>
      <c r="GW1447" s="4"/>
      <c r="GX1447" s="4"/>
      <c r="GY1447" s="4"/>
      <c r="GZ1447" s="4"/>
      <c r="HA1447" s="4"/>
      <c r="HB1447" s="4"/>
      <c r="HC1447" s="4"/>
      <c r="HD1447" s="4"/>
      <c r="HE1447" s="4"/>
    </row>
    <row r="1448">
      <c r="A1448" s="2" t="s">
        <v>7442</v>
      </c>
      <c r="B1448" s="2" t="s">
        <v>848</v>
      </c>
      <c r="C1448" s="2" t="s">
        <v>849</v>
      </c>
      <c r="D1448" s="2" t="s">
        <v>1112</v>
      </c>
      <c r="E1448" s="2" t="s">
        <v>1113</v>
      </c>
      <c r="F1448" s="2" t="s">
        <v>7443</v>
      </c>
      <c r="G1448" s="2" t="s">
        <v>7444</v>
      </c>
      <c r="H1448" s="2" t="s">
        <v>7445</v>
      </c>
      <c r="I1448" s="2" t="s">
        <v>7446</v>
      </c>
      <c r="J1448" s="2" t="s">
        <v>856</v>
      </c>
      <c r="K1448" s="2" t="s">
        <v>305</v>
      </c>
      <c r="L1448" s="3">
        <v>33.33</v>
      </c>
      <c r="M1448" s="3">
        <v>35</v>
      </c>
      <c r="N1448" s="3">
        <v>69.99</v>
      </c>
      <c r="O1448" s="2" t="s">
        <v>240</v>
      </c>
      <c r="P1448" s="2" t="s">
        <v>266</v>
      </c>
      <c r="Q1448" s="2" t="s">
        <v>234</v>
      </c>
      <c r="R1448" s="2" t="s">
        <v>228</v>
      </c>
      <c r="S1448" s="2" t="s">
        <v>7447</v>
      </c>
      <c r="T1448" s="2" t="s">
        <v>1414</v>
      </c>
      <c r="U1448" s="2" t="s">
        <v>520</v>
      </c>
      <c r="V1448" s="2" t="s">
        <v>236</v>
      </c>
      <c r="W1448" s="2" t="s">
        <v>417</v>
      </c>
      <c r="X1448" s="2" t="s">
        <v>269</v>
      </c>
      <c r="Y1448" s="2" t="s">
        <v>2159</v>
      </c>
      <c r="Z1448" s="4">
        <v>269</v>
      </c>
      <c r="AA1448" s="4">
        <f>=ROUNDDOWN(53.8,0)</f>
      </c>
      <c r="AB1448" s="5">
        <v>5</v>
      </c>
      <c r="AC1448" s="2" t="s">
        <v>1352</v>
      </c>
      <c r="AD1448" s="4">
        <v>100</v>
      </c>
      <c r="AE1448" s="4">
        <v>100</v>
      </c>
      <c r="AF1448" s="6">
        <v>66</v>
      </c>
      <c r="AG1448" s="6"/>
      <c r="AH1448" s="7">
        <v>1</v>
      </c>
      <c r="AI1448" s="4"/>
      <c r="AJ1448" s="4">
        <f>=ROUNDDOWN({0},0)</f>
      </c>
      <c r="AK1448" s="5"/>
      <c r="AL1448" s="2" t="s">
        <v>228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 t="s">
        <v>228</v>
      </c>
      <c r="AW1448" s="8" t="s">
        <v>228</v>
      </c>
      <c r="AX1448" s="4" t="s">
        <v>228</v>
      </c>
      <c r="AY1448" s="8" t="s">
        <v>228</v>
      </c>
      <c r="AZ1448" s="7" t="s">
        <v>228</v>
      </c>
      <c r="BA1448" s="7" t="s">
        <v>228</v>
      </c>
      <c r="BB1448" s="7" t="s">
        <v>228</v>
      </c>
      <c r="BC1448" s="4" t="s">
        <v>228</v>
      </c>
      <c r="BD1448" s="8" t="s">
        <v>228</v>
      </c>
      <c r="BE1448" s="4" t="s">
        <v>228</v>
      </c>
      <c r="BF1448" s="8" t="s">
        <v>228</v>
      </c>
      <c r="BG1448" s="7" t="s">
        <v>228</v>
      </c>
      <c r="BH1448" s="7" t="s">
        <v>228</v>
      </c>
      <c r="BI1448" s="7"/>
      <c r="BJ1448" s="4">
        <v>8</v>
      </c>
      <c r="BK1448" s="8">
        <v>300.48</v>
      </c>
      <c r="BL1448" s="2" t="s">
        <v>7448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7449</v>
      </c>
      <c r="BV1448" s="2" t="s">
        <v>228</v>
      </c>
      <c r="BW1448" s="2" t="s">
        <v>228</v>
      </c>
      <c r="BX1448" s="2" t="s">
        <v>273</v>
      </c>
      <c r="BY1448" s="2" t="s">
        <v>274</v>
      </c>
      <c r="BZ1448" s="2" t="s">
        <v>240</v>
      </c>
      <c r="CA1448" s="2" t="s">
        <v>3438</v>
      </c>
      <c r="CB1448" s="2" t="s">
        <v>3591</v>
      </c>
      <c r="CC1448" s="2" t="s">
        <v>241</v>
      </c>
      <c r="CD1448" s="2" t="s">
        <v>228</v>
      </c>
      <c r="CE1448" s="4">
        <v>269</v>
      </c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>
        <v>100</v>
      </c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/>
      <c r="GE1448" s="4"/>
      <c r="GF1448" s="4"/>
      <c r="GG1448" s="4"/>
      <c r="GH1448" s="4"/>
      <c r="GI1448" s="4"/>
      <c r="GJ1448" s="4"/>
      <c r="GK1448" s="4"/>
      <c r="GL1448" s="4"/>
      <c r="GM1448" s="4"/>
      <c r="GN1448" s="4"/>
      <c r="GO1448" s="4"/>
      <c r="GP1448" s="4"/>
      <c r="GQ1448" s="4"/>
      <c r="GR1448" s="4"/>
      <c r="GS1448" s="4"/>
      <c r="GT1448" s="4"/>
      <c r="GU1448" s="4"/>
      <c r="GV1448" s="4"/>
      <c r="GW1448" s="4"/>
      <c r="GX1448" s="4"/>
      <c r="GY1448" s="4"/>
      <c r="GZ1448" s="4"/>
      <c r="HA1448" s="4"/>
      <c r="HB1448" s="4"/>
      <c r="HC1448" s="4"/>
      <c r="HD1448" s="4"/>
      <c r="HE1448" s="4"/>
    </row>
    <row r="1449">
      <c r="A1449" s="2" t="s">
        <v>7450</v>
      </c>
      <c r="B1449" s="2" t="s">
        <v>848</v>
      </c>
      <c r="C1449" s="2" t="s">
        <v>849</v>
      </c>
      <c r="D1449" s="2" t="s">
        <v>850</v>
      </c>
      <c r="E1449" s="2" t="s">
        <v>1038</v>
      </c>
      <c r="F1449" s="2" t="s">
        <v>7443</v>
      </c>
      <c r="G1449" s="2" t="s">
        <v>7444</v>
      </c>
      <c r="H1449" s="2" t="s">
        <v>7445</v>
      </c>
      <c r="I1449" s="2" t="s">
        <v>1753</v>
      </c>
      <c r="J1449" s="2" t="s">
        <v>856</v>
      </c>
      <c r="K1449" s="2" t="s">
        <v>305</v>
      </c>
      <c r="L1449" s="3">
        <v>26.19</v>
      </c>
      <c r="M1449" s="3">
        <v>27.5</v>
      </c>
      <c r="N1449" s="3">
        <v>54.99</v>
      </c>
      <c r="O1449" s="2" t="s">
        <v>240</v>
      </c>
      <c r="P1449" s="2" t="s">
        <v>233</v>
      </c>
      <c r="Q1449" s="2" t="s">
        <v>234</v>
      </c>
      <c r="R1449" s="2" t="s">
        <v>228</v>
      </c>
      <c r="S1449" s="2" t="s">
        <v>7447</v>
      </c>
      <c r="T1449" s="2" t="s">
        <v>1414</v>
      </c>
      <c r="U1449" s="2" t="s">
        <v>520</v>
      </c>
      <c r="V1449" s="2" t="s">
        <v>236</v>
      </c>
      <c r="W1449" s="2" t="s">
        <v>417</v>
      </c>
      <c r="X1449" s="2" t="s">
        <v>269</v>
      </c>
      <c r="Y1449" s="2" t="s">
        <v>2159</v>
      </c>
      <c r="Z1449" s="4">
        <v>53</v>
      </c>
      <c r="AA1449" s="4">
        <f>=ROUNDDOWN(26.5,0)</f>
      </c>
      <c r="AB1449" s="5">
        <v>2</v>
      </c>
      <c r="AC1449" s="2" t="s">
        <v>1352</v>
      </c>
      <c r="AD1449" s="4">
        <v>60</v>
      </c>
      <c r="AE1449" s="4">
        <v>60</v>
      </c>
      <c r="AF1449" s="6">
        <v>66</v>
      </c>
      <c r="AG1449" s="6"/>
      <c r="AH1449" s="7">
        <v>1</v>
      </c>
      <c r="AI1449" s="4"/>
      <c r="AJ1449" s="4">
        <f>=ROUNDDOWN({0},0)</f>
      </c>
      <c r="AK1449" s="5"/>
      <c r="AL1449" s="2" t="s">
        <v>228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 t="s">
        <v>228</v>
      </c>
      <c r="AW1449" s="8" t="s">
        <v>228</v>
      </c>
      <c r="AX1449" s="4" t="s">
        <v>228</v>
      </c>
      <c r="AY1449" s="8" t="s">
        <v>228</v>
      </c>
      <c r="AZ1449" s="7" t="s">
        <v>228</v>
      </c>
      <c r="BA1449" s="7" t="s">
        <v>228</v>
      </c>
      <c r="BB1449" s="7" t="s">
        <v>228</v>
      </c>
      <c r="BC1449" s="4" t="s">
        <v>228</v>
      </c>
      <c r="BD1449" s="8" t="s">
        <v>228</v>
      </c>
      <c r="BE1449" s="4" t="s">
        <v>228</v>
      </c>
      <c r="BF1449" s="8" t="s">
        <v>228</v>
      </c>
      <c r="BG1449" s="7" t="s">
        <v>228</v>
      </c>
      <c r="BH1449" s="7" t="s">
        <v>228</v>
      </c>
      <c r="BI1449" s="7"/>
      <c r="BJ1449" s="4">
        <v>8</v>
      </c>
      <c r="BK1449" s="8">
        <v>235.54</v>
      </c>
      <c r="BL1449" s="2" t="s">
        <v>353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7451</v>
      </c>
      <c r="BV1449" s="2" t="s">
        <v>228</v>
      </c>
      <c r="BW1449" s="2" t="s">
        <v>228</v>
      </c>
      <c r="BX1449" s="2" t="s">
        <v>273</v>
      </c>
      <c r="BY1449" s="2" t="s">
        <v>274</v>
      </c>
      <c r="BZ1449" s="2" t="s">
        <v>240</v>
      </c>
      <c r="CA1449" s="2" t="s">
        <v>2162</v>
      </c>
      <c r="CB1449" s="2" t="s">
        <v>3591</v>
      </c>
      <c r="CC1449" s="2" t="s">
        <v>241</v>
      </c>
      <c r="CD1449" s="2" t="s">
        <v>228</v>
      </c>
      <c r="CE1449" s="4">
        <v>53</v>
      </c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>
        <v>60</v>
      </c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/>
      <c r="GE1449" s="4"/>
      <c r="GF1449" s="4"/>
      <c r="GG1449" s="4"/>
      <c r="GH1449" s="4"/>
      <c r="GI1449" s="4"/>
      <c r="GJ1449" s="4"/>
      <c r="GK1449" s="4"/>
      <c r="GL1449" s="4"/>
      <c r="GM1449" s="4"/>
      <c r="GN1449" s="4"/>
      <c r="GO1449" s="4"/>
      <c r="GP1449" s="4"/>
      <c r="GQ1449" s="4"/>
      <c r="GR1449" s="4"/>
      <c r="GS1449" s="4"/>
      <c r="GT1449" s="4"/>
      <c r="GU1449" s="4"/>
      <c r="GV1449" s="4"/>
      <c r="GW1449" s="4"/>
      <c r="GX1449" s="4"/>
      <c r="GY1449" s="4"/>
      <c r="GZ1449" s="4"/>
      <c r="HA1449" s="4"/>
      <c r="HB1449" s="4"/>
      <c r="HC1449" s="4"/>
      <c r="HD1449" s="4"/>
      <c r="HE1449" s="4"/>
    </row>
    <row r="1450">
      <c r="A1450" s="2" t="s">
        <v>7452</v>
      </c>
      <c r="B1450" s="2" t="s">
        <v>848</v>
      </c>
      <c r="C1450" s="2" t="s">
        <v>849</v>
      </c>
      <c r="D1450" s="2" t="s">
        <v>850</v>
      </c>
      <c r="E1450" s="2" t="s">
        <v>1038</v>
      </c>
      <c r="F1450" s="2" t="s">
        <v>7443</v>
      </c>
      <c r="G1450" s="2" t="s">
        <v>7444</v>
      </c>
      <c r="H1450" s="2" t="s">
        <v>7445</v>
      </c>
      <c r="I1450" s="2" t="s">
        <v>1753</v>
      </c>
      <c r="J1450" s="2" t="s">
        <v>1189</v>
      </c>
      <c r="K1450" s="2" t="s">
        <v>305</v>
      </c>
      <c r="L1450" s="3">
        <v>30.95</v>
      </c>
      <c r="M1450" s="3">
        <v>32.5</v>
      </c>
      <c r="N1450" s="3">
        <v>64.99</v>
      </c>
      <c r="O1450" s="2" t="s">
        <v>240</v>
      </c>
      <c r="P1450" s="2" t="s">
        <v>233</v>
      </c>
      <c r="Q1450" s="2" t="s">
        <v>234</v>
      </c>
      <c r="R1450" s="2" t="s">
        <v>228</v>
      </c>
      <c r="S1450" s="2" t="s">
        <v>7447</v>
      </c>
      <c r="T1450" s="2" t="s">
        <v>1414</v>
      </c>
      <c r="U1450" s="2" t="s">
        <v>500</v>
      </c>
      <c r="V1450" s="2" t="s">
        <v>236</v>
      </c>
      <c r="W1450" s="2" t="s">
        <v>417</v>
      </c>
      <c r="X1450" s="2" t="s">
        <v>269</v>
      </c>
      <c r="Y1450" s="2" t="s">
        <v>2159</v>
      </c>
      <c r="Z1450" s="4">
        <v>112</v>
      </c>
      <c r="AA1450" s="4">
        <f>=ROUNDDOWN(28,0)</f>
      </c>
      <c r="AB1450" s="5">
        <v>4</v>
      </c>
      <c r="AC1450" s="2" t="s">
        <v>1352</v>
      </c>
      <c r="AD1450" s="4">
        <v>80</v>
      </c>
      <c r="AE1450" s="4">
        <v>80</v>
      </c>
      <c r="AF1450" s="6">
        <v>66</v>
      </c>
      <c r="AG1450" s="6"/>
      <c r="AH1450" s="7">
        <v>1</v>
      </c>
      <c r="AI1450" s="4"/>
      <c r="AJ1450" s="4">
        <f>=ROUNDDOWN({0},0)</f>
      </c>
      <c r="AK1450" s="5"/>
      <c r="AL1450" s="2" t="s">
        <v>228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 t="s">
        <v>228</v>
      </c>
      <c r="AW1450" s="8" t="s">
        <v>228</v>
      </c>
      <c r="AX1450" s="4" t="s">
        <v>228</v>
      </c>
      <c r="AY1450" s="8" t="s">
        <v>228</v>
      </c>
      <c r="AZ1450" s="7" t="s">
        <v>228</v>
      </c>
      <c r="BA1450" s="7" t="s">
        <v>228</v>
      </c>
      <c r="BB1450" s="7"/>
      <c r="BC1450" s="4" t="s">
        <v>228</v>
      </c>
      <c r="BD1450" s="8" t="s">
        <v>228</v>
      </c>
      <c r="BE1450" s="4" t="s">
        <v>228</v>
      </c>
      <c r="BF1450" s="8" t="s">
        <v>228</v>
      </c>
      <c r="BG1450" s="7" t="s">
        <v>228</v>
      </c>
      <c r="BH1450" s="7" t="s">
        <v>228</v>
      </c>
      <c r="BI1450" s="7"/>
      <c r="BJ1450" s="4">
        <v>10</v>
      </c>
      <c r="BK1450" s="8">
        <v>348.89</v>
      </c>
      <c r="BL1450" s="2" t="s">
        <v>1448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7453</v>
      </c>
      <c r="BV1450" s="2" t="s">
        <v>228</v>
      </c>
      <c r="BW1450" s="2" t="s">
        <v>228</v>
      </c>
      <c r="BX1450" s="2" t="s">
        <v>273</v>
      </c>
      <c r="BY1450" s="2" t="s">
        <v>274</v>
      </c>
      <c r="BZ1450" s="2" t="s">
        <v>240</v>
      </c>
      <c r="CA1450" s="2" t="s">
        <v>2162</v>
      </c>
      <c r="CB1450" s="2" t="s">
        <v>1160</v>
      </c>
      <c r="CC1450" s="2" t="s">
        <v>241</v>
      </c>
      <c r="CD1450" s="2" t="s">
        <v>228</v>
      </c>
      <c r="CE1450" s="4">
        <v>112</v>
      </c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>
        <v>80</v>
      </c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/>
      <c r="GC1450" s="4"/>
      <c r="GD1450" s="4"/>
      <c r="GE1450" s="4"/>
      <c r="GF1450" s="4"/>
      <c r="GG1450" s="4"/>
      <c r="GH1450" s="4"/>
      <c r="GI1450" s="4"/>
      <c r="GJ1450" s="4"/>
      <c r="GK1450" s="4"/>
      <c r="GL1450" s="4"/>
      <c r="GM1450" s="4"/>
      <c r="GN1450" s="4"/>
      <c r="GO1450" s="4"/>
      <c r="GP1450" s="4"/>
      <c r="GQ1450" s="4"/>
      <c r="GR1450" s="4"/>
      <c r="GS1450" s="4"/>
      <c r="GT1450" s="4"/>
      <c r="GU1450" s="4"/>
      <c r="GV1450" s="4"/>
      <c r="GW1450" s="4"/>
      <c r="GX1450" s="4"/>
      <c r="GY1450" s="4"/>
      <c r="GZ1450" s="4"/>
      <c r="HA1450" s="4"/>
      <c r="HB1450" s="4"/>
      <c r="HC1450" s="4"/>
      <c r="HD1450" s="4"/>
      <c r="HE1450" s="4"/>
    </row>
    <row r="1451">
      <c r="A1451" s="2" t="s">
        <v>7454</v>
      </c>
      <c r="B1451" s="2" t="s">
        <v>848</v>
      </c>
      <c r="C1451" s="2" t="s">
        <v>849</v>
      </c>
      <c r="D1451" s="2" t="s">
        <v>1112</v>
      </c>
      <c r="E1451" s="2" t="s">
        <v>1113</v>
      </c>
      <c r="F1451" s="2" t="s">
        <v>7443</v>
      </c>
      <c r="G1451" s="2" t="s">
        <v>7444</v>
      </c>
      <c r="H1451" s="2" t="s">
        <v>7445</v>
      </c>
      <c r="I1451" s="2" t="s">
        <v>7446</v>
      </c>
      <c r="J1451" s="2" t="s">
        <v>1043</v>
      </c>
      <c r="K1451" s="2" t="s">
        <v>305</v>
      </c>
      <c r="L1451" s="3">
        <v>42.85</v>
      </c>
      <c r="M1451" s="3">
        <v>44.99</v>
      </c>
      <c r="N1451" s="3">
        <v>89.99</v>
      </c>
      <c r="O1451" s="2" t="s">
        <v>240</v>
      </c>
      <c r="P1451" s="2" t="s">
        <v>266</v>
      </c>
      <c r="Q1451" s="2" t="s">
        <v>234</v>
      </c>
      <c r="R1451" s="2" t="s">
        <v>228</v>
      </c>
      <c r="S1451" s="2" t="s">
        <v>7447</v>
      </c>
      <c r="T1451" s="2" t="s">
        <v>1414</v>
      </c>
      <c r="U1451" s="2" t="s">
        <v>500</v>
      </c>
      <c r="V1451" s="2" t="s">
        <v>236</v>
      </c>
      <c r="W1451" s="2" t="s">
        <v>417</v>
      </c>
      <c r="X1451" s="2" t="s">
        <v>269</v>
      </c>
      <c r="Y1451" s="2" t="s">
        <v>2159</v>
      </c>
      <c r="Z1451" s="4">
        <v>126</v>
      </c>
      <c r="AA1451" s="4">
        <f>=ROUNDDOWN(18,0)</f>
      </c>
      <c r="AB1451" s="5">
        <v>7</v>
      </c>
      <c r="AC1451" s="2" t="s">
        <v>1352</v>
      </c>
      <c r="AD1451" s="4">
        <v>225</v>
      </c>
      <c r="AE1451" s="4">
        <v>225</v>
      </c>
      <c r="AF1451" s="6">
        <v>66</v>
      </c>
      <c r="AG1451" s="6"/>
      <c r="AH1451" s="7">
        <v>1</v>
      </c>
      <c r="AI1451" s="4"/>
      <c r="AJ1451" s="4">
        <f>=ROUNDDOWN({0},0)</f>
      </c>
      <c r="AK1451" s="5"/>
      <c r="AL1451" s="2" t="s">
        <v>228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228</v>
      </c>
      <c r="AW1451" s="8" t="s">
        <v>228</v>
      </c>
      <c r="AX1451" s="4" t="s">
        <v>228</v>
      </c>
      <c r="AY1451" s="8" t="s">
        <v>228</v>
      </c>
      <c r="AZ1451" s="7" t="s">
        <v>228</v>
      </c>
      <c r="BA1451" s="7" t="s">
        <v>228</v>
      </c>
      <c r="BB1451" s="7"/>
      <c r="BC1451" s="4" t="s">
        <v>228</v>
      </c>
      <c r="BD1451" s="8" t="s">
        <v>228</v>
      </c>
      <c r="BE1451" s="4" t="s">
        <v>228</v>
      </c>
      <c r="BF1451" s="8" t="s">
        <v>228</v>
      </c>
      <c r="BG1451" s="7" t="s">
        <v>228</v>
      </c>
      <c r="BH1451" s="7" t="s">
        <v>228</v>
      </c>
      <c r="BI1451" s="7"/>
      <c r="BJ1451" s="4">
        <v>23</v>
      </c>
      <c r="BK1451" s="8">
        <v>1091.5</v>
      </c>
      <c r="BL1451" s="2" t="s">
        <v>7455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7456</v>
      </c>
      <c r="BV1451" s="2" t="s">
        <v>228</v>
      </c>
      <c r="BW1451" s="2" t="s">
        <v>228</v>
      </c>
      <c r="BX1451" s="2" t="s">
        <v>273</v>
      </c>
      <c r="BY1451" s="2" t="s">
        <v>274</v>
      </c>
      <c r="BZ1451" s="2" t="s">
        <v>240</v>
      </c>
      <c r="CA1451" s="2" t="s">
        <v>3438</v>
      </c>
      <c r="CB1451" s="2" t="s">
        <v>7457</v>
      </c>
      <c r="CC1451" s="2" t="s">
        <v>241</v>
      </c>
      <c r="CD1451" s="2" t="s">
        <v>228</v>
      </c>
      <c r="CE1451" s="4">
        <v>126</v>
      </c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>
        <v>225</v>
      </c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/>
      <c r="GC1451" s="4"/>
      <c r="GD1451" s="4"/>
      <c r="GE1451" s="4"/>
      <c r="GF1451" s="4"/>
      <c r="GG1451" s="4"/>
      <c r="GH1451" s="4"/>
      <c r="GI1451" s="4"/>
      <c r="GJ1451" s="4"/>
      <c r="GK1451" s="4"/>
      <c r="GL1451" s="4"/>
      <c r="GM1451" s="4"/>
      <c r="GN1451" s="4"/>
      <c r="GO1451" s="4"/>
      <c r="GP1451" s="4"/>
      <c r="GQ1451" s="4"/>
      <c r="GR1451" s="4"/>
      <c r="GS1451" s="4"/>
      <c r="GT1451" s="4"/>
      <c r="GU1451" s="4"/>
      <c r="GV1451" s="4"/>
      <c r="GW1451" s="4"/>
      <c r="GX1451" s="4"/>
      <c r="GY1451" s="4"/>
      <c r="GZ1451" s="4"/>
      <c r="HA1451" s="4"/>
      <c r="HB1451" s="4"/>
      <c r="HC1451" s="4"/>
      <c r="HD1451" s="4"/>
      <c r="HE1451" s="4"/>
    </row>
    <row r="1452">
      <c r="A1452" s="2" t="s">
        <v>7458</v>
      </c>
      <c r="B1452" s="2" t="s">
        <v>848</v>
      </c>
      <c r="C1452" s="2" t="s">
        <v>849</v>
      </c>
      <c r="D1452" s="2" t="s">
        <v>1112</v>
      </c>
      <c r="E1452" s="2" t="s">
        <v>1113</v>
      </c>
      <c r="F1452" s="2" t="s">
        <v>7443</v>
      </c>
      <c r="G1452" s="2" t="s">
        <v>7444</v>
      </c>
      <c r="H1452" s="2" t="s">
        <v>7445</v>
      </c>
      <c r="I1452" s="2" t="s">
        <v>7446</v>
      </c>
      <c r="J1452" s="2" t="s">
        <v>1043</v>
      </c>
      <c r="K1452" s="2" t="s">
        <v>265</v>
      </c>
      <c r="L1452" s="3">
        <v>42.85</v>
      </c>
      <c r="M1452" s="3">
        <v>44.99</v>
      </c>
      <c r="N1452" s="3">
        <v>89.99</v>
      </c>
      <c r="O1452" s="2" t="s">
        <v>240</v>
      </c>
      <c r="P1452" s="2" t="s">
        <v>266</v>
      </c>
      <c r="Q1452" s="2" t="s">
        <v>234</v>
      </c>
      <c r="R1452" s="2" t="s">
        <v>228</v>
      </c>
      <c r="S1452" s="2" t="s">
        <v>7459</v>
      </c>
      <c r="T1452" s="2" t="s">
        <v>1414</v>
      </c>
      <c r="U1452" s="2" t="s">
        <v>500</v>
      </c>
      <c r="V1452" s="2" t="s">
        <v>236</v>
      </c>
      <c r="W1452" s="2" t="s">
        <v>417</v>
      </c>
      <c r="X1452" s="2" t="s">
        <v>269</v>
      </c>
      <c r="Y1452" s="2" t="s">
        <v>2159</v>
      </c>
      <c r="Z1452" s="4">
        <v>150</v>
      </c>
      <c r="AA1452" s="4">
        <f>=ROUNDDOWN(16.6666666666667,0)</f>
      </c>
      <c r="AB1452" s="5">
        <v>9</v>
      </c>
      <c r="AC1452" s="2" t="s">
        <v>1352</v>
      </c>
      <c r="AD1452" s="4">
        <v>280</v>
      </c>
      <c r="AE1452" s="4">
        <v>280</v>
      </c>
      <c r="AF1452" s="6">
        <v>66</v>
      </c>
      <c r="AG1452" s="6"/>
      <c r="AH1452" s="7">
        <v>1</v>
      </c>
      <c r="AI1452" s="4"/>
      <c r="AJ1452" s="4">
        <f>=ROUNDDOWN({0},0)</f>
      </c>
      <c r="AK1452" s="5"/>
      <c r="AL1452" s="2" t="s">
        <v>228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/>
      <c r="AW1452" s="8"/>
      <c r="AX1452" s="4"/>
      <c r="AY1452" s="8"/>
      <c r="AZ1452" s="7"/>
      <c r="BA1452" s="7"/>
      <c r="BB1452" s="7"/>
      <c r="BC1452" s="4" t="s">
        <v>228</v>
      </c>
      <c r="BD1452" s="8" t="s">
        <v>228</v>
      </c>
      <c r="BE1452" s="4" t="s">
        <v>228</v>
      </c>
      <c r="BF1452" s="8" t="s">
        <v>228</v>
      </c>
      <c r="BG1452" s="7" t="s">
        <v>228</v>
      </c>
      <c r="BH1452" s="7" t="s">
        <v>228</v>
      </c>
      <c r="BI1452" s="7"/>
      <c r="BJ1452" s="4">
        <v>6</v>
      </c>
      <c r="BK1452" s="8">
        <v>290.91</v>
      </c>
      <c r="BL1452" s="2" t="s">
        <v>1092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7460</v>
      </c>
      <c r="BV1452" s="2" t="s">
        <v>228</v>
      </c>
      <c r="BW1452" s="2" t="s">
        <v>228</v>
      </c>
      <c r="BX1452" s="2" t="s">
        <v>273</v>
      </c>
      <c r="BY1452" s="2" t="s">
        <v>274</v>
      </c>
      <c r="BZ1452" s="2" t="s">
        <v>240</v>
      </c>
      <c r="CA1452" s="2" t="s">
        <v>3438</v>
      </c>
      <c r="CB1452" s="2" t="s">
        <v>7461</v>
      </c>
      <c r="CC1452" s="2" t="s">
        <v>241</v>
      </c>
      <c r="CD1452" s="2" t="s">
        <v>228</v>
      </c>
      <c r="CE1452" s="4">
        <v>150</v>
      </c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>
        <v>280</v>
      </c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/>
      <c r="GE1452" s="4"/>
      <c r="GF1452" s="4"/>
      <c r="GG1452" s="4"/>
      <c r="GH1452" s="4"/>
      <c r="GI1452" s="4"/>
      <c r="GJ1452" s="4"/>
      <c r="GK1452" s="4"/>
      <c r="GL1452" s="4"/>
      <c r="GM1452" s="4"/>
      <c r="GN1452" s="4"/>
      <c r="GO1452" s="4"/>
      <c r="GP1452" s="4"/>
      <c r="GQ1452" s="4"/>
      <c r="GR1452" s="4"/>
      <c r="GS1452" s="4"/>
      <c r="GT1452" s="4"/>
      <c r="GU1452" s="4"/>
      <c r="GV1452" s="4"/>
      <c r="GW1452" s="4"/>
      <c r="GX1452" s="4"/>
      <c r="GY1452" s="4"/>
      <c r="GZ1452" s="4"/>
      <c r="HA1452" s="4"/>
      <c r="HB1452" s="4"/>
      <c r="HC1452" s="4"/>
      <c r="HD1452" s="4"/>
      <c r="HE1452" s="4"/>
    </row>
    <row r="1453">
      <c r="A1453" s="2" t="s">
        <v>7462</v>
      </c>
      <c r="B1453" s="2" t="s">
        <v>848</v>
      </c>
      <c r="C1453" s="2" t="s">
        <v>849</v>
      </c>
      <c r="D1453" s="2" t="s">
        <v>1112</v>
      </c>
      <c r="E1453" s="2" t="s">
        <v>1113</v>
      </c>
      <c r="F1453" s="2" t="s">
        <v>7443</v>
      </c>
      <c r="G1453" s="2" t="s">
        <v>7444</v>
      </c>
      <c r="H1453" s="2" t="s">
        <v>7445</v>
      </c>
      <c r="I1453" s="2" t="s">
        <v>7446</v>
      </c>
      <c r="J1453" s="2" t="s">
        <v>856</v>
      </c>
      <c r="K1453" s="2" t="s">
        <v>249</v>
      </c>
      <c r="L1453" s="3">
        <v>33.33</v>
      </c>
      <c r="M1453" s="3">
        <v>35</v>
      </c>
      <c r="N1453" s="3">
        <v>69.99</v>
      </c>
      <c r="O1453" s="2" t="s">
        <v>240</v>
      </c>
      <c r="P1453" s="2" t="s">
        <v>266</v>
      </c>
      <c r="Q1453" s="2" t="s">
        <v>234</v>
      </c>
      <c r="R1453" s="2" t="s">
        <v>228</v>
      </c>
      <c r="S1453" s="2" t="s">
        <v>7463</v>
      </c>
      <c r="T1453" s="2" t="s">
        <v>1414</v>
      </c>
      <c r="U1453" s="2" t="s">
        <v>520</v>
      </c>
      <c r="V1453" s="2" t="s">
        <v>236</v>
      </c>
      <c r="W1453" s="2" t="s">
        <v>417</v>
      </c>
      <c r="X1453" s="2" t="s">
        <v>269</v>
      </c>
      <c r="Y1453" s="2" t="s">
        <v>379</v>
      </c>
      <c r="Z1453" s="4">
        <v>425</v>
      </c>
      <c r="AA1453" s="4">
        <f>=ROUNDDOWN(212.5,0)</f>
      </c>
      <c r="AB1453" s="5">
        <v>2</v>
      </c>
      <c r="AC1453" s="2" t="s">
        <v>228</v>
      </c>
      <c r="AD1453" s="4"/>
      <c r="AE1453" s="4"/>
      <c r="AF1453" s="6">
        <v>66</v>
      </c>
      <c r="AG1453" s="6"/>
      <c r="AH1453" s="7">
        <v>1</v>
      </c>
      <c r="AI1453" s="4"/>
      <c r="AJ1453" s="4">
        <f>=ROUNDDOWN({0},0)</f>
      </c>
      <c r="AK1453" s="5"/>
      <c r="AL1453" s="2" t="s">
        <v>228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228</v>
      </c>
      <c r="AW1453" s="8" t="s">
        <v>228</v>
      </c>
      <c r="AX1453" s="4" t="s">
        <v>228</v>
      </c>
      <c r="AY1453" s="8" t="s">
        <v>228</v>
      </c>
      <c r="AZ1453" s="7" t="s">
        <v>228</v>
      </c>
      <c r="BA1453" s="7" t="s">
        <v>228</v>
      </c>
      <c r="BB1453" s="7" t="s">
        <v>228</v>
      </c>
      <c r="BC1453" s="4" t="s">
        <v>228</v>
      </c>
      <c r="BD1453" s="8" t="s">
        <v>228</v>
      </c>
      <c r="BE1453" s="4" t="s">
        <v>228</v>
      </c>
      <c r="BF1453" s="8" t="s">
        <v>228</v>
      </c>
      <c r="BG1453" s="7" t="s">
        <v>228</v>
      </c>
      <c r="BH1453" s="7" t="s">
        <v>228</v>
      </c>
      <c r="BI1453" s="7"/>
      <c r="BJ1453" s="4">
        <v>9</v>
      </c>
      <c r="BK1453" s="8">
        <v>325.5</v>
      </c>
      <c r="BL1453" s="2" t="s">
        <v>404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7464</v>
      </c>
      <c r="BV1453" s="2" t="s">
        <v>228</v>
      </c>
      <c r="BW1453" s="2" t="s">
        <v>228</v>
      </c>
      <c r="BX1453" s="2" t="s">
        <v>273</v>
      </c>
      <c r="BY1453" s="2" t="s">
        <v>274</v>
      </c>
      <c r="BZ1453" s="2" t="s">
        <v>240</v>
      </c>
      <c r="CA1453" s="2" t="s">
        <v>400</v>
      </c>
      <c r="CB1453" s="2" t="s">
        <v>2509</v>
      </c>
      <c r="CC1453" s="2" t="s">
        <v>241</v>
      </c>
      <c r="CD1453" s="2" t="s">
        <v>228</v>
      </c>
      <c r="CE1453" s="4">
        <v>425</v>
      </c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/>
      <c r="GE1453" s="4"/>
      <c r="GF1453" s="4"/>
      <c r="GG1453" s="4"/>
      <c r="GH1453" s="4"/>
      <c r="GI1453" s="4"/>
      <c r="GJ1453" s="4"/>
      <c r="GK1453" s="4"/>
      <c r="GL1453" s="4"/>
      <c r="GM1453" s="4"/>
      <c r="GN1453" s="4"/>
      <c r="GO1453" s="4"/>
      <c r="GP1453" s="4"/>
      <c r="GQ1453" s="4"/>
      <c r="GR1453" s="4"/>
      <c r="GS1453" s="4"/>
      <c r="GT1453" s="4"/>
      <c r="GU1453" s="4"/>
      <c r="GV1453" s="4"/>
      <c r="GW1453" s="4"/>
      <c r="GX1453" s="4"/>
      <c r="GY1453" s="4"/>
      <c r="GZ1453" s="4"/>
      <c r="HA1453" s="4"/>
      <c r="HB1453" s="4"/>
      <c r="HC1453" s="4"/>
      <c r="HD1453" s="4"/>
      <c r="HE1453" s="4"/>
    </row>
    <row r="1454">
      <c r="A1454" s="2" t="s">
        <v>7465</v>
      </c>
      <c r="B1454" s="2" t="s">
        <v>848</v>
      </c>
      <c r="C1454" s="2" t="s">
        <v>849</v>
      </c>
      <c r="D1454" s="2" t="s">
        <v>850</v>
      </c>
      <c r="E1454" s="2" t="s">
        <v>1038</v>
      </c>
      <c r="F1454" s="2" t="s">
        <v>7443</v>
      </c>
      <c r="G1454" s="2" t="s">
        <v>7444</v>
      </c>
      <c r="H1454" s="2" t="s">
        <v>7445</v>
      </c>
      <c r="I1454" s="2" t="s">
        <v>1753</v>
      </c>
      <c r="J1454" s="2" t="s">
        <v>856</v>
      </c>
      <c r="K1454" s="2" t="s">
        <v>249</v>
      </c>
      <c r="L1454" s="3">
        <v>26.19</v>
      </c>
      <c r="M1454" s="3">
        <v>27.5</v>
      </c>
      <c r="N1454" s="3">
        <v>54.99</v>
      </c>
      <c r="O1454" s="2" t="s">
        <v>240</v>
      </c>
      <c r="P1454" s="2" t="s">
        <v>266</v>
      </c>
      <c r="Q1454" s="2" t="s">
        <v>234</v>
      </c>
      <c r="R1454" s="2" t="s">
        <v>228</v>
      </c>
      <c r="S1454" s="2" t="s">
        <v>7463</v>
      </c>
      <c r="T1454" s="2" t="s">
        <v>1414</v>
      </c>
      <c r="U1454" s="2" t="s">
        <v>520</v>
      </c>
      <c r="V1454" s="2" t="s">
        <v>236</v>
      </c>
      <c r="W1454" s="2" t="s">
        <v>417</v>
      </c>
      <c r="X1454" s="2" t="s">
        <v>269</v>
      </c>
      <c r="Y1454" s="2" t="s">
        <v>379</v>
      </c>
      <c r="Z1454" s="4">
        <v>186</v>
      </c>
      <c r="AA1454" s="4">
        <f>=ROUNDDOWN(186,0)</f>
      </c>
      <c r="AB1454" s="5">
        <v>1</v>
      </c>
      <c r="AC1454" s="2" t="s">
        <v>3355</v>
      </c>
      <c r="AD1454" s="4">
        <v>100</v>
      </c>
      <c r="AE1454" s="4">
        <v>100</v>
      </c>
      <c r="AF1454" s="6">
        <v>66</v>
      </c>
      <c r="AG1454" s="6"/>
      <c r="AH1454" s="7">
        <v>1</v>
      </c>
      <c r="AI1454" s="4"/>
      <c r="AJ1454" s="4">
        <f>=ROUNDDOWN({0},0)</f>
      </c>
      <c r="AK1454" s="5"/>
      <c r="AL1454" s="2" t="s">
        <v>228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228</v>
      </c>
      <c r="AW1454" s="8" t="s">
        <v>228</v>
      </c>
      <c r="AX1454" s="4" t="s">
        <v>228</v>
      </c>
      <c r="AY1454" s="8" t="s">
        <v>228</v>
      </c>
      <c r="AZ1454" s="7" t="s">
        <v>228</v>
      </c>
      <c r="BA1454" s="7" t="s">
        <v>228</v>
      </c>
      <c r="BB1454" s="7" t="s">
        <v>228</v>
      </c>
      <c r="BC1454" s="4" t="s">
        <v>228</v>
      </c>
      <c r="BD1454" s="8" t="s">
        <v>228</v>
      </c>
      <c r="BE1454" s="4" t="s">
        <v>228</v>
      </c>
      <c r="BF1454" s="8" t="s">
        <v>228</v>
      </c>
      <c r="BG1454" s="7" t="s">
        <v>228</v>
      </c>
      <c r="BH1454" s="7" t="s">
        <v>228</v>
      </c>
      <c r="BI1454" s="7"/>
      <c r="BJ1454" s="4">
        <v>6</v>
      </c>
      <c r="BK1454" s="8">
        <v>179.88</v>
      </c>
      <c r="BL1454" s="2" t="s">
        <v>2804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7466</v>
      </c>
      <c r="BV1454" s="2" t="s">
        <v>228</v>
      </c>
      <c r="BW1454" s="2" t="s">
        <v>228</v>
      </c>
      <c r="BX1454" s="2" t="s">
        <v>273</v>
      </c>
      <c r="BY1454" s="2" t="s">
        <v>274</v>
      </c>
      <c r="BZ1454" s="2" t="s">
        <v>240</v>
      </c>
      <c r="CA1454" s="2" t="s">
        <v>511</v>
      </c>
      <c r="CB1454" s="2" t="s">
        <v>7457</v>
      </c>
      <c r="CC1454" s="2" t="s">
        <v>241</v>
      </c>
      <c r="CD1454" s="2" t="s">
        <v>228</v>
      </c>
      <c r="CE1454" s="4">
        <v>186</v>
      </c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>
        <v>100</v>
      </c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/>
      <c r="GE1454" s="4"/>
      <c r="GF1454" s="4"/>
      <c r="GG1454" s="4"/>
      <c r="GH1454" s="4"/>
      <c r="GI1454" s="4"/>
      <c r="GJ1454" s="4"/>
      <c r="GK1454" s="4"/>
      <c r="GL1454" s="4"/>
      <c r="GM1454" s="4"/>
      <c r="GN1454" s="4"/>
      <c r="GO1454" s="4"/>
      <c r="GP1454" s="4"/>
      <c r="GQ1454" s="4"/>
      <c r="GR1454" s="4"/>
      <c r="GS1454" s="4"/>
      <c r="GT1454" s="4"/>
      <c r="GU1454" s="4"/>
      <c r="GV1454" s="4"/>
      <c r="GW1454" s="4"/>
      <c r="GX1454" s="4"/>
      <c r="GY1454" s="4"/>
      <c r="GZ1454" s="4"/>
      <c r="HA1454" s="4"/>
      <c r="HB1454" s="4"/>
      <c r="HC1454" s="4"/>
      <c r="HD1454" s="4"/>
      <c r="HE1454" s="4"/>
    </row>
    <row r="1455">
      <c r="A1455" s="2" t="s">
        <v>7467</v>
      </c>
      <c r="B1455" s="2" t="s">
        <v>848</v>
      </c>
      <c r="C1455" s="2" t="s">
        <v>849</v>
      </c>
      <c r="D1455" s="2" t="s">
        <v>1112</v>
      </c>
      <c r="E1455" s="2" t="s">
        <v>1113</v>
      </c>
      <c r="F1455" s="2" t="s">
        <v>7443</v>
      </c>
      <c r="G1455" s="2" t="s">
        <v>7444</v>
      </c>
      <c r="H1455" s="2" t="s">
        <v>7445</v>
      </c>
      <c r="I1455" s="2" t="s">
        <v>7446</v>
      </c>
      <c r="J1455" s="2" t="s">
        <v>1189</v>
      </c>
      <c r="K1455" s="2" t="s">
        <v>249</v>
      </c>
      <c r="L1455" s="3">
        <v>38.09</v>
      </c>
      <c r="M1455" s="3">
        <v>40</v>
      </c>
      <c r="N1455" s="3">
        <v>79.99</v>
      </c>
      <c r="O1455" s="2" t="s">
        <v>240</v>
      </c>
      <c r="P1455" s="2" t="s">
        <v>266</v>
      </c>
      <c r="Q1455" s="2" t="s">
        <v>234</v>
      </c>
      <c r="R1455" s="2" t="s">
        <v>228</v>
      </c>
      <c r="S1455" s="2" t="s">
        <v>7463</v>
      </c>
      <c r="T1455" s="2" t="s">
        <v>1414</v>
      </c>
      <c r="U1455" s="2" t="s">
        <v>500</v>
      </c>
      <c r="V1455" s="2" t="s">
        <v>236</v>
      </c>
      <c r="W1455" s="2" t="s">
        <v>417</v>
      </c>
      <c r="X1455" s="2" t="s">
        <v>269</v>
      </c>
      <c r="Y1455" s="2" t="s">
        <v>379</v>
      </c>
      <c r="Z1455" s="4">
        <v>762</v>
      </c>
      <c r="AA1455" s="4">
        <f>=ROUNDDOWN(152.4,0)</f>
      </c>
      <c r="AB1455" s="5">
        <v>5</v>
      </c>
      <c r="AC1455" s="2" t="s">
        <v>228</v>
      </c>
      <c r="AD1455" s="4"/>
      <c r="AE1455" s="4"/>
      <c r="AF1455" s="6">
        <v>66</v>
      </c>
      <c r="AG1455" s="6"/>
      <c r="AH1455" s="7">
        <v>1</v>
      </c>
      <c r="AI1455" s="4"/>
      <c r="AJ1455" s="4">
        <f>=ROUNDDOWN({0},0)</f>
      </c>
      <c r="AK1455" s="5"/>
      <c r="AL1455" s="2" t="s">
        <v>228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228</v>
      </c>
      <c r="AW1455" s="8" t="s">
        <v>228</v>
      </c>
      <c r="AX1455" s="4" t="s">
        <v>228</v>
      </c>
      <c r="AY1455" s="8" t="s">
        <v>228</v>
      </c>
      <c r="AZ1455" s="7" t="s">
        <v>228</v>
      </c>
      <c r="BA1455" s="7" t="s">
        <v>228</v>
      </c>
      <c r="BB1455" s="7"/>
      <c r="BC1455" s="4" t="s">
        <v>228</v>
      </c>
      <c r="BD1455" s="8" t="s">
        <v>228</v>
      </c>
      <c r="BE1455" s="4" t="s">
        <v>228</v>
      </c>
      <c r="BF1455" s="8" t="s">
        <v>228</v>
      </c>
      <c r="BG1455" s="7" t="s">
        <v>228</v>
      </c>
      <c r="BH1455" s="7" t="s">
        <v>228</v>
      </c>
      <c r="BI1455" s="7"/>
      <c r="BJ1455" s="4">
        <v>18</v>
      </c>
      <c r="BK1455" s="8">
        <v>718.83</v>
      </c>
      <c r="BL1455" s="2" t="s">
        <v>381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7468</v>
      </c>
      <c r="BV1455" s="2" t="s">
        <v>228</v>
      </c>
      <c r="BW1455" s="2" t="s">
        <v>228</v>
      </c>
      <c r="BX1455" s="2" t="s">
        <v>273</v>
      </c>
      <c r="BY1455" s="2" t="s">
        <v>274</v>
      </c>
      <c r="BZ1455" s="2" t="s">
        <v>240</v>
      </c>
      <c r="CA1455" s="2" t="s">
        <v>400</v>
      </c>
      <c r="CB1455" s="2" t="s">
        <v>3296</v>
      </c>
      <c r="CC1455" s="2" t="s">
        <v>241</v>
      </c>
      <c r="CD1455" s="2" t="s">
        <v>228</v>
      </c>
      <c r="CE1455" s="4">
        <v>762</v>
      </c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/>
      <c r="GF1455" s="4"/>
      <c r="GG1455" s="4"/>
      <c r="GH1455" s="4"/>
      <c r="GI1455" s="4"/>
      <c r="GJ1455" s="4"/>
      <c r="GK1455" s="4"/>
      <c r="GL1455" s="4"/>
      <c r="GM1455" s="4"/>
      <c r="GN1455" s="4"/>
      <c r="GO1455" s="4"/>
      <c r="GP1455" s="4"/>
      <c r="GQ1455" s="4"/>
      <c r="GR1455" s="4"/>
      <c r="GS1455" s="4"/>
      <c r="GT1455" s="4"/>
      <c r="GU1455" s="4"/>
      <c r="GV1455" s="4"/>
      <c r="GW1455" s="4"/>
      <c r="GX1455" s="4"/>
      <c r="GY1455" s="4"/>
      <c r="GZ1455" s="4"/>
      <c r="HA1455" s="4"/>
      <c r="HB1455" s="4"/>
      <c r="HC1455" s="4"/>
      <c r="HD1455" s="4"/>
      <c r="HE1455" s="4"/>
    </row>
    <row r="1456">
      <c r="A1456" s="2" t="s">
        <v>7469</v>
      </c>
      <c r="B1456" s="2" t="s">
        <v>848</v>
      </c>
      <c r="C1456" s="2" t="s">
        <v>849</v>
      </c>
      <c r="D1456" s="2" t="s">
        <v>1112</v>
      </c>
      <c r="E1456" s="2" t="s">
        <v>1113</v>
      </c>
      <c r="F1456" s="2" t="s">
        <v>7443</v>
      </c>
      <c r="G1456" s="2" t="s">
        <v>7444</v>
      </c>
      <c r="H1456" s="2" t="s">
        <v>7445</v>
      </c>
      <c r="I1456" s="2" t="s">
        <v>7446</v>
      </c>
      <c r="J1456" s="2" t="s">
        <v>856</v>
      </c>
      <c r="K1456" s="2" t="s">
        <v>251</v>
      </c>
      <c r="L1456" s="3">
        <v>33.33</v>
      </c>
      <c r="M1456" s="3">
        <v>35</v>
      </c>
      <c r="N1456" s="3">
        <v>69.99</v>
      </c>
      <c r="O1456" s="2" t="s">
        <v>240</v>
      </c>
      <c r="P1456" s="2" t="s">
        <v>266</v>
      </c>
      <c r="Q1456" s="2" t="s">
        <v>234</v>
      </c>
      <c r="R1456" s="2" t="s">
        <v>228</v>
      </c>
      <c r="S1456" s="2" t="s">
        <v>7470</v>
      </c>
      <c r="T1456" s="2" t="s">
        <v>1414</v>
      </c>
      <c r="U1456" s="2" t="s">
        <v>520</v>
      </c>
      <c r="V1456" s="2" t="s">
        <v>236</v>
      </c>
      <c r="W1456" s="2" t="s">
        <v>417</v>
      </c>
      <c r="X1456" s="2" t="s">
        <v>269</v>
      </c>
      <c r="Y1456" s="2" t="s">
        <v>379</v>
      </c>
      <c r="Z1456" s="4">
        <v>507</v>
      </c>
      <c r="AA1456" s="4">
        <f>=ROUNDDOWN(126.75,0)</f>
      </c>
      <c r="AB1456" s="5">
        <v>4</v>
      </c>
      <c r="AC1456" s="2" t="s">
        <v>228</v>
      </c>
      <c r="AD1456" s="4"/>
      <c r="AE1456" s="4"/>
      <c r="AF1456" s="6">
        <v>66</v>
      </c>
      <c r="AG1456" s="6"/>
      <c r="AH1456" s="7">
        <v>1</v>
      </c>
      <c r="AI1456" s="4"/>
      <c r="AJ1456" s="4">
        <f>=ROUNDDOWN({0},0)</f>
      </c>
      <c r="AK1456" s="5"/>
      <c r="AL1456" s="2" t="s">
        <v>228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228</v>
      </c>
      <c r="AW1456" s="8" t="s">
        <v>228</v>
      </c>
      <c r="AX1456" s="4" t="s">
        <v>228</v>
      </c>
      <c r="AY1456" s="8" t="s">
        <v>228</v>
      </c>
      <c r="AZ1456" s="7" t="s">
        <v>228</v>
      </c>
      <c r="BA1456" s="7" t="s">
        <v>228</v>
      </c>
      <c r="BB1456" s="7" t="s">
        <v>228</v>
      </c>
      <c r="BC1456" s="4" t="s">
        <v>228</v>
      </c>
      <c r="BD1456" s="8" t="s">
        <v>228</v>
      </c>
      <c r="BE1456" s="4" t="s">
        <v>228</v>
      </c>
      <c r="BF1456" s="8" t="s">
        <v>228</v>
      </c>
      <c r="BG1456" s="7" t="s">
        <v>228</v>
      </c>
      <c r="BH1456" s="7" t="s">
        <v>228</v>
      </c>
      <c r="BI1456" s="7"/>
      <c r="BJ1456" s="4">
        <v>30</v>
      </c>
      <c r="BK1456" s="8">
        <v>1019.93</v>
      </c>
      <c r="BL1456" s="2" t="s">
        <v>7471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7472</v>
      </c>
      <c r="BV1456" s="2" t="s">
        <v>228</v>
      </c>
      <c r="BW1456" s="2" t="s">
        <v>228</v>
      </c>
      <c r="BX1456" s="2" t="s">
        <v>273</v>
      </c>
      <c r="BY1456" s="2" t="s">
        <v>274</v>
      </c>
      <c r="BZ1456" s="2" t="s">
        <v>240</v>
      </c>
      <c r="CA1456" s="2" t="s">
        <v>400</v>
      </c>
      <c r="CB1456" s="2" t="s">
        <v>2815</v>
      </c>
      <c r="CC1456" s="2" t="s">
        <v>241</v>
      </c>
      <c r="CD1456" s="2" t="s">
        <v>228</v>
      </c>
      <c r="CE1456" s="4">
        <v>507</v>
      </c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/>
      <c r="GG1456" s="4"/>
      <c r="GH1456" s="4"/>
      <c r="GI1456" s="4"/>
      <c r="GJ1456" s="4"/>
      <c r="GK1456" s="4"/>
      <c r="GL1456" s="4"/>
      <c r="GM1456" s="4"/>
      <c r="GN1456" s="4"/>
      <c r="GO1456" s="4"/>
      <c r="GP1456" s="4"/>
      <c r="GQ1456" s="4"/>
      <c r="GR1456" s="4"/>
      <c r="GS1456" s="4"/>
      <c r="GT1456" s="4"/>
      <c r="GU1456" s="4"/>
      <c r="GV1456" s="4"/>
      <c r="GW1456" s="4"/>
      <c r="GX1456" s="4"/>
      <c r="GY1456" s="4"/>
      <c r="GZ1456" s="4"/>
      <c r="HA1456" s="4"/>
      <c r="HB1456" s="4"/>
      <c r="HC1456" s="4"/>
      <c r="HD1456" s="4"/>
      <c r="HE1456" s="4"/>
    </row>
    <row r="1457">
      <c r="A1457" s="2" t="s">
        <v>7473</v>
      </c>
      <c r="B1457" s="2" t="s">
        <v>848</v>
      </c>
      <c r="C1457" s="2" t="s">
        <v>849</v>
      </c>
      <c r="D1457" s="2" t="s">
        <v>850</v>
      </c>
      <c r="E1457" s="2" t="s">
        <v>1038</v>
      </c>
      <c r="F1457" s="2" t="s">
        <v>7443</v>
      </c>
      <c r="G1457" s="2" t="s">
        <v>7444</v>
      </c>
      <c r="H1457" s="2" t="s">
        <v>7445</v>
      </c>
      <c r="I1457" s="2" t="s">
        <v>1753</v>
      </c>
      <c r="J1457" s="2" t="s">
        <v>856</v>
      </c>
      <c r="K1457" s="2" t="s">
        <v>251</v>
      </c>
      <c r="L1457" s="3">
        <v>26.19</v>
      </c>
      <c r="M1457" s="3">
        <v>27.5</v>
      </c>
      <c r="N1457" s="3">
        <v>54.99</v>
      </c>
      <c r="O1457" s="2" t="s">
        <v>240</v>
      </c>
      <c r="P1457" s="2" t="s">
        <v>266</v>
      </c>
      <c r="Q1457" s="2" t="s">
        <v>234</v>
      </c>
      <c r="R1457" s="2" t="s">
        <v>228</v>
      </c>
      <c r="S1457" s="2" t="s">
        <v>7470</v>
      </c>
      <c r="T1457" s="2" t="s">
        <v>1414</v>
      </c>
      <c r="U1457" s="2" t="s">
        <v>520</v>
      </c>
      <c r="V1457" s="2" t="s">
        <v>236</v>
      </c>
      <c r="W1457" s="2" t="s">
        <v>417</v>
      </c>
      <c r="X1457" s="2" t="s">
        <v>269</v>
      </c>
      <c r="Y1457" s="2" t="s">
        <v>7474</v>
      </c>
      <c r="Z1457" s="4">
        <v>276</v>
      </c>
      <c r="AA1457" s="4">
        <f>=ROUNDDOWN(276,0)</f>
      </c>
      <c r="AB1457" s="5">
        <v>1</v>
      </c>
      <c r="AC1457" s="2" t="s">
        <v>228</v>
      </c>
      <c r="AD1457" s="4"/>
      <c r="AE1457" s="4"/>
      <c r="AF1457" s="6">
        <v>66</v>
      </c>
      <c r="AG1457" s="6"/>
      <c r="AH1457" s="7">
        <v>1</v>
      </c>
      <c r="AI1457" s="4"/>
      <c r="AJ1457" s="4">
        <f>=ROUNDDOWN({0},0)</f>
      </c>
      <c r="AK1457" s="5"/>
      <c r="AL1457" s="2" t="s">
        <v>228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228</v>
      </c>
      <c r="AW1457" s="8" t="s">
        <v>228</v>
      </c>
      <c r="AX1457" s="4" t="s">
        <v>228</v>
      </c>
      <c r="AY1457" s="8" t="s">
        <v>228</v>
      </c>
      <c r="AZ1457" s="7" t="s">
        <v>228</v>
      </c>
      <c r="BA1457" s="7" t="s">
        <v>228</v>
      </c>
      <c r="BB1457" s="7" t="s">
        <v>228</v>
      </c>
      <c r="BC1457" s="4" t="s">
        <v>228</v>
      </c>
      <c r="BD1457" s="8" t="s">
        <v>228</v>
      </c>
      <c r="BE1457" s="4" t="s">
        <v>228</v>
      </c>
      <c r="BF1457" s="8" t="s">
        <v>228</v>
      </c>
      <c r="BG1457" s="7" t="s">
        <v>228</v>
      </c>
      <c r="BH1457" s="7" t="s">
        <v>228</v>
      </c>
      <c r="BI1457" s="7"/>
      <c r="BJ1457" s="4">
        <v>6</v>
      </c>
      <c r="BK1457" s="8">
        <v>172.83</v>
      </c>
      <c r="BL1457" s="2" t="s">
        <v>4072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7475</v>
      </c>
      <c r="BV1457" s="2" t="s">
        <v>228</v>
      </c>
      <c r="BW1457" s="2" t="s">
        <v>228</v>
      </c>
      <c r="BX1457" s="2" t="s">
        <v>273</v>
      </c>
      <c r="BY1457" s="2" t="s">
        <v>274</v>
      </c>
      <c r="BZ1457" s="2" t="s">
        <v>240</v>
      </c>
      <c r="CA1457" s="2" t="s">
        <v>511</v>
      </c>
      <c r="CB1457" s="2" t="s">
        <v>1026</v>
      </c>
      <c r="CC1457" s="2" t="s">
        <v>241</v>
      </c>
      <c r="CD1457" s="2" t="s">
        <v>228</v>
      </c>
      <c r="CE1457" s="4">
        <v>276</v>
      </c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/>
      <c r="GG1457" s="4"/>
      <c r="GH1457" s="4"/>
      <c r="GI1457" s="4"/>
      <c r="GJ1457" s="4"/>
      <c r="GK1457" s="4"/>
      <c r="GL1457" s="4"/>
      <c r="GM1457" s="4"/>
      <c r="GN1457" s="4"/>
      <c r="GO1457" s="4"/>
      <c r="GP1457" s="4"/>
      <c r="GQ1457" s="4"/>
      <c r="GR1457" s="4"/>
      <c r="GS1457" s="4"/>
      <c r="GT1457" s="4"/>
      <c r="GU1457" s="4"/>
      <c r="GV1457" s="4"/>
      <c r="GW1457" s="4"/>
      <c r="GX1457" s="4"/>
      <c r="GY1457" s="4"/>
      <c r="GZ1457" s="4"/>
      <c r="HA1457" s="4"/>
      <c r="HB1457" s="4"/>
      <c r="HC1457" s="4"/>
      <c r="HD1457" s="4"/>
      <c r="HE1457" s="4"/>
    </row>
    <row r="1458">
      <c r="A1458" s="2" t="s">
        <v>7476</v>
      </c>
      <c r="B1458" s="2" t="s">
        <v>848</v>
      </c>
      <c r="C1458" s="2" t="s">
        <v>849</v>
      </c>
      <c r="D1458" s="2" t="s">
        <v>850</v>
      </c>
      <c r="E1458" s="2" t="s">
        <v>1038</v>
      </c>
      <c r="F1458" s="2" t="s">
        <v>7443</v>
      </c>
      <c r="G1458" s="2" t="s">
        <v>7444</v>
      </c>
      <c r="H1458" s="2" t="s">
        <v>7445</v>
      </c>
      <c r="I1458" s="2" t="s">
        <v>1753</v>
      </c>
      <c r="J1458" s="2" t="s">
        <v>1189</v>
      </c>
      <c r="K1458" s="2" t="s">
        <v>251</v>
      </c>
      <c r="L1458" s="3">
        <v>30.95</v>
      </c>
      <c r="M1458" s="3">
        <v>32.5</v>
      </c>
      <c r="N1458" s="3">
        <v>64.99</v>
      </c>
      <c r="O1458" s="2" t="s">
        <v>240</v>
      </c>
      <c r="P1458" s="2" t="s">
        <v>266</v>
      </c>
      <c r="Q1458" s="2" t="s">
        <v>234</v>
      </c>
      <c r="R1458" s="2" t="s">
        <v>228</v>
      </c>
      <c r="S1458" s="2" t="s">
        <v>7470</v>
      </c>
      <c r="T1458" s="2" t="s">
        <v>1414</v>
      </c>
      <c r="U1458" s="2" t="s">
        <v>500</v>
      </c>
      <c r="V1458" s="2" t="s">
        <v>236</v>
      </c>
      <c r="W1458" s="2" t="s">
        <v>417</v>
      </c>
      <c r="X1458" s="2" t="s">
        <v>269</v>
      </c>
      <c r="Y1458" s="2" t="s">
        <v>7474</v>
      </c>
      <c r="Z1458" s="4">
        <v>295</v>
      </c>
      <c r="AA1458" s="4">
        <f>=ROUNDDOWN(98.3333333333333,0)</f>
      </c>
      <c r="AB1458" s="5">
        <v>3</v>
      </c>
      <c r="AC1458" s="2" t="s">
        <v>228</v>
      </c>
      <c r="AD1458" s="4"/>
      <c r="AE1458" s="4"/>
      <c r="AF1458" s="6">
        <v>66</v>
      </c>
      <c r="AG1458" s="6"/>
      <c r="AH1458" s="7">
        <v>1</v>
      </c>
      <c r="AI1458" s="4"/>
      <c r="AJ1458" s="4">
        <f>=ROUNDDOWN({0},0)</f>
      </c>
      <c r="AK1458" s="5"/>
      <c r="AL1458" s="2" t="s">
        <v>228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 t="s">
        <v>228</v>
      </c>
      <c r="AW1458" s="8" t="s">
        <v>228</v>
      </c>
      <c r="AX1458" s="4" t="s">
        <v>228</v>
      </c>
      <c r="AY1458" s="8" t="s">
        <v>228</v>
      </c>
      <c r="AZ1458" s="7" t="s">
        <v>228</v>
      </c>
      <c r="BA1458" s="7" t="s">
        <v>228</v>
      </c>
      <c r="BB1458" s="7"/>
      <c r="BC1458" s="4" t="s">
        <v>228</v>
      </c>
      <c r="BD1458" s="8" t="s">
        <v>228</v>
      </c>
      <c r="BE1458" s="4" t="s">
        <v>228</v>
      </c>
      <c r="BF1458" s="8" t="s">
        <v>228</v>
      </c>
      <c r="BG1458" s="7" t="s">
        <v>228</v>
      </c>
      <c r="BH1458" s="7" t="s">
        <v>228</v>
      </c>
      <c r="BI1458" s="7"/>
      <c r="BJ1458" s="4">
        <v>9</v>
      </c>
      <c r="BK1458" s="8">
        <v>305.5</v>
      </c>
      <c r="BL1458" s="2" t="s">
        <v>2606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7477</v>
      </c>
      <c r="BV1458" s="2" t="s">
        <v>228</v>
      </c>
      <c r="BW1458" s="2" t="s">
        <v>228</v>
      </c>
      <c r="BX1458" s="2" t="s">
        <v>273</v>
      </c>
      <c r="BY1458" s="2" t="s">
        <v>274</v>
      </c>
      <c r="BZ1458" s="2" t="s">
        <v>240</v>
      </c>
      <c r="CA1458" s="2" t="s">
        <v>511</v>
      </c>
      <c r="CB1458" s="2" t="s">
        <v>2983</v>
      </c>
      <c r="CC1458" s="2" t="s">
        <v>241</v>
      </c>
      <c r="CD1458" s="2" t="s">
        <v>228</v>
      </c>
      <c r="CE1458" s="4">
        <v>295</v>
      </c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/>
      <c r="GE1458" s="4"/>
      <c r="GF1458" s="4"/>
      <c r="GG1458" s="4"/>
      <c r="GH1458" s="4"/>
      <c r="GI1458" s="4"/>
      <c r="GJ1458" s="4"/>
      <c r="GK1458" s="4"/>
      <c r="GL1458" s="4"/>
      <c r="GM1458" s="4"/>
      <c r="GN1458" s="4"/>
      <c r="GO1458" s="4"/>
      <c r="GP1458" s="4"/>
      <c r="GQ1458" s="4"/>
      <c r="GR1458" s="4"/>
      <c r="GS1458" s="4"/>
      <c r="GT1458" s="4"/>
      <c r="GU1458" s="4"/>
      <c r="GV1458" s="4"/>
      <c r="GW1458" s="4"/>
      <c r="GX1458" s="4"/>
      <c r="GY1458" s="4"/>
      <c r="GZ1458" s="4"/>
      <c r="HA1458" s="4"/>
      <c r="HB1458" s="4"/>
      <c r="HC1458" s="4"/>
      <c r="HD1458" s="4"/>
      <c r="HE1458" s="4"/>
    </row>
    <row r="1459">
      <c r="A1459" s="2" t="s">
        <v>7478</v>
      </c>
      <c r="B1459" s="2" t="s">
        <v>848</v>
      </c>
      <c r="C1459" s="2" t="s">
        <v>849</v>
      </c>
      <c r="D1459" s="2" t="s">
        <v>1112</v>
      </c>
      <c r="E1459" s="2" t="s">
        <v>1113</v>
      </c>
      <c r="F1459" s="2" t="s">
        <v>7443</v>
      </c>
      <c r="G1459" s="2" t="s">
        <v>7444</v>
      </c>
      <c r="H1459" s="2" t="s">
        <v>7445</v>
      </c>
      <c r="I1459" s="2" t="s">
        <v>7446</v>
      </c>
      <c r="J1459" s="2" t="s">
        <v>1043</v>
      </c>
      <c r="K1459" s="2" t="s">
        <v>2780</v>
      </c>
      <c r="L1459" s="3">
        <v>42.85</v>
      </c>
      <c r="M1459" s="3">
        <v>44.99</v>
      </c>
      <c r="N1459" s="3">
        <v>89.99</v>
      </c>
      <c r="O1459" s="2" t="s">
        <v>240</v>
      </c>
      <c r="P1459" s="2" t="s">
        <v>889</v>
      </c>
      <c r="Q1459" s="2" t="s">
        <v>234</v>
      </c>
      <c r="R1459" s="2" t="s">
        <v>228</v>
      </c>
      <c r="S1459" s="2" t="s">
        <v>7479</v>
      </c>
      <c r="T1459" s="2" t="s">
        <v>1414</v>
      </c>
      <c r="U1459" s="2" t="s">
        <v>500</v>
      </c>
      <c r="V1459" s="2" t="s">
        <v>236</v>
      </c>
      <c r="W1459" s="2" t="s">
        <v>417</v>
      </c>
      <c r="X1459" s="2" t="s">
        <v>269</v>
      </c>
      <c r="Y1459" s="2" t="s">
        <v>379</v>
      </c>
      <c r="Z1459" s="4">
        <v>460</v>
      </c>
      <c r="AA1459" s="4">
        <f>=ROUNDDOWN(92,0)</f>
      </c>
      <c r="AB1459" s="5">
        <v>5</v>
      </c>
      <c r="AC1459" s="2" t="s">
        <v>1370</v>
      </c>
      <c r="AD1459" s="4">
        <v>120</v>
      </c>
      <c r="AE1459" s="4">
        <v>120</v>
      </c>
      <c r="AF1459" s="6">
        <v>66</v>
      </c>
      <c r="AG1459" s="6"/>
      <c r="AH1459" s="7">
        <v>1</v>
      </c>
      <c r="AI1459" s="4"/>
      <c r="AJ1459" s="4">
        <f>=ROUNDDOWN({0},0)</f>
      </c>
      <c r="AK1459" s="5"/>
      <c r="AL1459" s="2" t="s">
        <v>228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/>
      <c r="AW1459" s="8"/>
      <c r="AX1459" s="4"/>
      <c r="AY1459" s="8"/>
      <c r="AZ1459" s="7"/>
      <c r="BA1459" s="7"/>
      <c r="BB1459" s="7"/>
      <c r="BC1459" s="4" t="s">
        <v>228</v>
      </c>
      <c r="BD1459" s="8" t="s">
        <v>228</v>
      </c>
      <c r="BE1459" s="4" t="s">
        <v>228</v>
      </c>
      <c r="BF1459" s="8" t="s">
        <v>228</v>
      </c>
      <c r="BG1459" s="7" t="s">
        <v>228</v>
      </c>
      <c r="BH1459" s="7" t="s">
        <v>228</v>
      </c>
      <c r="BI1459" s="7"/>
      <c r="BJ1459" s="4">
        <v>20</v>
      </c>
      <c r="BK1459" s="8">
        <v>922.99</v>
      </c>
      <c r="BL1459" s="2" t="s">
        <v>5688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7480</v>
      </c>
      <c r="BV1459" s="2" t="s">
        <v>228</v>
      </c>
      <c r="BW1459" s="2" t="s">
        <v>228</v>
      </c>
      <c r="BX1459" s="2" t="s">
        <v>273</v>
      </c>
      <c r="BY1459" s="2" t="s">
        <v>274</v>
      </c>
      <c r="BZ1459" s="2" t="s">
        <v>240</v>
      </c>
      <c r="CA1459" s="2" t="s">
        <v>400</v>
      </c>
      <c r="CB1459" s="2" t="s">
        <v>4125</v>
      </c>
      <c r="CC1459" s="2" t="s">
        <v>241</v>
      </c>
      <c r="CD1459" s="2" t="s">
        <v>228</v>
      </c>
      <c r="CE1459" s="4">
        <v>460</v>
      </c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>
        <v>120</v>
      </c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/>
      <c r="GF1459" s="4"/>
      <c r="GG1459" s="4"/>
      <c r="GH1459" s="4"/>
      <c r="GI1459" s="4"/>
      <c r="GJ1459" s="4"/>
      <c r="GK1459" s="4"/>
      <c r="GL1459" s="4"/>
      <c r="GM1459" s="4"/>
      <c r="GN1459" s="4"/>
      <c r="GO1459" s="4"/>
      <c r="GP1459" s="4"/>
      <c r="GQ1459" s="4"/>
      <c r="GR1459" s="4"/>
      <c r="GS1459" s="4"/>
      <c r="GT1459" s="4"/>
      <c r="GU1459" s="4"/>
      <c r="GV1459" s="4"/>
      <c r="GW1459" s="4"/>
      <c r="GX1459" s="4"/>
      <c r="GY1459" s="4"/>
      <c r="GZ1459" s="4"/>
      <c r="HA1459" s="4"/>
      <c r="HB1459" s="4"/>
      <c r="HC1459" s="4"/>
      <c r="HD1459" s="4"/>
      <c r="HE1459" s="4"/>
    </row>
    <row r="1460">
      <c r="A1460" s="2" t="s">
        <v>7481</v>
      </c>
      <c r="B1460" s="2" t="s">
        <v>848</v>
      </c>
      <c r="C1460" s="2" t="s">
        <v>849</v>
      </c>
      <c r="D1460" s="2" t="s">
        <v>850</v>
      </c>
      <c r="E1460" s="2" t="s">
        <v>1038</v>
      </c>
      <c r="F1460" s="2" t="s">
        <v>7443</v>
      </c>
      <c r="G1460" s="2" t="s">
        <v>7444</v>
      </c>
      <c r="H1460" s="2" t="s">
        <v>7445</v>
      </c>
      <c r="I1460" s="2" t="s">
        <v>1753</v>
      </c>
      <c r="J1460" s="2" t="s">
        <v>856</v>
      </c>
      <c r="K1460" s="2" t="s">
        <v>2796</v>
      </c>
      <c r="L1460" s="3">
        <v>26.19</v>
      </c>
      <c r="M1460" s="3">
        <v>27.5</v>
      </c>
      <c r="N1460" s="3">
        <v>54.99</v>
      </c>
      <c r="O1460" s="2" t="s">
        <v>240</v>
      </c>
      <c r="P1460" s="2" t="s">
        <v>266</v>
      </c>
      <c r="Q1460" s="2" t="s">
        <v>234</v>
      </c>
      <c r="R1460" s="2" t="s">
        <v>228</v>
      </c>
      <c r="S1460" s="2" t="s">
        <v>7482</v>
      </c>
      <c r="T1460" s="2" t="s">
        <v>1414</v>
      </c>
      <c r="U1460" s="2" t="s">
        <v>520</v>
      </c>
      <c r="V1460" s="2" t="s">
        <v>236</v>
      </c>
      <c r="W1460" s="2" t="s">
        <v>417</v>
      </c>
      <c r="X1460" s="2" t="s">
        <v>269</v>
      </c>
      <c r="Y1460" s="2" t="s">
        <v>7474</v>
      </c>
      <c r="Z1460" s="4">
        <v>251</v>
      </c>
      <c r="AA1460" s="4">
        <f>=ROUNDDOWN(251,0)</f>
      </c>
      <c r="AB1460" s="5">
        <v>1</v>
      </c>
      <c r="AC1460" s="2" t="s">
        <v>228</v>
      </c>
      <c r="AD1460" s="4"/>
      <c r="AE1460" s="4"/>
      <c r="AF1460" s="6">
        <v>66</v>
      </c>
      <c r="AG1460" s="6"/>
      <c r="AH1460" s="7">
        <v>1</v>
      </c>
      <c r="AI1460" s="4"/>
      <c r="AJ1460" s="4">
        <f>=ROUNDDOWN({0},0)</f>
      </c>
      <c r="AK1460" s="5"/>
      <c r="AL1460" s="2" t="s">
        <v>228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 t="s">
        <v>228</v>
      </c>
      <c r="AW1460" s="8" t="s">
        <v>228</v>
      </c>
      <c r="AX1460" s="4" t="s">
        <v>228</v>
      </c>
      <c r="AY1460" s="8" t="s">
        <v>228</v>
      </c>
      <c r="AZ1460" s="7" t="s">
        <v>228</v>
      </c>
      <c r="BA1460" s="7" t="s">
        <v>228</v>
      </c>
      <c r="BB1460" s="7"/>
      <c r="BC1460" s="4" t="s">
        <v>228</v>
      </c>
      <c r="BD1460" s="8" t="s">
        <v>228</v>
      </c>
      <c r="BE1460" s="4" t="s">
        <v>228</v>
      </c>
      <c r="BF1460" s="8" t="s">
        <v>228</v>
      </c>
      <c r="BG1460" s="7" t="s">
        <v>228</v>
      </c>
      <c r="BH1460" s="7" t="s">
        <v>228</v>
      </c>
      <c r="BI1460" s="7"/>
      <c r="BJ1460" s="4">
        <v>1</v>
      </c>
      <c r="BK1460" s="8">
        <v>29.7</v>
      </c>
      <c r="BL1460" s="2" t="s">
        <v>484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7483</v>
      </c>
      <c r="BV1460" s="2" t="s">
        <v>228</v>
      </c>
      <c r="BW1460" s="2" t="s">
        <v>228</v>
      </c>
      <c r="BX1460" s="2" t="s">
        <v>273</v>
      </c>
      <c r="BY1460" s="2" t="s">
        <v>274</v>
      </c>
      <c r="BZ1460" s="2" t="s">
        <v>240</v>
      </c>
      <c r="CA1460" s="2" t="s">
        <v>511</v>
      </c>
      <c r="CB1460" s="2" t="s">
        <v>3720</v>
      </c>
      <c r="CC1460" s="2" t="s">
        <v>241</v>
      </c>
      <c r="CD1460" s="2" t="s">
        <v>228</v>
      </c>
      <c r="CE1460" s="4">
        <v>251</v>
      </c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/>
      <c r="GG1460" s="4"/>
      <c r="GH1460" s="4"/>
      <c r="GI1460" s="4"/>
      <c r="GJ1460" s="4"/>
      <c r="GK1460" s="4"/>
      <c r="GL1460" s="4"/>
      <c r="GM1460" s="4"/>
      <c r="GN1460" s="4"/>
      <c r="GO1460" s="4"/>
      <c r="GP1460" s="4"/>
      <c r="GQ1460" s="4"/>
      <c r="GR1460" s="4"/>
      <c r="GS1460" s="4"/>
      <c r="GT1460" s="4"/>
      <c r="GU1460" s="4"/>
      <c r="GV1460" s="4"/>
      <c r="GW1460" s="4"/>
      <c r="GX1460" s="4"/>
      <c r="GY1460" s="4"/>
      <c r="GZ1460" s="4"/>
      <c r="HA1460" s="4"/>
      <c r="HB1460" s="4"/>
      <c r="HC1460" s="4"/>
      <c r="HD1460" s="4"/>
      <c r="HE1460" s="4"/>
    </row>
    <row r="1461">
      <c r="A1461" s="2" t="s">
        <v>7484</v>
      </c>
      <c r="B1461" s="2" t="s">
        <v>848</v>
      </c>
      <c r="C1461" s="2" t="s">
        <v>849</v>
      </c>
      <c r="D1461" s="2" t="s">
        <v>850</v>
      </c>
      <c r="E1461" s="2" t="s">
        <v>1038</v>
      </c>
      <c r="F1461" s="2" t="s">
        <v>7443</v>
      </c>
      <c r="G1461" s="2" t="s">
        <v>7444</v>
      </c>
      <c r="H1461" s="2" t="s">
        <v>7445</v>
      </c>
      <c r="I1461" s="2" t="s">
        <v>1753</v>
      </c>
      <c r="J1461" s="2" t="s">
        <v>1189</v>
      </c>
      <c r="K1461" s="2" t="s">
        <v>2796</v>
      </c>
      <c r="L1461" s="3">
        <v>30.95</v>
      </c>
      <c r="M1461" s="3">
        <v>32.5</v>
      </c>
      <c r="N1461" s="3">
        <v>64.99</v>
      </c>
      <c r="O1461" s="2" t="s">
        <v>240</v>
      </c>
      <c r="P1461" s="2" t="s">
        <v>266</v>
      </c>
      <c r="Q1461" s="2" t="s">
        <v>234</v>
      </c>
      <c r="R1461" s="2" t="s">
        <v>228</v>
      </c>
      <c r="S1461" s="2" t="s">
        <v>7482</v>
      </c>
      <c r="T1461" s="2" t="s">
        <v>1414</v>
      </c>
      <c r="U1461" s="2" t="s">
        <v>500</v>
      </c>
      <c r="V1461" s="2" t="s">
        <v>236</v>
      </c>
      <c r="W1461" s="2" t="s">
        <v>417</v>
      </c>
      <c r="X1461" s="2" t="s">
        <v>269</v>
      </c>
      <c r="Y1461" s="2" t="s">
        <v>7474</v>
      </c>
      <c r="Z1461" s="4">
        <v>255</v>
      </c>
      <c r="AA1461" s="4">
        <f>=ROUNDDOWN(63.75,0)</f>
      </c>
      <c r="AB1461" s="5">
        <v>4</v>
      </c>
      <c r="AC1461" s="2" t="s">
        <v>228</v>
      </c>
      <c r="AD1461" s="4"/>
      <c r="AE1461" s="4"/>
      <c r="AF1461" s="6">
        <v>66</v>
      </c>
      <c r="AG1461" s="6"/>
      <c r="AH1461" s="7">
        <v>1</v>
      </c>
      <c r="AI1461" s="4"/>
      <c r="AJ1461" s="4">
        <f>=ROUNDDOWN({0},0)</f>
      </c>
      <c r="AK1461" s="5"/>
      <c r="AL1461" s="2" t="s">
        <v>228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 t="s">
        <v>228</v>
      </c>
      <c r="AW1461" s="8" t="s">
        <v>228</v>
      </c>
      <c r="AX1461" s="4" t="s">
        <v>228</v>
      </c>
      <c r="AY1461" s="8" t="s">
        <v>228</v>
      </c>
      <c r="AZ1461" s="7" t="s">
        <v>228</v>
      </c>
      <c r="BA1461" s="7" t="s">
        <v>228</v>
      </c>
      <c r="BB1461" s="7"/>
      <c r="BC1461" s="4" t="s">
        <v>228</v>
      </c>
      <c r="BD1461" s="8" t="s">
        <v>228</v>
      </c>
      <c r="BE1461" s="4" t="s">
        <v>228</v>
      </c>
      <c r="BF1461" s="8" t="s">
        <v>228</v>
      </c>
      <c r="BG1461" s="7" t="s">
        <v>228</v>
      </c>
      <c r="BH1461" s="7" t="s">
        <v>228</v>
      </c>
      <c r="BI1461" s="7"/>
      <c r="BJ1461" s="4">
        <v>12</v>
      </c>
      <c r="BK1461" s="8">
        <v>429.26</v>
      </c>
      <c r="BL1461" s="2" t="s">
        <v>7485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7486</v>
      </c>
      <c r="BV1461" s="2" t="s">
        <v>228</v>
      </c>
      <c r="BW1461" s="2" t="s">
        <v>228</v>
      </c>
      <c r="BX1461" s="2" t="s">
        <v>273</v>
      </c>
      <c r="BY1461" s="2" t="s">
        <v>274</v>
      </c>
      <c r="BZ1461" s="2" t="s">
        <v>240</v>
      </c>
      <c r="CA1461" s="2" t="s">
        <v>511</v>
      </c>
      <c r="CB1461" s="2" t="s">
        <v>2509</v>
      </c>
      <c r="CC1461" s="2" t="s">
        <v>241</v>
      </c>
      <c r="CD1461" s="2" t="s">
        <v>228</v>
      </c>
      <c r="CE1461" s="4">
        <v>255</v>
      </c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/>
      <c r="GH1461" s="4"/>
      <c r="GI1461" s="4"/>
      <c r="GJ1461" s="4"/>
      <c r="GK1461" s="4"/>
      <c r="GL1461" s="4"/>
      <c r="GM1461" s="4"/>
      <c r="GN1461" s="4"/>
      <c r="GO1461" s="4"/>
      <c r="GP1461" s="4"/>
      <c r="GQ1461" s="4"/>
      <c r="GR1461" s="4"/>
      <c r="GS1461" s="4"/>
      <c r="GT1461" s="4"/>
      <c r="GU1461" s="4"/>
      <c r="GV1461" s="4"/>
      <c r="GW1461" s="4"/>
      <c r="GX1461" s="4"/>
      <c r="GY1461" s="4"/>
      <c r="GZ1461" s="4"/>
      <c r="HA1461" s="4"/>
      <c r="HB1461" s="4"/>
      <c r="HC1461" s="4"/>
      <c r="HD1461" s="4"/>
      <c r="HE1461" s="4"/>
    </row>
    <row r="1462">
      <c r="A1462" s="2" t="s">
        <v>7487</v>
      </c>
      <c r="B1462" s="2" t="s">
        <v>848</v>
      </c>
      <c r="C1462" s="2" t="s">
        <v>849</v>
      </c>
      <c r="D1462" s="2" t="s">
        <v>850</v>
      </c>
      <c r="E1462" s="2" t="s">
        <v>851</v>
      </c>
      <c r="F1462" s="2" t="s">
        <v>7488</v>
      </c>
      <c r="G1462" s="2" t="s">
        <v>3396</v>
      </c>
      <c r="H1462" s="2" t="s">
        <v>5530</v>
      </c>
      <c r="I1462" s="2" t="s">
        <v>7489</v>
      </c>
      <c r="J1462" s="2" t="s">
        <v>856</v>
      </c>
      <c r="K1462" s="2" t="s">
        <v>249</v>
      </c>
      <c r="L1462" s="3">
        <v>23.96</v>
      </c>
      <c r="M1462" s="3">
        <v>25.16</v>
      </c>
      <c r="N1462" s="3">
        <v>54.99</v>
      </c>
      <c r="O1462" s="2" t="s">
        <v>461</v>
      </c>
      <c r="P1462" s="2" t="s">
        <v>333</v>
      </c>
      <c r="Q1462" s="2" t="s">
        <v>234</v>
      </c>
      <c r="R1462" s="2" t="s">
        <v>228</v>
      </c>
      <c r="S1462" s="2" t="s">
        <v>7490</v>
      </c>
      <c r="T1462" s="2" t="s">
        <v>228</v>
      </c>
      <c r="U1462" s="2" t="s">
        <v>500</v>
      </c>
      <c r="V1462" s="2" t="s">
        <v>374</v>
      </c>
      <c r="W1462" s="2" t="s">
        <v>269</v>
      </c>
      <c r="X1462" s="2" t="s">
        <v>1906</v>
      </c>
      <c r="Y1462" s="2" t="s">
        <v>5440</v>
      </c>
      <c r="Z1462" s="4">
        <v>69</v>
      </c>
      <c r="AA1462" s="4">
        <f>=ROUNDDOWN(115,0)</f>
      </c>
      <c r="AB1462" s="5">
        <v>0.6</v>
      </c>
      <c r="AC1462" s="2" t="s">
        <v>228</v>
      </c>
      <c r="AD1462" s="4"/>
      <c r="AE1462" s="4"/>
      <c r="AF1462" s="6">
        <v>64</v>
      </c>
      <c r="AG1462" s="6"/>
      <c r="AH1462" s="7">
        <v>1</v>
      </c>
      <c r="AI1462" s="4"/>
      <c r="AJ1462" s="4">
        <f>=ROUNDDOWN({0},0)</f>
      </c>
      <c r="AK1462" s="5"/>
      <c r="AL1462" s="2" t="s">
        <v>228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 t="s">
        <v>228</v>
      </c>
      <c r="AW1462" s="8" t="s">
        <v>228</v>
      </c>
      <c r="AX1462" s="4" t="s">
        <v>228</v>
      </c>
      <c r="AY1462" s="8" t="s">
        <v>228</v>
      </c>
      <c r="AZ1462" s="7" t="s">
        <v>228</v>
      </c>
      <c r="BA1462" s="7" t="s">
        <v>228</v>
      </c>
      <c r="BB1462" s="7"/>
      <c r="BC1462" s="4" t="s">
        <v>228</v>
      </c>
      <c r="BD1462" s="8" t="s">
        <v>228</v>
      </c>
      <c r="BE1462" s="4" t="s">
        <v>228</v>
      </c>
      <c r="BF1462" s="8" t="s">
        <v>228</v>
      </c>
      <c r="BG1462" s="7" t="s">
        <v>228</v>
      </c>
      <c r="BH1462" s="7" t="s">
        <v>228</v>
      </c>
      <c r="BI1462" s="7"/>
      <c r="BJ1462" s="4">
        <v>6</v>
      </c>
      <c r="BK1462" s="8">
        <v>152.58</v>
      </c>
      <c r="BL1462" s="2" t="s">
        <v>6302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7491</v>
      </c>
      <c r="BV1462" s="2" t="s">
        <v>228</v>
      </c>
      <c r="BW1462" s="2" t="s">
        <v>228</v>
      </c>
      <c r="BX1462" s="2" t="s">
        <v>337</v>
      </c>
      <c r="BY1462" s="2" t="s">
        <v>274</v>
      </c>
      <c r="BZ1462" s="2" t="s">
        <v>240</v>
      </c>
      <c r="CA1462" s="2" t="s">
        <v>6674</v>
      </c>
      <c r="CB1462" s="2" t="s">
        <v>1282</v>
      </c>
      <c r="CC1462" s="2" t="s">
        <v>241</v>
      </c>
      <c r="CD1462" s="2" t="s">
        <v>228</v>
      </c>
      <c r="CE1462" s="4">
        <v>69</v>
      </c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  <c r="GG1462" s="4"/>
      <c r="GH1462" s="4"/>
      <c r="GI1462" s="4"/>
      <c r="GJ1462" s="4"/>
      <c r="GK1462" s="4"/>
      <c r="GL1462" s="4"/>
      <c r="GM1462" s="4"/>
      <c r="GN1462" s="4"/>
      <c r="GO1462" s="4"/>
      <c r="GP1462" s="4"/>
      <c r="GQ1462" s="4"/>
      <c r="GR1462" s="4"/>
      <c r="GS1462" s="4"/>
      <c r="GT1462" s="4"/>
      <c r="GU1462" s="4"/>
      <c r="GV1462" s="4"/>
      <c r="GW1462" s="4"/>
      <c r="GX1462" s="4"/>
      <c r="GY1462" s="4"/>
      <c r="GZ1462" s="4"/>
      <c r="HA1462" s="4"/>
      <c r="HB1462" s="4"/>
      <c r="HC1462" s="4"/>
      <c r="HD1462" s="4"/>
      <c r="HE1462" s="4"/>
    </row>
    <row r="1463">
      <c r="A1463" s="2" t="s">
        <v>7492</v>
      </c>
      <c r="B1463" s="2" t="s">
        <v>848</v>
      </c>
      <c r="C1463" s="2" t="s">
        <v>849</v>
      </c>
      <c r="D1463" s="2" t="s">
        <v>850</v>
      </c>
      <c r="E1463" s="2" t="s">
        <v>851</v>
      </c>
      <c r="F1463" s="2" t="s">
        <v>7488</v>
      </c>
      <c r="G1463" s="2" t="s">
        <v>3396</v>
      </c>
      <c r="H1463" s="2" t="s">
        <v>5530</v>
      </c>
      <c r="I1463" s="2" t="s">
        <v>7489</v>
      </c>
      <c r="J1463" s="2" t="s">
        <v>1189</v>
      </c>
      <c r="K1463" s="2" t="s">
        <v>249</v>
      </c>
      <c r="L1463" s="3">
        <v>28.76</v>
      </c>
      <c r="M1463" s="3">
        <v>30.2</v>
      </c>
      <c r="N1463" s="3">
        <v>64.99</v>
      </c>
      <c r="O1463" s="2" t="s">
        <v>461</v>
      </c>
      <c r="P1463" s="2" t="s">
        <v>333</v>
      </c>
      <c r="Q1463" s="2" t="s">
        <v>234</v>
      </c>
      <c r="R1463" s="2" t="s">
        <v>228</v>
      </c>
      <c r="S1463" s="2" t="s">
        <v>7490</v>
      </c>
      <c r="T1463" s="2" t="s">
        <v>228</v>
      </c>
      <c r="U1463" s="2" t="s">
        <v>308</v>
      </c>
      <c r="V1463" s="2" t="s">
        <v>374</v>
      </c>
      <c r="W1463" s="2" t="s">
        <v>269</v>
      </c>
      <c r="X1463" s="2" t="s">
        <v>1906</v>
      </c>
      <c r="Y1463" s="2" t="s">
        <v>5440</v>
      </c>
      <c r="Z1463" s="4">
        <v>11</v>
      </c>
      <c r="AA1463" s="4">
        <f>=ROUNDDOWN(27.5,0)</f>
      </c>
      <c r="AB1463" s="5">
        <v>0.4</v>
      </c>
      <c r="AC1463" s="2" t="s">
        <v>228</v>
      </c>
      <c r="AD1463" s="4"/>
      <c r="AE1463" s="4"/>
      <c r="AF1463" s="6">
        <v>64</v>
      </c>
      <c r="AG1463" s="6"/>
      <c r="AH1463" s="7">
        <v>1</v>
      </c>
      <c r="AI1463" s="4"/>
      <c r="AJ1463" s="4">
        <f>=ROUNDDOWN({0},0)</f>
      </c>
      <c r="AK1463" s="5"/>
      <c r="AL1463" s="2" t="s">
        <v>228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 t="s">
        <v>228</v>
      </c>
      <c r="AW1463" s="8" t="s">
        <v>228</v>
      </c>
      <c r="AX1463" s="4" t="s">
        <v>228</v>
      </c>
      <c r="AY1463" s="8" t="s">
        <v>228</v>
      </c>
      <c r="AZ1463" s="7" t="s">
        <v>228</v>
      </c>
      <c r="BA1463" s="7" t="s">
        <v>228</v>
      </c>
      <c r="BB1463" s="7"/>
      <c r="BC1463" s="4" t="s">
        <v>228</v>
      </c>
      <c r="BD1463" s="8" t="s">
        <v>228</v>
      </c>
      <c r="BE1463" s="4" t="s">
        <v>228</v>
      </c>
      <c r="BF1463" s="8" t="s">
        <v>228</v>
      </c>
      <c r="BG1463" s="7" t="s">
        <v>228</v>
      </c>
      <c r="BH1463" s="7" t="s">
        <v>228</v>
      </c>
      <c r="BI1463" s="7"/>
      <c r="BJ1463" s="4">
        <v>7</v>
      </c>
      <c r="BK1463" s="8">
        <v>151.74</v>
      </c>
      <c r="BL1463" s="2" t="s">
        <v>404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7493</v>
      </c>
      <c r="BV1463" s="2" t="s">
        <v>228</v>
      </c>
      <c r="BW1463" s="2" t="s">
        <v>228</v>
      </c>
      <c r="BX1463" s="2" t="s">
        <v>337</v>
      </c>
      <c r="BY1463" s="2" t="s">
        <v>274</v>
      </c>
      <c r="BZ1463" s="2" t="s">
        <v>240</v>
      </c>
      <c r="CA1463" s="2" t="s">
        <v>6674</v>
      </c>
      <c r="CB1463" s="2" t="s">
        <v>7494</v>
      </c>
      <c r="CC1463" s="2" t="s">
        <v>241</v>
      </c>
      <c r="CD1463" s="2" t="s">
        <v>228</v>
      </c>
      <c r="CE1463" s="4">
        <v>11</v>
      </c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/>
      <c r="GE1463" s="4"/>
      <c r="GF1463" s="4"/>
      <c r="GG1463" s="4"/>
      <c r="GH1463" s="4"/>
      <c r="GI1463" s="4"/>
      <c r="GJ1463" s="4"/>
      <c r="GK1463" s="4"/>
      <c r="GL1463" s="4"/>
      <c r="GM1463" s="4"/>
      <c r="GN1463" s="4"/>
      <c r="GO1463" s="4"/>
      <c r="GP1463" s="4"/>
      <c r="GQ1463" s="4"/>
      <c r="GR1463" s="4"/>
      <c r="GS1463" s="4"/>
      <c r="GT1463" s="4"/>
      <c r="GU1463" s="4"/>
      <c r="GV1463" s="4"/>
      <c r="GW1463" s="4"/>
      <c r="GX1463" s="4"/>
      <c r="GY1463" s="4"/>
      <c r="GZ1463" s="4"/>
      <c r="HA1463" s="4"/>
      <c r="HB1463" s="4"/>
      <c r="HC1463" s="4"/>
      <c r="HD1463" s="4"/>
      <c r="HE1463" s="4"/>
    </row>
    <row r="1464">
      <c r="A1464" s="2" t="s">
        <v>7495</v>
      </c>
      <c r="B1464" s="2" t="s">
        <v>834</v>
      </c>
      <c r="C1464" s="2" t="s">
        <v>835</v>
      </c>
      <c r="D1464" s="2" t="s">
        <v>3553</v>
      </c>
      <c r="E1464" s="2" t="s">
        <v>3554</v>
      </c>
      <c r="F1464" s="2" t="s">
        <v>7496</v>
      </c>
      <c r="G1464" s="2" t="s">
        <v>7496</v>
      </c>
      <c r="H1464" s="2" t="s">
        <v>7496</v>
      </c>
      <c r="I1464" s="2" t="s">
        <v>7497</v>
      </c>
      <c r="J1464" s="2" t="s">
        <v>840</v>
      </c>
      <c r="K1464" s="2" t="s">
        <v>4630</v>
      </c>
      <c r="L1464" s="3">
        <v>45</v>
      </c>
      <c r="M1464" s="3">
        <v>47.25</v>
      </c>
      <c r="N1464" s="3">
        <v>94.99</v>
      </c>
      <c r="O1464" s="2" t="s">
        <v>240</v>
      </c>
      <c r="P1464" s="2" t="s">
        <v>233</v>
      </c>
      <c r="Q1464" s="2" t="s">
        <v>234</v>
      </c>
      <c r="R1464" s="2" t="s">
        <v>228</v>
      </c>
      <c r="S1464" s="2" t="s">
        <v>228</v>
      </c>
      <c r="T1464" s="2" t="s">
        <v>228</v>
      </c>
      <c r="U1464" s="2" t="s">
        <v>416</v>
      </c>
      <c r="V1464" s="2" t="s">
        <v>842</v>
      </c>
      <c r="W1464" s="2" t="s">
        <v>743</v>
      </c>
      <c r="X1464" s="2" t="s">
        <v>309</v>
      </c>
      <c r="Y1464" s="2" t="s">
        <v>7498</v>
      </c>
      <c r="Z1464" s="4">
        <v>100</v>
      </c>
      <c r="AA1464" s="4">
        <f>=ROUNDDOWN(50,0)</f>
      </c>
      <c r="AB1464" s="5">
        <v>2</v>
      </c>
      <c r="AC1464" s="2" t="s">
        <v>228</v>
      </c>
      <c r="AD1464" s="4"/>
      <c r="AE1464" s="4"/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228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/>
      <c r="AW1464" s="8"/>
      <c r="AX1464" s="4"/>
      <c r="AY1464" s="8"/>
      <c r="AZ1464" s="7"/>
      <c r="BA1464" s="7"/>
      <c r="BB1464" s="7"/>
      <c r="BC1464" s="4"/>
      <c r="BD1464" s="8"/>
      <c r="BE1464" s="4"/>
      <c r="BF1464" s="8"/>
      <c r="BG1464" s="7"/>
      <c r="BH1464" s="7"/>
      <c r="BI1464" s="7"/>
      <c r="BJ1464" s="4"/>
      <c r="BK1464" s="8"/>
      <c r="BL1464" s="2" t="s">
        <v>228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7499</v>
      </c>
      <c r="BV1464" s="2" t="s">
        <v>228</v>
      </c>
      <c r="BW1464" s="2" t="s">
        <v>228</v>
      </c>
      <c r="BX1464" s="2" t="s">
        <v>238</v>
      </c>
      <c r="BY1464" s="2" t="s">
        <v>274</v>
      </c>
      <c r="BZ1464" s="2" t="s">
        <v>240</v>
      </c>
      <c r="CA1464" s="2" t="s">
        <v>228</v>
      </c>
      <c r="CB1464" s="2" t="s">
        <v>228</v>
      </c>
      <c r="CC1464" s="2" t="s">
        <v>241</v>
      </c>
      <c r="CD1464" s="2" t="s">
        <v>228</v>
      </c>
      <c r="CE1464" s="4"/>
      <c r="CF1464" s="4">
        <v>100</v>
      </c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/>
      <c r="GG1464" s="4"/>
      <c r="GH1464" s="4"/>
      <c r="GI1464" s="4"/>
      <c r="GJ1464" s="4"/>
      <c r="GK1464" s="4"/>
      <c r="GL1464" s="4"/>
      <c r="GM1464" s="4"/>
      <c r="GN1464" s="4"/>
      <c r="GO1464" s="4"/>
      <c r="GP1464" s="4"/>
      <c r="GQ1464" s="4"/>
      <c r="GR1464" s="4"/>
      <c r="GS1464" s="4"/>
      <c r="GT1464" s="4"/>
      <c r="GU1464" s="4"/>
      <c r="GV1464" s="4"/>
      <c r="GW1464" s="4"/>
      <c r="GX1464" s="4"/>
      <c r="GY1464" s="4"/>
      <c r="GZ1464" s="4"/>
      <c r="HA1464" s="4"/>
      <c r="HB1464" s="4"/>
      <c r="HC1464" s="4"/>
      <c r="HD1464" s="4"/>
      <c r="HE1464" s="4"/>
    </row>
    <row r="1465">
      <c r="A1465" s="2" t="s">
        <v>7500</v>
      </c>
      <c r="B1465" s="2" t="s">
        <v>866</v>
      </c>
      <c r="C1465" s="2" t="s">
        <v>300</v>
      </c>
      <c r="D1465" s="2" t="s">
        <v>899</v>
      </c>
      <c r="E1465" s="2" t="s">
        <v>1891</v>
      </c>
      <c r="F1465" s="2" t="s">
        <v>7501</v>
      </c>
      <c r="G1465" s="2" t="s">
        <v>7501</v>
      </c>
      <c r="H1465" s="2" t="s">
        <v>7501</v>
      </c>
      <c r="I1465" s="2" t="s">
        <v>7502</v>
      </c>
      <c r="J1465" s="2" t="s">
        <v>840</v>
      </c>
      <c r="K1465" s="2" t="s">
        <v>265</v>
      </c>
      <c r="L1465" s="3">
        <v>63.6</v>
      </c>
      <c r="M1465" s="3">
        <v>66.78</v>
      </c>
      <c r="N1465" s="3">
        <v>124.94</v>
      </c>
      <c r="O1465" s="2" t="s">
        <v>240</v>
      </c>
      <c r="P1465" s="2" t="s">
        <v>266</v>
      </c>
      <c r="Q1465" s="2" t="s">
        <v>234</v>
      </c>
      <c r="R1465" s="2" t="s">
        <v>228</v>
      </c>
      <c r="S1465" s="2" t="s">
        <v>7503</v>
      </c>
      <c r="T1465" s="2" t="s">
        <v>228</v>
      </c>
      <c r="U1465" s="2" t="s">
        <v>500</v>
      </c>
      <c r="V1465" s="2" t="s">
        <v>859</v>
      </c>
      <c r="W1465" s="2" t="s">
        <v>309</v>
      </c>
      <c r="X1465" s="2" t="s">
        <v>228</v>
      </c>
      <c r="Y1465" s="2" t="s">
        <v>7504</v>
      </c>
      <c r="Z1465" s="4">
        <v>23</v>
      </c>
      <c r="AA1465" s="4">
        <f>=ROUNDDOWN(3.28571428571429,0)</f>
      </c>
      <c r="AB1465" s="5">
        <v>7</v>
      </c>
      <c r="AC1465" s="2" t="s">
        <v>168</v>
      </c>
      <c r="AD1465" s="4">
        <v>150</v>
      </c>
      <c r="AE1465" s="4">
        <v>150</v>
      </c>
      <c r="AF1465" s="6">
        <v>63</v>
      </c>
      <c r="AG1465" s="6"/>
      <c r="AH1465" s="7">
        <v>1</v>
      </c>
      <c r="AI1465" s="4"/>
      <c r="AJ1465" s="4">
        <f>=ROUNDDOWN({0},0)</f>
      </c>
      <c r="AK1465" s="5"/>
      <c r="AL1465" s="2" t="s">
        <v>228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/>
      <c r="AW1465" s="8"/>
      <c r="AX1465" s="4"/>
      <c r="AY1465" s="8"/>
      <c r="AZ1465" s="7"/>
      <c r="BA1465" s="7"/>
      <c r="BB1465" s="7"/>
      <c r="BC1465" s="4" t="s">
        <v>228</v>
      </c>
      <c r="BD1465" s="8" t="s">
        <v>228</v>
      </c>
      <c r="BE1465" s="4" t="s">
        <v>228</v>
      </c>
      <c r="BF1465" s="8" t="s">
        <v>228</v>
      </c>
      <c r="BG1465" s="7" t="s">
        <v>228</v>
      </c>
      <c r="BH1465" s="7" t="s">
        <v>228</v>
      </c>
      <c r="BI1465" s="7"/>
      <c r="BJ1465" s="4">
        <v>26</v>
      </c>
      <c r="BK1465" s="8">
        <v>1966.1</v>
      </c>
      <c r="BL1465" s="2" t="s">
        <v>7505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7506</v>
      </c>
      <c r="BV1465" s="2" t="s">
        <v>228</v>
      </c>
      <c r="BW1465" s="2" t="s">
        <v>228</v>
      </c>
      <c r="BX1465" s="2" t="s">
        <v>273</v>
      </c>
      <c r="BY1465" s="2" t="s">
        <v>274</v>
      </c>
      <c r="BZ1465" s="2" t="s">
        <v>240</v>
      </c>
      <c r="CA1465" s="2" t="s">
        <v>7507</v>
      </c>
      <c r="CB1465" s="2" t="s">
        <v>6292</v>
      </c>
      <c r="CC1465" s="2" t="s">
        <v>241</v>
      </c>
      <c r="CD1465" s="2" t="s">
        <v>228</v>
      </c>
      <c r="CE1465" s="4"/>
      <c r="CF1465" s="4">
        <v>23</v>
      </c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>
        <v>150</v>
      </c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/>
      <c r="GG1465" s="4"/>
      <c r="GH1465" s="4"/>
      <c r="GI1465" s="4"/>
      <c r="GJ1465" s="4"/>
      <c r="GK1465" s="4"/>
      <c r="GL1465" s="4"/>
      <c r="GM1465" s="4"/>
      <c r="GN1465" s="4"/>
      <c r="GO1465" s="4"/>
      <c r="GP1465" s="4"/>
      <c r="GQ1465" s="4"/>
      <c r="GR1465" s="4"/>
      <c r="GS1465" s="4"/>
      <c r="GT1465" s="4"/>
      <c r="GU1465" s="4"/>
      <c r="GV1465" s="4"/>
      <c r="GW1465" s="4"/>
      <c r="GX1465" s="4"/>
      <c r="GY1465" s="4"/>
      <c r="GZ1465" s="4"/>
      <c r="HA1465" s="4"/>
      <c r="HB1465" s="4"/>
      <c r="HC1465" s="4"/>
      <c r="HD1465" s="4"/>
      <c r="HE1465" s="4"/>
    </row>
    <row r="1466">
      <c r="A1466" s="2" t="s">
        <v>7508</v>
      </c>
      <c r="B1466" s="2" t="s">
        <v>866</v>
      </c>
      <c r="C1466" s="2" t="s">
        <v>300</v>
      </c>
      <c r="D1466" s="2" t="s">
        <v>899</v>
      </c>
      <c r="E1466" s="2" t="s">
        <v>1891</v>
      </c>
      <c r="F1466" s="2" t="s">
        <v>7501</v>
      </c>
      <c r="G1466" s="2" t="s">
        <v>7501</v>
      </c>
      <c r="H1466" s="2" t="s">
        <v>7501</v>
      </c>
      <c r="I1466" s="2" t="s">
        <v>7502</v>
      </c>
      <c r="J1466" s="2" t="s">
        <v>840</v>
      </c>
      <c r="K1466" s="2" t="s">
        <v>249</v>
      </c>
      <c r="L1466" s="3">
        <v>67.34</v>
      </c>
      <c r="M1466" s="3">
        <v>70.71</v>
      </c>
      <c r="N1466" s="3">
        <v>124.94</v>
      </c>
      <c r="O1466" s="2" t="s">
        <v>240</v>
      </c>
      <c r="P1466" s="2" t="s">
        <v>266</v>
      </c>
      <c r="Q1466" s="2" t="s">
        <v>234</v>
      </c>
      <c r="R1466" s="2" t="s">
        <v>228</v>
      </c>
      <c r="S1466" s="2" t="s">
        <v>228</v>
      </c>
      <c r="T1466" s="2" t="s">
        <v>228</v>
      </c>
      <c r="U1466" s="2" t="s">
        <v>500</v>
      </c>
      <c r="V1466" s="2" t="s">
        <v>859</v>
      </c>
      <c r="W1466" s="2" t="s">
        <v>309</v>
      </c>
      <c r="X1466" s="2" t="s">
        <v>417</v>
      </c>
      <c r="Y1466" s="2" t="s">
        <v>1313</v>
      </c>
      <c r="Z1466" s="4">
        <v>37</v>
      </c>
      <c r="AA1466" s="4">
        <f>=ROUNDDOWN(7.4,0)</f>
      </c>
      <c r="AB1466" s="5">
        <v>5</v>
      </c>
      <c r="AC1466" s="2" t="s">
        <v>1352</v>
      </c>
      <c r="AD1466" s="4">
        <v>100</v>
      </c>
      <c r="AE1466" s="4">
        <v>100</v>
      </c>
      <c r="AF1466" s="6">
        <v>63</v>
      </c>
      <c r="AG1466" s="6"/>
      <c r="AH1466" s="7">
        <v>1</v>
      </c>
      <c r="AI1466" s="4"/>
      <c r="AJ1466" s="4">
        <f>=ROUNDDOWN({0},0)</f>
      </c>
      <c r="AK1466" s="5"/>
      <c r="AL1466" s="2" t="s">
        <v>228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/>
      <c r="AW1466" s="8"/>
      <c r="AX1466" s="4"/>
      <c r="AY1466" s="8"/>
      <c r="AZ1466" s="7"/>
      <c r="BA1466" s="7"/>
      <c r="BB1466" s="7"/>
      <c r="BC1466" s="4" t="s">
        <v>228</v>
      </c>
      <c r="BD1466" s="8" t="s">
        <v>228</v>
      </c>
      <c r="BE1466" s="4" t="s">
        <v>228</v>
      </c>
      <c r="BF1466" s="8" t="s">
        <v>228</v>
      </c>
      <c r="BG1466" s="7" t="s">
        <v>228</v>
      </c>
      <c r="BH1466" s="7" t="s">
        <v>228</v>
      </c>
      <c r="BI1466" s="7"/>
      <c r="BJ1466" s="4">
        <v>15</v>
      </c>
      <c r="BK1466" s="8">
        <v>1203.87</v>
      </c>
      <c r="BL1466" s="2" t="s">
        <v>7509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7510</v>
      </c>
      <c r="BV1466" s="2" t="s">
        <v>228</v>
      </c>
      <c r="BW1466" s="2" t="s">
        <v>228</v>
      </c>
      <c r="BX1466" s="2" t="s">
        <v>273</v>
      </c>
      <c r="BY1466" s="2" t="s">
        <v>274</v>
      </c>
      <c r="BZ1466" s="2" t="s">
        <v>240</v>
      </c>
      <c r="CA1466" s="2" t="s">
        <v>5817</v>
      </c>
      <c r="CB1466" s="2" t="s">
        <v>7511</v>
      </c>
      <c r="CC1466" s="2" t="s">
        <v>241</v>
      </c>
      <c r="CD1466" s="2" t="s">
        <v>228</v>
      </c>
      <c r="CE1466" s="4"/>
      <c r="CF1466" s="4">
        <v>37</v>
      </c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>
        <v>100</v>
      </c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/>
      <c r="GH1466" s="4"/>
      <c r="GI1466" s="4"/>
      <c r="GJ1466" s="4"/>
      <c r="GK1466" s="4"/>
      <c r="GL1466" s="4"/>
      <c r="GM1466" s="4"/>
      <c r="GN1466" s="4"/>
      <c r="GO1466" s="4"/>
      <c r="GP1466" s="4"/>
      <c r="GQ1466" s="4"/>
      <c r="GR1466" s="4"/>
      <c r="GS1466" s="4"/>
      <c r="GT1466" s="4"/>
      <c r="GU1466" s="4"/>
      <c r="GV1466" s="4"/>
      <c r="GW1466" s="4"/>
      <c r="GX1466" s="4"/>
      <c r="GY1466" s="4"/>
      <c r="GZ1466" s="4"/>
      <c r="HA1466" s="4"/>
      <c r="HB1466" s="4"/>
      <c r="HC1466" s="4"/>
      <c r="HD1466" s="4"/>
      <c r="HE1466" s="4"/>
    </row>
    <row r="1467">
      <c r="A1467" s="2" t="s">
        <v>7512</v>
      </c>
      <c r="B1467" s="2" t="s">
        <v>866</v>
      </c>
      <c r="C1467" s="2" t="s">
        <v>300</v>
      </c>
      <c r="D1467" s="2" t="s">
        <v>899</v>
      </c>
      <c r="E1467" s="2" t="s">
        <v>1891</v>
      </c>
      <c r="F1467" s="2" t="s">
        <v>7513</v>
      </c>
      <c r="G1467" s="2" t="s">
        <v>7513</v>
      </c>
      <c r="H1467" s="2" t="s">
        <v>7513</v>
      </c>
      <c r="I1467" s="2" t="s">
        <v>7514</v>
      </c>
      <c r="J1467" s="2" t="s">
        <v>840</v>
      </c>
      <c r="K1467" s="2" t="s">
        <v>265</v>
      </c>
      <c r="L1467" s="3">
        <v>24.48</v>
      </c>
      <c r="M1467" s="3">
        <v>25.7</v>
      </c>
      <c r="N1467" s="3">
        <v>59.49</v>
      </c>
      <c r="O1467" s="2" t="s">
        <v>240</v>
      </c>
      <c r="P1467" s="2" t="s">
        <v>1012</v>
      </c>
      <c r="Q1467" s="2" t="s">
        <v>234</v>
      </c>
      <c r="R1467" s="2" t="s">
        <v>228</v>
      </c>
      <c r="S1467" s="2" t="s">
        <v>228</v>
      </c>
      <c r="T1467" s="2" t="s">
        <v>228</v>
      </c>
      <c r="U1467" s="2" t="s">
        <v>416</v>
      </c>
      <c r="V1467" s="2" t="s">
        <v>1156</v>
      </c>
      <c r="W1467" s="2" t="s">
        <v>463</v>
      </c>
      <c r="X1467" s="2" t="s">
        <v>228</v>
      </c>
      <c r="Y1467" s="2" t="s">
        <v>6295</v>
      </c>
      <c r="Z1467" s="4">
        <v>115</v>
      </c>
      <c r="AA1467" s="4">
        <f>=ROUNDDOWN(42.5925925925926,0)</f>
      </c>
      <c r="AB1467" s="5">
        <v>2.7</v>
      </c>
      <c r="AC1467" s="2" t="s">
        <v>228</v>
      </c>
      <c r="AD1467" s="4"/>
      <c r="AE1467" s="4"/>
      <c r="AF1467" s="6">
        <v>63</v>
      </c>
      <c r="AG1467" s="6"/>
      <c r="AH1467" s="7">
        <v>1</v>
      </c>
      <c r="AI1467" s="4"/>
      <c r="AJ1467" s="4">
        <f>=ROUNDDOWN({0},0)</f>
      </c>
      <c r="AK1467" s="5"/>
      <c r="AL1467" s="2" t="s">
        <v>228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/>
      <c r="AW1467" s="8"/>
      <c r="AX1467" s="4"/>
      <c r="AY1467" s="8"/>
      <c r="AZ1467" s="7"/>
      <c r="BA1467" s="7"/>
      <c r="BB1467" s="7"/>
      <c r="BC1467" s="4"/>
      <c r="BD1467" s="8"/>
      <c r="BE1467" s="4"/>
      <c r="BF1467" s="8"/>
      <c r="BG1467" s="7"/>
      <c r="BH1467" s="7"/>
      <c r="BI1467" s="7"/>
      <c r="BJ1467" s="4">
        <v>10</v>
      </c>
      <c r="BK1467" s="8">
        <v>295.07</v>
      </c>
      <c r="BL1467" s="2" t="s">
        <v>7515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7516</v>
      </c>
      <c r="BV1467" s="2" t="s">
        <v>228</v>
      </c>
      <c r="BW1467" s="2" t="s">
        <v>228</v>
      </c>
      <c r="BX1467" s="2" t="s">
        <v>273</v>
      </c>
      <c r="BY1467" s="2" t="s">
        <v>274</v>
      </c>
      <c r="BZ1467" s="2" t="s">
        <v>240</v>
      </c>
      <c r="CA1467" s="2" t="s">
        <v>7517</v>
      </c>
      <c r="CB1467" s="2" t="s">
        <v>7518</v>
      </c>
      <c r="CC1467" s="2" t="s">
        <v>241</v>
      </c>
      <c r="CD1467" s="2" t="s">
        <v>228</v>
      </c>
      <c r="CE1467" s="4"/>
      <c r="CF1467" s="4">
        <v>115</v>
      </c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  <c r="GG1467" s="4"/>
      <c r="GH1467" s="4"/>
      <c r="GI1467" s="4"/>
      <c r="GJ1467" s="4"/>
      <c r="GK1467" s="4"/>
      <c r="GL1467" s="4"/>
      <c r="GM1467" s="4"/>
      <c r="GN1467" s="4"/>
      <c r="GO1467" s="4"/>
      <c r="GP1467" s="4"/>
      <c r="GQ1467" s="4"/>
      <c r="GR1467" s="4"/>
      <c r="GS1467" s="4"/>
      <c r="GT1467" s="4"/>
      <c r="GU1467" s="4"/>
      <c r="GV1467" s="4"/>
      <c r="GW1467" s="4"/>
      <c r="GX1467" s="4"/>
      <c r="GY1467" s="4"/>
      <c r="GZ1467" s="4"/>
      <c r="HA1467" s="4"/>
      <c r="HB1467" s="4"/>
      <c r="HC1467" s="4"/>
      <c r="HD1467" s="4"/>
      <c r="HE1467" s="4"/>
    </row>
    <row r="1468">
      <c r="A1468" s="2" t="s">
        <v>7519</v>
      </c>
      <c r="B1468" s="2" t="s">
        <v>1150</v>
      </c>
      <c r="C1468" s="2" t="s">
        <v>345</v>
      </c>
      <c r="D1468" s="2" t="s">
        <v>1112</v>
      </c>
      <c r="E1468" s="2" t="s">
        <v>1151</v>
      </c>
      <c r="F1468" s="2" t="s">
        <v>7520</v>
      </c>
      <c r="G1468" s="2" t="s">
        <v>7521</v>
      </c>
      <c r="H1468" s="2" t="s">
        <v>7522</v>
      </c>
      <c r="I1468" s="2" t="s">
        <v>7523</v>
      </c>
      <c r="J1468" s="2" t="s">
        <v>294</v>
      </c>
      <c r="K1468" s="2" t="s">
        <v>265</v>
      </c>
      <c r="L1468" s="3">
        <v>35.71</v>
      </c>
      <c r="M1468" s="3">
        <v>37.5</v>
      </c>
      <c r="N1468" s="3">
        <v>74.99</v>
      </c>
      <c r="O1468" s="2" t="s">
        <v>240</v>
      </c>
      <c r="P1468" s="2" t="s">
        <v>233</v>
      </c>
      <c r="Q1468" s="2" t="s">
        <v>234</v>
      </c>
      <c r="R1468" s="2" t="s">
        <v>228</v>
      </c>
      <c r="S1468" s="2" t="s">
        <v>7524</v>
      </c>
      <c r="T1468" s="2" t="s">
        <v>415</v>
      </c>
      <c r="U1468" s="2" t="s">
        <v>1331</v>
      </c>
      <c r="V1468" s="2" t="s">
        <v>1156</v>
      </c>
      <c r="W1468" s="2" t="s">
        <v>269</v>
      </c>
      <c r="X1468" s="2" t="s">
        <v>843</v>
      </c>
      <c r="Y1468" s="2" t="s">
        <v>3573</v>
      </c>
      <c r="Z1468" s="4">
        <v>242</v>
      </c>
      <c r="AA1468" s="4">
        <f>=ROUNDDOWN(806.666666666667,0)</f>
      </c>
      <c r="AB1468" s="5">
        <v>0.3</v>
      </c>
      <c r="AC1468" s="2" t="s">
        <v>155</v>
      </c>
      <c r="AD1468" s="4">
        <v>90</v>
      </c>
      <c r="AE1468" s="4">
        <v>90</v>
      </c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228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/>
      <c r="AW1468" s="8"/>
      <c r="AX1468" s="4"/>
      <c r="AY1468" s="8"/>
      <c r="AZ1468" s="7"/>
      <c r="BA1468" s="7"/>
      <c r="BB1468" s="7"/>
      <c r="BC1468" s="4" t="s">
        <v>228</v>
      </c>
      <c r="BD1468" s="8" t="s">
        <v>228</v>
      </c>
      <c r="BE1468" s="4" t="s">
        <v>228</v>
      </c>
      <c r="BF1468" s="8" t="s">
        <v>228</v>
      </c>
      <c r="BG1468" s="7" t="s">
        <v>228</v>
      </c>
      <c r="BH1468" s="7" t="s">
        <v>228</v>
      </c>
      <c r="BI1468" s="7"/>
      <c r="BJ1468" s="4">
        <v>2</v>
      </c>
      <c r="BK1468" s="8">
        <v>81.57</v>
      </c>
      <c r="BL1468" s="2" t="s">
        <v>3169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7525</v>
      </c>
      <c r="BV1468" s="2" t="s">
        <v>228</v>
      </c>
      <c r="BW1468" s="2" t="s">
        <v>228</v>
      </c>
      <c r="BX1468" s="2" t="s">
        <v>238</v>
      </c>
      <c r="BY1468" s="2" t="s">
        <v>274</v>
      </c>
      <c r="BZ1468" s="2" t="s">
        <v>240</v>
      </c>
      <c r="CA1468" s="2" t="s">
        <v>2113</v>
      </c>
      <c r="CB1468" s="2" t="s">
        <v>228</v>
      </c>
      <c r="CC1468" s="2" t="s">
        <v>241</v>
      </c>
      <c r="CD1468" s="2" t="s">
        <v>228</v>
      </c>
      <c r="CE1468" s="4">
        <v>242</v>
      </c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>
        <v>90</v>
      </c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/>
      <c r="GF1468" s="4"/>
      <c r="GG1468" s="4"/>
      <c r="GH1468" s="4"/>
      <c r="GI1468" s="4"/>
      <c r="GJ1468" s="4"/>
      <c r="GK1468" s="4"/>
      <c r="GL1468" s="4"/>
      <c r="GM1468" s="4"/>
      <c r="GN1468" s="4"/>
      <c r="GO1468" s="4"/>
      <c r="GP1468" s="4"/>
      <c r="GQ1468" s="4"/>
      <c r="GR1468" s="4"/>
      <c r="GS1468" s="4"/>
      <c r="GT1468" s="4"/>
      <c r="GU1468" s="4"/>
      <c r="GV1468" s="4"/>
      <c r="GW1468" s="4"/>
      <c r="GX1468" s="4"/>
      <c r="GY1468" s="4"/>
      <c r="GZ1468" s="4"/>
      <c r="HA1468" s="4"/>
      <c r="HB1468" s="4"/>
      <c r="HC1468" s="4"/>
      <c r="HD1468" s="4"/>
      <c r="HE1468" s="4"/>
    </row>
    <row r="1469">
      <c r="A1469" s="2" t="s">
        <v>7526</v>
      </c>
      <c r="B1469" s="2" t="s">
        <v>1150</v>
      </c>
      <c r="C1469" s="2" t="s">
        <v>345</v>
      </c>
      <c r="D1469" s="2" t="s">
        <v>1112</v>
      </c>
      <c r="E1469" s="2" t="s">
        <v>1151</v>
      </c>
      <c r="F1469" s="2" t="s">
        <v>7520</v>
      </c>
      <c r="G1469" s="2" t="s">
        <v>7521</v>
      </c>
      <c r="H1469" s="2" t="s">
        <v>7522</v>
      </c>
      <c r="I1469" s="2" t="s">
        <v>7523</v>
      </c>
      <c r="J1469" s="2" t="s">
        <v>284</v>
      </c>
      <c r="K1469" s="2" t="s">
        <v>829</v>
      </c>
      <c r="L1469" s="3">
        <v>28.57</v>
      </c>
      <c r="M1469" s="3">
        <v>30</v>
      </c>
      <c r="N1469" s="3">
        <v>59.99</v>
      </c>
      <c r="O1469" s="2" t="s">
        <v>240</v>
      </c>
      <c r="P1469" s="2" t="s">
        <v>233</v>
      </c>
      <c r="Q1469" s="2" t="s">
        <v>234</v>
      </c>
      <c r="R1469" s="2" t="s">
        <v>228</v>
      </c>
      <c r="S1469" s="2" t="s">
        <v>7527</v>
      </c>
      <c r="T1469" s="2" t="s">
        <v>415</v>
      </c>
      <c r="U1469" s="2" t="s">
        <v>1331</v>
      </c>
      <c r="V1469" s="2" t="s">
        <v>1156</v>
      </c>
      <c r="W1469" s="2" t="s">
        <v>269</v>
      </c>
      <c r="X1469" s="2" t="s">
        <v>843</v>
      </c>
      <c r="Y1469" s="2" t="s">
        <v>3573</v>
      </c>
      <c r="Z1469" s="4">
        <v>138</v>
      </c>
      <c r="AA1469" s="4">
        <f>=ROUNDDOWN(460,0)</f>
      </c>
      <c r="AB1469" s="5">
        <v>0.3</v>
      </c>
      <c r="AC1469" s="2" t="s">
        <v>155</v>
      </c>
      <c r="AD1469" s="4">
        <v>60</v>
      </c>
      <c r="AE1469" s="4">
        <v>60</v>
      </c>
      <c r="AF1469" s="6">
        <v>65</v>
      </c>
      <c r="AG1469" s="6"/>
      <c r="AH1469" s="7">
        <v>1</v>
      </c>
      <c r="AI1469" s="4"/>
      <c r="AJ1469" s="4">
        <f>=ROUNDDOWN({0},0)</f>
      </c>
      <c r="AK1469" s="5"/>
      <c r="AL1469" s="2" t="s">
        <v>228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 t="s">
        <v>228</v>
      </c>
      <c r="AW1469" s="8" t="s">
        <v>228</v>
      </c>
      <c r="AX1469" s="4" t="s">
        <v>228</v>
      </c>
      <c r="AY1469" s="8" t="s">
        <v>228</v>
      </c>
      <c r="AZ1469" s="7" t="s">
        <v>228</v>
      </c>
      <c r="BA1469" s="7" t="s">
        <v>228</v>
      </c>
      <c r="BB1469" s="7"/>
      <c r="BC1469" s="4" t="s">
        <v>228</v>
      </c>
      <c r="BD1469" s="8" t="s">
        <v>228</v>
      </c>
      <c r="BE1469" s="4" t="s">
        <v>228</v>
      </c>
      <c r="BF1469" s="8" t="s">
        <v>228</v>
      </c>
      <c r="BG1469" s="7" t="s">
        <v>228</v>
      </c>
      <c r="BH1469" s="7" t="s">
        <v>228</v>
      </c>
      <c r="BI1469" s="7"/>
      <c r="BJ1469" s="4">
        <v>2</v>
      </c>
      <c r="BK1469" s="8">
        <v>65.26</v>
      </c>
      <c r="BL1469" s="2" t="s">
        <v>3169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7528</v>
      </c>
      <c r="BV1469" s="2" t="s">
        <v>228</v>
      </c>
      <c r="BW1469" s="2" t="s">
        <v>228</v>
      </c>
      <c r="BX1469" s="2" t="s">
        <v>238</v>
      </c>
      <c r="BY1469" s="2" t="s">
        <v>274</v>
      </c>
      <c r="BZ1469" s="2" t="s">
        <v>240</v>
      </c>
      <c r="CA1469" s="2" t="s">
        <v>2113</v>
      </c>
      <c r="CB1469" s="2" t="s">
        <v>228</v>
      </c>
      <c r="CC1469" s="2" t="s">
        <v>241</v>
      </c>
      <c r="CD1469" s="2" t="s">
        <v>228</v>
      </c>
      <c r="CE1469" s="4">
        <v>137</v>
      </c>
      <c r="CF1469" s="4"/>
      <c r="CG1469" s="4"/>
      <c r="CH1469" s="4"/>
      <c r="CI1469" s="4"/>
      <c r="CJ1469" s="4"/>
      <c r="CK1469" s="4">
        <v>1</v>
      </c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>
        <v>60</v>
      </c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/>
      <c r="GG1469" s="4"/>
      <c r="GH1469" s="4"/>
      <c r="GI1469" s="4"/>
      <c r="GJ1469" s="4"/>
      <c r="GK1469" s="4"/>
      <c r="GL1469" s="4"/>
      <c r="GM1469" s="4"/>
      <c r="GN1469" s="4"/>
      <c r="GO1469" s="4"/>
      <c r="GP1469" s="4"/>
      <c r="GQ1469" s="4"/>
      <c r="GR1469" s="4"/>
      <c r="GS1469" s="4"/>
      <c r="GT1469" s="4"/>
      <c r="GU1469" s="4"/>
      <c r="GV1469" s="4"/>
      <c r="GW1469" s="4"/>
      <c r="GX1469" s="4"/>
      <c r="GY1469" s="4"/>
      <c r="GZ1469" s="4"/>
      <c r="HA1469" s="4"/>
      <c r="HB1469" s="4"/>
      <c r="HC1469" s="4"/>
      <c r="HD1469" s="4"/>
      <c r="HE1469" s="4"/>
    </row>
    <row r="1470">
      <c r="A1470" s="2" t="s">
        <v>7529</v>
      </c>
      <c r="B1470" s="2" t="s">
        <v>1150</v>
      </c>
      <c r="C1470" s="2" t="s">
        <v>345</v>
      </c>
      <c r="D1470" s="2" t="s">
        <v>1112</v>
      </c>
      <c r="E1470" s="2" t="s">
        <v>1151</v>
      </c>
      <c r="F1470" s="2" t="s">
        <v>7520</v>
      </c>
      <c r="G1470" s="2" t="s">
        <v>7521</v>
      </c>
      <c r="H1470" s="2" t="s">
        <v>7522</v>
      </c>
      <c r="I1470" s="2" t="s">
        <v>7523</v>
      </c>
      <c r="J1470" s="2" t="s">
        <v>289</v>
      </c>
      <c r="K1470" s="2" t="s">
        <v>829</v>
      </c>
      <c r="L1470" s="3">
        <v>30.95</v>
      </c>
      <c r="M1470" s="3">
        <v>32.5</v>
      </c>
      <c r="N1470" s="3">
        <v>64.99</v>
      </c>
      <c r="O1470" s="2" t="s">
        <v>240</v>
      </c>
      <c r="P1470" s="2" t="s">
        <v>233</v>
      </c>
      <c r="Q1470" s="2" t="s">
        <v>234</v>
      </c>
      <c r="R1470" s="2" t="s">
        <v>228</v>
      </c>
      <c r="S1470" s="2" t="s">
        <v>7527</v>
      </c>
      <c r="T1470" s="2" t="s">
        <v>415</v>
      </c>
      <c r="U1470" s="2" t="s">
        <v>1331</v>
      </c>
      <c r="V1470" s="2" t="s">
        <v>1156</v>
      </c>
      <c r="W1470" s="2" t="s">
        <v>269</v>
      </c>
      <c r="X1470" s="2" t="s">
        <v>843</v>
      </c>
      <c r="Y1470" s="2" t="s">
        <v>3573</v>
      </c>
      <c r="Z1470" s="4">
        <v>399</v>
      </c>
      <c r="AA1470" s="4">
        <f>=ROUNDDOWN(147.777777777778,0)</f>
      </c>
      <c r="AB1470" s="5">
        <v>2.7</v>
      </c>
      <c r="AC1470" s="2" t="s">
        <v>155</v>
      </c>
      <c r="AD1470" s="4">
        <v>130</v>
      </c>
      <c r="AE1470" s="4">
        <v>130</v>
      </c>
      <c r="AF1470" s="6">
        <v>65</v>
      </c>
      <c r="AG1470" s="6"/>
      <c r="AH1470" s="7">
        <v>1</v>
      </c>
      <c r="AI1470" s="4"/>
      <c r="AJ1470" s="4">
        <f>=ROUNDDOWN({0},0)</f>
      </c>
      <c r="AK1470" s="5"/>
      <c r="AL1470" s="2" t="s">
        <v>228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228</v>
      </c>
      <c r="AW1470" s="8" t="s">
        <v>228</v>
      </c>
      <c r="AX1470" s="4" t="s">
        <v>228</v>
      </c>
      <c r="AY1470" s="8" t="s">
        <v>228</v>
      </c>
      <c r="AZ1470" s="7" t="s">
        <v>228</v>
      </c>
      <c r="BA1470" s="7" t="s">
        <v>228</v>
      </c>
      <c r="BB1470" s="7"/>
      <c r="BC1470" s="4" t="s">
        <v>228</v>
      </c>
      <c r="BD1470" s="8" t="s">
        <v>228</v>
      </c>
      <c r="BE1470" s="4" t="s">
        <v>228</v>
      </c>
      <c r="BF1470" s="8" t="s">
        <v>228</v>
      </c>
      <c r="BG1470" s="7" t="s">
        <v>228</v>
      </c>
      <c r="BH1470" s="7" t="s">
        <v>228</v>
      </c>
      <c r="BI1470" s="7"/>
      <c r="BJ1470" s="4">
        <v>8</v>
      </c>
      <c r="BK1470" s="8">
        <v>280.8</v>
      </c>
      <c r="BL1470" s="2" t="s">
        <v>622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7530</v>
      </c>
      <c r="BV1470" s="2" t="s">
        <v>228</v>
      </c>
      <c r="BW1470" s="2" t="s">
        <v>228</v>
      </c>
      <c r="BX1470" s="2" t="s">
        <v>238</v>
      </c>
      <c r="BY1470" s="2" t="s">
        <v>274</v>
      </c>
      <c r="BZ1470" s="2" t="s">
        <v>240</v>
      </c>
      <c r="CA1470" s="2" t="s">
        <v>2113</v>
      </c>
      <c r="CB1470" s="2" t="s">
        <v>228</v>
      </c>
      <c r="CC1470" s="2" t="s">
        <v>241</v>
      </c>
      <c r="CD1470" s="2" t="s">
        <v>228</v>
      </c>
      <c r="CE1470" s="4">
        <v>397</v>
      </c>
      <c r="CF1470" s="4"/>
      <c r="CG1470" s="4"/>
      <c r="CH1470" s="4"/>
      <c r="CI1470" s="4"/>
      <c r="CJ1470" s="4"/>
      <c r="CK1470" s="4">
        <v>2</v>
      </c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>
        <v>130</v>
      </c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/>
      <c r="GH1470" s="4"/>
      <c r="GI1470" s="4"/>
      <c r="GJ1470" s="4"/>
      <c r="GK1470" s="4"/>
      <c r="GL1470" s="4"/>
      <c r="GM1470" s="4"/>
      <c r="GN1470" s="4"/>
      <c r="GO1470" s="4"/>
      <c r="GP1470" s="4"/>
      <c r="GQ1470" s="4"/>
      <c r="GR1470" s="4"/>
      <c r="GS1470" s="4"/>
      <c r="GT1470" s="4"/>
      <c r="GU1470" s="4"/>
      <c r="GV1470" s="4"/>
      <c r="GW1470" s="4"/>
      <c r="GX1470" s="4"/>
      <c r="GY1470" s="4"/>
      <c r="GZ1470" s="4"/>
      <c r="HA1470" s="4"/>
      <c r="HB1470" s="4"/>
      <c r="HC1470" s="4"/>
      <c r="HD1470" s="4"/>
      <c r="HE1470" s="4"/>
    </row>
    <row r="1471">
      <c r="A1471" s="2" t="s">
        <v>7531</v>
      </c>
      <c r="B1471" s="2" t="s">
        <v>1150</v>
      </c>
      <c r="C1471" s="2" t="s">
        <v>345</v>
      </c>
      <c r="D1471" s="2" t="s">
        <v>1112</v>
      </c>
      <c r="E1471" s="2" t="s">
        <v>1151</v>
      </c>
      <c r="F1471" s="2" t="s">
        <v>7520</v>
      </c>
      <c r="G1471" s="2" t="s">
        <v>7521</v>
      </c>
      <c r="H1471" s="2" t="s">
        <v>7522</v>
      </c>
      <c r="I1471" s="2" t="s">
        <v>7523</v>
      </c>
      <c r="J1471" s="2" t="s">
        <v>294</v>
      </c>
      <c r="K1471" s="2" t="s">
        <v>829</v>
      </c>
      <c r="L1471" s="3">
        <v>35.71</v>
      </c>
      <c r="M1471" s="3">
        <v>37.5</v>
      </c>
      <c r="N1471" s="3">
        <v>74.99</v>
      </c>
      <c r="O1471" s="2" t="s">
        <v>240</v>
      </c>
      <c r="P1471" s="2" t="s">
        <v>233</v>
      </c>
      <c r="Q1471" s="2" t="s">
        <v>234</v>
      </c>
      <c r="R1471" s="2" t="s">
        <v>228</v>
      </c>
      <c r="S1471" s="2" t="s">
        <v>7527</v>
      </c>
      <c r="T1471" s="2" t="s">
        <v>415</v>
      </c>
      <c r="U1471" s="2" t="s">
        <v>1331</v>
      </c>
      <c r="V1471" s="2" t="s">
        <v>1156</v>
      </c>
      <c r="W1471" s="2" t="s">
        <v>269</v>
      </c>
      <c r="X1471" s="2" t="s">
        <v>843</v>
      </c>
      <c r="Y1471" s="2" t="s">
        <v>831</v>
      </c>
      <c r="Z1471" s="4">
        <v>233</v>
      </c>
      <c r="AA1471" s="4">
        <f>=ROUNDDOWN(116.5,0)</f>
      </c>
      <c r="AB1471" s="5">
        <v>2</v>
      </c>
      <c r="AC1471" s="2" t="s">
        <v>155</v>
      </c>
      <c r="AD1471" s="4">
        <v>90</v>
      </c>
      <c r="AE1471" s="4">
        <v>90</v>
      </c>
      <c r="AF1471" s="6">
        <v>65</v>
      </c>
      <c r="AG1471" s="6"/>
      <c r="AH1471" s="7">
        <v>1</v>
      </c>
      <c r="AI1471" s="4"/>
      <c r="AJ1471" s="4">
        <f>=ROUNDDOWN({0},0)</f>
      </c>
      <c r="AK1471" s="5"/>
      <c r="AL1471" s="2" t="s">
        <v>228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228</v>
      </c>
      <c r="AW1471" s="8" t="s">
        <v>228</v>
      </c>
      <c r="AX1471" s="4" t="s">
        <v>228</v>
      </c>
      <c r="AY1471" s="8" t="s">
        <v>228</v>
      </c>
      <c r="AZ1471" s="7" t="s">
        <v>228</v>
      </c>
      <c r="BA1471" s="7" t="s">
        <v>228</v>
      </c>
      <c r="BB1471" s="7"/>
      <c r="BC1471" s="4" t="s">
        <v>228</v>
      </c>
      <c r="BD1471" s="8" t="s">
        <v>228</v>
      </c>
      <c r="BE1471" s="4" t="s">
        <v>228</v>
      </c>
      <c r="BF1471" s="8" t="s">
        <v>228</v>
      </c>
      <c r="BG1471" s="7" t="s">
        <v>228</v>
      </c>
      <c r="BH1471" s="7" t="s">
        <v>228</v>
      </c>
      <c r="BI1471" s="7"/>
      <c r="BJ1471" s="4">
        <v>5</v>
      </c>
      <c r="BK1471" s="8">
        <v>203.07</v>
      </c>
      <c r="BL1471" s="2" t="s">
        <v>3169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7532</v>
      </c>
      <c r="BV1471" s="2" t="s">
        <v>228</v>
      </c>
      <c r="BW1471" s="2" t="s">
        <v>228</v>
      </c>
      <c r="BX1471" s="2" t="s">
        <v>238</v>
      </c>
      <c r="BY1471" s="2" t="s">
        <v>274</v>
      </c>
      <c r="BZ1471" s="2" t="s">
        <v>240</v>
      </c>
      <c r="CA1471" s="2" t="s">
        <v>2113</v>
      </c>
      <c r="CB1471" s="2" t="s">
        <v>228</v>
      </c>
      <c r="CC1471" s="2" t="s">
        <v>241</v>
      </c>
      <c r="CD1471" s="2" t="s">
        <v>228</v>
      </c>
      <c r="CE1471" s="4">
        <v>233</v>
      </c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>
        <v>90</v>
      </c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/>
      <c r="GE1471" s="4"/>
      <c r="GF1471" s="4"/>
      <c r="GG1471" s="4"/>
      <c r="GH1471" s="4"/>
      <c r="GI1471" s="4"/>
      <c r="GJ1471" s="4"/>
      <c r="GK1471" s="4"/>
      <c r="GL1471" s="4"/>
      <c r="GM1471" s="4"/>
      <c r="GN1471" s="4"/>
      <c r="GO1471" s="4"/>
      <c r="GP1471" s="4"/>
      <c r="GQ1471" s="4"/>
      <c r="GR1471" s="4"/>
      <c r="GS1471" s="4"/>
      <c r="GT1471" s="4"/>
      <c r="GU1471" s="4"/>
      <c r="GV1471" s="4"/>
      <c r="GW1471" s="4"/>
      <c r="GX1471" s="4"/>
      <c r="GY1471" s="4"/>
      <c r="GZ1471" s="4"/>
      <c r="HA1471" s="4"/>
      <c r="HB1471" s="4"/>
      <c r="HC1471" s="4"/>
      <c r="HD1471" s="4"/>
      <c r="HE1471" s="4"/>
    </row>
    <row r="1472">
      <c r="A1472" s="2" t="s">
        <v>7533</v>
      </c>
      <c r="B1472" s="2" t="s">
        <v>1150</v>
      </c>
      <c r="C1472" s="2" t="s">
        <v>345</v>
      </c>
      <c r="D1472" s="2" t="s">
        <v>1112</v>
      </c>
      <c r="E1472" s="2" t="s">
        <v>1151</v>
      </c>
      <c r="F1472" s="2" t="s">
        <v>7520</v>
      </c>
      <c r="G1472" s="2" t="s">
        <v>7521</v>
      </c>
      <c r="H1472" s="2" t="s">
        <v>7522</v>
      </c>
      <c r="I1472" s="2" t="s">
        <v>7523</v>
      </c>
      <c r="J1472" s="2" t="s">
        <v>312</v>
      </c>
      <c r="K1472" s="2" t="s">
        <v>829</v>
      </c>
      <c r="L1472" s="3">
        <v>35.71</v>
      </c>
      <c r="M1472" s="3">
        <v>37.5</v>
      </c>
      <c r="N1472" s="3">
        <v>74.99</v>
      </c>
      <c r="O1472" s="2" t="s">
        <v>240</v>
      </c>
      <c r="P1472" s="2" t="s">
        <v>233</v>
      </c>
      <c r="Q1472" s="2" t="s">
        <v>234</v>
      </c>
      <c r="R1472" s="2" t="s">
        <v>228</v>
      </c>
      <c r="S1472" s="2" t="s">
        <v>7527</v>
      </c>
      <c r="T1472" s="2" t="s">
        <v>415</v>
      </c>
      <c r="U1472" s="2" t="s">
        <v>1331</v>
      </c>
      <c r="V1472" s="2" t="s">
        <v>1156</v>
      </c>
      <c r="W1472" s="2" t="s">
        <v>269</v>
      </c>
      <c r="X1472" s="2" t="s">
        <v>843</v>
      </c>
      <c r="Y1472" s="2" t="s">
        <v>831</v>
      </c>
      <c r="Z1472" s="4">
        <v>136</v>
      </c>
      <c r="AA1472" s="4">
        <f>=ROUNDDOWN(104.615384615385,0)</f>
      </c>
      <c r="AB1472" s="5">
        <v>1.3</v>
      </c>
      <c r="AC1472" s="2" t="s">
        <v>155</v>
      </c>
      <c r="AD1472" s="4">
        <v>50</v>
      </c>
      <c r="AE1472" s="4">
        <v>50</v>
      </c>
      <c r="AF1472" s="6">
        <v>65</v>
      </c>
      <c r="AG1472" s="6"/>
      <c r="AH1472" s="7">
        <v>1</v>
      </c>
      <c r="AI1472" s="4"/>
      <c r="AJ1472" s="4">
        <f>=ROUNDDOWN({0},0)</f>
      </c>
      <c r="AK1472" s="5"/>
      <c r="AL1472" s="2" t="s">
        <v>228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 t="s">
        <v>228</v>
      </c>
      <c r="AW1472" s="8" t="s">
        <v>228</v>
      </c>
      <c r="AX1472" s="4" t="s">
        <v>228</v>
      </c>
      <c r="AY1472" s="8" t="s">
        <v>228</v>
      </c>
      <c r="AZ1472" s="7" t="s">
        <v>228</v>
      </c>
      <c r="BA1472" s="7" t="s">
        <v>228</v>
      </c>
      <c r="BB1472" s="7"/>
      <c r="BC1472" s="4" t="s">
        <v>228</v>
      </c>
      <c r="BD1472" s="8" t="s">
        <v>228</v>
      </c>
      <c r="BE1472" s="4" t="s">
        <v>228</v>
      </c>
      <c r="BF1472" s="8" t="s">
        <v>228</v>
      </c>
      <c r="BG1472" s="7" t="s">
        <v>228</v>
      </c>
      <c r="BH1472" s="7" t="s">
        <v>228</v>
      </c>
      <c r="BI1472" s="7"/>
      <c r="BJ1472" s="4">
        <v>5</v>
      </c>
      <c r="BK1472" s="8">
        <v>203.07</v>
      </c>
      <c r="BL1472" s="2" t="s">
        <v>3169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7534</v>
      </c>
      <c r="BV1472" s="2" t="s">
        <v>228</v>
      </c>
      <c r="BW1472" s="2" t="s">
        <v>228</v>
      </c>
      <c r="BX1472" s="2" t="s">
        <v>238</v>
      </c>
      <c r="BY1472" s="2" t="s">
        <v>274</v>
      </c>
      <c r="BZ1472" s="2" t="s">
        <v>240</v>
      </c>
      <c r="CA1472" s="2" t="s">
        <v>2113</v>
      </c>
      <c r="CB1472" s="2" t="s">
        <v>228</v>
      </c>
      <c r="CC1472" s="2" t="s">
        <v>241</v>
      </c>
      <c r="CD1472" s="2" t="s">
        <v>228</v>
      </c>
      <c r="CE1472" s="4">
        <v>136</v>
      </c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>
        <v>50</v>
      </c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  <c r="GG1472" s="4"/>
      <c r="GH1472" s="4"/>
      <c r="GI1472" s="4"/>
      <c r="GJ1472" s="4"/>
      <c r="GK1472" s="4"/>
      <c r="GL1472" s="4"/>
      <c r="GM1472" s="4"/>
      <c r="GN1472" s="4"/>
      <c r="GO1472" s="4"/>
      <c r="GP1472" s="4"/>
      <c r="GQ1472" s="4"/>
      <c r="GR1472" s="4"/>
      <c r="GS1472" s="4"/>
      <c r="GT1472" s="4"/>
      <c r="GU1472" s="4"/>
      <c r="GV1472" s="4"/>
      <c r="GW1472" s="4"/>
      <c r="GX1472" s="4"/>
      <c r="GY1472" s="4"/>
      <c r="GZ1472" s="4"/>
      <c r="HA1472" s="4"/>
      <c r="HB1472" s="4"/>
      <c r="HC1472" s="4"/>
      <c r="HD1472" s="4"/>
      <c r="HE1472" s="4"/>
    </row>
    <row r="1473">
      <c r="A1473" s="2" t="s">
        <v>7535</v>
      </c>
      <c r="B1473" s="2" t="s">
        <v>834</v>
      </c>
      <c r="C1473" s="2" t="s">
        <v>1743</v>
      </c>
      <c r="D1473" s="2" t="s">
        <v>1101</v>
      </c>
      <c r="E1473" s="2" t="s">
        <v>1102</v>
      </c>
      <c r="F1473" s="2" t="s">
        <v>7536</v>
      </c>
      <c r="G1473" s="2" t="s">
        <v>7536</v>
      </c>
      <c r="H1473" s="2" t="s">
        <v>7536</v>
      </c>
      <c r="I1473" s="2" t="s">
        <v>7537</v>
      </c>
      <c r="J1473" s="2" t="s">
        <v>840</v>
      </c>
      <c r="K1473" s="2" t="s">
        <v>993</v>
      </c>
      <c r="L1473" s="3">
        <v>62</v>
      </c>
      <c r="M1473" s="3">
        <v>65.1</v>
      </c>
      <c r="N1473" s="3">
        <v>129.99</v>
      </c>
      <c r="O1473" s="2" t="s">
        <v>240</v>
      </c>
      <c r="P1473" s="2" t="s">
        <v>233</v>
      </c>
      <c r="Q1473" s="2" t="s">
        <v>234</v>
      </c>
      <c r="R1473" s="2" t="s">
        <v>228</v>
      </c>
      <c r="S1473" s="2" t="s">
        <v>228</v>
      </c>
      <c r="T1473" s="2" t="s">
        <v>228</v>
      </c>
      <c r="U1473" s="2" t="s">
        <v>416</v>
      </c>
      <c r="V1473" s="2" t="s">
        <v>842</v>
      </c>
      <c r="W1473" s="2" t="s">
        <v>269</v>
      </c>
      <c r="X1473" s="2" t="s">
        <v>743</v>
      </c>
      <c r="Y1473" s="2" t="s">
        <v>3644</v>
      </c>
      <c r="Z1473" s="4">
        <v>88</v>
      </c>
      <c r="AA1473" s="4">
        <f>=ROUNDDOWN(58.6666666666667,0)</f>
      </c>
      <c r="AB1473" s="5">
        <v>1.5</v>
      </c>
      <c r="AC1473" s="2" t="s">
        <v>228</v>
      </c>
      <c r="AD1473" s="4"/>
      <c r="AE1473" s="4"/>
      <c r="AF1473" s="6">
        <v>63</v>
      </c>
      <c r="AG1473" s="6"/>
      <c r="AH1473" s="7">
        <v>1</v>
      </c>
      <c r="AI1473" s="4"/>
      <c r="AJ1473" s="4">
        <f>=ROUNDDOWN({0},0)</f>
      </c>
      <c r="AK1473" s="5"/>
      <c r="AL1473" s="2" t="s">
        <v>228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/>
      <c r="AW1473" s="8"/>
      <c r="AX1473" s="4"/>
      <c r="AY1473" s="8"/>
      <c r="AZ1473" s="7"/>
      <c r="BA1473" s="7"/>
      <c r="BB1473" s="7"/>
      <c r="BC1473" s="4" t="s">
        <v>228</v>
      </c>
      <c r="BD1473" s="8" t="s">
        <v>228</v>
      </c>
      <c r="BE1473" s="4" t="s">
        <v>228</v>
      </c>
      <c r="BF1473" s="8" t="s">
        <v>228</v>
      </c>
      <c r="BG1473" s="7" t="s">
        <v>228</v>
      </c>
      <c r="BH1473" s="7" t="s">
        <v>228</v>
      </c>
      <c r="BI1473" s="7"/>
      <c r="BJ1473" s="4">
        <v>1</v>
      </c>
      <c r="BK1473" s="8">
        <v>72.91</v>
      </c>
      <c r="BL1473" s="2" t="s">
        <v>622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7538</v>
      </c>
      <c r="BV1473" s="2" t="s">
        <v>228</v>
      </c>
      <c r="BW1473" s="2" t="s">
        <v>228</v>
      </c>
      <c r="BX1473" s="2" t="s">
        <v>273</v>
      </c>
      <c r="BY1473" s="2" t="s">
        <v>274</v>
      </c>
      <c r="BZ1473" s="2" t="s">
        <v>240</v>
      </c>
      <c r="CA1473" s="2" t="s">
        <v>2806</v>
      </c>
      <c r="CB1473" s="2" t="s">
        <v>228</v>
      </c>
      <c r="CC1473" s="2" t="s">
        <v>241</v>
      </c>
      <c r="CD1473" s="2" t="s">
        <v>228</v>
      </c>
      <c r="CE1473" s="4"/>
      <c r="CF1473" s="4">
        <v>88</v>
      </c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/>
      <c r="FZ1473" s="4"/>
      <c r="GA1473" s="4"/>
      <c r="GB1473" s="4"/>
      <c r="GC1473" s="4"/>
      <c r="GD1473" s="4"/>
      <c r="GE1473" s="4"/>
      <c r="GF1473" s="4"/>
      <c r="GG1473" s="4"/>
      <c r="GH1473" s="4"/>
      <c r="GI1473" s="4"/>
      <c r="GJ1473" s="4"/>
      <c r="GK1473" s="4"/>
      <c r="GL1473" s="4"/>
      <c r="GM1473" s="4"/>
      <c r="GN1473" s="4"/>
      <c r="GO1473" s="4"/>
      <c r="GP1473" s="4"/>
      <c r="GQ1473" s="4"/>
      <c r="GR1473" s="4"/>
      <c r="GS1473" s="4"/>
      <c r="GT1473" s="4"/>
      <c r="GU1473" s="4"/>
      <c r="GV1473" s="4"/>
      <c r="GW1473" s="4"/>
      <c r="GX1473" s="4"/>
      <c r="GY1473" s="4"/>
      <c r="GZ1473" s="4"/>
      <c r="HA1473" s="4"/>
      <c r="HB1473" s="4"/>
      <c r="HC1473" s="4"/>
      <c r="HD1473" s="4"/>
      <c r="HE1473" s="4"/>
    </row>
    <row r="1474">
      <c r="A1474" s="2" t="s">
        <v>7539</v>
      </c>
      <c r="B1474" s="2" t="s">
        <v>834</v>
      </c>
      <c r="C1474" s="2" t="s">
        <v>1743</v>
      </c>
      <c r="D1474" s="2" t="s">
        <v>1101</v>
      </c>
      <c r="E1474" s="2" t="s">
        <v>1102</v>
      </c>
      <c r="F1474" s="2" t="s">
        <v>7536</v>
      </c>
      <c r="G1474" s="2" t="s">
        <v>7536</v>
      </c>
      <c r="H1474" s="2" t="s">
        <v>7536</v>
      </c>
      <c r="I1474" s="2" t="s">
        <v>7537</v>
      </c>
      <c r="J1474" s="2" t="s">
        <v>840</v>
      </c>
      <c r="K1474" s="2" t="s">
        <v>265</v>
      </c>
      <c r="L1474" s="3">
        <v>57</v>
      </c>
      <c r="M1474" s="3">
        <v>59.85</v>
      </c>
      <c r="N1474" s="3">
        <v>119</v>
      </c>
      <c r="O1474" s="2" t="s">
        <v>240</v>
      </c>
      <c r="P1474" s="2" t="s">
        <v>233</v>
      </c>
      <c r="Q1474" s="2" t="s">
        <v>234</v>
      </c>
      <c r="R1474" s="2" t="s">
        <v>228</v>
      </c>
      <c r="S1474" s="2" t="s">
        <v>228</v>
      </c>
      <c r="T1474" s="2" t="s">
        <v>228</v>
      </c>
      <c r="U1474" s="2" t="s">
        <v>416</v>
      </c>
      <c r="V1474" s="2" t="s">
        <v>842</v>
      </c>
      <c r="W1474" s="2" t="s">
        <v>269</v>
      </c>
      <c r="X1474" s="2" t="s">
        <v>743</v>
      </c>
      <c r="Y1474" s="2" t="s">
        <v>5472</v>
      </c>
      <c r="Z1474" s="4">
        <v>49</v>
      </c>
      <c r="AA1474" s="4">
        <f>=ROUNDDOWN(11.1363636363636,0)</f>
      </c>
      <c r="AB1474" s="5">
        <v>4.4</v>
      </c>
      <c r="AC1474" s="2" t="s">
        <v>228</v>
      </c>
      <c r="AD1474" s="4"/>
      <c r="AE1474" s="4"/>
      <c r="AF1474" s="6">
        <v>63</v>
      </c>
      <c r="AG1474" s="6"/>
      <c r="AH1474" s="7">
        <v>1</v>
      </c>
      <c r="AI1474" s="4"/>
      <c r="AJ1474" s="4">
        <f>=ROUNDDOWN({0},0)</f>
      </c>
      <c r="AK1474" s="5"/>
      <c r="AL1474" s="2" t="s">
        <v>228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/>
      <c r="AW1474" s="8"/>
      <c r="AX1474" s="4"/>
      <c r="AY1474" s="8"/>
      <c r="AZ1474" s="7"/>
      <c r="BA1474" s="7"/>
      <c r="BB1474" s="7"/>
      <c r="BC1474" s="4" t="s">
        <v>228</v>
      </c>
      <c r="BD1474" s="8" t="s">
        <v>228</v>
      </c>
      <c r="BE1474" s="4" t="s">
        <v>228</v>
      </c>
      <c r="BF1474" s="8" t="s">
        <v>228</v>
      </c>
      <c r="BG1474" s="7" t="s">
        <v>228</v>
      </c>
      <c r="BH1474" s="7" t="s">
        <v>228</v>
      </c>
      <c r="BI1474" s="7"/>
      <c r="BJ1474" s="4">
        <v>5</v>
      </c>
      <c r="BK1474" s="8">
        <v>309.42</v>
      </c>
      <c r="BL1474" s="2" t="s">
        <v>5998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7540</v>
      </c>
      <c r="BV1474" s="2" t="s">
        <v>228</v>
      </c>
      <c r="BW1474" s="2" t="s">
        <v>228</v>
      </c>
      <c r="BX1474" s="2" t="s">
        <v>273</v>
      </c>
      <c r="BY1474" s="2" t="s">
        <v>274</v>
      </c>
      <c r="BZ1474" s="2" t="s">
        <v>240</v>
      </c>
      <c r="CA1474" s="2" t="s">
        <v>2806</v>
      </c>
      <c r="CB1474" s="2" t="s">
        <v>4841</v>
      </c>
      <c r="CC1474" s="2" t="s">
        <v>241</v>
      </c>
      <c r="CD1474" s="2" t="s">
        <v>228</v>
      </c>
      <c r="CE1474" s="4"/>
      <c r="CF1474" s="4">
        <v>49</v>
      </c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/>
      <c r="GE1474" s="4"/>
      <c r="GF1474" s="4"/>
      <c r="GG1474" s="4"/>
      <c r="GH1474" s="4"/>
      <c r="GI1474" s="4"/>
      <c r="GJ1474" s="4"/>
      <c r="GK1474" s="4"/>
      <c r="GL1474" s="4"/>
      <c r="GM1474" s="4"/>
      <c r="GN1474" s="4"/>
      <c r="GO1474" s="4"/>
      <c r="GP1474" s="4"/>
      <c r="GQ1474" s="4"/>
      <c r="GR1474" s="4"/>
      <c r="GS1474" s="4"/>
      <c r="GT1474" s="4"/>
      <c r="GU1474" s="4"/>
      <c r="GV1474" s="4"/>
      <c r="GW1474" s="4"/>
      <c r="GX1474" s="4"/>
      <c r="GY1474" s="4"/>
      <c r="GZ1474" s="4"/>
      <c r="HA1474" s="4"/>
      <c r="HB1474" s="4"/>
      <c r="HC1474" s="4"/>
      <c r="HD1474" s="4"/>
      <c r="HE1474" s="4"/>
    </row>
    <row r="1475">
      <c r="A1475" s="2" t="s">
        <v>7541</v>
      </c>
      <c r="B1475" s="2" t="s">
        <v>299</v>
      </c>
      <c r="C1475" s="2" t="s">
        <v>918</v>
      </c>
      <c r="D1475" s="2" t="s">
        <v>301</v>
      </c>
      <c r="E1475" s="2" t="s">
        <v>302</v>
      </c>
      <c r="F1475" s="2" t="s">
        <v>7542</v>
      </c>
      <c r="G1475" s="2" t="s">
        <v>7542</v>
      </c>
      <c r="H1475" s="2" t="s">
        <v>7542</v>
      </c>
      <c r="I1475" s="2" t="s">
        <v>7543</v>
      </c>
      <c r="J1475" s="2" t="s">
        <v>294</v>
      </c>
      <c r="K1475" s="2" t="s">
        <v>249</v>
      </c>
      <c r="L1475" s="3">
        <v>22.28</v>
      </c>
      <c r="M1475" s="3">
        <v>23.39</v>
      </c>
      <c r="N1475" s="3">
        <v>59.99</v>
      </c>
      <c r="O1475" s="2" t="s">
        <v>240</v>
      </c>
      <c r="P1475" s="2" t="s">
        <v>266</v>
      </c>
      <c r="Q1475" s="2" t="s">
        <v>234</v>
      </c>
      <c r="R1475" s="2" t="s">
        <v>228</v>
      </c>
      <c r="S1475" s="2" t="s">
        <v>228</v>
      </c>
      <c r="T1475" s="2" t="s">
        <v>350</v>
      </c>
      <c r="U1475" s="2" t="s">
        <v>228</v>
      </c>
      <c r="V1475" s="2" t="s">
        <v>236</v>
      </c>
      <c r="W1475" s="2" t="s">
        <v>309</v>
      </c>
      <c r="X1475" s="2" t="s">
        <v>228</v>
      </c>
      <c r="Y1475" s="2" t="s">
        <v>3551</v>
      </c>
      <c r="Z1475" s="4">
        <v>26</v>
      </c>
      <c r="AA1475" s="4">
        <f>=ROUNDDOWN(6.5,0)</f>
      </c>
      <c r="AB1475" s="5">
        <v>4</v>
      </c>
      <c r="AC1475" s="2" t="s">
        <v>196</v>
      </c>
      <c r="AD1475" s="4">
        <v>32</v>
      </c>
      <c r="AE1475" s="4">
        <v>52</v>
      </c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228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228</v>
      </c>
      <c r="AW1475" s="8" t="s">
        <v>228</v>
      </c>
      <c r="AX1475" s="4" t="s">
        <v>228</v>
      </c>
      <c r="AY1475" s="8" t="s">
        <v>228</v>
      </c>
      <c r="AZ1475" s="7" t="s">
        <v>228</v>
      </c>
      <c r="BA1475" s="7" t="s">
        <v>228</v>
      </c>
      <c r="BB1475" s="7"/>
      <c r="BC1475" s="4" t="s">
        <v>228</v>
      </c>
      <c r="BD1475" s="8" t="s">
        <v>228</v>
      </c>
      <c r="BE1475" s="4" t="s">
        <v>228</v>
      </c>
      <c r="BF1475" s="8" t="s">
        <v>228</v>
      </c>
      <c r="BG1475" s="7" t="s">
        <v>228</v>
      </c>
      <c r="BH1475" s="7" t="s">
        <v>228</v>
      </c>
      <c r="BI1475" s="7"/>
      <c r="BJ1475" s="4">
        <v>4</v>
      </c>
      <c r="BK1475" s="8">
        <v>100.36</v>
      </c>
      <c r="BL1475" s="2" t="s">
        <v>5147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7544</v>
      </c>
      <c r="BV1475" s="2" t="s">
        <v>228</v>
      </c>
      <c r="BW1475" s="2" t="s">
        <v>228</v>
      </c>
      <c r="BX1475" s="2" t="s">
        <v>273</v>
      </c>
      <c r="BY1475" s="2" t="s">
        <v>274</v>
      </c>
      <c r="BZ1475" s="2" t="s">
        <v>240</v>
      </c>
      <c r="CA1475" s="2" t="s">
        <v>5504</v>
      </c>
      <c r="CB1475" s="2" t="s">
        <v>7545</v>
      </c>
      <c r="CC1475" s="2" t="s">
        <v>241</v>
      </c>
      <c r="CD1475" s="2" t="s">
        <v>228</v>
      </c>
      <c r="CE1475" s="4">
        <v>26</v>
      </c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/>
      <c r="GE1475" s="4"/>
      <c r="GF1475" s="4">
        <v>32</v>
      </c>
      <c r="GG1475" s="4"/>
      <c r="GH1475" s="4"/>
      <c r="GI1475" s="4"/>
      <c r="GJ1475" s="4"/>
      <c r="GK1475" s="4"/>
      <c r="GL1475" s="4"/>
      <c r="GM1475" s="4"/>
      <c r="GN1475" s="4"/>
      <c r="GO1475" s="4"/>
      <c r="GP1475" s="4"/>
      <c r="GQ1475" s="4"/>
      <c r="GR1475" s="4"/>
      <c r="GS1475" s="4"/>
      <c r="GT1475" s="4"/>
      <c r="GU1475" s="4"/>
      <c r="GV1475" s="4"/>
      <c r="GW1475" s="4"/>
      <c r="GX1475" s="4"/>
      <c r="GY1475" s="4"/>
      <c r="GZ1475" s="4"/>
      <c r="HA1475" s="4"/>
      <c r="HB1475" s="4"/>
      <c r="HC1475" s="4">
        <v>20</v>
      </c>
      <c r="HD1475" s="4"/>
      <c r="HE1475" s="4"/>
    </row>
    <row r="1476">
      <c r="A1476" s="2" t="s">
        <v>7546</v>
      </c>
      <c r="B1476" s="2" t="s">
        <v>299</v>
      </c>
      <c r="C1476" s="2" t="s">
        <v>918</v>
      </c>
      <c r="D1476" s="2" t="s">
        <v>301</v>
      </c>
      <c r="E1476" s="2" t="s">
        <v>302</v>
      </c>
      <c r="F1476" s="2" t="s">
        <v>7542</v>
      </c>
      <c r="G1476" s="2" t="s">
        <v>7542</v>
      </c>
      <c r="H1476" s="2" t="s">
        <v>7542</v>
      </c>
      <c r="I1476" s="2" t="s">
        <v>7547</v>
      </c>
      <c r="J1476" s="2" t="s">
        <v>312</v>
      </c>
      <c r="K1476" s="2" t="s">
        <v>249</v>
      </c>
      <c r="L1476" s="3">
        <v>74.28</v>
      </c>
      <c r="M1476" s="3">
        <v>77.99</v>
      </c>
      <c r="N1476" s="3">
        <v>199.99</v>
      </c>
      <c r="O1476" s="2" t="s">
        <v>240</v>
      </c>
      <c r="P1476" s="2" t="s">
        <v>266</v>
      </c>
      <c r="Q1476" s="2" t="s">
        <v>234</v>
      </c>
      <c r="R1476" s="2" t="s">
        <v>228</v>
      </c>
      <c r="S1476" s="2" t="s">
        <v>228</v>
      </c>
      <c r="T1476" s="2" t="s">
        <v>350</v>
      </c>
      <c r="U1476" s="2" t="s">
        <v>228</v>
      </c>
      <c r="V1476" s="2" t="s">
        <v>236</v>
      </c>
      <c r="W1476" s="2" t="s">
        <v>309</v>
      </c>
      <c r="X1476" s="2" t="s">
        <v>228</v>
      </c>
      <c r="Y1476" s="2" t="s">
        <v>3551</v>
      </c>
      <c r="Z1476" s="4">
        <v>96</v>
      </c>
      <c r="AA1476" s="4">
        <f>=ROUNDDOWN(48,0)</f>
      </c>
      <c r="AB1476" s="5">
        <v>2</v>
      </c>
      <c r="AC1476" s="2" t="s">
        <v>7548</v>
      </c>
      <c r="AD1476" s="4">
        <v>30</v>
      </c>
      <c r="AE1476" s="4">
        <v>30</v>
      </c>
      <c r="AF1476" s="6">
        <v>65</v>
      </c>
      <c r="AG1476" s="6"/>
      <c r="AH1476" s="7">
        <v>1</v>
      </c>
      <c r="AI1476" s="4"/>
      <c r="AJ1476" s="4">
        <f>=ROUNDDOWN({0},0)</f>
      </c>
      <c r="AK1476" s="5"/>
      <c r="AL1476" s="2" t="s">
        <v>228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228</v>
      </c>
      <c r="AW1476" s="8" t="s">
        <v>228</v>
      </c>
      <c r="AX1476" s="4" t="s">
        <v>228</v>
      </c>
      <c r="AY1476" s="8" t="s">
        <v>228</v>
      </c>
      <c r="AZ1476" s="7" t="s">
        <v>228</v>
      </c>
      <c r="BA1476" s="7" t="s">
        <v>228</v>
      </c>
      <c r="BB1476" s="7"/>
      <c r="BC1476" s="4" t="s">
        <v>228</v>
      </c>
      <c r="BD1476" s="8" t="s">
        <v>228</v>
      </c>
      <c r="BE1476" s="4" t="s">
        <v>228</v>
      </c>
      <c r="BF1476" s="8" t="s">
        <v>228</v>
      </c>
      <c r="BG1476" s="7" t="s">
        <v>228</v>
      </c>
      <c r="BH1476" s="7" t="s">
        <v>228</v>
      </c>
      <c r="BI1476" s="7"/>
      <c r="BJ1476" s="4">
        <v>8</v>
      </c>
      <c r="BK1476" s="8">
        <v>655.12</v>
      </c>
      <c r="BL1476" s="2" t="s">
        <v>2974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7549</v>
      </c>
      <c r="BV1476" s="2" t="s">
        <v>228</v>
      </c>
      <c r="BW1476" s="2" t="s">
        <v>228</v>
      </c>
      <c r="BX1476" s="2" t="s">
        <v>273</v>
      </c>
      <c r="BY1476" s="2" t="s">
        <v>274</v>
      </c>
      <c r="BZ1476" s="2" t="s">
        <v>240</v>
      </c>
      <c r="CA1476" s="2" t="s">
        <v>5504</v>
      </c>
      <c r="CB1476" s="2" t="s">
        <v>3296</v>
      </c>
      <c r="CC1476" s="2" t="s">
        <v>241</v>
      </c>
      <c r="CD1476" s="2" t="s">
        <v>228</v>
      </c>
      <c r="CE1476" s="4">
        <v>96</v>
      </c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/>
      <c r="GG1476" s="4"/>
      <c r="GH1476" s="4"/>
      <c r="GI1476" s="4"/>
      <c r="GJ1476" s="4"/>
      <c r="GK1476" s="4"/>
      <c r="GL1476" s="4"/>
      <c r="GM1476" s="4"/>
      <c r="GN1476" s="4"/>
      <c r="GO1476" s="4"/>
      <c r="GP1476" s="4"/>
      <c r="GQ1476" s="4"/>
      <c r="GR1476" s="4"/>
      <c r="GS1476" s="4"/>
      <c r="GT1476" s="4"/>
      <c r="GU1476" s="4"/>
      <c r="GV1476" s="4"/>
      <c r="GW1476" s="4"/>
      <c r="GX1476" s="4"/>
      <c r="GY1476" s="4"/>
      <c r="GZ1476" s="4"/>
      <c r="HA1476" s="4"/>
      <c r="HB1476" s="4"/>
      <c r="HC1476" s="4">
        <v>30</v>
      </c>
      <c r="HD1476" s="4"/>
      <c r="HE1476" s="4"/>
    </row>
    <row r="1477">
      <c r="A1477" s="2" t="s">
        <v>7550</v>
      </c>
      <c r="B1477" s="2" t="s">
        <v>299</v>
      </c>
      <c r="C1477" s="2" t="s">
        <v>918</v>
      </c>
      <c r="D1477" s="2" t="s">
        <v>301</v>
      </c>
      <c r="E1477" s="2" t="s">
        <v>302</v>
      </c>
      <c r="F1477" s="2" t="s">
        <v>7542</v>
      </c>
      <c r="G1477" s="2" t="s">
        <v>7542</v>
      </c>
      <c r="H1477" s="2" t="s">
        <v>7542</v>
      </c>
      <c r="I1477" s="2" t="s">
        <v>7543</v>
      </c>
      <c r="J1477" s="2" t="s">
        <v>7551</v>
      </c>
      <c r="K1477" s="2" t="s">
        <v>249</v>
      </c>
      <c r="L1477" s="3">
        <v>18.57</v>
      </c>
      <c r="M1477" s="3">
        <v>19.5</v>
      </c>
      <c r="N1477" s="3">
        <v>49.99</v>
      </c>
      <c r="O1477" s="2" t="s">
        <v>240</v>
      </c>
      <c r="P1477" s="2" t="s">
        <v>266</v>
      </c>
      <c r="Q1477" s="2" t="s">
        <v>234</v>
      </c>
      <c r="R1477" s="2" t="s">
        <v>228</v>
      </c>
      <c r="S1477" s="2" t="s">
        <v>228</v>
      </c>
      <c r="T1477" s="2" t="s">
        <v>350</v>
      </c>
      <c r="U1477" s="2" t="s">
        <v>228</v>
      </c>
      <c r="V1477" s="2" t="s">
        <v>236</v>
      </c>
      <c r="W1477" s="2" t="s">
        <v>309</v>
      </c>
      <c r="X1477" s="2" t="s">
        <v>228</v>
      </c>
      <c r="Y1477" s="2" t="s">
        <v>3551</v>
      </c>
      <c r="Z1477" s="4">
        <v>32</v>
      </c>
      <c r="AA1477" s="4">
        <f>=ROUNDDOWN(11.4285714285714,0)</f>
      </c>
      <c r="AB1477" s="5">
        <v>2.8</v>
      </c>
      <c r="AC1477" s="2" t="s">
        <v>196</v>
      </c>
      <c r="AD1477" s="4">
        <v>32</v>
      </c>
      <c r="AE1477" s="4">
        <v>72</v>
      </c>
      <c r="AF1477" s="6">
        <v>65</v>
      </c>
      <c r="AG1477" s="6"/>
      <c r="AH1477" s="7">
        <v>1</v>
      </c>
      <c r="AI1477" s="4"/>
      <c r="AJ1477" s="4">
        <f>=ROUNDDOWN({0},0)</f>
      </c>
      <c r="AK1477" s="5"/>
      <c r="AL1477" s="2" t="s">
        <v>228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228</v>
      </c>
      <c r="AW1477" s="8" t="s">
        <v>228</v>
      </c>
      <c r="AX1477" s="4" t="s">
        <v>228</v>
      </c>
      <c r="AY1477" s="8" t="s">
        <v>228</v>
      </c>
      <c r="AZ1477" s="7" t="s">
        <v>228</v>
      </c>
      <c r="BA1477" s="7" t="s">
        <v>228</v>
      </c>
      <c r="BB1477" s="7"/>
      <c r="BC1477" s="4" t="s">
        <v>228</v>
      </c>
      <c r="BD1477" s="8" t="s">
        <v>228</v>
      </c>
      <c r="BE1477" s="4" t="s">
        <v>228</v>
      </c>
      <c r="BF1477" s="8" t="s">
        <v>228</v>
      </c>
      <c r="BG1477" s="7" t="s">
        <v>228</v>
      </c>
      <c r="BH1477" s="7" t="s">
        <v>228</v>
      </c>
      <c r="BI1477" s="7"/>
      <c r="BJ1477" s="4">
        <v>11</v>
      </c>
      <c r="BK1477" s="8">
        <v>232.29</v>
      </c>
      <c r="BL1477" s="2" t="s">
        <v>1953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7552</v>
      </c>
      <c r="BV1477" s="2" t="s">
        <v>228</v>
      </c>
      <c r="BW1477" s="2" t="s">
        <v>228</v>
      </c>
      <c r="BX1477" s="2" t="s">
        <v>273</v>
      </c>
      <c r="BY1477" s="2" t="s">
        <v>274</v>
      </c>
      <c r="BZ1477" s="2" t="s">
        <v>240</v>
      </c>
      <c r="CA1477" s="2" t="s">
        <v>5504</v>
      </c>
      <c r="CB1477" s="2" t="s">
        <v>1749</v>
      </c>
      <c r="CC1477" s="2" t="s">
        <v>241</v>
      </c>
      <c r="CD1477" s="2" t="s">
        <v>228</v>
      </c>
      <c r="CE1477" s="4">
        <v>32</v>
      </c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/>
      <c r="FZ1477" s="4"/>
      <c r="GA1477" s="4"/>
      <c r="GB1477" s="4"/>
      <c r="GC1477" s="4"/>
      <c r="GD1477" s="4"/>
      <c r="GE1477" s="4"/>
      <c r="GF1477" s="4">
        <v>32</v>
      </c>
      <c r="GG1477" s="4"/>
      <c r="GH1477" s="4"/>
      <c r="GI1477" s="4"/>
      <c r="GJ1477" s="4"/>
      <c r="GK1477" s="4"/>
      <c r="GL1477" s="4"/>
      <c r="GM1477" s="4"/>
      <c r="GN1477" s="4"/>
      <c r="GO1477" s="4"/>
      <c r="GP1477" s="4"/>
      <c r="GQ1477" s="4"/>
      <c r="GR1477" s="4"/>
      <c r="GS1477" s="4"/>
      <c r="GT1477" s="4"/>
      <c r="GU1477" s="4"/>
      <c r="GV1477" s="4"/>
      <c r="GW1477" s="4"/>
      <c r="GX1477" s="4"/>
      <c r="GY1477" s="4"/>
      <c r="GZ1477" s="4"/>
      <c r="HA1477" s="4"/>
      <c r="HB1477" s="4"/>
      <c r="HC1477" s="4">
        <v>40</v>
      </c>
      <c r="HD1477" s="4"/>
      <c r="HE1477" s="4"/>
    </row>
    <row r="1478">
      <c r="A1478" s="2" t="s">
        <v>7553</v>
      </c>
      <c r="B1478" s="2" t="s">
        <v>299</v>
      </c>
      <c r="C1478" s="2" t="s">
        <v>918</v>
      </c>
      <c r="D1478" s="2" t="s">
        <v>301</v>
      </c>
      <c r="E1478" s="2" t="s">
        <v>302</v>
      </c>
      <c r="F1478" s="2" t="s">
        <v>7542</v>
      </c>
      <c r="G1478" s="2" t="s">
        <v>7542</v>
      </c>
      <c r="H1478" s="2" t="s">
        <v>7542</v>
      </c>
      <c r="I1478" s="2" t="s">
        <v>7543</v>
      </c>
      <c r="J1478" s="2" t="s">
        <v>294</v>
      </c>
      <c r="K1478" s="2" t="s">
        <v>480</v>
      </c>
      <c r="L1478" s="3">
        <v>22.28</v>
      </c>
      <c r="M1478" s="3">
        <v>23.39</v>
      </c>
      <c r="N1478" s="3">
        <v>59.99</v>
      </c>
      <c r="O1478" s="2" t="s">
        <v>240</v>
      </c>
      <c r="P1478" s="2" t="s">
        <v>266</v>
      </c>
      <c r="Q1478" s="2" t="s">
        <v>234</v>
      </c>
      <c r="R1478" s="2" t="s">
        <v>228</v>
      </c>
      <c r="S1478" s="2" t="s">
        <v>228</v>
      </c>
      <c r="T1478" s="2" t="s">
        <v>350</v>
      </c>
      <c r="U1478" s="2" t="s">
        <v>228</v>
      </c>
      <c r="V1478" s="2" t="s">
        <v>236</v>
      </c>
      <c r="W1478" s="2" t="s">
        <v>309</v>
      </c>
      <c r="X1478" s="2" t="s">
        <v>228</v>
      </c>
      <c r="Y1478" s="2" t="s">
        <v>3551</v>
      </c>
      <c r="Z1478" s="4">
        <v>18</v>
      </c>
      <c r="AA1478" s="4">
        <f>=ROUNDDOWN(9,0)</f>
      </c>
      <c r="AB1478" s="5">
        <v>2</v>
      </c>
      <c r="AC1478" s="2" t="s">
        <v>228</v>
      </c>
      <c r="AD1478" s="4"/>
      <c r="AE1478" s="4"/>
      <c r="AF1478" s="6">
        <v>65</v>
      </c>
      <c r="AG1478" s="6"/>
      <c r="AH1478" s="7">
        <v>1</v>
      </c>
      <c r="AI1478" s="4"/>
      <c r="AJ1478" s="4">
        <f>=ROUNDDOWN({0},0)</f>
      </c>
      <c r="AK1478" s="5"/>
      <c r="AL1478" s="2" t="s">
        <v>228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228</v>
      </c>
      <c r="AW1478" s="8" t="s">
        <v>228</v>
      </c>
      <c r="AX1478" s="4" t="s">
        <v>228</v>
      </c>
      <c r="AY1478" s="8" t="s">
        <v>228</v>
      </c>
      <c r="AZ1478" s="7" t="s">
        <v>228</v>
      </c>
      <c r="BA1478" s="7" t="s">
        <v>228</v>
      </c>
      <c r="BB1478" s="7"/>
      <c r="BC1478" s="4" t="s">
        <v>228</v>
      </c>
      <c r="BD1478" s="8" t="s">
        <v>228</v>
      </c>
      <c r="BE1478" s="4" t="s">
        <v>228</v>
      </c>
      <c r="BF1478" s="8" t="s">
        <v>228</v>
      </c>
      <c r="BG1478" s="7" t="s">
        <v>228</v>
      </c>
      <c r="BH1478" s="7" t="s">
        <v>228</v>
      </c>
      <c r="BI1478" s="7"/>
      <c r="BJ1478" s="4">
        <v>14</v>
      </c>
      <c r="BK1478" s="8">
        <v>349.03</v>
      </c>
      <c r="BL1478" s="2" t="s">
        <v>7554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7555</v>
      </c>
      <c r="BV1478" s="2" t="s">
        <v>228</v>
      </c>
      <c r="BW1478" s="2" t="s">
        <v>228</v>
      </c>
      <c r="BX1478" s="2" t="s">
        <v>273</v>
      </c>
      <c r="BY1478" s="2" t="s">
        <v>274</v>
      </c>
      <c r="BZ1478" s="2" t="s">
        <v>240</v>
      </c>
      <c r="CA1478" s="2" t="s">
        <v>5504</v>
      </c>
      <c r="CB1478" s="2" t="s">
        <v>379</v>
      </c>
      <c r="CC1478" s="2" t="s">
        <v>241</v>
      </c>
      <c r="CD1478" s="2" t="s">
        <v>228</v>
      </c>
      <c r="CE1478" s="4">
        <v>18</v>
      </c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/>
      <c r="GE1478" s="4"/>
      <c r="GF1478" s="4"/>
      <c r="GG1478" s="4"/>
      <c r="GH1478" s="4"/>
      <c r="GI1478" s="4"/>
      <c r="GJ1478" s="4"/>
      <c r="GK1478" s="4"/>
      <c r="GL1478" s="4"/>
      <c r="GM1478" s="4"/>
      <c r="GN1478" s="4"/>
      <c r="GO1478" s="4"/>
      <c r="GP1478" s="4"/>
      <c r="GQ1478" s="4"/>
      <c r="GR1478" s="4"/>
      <c r="GS1478" s="4"/>
      <c r="GT1478" s="4"/>
      <c r="GU1478" s="4"/>
      <c r="GV1478" s="4"/>
      <c r="GW1478" s="4"/>
      <c r="GX1478" s="4"/>
      <c r="GY1478" s="4"/>
      <c r="GZ1478" s="4"/>
      <c r="HA1478" s="4"/>
      <c r="HB1478" s="4"/>
      <c r="HC1478" s="4"/>
      <c r="HD1478" s="4"/>
      <c r="HE1478" s="4"/>
    </row>
    <row r="1479">
      <c r="A1479" s="2" t="s">
        <v>7556</v>
      </c>
      <c r="B1479" s="2" t="s">
        <v>299</v>
      </c>
      <c r="C1479" s="2" t="s">
        <v>918</v>
      </c>
      <c r="D1479" s="2" t="s">
        <v>301</v>
      </c>
      <c r="E1479" s="2" t="s">
        <v>302</v>
      </c>
      <c r="F1479" s="2" t="s">
        <v>7542</v>
      </c>
      <c r="G1479" s="2" t="s">
        <v>7542</v>
      </c>
      <c r="H1479" s="2" t="s">
        <v>7542</v>
      </c>
      <c r="I1479" s="2" t="s">
        <v>7547</v>
      </c>
      <c r="J1479" s="2" t="s">
        <v>312</v>
      </c>
      <c r="K1479" s="2" t="s">
        <v>480</v>
      </c>
      <c r="L1479" s="3">
        <v>74.28</v>
      </c>
      <c r="M1479" s="3">
        <v>77.99</v>
      </c>
      <c r="N1479" s="3">
        <v>199.99</v>
      </c>
      <c r="O1479" s="2" t="s">
        <v>240</v>
      </c>
      <c r="P1479" s="2" t="s">
        <v>266</v>
      </c>
      <c r="Q1479" s="2" t="s">
        <v>234</v>
      </c>
      <c r="R1479" s="2" t="s">
        <v>228</v>
      </c>
      <c r="S1479" s="2" t="s">
        <v>228</v>
      </c>
      <c r="T1479" s="2" t="s">
        <v>350</v>
      </c>
      <c r="U1479" s="2" t="s">
        <v>228</v>
      </c>
      <c r="V1479" s="2" t="s">
        <v>236</v>
      </c>
      <c r="W1479" s="2" t="s">
        <v>309</v>
      </c>
      <c r="X1479" s="2" t="s">
        <v>228</v>
      </c>
      <c r="Y1479" s="2" t="s">
        <v>3551</v>
      </c>
      <c r="Z1479" s="4">
        <v>65</v>
      </c>
      <c r="AA1479" s="4">
        <f>=ROUNDDOWN(21.6666666666667,0)</f>
      </c>
      <c r="AB1479" s="5">
        <v>3</v>
      </c>
      <c r="AC1479" s="2" t="s">
        <v>228</v>
      </c>
      <c r="AD1479" s="4"/>
      <c r="AE1479" s="4"/>
      <c r="AF1479" s="6">
        <v>65</v>
      </c>
      <c r="AG1479" s="6"/>
      <c r="AH1479" s="7">
        <v>1</v>
      </c>
      <c r="AI1479" s="4"/>
      <c r="AJ1479" s="4">
        <f>=ROUNDDOWN({0},0)</f>
      </c>
      <c r="AK1479" s="5"/>
      <c r="AL1479" s="2" t="s">
        <v>228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228</v>
      </c>
      <c r="AW1479" s="8" t="s">
        <v>228</v>
      </c>
      <c r="AX1479" s="4" t="s">
        <v>228</v>
      </c>
      <c r="AY1479" s="8" t="s">
        <v>228</v>
      </c>
      <c r="AZ1479" s="7" t="s">
        <v>228</v>
      </c>
      <c r="BA1479" s="7" t="s">
        <v>228</v>
      </c>
      <c r="BB1479" s="7"/>
      <c r="BC1479" s="4" t="s">
        <v>228</v>
      </c>
      <c r="BD1479" s="8" t="s">
        <v>228</v>
      </c>
      <c r="BE1479" s="4" t="s">
        <v>228</v>
      </c>
      <c r="BF1479" s="8" t="s">
        <v>228</v>
      </c>
      <c r="BG1479" s="7" t="s">
        <v>228</v>
      </c>
      <c r="BH1479" s="7" t="s">
        <v>228</v>
      </c>
      <c r="BI1479" s="7"/>
      <c r="BJ1479" s="4">
        <v>10</v>
      </c>
      <c r="BK1479" s="8">
        <v>830.64</v>
      </c>
      <c r="BL1479" s="2" t="s">
        <v>647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7557</v>
      </c>
      <c r="BV1479" s="2" t="s">
        <v>228</v>
      </c>
      <c r="BW1479" s="2" t="s">
        <v>228</v>
      </c>
      <c r="BX1479" s="2" t="s">
        <v>273</v>
      </c>
      <c r="BY1479" s="2" t="s">
        <v>274</v>
      </c>
      <c r="BZ1479" s="2" t="s">
        <v>240</v>
      </c>
      <c r="CA1479" s="2" t="s">
        <v>5504</v>
      </c>
      <c r="CB1479" s="2" t="s">
        <v>3296</v>
      </c>
      <c r="CC1479" s="2" t="s">
        <v>241</v>
      </c>
      <c r="CD1479" s="2" t="s">
        <v>228</v>
      </c>
      <c r="CE1479" s="4">
        <v>65</v>
      </c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/>
      <c r="FU1479" s="4"/>
      <c r="FV1479" s="4"/>
      <c r="FW1479" s="4"/>
      <c r="FX1479" s="4"/>
      <c r="FY1479" s="4"/>
      <c r="FZ1479" s="4"/>
      <c r="GA1479" s="4"/>
      <c r="GB1479" s="4"/>
      <c r="GC1479" s="4"/>
      <c r="GD1479" s="4"/>
      <c r="GE1479" s="4"/>
      <c r="GF1479" s="4"/>
      <c r="GG1479" s="4"/>
      <c r="GH1479" s="4"/>
      <c r="GI1479" s="4"/>
      <c r="GJ1479" s="4"/>
      <c r="GK1479" s="4"/>
      <c r="GL1479" s="4"/>
      <c r="GM1479" s="4"/>
      <c r="GN1479" s="4"/>
      <c r="GO1479" s="4"/>
      <c r="GP1479" s="4"/>
      <c r="GQ1479" s="4"/>
      <c r="GR1479" s="4"/>
      <c r="GS1479" s="4"/>
      <c r="GT1479" s="4"/>
      <c r="GU1479" s="4"/>
      <c r="GV1479" s="4"/>
      <c r="GW1479" s="4"/>
      <c r="GX1479" s="4"/>
      <c r="GY1479" s="4"/>
      <c r="GZ1479" s="4"/>
      <c r="HA1479" s="4"/>
      <c r="HB1479" s="4"/>
      <c r="HC1479" s="4"/>
      <c r="HD1479" s="4"/>
      <c r="HE1479" s="4"/>
    </row>
    <row r="1480">
      <c r="A1480" s="2" t="s">
        <v>7558</v>
      </c>
      <c r="B1480" s="2" t="s">
        <v>299</v>
      </c>
      <c r="C1480" s="2" t="s">
        <v>918</v>
      </c>
      <c r="D1480" s="2" t="s">
        <v>301</v>
      </c>
      <c r="E1480" s="2" t="s">
        <v>302</v>
      </c>
      <c r="F1480" s="2" t="s">
        <v>7542</v>
      </c>
      <c r="G1480" s="2" t="s">
        <v>7542</v>
      </c>
      <c r="H1480" s="2" t="s">
        <v>7542</v>
      </c>
      <c r="I1480" s="2" t="s">
        <v>7543</v>
      </c>
      <c r="J1480" s="2" t="s">
        <v>294</v>
      </c>
      <c r="K1480" s="2" t="s">
        <v>316</v>
      </c>
      <c r="L1480" s="3">
        <v>22.28</v>
      </c>
      <c r="M1480" s="3">
        <v>23.39</v>
      </c>
      <c r="N1480" s="3">
        <v>59.99</v>
      </c>
      <c r="O1480" s="2" t="s">
        <v>240</v>
      </c>
      <c r="P1480" s="2" t="s">
        <v>266</v>
      </c>
      <c r="Q1480" s="2" t="s">
        <v>234</v>
      </c>
      <c r="R1480" s="2" t="s">
        <v>228</v>
      </c>
      <c r="S1480" s="2" t="s">
        <v>228</v>
      </c>
      <c r="T1480" s="2" t="s">
        <v>350</v>
      </c>
      <c r="U1480" s="2" t="s">
        <v>228</v>
      </c>
      <c r="V1480" s="2" t="s">
        <v>236</v>
      </c>
      <c r="W1480" s="2" t="s">
        <v>309</v>
      </c>
      <c r="X1480" s="2" t="s">
        <v>228</v>
      </c>
      <c r="Y1480" s="2" t="s">
        <v>3551</v>
      </c>
      <c r="Z1480" s="4">
        <v>3</v>
      </c>
      <c r="AA1480" s="4">
        <f>=ROUNDDOWN(1.11111111111111,0)</f>
      </c>
      <c r="AB1480" s="5">
        <v>2.7</v>
      </c>
      <c r="AC1480" s="2" t="s">
        <v>196</v>
      </c>
      <c r="AD1480" s="4">
        <v>32</v>
      </c>
      <c r="AE1480" s="4">
        <v>72</v>
      </c>
      <c r="AF1480" s="6">
        <v>65</v>
      </c>
      <c r="AG1480" s="6"/>
      <c r="AH1480" s="7">
        <v>0</v>
      </c>
      <c r="AI1480" s="4"/>
      <c r="AJ1480" s="4">
        <f>=ROUNDDOWN({0},0)</f>
      </c>
      <c r="AK1480" s="5"/>
      <c r="AL1480" s="2" t="s">
        <v>228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228</v>
      </c>
      <c r="AW1480" s="8" t="s">
        <v>228</v>
      </c>
      <c r="AX1480" s="4" t="s">
        <v>228</v>
      </c>
      <c r="AY1480" s="8" t="s">
        <v>228</v>
      </c>
      <c r="AZ1480" s="7" t="s">
        <v>228</v>
      </c>
      <c r="BA1480" s="7" t="s">
        <v>228</v>
      </c>
      <c r="BB1480" s="7"/>
      <c r="BC1480" s="4" t="s">
        <v>228</v>
      </c>
      <c r="BD1480" s="8" t="s">
        <v>228</v>
      </c>
      <c r="BE1480" s="4" t="s">
        <v>228</v>
      </c>
      <c r="BF1480" s="8" t="s">
        <v>228</v>
      </c>
      <c r="BG1480" s="7" t="s">
        <v>228</v>
      </c>
      <c r="BH1480" s="7" t="s">
        <v>228</v>
      </c>
      <c r="BI1480" s="7"/>
      <c r="BJ1480" s="4"/>
      <c r="BK1480" s="8"/>
      <c r="BL1480" s="2" t="s">
        <v>228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7559</v>
      </c>
      <c r="BV1480" s="2" t="s">
        <v>228</v>
      </c>
      <c r="BW1480" s="2" t="s">
        <v>228</v>
      </c>
      <c r="BX1480" s="2" t="s">
        <v>273</v>
      </c>
      <c r="BY1480" s="2" t="s">
        <v>274</v>
      </c>
      <c r="BZ1480" s="2" t="s">
        <v>240</v>
      </c>
      <c r="CA1480" s="2" t="s">
        <v>7560</v>
      </c>
      <c r="CB1480" s="2" t="s">
        <v>1109</v>
      </c>
      <c r="CC1480" s="2" t="s">
        <v>241</v>
      </c>
      <c r="CD1480" s="2" t="s">
        <v>228</v>
      </c>
      <c r="CE1480" s="4">
        <v>3</v>
      </c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4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  <c r="FX1480" s="4"/>
      <c r="FY1480" s="4"/>
      <c r="FZ1480" s="4"/>
      <c r="GA1480" s="4"/>
      <c r="GB1480" s="4"/>
      <c r="GC1480" s="4"/>
      <c r="GD1480" s="4"/>
      <c r="GE1480" s="4"/>
      <c r="GF1480" s="4">
        <v>32</v>
      </c>
      <c r="GG1480" s="4"/>
      <c r="GH1480" s="4"/>
      <c r="GI1480" s="4"/>
      <c r="GJ1480" s="4"/>
      <c r="GK1480" s="4"/>
      <c r="GL1480" s="4"/>
      <c r="GM1480" s="4"/>
      <c r="GN1480" s="4"/>
      <c r="GO1480" s="4"/>
      <c r="GP1480" s="4"/>
      <c r="GQ1480" s="4"/>
      <c r="GR1480" s="4"/>
      <c r="GS1480" s="4"/>
      <c r="GT1480" s="4"/>
      <c r="GU1480" s="4"/>
      <c r="GV1480" s="4"/>
      <c r="GW1480" s="4"/>
      <c r="GX1480" s="4"/>
      <c r="GY1480" s="4"/>
      <c r="GZ1480" s="4"/>
      <c r="HA1480" s="4"/>
      <c r="HB1480" s="4"/>
      <c r="HC1480" s="4">
        <v>40</v>
      </c>
      <c r="HD1480" s="4"/>
      <c r="HE1480" s="4"/>
    </row>
    <row r="1481">
      <c r="A1481" s="2" t="s">
        <v>7561</v>
      </c>
      <c r="B1481" s="2" t="s">
        <v>299</v>
      </c>
      <c r="C1481" s="2" t="s">
        <v>918</v>
      </c>
      <c r="D1481" s="2" t="s">
        <v>301</v>
      </c>
      <c r="E1481" s="2" t="s">
        <v>302</v>
      </c>
      <c r="F1481" s="2" t="s">
        <v>7542</v>
      </c>
      <c r="G1481" s="2" t="s">
        <v>7542</v>
      </c>
      <c r="H1481" s="2" t="s">
        <v>7542</v>
      </c>
      <c r="I1481" s="2" t="s">
        <v>7543</v>
      </c>
      <c r="J1481" s="2" t="s">
        <v>7551</v>
      </c>
      <c r="K1481" s="2" t="s">
        <v>316</v>
      </c>
      <c r="L1481" s="3">
        <v>18.57</v>
      </c>
      <c r="M1481" s="3">
        <v>19.5</v>
      </c>
      <c r="N1481" s="3">
        <v>49.99</v>
      </c>
      <c r="O1481" s="2" t="s">
        <v>240</v>
      </c>
      <c r="P1481" s="2" t="s">
        <v>266</v>
      </c>
      <c r="Q1481" s="2" t="s">
        <v>234</v>
      </c>
      <c r="R1481" s="2" t="s">
        <v>228</v>
      </c>
      <c r="S1481" s="2" t="s">
        <v>228</v>
      </c>
      <c r="T1481" s="2" t="s">
        <v>350</v>
      </c>
      <c r="U1481" s="2" t="s">
        <v>228</v>
      </c>
      <c r="V1481" s="2" t="s">
        <v>236</v>
      </c>
      <c r="W1481" s="2" t="s">
        <v>309</v>
      </c>
      <c r="X1481" s="2" t="s">
        <v>228</v>
      </c>
      <c r="Y1481" s="2" t="s">
        <v>3551</v>
      </c>
      <c r="Z1481" s="4">
        <v>22</v>
      </c>
      <c r="AA1481" s="4">
        <f>=ROUNDDOWN(12.9411764705882,0)</f>
      </c>
      <c r="AB1481" s="5">
        <v>1.7</v>
      </c>
      <c r="AC1481" s="2" t="s">
        <v>196</v>
      </c>
      <c r="AD1481" s="4">
        <v>52</v>
      </c>
      <c r="AE1481" s="4">
        <v>124</v>
      </c>
      <c r="AF1481" s="6">
        <v>65</v>
      </c>
      <c r="AG1481" s="6"/>
      <c r="AH1481" s="7">
        <v>1</v>
      </c>
      <c r="AI1481" s="4"/>
      <c r="AJ1481" s="4">
        <f>=ROUNDDOWN({0},0)</f>
      </c>
      <c r="AK1481" s="5"/>
      <c r="AL1481" s="2" t="s">
        <v>228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228</v>
      </c>
      <c r="AW1481" s="8" t="s">
        <v>228</v>
      </c>
      <c r="AX1481" s="4" t="s">
        <v>228</v>
      </c>
      <c r="AY1481" s="8" t="s">
        <v>228</v>
      </c>
      <c r="AZ1481" s="7" t="s">
        <v>228</v>
      </c>
      <c r="BA1481" s="7" t="s">
        <v>228</v>
      </c>
      <c r="BB1481" s="7"/>
      <c r="BC1481" s="4" t="s">
        <v>228</v>
      </c>
      <c r="BD1481" s="8" t="s">
        <v>228</v>
      </c>
      <c r="BE1481" s="4" t="s">
        <v>228</v>
      </c>
      <c r="BF1481" s="8" t="s">
        <v>228</v>
      </c>
      <c r="BG1481" s="7" t="s">
        <v>228</v>
      </c>
      <c r="BH1481" s="7" t="s">
        <v>228</v>
      </c>
      <c r="BI1481" s="7"/>
      <c r="BJ1481" s="4">
        <v>9</v>
      </c>
      <c r="BK1481" s="8">
        <v>183.26</v>
      </c>
      <c r="BL1481" s="2" t="s">
        <v>7562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7563</v>
      </c>
      <c r="BV1481" s="2" t="s">
        <v>228</v>
      </c>
      <c r="BW1481" s="2" t="s">
        <v>228</v>
      </c>
      <c r="BX1481" s="2" t="s">
        <v>273</v>
      </c>
      <c r="BY1481" s="2" t="s">
        <v>274</v>
      </c>
      <c r="BZ1481" s="2" t="s">
        <v>240</v>
      </c>
      <c r="CA1481" s="2" t="s">
        <v>3233</v>
      </c>
      <c r="CB1481" s="2" t="s">
        <v>5527</v>
      </c>
      <c r="CC1481" s="2" t="s">
        <v>241</v>
      </c>
      <c r="CD1481" s="2" t="s">
        <v>228</v>
      </c>
      <c r="CE1481" s="4">
        <v>22</v>
      </c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/>
      <c r="FZ1481" s="4"/>
      <c r="GA1481" s="4"/>
      <c r="GB1481" s="4"/>
      <c r="GC1481" s="4"/>
      <c r="GD1481" s="4"/>
      <c r="GE1481" s="4"/>
      <c r="GF1481" s="4">
        <v>52</v>
      </c>
      <c r="GG1481" s="4"/>
      <c r="GH1481" s="4"/>
      <c r="GI1481" s="4"/>
      <c r="GJ1481" s="4"/>
      <c r="GK1481" s="4"/>
      <c r="GL1481" s="4"/>
      <c r="GM1481" s="4"/>
      <c r="GN1481" s="4"/>
      <c r="GO1481" s="4"/>
      <c r="GP1481" s="4"/>
      <c r="GQ1481" s="4"/>
      <c r="GR1481" s="4"/>
      <c r="GS1481" s="4"/>
      <c r="GT1481" s="4"/>
      <c r="GU1481" s="4"/>
      <c r="GV1481" s="4"/>
      <c r="GW1481" s="4"/>
      <c r="GX1481" s="4"/>
      <c r="GY1481" s="4"/>
      <c r="GZ1481" s="4"/>
      <c r="HA1481" s="4"/>
      <c r="HB1481" s="4"/>
      <c r="HC1481" s="4">
        <v>72</v>
      </c>
      <c r="HD1481" s="4"/>
      <c r="HE1481" s="4"/>
    </row>
    <row r="1482">
      <c r="A1482" s="2" t="s">
        <v>7564</v>
      </c>
      <c r="B1482" s="2" t="s">
        <v>958</v>
      </c>
      <c r="C1482" s="2" t="s">
        <v>300</v>
      </c>
      <c r="D1482" s="2" t="s">
        <v>7565</v>
      </c>
      <c r="E1482" s="2" t="s">
        <v>7566</v>
      </c>
      <c r="F1482" s="2" t="s">
        <v>7567</v>
      </c>
      <c r="G1482" s="2" t="s">
        <v>7568</v>
      </c>
      <c r="H1482" s="2" t="s">
        <v>7569</v>
      </c>
      <c r="I1482" s="2" t="s">
        <v>7566</v>
      </c>
      <c r="J1482" s="2" t="s">
        <v>840</v>
      </c>
      <c r="K1482" s="2" t="s">
        <v>305</v>
      </c>
      <c r="L1482" s="3">
        <v>475</v>
      </c>
      <c r="M1482" s="3">
        <v>498.75</v>
      </c>
      <c r="N1482" s="3">
        <v>999</v>
      </c>
      <c r="O1482" s="2" t="s">
        <v>240</v>
      </c>
      <c r="P1482" s="2" t="s">
        <v>333</v>
      </c>
      <c r="Q1482" s="2" t="s">
        <v>234</v>
      </c>
      <c r="R1482" s="2" t="s">
        <v>228</v>
      </c>
      <c r="S1482" s="2" t="s">
        <v>7570</v>
      </c>
      <c r="T1482" s="2" t="s">
        <v>228</v>
      </c>
      <c r="U1482" s="2" t="s">
        <v>228</v>
      </c>
      <c r="V1482" s="2" t="s">
        <v>236</v>
      </c>
      <c r="W1482" s="2" t="s">
        <v>463</v>
      </c>
      <c r="X1482" s="2" t="s">
        <v>228</v>
      </c>
      <c r="Y1482" s="2" t="s">
        <v>7571</v>
      </c>
      <c r="Z1482" s="4">
        <v>110</v>
      </c>
      <c r="AA1482" s="4">
        <f>=ROUNDDOWN(110,0)</f>
      </c>
      <c r="AB1482" s="5">
        <v>1</v>
      </c>
      <c r="AC1482" s="2" t="s">
        <v>228</v>
      </c>
      <c r="AD1482" s="4"/>
      <c r="AE1482" s="4"/>
      <c r="AF1482" s="6">
        <v>65</v>
      </c>
      <c r="AG1482" s="6"/>
      <c r="AH1482" s="7">
        <v>1</v>
      </c>
      <c r="AI1482" s="4"/>
      <c r="AJ1482" s="4">
        <f>=ROUNDDOWN({0},0)</f>
      </c>
      <c r="AK1482" s="5"/>
      <c r="AL1482" s="2" t="s">
        <v>228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/>
      <c r="AW1482" s="8"/>
      <c r="AX1482" s="4"/>
      <c r="AY1482" s="8"/>
      <c r="AZ1482" s="7"/>
      <c r="BA1482" s="7"/>
      <c r="BB1482" s="7"/>
      <c r="BC1482" s="4"/>
      <c r="BD1482" s="8"/>
      <c r="BE1482" s="4"/>
      <c r="BF1482" s="8"/>
      <c r="BG1482" s="7"/>
      <c r="BH1482" s="7"/>
      <c r="BI1482" s="7"/>
      <c r="BJ1482" s="4">
        <v>5</v>
      </c>
      <c r="BK1482" s="8">
        <v>1250</v>
      </c>
      <c r="BL1482" s="2" t="s">
        <v>1921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7572</v>
      </c>
      <c r="BV1482" s="2" t="s">
        <v>228</v>
      </c>
      <c r="BW1482" s="2" t="s">
        <v>228</v>
      </c>
      <c r="BX1482" s="2" t="s">
        <v>337</v>
      </c>
      <c r="BY1482" s="2" t="s">
        <v>274</v>
      </c>
      <c r="BZ1482" s="2" t="s">
        <v>240</v>
      </c>
      <c r="CA1482" s="2" t="s">
        <v>1242</v>
      </c>
      <c r="CB1482" s="2" t="s">
        <v>7573</v>
      </c>
      <c r="CC1482" s="2" t="s">
        <v>241</v>
      </c>
      <c r="CD1482" s="2" t="s">
        <v>228</v>
      </c>
      <c r="CE1482" s="4"/>
      <c r="CF1482" s="4">
        <v>110</v>
      </c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/>
      <c r="FZ1482" s="4"/>
      <c r="GA1482" s="4"/>
      <c r="GB1482" s="4"/>
      <c r="GC1482" s="4"/>
      <c r="GD1482" s="4"/>
      <c r="GE1482" s="4"/>
      <c r="GF1482" s="4"/>
      <c r="GG1482" s="4"/>
      <c r="GH1482" s="4"/>
      <c r="GI1482" s="4"/>
      <c r="GJ1482" s="4"/>
      <c r="GK1482" s="4"/>
      <c r="GL1482" s="4"/>
      <c r="GM1482" s="4"/>
      <c r="GN1482" s="4"/>
      <c r="GO1482" s="4"/>
      <c r="GP1482" s="4"/>
      <c r="GQ1482" s="4"/>
      <c r="GR1482" s="4"/>
      <c r="GS1482" s="4"/>
      <c r="GT1482" s="4"/>
      <c r="GU1482" s="4"/>
      <c r="GV1482" s="4"/>
      <c r="GW1482" s="4"/>
      <c r="GX1482" s="4"/>
      <c r="GY1482" s="4"/>
      <c r="GZ1482" s="4"/>
      <c r="HA1482" s="4"/>
      <c r="HB1482" s="4"/>
      <c r="HC1482" s="4"/>
      <c r="HD1482" s="4"/>
      <c r="HE1482" s="4"/>
    </row>
    <row r="1483">
      <c r="A1483" s="2" t="s">
        <v>7574</v>
      </c>
      <c r="B1483" s="2" t="s">
        <v>834</v>
      </c>
      <c r="C1483" s="2" t="s">
        <v>1743</v>
      </c>
      <c r="D1483" s="2" t="s">
        <v>1101</v>
      </c>
      <c r="E1483" s="2" t="s">
        <v>1102</v>
      </c>
      <c r="F1483" s="2" t="s">
        <v>7575</v>
      </c>
      <c r="G1483" s="2" t="s">
        <v>7575</v>
      </c>
      <c r="H1483" s="2" t="s">
        <v>7575</v>
      </c>
      <c r="I1483" s="2" t="s">
        <v>7576</v>
      </c>
      <c r="J1483" s="2" t="s">
        <v>840</v>
      </c>
      <c r="K1483" s="2" t="s">
        <v>460</v>
      </c>
      <c r="L1483" s="3">
        <v>38</v>
      </c>
      <c r="M1483" s="3">
        <v>39.9</v>
      </c>
      <c r="N1483" s="3">
        <v>79.99</v>
      </c>
      <c r="O1483" s="2" t="s">
        <v>240</v>
      </c>
      <c r="P1483" s="2" t="s">
        <v>233</v>
      </c>
      <c r="Q1483" s="2" t="s">
        <v>234</v>
      </c>
      <c r="R1483" s="2" t="s">
        <v>228</v>
      </c>
      <c r="S1483" s="2" t="s">
        <v>228</v>
      </c>
      <c r="T1483" s="2" t="s">
        <v>228</v>
      </c>
      <c r="U1483" s="2" t="s">
        <v>416</v>
      </c>
      <c r="V1483" s="2" t="s">
        <v>842</v>
      </c>
      <c r="W1483" s="2" t="s">
        <v>463</v>
      </c>
      <c r="X1483" s="2" t="s">
        <v>228</v>
      </c>
      <c r="Y1483" s="2" t="s">
        <v>3125</v>
      </c>
      <c r="Z1483" s="4">
        <v>100</v>
      </c>
      <c r="AA1483" s="4">
        <f>=ROUNDDOWN({0},0)</f>
      </c>
      <c r="AB1483" s="5"/>
      <c r="AC1483" s="2" t="s">
        <v>228</v>
      </c>
      <c r="AD1483" s="4"/>
      <c r="AE1483" s="4"/>
      <c r="AF1483" s="6">
        <v>65</v>
      </c>
      <c r="AG1483" s="6"/>
      <c r="AH1483" s="7">
        <v>1</v>
      </c>
      <c r="AI1483" s="4"/>
      <c r="AJ1483" s="4">
        <f>=ROUNDDOWN({0},0)</f>
      </c>
      <c r="AK1483" s="5"/>
      <c r="AL1483" s="2" t="s">
        <v>228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/>
      <c r="AW1483" s="8"/>
      <c r="AX1483" s="4"/>
      <c r="AY1483" s="8"/>
      <c r="AZ1483" s="7"/>
      <c r="BA1483" s="7"/>
      <c r="BB1483" s="7"/>
      <c r="BC1483" s="4"/>
      <c r="BD1483" s="8"/>
      <c r="BE1483" s="4"/>
      <c r="BF1483" s="8"/>
      <c r="BG1483" s="7"/>
      <c r="BH1483" s="7"/>
      <c r="BI1483" s="7"/>
      <c r="BJ1483" s="4"/>
      <c r="BK1483" s="8"/>
      <c r="BL1483" s="2" t="s">
        <v>228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7577</v>
      </c>
      <c r="BV1483" s="2" t="s">
        <v>228</v>
      </c>
      <c r="BW1483" s="2" t="s">
        <v>228</v>
      </c>
      <c r="BX1483" s="2" t="s">
        <v>238</v>
      </c>
      <c r="BY1483" s="2" t="s">
        <v>274</v>
      </c>
      <c r="BZ1483" s="2" t="s">
        <v>240</v>
      </c>
      <c r="CA1483" s="2" t="s">
        <v>228</v>
      </c>
      <c r="CB1483" s="2" t="s">
        <v>228</v>
      </c>
      <c r="CC1483" s="2" t="s">
        <v>241</v>
      </c>
      <c r="CD1483" s="2" t="s">
        <v>228</v>
      </c>
      <c r="CE1483" s="4"/>
      <c r="CF1483" s="4">
        <v>100</v>
      </c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/>
      <c r="FZ1483" s="4"/>
      <c r="GA1483" s="4"/>
      <c r="GB1483" s="4"/>
      <c r="GC1483" s="4"/>
      <c r="GD1483" s="4"/>
      <c r="GE1483" s="4"/>
      <c r="GF1483" s="4"/>
      <c r="GG1483" s="4"/>
      <c r="GH1483" s="4"/>
      <c r="GI1483" s="4"/>
      <c r="GJ1483" s="4"/>
      <c r="GK1483" s="4"/>
      <c r="GL1483" s="4"/>
      <c r="GM1483" s="4"/>
      <c r="GN1483" s="4"/>
      <c r="GO1483" s="4"/>
      <c r="GP1483" s="4"/>
      <c r="GQ1483" s="4"/>
      <c r="GR1483" s="4"/>
      <c r="GS1483" s="4"/>
      <c r="GT1483" s="4"/>
      <c r="GU1483" s="4"/>
      <c r="GV1483" s="4"/>
      <c r="GW1483" s="4"/>
      <c r="GX1483" s="4"/>
      <c r="GY1483" s="4"/>
      <c r="GZ1483" s="4"/>
      <c r="HA1483" s="4"/>
      <c r="HB1483" s="4"/>
      <c r="HC1483" s="4"/>
      <c r="HD1483" s="4"/>
      <c r="HE1483" s="4"/>
    </row>
    <row r="1484">
      <c r="A1484" s="2" t="s">
        <v>7578</v>
      </c>
      <c r="B1484" s="2" t="s">
        <v>958</v>
      </c>
      <c r="C1484" s="2" t="s">
        <v>835</v>
      </c>
      <c r="D1484" s="2" t="s">
        <v>959</v>
      </c>
      <c r="E1484" s="2" t="s">
        <v>960</v>
      </c>
      <c r="F1484" s="2" t="s">
        <v>7579</v>
      </c>
      <c r="G1484" s="2" t="s">
        <v>7579</v>
      </c>
      <c r="H1484" s="2" t="s">
        <v>7579</v>
      </c>
      <c r="I1484" s="2" t="s">
        <v>2560</v>
      </c>
      <c r="J1484" s="2" t="s">
        <v>840</v>
      </c>
      <c r="K1484" s="2" t="s">
        <v>249</v>
      </c>
      <c r="L1484" s="3">
        <v>251.75</v>
      </c>
      <c r="M1484" s="3">
        <v>264.34</v>
      </c>
      <c r="N1484" s="3">
        <v>529</v>
      </c>
      <c r="O1484" s="2" t="s">
        <v>240</v>
      </c>
      <c r="P1484" s="2" t="s">
        <v>1012</v>
      </c>
      <c r="Q1484" s="2" t="s">
        <v>234</v>
      </c>
      <c r="R1484" s="2" t="s">
        <v>228</v>
      </c>
      <c r="S1484" s="2" t="s">
        <v>228</v>
      </c>
      <c r="T1484" s="2" t="s">
        <v>228</v>
      </c>
      <c r="U1484" s="2" t="s">
        <v>416</v>
      </c>
      <c r="V1484" s="2" t="s">
        <v>236</v>
      </c>
      <c r="W1484" s="2" t="s">
        <v>843</v>
      </c>
      <c r="X1484" s="2" t="s">
        <v>228</v>
      </c>
      <c r="Y1484" s="2" t="s">
        <v>7580</v>
      </c>
      <c r="Z1484" s="4">
        <v>74</v>
      </c>
      <c r="AA1484" s="4">
        <f>=ROUNDDOWN(18.5,0)</f>
      </c>
      <c r="AB1484" s="5">
        <v>4</v>
      </c>
      <c r="AC1484" s="2" t="s">
        <v>166</v>
      </c>
      <c r="AD1484" s="4">
        <v>63</v>
      </c>
      <c r="AE1484" s="4">
        <v>63</v>
      </c>
      <c r="AF1484" s="6">
        <v>66</v>
      </c>
      <c r="AG1484" s="6"/>
      <c r="AH1484" s="7">
        <v>1</v>
      </c>
      <c r="AI1484" s="4"/>
      <c r="AJ1484" s="4">
        <f>=ROUNDDOWN({0},0)</f>
      </c>
      <c r="AK1484" s="5"/>
      <c r="AL1484" s="2" t="s">
        <v>228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/>
      <c r="AW1484" s="8"/>
      <c r="AX1484" s="4"/>
      <c r="AY1484" s="8"/>
      <c r="AZ1484" s="7"/>
      <c r="BA1484" s="7"/>
      <c r="BB1484" s="7"/>
      <c r="BC1484" s="4"/>
      <c r="BD1484" s="8"/>
      <c r="BE1484" s="4"/>
      <c r="BF1484" s="8"/>
      <c r="BG1484" s="7"/>
      <c r="BH1484" s="7"/>
      <c r="BI1484" s="7"/>
      <c r="BJ1484" s="4">
        <v>5</v>
      </c>
      <c r="BK1484" s="8">
        <v>1195.11</v>
      </c>
      <c r="BL1484" s="2" t="s">
        <v>7581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7582</v>
      </c>
      <c r="BV1484" s="2" t="s">
        <v>228</v>
      </c>
      <c r="BW1484" s="2" t="s">
        <v>228</v>
      </c>
      <c r="BX1484" s="2" t="s">
        <v>273</v>
      </c>
      <c r="BY1484" s="2" t="s">
        <v>274</v>
      </c>
      <c r="BZ1484" s="2" t="s">
        <v>240</v>
      </c>
      <c r="CA1484" s="2" t="s">
        <v>6346</v>
      </c>
      <c r="CB1484" s="2" t="s">
        <v>7583</v>
      </c>
      <c r="CC1484" s="2" t="s">
        <v>241</v>
      </c>
      <c r="CD1484" s="2" t="s">
        <v>228</v>
      </c>
      <c r="CE1484" s="4"/>
      <c r="CF1484" s="4">
        <v>74</v>
      </c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>
        <v>63</v>
      </c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/>
      <c r="FZ1484" s="4"/>
      <c r="GA1484" s="4"/>
      <c r="GB1484" s="4"/>
      <c r="GC1484" s="4"/>
      <c r="GD1484" s="4"/>
      <c r="GE1484" s="4"/>
      <c r="GF1484" s="4"/>
      <c r="GG1484" s="4"/>
      <c r="GH1484" s="4"/>
      <c r="GI1484" s="4"/>
      <c r="GJ1484" s="4"/>
      <c r="GK1484" s="4"/>
      <c r="GL1484" s="4"/>
      <c r="GM1484" s="4"/>
      <c r="GN1484" s="4"/>
      <c r="GO1484" s="4"/>
      <c r="GP1484" s="4"/>
      <c r="GQ1484" s="4"/>
      <c r="GR1484" s="4"/>
      <c r="GS1484" s="4"/>
      <c r="GT1484" s="4"/>
      <c r="GU1484" s="4"/>
      <c r="GV1484" s="4"/>
      <c r="GW1484" s="4"/>
      <c r="GX1484" s="4"/>
      <c r="GY1484" s="4"/>
      <c r="GZ1484" s="4"/>
      <c r="HA1484" s="4"/>
      <c r="HB1484" s="4"/>
      <c r="HC1484" s="4"/>
      <c r="HD1484" s="4"/>
      <c r="HE1484" s="4"/>
    </row>
    <row r="1485">
      <c r="A1485" s="2" t="s">
        <v>7584</v>
      </c>
      <c r="B1485" s="2" t="s">
        <v>1150</v>
      </c>
      <c r="C1485" s="2" t="s">
        <v>731</v>
      </c>
      <c r="D1485" s="2" t="s">
        <v>1112</v>
      </c>
      <c r="E1485" s="2" t="s">
        <v>1113</v>
      </c>
      <c r="F1485" s="2" t="s">
        <v>7585</v>
      </c>
      <c r="G1485" s="2" t="s">
        <v>7585</v>
      </c>
      <c r="H1485" s="2" t="s">
        <v>7585</v>
      </c>
      <c r="I1485" s="2" t="s">
        <v>7586</v>
      </c>
      <c r="J1485" s="2" t="s">
        <v>1189</v>
      </c>
      <c r="K1485" s="2" t="s">
        <v>265</v>
      </c>
      <c r="L1485" s="3">
        <v>45.71</v>
      </c>
      <c r="M1485" s="3">
        <v>48</v>
      </c>
      <c r="N1485" s="3">
        <v>99.99</v>
      </c>
      <c r="O1485" s="2" t="s">
        <v>461</v>
      </c>
      <c r="P1485" s="2" t="s">
        <v>333</v>
      </c>
      <c r="Q1485" s="2" t="s">
        <v>234</v>
      </c>
      <c r="R1485" s="2" t="s">
        <v>228</v>
      </c>
      <c r="S1485" s="2" t="s">
        <v>7587</v>
      </c>
      <c r="T1485" s="2" t="s">
        <v>228</v>
      </c>
      <c r="U1485" s="2" t="s">
        <v>500</v>
      </c>
      <c r="V1485" s="2" t="s">
        <v>236</v>
      </c>
      <c r="W1485" s="2" t="s">
        <v>269</v>
      </c>
      <c r="X1485" s="2" t="s">
        <v>228</v>
      </c>
      <c r="Y1485" s="2" t="s">
        <v>1480</v>
      </c>
      <c r="Z1485" s="4">
        <v>248</v>
      </c>
      <c r="AA1485" s="4">
        <f>=ROUNDDOWN(77.5,0)</f>
      </c>
      <c r="AB1485" s="5">
        <v>3.2</v>
      </c>
      <c r="AC1485" s="2" t="s">
        <v>228</v>
      </c>
      <c r="AD1485" s="4"/>
      <c r="AE1485" s="4"/>
      <c r="AF1485" s="6">
        <v>65</v>
      </c>
      <c r="AG1485" s="6"/>
      <c r="AH1485" s="7">
        <v>1</v>
      </c>
      <c r="AI1485" s="4"/>
      <c r="AJ1485" s="4">
        <f>=ROUNDDOWN({0},0)</f>
      </c>
      <c r="AK1485" s="5"/>
      <c r="AL1485" s="2" t="s">
        <v>228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 t="s">
        <v>228</v>
      </c>
      <c r="AW1485" s="8" t="s">
        <v>228</v>
      </c>
      <c r="AX1485" s="4" t="s">
        <v>228</v>
      </c>
      <c r="AY1485" s="8" t="s">
        <v>228</v>
      </c>
      <c r="AZ1485" s="7" t="s">
        <v>228</v>
      </c>
      <c r="BA1485" s="7" t="s">
        <v>228</v>
      </c>
      <c r="BB1485" s="7" t="s">
        <v>228</v>
      </c>
      <c r="BC1485" s="4" t="s">
        <v>228</v>
      </c>
      <c r="BD1485" s="8" t="s">
        <v>228</v>
      </c>
      <c r="BE1485" s="4" t="s">
        <v>228</v>
      </c>
      <c r="BF1485" s="8" t="s">
        <v>228</v>
      </c>
      <c r="BG1485" s="7" t="s">
        <v>228</v>
      </c>
      <c r="BH1485" s="7" t="s">
        <v>228</v>
      </c>
      <c r="BI1485" s="7"/>
      <c r="BJ1485" s="4">
        <v>11</v>
      </c>
      <c r="BK1485" s="8">
        <v>421.62</v>
      </c>
      <c r="BL1485" s="2" t="s">
        <v>5905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7588</v>
      </c>
      <c r="BV1485" s="2" t="s">
        <v>228</v>
      </c>
      <c r="BW1485" s="2" t="s">
        <v>228</v>
      </c>
      <c r="BX1485" s="2" t="s">
        <v>337</v>
      </c>
      <c r="BY1485" s="2" t="s">
        <v>274</v>
      </c>
      <c r="BZ1485" s="2" t="s">
        <v>240</v>
      </c>
      <c r="CA1485" s="2" t="s">
        <v>1484</v>
      </c>
      <c r="CB1485" s="2" t="s">
        <v>7589</v>
      </c>
      <c r="CC1485" s="2" t="s">
        <v>241</v>
      </c>
      <c r="CD1485" s="2" t="s">
        <v>228</v>
      </c>
      <c r="CE1485" s="4">
        <v>248</v>
      </c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/>
      <c r="FZ1485" s="4"/>
      <c r="GA1485" s="4"/>
      <c r="GB1485" s="4"/>
      <c r="GC1485" s="4"/>
      <c r="GD1485" s="4"/>
      <c r="GE1485" s="4"/>
      <c r="GF1485" s="4"/>
      <c r="GG1485" s="4"/>
      <c r="GH1485" s="4"/>
      <c r="GI1485" s="4"/>
      <c r="GJ1485" s="4"/>
      <c r="GK1485" s="4"/>
      <c r="GL1485" s="4"/>
      <c r="GM1485" s="4"/>
      <c r="GN1485" s="4"/>
      <c r="GO1485" s="4"/>
      <c r="GP1485" s="4"/>
      <c r="GQ1485" s="4"/>
      <c r="GR1485" s="4"/>
      <c r="GS1485" s="4"/>
      <c r="GT1485" s="4"/>
      <c r="GU1485" s="4"/>
      <c r="GV1485" s="4"/>
      <c r="GW1485" s="4"/>
      <c r="GX1485" s="4"/>
      <c r="GY1485" s="4"/>
      <c r="GZ1485" s="4"/>
      <c r="HA1485" s="4"/>
      <c r="HB1485" s="4"/>
      <c r="HC1485" s="4"/>
      <c r="HD1485" s="4"/>
      <c r="HE1485" s="4"/>
    </row>
    <row r="1486">
      <c r="A1486" s="2" t="s">
        <v>7590</v>
      </c>
      <c r="B1486" s="2" t="s">
        <v>1150</v>
      </c>
      <c r="C1486" s="2" t="s">
        <v>731</v>
      </c>
      <c r="D1486" s="2" t="s">
        <v>850</v>
      </c>
      <c r="E1486" s="2" t="s">
        <v>1038</v>
      </c>
      <c r="F1486" s="2" t="s">
        <v>7585</v>
      </c>
      <c r="G1486" s="2" t="s">
        <v>7585</v>
      </c>
      <c r="H1486" s="2" t="s">
        <v>7585</v>
      </c>
      <c r="I1486" s="2" t="s">
        <v>7591</v>
      </c>
      <c r="J1486" s="2" t="s">
        <v>1189</v>
      </c>
      <c r="K1486" s="2" t="s">
        <v>265</v>
      </c>
      <c r="L1486" s="3">
        <v>32</v>
      </c>
      <c r="M1486" s="3">
        <v>33.6</v>
      </c>
      <c r="N1486" s="3">
        <v>69.99</v>
      </c>
      <c r="O1486" s="2" t="s">
        <v>461</v>
      </c>
      <c r="P1486" s="2" t="s">
        <v>333</v>
      </c>
      <c r="Q1486" s="2" t="s">
        <v>234</v>
      </c>
      <c r="R1486" s="2" t="s">
        <v>228</v>
      </c>
      <c r="S1486" s="2" t="s">
        <v>7587</v>
      </c>
      <c r="T1486" s="2" t="s">
        <v>228</v>
      </c>
      <c r="U1486" s="2" t="s">
        <v>500</v>
      </c>
      <c r="V1486" s="2" t="s">
        <v>236</v>
      </c>
      <c r="W1486" s="2" t="s">
        <v>269</v>
      </c>
      <c r="X1486" s="2" t="s">
        <v>228</v>
      </c>
      <c r="Y1486" s="2" t="s">
        <v>1480</v>
      </c>
      <c r="Z1486" s="4">
        <v>146</v>
      </c>
      <c r="AA1486" s="4">
        <f>=ROUNDDOWN(91.25,0)</f>
      </c>
      <c r="AB1486" s="5">
        <v>1.6</v>
      </c>
      <c r="AC1486" s="2" t="s">
        <v>228</v>
      </c>
      <c r="AD1486" s="4"/>
      <c r="AE1486" s="4"/>
      <c r="AF1486" s="6">
        <v>65</v>
      </c>
      <c r="AG1486" s="6"/>
      <c r="AH1486" s="7">
        <v>0.6452</v>
      </c>
      <c r="AI1486" s="4"/>
      <c r="AJ1486" s="4">
        <f>=ROUNDDOWN({0},0)</f>
      </c>
      <c r="AK1486" s="5"/>
      <c r="AL1486" s="2" t="s">
        <v>228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 t="s">
        <v>228</v>
      </c>
      <c r="AW1486" s="8" t="s">
        <v>228</v>
      </c>
      <c r="AX1486" s="4" t="s">
        <v>228</v>
      </c>
      <c r="AY1486" s="8" t="s">
        <v>228</v>
      </c>
      <c r="AZ1486" s="7" t="s">
        <v>228</v>
      </c>
      <c r="BA1486" s="7" t="s">
        <v>228</v>
      </c>
      <c r="BB1486" s="7" t="s">
        <v>228</v>
      </c>
      <c r="BC1486" s="4" t="s">
        <v>228</v>
      </c>
      <c r="BD1486" s="8" t="s">
        <v>228</v>
      </c>
      <c r="BE1486" s="4" t="s">
        <v>228</v>
      </c>
      <c r="BF1486" s="8" t="s">
        <v>228</v>
      </c>
      <c r="BG1486" s="7" t="s">
        <v>228</v>
      </c>
      <c r="BH1486" s="7" t="s">
        <v>228</v>
      </c>
      <c r="BI1486" s="7"/>
      <c r="BJ1486" s="4">
        <v>1</v>
      </c>
      <c r="BK1486" s="8">
        <v>25.2</v>
      </c>
      <c r="BL1486" s="2" t="s">
        <v>7592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7593</v>
      </c>
      <c r="BV1486" s="2" t="s">
        <v>228</v>
      </c>
      <c r="BW1486" s="2" t="s">
        <v>228</v>
      </c>
      <c r="BX1486" s="2" t="s">
        <v>337</v>
      </c>
      <c r="BY1486" s="2" t="s">
        <v>274</v>
      </c>
      <c r="BZ1486" s="2" t="s">
        <v>240</v>
      </c>
      <c r="CA1486" s="2" t="s">
        <v>1484</v>
      </c>
      <c r="CB1486" s="2" t="s">
        <v>7594</v>
      </c>
      <c r="CC1486" s="2" t="s">
        <v>241</v>
      </c>
      <c r="CD1486" s="2" t="s">
        <v>228</v>
      </c>
      <c r="CE1486" s="4">
        <v>146</v>
      </c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/>
      <c r="FT1486" s="4"/>
      <c r="FU1486" s="4"/>
      <c r="FV1486" s="4"/>
      <c r="FW1486" s="4"/>
      <c r="FX1486" s="4"/>
      <c r="FY1486" s="4"/>
      <c r="FZ1486" s="4"/>
      <c r="GA1486" s="4"/>
      <c r="GB1486" s="4"/>
      <c r="GC1486" s="4"/>
      <c r="GD1486" s="4"/>
      <c r="GE1486" s="4"/>
      <c r="GF1486" s="4"/>
      <c r="GG1486" s="4"/>
      <c r="GH1486" s="4"/>
      <c r="GI1486" s="4"/>
      <c r="GJ1486" s="4"/>
      <c r="GK1486" s="4"/>
      <c r="GL1486" s="4"/>
      <c r="GM1486" s="4"/>
      <c r="GN1486" s="4"/>
      <c r="GO1486" s="4"/>
      <c r="GP1486" s="4"/>
      <c r="GQ1486" s="4"/>
      <c r="GR1486" s="4"/>
      <c r="GS1486" s="4"/>
      <c r="GT1486" s="4"/>
      <c r="GU1486" s="4"/>
      <c r="GV1486" s="4"/>
      <c r="GW1486" s="4"/>
      <c r="GX1486" s="4"/>
      <c r="GY1486" s="4"/>
      <c r="GZ1486" s="4"/>
      <c r="HA1486" s="4"/>
      <c r="HB1486" s="4"/>
      <c r="HC1486" s="4"/>
      <c r="HD1486" s="4"/>
      <c r="HE1486" s="4"/>
    </row>
    <row r="1487">
      <c r="A1487" s="2" t="s">
        <v>7595</v>
      </c>
      <c r="B1487" s="2" t="s">
        <v>1150</v>
      </c>
      <c r="C1487" s="2" t="s">
        <v>731</v>
      </c>
      <c r="D1487" s="2" t="s">
        <v>850</v>
      </c>
      <c r="E1487" s="2" t="s">
        <v>1038</v>
      </c>
      <c r="F1487" s="2" t="s">
        <v>7585</v>
      </c>
      <c r="G1487" s="2" t="s">
        <v>7585</v>
      </c>
      <c r="H1487" s="2" t="s">
        <v>7585</v>
      </c>
      <c r="I1487" s="2" t="s">
        <v>7591</v>
      </c>
      <c r="J1487" s="2" t="s">
        <v>1043</v>
      </c>
      <c r="K1487" s="2" t="s">
        <v>265</v>
      </c>
      <c r="L1487" s="3">
        <v>36.57</v>
      </c>
      <c r="M1487" s="3">
        <v>38.4</v>
      </c>
      <c r="N1487" s="3">
        <v>79.99</v>
      </c>
      <c r="O1487" s="2" t="s">
        <v>240</v>
      </c>
      <c r="P1487" s="2" t="s">
        <v>333</v>
      </c>
      <c r="Q1487" s="2" t="s">
        <v>234</v>
      </c>
      <c r="R1487" s="2" t="s">
        <v>228</v>
      </c>
      <c r="S1487" s="2" t="s">
        <v>7587</v>
      </c>
      <c r="T1487" s="2" t="s">
        <v>228</v>
      </c>
      <c r="U1487" s="2" t="s">
        <v>500</v>
      </c>
      <c r="V1487" s="2" t="s">
        <v>236</v>
      </c>
      <c r="W1487" s="2" t="s">
        <v>269</v>
      </c>
      <c r="X1487" s="2" t="s">
        <v>228</v>
      </c>
      <c r="Y1487" s="2" t="s">
        <v>1480</v>
      </c>
      <c r="Z1487" s="4">
        <v>93</v>
      </c>
      <c r="AA1487" s="4">
        <f>=ROUNDDOWN(103.333333333333,0)</f>
      </c>
      <c r="AB1487" s="5">
        <v>0.9</v>
      </c>
      <c r="AC1487" s="2" t="s">
        <v>228</v>
      </c>
      <c r="AD1487" s="4"/>
      <c r="AE1487" s="4"/>
      <c r="AF1487" s="6">
        <v>65</v>
      </c>
      <c r="AG1487" s="6"/>
      <c r="AH1487" s="7">
        <v>1</v>
      </c>
      <c r="AI1487" s="4"/>
      <c r="AJ1487" s="4">
        <f>=ROUNDDOWN({0},0)</f>
      </c>
      <c r="AK1487" s="5"/>
      <c r="AL1487" s="2" t="s">
        <v>228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 t="s">
        <v>228</v>
      </c>
      <c r="AW1487" s="8" t="s">
        <v>228</v>
      </c>
      <c r="AX1487" s="4" t="s">
        <v>228</v>
      </c>
      <c r="AY1487" s="8" t="s">
        <v>228</v>
      </c>
      <c r="AZ1487" s="7" t="s">
        <v>228</v>
      </c>
      <c r="BA1487" s="7" t="s">
        <v>228</v>
      </c>
      <c r="BB1487" s="7"/>
      <c r="BC1487" s="4" t="s">
        <v>228</v>
      </c>
      <c r="BD1487" s="8" t="s">
        <v>228</v>
      </c>
      <c r="BE1487" s="4" t="s">
        <v>228</v>
      </c>
      <c r="BF1487" s="8" t="s">
        <v>228</v>
      </c>
      <c r="BG1487" s="7" t="s">
        <v>228</v>
      </c>
      <c r="BH1487" s="7" t="s">
        <v>228</v>
      </c>
      <c r="BI1487" s="7"/>
      <c r="BJ1487" s="4">
        <v>5</v>
      </c>
      <c r="BK1487" s="8">
        <v>127.87</v>
      </c>
      <c r="BL1487" s="2" t="s">
        <v>7596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7597</v>
      </c>
      <c r="BV1487" s="2" t="s">
        <v>228</v>
      </c>
      <c r="BW1487" s="2" t="s">
        <v>228</v>
      </c>
      <c r="BX1487" s="2" t="s">
        <v>337</v>
      </c>
      <c r="BY1487" s="2" t="s">
        <v>274</v>
      </c>
      <c r="BZ1487" s="2" t="s">
        <v>240</v>
      </c>
      <c r="CA1487" s="2" t="s">
        <v>1484</v>
      </c>
      <c r="CB1487" s="2" t="s">
        <v>1832</v>
      </c>
      <c r="CC1487" s="2" t="s">
        <v>241</v>
      </c>
      <c r="CD1487" s="2" t="s">
        <v>228</v>
      </c>
      <c r="CE1487" s="4">
        <v>93</v>
      </c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/>
      <c r="GD1487" s="4"/>
      <c r="GE1487" s="4"/>
      <c r="GF1487" s="4"/>
      <c r="GG1487" s="4"/>
      <c r="GH1487" s="4"/>
      <c r="GI1487" s="4"/>
      <c r="GJ1487" s="4"/>
      <c r="GK1487" s="4"/>
      <c r="GL1487" s="4"/>
      <c r="GM1487" s="4"/>
      <c r="GN1487" s="4"/>
      <c r="GO1487" s="4"/>
      <c r="GP1487" s="4"/>
      <c r="GQ1487" s="4"/>
      <c r="GR1487" s="4"/>
      <c r="GS1487" s="4"/>
      <c r="GT1487" s="4"/>
      <c r="GU1487" s="4"/>
      <c r="GV1487" s="4"/>
      <c r="GW1487" s="4"/>
      <c r="GX1487" s="4"/>
      <c r="GY1487" s="4"/>
      <c r="GZ1487" s="4"/>
      <c r="HA1487" s="4"/>
      <c r="HB1487" s="4"/>
      <c r="HC1487" s="4"/>
      <c r="HD1487" s="4"/>
      <c r="HE1487" s="4"/>
    </row>
    <row r="1488">
      <c r="A1488" s="2" t="s">
        <v>7598</v>
      </c>
      <c r="B1488" s="2" t="s">
        <v>1150</v>
      </c>
      <c r="C1488" s="2" t="s">
        <v>731</v>
      </c>
      <c r="D1488" s="2" t="s">
        <v>1112</v>
      </c>
      <c r="E1488" s="2" t="s">
        <v>1113</v>
      </c>
      <c r="F1488" s="2" t="s">
        <v>7585</v>
      </c>
      <c r="G1488" s="2" t="s">
        <v>7585</v>
      </c>
      <c r="H1488" s="2" t="s">
        <v>7585</v>
      </c>
      <c r="I1488" s="2" t="s">
        <v>7599</v>
      </c>
      <c r="J1488" s="2" t="s">
        <v>1189</v>
      </c>
      <c r="K1488" s="2" t="s">
        <v>1357</v>
      </c>
      <c r="L1488" s="3">
        <v>45.71</v>
      </c>
      <c r="M1488" s="3">
        <v>48</v>
      </c>
      <c r="N1488" s="3">
        <v>99.99</v>
      </c>
      <c r="O1488" s="2" t="s">
        <v>240</v>
      </c>
      <c r="P1488" s="2" t="s">
        <v>333</v>
      </c>
      <c r="Q1488" s="2" t="s">
        <v>234</v>
      </c>
      <c r="R1488" s="2" t="s">
        <v>228</v>
      </c>
      <c r="S1488" s="2" t="s">
        <v>7600</v>
      </c>
      <c r="T1488" s="2" t="s">
        <v>228</v>
      </c>
      <c r="U1488" s="2" t="s">
        <v>500</v>
      </c>
      <c r="V1488" s="2" t="s">
        <v>236</v>
      </c>
      <c r="W1488" s="2" t="s">
        <v>269</v>
      </c>
      <c r="X1488" s="2" t="s">
        <v>228</v>
      </c>
      <c r="Y1488" s="2" t="s">
        <v>1480</v>
      </c>
      <c r="Z1488" s="4">
        <v>247</v>
      </c>
      <c r="AA1488" s="4">
        <f>=ROUNDDOWN(77.1875,0)</f>
      </c>
      <c r="AB1488" s="5">
        <v>3.2</v>
      </c>
      <c r="AC1488" s="2" t="s">
        <v>228</v>
      </c>
      <c r="AD1488" s="4"/>
      <c r="AE1488" s="4"/>
      <c r="AF1488" s="6">
        <v>65</v>
      </c>
      <c r="AG1488" s="6"/>
      <c r="AH1488" s="7">
        <v>1</v>
      </c>
      <c r="AI1488" s="4"/>
      <c r="AJ1488" s="4">
        <f>=ROUNDDOWN({0},0)</f>
      </c>
      <c r="AK1488" s="5"/>
      <c r="AL1488" s="2" t="s">
        <v>228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 t="s">
        <v>228</v>
      </c>
      <c r="AW1488" s="8" t="s">
        <v>228</v>
      </c>
      <c r="AX1488" s="4" t="s">
        <v>228</v>
      </c>
      <c r="AY1488" s="8" t="s">
        <v>228</v>
      </c>
      <c r="AZ1488" s="7" t="s">
        <v>228</v>
      </c>
      <c r="BA1488" s="7" t="s">
        <v>228</v>
      </c>
      <c r="BB1488" s="7" t="s">
        <v>228</v>
      </c>
      <c r="BC1488" s="4" t="s">
        <v>228</v>
      </c>
      <c r="BD1488" s="8" t="s">
        <v>228</v>
      </c>
      <c r="BE1488" s="4" t="s">
        <v>228</v>
      </c>
      <c r="BF1488" s="8" t="s">
        <v>228</v>
      </c>
      <c r="BG1488" s="7" t="s">
        <v>228</v>
      </c>
      <c r="BH1488" s="7" t="s">
        <v>228</v>
      </c>
      <c r="BI1488" s="7"/>
      <c r="BJ1488" s="4">
        <v>15</v>
      </c>
      <c r="BK1488" s="8">
        <v>544.68</v>
      </c>
      <c r="BL1488" s="2" t="s">
        <v>6977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7601</v>
      </c>
      <c r="BV1488" s="2" t="s">
        <v>228</v>
      </c>
      <c r="BW1488" s="2" t="s">
        <v>228</v>
      </c>
      <c r="BX1488" s="2" t="s">
        <v>337</v>
      </c>
      <c r="BY1488" s="2" t="s">
        <v>274</v>
      </c>
      <c r="BZ1488" s="2" t="s">
        <v>240</v>
      </c>
      <c r="CA1488" s="2" t="s">
        <v>1484</v>
      </c>
      <c r="CB1488" s="2" t="s">
        <v>7602</v>
      </c>
      <c r="CC1488" s="2" t="s">
        <v>241</v>
      </c>
      <c r="CD1488" s="2" t="s">
        <v>228</v>
      </c>
      <c r="CE1488" s="4">
        <v>247</v>
      </c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  <c r="FX1488" s="4"/>
      <c r="FY1488" s="4"/>
      <c r="FZ1488" s="4"/>
      <c r="GA1488" s="4"/>
      <c r="GB1488" s="4"/>
      <c r="GC1488" s="4"/>
      <c r="GD1488" s="4"/>
      <c r="GE1488" s="4"/>
      <c r="GF1488" s="4"/>
      <c r="GG1488" s="4"/>
      <c r="GH1488" s="4"/>
      <c r="GI1488" s="4"/>
      <c r="GJ1488" s="4"/>
      <c r="GK1488" s="4"/>
      <c r="GL1488" s="4"/>
      <c r="GM1488" s="4"/>
      <c r="GN1488" s="4"/>
      <c r="GO1488" s="4"/>
      <c r="GP1488" s="4"/>
      <c r="GQ1488" s="4"/>
      <c r="GR1488" s="4"/>
      <c r="GS1488" s="4"/>
      <c r="GT1488" s="4"/>
      <c r="GU1488" s="4"/>
      <c r="GV1488" s="4"/>
      <c r="GW1488" s="4"/>
      <c r="GX1488" s="4"/>
      <c r="GY1488" s="4"/>
      <c r="GZ1488" s="4"/>
      <c r="HA1488" s="4"/>
      <c r="HB1488" s="4"/>
      <c r="HC1488" s="4"/>
      <c r="HD1488" s="4"/>
      <c r="HE1488" s="4"/>
    </row>
    <row r="1489">
      <c r="A1489" s="2" t="s">
        <v>7603</v>
      </c>
      <c r="B1489" s="2" t="s">
        <v>1150</v>
      </c>
      <c r="C1489" s="2" t="s">
        <v>731</v>
      </c>
      <c r="D1489" s="2" t="s">
        <v>850</v>
      </c>
      <c r="E1489" s="2" t="s">
        <v>1038</v>
      </c>
      <c r="F1489" s="2" t="s">
        <v>7585</v>
      </c>
      <c r="G1489" s="2" t="s">
        <v>7585</v>
      </c>
      <c r="H1489" s="2" t="s">
        <v>7585</v>
      </c>
      <c r="I1489" s="2" t="s">
        <v>7591</v>
      </c>
      <c r="J1489" s="2" t="s">
        <v>1189</v>
      </c>
      <c r="K1489" s="2" t="s">
        <v>1357</v>
      </c>
      <c r="L1489" s="3">
        <v>32</v>
      </c>
      <c r="M1489" s="3">
        <v>33.6</v>
      </c>
      <c r="N1489" s="3">
        <v>69.99</v>
      </c>
      <c r="O1489" s="2" t="s">
        <v>240</v>
      </c>
      <c r="P1489" s="2" t="s">
        <v>333</v>
      </c>
      <c r="Q1489" s="2" t="s">
        <v>234</v>
      </c>
      <c r="R1489" s="2" t="s">
        <v>228</v>
      </c>
      <c r="S1489" s="2" t="s">
        <v>7600</v>
      </c>
      <c r="T1489" s="2" t="s">
        <v>228</v>
      </c>
      <c r="U1489" s="2" t="s">
        <v>500</v>
      </c>
      <c r="V1489" s="2" t="s">
        <v>236</v>
      </c>
      <c r="W1489" s="2" t="s">
        <v>269</v>
      </c>
      <c r="X1489" s="2" t="s">
        <v>228</v>
      </c>
      <c r="Y1489" s="2" t="s">
        <v>1480</v>
      </c>
      <c r="Z1489" s="4">
        <v>159</v>
      </c>
      <c r="AA1489" s="4">
        <f>=ROUNDDOWN(75.7142857142857,0)</f>
      </c>
      <c r="AB1489" s="5">
        <v>2.1</v>
      </c>
      <c r="AC1489" s="2" t="s">
        <v>228</v>
      </c>
      <c r="AD1489" s="4"/>
      <c r="AE1489" s="4"/>
      <c r="AF1489" s="6">
        <v>65</v>
      </c>
      <c r="AG1489" s="6"/>
      <c r="AH1489" s="7">
        <v>1</v>
      </c>
      <c r="AI1489" s="4"/>
      <c r="AJ1489" s="4">
        <f>=ROUNDDOWN({0},0)</f>
      </c>
      <c r="AK1489" s="5"/>
      <c r="AL1489" s="2" t="s">
        <v>228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 t="s">
        <v>228</v>
      </c>
      <c r="AW1489" s="8" t="s">
        <v>228</v>
      </c>
      <c r="AX1489" s="4" t="s">
        <v>228</v>
      </c>
      <c r="AY1489" s="8" t="s">
        <v>228</v>
      </c>
      <c r="AZ1489" s="7" t="s">
        <v>228</v>
      </c>
      <c r="BA1489" s="7" t="s">
        <v>228</v>
      </c>
      <c r="BB1489" s="7" t="s">
        <v>228</v>
      </c>
      <c r="BC1489" s="4" t="s">
        <v>228</v>
      </c>
      <c r="BD1489" s="8" t="s">
        <v>228</v>
      </c>
      <c r="BE1489" s="4" t="s">
        <v>228</v>
      </c>
      <c r="BF1489" s="8" t="s">
        <v>228</v>
      </c>
      <c r="BG1489" s="7" t="s">
        <v>228</v>
      </c>
      <c r="BH1489" s="7" t="s">
        <v>228</v>
      </c>
      <c r="BI1489" s="7"/>
      <c r="BJ1489" s="4">
        <v>8</v>
      </c>
      <c r="BK1489" s="8">
        <v>198.1</v>
      </c>
      <c r="BL1489" s="2" t="s">
        <v>404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7604</v>
      </c>
      <c r="BV1489" s="2" t="s">
        <v>228</v>
      </c>
      <c r="BW1489" s="2" t="s">
        <v>228</v>
      </c>
      <c r="BX1489" s="2" t="s">
        <v>337</v>
      </c>
      <c r="BY1489" s="2" t="s">
        <v>274</v>
      </c>
      <c r="BZ1489" s="2" t="s">
        <v>240</v>
      </c>
      <c r="CA1489" s="2" t="s">
        <v>1484</v>
      </c>
      <c r="CB1489" s="2" t="s">
        <v>846</v>
      </c>
      <c r="CC1489" s="2" t="s">
        <v>241</v>
      </c>
      <c r="CD1489" s="2" t="s">
        <v>228</v>
      </c>
      <c r="CE1489" s="4">
        <v>159</v>
      </c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/>
      <c r="FV1489" s="4"/>
      <c r="FW1489" s="4"/>
      <c r="FX1489" s="4"/>
      <c r="FY1489" s="4"/>
      <c r="FZ1489" s="4"/>
      <c r="GA1489" s="4"/>
      <c r="GB1489" s="4"/>
      <c r="GC1489" s="4"/>
      <c r="GD1489" s="4"/>
      <c r="GE1489" s="4"/>
      <c r="GF1489" s="4"/>
      <c r="GG1489" s="4"/>
      <c r="GH1489" s="4"/>
      <c r="GI1489" s="4"/>
      <c r="GJ1489" s="4"/>
      <c r="GK1489" s="4"/>
      <c r="GL1489" s="4"/>
      <c r="GM1489" s="4"/>
      <c r="GN1489" s="4"/>
      <c r="GO1489" s="4"/>
      <c r="GP1489" s="4"/>
      <c r="GQ1489" s="4"/>
      <c r="GR1489" s="4"/>
      <c r="GS1489" s="4"/>
      <c r="GT1489" s="4"/>
      <c r="GU1489" s="4"/>
      <c r="GV1489" s="4"/>
      <c r="GW1489" s="4"/>
      <c r="GX1489" s="4"/>
      <c r="GY1489" s="4"/>
      <c r="GZ1489" s="4"/>
      <c r="HA1489" s="4"/>
      <c r="HB1489" s="4"/>
      <c r="HC1489" s="4"/>
      <c r="HD1489" s="4"/>
      <c r="HE1489" s="4"/>
    </row>
    <row r="1490">
      <c r="A1490" s="2" t="s">
        <v>7605</v>
      </c>
      <c r="B1490" s="2" t="s">
        <v>958</v>
      </c>
      <c r="C1490" s="2" t="s">
        <v>885</v>
      </c>
      <c r="D1490" s="2" t="s">
        <v>1006</v>
      </c>
      <c r="E1490" s="2" t="s">
        <v>1007</v>
      </c>
      <c r="F1490" s="2" t="s">
        <v>7606</v>
      </c>
      <c r="G1490" s="2" t="s">
        <v>7606</v>
      </c>
      <c r="H1490" s="2" t="s">
        <v>7606</v>
      </c>
      <c r="I1490" s="2" t="s">
        <v>7607</v>
      </c>
      <c r="J1490" s="2" t="s">
        <v>840</v>
      </c>
      <c r="K1490" s="2" t="s">
        <v>231</v>
      </c>
      <c r="L1490" s="3">
        <v>228</v>
      </c>
      <c r="M1490" s="3">
        <v>239.4</v>
      </c>
      <c r="N1490" s="3">
        <v>479</v>
      </c>
      <c r="O1490" s="2" t="s">
        <v>240</v>
      </c>
      <c r="P1490" s="2" t="s">
        <v>333</v>
      </c>
      <c r="Q1490" s="2" t="s">
        <v>234</v>
      </c>
      <c r="R1490" s="2" t="s">
        <v>228</v>
      </c>
      <c r="S1490" s="2" t="s">
        <v>228</v>
      </c>
      <c r="T1490" s="2" t="s">
        <v>228</v>
      </c>
      <c r="U1490" s="2" t="s">
        <v>416</v>
      </c>
      <c r="V1490" s="2" t="s">
        <v>842</v>
      </c>
      <c r="W1490" s="2" t="s">
        <v>417</v>
      </c>
      <c r="X1490" s="2" t="s">
        <v>1514</v>
      </c>
      <c r="Y1490" s="2" t="s">
        <v>6695</v>
      </c>
      <c r="Z1490" s="4">
        <v>106</v>
      </c>
      <c r="AA1490" s="4">
        <f>=ROUNDDOWN(353.333333333333,0)</f>
      </c>
      <c r="AB1490" s="5">
        <v>0.3</v>
      </c>
      <c r="AC1490" s="2" t="s">
        <v>228</v>
      </c>
      <c r="AD1490" s="4"/>
      <c r="AE1490" s="4"/>
      <c r="AF1490" s="6">
        <v>74</v>
      </c>
      <c r="AG1490" s="6"/>
      <c r="AH1490" s="7">
        <v>1</v>
      </c>
      <c r="AI1490" s="4"/>
      <c r="AJ1490" s="4">
        <f>=ROUNDDOWN({0},0)</f>
      </c>
      <c r="AK1490" s="5"/>
      <c r="AL1490" s="2" t="s">
        <v>228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/>
      <c r="AW1490" s="8"/>
      <c r="AX1490" s="4"/>
      <c r="AY1490" s="8"/>
      <c r="AZ1490" s="7"/>
      <c r="BA1490" s="7"/>
      <c r="BB1490" s="7"/>
      <c r="BC1490" s="4"/>
      <c r="BD1490" s="8"/>
      <c r="BE1490" s="4"/>
      <c r="BF1490" s="8"/>
      <c r="BG1490" s="7"/>
      <c r="BH1490" s="7"/>
      <c r="BI1490" s="7"/>
      <c r="BJ1490" s="4">
        <v>1</v>
      </c>
      <c r="BK1490" s="8">
        <v>221.92</v>
      </c>
      <c r="BL1490" s="2" t="s">
        <v>1933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7608</v>
      </c>
      <c r="BV1490" s="2" t="s">
        <v>228</v>
      </c>
      <c r="BW1490" s="2" t="s">
        <v>228</v>
      </c>
      <c r="BX1490" s="2" t="s">
        <v>337</v>
      </c>
      <c r="BY1490" s="2" t="s">
        <v>274</v>
      </c>
      <c r="BZ1490" s="2" t="s">
        <v>240</v>
      </c>
      <c r="CA1490" s="2" t="s">
        <v>6695</v>
      </c>
      <c r="CB1490" s="2" t="s">
        <v>3133</v>
      </c>
      <c r="CC1490" s="2" t="s">
        <v>241</v>
      </c>
      <c r="CD1490" s="2" t="s">
        <v>228</v>
      </c>
      <c r="CE1490" s="4"/>
      <c r="CF1490" s="4">
        <v>106</v>
      </c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/>
      <c r="FX1490" s="4"/>
      <c r="FY1490" s="4"/>
      <c r="FZ1490" s="4"/>
      <c r="GA1490" s="4"/>
      <c r="GB1490" s="4"/>
      <c r="GC1490" s="4"/>
      <c r="GD1490" s="4"/>
      <c r="GE1490" s="4"/>
      <c r="GF1490" s="4"/>
      <c r="GG1490" s="4"/>
      <c r="GH1490" s="4"/>
      <c r="GI1490" s="4"/>
      <c r="GJ1490" s="4"/>
      <c r="GK1490" s="4"/>
      <c r="GL1490" s="4"/>
      <c r="GM1490" s="4"/>
      <c r="GN1490" s="4"/>
      <c r="GO1490" s="4"/>
      <c r="GP1490" s="4"/>
      <c r="GQ1490" s="4"/>
      <c r="GR1490" s="4"/>
      <c r="GS1490" s="4"/>
      <c r="GT1490" s="4"/>
      <c r="GU1490" s="4"/>
      <c r="GV1490" s="4"/>
      <c r="GW1490" s="4"/>
      <c r="GX1490" s="4"/>
      <c r="GY1490" s="4"/>
      <c r="GZ1490" s="4"/>
      <c r="HA1490" s="4"/>
      <c r="HB1490" s="4"/>
      <c r="HC1490" s="4"/>
      <c r="HD1490" s="4"/>
      <c r="HE1490" s="4"/>
    </row>
    <row r="1491">
      <c r="A1491" s="2" t="s">
        <v>7609</v>
      </c>
      <c r="B1491" s="2" t="s">
        <v>958</v>
      </c>
      <c r="C1491" s="2" t="s">
        <v>300</v>
      </c>
      <c r="D1491" s="2" t="s">
        <v>1790</v>
      </c>
      <c r="E1491" s="2" t="s">
        <v>1791</v>
      </c>
      <c r="F1491" s="2" t="s">
        <v>7610</v>
      </c>
      <c r="G1491" s="2" t="s">
        <v>7611</v>
      </c>
      <c r="H1491" s="2" t="s">
        <v>7612</v>
      </c>
      <c r="I1491" s="2" t="s">
        <v>1791</v>
      </c>
      <c r="J1491" s="2" t="s">
        <v>840</v>
      </c>
      <c r="K1491" s="2" t="s">
        <v>7613</v>
      </c>
      <c r="L1491" s="3">
        <v>80</v>
      </c>
      <c r="M1491" s="3">
        <v>84</v>
      </c>
      <c r="N1491" s="3">
        <v>169</v>
      </c>
      <c r="O1491" s="2" t="s">
        <v>240</v>
      </c>
      <c r="P1491" s="2" t="s">
        <v>233</v>
      </c>
      <c r="Q1491" s="2" t="s">
        <v>234</v>
      </c>
      <c r="R1491" s="2" t="s">
        <v>228</v>
      </c>
      <c r="S1491" s="2" t="s">
        <v>228</v>
      </c>
      <c r="T1491" s="2" t="s">
        <v>228</v>
      </c>
      <c r="U1491" s="2" t="s">
        <v>416</v>
      </c>
      <c r="V1491" s="2" t="s">
        <v>236</v>
      </c>
      <c r="W1491" s="2" t="s">
        <v>417</v>
      </c>
      <c r="X1491" s="2" t="s">
        <v>843</v>
      </c>
      <c r="Y1491" s="2" t="s">
        <v>228</v>
      </c>
      <c r="Z1491" s="4"/>
      <c r="AA1491" s="4">
        <f>=ROUNDDOWN({0},0)</f>
      </c>
      <c r="AB1491" s="5">
        <v>11</v>
      </c>
      <c r="AC1491" s="2" t="s">
        <v>228</v>
      </c>
      <c r="AD1491" s="4"/>
      <c r="AE1491" s="4"/>
      <c r="AF1491" s="6">
        <v>66</v>
      </c>
      <c r="AG1491" s="6"/>
      <c r="AH1491" s="7"/>
      <c r="AI1491" s="4"/>
      <c r="AJ1491" s="4">
        <f>=ROUNDDOWN({0},0)</f>
      </c>
      <c r="AK1491" s="5"/>
      <c r="AL1491" s="2" t="s">
        <v>228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/>
      <c r="AW1491" s="8"/>
      <c r="AX1491" s="4"/>
      <c r="AY1491" s="8"/>
      <c r="AZ1491" s="7"/>
      <c r="BA1491" s="7"/>
      <c r="BB1491" s="7"/>
      <c r="BC1491" s="4"/>
      <c r="BD1491" s="8"/>
      <c r="BE1491" s="4"/>
      <c r="BF1491" s="8"/>
      <c r="BG1491" s="7"/>
      <c r="BH1491" s="7"/>
      <c r="BI1491" s="7"/>
      <c r="BJ1491" s="4"/>
      <c r="BK1491" s="8"/>
      <c r="BL1491" s="2" t="s">
        <v>228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238</v>
      </c>
      <c r="BV1491" s="2" t="s">
        <v>228</v>
      </c>
      <c r="BW1491" s="2" t="s">
        <v>228</v>
      </c>
      <c r="BX1491" s="2" t="s">
        <v>238</v>
      </c>
      <c r="BY1491" s="2" t="s">
        <v>239</v>
      </c>
      <c r="BZ1491" s="2" t="s">
        <v>240</v>
      </c>
      <c r="CA1491" s="2" t="s">
        <v>228</v>
      </c>
      <c r="CB1491" s="2" t="s">
        <v>228</v>
      </c>
      <c r="CC1491" s="2" t="s">
        <v>241</v>
      </c>
      <c r="CD1491" s="2" t="s">
        <v>228</v>
      </c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/>
      <c r="FT1491" s="4"/>
      <c r="FU1491" s="4"/>
      <c r="FV1491" s="4"/>
      <c r="FW1491" s="4"/>
      <c r="FX1491" s="4"/>
      <c r="FY1491" s="4"/>
      <c r="FZ1491" s="4"/>
      <c r="GA1491" s="4"/>
      <c r="GB1491" s="4"/>
      <c r="GC1491" s="4"/>
      <c r="GD1491" s="4"/>
      <c r="GE1491" s="4"/>
      <c r="GF1491" s="4"/>
      <c r="GG1491" s="4"/>
      <c r="GH1491" s="4"/>
      <c r="GI1491" s="4"/>
      <c r="GJ1491" s="4"/>
      <c r="GK1491" s="4"/>
      <c r="GL1491" s="4"/>
      <c r="GM1491" s="4"/>
      <c r="GN1491" s="4"/>
      <c r="GO1491" s="4"/>
      <c r="GP1491" s="4"/>
      <c r="GQ1491" s="4"/>
      <c r="GR1491" s="4"/>
      <c r="GS1491" s="4"/>
      <c r="GT1491" s="4"/>
      <c r="GU1491" s="4"/>
      <c r="GV1491" s="4"/>
      <c r="GW1491" s="4"/>
      <c r="GX1491" s="4"/>
      <c r="GY1491" s="4"/>
      <c r="GZ1491" s="4"/>
      <c r="HA1491" s="4"/>
      <c r="HB1491" s="4"/>
      <c r="HC1491" s="4"/>
      <c r="HD1491" s="4"/>
      <c r="HE1491" s="4"/>
    </row>
    <row r="1492">
      <c r="A1492" s="2" t="s">
        <v>7614</v>
      </c>
      <c r="B1492" s="2" t="s">
        <v>958</v>
      </c>
      <c r="C1492" s="2" t="s">
        <v>300</v>
      </c>
      <c r="D1492" s="2" t="s">
        <v>959</v>
      </c>
      <c r="E1492" s="2" t="s">
        <v>960</v>
      </c>
      <c r="F1492" s="2" t="s">
        <v>7615</v>
      </c>
      <c r="G1492" s="2" t="s">
        <v>7616</v>
      </c>
      <c r="H1492" s="2" t="s">
        <v>7617</v>
      </c>
      <c r="I1492" s="2" t="s">
        <v>2560</v>
      </c>
      <c r="J1492" s="2" t="s">
        <v>840</v>
      </c>
      <c r="K1492" s="2" t="s">
        <v>231</v>
      </c>
      <c r="L1492" s="3">
        <v>178.2</v>
      </c>
      <c r="M1492" s="3">
        <v>187.11</v>
      </c>
      <c r="N1492" s="3">
        <v>379</v>
      </c>
      <c r="O1492" s="2" t="s">
        <v>461</v>
      </c>
      <c r="P1492" s="2" t="s">
        <v>333</v>
      </c>
      <c r="Q1492" s="2" t="s">
        <v>234</v>
      </c>
      <c r="R1492" s="2" t="s">
        <v>228</v>
      </c>
      <c r="S1492" s="2" t="s">
        <v>228</v>
      </c>
      <c r="T1492" s="2" t="s">
        <v>228</v>
      </c>
      <c r="U1492" s="2" t="s">
        <v>416</v>
      </c>
      <c r="V1492" s="2" t="s">
        <v>236</v>
      </c>
      <c r="W1492" s="2" t="s">
        <v>463</v>
      </c>
      <c r="X1492" s="2" t="s">
        <v>228</v>
      </c>
      <c r="Y1492" s="2" t="s">
        <v>1035</v>
      </c>
      <c r="Z1492" s="4">
        <v>5</v>
      </c>
      <c r="AA1492" s="4">
        <f>=ROUNDDOWN(1.72413793103448,0)</f>
      </c>
      <c r="AB1492" s="5">
        <v>2.9</v>
      </c>
      <c r="AC1492" s="2" t="s">
        <v>228</v>
      </c>
      <c r="AD1492" s="4"/>
      <c r="AE1492" s="4"/>
      <c r="AF1492" s="6">
        <v>65</v>
      </c>
      <c r="AG1492" s="6"/>
      <c r="AH1492" s="7">
        <v>1</v>
      </c>
      <c r="AI1492" s="4"/>
      <c r="AJ1492" s="4">
        <f>=ROUNDDOWN({0},0)</f>
      </c>
      <c r="AK1492" s="5"/>
      <c r="AL1492" s="2" t="s">
        <v>228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/>
      <c r="AW1492" s="8"/>
      <c r="AX1492" s="4"/>
      <c r="AY1492" s="8"/>
      <c r="AZ1492" s="7"/>
      <c r="BA1492" s="7"/>
      <c r="BB1492" s="7"/>
      <c r="BC1492" s="4"/>
      <c r="BD1492" s="8"/>
      <c r="BE1492" s="4"/>
      <c r="BF1492" s="8"/>
      <c r="BG1492" s="7"/>
      <c r="BH1492" s="7"/>
      <c r="BI1492" s="7"/>
      <c r="BJ1492" s="4">
        <v>17</v>
      </c>
      <c r="BK1492" s="8">
        <v>2275.23</v>
      </c>
      <c r="BL1492" s="2" t="s">
        <v>1921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7618</v>
      </c>
      <c r="BV1492" s="2" t="s">
        <v>228</v>
      </c>
      <c r="BW1492" s="2" t="s">
        <v>228</v>
      </c>
      <c r="BX1492" s="2" t="s">
        <v>337</v>
      </c>
      <c r="BY1492" s="2" t="s">
        <v>274</v>
      </c>
      <c r="BZ1492" s="2" t="s">
        <v>240</v>
      </c>
      <c r="CA1492" s="2" t="s">
        <v>2911</v>
      </c>
      <c r="CB1492" s="2" t="s">
        <v>7619</v>
      </c>
      <c r="CC1492" s="2" t="s">
        <v>241</v>
      </c>
      <c r="CD1492" s="2" t="s">
        <v>228</v>
      </c>
      <c r="CE1492" s="4"/>
      <c r="CF1492" s="4">
        <v>5</v>
      </c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/>
      <c r="FX1492" s="4"/>
      <c r="FY1492" s="4"/>
      <c r="FZ1492" s="4"/>
      <c r="GA1492" s="4"/>
      <c r="GB1492" s="4"/>
      <c r="GC1492" s="4"/>
      <c r="GD1492" s="4"/>
      <c r="GE1492" s="4"/>
      <c r="GF1492" s="4"/>
      <c r="GG1492" s="4"/>
      <c r="GH1492" s="4"/>
      <c r="GI1492" s="4"/>
      <c r="GJ1492" s="4"/>
      <c r="GK1492" s="4"/>
      <c r="GL1492" s="4"/>
      <c r="GM1492" s="4"/>
      <c r="GN1492" s="4"/>
      <c r="GO1492" s="4"/>
      <c r="GP1492" s="4"/>
      <c r="GQ1492" s="4"/>
      <c r="GR1492" s="4"/>
      <c r="GS1492" s="4"/>
      <c r="GT1492" s="4"/>
      <c r="GU1492" s="4"/>
      <c r="GV1492" s="4"/>
      <c r="GW1492" s="4"/>
      <c r="GX1492" s="4"/>
      <c r="GY1492" s="4"/>
      <c r="GZ1492" s="4"/>
      <c r="HA1492" s="4"/>
      <c r="HB1492" s="4"/>
      <c r="HC1492" s="4"/>
      <c r="HD1492" s="4"/>
      <c r="HE1492" s="4"/>
    </row>
    <row r="1493">
      <c r="A1493" s="2" t="s">
        <v>7620</v>
      </c>
      <c r="B1493" s="2" t="s">
        <v>223</v>
      </c>
      <c r="C1493" s="2" t="s">
        <v>849</v>
      </c>
      <c r="D1493" s="2" t="s">
        <v>1112</v>
      </c>
      <c r="E1493" s="2" t="s">
        <v>1113</v>
      </c>
      <c r="F1493" s="2" t="s">
        <v>7621</v>
      </c>
      <c r="G1493" s="2" t="s">
        <v>7622</v>
      </c>
      <c r="H1493" s="2" t="s">
        <v>7622</v>
      </c>
      <c r="I1493" s="2" t="s">
        <v>7623</v>
      </c>
      <c r="J1493" s="2" t="s">
        <v>856</v>
      </c>
      <c r="K1493" s="2" t="s">
        <v>3005</v>
      </c>
      <c r="L1493" s="3">
        <v>28.47</v>
      </c>
      <c r="M1493" s="3">
        <v>29.89</v>
      </c>
      <c r="N1493" s="3">
        <v>59.99</v>
      </c>
      <c r="O1493" s="2" t="s">
        <v>240</v>
      </c>
      <c r="P1493" s="2" t="s">
        <v>266</v>
      </c>
      <c r="Q1493" s="2" t="s">
        <v>234</v>
      </c>
      <c r="R1493" s="2" t="s">
        <v>228</v>
      </c>
      <c r="S1493" s="2" t="s">
        <v>7624</v>
      </c>
      <c r="T1493" s="2" t="s">
        <v>1608</v>
      </c>
      <c r="U1493" s="2" t="s">
        <v>520</v>
      </c>
      <c r="V1493" s="2" t="s">
        <v>236</v>
      </c>
      <c r="W1493" s="2" t="s">
        <v>309</v>
      </c>
      <c r="X1493" s="2" t="s">
        <v>417</v>
      </c>
      <c r="Y1493" s="2" t="s">
        <v>1469</v>
      </c>
      <c r="Z1493" s="4">
        <v>412</v>
      </c>
      <c r="AA1493" s="4">
        <f>=ROUNDDOWN(68.6666666666667,0)</f>
      </c>
      <c r="AB1493" s="5">
        <v>6</v>
      </c>
      <c r="AC1493" s="2" t="s">
        <v>228</v>
      </c>
      <c r="AD1493" s="4"/>
      <c r="AE1493" s="4"/>
      <c r="AF1493" s="6">
        <v>65</v>
      </c>
      <c r="AG1493" s="6"/>
      <c r="AH1493" s="7">
        <v>1</v>
      </c>
      <c r="AI1493" s="4"/>
      <c r="AJ1493" s="4">
        <f>=ROUNDDOWN({0},0)</f>
      </c>
      <c r="AK1493" s="5"/>
      <c r="AL1493" s="2" t="s">
        <v>228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/>
      <c r="AW1493" s="8"/>
      <c r="AX1493" s="4"/>
      <c r="AY1493" s="8"/>
      <c r="AZ1493" s="7"/>
      <c r="BA1493" s="7"/>
      <c r="BB1493" s="7"/>
      <c r="BC1493" s="4" t="s">
        <v>228</v>
      </c>
      <c r="BD1493" s="8" t="s">
        <v>228</v>
      </c>
      <c r="BE1493" s="4" t="s">
        <v>228</v>
      </c>
      <c r="BF1493" s="8" t="s">
        <v>228</v>
      </c>
      <c r="BG1493" s="7" t="s">
        <v>228</v>
      </c>
      <c r="BH1493" s="7" t="s">
        <v>228</v>
      </c>
      <c r="BI1493" s="7"/>
      <c r="BJ1493" s="4">
        <v>45</v>
      </c>
      <c r="BK1493" s="8">
        <v>1291.62</v>
      </c>
      <c r="BL1493" s="2" t="s">
        <v>1363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7625</v>
      </c>
      <c r="BV1493" s="2" t="s">
        <v>228</v>
      </c>
      <c r="BW1493" s="2" t="s">
        <v>228</v>
      </c>
      <c r="BX1493" s="2" t="s">
        <v>273</v>
      </c>
      <c r="BY1493" s="2" t="s">
        <v>274</v>
      </c>
      <c r="BZ1493" s="2" t="s">
        <v>240</v>
      </c>
      <c r="CA1493" s="2" t="s">
        <v>3232</v>
      </c>
      <c r="CB1493" s="2" t="s">
        <v>1749</v>
      </c>
      <c r="CC1493" s="2" t="s">
        <v>241</v>
      </c>
      <c r="CD1493" s="2" t="s">
        <v>228</v>
      </c>
      <c r="CE1493" s="4">
        <v>412</v>
      </c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/>
      <c r="FX1493" s="4"/>
      <c r="FY1493" s="4"/>
      <c r="FZ1493" s="4"/>
      <c r="GA1493" s="4"/>
      <c r="GB1493" s="4"/>
      <c r="GC1493" s="4"/>
      <c r="GD1493" s="4"/>
      <c r="GE1493" s="4"/>
      <c r="GF1493" s="4"/>
      <c r="GG1493" s="4"/>
      <c r="GH1493" s="4"/>
      <c r="GI1493" s="4"/>
      <c r="GJ1493" s="4"/>
      <c r="GK1493" s="4"/>
      <c r="GL1493" s="4"/>
      <c r="GM1493" s="4"/>
      <c r="GN1493" s="4"/>
      <c r="GO1493" s="4"/>
      <c r="GP1493" s="4"/>
      <c r="GQ1493" s="4"/>
      <c r="GR1493" s="4"/>
      <c r="GS1493" s="4"/>
      <c r="GT1493" s="4"/>
      <c r="GU1493" s="4"/>
      <c r="GV1493" s="4"/>
      <c r="GW1493" s="4"/>
      <c r="GX1493" s="4"/>
      <c r="GY1493" s="4"/>
      <c r="GZ1493" s="4"/>
      <c r="HA1493" s="4"/>
      <c r="HB1493" s="4"/>
      <c r="HC1493" s="4"/>
      <c r="HD1493" s="4"/>
      <c r="HE1493" s="4"/>
    </row>
    <row r="1494">
      <c r="A1494" s="2" t="s">
        <v>7626</v>
      </c>
      <c r="B1494" s="2" t="s">
        <v>223</v>
      </c>
      <c r="C1494" s="2" t="s">
        <v>849</v>
      </c>
      <c r="D1494" s="2" t="s">
        <v>1112</v>
      </c>
      <c r="E1494" s="2" t="s">
        <v>1113</v>
      </c>
      <c r="F1494" s="2" t="s">
        <v>7621</v>
      </c>
      <c r="G1494" s="2" t="s">
        <v>7622</v>
      </c>
      <c r="H1494" s="2" t="s">
        <v>7622</v>
      </c>
      <c r="I1494" s="2" t="s">
        <v>7627</v>
      </c>
      <c r="J1494" s="2" t="s">
        <v>856</v>
      </c>
      <c r="K1494" s="2" t="s">
        <v>7628</v>
      </c>
      <c r="L1494" s="3">
        <v>28.47</v>
      </c>
      <c r="M1494" s="3">
        <v>29.89</v>
      </c>
      <c r="N1494" s="3">
        <v>59.99</v>
      </c>
      <c r="O1494" s="2" t="s">
        <v>240</v>
      </c>
      <c r="P1494" s="2" t="s">
        <v>233</v>
      </c>
      <c r="Q1494" s="2" t="s">
        <v>234</v>
      </c>
      <c r="R1494" s="2" t="s">
        <v>228</v>
      </c>
      <c r="S1494" s="2" t="s">
        <v>7629</v>
      </c>
      <c r="T1494" s="2" t="s">
        <v>1608</v>
      </c>
      <c r="U1494" s="2" t="s">
        <v>520</v>
      </c>
      <c r="V1494" s="2" t="s">
        <v>236</v>
      </c>
      <c r="W1494" s="2" t="s">
        <v>309</v>
      </c>
      <c r="X1494" s="2" t="s">
        <v>417</v>
      </c>
      <c r="Y1494" s="2" t="s">
        <v>1415</v>
      </c>
      <c r="Z1494" s="4">
        <v>80</v>
      </c>
      <c r="AA1494" s="4">
        <f>=ROUNDDOWN(26.6666666666667,0)</f>
      </c>
      <c r="AB1494" s="5">
        <v>3</v>
      </c>
      <c r="AC1494" s="2" t="s">
        <v>1352</v>
      </c>
      <c r="AD1494" s="4">
        <v>80</v>
      </c>
      <c r="AE1494" s="4">
        <v>80</v>
      </c>
      <c r="AF1494" s="6">
        <v>65</v>
      </c>
      <c r="AG1494" s="6"/>
      <c r="AH1494" s="7">
        <v>1</v>
      </c>
      <c r="AI1494" s="4"/>
      <c r="AJ1494" s="4">
        <f>=ROUNDDOWN({0},0)</f>
      </c>
      <c r="AK1494" s="5"/>
      <c r="AL1494" s="2" t="s">
        <v>228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228</v>
      </c>
      <c r="AW1494" s="8" t="s">
        <v>228</v>
      </c>
      <c r="AX1494" s="4" t="s">
        <v>228</v>
      </c>
      <c r="AY1494" s="8" t="s">
        <v>228</v>
      </c>
      <c r="AZ1494" s="7" t="s">
        <v>228</v>
      </c>
      <c r="BA1494" s="7" t="s">
        <v>228</v>
      </c>
      <c r="BB1494" s="7"/>
      <c r="BC1494" s="4" t="s">
        <v>228</v>
      </c>
      <c r="BD1494" s="8" t="s">
        <v>228</v>
      </c>
      <c r="BE1494" s="4" t="s">
        <v>228</v>
      </c>
      <c r="BF1494" s="8" t="s">
        <v>228</v>
      </c>
      <c r="BG1494" s="7" t="s">
        <v>228</v>
      </c>
      <c r="BH1494" s="7" t="s">
        <v>228</v>
      </c>
      <c r="BI1494" s="7"/>
      <c r="BJ1494" s="4"/>
      <c r="BK1494" s="8"/>
      <c r="BL1494" s="2" t="s">
        <v>228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7630</v>
      </c>
      <c r="BV1494" s="2" t="s">
        <v>228</v>
      </c>
      <c r="BW1494" s="2" t="s">
        <v>228</v>
      </c>
      <c r="BX1494" s="2" t="s">
        <v>238</v>
      </c>
      <c r="BY1494" s="2" t="s">
        <v>274</v>
      </c>
      <c r="BZ1494" s="2" t="s">
        <v>240</v>
      </c>
      <c r="CA1494" s="2" t="s">
        <v>1461</v>
      </c>
      <c r="CB1494" s="2" t="s">
        <v>228</v>
      </c>
      <c r="CC1494" s="2" t="s">
        <v>241</v>
      </c>
      <c r="CD1494" s="2" t="s">
        <v>228</v>
      </c>
      <c r="CE1494" s="4">
        <v>80</v>
      </c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>
        <v>80</v>
      </c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/>
      <c r="FX1494" s="4"/>
      <c r="FY1494" s="4"/>
      <c r="FZ1494" s="4"/>
      <c r="GA1494" s="4"/>
      <c r="GB1494" s="4"/>
      <c r="GC1494" s="4"/>
      <c r="GD1494" s="4"/>
      <c r="GE1494" s="4"/>
      <c r="GF1494" s="4"/>
      <c r="GG1494" s="4"/>
      <c r="GH1494" s="4"/>
      <c r="GI1494" s="4"/>
      <c r="GJ1494" s="4"/>
      <c r="GK1494" s="4"/>
      <c r="GL1494" s="4"/>
      <c r="GM1494" s="4"/>
      <c r="GN1494" s="4"/>
      <c r="GO1494" s="4"/>
      <c r="GP1494" s="4"/>
      <c r="GQ1494" s="4"/>
      <c r="GR1494" s="4"/>
      <c r="GS1494" s="4"/>
      <c r="GT1494" s="4"/>
      <c r="GU1494" s="4"/>
      <c r="GV1494" s="4"/>
      <c r="GW1494" s="4"/>
      <c r="GX1494" s="4"/>
      <c r="GY1494" s="4"/>
      <c r="GZ1494" s="4"/>
      <c r="HA1494" s="4"/>
      <c r="HB1494" s="4"/>
      <c r="HC1494" s="4"/>
      <c r="HD1494" s="4"/>
      <c r="HE1494" s="4"/>
    </row>
    <row r="1495">
      <c r="A1495" s="2" t="s">
        <v>7631</v>
      </c>
      <c r="B1495" s="2" t="s">
        <v>223</v>
      </c>
      <c r="C1495" s="2" t="s">
        <v>849</v>
      </c>
      <c r="D1495" s="2" t="s">
        <v>1112</v>
      </c>
      <c r="E1495" s="2" t="s">
        <v>1113</v>
      </c>
      <c r="F1495" s="2" t="s">
        <v>7621</v>
      </c>
      <c r="G1495" s="2" t="s">
        <v>7622</v>
      </c>
      <c r="H1495" s="2" t="s">
        <v>7622</v>
      </c>
      <c r="I1495" s="2" t="s">
        <v>7627</v>
      </c>
      <c r="J1495" s="2" t="s">
        <v>1189</v>
      </c>
      <c r="K1495" s="2" t="s">
        <v>7628</v>
      </c>
      <c r="L1495" s="3">
        <v>37.23</v>
      </c>
      <c r="M1495" s="3">
        <v>39.09</v>
      </c>
      <c r="N1495" s="3">
        <v>79.99</v>
      </c>
      <c r="O1495" s="2" t="s">
        <v>240</v>
      </c>
      <c r="P1495" s="2" t="s">
        <v>233</v>
      </c>
      <c r="Q1495" s="2" t="s">
        <v>234</v>
      </c>
      <c r="R1495" s="2" t="s">
        <v>228</v>
      </c>
      <c r="S1495" s="2" t="s">
        <v>7629</v>
      </c>
      <c r="T1495" s="2" t="s">
        <v>1608</v>
      </c>
      <c r="U1495" s="2" t="s">
        <v>500</v>
      </c>
      <c r="V1495" s="2" t="s">
        <v>236</v>
      </c>
      <c r="W1495" s="2" t="s">
        <v>309</v>
      </c>
      <c r="X1495" s="2" t="s">
        <v>417</v>
      </c>
      <c r="Y1495" s="2" t="s">
        <v>3603</v>
      </c>
      <c r="Z1495" s="4">
        <v>200</v>
      </c>
      <c r="AA1495" s="4">
        <f>=ROUNDDOWN(28.5714285714286,0)</f>
      </c>
      <c r="AB1495" s="5">
        <v>7</v>
      </c>
      <c r="AC1495" s="2" t="s">
        <v>1352</v>
      </c>
      <c r="AD1495" s="4">
        <v>220</v>
      </c>
      <c r="AE1495" s="4">
        <v>220</v>
      </c>
      <c r="AF1495" s="6">
        <v>65</v>
      </c>
      <c r="AG1495" s="6"/>
      <c r="AH1495" s="7">
        <v>1</v>
      </c>
      <c r="AI1495" s="4"/>
      <c r="AJ1495" s="4">
        <f>=ROUNDDOWN({0},0)</f>
      </c>
      <c r="AK1495" s="5"/>
      <c r="AL1495" s="2" t="s">
        <v>228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 t="s">
        <v>228</v>
      </c>
      <c r="AW1495" s="8" t="s">
        <v>228</v>
      </c>
      <c r="AX1495" s="4" t="s">
        <v>228</v>
      </c>
      <c r="AY1495" s="8" t="s">
        <v>228</v>
      </c>
      <c r="AZ1495" s="7" t="s">
        <v>228</v>
      </c>
      <c r="BA1495" s="7" t="s">
        <v>228</v>
      </c>
      <c r="BB1495" s="7"/>
      <c r="BC1495" s="4" t="s">
        <v>228</v>
      </c>
      <c r="BD1495" s="8" t="s">
        <v>228</v>
      </c>
      <c r="BE1495" s="4" t="s">
        <v>228</v>
      </c>
      <c r="BF1495" s="8" t="s">
        <v>228</v>
      </c>
      <c r="BG1495" s="7" t="s">
        <v>228</v>
      </c>
      <c r="BH1495" s="7" t="s">
        <v>228</v>
      </c>
      <c r="BI1495" s="7"/>
      <c r="BJ1495" s="4"/>
      <c r="BK1495" s="8"/>
      <c r="BL1495" s="2" t="s">
        <v>228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7632</v>
      </c>
      <c r="BV1495" s="2" t="s">
        <v>228</v>
      </c>
      <c r="BW1495" s="2" t="s">
        <v>228</v>
      </c>
      <c r="BX1495" s="2" t="s">
        <v>238</v>
      </c>
      <c r="BY1495" s="2" t="s">
        <v>274</v>
      </c>
      <c r="BZ1495" s="2" t="s">
        <v>240</v>
      </c>
      <c r="CA1495" s="2" t="s">
        <v>1461</v>
      </c>
      <c r="CB1495" s="2" t="s">
        <v>228</v>
      </c>
      <c r="CC1495" s="2" t="s">
        <v>241</v>
      </c>
      <c r="CD1495" s="2" t="s">
        <v>228</v>
      </c>
      <c r="CE1495" s="4">
        <v>200</v>
      </c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>
        <v>220</v>
      </c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/>
      <c r="FX1495" s="4"/>
      <c r="FY1495" s="4"/>
      <c r="FZ1495" s="4"/>
      <c r="GA1495" s="4"/>
      <c r="GB1495" s="4"/>
      <c r="GC1495" s="4"/>
      <c r="GD1495" s="4"/>
      <c r="GE1495" s="4"/>
      <c r="GF1495" s="4"/>
      <c r="GG1495" s="4"/>
      <c r="GH1495" s="4"/>
      <c r="GI1495" s="4"/>
      <c r="GJ1495" s="4"/>
      <c r="GK1495" s="4"/>
      <c r="GL1495" s="4"/>
      <c r="GM1495" s="4"/>
      <c r="GN1495" s="4"/>
      <c r="GO1495" s="4"/>
      <c r="GP1495" s="4"/>
      <c r="GQ1495" s="4"/>
      <c r="GR1495" s="4"/>
      <c r="GS1495" s="4"/>
      <c r="GT1495" s="4"/>
      <c r="GU1495" s="4"/>
      <c r="GV1495" s="4"/>
      <c r="GW1495" s="4"/>
      <c r="GX1495" s="4"/>
      <c r="GY1495" s="4"/>
      <c r="GZ1495" s="4"/>
      <c r="HA1495" s="4"/>
      <c r="HB1495" s="4"/>
      <c r="HC1495" s="4"/>
      <c r="HD1495" s="4"/>
      <c r="HE1495" s="4"/>
    </row>
    <row r="1496">
      <c r="A1496" s="2" t="s">
        <v>7633</v>
      </c>
      <c r="B1496" s="2" t="s">
        <v>223</v>
      </c>
      <c r="C1496" s="2" t="s">
        <v>849</v>
      </c>
      <c r="D1496" s="2" t="s">
        <v>1112</v>
      </c>
      <c r="E1496" s="2" t="s">
        <v>1113</v>
      </c>
      <c r="F1496" s="2" t="s">
        <v>7621</v>
      </c>
      <c r="G1496" s="2" t="s">
        <v>7622</v>
      </c>
      <c r="H1496" s="2" t="s">
        <v>7622</v>
      </c>
      <c r="I1496" s="2" t="s">
        <v>7627</v>
      </c>
      <c r="J1496" s="2" t="s">
        <v>1043</v>
      </c>
      <c r="K1496" s="2" t="s">
        <v>7628</v>
      </c>
      <c r="L1496" s="3">
        <v>41.61</v>
      </c>
      <c r="M1496" s="3">
        <v>43.69</v>
      </c>
      <c r="N1496" s="3">
        <v>89.99</v>
      </c>
      <c r="O1496" s="2" t="s">
        <v>240</v>
      </c>
      <c r="P1496" s="2" t="s">
        <v>233</v>
      </c>
      <c r="Q1496" s="2" t="s">
        <v>234</v>
      </c>
      <c r="R1496" s="2" t="s">
        <v>228</v>
      </c>
      <c r="S1496" s="2" t="s">
        <v>7629</v>
      </c>
      <c r="T1496" s="2" t="s">
        <v>1608</v>
      </c>
      <c r="U1496" s="2" t="s">
        <v>500</v>
      </c>
      <c r="V1496" s="2" t="s">
        <v>236</v>
      </c>
      <c r="W1496" s="2" t="s">
        <v>309</v>
      </c>
      <c r="X1496" s="2" t="s">
        <v>417</v>
      </c>
      <c r="Y1496" s="2" t="s">
        <v>3603</v>
      </c>
      <c r="Z1496" s="4">
        <v>130</v>
      </c>
      <c r="AA1496" s="4">
        <f>=ROUNDDOWN(21.6666666666667,0)</f>
      </c>
      <c r="AB1496" s="5">
        <v>6</v>
      </c>
      <c r="AC1496" s="2" t="s">
        <v>1352</v>
      </c>
      <c r="AD1496" s="4">
        <v>130</v>
      </c>
      <c r="AE1496" s="4">
        <v>130</v>
      </c>
      <c r="AF1496" s="6">
        <v>65</v>
      </c>
      <c r="AG1496" s="6"/>
      <c r="AH1496" s="7">
        <v>1</v>
      </c>
      <c r="AI1496" s="4"/>
      <c r="AJ1496" s="4">
        <f>=ROUNDDOWN({0},0)</f>
      </c>
      <c r="AK1496" s="5"/>
      <c r="AL1496" s="2" t="s">
        <v>228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228</v>
      </c>
      <c r="AW1496" s="8" t="s">
        <v>228</v>
      </c>
      <c r="AX1496" s="4" t="s">
        <v>228</v>
      </c>
      <c r="AY1496" s="8" t="s">
        <v>228</v>
      </c>
      <c r="AZ1496" s="7" t="s">
        <v>228</v>
      </c>
      <c r="BA1496" s="7" t="s">
        <v>228</v>
      </c>
      <c r="BB1496" s="7"/>
      <c r="BC1496" s="4" t="s">
        <v>228</v>
      </c>
      <c r="BD1496" s="8" t="s">
        <v>228</v>
      </c>
      <c r="BE1496" s="4" t="s">
        <v>228</v>
      </c>
      <c r="BF1496" s="8" t="s">
        <v>228</v>
      </c>
      <c r="BG1496" s="7" t="s">
        <v>228</v>
      </c>
      <c r="BH1496" s="7" t="s">
        <v>228</v>
      </c>
      <c r="BI1496" s="7"/>
      <c r="BJ1496" s="4"/>
      <c r="BK1496" s="8"/>
      <c r="BL1496" s="2" t="s">
        <v>228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7634</v>
      </c>
      <c r="BV1496" s="2" t="s">
        <v>228</v>
      </c>
      <c r="BW1496" s="2" t="s">
        <v>228</v>
      </c>
      <c r="BX1496" s="2" t="s">
        <v>238</v>
      </c>
      <c r="BY1496" s="2" t="s">
        <v>274</v>
      </c>
      <c r="BZ1496" s="2" t="s">
        <v>240</v>
      </c>
      <c r="CA1496" s="2" t="s">
        <v>1461</v>
      </c>
      <c r="CB1496" s="2" t="s">
        <v>228</v>
      </c>
      <c r="CC1496" s="2" t="s">
        <v>241</v>
      </c>
      <c r="CD1496" s="2" t="s">
        <v>228</v>
      </c>
      <c r="CE1496" s="4">
        <v>130</v>
      </c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>
        <v>130</v>
      </c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/>
      <c r="FX1496" s="4"/>
      <c r="FY1496" s="4"/>
      <c r="FZ1496" s="4"/>
      <c r="GA1496" s="4"/>
      <c r="GB1496" s="4"/>
      <c r="GC1496" s="4"/>
      <c r="GD1496" s="4"/>
      <c r="GE1496" s="4"/>
      <c r="GF1496" s="4"/>
      <c r="GG1496" s="4"/>
      <c r="GH1496" s="4"/>
      <c r="GI1496" s="4"/>
      <c r="GJ1496" s="4"/>
      <c r="GK1496" s="4"/>
      <c r="GL1496" s="4"/>
      <c r="GM1496" s="4"/>
      <c r="GN1496" s="4"/>
      <c r="GO1496" s="4"/>
      <c r="GP1496" s="4"/>
      <c r="GQ1496" s="4"/>
      <c r="GR1496" s="4"/>
      <c r="GS1496" s="4"/>
      <c r="GT1496" s="4"/>
      <c r="GU1496" s="4"/>
      <c r="GV1496" s="4"/>
      <c r="GW1496" s="4"/>
      <c r="GX1496" s="4"/>
      <c r="GY1496" s="4"/>
      <c r="GZ1496" s="4"/>
      <c r="HA1496" s="4"/>
      <c r="HB1496" s="4"/>
      <c r="HC1496" s="4"/>
      <c r="HD1496" s="4"/>
      <c r="HE1496" s="4"/>
    </row>
    <row r="1497">
      <c r="A1497" s="2" t="s">
        <v>7635</v>
      </c>
      <c r="B1497" s="2" t="s">
        <v>223</v>
      </c>
      <c r="C1497" s="2" t="s">
        <v>849</v>
      </c>
      <c r="D1497" s="2" t="s">
        <v>1112</v>
      </c>
      <c r="E1497" s="2" t="s">
        <v>1113</v>
      </c>
      <c r="F1497" s="2" t="s">
        <v>7621</v>
      </c>
      <c r="G1497" s="2" t="s">
        <v>7622</v>
      </c>
      <c r="H1497" s="2" t="s">
        <v>7622</v>
      </c>
      <c r="I1497" s="2" t="s">
        <v>7627</v>
      </c>
      <c r="J1497" s="2" t="s">
        <v>856</v>
      </c>
      <c r="K1497" s="2" t="s">
        <v>7636</v>
      </c>
      <c r="L1497" s="3">
        <v>28.47</v>
      </c>
      <c r="M1497" s="3">
        <v>29.89</v>
      </c>
      <c r="N1497" s="3">
        <v>59.99</v>
      </c>
      <c r="O1497" s="2" t="s">
        <v>240</v>
      </c>
      <c r="P1497" s="2" t="s">
        <v>233</v>
      </c>
      <c r="Q1497" s="2" t="s">
        <v>234</v>
      </c>
      <c r="R1497" s="2" t="s">
        <v>228</v>
      </c>
      <c r="S1497" s="2" t="s">
        <v>7637</v>
      </c>
      <c r="T1497" s="2" t="s">
        <v>1608</v>
      </c>
      <c r="U1497" s="2" t="s">
        <v>520</v>
      </c>
      <c r="V1497" s="2" t="s">
        <v>236</v>
      </c>
      <c r="W1497" s="2" t="s">
        <v>309</v>
      </c>
      <c r="X1497" s="2" t="s">
        <v>417</v>
      </c>
      <c r="Y1497" s="2" t="s">
        <v>3603</v>
      </c>
      <c r="Z1497" s="4">
        <v>120</v>
      </c>
      <c r="AA1497" s="4">
        <f>=ROUNDDOWN(24,0)</f>
      </c>
      <c r="AB1497" s="5">
        <v>5</v>
      </c>
      <c r="AC1497" s="2" t="s">
        <v>1352</v>
      </c>
      <c r="AD1497" s="4">
        <v>140</v>
      </c>
      <c r="AE1497" s="4">
        <v>140</v>
      </c>
      <c r="AF1497" s="6">
        <v>65</v>
      </c>
      <c r="AG1497" s="6"/>
      <c r="AH1497" s="7">
        <v>1</v>
      </c>
      <c r="AI1497" s="4"/>
      <c r="AJ1497" s="4">
        <f>=ROUNDDOWN({0},0)</f>
      </c>
      <c r="AK1497" s="5"/>
      <c r="AL1497" s="2" t="s">
        <v>228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 t="s">
        <v>228</v>
      </c>
      <c r="AW1497" s="8" t="s">
        <v>228</v>
      </c>
      <c r="AX1497" s="4" t="s">
        <v>228</v>
      </c>
      <c r="AY1497" s="8" t="s">
        <v>228</v>
      </c>
      <c r="AZ1497" s="7" t="s">
        <v>228</v>
      </c>
      <c r="BA1497" s="7" t="s">
        <v>228</v>
      </c>
      <c r="BB1497" s="7"/>
      <c r="BC1497" s="4" t="s">
        <v>228</v>
      </c>
      <c r="BD1497" s="8" t="s">
        <v>228</v>
      </c>
      <c r="BE1497" s="4" t="s">
        <v>228</v>
      </c>
      <c r="BF1497" s="8" t="s">
        <v>228</v>
      </c>
      <c r="BG1497" s="7" t="s">
        <v>228</v>
      </c>
      <c r="BH1497" s="7" t="s">
        <v>228</v>
      </c>
      <c r="BI1497" s="7"/>
      <c r="BJ1497" s="4"/>
      <c r="BK1497" s="8"/>
      <c r="BL1497" s="2" t="s">
        <v>228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7638</v>
      </c>
      <c r="BV1497" s="2" t="s">
        <v>228</v>
      </c>
      <c r="BW1497" s="2" t="s">
        <v>228</v>
      </c>
      <c r="BX1497" s="2" t="s">
        <v>238</v>
      </c>
      <c r="BY1497" s="2" t="s">
        <v>274</v>
      </c>
      <c r="BZ1497" s="2" t="s">
        <v>240</v>
      </c>
      <c r="CA1497" s="2" t="s">
        <v>1461</v>
      </c>
      <c r="CB1497" s="2" t="s">
        <v>228</v>
      </c>
      <c r="CC1497" s="2" t="s">
        <v>241</v>
      </c>
      <c r="CD1497" s="2" t="s">
        <v>228</v>
      </c>
      <c r="CE1497" s="4">
        <v>120</v>
      </c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>
        <v>140</v>
      </c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  <c r="FX1497" s="4"/>
      <c r="FY1497" s="4"/>
      <c r="FZ1497" s="4"/>
      <c r="GA1497" s="4"/>
      <c r="GB1497" s="4"/>
      <c r="GC1497" s="4"/>
      <c r="GD1497" s="4"/>
      <c r="GE1497" s="4"/>
      <c r="GF1497" s="4"/>
      <c r="GG1497" s="4"/>
      <c r="GH1497" s="4"/>
      <c r="GI1497" s="4"/>
      <c r="GJ1497" s="4"/>
      <c r="GK1497" s="4"/>
      <c r="GL1497" s="4"/>
      <c r="GM1497" s="4"/>
      <c r="GN1497" s="4"/>
      <c r="GO1497" s="4"/>
      <c r="GP1497" s="4"/>
      <c r="GQ1497" s="4"/>
      <c r="GR1497" s="4"/>
      <c r="GS1497" s="4"/>
      <c r="GT1497" s="4"/>
      <c r="GU1497" s="4"/>
      <c r="GV1497" s="4"/>
      <c r="GW1497" s="4"/>
      <c r="GX1497" s="4"/>
      <c r="GY1497" s="4"/>
      <c r="GZ1497" s="4"/>
      <c r="HA1497" s="4"/>
      <c r="HB1497" s="4"/>
      <c r="HC1497" s="4"/>
      <c r="HD1497" s="4"/>
      <c r="HE1497" s="4"/>
    </row>
    <row r="1498">
      <c r="A1498" s="2" t="s">
        <v>7639</v>
      </c>
      <c r="B1498" s="2" t="s">
        <v>223</v>
      </c>
      <c r="C1498" s="2" t="s">
        <v>849</v>
      </c>
      <c r="D1498" s="2" t="s">
        <v>1112</v>
      </c>
      <c r="E1498" s="2" t="s">
        <v>1113</v>
      </c>
      <c r="F1498" s="2" t="s">
        <v>7621</v>
      </c>
      <c r="G1498" s="2" t="s">
        <v>7622</v>
      </c>
      <c r="H1498" s="2" t="s">
        <v>7622</v>
      </c>
      <c r="I1498" s="2" t="s">
        <v>7627</v>
      </c>
      <c r="J1498" s="2" t="s">
        <v>1189</v>
      </c>
      <c r="K1498" s="2" t="s">
        <v>7636</v>
      </c>
      <c r="L1498" s="3">
        <v>37.23</v>
      </c>
      <c r="M1498" s="3">
        <v>39.09</v>
      </c>
      <c r="N1498" s="3">
        <v>79.99</v>
      </c>
      <c r="O1498" s="2" t="s">
        <v>240</v>
      </c>
      <c r="P1498" s="2" t="s">
        <v>233</v>
      </c>
      <c r="Q1498" s="2" t="s">
        <v>234</v>
      </c>
      <c r="R1498" s="2" t="s">
        <v>228</v>
      </c>
      <c r="S1498" s="2" t="s">
        <v>7637</v>
      </c>
      <c r="T1498" s="2" t="s">
        <v>1608</v>
      </c>
      <c r="U1498" s="2" t="s">
        <v>500</v>
      </c>
      <c r="V1498" s="2" t="s">
        <v>236</v>
      </c>
      <c r="W1498" s="2" t="s">
        <v>309</v>
      </c>
      <c r="X1498" s="2" t="s">
        <v>417</v>
      </c>
      <c r="Y1498" s="2" t="s">
        <v>3603</v>
      </c>
      <c r="Z1498" s="4">
        <v>179</v>
      </c>
      <c r="AA1498" s="4">
        <f>=ROUNDDOWN(25.5714285714286,0)</f>
      </c>
      <c r="AB1498" s="5">
        <v>7</v>
      </c>
      <c r="AC1498" s="2" t="s">
        <v>1352</v>
      </c>
      <c r="AD1498" s="4">
        <v>230</v>
      </c>
      <c r="AE1498" s="4">
        <v>230</v>
      </c>
      <c r="AF1498" s="6">
        <v>65</v>
      </c>
      <c r="AG1498" s="6"/>
      <c r="AH1498" s="7">
        <v>1</v>
      </c>
      <c r="AI1498" s="4"/>
      <c r="AJ1498" s="4">
        <f>=ROUNDDOWN({0},0)</f>
      </c>
      <c r="AK1498" s="5"/>
      <c r="AL1498" s="2" t="s">
        <v>228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 t="s">
        <v>228</v>
      </c>
      <c r="AW1498" s="8" t="s">
        <v>228</v>
      </c>
      <c r="AX1498" s="4" t="s">
        <v>228</v>
      </c>
      <c r="AY1498" s="8" t="s">
        <v>228</v>
      </c>
      <c r="AZ1498" s="7" t="s">
        <v>228</v>
      </c>
      <c r="BA1498" s="7" t="s">
        <v>228</v>
      </c>
      <c r="BB1498" s="7"/>
      <c r="BC1498" s="4" t="s">
        <v>228</v>
      </c>
      <c r="BD1498" s="8" t="s">
        <v>228</v>
      </c>
      <c r="BE1498" s="4" t="s">
        <v>228</v>
      </c>
      <c r="BF1498" s="8" t="s">
        <v>228</v>
      </c>
      <c r="BG1498" s="7" t="s">
        <v>228</v>
      </c>
      <c r="BH1498" s="7" t="s">
        <v>228</v>
      </c>
      <c r="BI1498" s="7"/>
      <c r="BJ1498" s="4"/>
      <c r="BK1498" s="8"/>
      <c r="BL1498" s="2" t="s">
        <v>228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7640</v>
      </c>
      <c r="BV1498" s="2" t="s">
        <v>228</v>
      </c>
      <c r="BW1498" s="2" t="s">
        <v>228</v>
      </c>
      <c r="BX1498" s="2" t="s">
        <v>238</v>
      </c>
      <c r="BY1498" s="2" t="s">
        <v>274</v>
      </c>
      <c r="BZ1498" s="2" t="s">
        <v>240</v>
      </c>
      <c r="CA1498" s="2" t="s">
        <v>1461</v>
      </c>
      <c r="CB1498" s="2" t="s">
        <v>228</v>
      </c>
      <c r="CC1498" s="2" t="s">
        <v>241</v>
      </c>
      <c r="CD1498" s="2" t="s">
        <v>228</v>
      </c>
      <c r="CE1498" s="4">
        <v>179</v>
      </c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>
        <v>230</v>
      </c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  <c r="FX1498" s="4"/>
      <c r="FY1498" s="4"/>
      <c r="FZ1498" s="4"/>
      <c r="GA1498" s="4"/>
      <c r="GB1498" s="4"/>
      <c r="GC1498" s="4"/>
      <c r="GD1498" s="4"/>
      <c r="GE1498" s="4"/>
      <c r="GF1498" s="4"/>
      <c r="GG1498" s="4"/>
      <c r="GH1498" s="4"/>
      <c r="GI1498" s="4"/>
      <c r="GJ1498" s="4"/>
      <c r="GK1498" s="4"/>
      <c r="GL1498" s="4"/>
      <c r="GM1498" s="4"/>
      <c r="GN1498" s="4"/>
      <c r="GO1498" s="4"/>
      <c r="GP1498" s="4"/>
      <c r="GQ1498" s="4"/>
      <c r="GR1498" s="4"/>
      <c r="GS1498" s="4"/>
      <c r="GT1498" s="4"/>
      <c r="GU1498" s="4"/>
      <c r="GV1498" s="4"/>
      <c r="GW1498" s="4"/>
      <c r="GX1498" s="4"/>
      <c r="GY1498" s="4"/>
      <c r="GZ1498" s="4"/>
      <c r="HA1498" s="4"/>
      <c r="HB1498" s="4"/>
      <c r="HC1498" s="4"/>
      <c r="HD1498" s="4"/>
      <c r="HE1498" s="4"/>
    </row>
    <row r="1499">
      <c r="A1499" s="2" t="s">
        <v>7641</v>
      </c>
      <c r="B1499" s="2" t="s">
        <v>223</v>
      </c>
      <c r="C1499" s="2" t="s">
        <v>849</v>
      </c>
      <c r="D1499" s="2" t="s">
        <v>1112</v>
      </c>
      <c r="E1499" s="2" t="s">
        <v>1113</v>
      </c>
      <c r="F1499" s="2" t="s">
        <v>7621</v>
      </c>
      <c r="G1499" s="2" t="s">
        <v>7622</v>
      </c>
      <c r="H1499" s="2" t="s">
        <v>7622</v>
      </c>
      <c r="I1499" s="2" t="s">
        <v>7627</v>
      </c>
      <c r="J1499" s="2" t="s">
        <v>1043</v>
      </c>
      <c r="K1499" s="2" t="s">
        <v>7636</v>
      </c>
      <c r="L1499" s="3">
        <v>41.61</v>
      </c>
      <c r="M1499" s="3">
        <v>43.69</v>
      </c>
      <c r="N1499" s="3">
        <v>89.99</v>
      </c>
      <c r="O1499" s="2" t="s">
        <v>240</v>
      </c>
      <c r="P1499" s="2" t="s">
        <v>233</v>
      </c>
      <c r="Q1499" s="2" t="s">
        <v>234</v>
      </c>
      <c r="R1499" s="2" t="s">
        <v>228</v>
      </c>
      <c r="S1499" s="2" t="s">
        <v>7637</v>
      </c>
      <c r="T1499" s="2" t="s">
        <v>1608</v>
      </c>
      <c r="U1499" s="2" t="s">
        <v>500</v>
      </c>
      <c r="V1499" s="2" t="s">
        <v>236</v>
      </c>
      <c r="W1499" s="2" t="s">
        <v>309</v>
      </c>
      <c r="X1499" s="2" t="s">
        <v>417</v>
      </c>
      <c r="Y1499" s="2" t="s">
        <v>3603</v>
      </c>
      <c r="Z1499" s="4">
        <v>90</v>
      </c>
      <c r="AA1499" s="4">
        <f>=ROUNDDOWN(22.5,0)</f>
      </c>
      <c r="AB1499" s="5">
        <v>4</v>
      </c>
      <c r="AC1499" s="2" t="s">
        <v>1352</v>
      </c>
      <c r="AD1499" s="4">
        <v>90</v>
      </c>
      <c r="AE1499" s="4">
        <v>90</v>
      </c>
      <c r="AF1499" s="6">
        <v>65</v>
      </c>
      <c r="AG1499" s="6"/>
      <c r="AH1499" s="7">
        <v>1</v>
      </c>
      <c r="AI1499" s="4"/>
      <c r="AJ1499" s="4">
        <f>=ROUNDDOWN({0},0)</f>
      </c>
      <c r="AK1499" s="5"/>
      <c r="AL1499" s="2" t="s">
        <v>228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 t="s">
        <v>228</v>
      </c>
      <c r="AW1499" s="8" t="s">
        <v>228</v>
      </c>
      <c r="AX1499" s="4" t="s">
        <v>228</v>
      </c>
      <c r="AY1499" s="8" t="s">
        <v>228</v>
      </c>
      <c r="AZ1499" s="7" t="s">
        <v>228</v>
      </c>
      <c r="BA1499" s="7" t="s">
        <v>228</v>
      </c>
      <c r="BB1499" s="7"/>
      <c r="BC1499" s="4" t="s">
        <v>228</v>
      </c>
      <c r="BD1499" s="8" t="s">
        <v>228</v>
      </c>
      <c r="BE1499" s="4" t="s">
        <v>228</v>
      </c>
      <c r="BF1499" s="8" t="s">
        <v>228</v>
      </c>
      <c r="BG1499" s="7" t="s">
        <v>228</v>
      </c>
      <c r="BH1499" s="7" t="s">
        <v>228</v>
      </c>
      <c r="BI1499" s="7"/>
      <c r="BJ1499" s="4"/>
      <c r="BK1499" s="8"/>
      <c r="BL1499" s="2" t="s">
        <v>228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7642</v>
      </c>
      <c r="BV1499" s="2" t="s">
        <v>228</v>
      </c>
      <c r="BW1499" s="2" t="s">
        <v>228</v>
      </c>
      <c r="BX1499" s="2" t="s">
        <v>238</v>
      </c>
      <c r="BY1499" s="2" t="s">
        <v>274</v>
      </c>
      <c r="BZ1499" s="2" t="s">
        <v>240</v>
      </c>
      <c r="CA1499" s="2" t="s">
        <v>1461</v>
      </c>
      <c r="CB1499" s="2" t="s">
        <v>228</v>
      </c>
      <c r="CC1499" s="2" t="s">
        <v>241</v>
      </c>
      <c r="CD1499" s="2" t="s">
        <v>228</v>
      </c>
      <c r="CE1499" s="4">
        <v>90</v>
      </c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>
        <v>90</v>
      </c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  <c r="FX1499" s="4"/>
      <c r="FY1499" s="4"/>
      <c r="FZ1499" s="4"/>
      <c r="GA1499" s="4"/>
      <c r="GB1499" s="4"/>
      <c r="GC1499" s="4"/>
      <c r="GD1499" s="4"/>
      <c r="GE1499" s="4"/>
      <c r="GF1499" s="4"/>
      <c r="GG1499" s="4"/>
      <c r="GH1499" s="4"/>
      <c r="GI1499" s="4"/>
      <c r="GJ1499" s="4"/>
      <c r="GK1499" s="4"/>
      <c r="GL1499" s="4"/>
      <c r="GM1499" s="4"/>
      <c r="GN1499" s="4"/>
      <c r="GO1499" s="4"/>
      <c r="GP1499" s="4"/>
      <c r="GQ1499" s="4"/>
      <c r="GR1499" s="4"/>
      <c r="GS1499" s="4"/>
      <c r="GT1499" s="4"/>
      <c r="GU1499" s="4"/>
      <c r="GV1499" s="4"/>
      <c r="GW1499" s="4"/>
      <c r="GX1499" s="4"/>
      <c r="GY1499" s="4"/>
      <c r="GZ1499" s="4"/>
      <c r="HA1499" s="4"/>
      <c r="HB1499" s="4"/>
      <c r="HC1499" s="4"/>
      <c r="HD1499" s="4"/>
      <c r="HE1499" s="4"/>
    </row>
    <row r="1500">
      <c r="A1500" s="2" t="s">
        <v>7643</v>
      </c>
      <c r="B1500" s="2" t="s">
        <v>223</v>
      </c>
      <c r="C1500" s="2" t="s">
        <v>3635</v>
      </c>
      <c r="D1500" s="2" t="s">
        <v>1407</v>
      </c>
      <c r="E1500" s="2" t="s">
        <v>1408</v>
      </c>
      <c r="F1500" s="2" t="s">
        <v>7644</v>
      </c>
      <c r="G1500" s="2" t="s">
        <v>7645</v>
      </c>
      <c r="H1500" s="2" t="s">
        <v>7645</v>
      </c>
      <c r="I1500" s="2" t="s">
        <v>7646</v>
      </c>
      <c r="J1500" s="2" t="s">
        <v>1412</v>
      </c>
      <c r="K1500" s="2" t="s">
        <v>249</v>
      </c>
      <c r="L1500" s="3">
        <v>36.17</v>
      </c>
      <c r="M1500" s="3">
        <v>37.98</v>
      </c>
      <c r="N1500" s="3">
        <v>79.99</v>
      </c>
      <c r="O1500" s="2" t="s">
        <v>240</v>
      </c>
      <c r="P1500" s="2" t="s">
        <v>266</v>
      </c>
      <c r="Q1500" s="2" t="s">
        <v>234</v>
      </c>
      <c r="R1500" s="2" t="s">
        <v>228</v>
      </c>
      <c r="S1500" s="2" t="s">
        <v>228</v>
      </c>
      <c r="T1500" s="2" t="s">
        <v>1608</v>
      </c>
      <c r="U1500" s="2" t="s">
        <v>416</v>
      </c>
      <c r="V1500" s="2" t="s">
        <v>236</v>
      </c>
      <c r="W1500" s="2" t="s">
        <v>309</v>
      </c>
      <c r="X1500" s="2" t="s">
        <v>269</v>
      </c>
      <c r="Y1500" s="2" t="s">
        <v>7647</v>
      </c>
      <c r="Z1500" s="4">
        <v>667</v>
      </c>
      <c r="AA1500" s="4">
        <f>=ROUNDDOWN(25.6538461538462,0)</f>
      </c>
      <c r="AB1500" s="5">
        <v>26</v>
      </c>
      <c r="AC1500" s="2" t="s">
        <v>1461</v>
      </c>
      <c r="AD1500" s="4">
        <v>150</v>
      </c>
      <c r="AE1500" s="4">
        <v>1000</v>
      </c>
      <c r="AF1500" s="6">
        <v>65</v>
      </c>
      <c r="AG1500" s="6"/>
      <c r="AH1500" s="7">
        <v>1</v>
      </c>
      <c r="AI1500" s="4"/>
      <c r="AJ1500" s="4">
        <f>=ROUNDDOWN({0},0)</f>
      </c>
      <c r="AK1500" s="5"/>
      <c r="AL1500" s="2" t="s">
        <v>228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/>
      <c r="AW1500" s="8"/>
      <c r="AX1500" s="4"/>
      <c r="AY1500" s="8"/>
      <c r="AZ1500" s="7"/>
      <c r="BA1500" s="7"/>
      <c r="BB1500" s="7"/>
      <c r="BC1500" s="4"/>
      <c r="BD1500" s="8"/>
      <c r="BE1500" s="4"/>
      <c r="BF1500" s="8"/>
      <c r="BG1500" s="7"/>
      <c r="BH1500" s="7"/>
      <c r="BI1500" s="7"/>
      <c r="BJ1500" s="4">
        <v>19</v>
      </c>
      <c r="BK1500" s="8">
        <v>738.45</v>
      </c>
      <c r="BL1500" s="2" t="s">
        <v>7648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7649</v>
      </c>
      <c r="BV1500" s="2" t="s">
        <v>228</v>
      </c>
      <c r="BW1500" s="2" t="s">
        <v>228</v>
      </c>
      <c r="BX1500" s="2" t="s">
        <v>273</v>
      </c>
      <c r="BY1500" s="2" t="s">
        <v>274</v>
      </c>
      <c r="BZ1500" s="2" t="s">
        <v>240</v>
      </c>
      <c r="CA1500" s="2" t="s">
        <v>1685</v>
      </c>
      <c r="CB1500" s="2" t="s">
        <v>7650</v>
      </c>
      <c r="CC1500" s="2" t="s">
        <v>241</v>
      </c>
      <c r="CD1500" s="2" t="s">
        <v>228</v>
      </c>
      <c r="CE1500" s="4">
        <v>667</v>
      </c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>
        <v>150</v>
      </c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>
        <v>420</v>
      </c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>
        <v>300</v>
      </c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/>
      <c r="FT1500" s="4"/>
      <c r="FU1500" s="4"/>
      <c r="FV1500" s="4"/>
      <c r="FW1500" s="4"/>
      <c r="FX1500" s="4"/>
      <c r="FY1500" s="4"/>
      <c r="FZ1500" s="4"/>
      <c r="GA1500" s="4"/>
      <c r="GB1500" s="4"/>
      <c r="GC1500" s="4"/>
      <c r="GD1500" s="4"/>
      <c r="GE1500" s="4"/>
      <c r="GF1500" s="4"/>
      <c r="GG1500" s="4"/>
      <c r="GH1500" s="4"/>
      <c r="GI1500" s="4"/>
      <c r="GJ1500" s="4"/>
      <c r="GK1500" s="4"/>
      <c r="GL1500" s="4"/>
      <c r="GM1500" s="4"/>
      <c r="GN1500" s="4">
        <v>130</v>
      </c>
      <c r="GO1500" s="4"/>
      <c r="GP1500" s="4"/>
      <c r="GQ1500" s="4"/>
      <c r="GR1500" s="4"/>
      <c r="GS1500" s="4"/>
      <c r="GT1500" s="4"/>
      <c r="GU1500" s="4"/>
      <c r="GV1500" s="4"/>
      <c r="GW1500" s="4"/>
      <c r="GX1500" s="4"/>
      <c r="GY1500" s="4"/>
      <c r="GZ1500" s="4"/>
      <c r="HA1500" s="4"/>
      <c r="HB1500" s="4"/>
      <c r="HC1500" s="4"/>
      <c r="HD1500" s="4"/>
      <c r="HE1500" s="4"/>
    </row>
    <row r="1501">
      <c r="A1501" s="2" t="s">
        <v>7651</v>
      </c>
      <c r="B1501" s="2" t="s">
        <v>958</v>
      </c>
      <c r="C1501" s="2" t="s">
        <v>835</v>
      </c>
      <c r="D1501" s="2" t="s">
        <v>959</v>
      </c>
      <c r="E1501" s="2" t="s">
        <v>960</v>
      </c>
      <c r="F1501" s="2" t="s">
        <v>7652</v>
      </c>
      <c r="G1501" s="2" t="s">
        <v>7652</v>
      </c>
      <c r="H1501" s="2" t="s">
        <v>7652</v>
      </c>
      <c r="I1501" s="2" t="s">
        <v>2560</v>
      </c>
      <c r="J1501" s="2" t="s">
        <v>840</v>
      </c>
      <c r="K1501" s="2" t="s">
        <v>249</v>
      </c>
      <c r="L1501" s="3">
        <v>209.95</v>
      </c>
      <c r="M1501" s="3">
        <v>220.45</v>
      </c>
      <c r="N1501" s="3">
        <v>439</v>
      </c>
      <c r="O1501" s="2" t="s">
        <v>240</v>
      </c>
      <c r="P1501" s="2" t="s">
        <v>1012</v>
      </c>
      <c r="Q1501" s="2" t="s">
        <v>234</v>
      </c>
      <c r="R1501" s="2" t="s">
        <v>228</v>
      </c>
      <c r="S1501" s="2" t="s">
        <v>7653</v>
      </c>
      <c r="T1501" s="2" t="s">
        <v>228</v>
      </c>
      <c r="U1501" s="2" t="s">
        <v>416</v>
      </c>
      <c r="V1501" s="2" t="s">
        <v>236</v>
      </c>
      <c r="W1501" s="2" t="s">
        <v>269</v>
      </c>
      <c r="X1501" s="2" t="s">
        <v>228</v>
      </c>
      <c r="Y1501" s="2" t="s">
        <v>270</v>
      </c>
      <c r="Z1501" s="4">
        <v>77</v>
      </c>
      <c r="AA1501" s="4">
        <f>=ROUNDDOWN(25.6666666666667,0)</f>
      </c>
      <c r="AB1501" s="5">
        <v>3</v>
      </c>
      <c r="AC1501" s="2" t="s">
        <v>162</v>
      </c>
      <c r="AD1501" s="4">
        <v>63</v>
      </c>
      <c r="AE1501" s="4">
        <v>63</v>
      </c>
      <c r="AF1501" s="6">
        <v>66</v>
      </c>
      <c r="AG1501" s="6"/>
      <c r="AH1501" s="7">
        <v>1</v>
      </c>
      <c r="AI1501" s="4"/>
      <c r="AJ1501" s="4">
        <f>=ROUNDDOWN({0},0)</f>
      </c>
      <c r="AK1501" s="5"/>
      <c r="AL1501" s="2" t="s">
        <v>228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/>
      <c r="AW1501" s="8"/>
      <c r="AX1501" s="4"/>
      <c r="AY1501" s="8"/>
      <c r="AZ1501" s="7"/>
      <c r="BA1501" s="7"/>
      <c r="BB1501" s="7"/>
      <c r="BC1501" s="4"/>
      <c r="BD1501" s="8"/>
      <c r="BE1501" s="4"/>
      <c r="BF1501" s="8"/>
      <c r="BG1501" s="7"/>
      <c r="BH1501" s="7"/>
      <c r="BI1501" s="7"/>
      <c r="BJ1501" s="4">
        <v>9</v>
      </c>
      <c r="BK1501" s="8">
        <v>1785.09</v>
      </c>
      <c r="BL1501" s="2" t="s">
        <v>7654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7655</v>
      </c>
      <c r="BV1501" s="2" t="s">
        <v>228</v>
      </c>
      <c r="BW1501" s="2" t="s">
        <v>228</v>
      </c>
      <c r="BX1501" s="2" t="s">
        <v>273</v>
      </c>
      <c r="BY1501" s="2" t="s">
        <v>274</v>
      </c>
      <c r="BZ1501" s="2" t="s">
        <v>240</v>
      </c>
      <c r="CA1501" s="2" t="s">
        <v>2522</v>
      </c>
      <c r="CB1501" s="2" t="s">
        <v>7656</v>
      </c>
      <c r="CC1501" s="2" t="s">
        <v>241</v>
      </c>
      <c r="CD1501" s="2" t="s">
        <v>228</v>
      </c>
      <c r="CE1501" s="4"/>
      <c r="CF1501" s="4">
        <v>77</v>
      </c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>
        <v>63</v>
      </c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  <c r="FX1501" s="4"/>
      <c r="FY1501" s="4"/>
      <c r="FZ1501" s="4"/>
      <c r="GA1501" s="4"/>
      <c r="GB1501" s="4"/>
      <c r="GC1501" s="4"/>
      <c r="GD1501" s="4"/>
      <c r="GE1501" s="4"/>
      <c r="GF1501" s="4"/>
      <c r="GG1501" s="4"/>
      <c r="GH1501" s="4"/>
      <c r="GI1501" s="4"/>
      <c r="GJ1501" s="4"/>
      <c r="GK1501" s="4"/>
      <c r="GL1501" s="4"/>
      <c r="GM1501" s="4"/>
      <c r="GN1501" s="4"/>
      <c r="GO1501" s="4"/>
      <c r="GP1501" s="4"/>
      <c r="GQ1501" s="4"/>
      <c r="GR1501" s="4"/>
      <c r="GS1501" s="4"/>
      <c r="GT1501" s="4"/>
      <c r="GU1501" s="4"/>
      <c r="GV1501" s="4"/>
      <c r="GW1501" s="4"/>
      <c r="GX1501" s="4"/>
      <c r="GY1501" s="4"/>
      <c r="GZ1501" s="4"/>
      <c r="HA1501" s="4"/>
      <c r="HB1501" s="4"/>
      <c r="HC1501" s="4"/>
      <c r="HD1501" s="4"/>
      <c r="HE1501" s="4"/>
    </row>
    <row r="1502">
      <c r="A1502" s="2" t="s">
        <v>7657</v>
      </c>
      <c r="B1502" s="2" t="s">
        <v>958</v>
      </c>
      <c r="C1502" s="2" t="s">
        <v>835</v>
      </c>
      <c r="D1502" s="2" t="s">
        <v>2122</v>
      </c>
      <c r="E1502" s="2" t="s">
        <v>2123</v>
      </c>
      <c r="F1502" s="2" t="s">
        <v>7658</v>
      </c>
      <c r="G1502" s="2" t="s">
        <v>7659</v>
      </c>
      <c r="H1502" s="2" t="s">
        <v>7658</v>
      </c>
      <c r="I1502" s="2" t="s">
        <v>2123</v>
      </c>
      <c r="J1502" s="2" t="s">
        <v>840</v>
      </c>
      <c r="K1502" s="2" t="s">
        <v>1421</v>
      </c>
      <c r="L1502" s="3">
        <v>109.44</v>
      </c>
      <c r="M1502" s="3">
        <v>114.91</v>
      </c>
      <c r="N1502" s="3">
        <v>229</v>
      </c>
      <c r="O1502" s="2" t="s">
        <v>240</v>
      </c>
      <c r="P1502" s="2" t="s">
        <v>333</v>
      </c>
      <c r="Q1502" s="2" t="s">
        <v>234</v>
      </c>
      <c r="R1502" s="2" t="s">
        <v>228</v>
      </c>
      <c r="S1502" s="2" t="s">
        <v>228</v>
      </c>
      <c r="T1502" s="2" t="s">
        <v>228</v>
      </c>
      <c r="U1502" s="2" t="s">
        <v>416</v>
      </c>
      <c r="V1502" s="2" t="s">
        <v>842</v>
      </c>
      <c r="W1502" s="2" t="s">
        <v>463</v>
      </c>
      <c r="X1502" s="2" t="s">
        <v>417</v>
      </c>
      <c r="Y1502" s="2" t="s">
        <v>2616</v>
      </c>
      <c r="Z1502" s="4">
        <v>67</v>
      </c>
      <c r="AA1502" s="4">
        <f>=ROUNDDOWN(33.5,0)</f>
      </c>
      <c r="AB1502" s="5">
        <v>2</v>
      </c>
      <c r="AC1502" s="2" t="s">
        <v>228</v>
      </c>
      <c r="AD1502" s="4"/>
      <c r="AE1502" s="4"/>
      <c r="AF1502" s="6">
        <v>74</v>
      </c>
      <c r="AG1502" s="6"/>
      <c r="AH1502" s="7">
        <v>1</v>
      </c>
      <c r="AI1502" s="4"/>
      <c r="AJ1502" s="4">
        <f>=ROUNDDOWN({0},0)</f>
      </c>
      <c r="AK1502" s="5"/>
      <c r="AL1502" s="2" t="s">
        <v>228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/>
      <c r="AW1502" s="8"/>
      <c r="AX1502" s="4"/>
      <c r="AY1502" s="8"/>
      <c r="AZ1502" s="7"/>
      <c r="BA1502" s="7"/>
      <c r="BB1502" s="7"/>
      <c r="BC1502" s="4"/>
      <c r="BD1502" s="8"/>
      <c r="BE1502" s="4"/>
      <c r="BF1502" s="8"/>
      <c r="BG1502" s="7"/>
      <c r="BH1502" s="7"/>
      <c r="BI1502" s="7"/>
      <c r="BJ1502" s="4">
        <v>5</v>
      </c>
      <c r="BK1502" s="8">
        <v>670.05</v>
      </c>
      <c r="BL1502" s="2" t="s">
        <v>7660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7661</v>
      </c>
      <c r="BV1502" s="2" t="s">
        <v>228</v>
      </c>
      <c r="BW1502" s="2" t="s">
        <v>228</v>
      </c>
      <c r="BX1502" s="2" t="s">
        <v>337</v>
      </c>
      <c r="BY1502" s="2" t="s">
        <v>274</v>
      </c>
      <c r="BZ1502" s="2" t="s">
        <v>240</v>
      </c>
      <c r="CA1502" s="2" t="s">
        <v>2616</v>
      </c>
      <c r="CB1502" s="2" t="s">
        <v>7662</v>
      </c>
      <c r="CC1502" s="2" t="s">
        <v>241</v>
      </c>
      <c r="CD1502" s="2" t="s">
        <v>228</v>
      </c>
      <c r="CE1502" s="4"/>
      <c r="CF1502" s="4">
        <v>67</v>
      </c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  <c r="FX1502" s="4"/>
      <c r="FY1502" s="4"/>
      <c r="FZ1502" s="4"/>
      <c r="GA1502" s="4"/>
      <c r="GB1502" s="4"/>
      <c r="GC1502" s="4"/>
      <c r="GD1502" s="4"/>
      <c r="GE1502" s="4"/>
      <c r="GF1502" s="4"/>
      <c r="GG1502" s="4"/>
      <c r="GH1502" s="4"/>
      <c r="GI1502" s="4"/>
      <c r="GJ1502" s="4"/>
      <c r="GK1502" s="4"/>
      <c r="GL1502" s="4"/>
      <c r="GM1502" s="4"/>
      <c r="GN1502" s="4"/>
      <c r="GO1502" s="4"/>
      <c r="GP1502" s="4"/>
      <c r="GQ1502" s="4"/>
      <c r="GR1502" s="4"/>
      <c r="GS1502" s="4"/>
      <c r="GT1502" s="4"/>
      <c r="GU1502" s="4"/>
      <c r="GV1502" s="4"/>
      <c r="GW1502" s="4"/>
      <c r="GX1502" s="4"/>
      <c r="GY1502" s="4"/>
      <c r="GZ1502" s="4"/>
      <c r="HA1502" s="4"/>
      <c r="HB1502" s="4"/>
      <c r="HC1502" s="4"/>
      <c r="HD1502" s="4"/>
      <c r="HE1502" s="4"/>
    </row>
    <row r="1503">
      <c r="A1503" s="2" t="s">
        <v>7663</v>
      </c>
      <c r="B1503" s="2" t="s">
        <v>958</v>
      </c>
      <c r="C1503" s="2" t="s">
        <v>885</v>
      </c>
      <c r="D1503" s="2" t="s">
        <v>959</v>
      </c>
      <c r="E1503" s="2" t="s">
        <v>2560</v>
      </c>
      <c r="F1503" s="2" t="s">
        <v>7664</v>
      </c>
      <c r="G1503" s="2" t="s">
        <v>7664</v>
      </c>
      <c r="H1503" s="2" t="s">
        <v>7664</v>
      </c>
      <c r="I1503" s="2" t="s">
        <v>2560</v>
      </c>
      <c r="J1503" s="2" t="s">
        <v>840</v>
      </c>
      <c r="K1503" s="2" t="s">
        <v>1653</v>
      </c>
      <c r="L1503" s="3">
        <v>250</v>
      </c>
      <c r="M1503" s="3">
        <v>262.5</v>
      </c>
      <c r="N1503" s="3">
        <v>519</v>
      </c>
      <c r="O1503" s="2" t="s">
        <v>461</v>
      </c>
      <c r="P1503" s="2" t="s">
        <v>333</v>
      </c>
      <c r="Q1503" s="2" t="s">
        <v>234</v>
      </c>
      <c r="R1503" s="2" t="s">
        <v>228</v>
      </c>
      <c r="S1503" s="2" t="s">
        <v>228</v>
      </c>
      <c r="T1503" s="2" t="s">
        <v>228</v>
      </c>
      <c r="U1503" s="2" t="s">
        <v>228</v>
      </c>
      <c r="V1503" s="2" t="s">
        <v>236</v>
      </c>
      <c r="W1503" s="2" t="s">
        <v>417</v>
      </c>
      <c r="X1503" s="2" t="s">
        <v>1514</v>
      </c>
      <c r="Y1503" s="2" t="s">
        <v>1740</v>
      </c>
      <c r="Z1503" s="4">
        <v>43</v>
      </c>
      <c r="AA1503" s="4">
        <f>=ROUNDDOWN(43,0)</f>
      </c>
      <c r="AB1503" s="5">
        <v>1</v>
      </c>
      <c r="AC1503" s="2" t="s">
        <v>228</v>
      </c>
      <c r="AD1503" s="4"/>
      <c r="AE1503" s="4"/>
      <c r="AF1503" s="6">
        <v>66</v>
      </c>
      <c r="AG1503" s="6"/>
      <c r="AH1503" s="7">
        <v>1</v>
      </c>
      <c r="AI1503" s="4"/>
      <c r="AJ1503" s="4">
        <f>=ROUNDDOWN({0},0)</f>
      </c>
      <c r="AK1503" s="5"/>
      <c r="AL1503" s="2" t="s">
        <v>228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/>
      <c r="AW1503" s="8"/>
      <c r="AX1503" s="4"/>
      <c r="AY1503" s="8"/>
      <c r="AZ1503" s="7"/>
      <c r="BA1503" s="7"/>
      <c r="BB1503" s="7"/>
      <c r="BC1503" s="4"/>
      <c r="BD1503" s="8"/>
      <c r="BE1503" s="4"/>
      <c r="BF1503" s="8"/>
      <c r="BG1503" s="7"/>
      <c r="BH1503" s="7"/>
      <c r="BI1503" s="7"/>
      <c r="BJ1503" s="4">
        <v>3</v>
      </c>
      <c r="BK1503" s="8">
        <v>386.2</v>
      </c>
      <c r="BL1503" s="2" t="s">
        <v>521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7665</v>
      </c>
      <c r="BV1503" s="2" t="s">
        <v>228</v>
      </c>
      <c r="BW1503" s="2" t="s">
        <v>228</v>
      </c>
      <c r="BX1503" s="2" t="s">
        <v>337</v>
      </c>
      <c r="BY1503" s="2" t="s">
        <v>274</v>
      </c>
      <c r="BZ1503" s="2" t="s">
        <v>240</v>
      </c>
      <c r="CA1503" s="2" t="s">
        <v>7666</v>
      </c>
      <c r="CB1503" s="2" t="s">
        <v>7619</v>
      </c>
      <c r="CC1503" s="2" t="s">
        <v>241</v>
      </c>
      <c r="CD1503" s="2" t="s">
        <v>228</v>
      </c>
      <c r="CE1503" s="4"/>
      <c r="CF1503" s="4">
        <v>43</v>
      </c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/>
      <c r="GE1503" s="4"/>
      <c r="GF1503" s="4"/>
      <c r="GG1503" s="4"/>
      <c r="GH1503" s="4"/>
      <c r="GI1503" s="4"/>
      <c r="GJ1503" s="4"/>
      <c r="GK1503" s="4"/>
      <c r="GL1503" s="4"/>
      <c r="GM1503" s="4"/>
      <c r="GN1503" s="4"/>
      <c r="GO1503" s="4"/>
      <c r="GP1503" s="4"/>
      <c r="GQ1503" s="4"/>
      <c r="GR1503" s="4"/>
      <c r="GS1503" s="4"/>
      <c r="GT1503" s="4"/>
      <c r="GU1503" s="4"/>
      <c r="GV1503" s="4"/>
      <c r="GW1503" s="4"/>
      <c r="GX1503" s="4"/>
      <c r="GY1503" s="4"/>
      <c r="GZ1503" s="4"/>
      <c r="HA1503" s="4"/>
      <c r="HB1503" s="4"/>
      <c r="HC1503" s="4"/>
      <c r="HD1503" s="4"/>
      <c r="HE1503" s="4"/>
    </row>
    <row r="1504">
      <c r="A1504" s="2" t="s">
        <v>7667</v>
      </c>
      <c r="B1504" s="2" t="s">
        <v>1150</v>
      </c>
      <c r="C1504" s="2" t="s">
        <v>457</v>
      </c>
      <c r="D1504" s="2" t="s">
        <v>1112</v>
      </c>
      <c r="E1504" s="2" t="s">
        <v>1113</v>
      </c>
      <c r="F1504" s="2" t="s">
        <v>7668</v>
      </c>
      <c r="G1504" s="2" t="s">
        <v>991</v>
      </c>
      <c r="H1504" s="2" t="s">
        <v>4931</v>
      </c>
      <c r="I1504" s="2" t="s">
        <v>7669</v>
      </c>
      <c r="J1504" s="2" t="s">
        <v>1043</v>
      </c>
      <c r="K1504" s="2" t="s">
        <v>829</v>
      </c>
      <c r="L1504" s="3">
        <v>90.47</v>
      </c>
      <c r="M1504" s="3">
        <v>94.99</v>
      </c>
      <c r="N1504" s="3">
        <v>189.99</v>
      </c>
      <c r="O1504" s="2" t="s">
        <v>240</v>
      </c>
      <c r="P1504" s="2" t="s">
        <v>922</v>
      </c>
      <c r="Q1504" s="2" t="s">
        <v>234</v>
      </c>
      <c r="R1504" s="2" t="s">
        <v>228</v>
      </c>
      <c r="S1504" s="2" t="s">
        <v>7670</v>
      </c>
      <c r="T1504" s="2" t="s">
        <v>228</v>
      </c>
      <c r="U1504" s="2" t="s">
        <v>308</v>
      </c>
      <c r="V1504" s="2" t="s">
        <v>236</v>
      </c>
      <c r="W1504" s="2" t="s">
        <v>269</v>
      </c>
      <c r="X1504" s="2" t="s">
        <v>6916</v>
      </c>
      <c r="Y1504" s="2" t="s">
        <v>7671</v>
      </c>
      <c r="Z1504" s="4">
        <v>136</v>
      </c>
      <c r="AA1504" s="4">
        <f>=ROUNDDOWN(16,0)</f>
      </c>
      <c r="AB1504" s="5">
        <v>8.5</v>
      </c>
      <c r="AC1504" s="2" t="s">
        <v>228</v>
      </c>
      <c r="AD1504" s="4"/>
      <c r="AE1504" s="4"/>
      <c r="AF1504" s="6">
        <v>65</v>
      </c>
      <c r="AG1504" s="6"/>
      <c r="AH1504" s="7">
        <v>1</v>
      </c>
      <c r="AI1504" s="4"/>
      <c r="AJ1504" s="4">
        <f>=ROUNDDOWN({0},0)</f>
      </c>
      <c r="AK1504" s="5"/>
      <c r="AL1504" s="2" t="s">
        <v>228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 t="s">
        <v>228</v>
      </c>
      <c r="AW1504" s="8" t="s">
        <v>228</v>
      </c>
      <c r="AX1504" s="4" t="s">
        <v>228</v>
      </c>
      <c r="AY1504" s="8" t="s">
        <v>228</v>
      </c>
      <c r="AZ1504" s="7" t="s">
        <v>228</v>
      </c>
      <c r="BA1504" s="7" t="s">
        <v>228</v>
      </c>
      <c r="BB1504" s="7" t="s">
        <v>228</v>
      </c>
      <c r="BC1504" s="4" t="s">
        <v>228</v>
      </c>
      <c r="BD1504" s="8" t="s">
        <v>228</v>
      </c>
      <c r="BE1504" s="4" t="s">
        <v>228</v>
      </c>
      <c r="BF1504" s="8" t="s">
        <v>228</v>
      </c>
      <c r="BG1504" s="7" t="s">
        <v>228</v>
      </c>
      <c r="BH1504" s="7" t="s">
        <v>228</v>
      </c>
      <c r="BI1504" s="7"/>
      <c r="BJ1504" s="4">
        <v>31</v>
      </c>
      <c r="BK1504" s="8">
        <v>2956.61</v>
      </c>
      <c r="BL1504" s="2" t="s">
        <v>7672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7673</v>
      </c>
      <c r="BV1504" s="2" t="s">
        <v>228</v>
      </c>
      <c r="BW1504" s="2" t="s">
        <v>228</v>
      </c>
      <c r="BX1504" s="2" t="s">
        <v>337</v>
      </c>
      <c r="BY1504" s="2" t="s">
        <v>274</v>
      </c>
      <c r="BZ1504" s="2" t="s">
        <v>240</v>
      </c>
      <c r="CA1504" s="2" t="s">
        <v>1888</v>
      </c>
      <c r="CB1504" s="2" t="s">
        <v>7674</v>
      </c>
      <c r="CC1504" s="2" t="s">
        <v>241</v>
      </c>
      <c r="CD1504" s="2" t="s">
        <v>228</v>
      </c>
      <c r="CE1504" s="4">
        <v>136</v>
      </c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/>
      <c r="FZ1504" s="4"/>
      <c r="GA1504" s="4"/>
      <c r="GB1504" s="4"/>
      <c r="GC1504" s="4"/>
      <c r="GD1504" s="4"/>
      <c r="GE1504" s="4"/>
      <c r="GF1504" s="4"/>
      <c r="GG1504" s="4"/>
      <c r="GH1504" s="4"/>
      <c r="GI1504" s="4"/>
      <c r="GJ1504" s="4"/>
      <c r="GK1504" s="4"/>
      <c r="GL1504" s="4"/>
      <c r="GM1504" s="4"/>
      <c r="GN1504" s="4"/>
      <c r="GO1504" s="4"/>
      <c r="GP1504" s="4"/>
      <c r="GQ1504" s="4"/>
      <c r="GR1504" s="4"/>
      <c r="GS1504" s="4"/>
      <c r="GT1504" s="4"/>
      <c r="GU1504" s="4"/>
      <c r="GV1504" s="4"/>
      <c r="GW1504" s="4"/>
      <c r="GX1504" s="4"/>
      <c r="GY1504" s="4"/>
      <c r="GZ1504" s="4"/>
      <c r="HA1504" s="4"/>
      <c r="HB1504" s="4"/>
      <c r="HC1504" s="4"/>
      <c r="HD1504" s="4"/>
      <c r="HE1504" s="4"/>
    </row>
    <row r="1505">
      <c r="A1505" s="2" t="s">
        <v>7675</v>
      </c>
      <c r="B1505" s="2" t="s">
        <v>1150</v>
      </c>
      <c r="C1505" s="2" t="s">
        <v>457</v>
      </c>
      <c r="D1505" s="2" t="s">
        <v>850</v>
      </c>
      <c r="E1505" s="2" t="s">
        <v>1038</v>
      </c>
      <c r="F1505" s="2" t="s">
        <v>7668</v>
      </c>
      <c r="G1505" s="2" t="s">
        <v>991</v>
      </c>
      <c r="H1505" s="2" t="s">
        <v>4931</v>
      </c>
      <c r="I1505" s="2" t="s">
        <v>7676</v>
      </c>
      <c r="J1505" s="2" t="s">
        <v>1043</v>
      </c>
      <c r="K1505" s="2" t="s">
        <v>829</v>
      </c>
      <c r="L1505" s="3">
        <v>66.66</v>
      </c>
      <c r="M1505" s="3">
        <v>69.99</v>
      </c>
      <c r="N1505" s="3">
        <v>139.99</v>
      </c>
      <c r="O1505" s="2" t="s">
        <v>240</v>
      </c>
      <c r="P1505" s="2" t="s">
        <v>922</v>
      </c>
      <c r="Q1505" s="2" t="s">
        <v>234</v>
      </c>
      <c r="R1505" s="2" t="s">
        <v>228</v>
      </c>
      <c r="S1505" s="2" t="s">
        <v>7670</v>
      </c>
      <c r="T1505" s="2" t="s">
        <v>228</v>
      </c>
      <c r="U1505" s="2" t="s">
        <v>500</v>
      </c>
      <c r="V1505" s="2" t="s">
        <v>236</v>
      </c>
      <c r="W1505" s="2" t="s">
        <v>269</v>
      </c>
      <c r="X1505" s="2" t="s">
        <v>6916</v>
      </c>
      <c r="Y1505" s="2" t="s">
        <v>7671</v>
      </c>
      <c r="Z1505" s="4">
        <v>166</v>
      </c>
      <c r="AA1505" s="4">
        <f>=ROUNDDOWN(31.9230769230769,0)</f>
      </c>
      <c r="AB1505" s="5">
        <v>5.2</v>
      </c>
      <c r="AC1505" s="2" t="s">
        <v>228</v>
      </c>
      <c r="AD1505" s="4"/>
      <c r="AE1505" s="4"/>
      <c r="AF1505" s="6">
        <v>65</v>
      </c>
      <c r="AG1505" s="6"/>
      <c r="AH1505" s="7">
        <v>1</v>
      </c>
      <c r="AI1505" s="4"/>
      <c r="AJ1505" s="4">
        <f>=ROUNDDOWN({0},0)</f>
      </c>
      <c r="AK1505" s="5"/>
      <c r="AL1505" s="2" t="s">
        <v>228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228</v>
      </c>
      <c r="AW1505" s="8" t="s">
        <v>228</v>
      </c>
      <c r="AX1505" s="4" t="s">
        <v>228</v>
      </c>
      <c r="AY1505" s="8" t="s">
        <v>228</v>
      </c>
      <c r="AZ1505" s="7" t="s">
        <v>228</v>
      </c>
      <c r="BA1505" s="7" t="s">
        <v>228</v>
      </c>
      <c r="BB1505" s="7" t="s">
        <v>228</v>
      </c>
      <c r="BC1505" s="4" t="s">
        <v>228</v>
      </c>
      <c r="BD1505" s="8" t="s">
        <v>228</v>
      </c>
      <c r="BE1505" s="4" t="s">
        <v>228</v>
      </c>
      <c r="BF1505" s="8" t="s">
        <v>228</v>
      </c>
      <c r="BG1505" s="7" t="s">
        <v>228</v>
      </c>
      <c r="BH1505" s="7" t="s">
        <v>228</v>
      </c>
      <c r="BI1505" s="7"/>
      <c r="BJ1505" s="4">
        <v>17</v>
      </c>
      <c r="BK1505" s="8">
        <v>1217.83</v>
      </c>
      <c r="BL1505" s="2" t="s">
        <v>7677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7678</v>
      </c>
      <c r="BV1505" s="2" t="s">
        <v>228</v>
      </c>
      <c r="BW1505" s="2" t="s">
        <v>228</v>
      </c>
      <c r="BX1505" s="2" t="s">
        <v>337</v>
      </c>
      <c r="BY1505" s="2" t="s">
        <v>274</v>
      </c>
      <c r="BZ1505" s="2" t="s">
        <v>240</v>
      </c>
      <c r="CA1505" s="2" t="s">
        <v>1888</v>
      </c>
      <c r="CB1505" s="2" t="s">
        <v>7679</v>
      </c>
      <c r="CC1505" s="2" t="s">
        <v>241</v>
      </c>
      <c r="CD1505" s="2" t="s">
        <v>228</v>
      </c>
      <c r="CE1505" s="4">
        <v>166</v>
      </c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/>
      <c r="GE1505" s="4"/>
      <c r="GF1505" s="4"/>
      <c r="GG1505" s="4"/>
      <c r="GH1505" s="4"/>
      <c r="GI1505" s="4"/>
      <c r="GJ1505" s="4"/>
      <c r="GK1505" s="4"/>
      <c r="GL1505" s="4"/>
      <c r="GM1505" s="4"/>
      <c r="GN1505" s="4"/>
      <c r="GO1505" s="4"/>
      <c r="GP1505" s="4"/>
      <c r="GQ1505" s="4"/>
      <c r="GR1505" s="4"/>
      <c r="GS1505" s="4"/>
      <c r="GT1505" s="4"/>
      <c r="GU1505" s="4"/>
      <c r="GV1505" s="4"/>
      <c r="GW1505" s="4"/>
      <c r="GX1505" s="4"/>
      <c r="GY1505" s="4"/>
      <c r="GZ1505" s="4"/>
      <c r="HA1505" s="4"/>
      <c r="HB1505" s="4"/>
      <c r="HC1505" s="4"/>
      <c r="HD1505" s="4"/>
      <c r="HE1505" s="4"/>
    </row>
    <row r="1506">
      <c r="A1506" s="2" t="s">
        <v>7680</v>
      </c>
      <c r="B1506" s="2" t="s">
        <v>223</v>
      </c>
      <c r="C1506" s="2" t="s">
        <v>4000</v>
      </c>
      <c r="D1506" s="2" t="s">
        <v>1407</v>
      </c>
      <c r="E1506" s="2" t="s">
        <v>1408</v>
      </c>
      <c r="F1506" s="2" t="s">
        <v>7681</v>
      </c>
      <c r="G1506" s="2" t="s">
        <v>7681</v>
      </c>
      <c r="H1506" s="2" t="s">
        <v>7681</v>
      </c>
      <c r="I1506" s="2" t="s">
        <v>5443</v>
      </c>
      <c r="J1506" s="2" t="s">
        <v>1412</v>
      </c>
      <c r="K1506" s="2" t="s">
        <v>1421</v>
      </c>
      <c r="L1506" s="3">
        <v>30.95</v>
      </c>
      <c r="M1506" s="3">
        <v>32.5</v>
      </c>
      <c r="N1506" s="3">
        <v>64.99</v>
      </c>
      <c r="O1506" s="2" t="s">
        <v>240</v>
      </c>
      <c r="P1506" s="2" t="s">
        <v>266</v>
      </c>
      <c r="Q1506" s="2" t="s">
        <v>234</v>
      </c>
      <c r="R1506" s="2" t="s">
        <v>228</v>
      </c>
      <c r="S1506" s="2" t="s">
        <v>7682</v>
      </c>
      <c r="T1506" s="2" t="s">
        <v>1266</v>
      </c>
      <c r="U1506" s="2" t="s">
        <v>416</v>
      </c>
      <c r="V1506" s="2" t="s">
        <v>236</v>
      </c>
      <c r="W1506" s="2" t="s">
        <v>269</v>
      </c>
      <c r="X1506" s="2" t="s">
        <v>228</v>
      </c>
      <c r="Y1506" s="2" t="s">
        <v>7683</v>
      </c>
      <c r="Z1506" s="4">
        <v>1027</v>
      </c>
      <c r="AA1506" s="4">
        <f>=ROUNDDOWN(42.7916666666667,0)</f>
      </c>
      <c r="AB1506" s="5">
        <v>24</v>
      </c>
      <c r="AC1506" s="2" t="s">
        <v>168</v>
      </c>
      <c r="AD1506" s="4">
        <v>490</v>
      </c>
      <c r="AE1506" s="4">
        <v>490</v>
      </c>
      <c r="AF1506" s="6">
        <v>65</v>
      </c>
      <c r="AG1506" s="6"/>
      <c r="AH1506" s="7">
        <v>1</v>
      </c>
      <c r="AI1506" s="4"/>
      <c r="AJ1506" s="4">
        <f>=ROUNDDOWN({0},0)</f>
      </c>
      <c r="AK1506" s="5"/>
      <c r="AL1506" s="2" t="s">
        <v>228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/>
      <c r="AW1506" s="8"/>
      <c r="AX1506" s="4"/>
      <c r="AY1506" s="8"/>
      <c r="AZ1506" s="7"/>
      <c r="BA1506" s="7"/>
      <c r="BB1506" s="7"/>
      <c r="BC1506" s="4" t="s">
        <v>228</v>
      </c>
      <c r="BD1506" s="8" t="s">
        <v>228</v>
      </c>
      <c r="BE1506" s="4" t="s">
        <v>228</v>
      </c>
      <c r="BF1506" s="8" t="s">
        <v>228</v>
      </c>
      <c r="BG1506" s="7" t="s">
        <v>228</v>
      </c>
      <c r="BH1506" s="7" t="s">
        <v>228</v>
      </c>
      <c r="BI1506" s="7"/>
      <c r="BJ1506" s="4">
        <v>19</v>
      </c>
      <c r="BK1506" s="8">
        <v>657.1</v>
      </c>
      <c r="BL1506" s="2" t="s">
        <v>3646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7684</v>
      </c>
      <c r="BV1506" s="2" t="s">
        <v>228</v>
      </c>
      <c r="BW1506" s="2" t="s">
        <v>228</v>
      </c>
      <c r="BX1506" s="2" t="s">
        <v>273</v>
      </c>
      <c r="BY1506" s="2" t="s">
        <v>274</v>
      </c>
      <c r="BZ1506" s="2" t="s">
        <v>240</v>
      </c>
      <c r="CA1506" s="2" t="s">
        <v>3414</v>
      </c>
      <c r="CB1506" s="2" t="s">
        <v>7685</v>
      </c>
      <c r="CC1506" s="2" t="s">
        <v>241</v>
      </c>
      <c r="CD1506" s="2" t="s">
        <v>228</v>
      </c>
      <c r="CE1506" s="4">
        <v>1027</v>
      </c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>
        <v>490</v>
      </c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/>
      <c r="FT1506" s="4"/>
      <c r="FU1506" s="4"/>
      <c r="FV1506" s="4"/>
      <c r="FW1506" s="4"/>
      <c r="FX1506" s="4"/>
      <c r="FY1506" s="4"/>
      <c r="FZ1506" s="4"/>
      <c r="GA1506" s="4"/>
      <c r="GB1506" s="4"/>
      <c r="GC1506" s="4"/>
      <c r="GD1506" s="4"/>
      <c r="GE1506" s="4"/>
      <c r="GF1506" s="4"/>
      <c r="GG1506" s="4"/>
      <c r="GH1506" s="4"/>
      <c r="GI1506" s="4"/>
      <c r="GJ1506" s="4"/>
      <c r="GK1506" s="4"/>
      <c r="GL1506" s="4"/>
      <c r="GM1506" s="4"/>
      <c r="GN1506" s="4"/>
      <c r="GO1506" s="4"/>
      <c r="GP1506" s="4"/>
      <c r="GQ1506" s="4"/>
      <c r="GR1506" s="4"/>
      <c r="GS1506" s="4"/>
      <c r="GT1506" s="4"/>
      <c r="GU1506" s="4"/>
      <c r="GV1506" s="4"/>
      <c r="GW1506" s="4"/>
      <c r="GX1506" s="4"/>
      <c r="GY1506" s="4"/>
      <c r="GZ1506" s="4"/>
      <c r="HA1506" s="4"/>
      <c r="HB1506" s="4"/>
      <c r="HC1506" s="4"/>
      <c r="HD1506" s="4"/>
      <c r="HE1506" s="4"/>
    </row>
    <row r="1507">
      <c r="A1507" s="2" t="s">
        <v>7686</v>
      </c>
      <c r="B1507" s="2" t="s">
        <v>223</v>
      </c>
      <c r="C1507" s="2" t="s">
        <v>4000</v>
      </c>
      <c r="D1507" s="2" t="s">
        <v>1407</v>
      </c>
      <c r="E1507" s="2" t="s">
        <v>1408</v>
      </c>
      <c r="F1507" s="2" t="s">
        <v>7681</v>
      </c>
      <c r="G1507" s="2" t="s">
        <v>7681</v>
      </c>
      <c r="H1507" s="2" t="s">
        <v>7681</v>
      </c>
      <c r="I1507" s="2" t="s">
        <v>5443</v>
      </c>
      <c r="J1507" s="2" t="s">
        <v>1412</v>
      </c>
      <c r="K1507" s="2" t="s">
        <v>249</v>
      </c>
      <c r="L1507" s="3">
        <v>30.95</v>
      </c>
      <c r="M1507" s="3">
        <v>32.5</v>
      </c>
      <c r="N1507" s="3">
        <v>64.99</v>
      </c>
      <c r="O1507" s="2" t="s">
        <v>240</v>
      </c>
      <c r="P1507" s="2" t="s">
        <v>266</v>
      </c>
      <c r="Q1507" s="2" t="s">
        <v>234</v>
      </c>
      <c r="R1507" s="2" t="s">
        <v>228</v>
      </c>
      <c r="S1507" s="2" t="s">
        <v>7687</v>
      </c>
      <c r="T1507" s="2" t="s">
        <v>1266</v>
      </c>
      <c r="U1507" s="2" t="s">
        <v>416</v>
      </c>
      <c r="V1507" s="2" t="s">
        <v>236</v>
      </c>
      <c r="W1507" s="2" t="s">
        <v>269</v>
      </c>
      <c r="X1507" s="2" t="s">
        <v>228</v>
      </c>
      <c r="Y1507" s="2" t="s">
        <v>7683</v>
      </c>
      <c r="Z1507" s="4">
        <v>970</v>
      </c>
      <c r="AA1507" s="4">
        <f>=ROUNDDOWN(16.4406779661017,0)</f>
      </c>
      <c r="AB1507" s="5">
        <v>59</v>
      </c>
      <c r="AC1507" s="2" t="s">
        <v>1014</v>
      </c>
      <c r="AD1507" s="4">
        <v>460</v>
      </c>
      <c r="AE1507" s="4">
        <v>2220</v>
      </c>
      <c r="AF1507" s="6">
        <v>65</v>
      </c>
      <c r="AG1507" s="6"/>
      <c r="AH1507" s="7">
        <v>1</v>
      </c>
      <c r="AI1507" s="4"/>
      <c r="AJ1507" s="4">
        <f>=ROUNDDOWN({0},0)</f>
      </c>
      <c r="AK1507" s="5"/>
      <c r="AL1507" s="2" t="s">
        <v>228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/>
      <c r="AW1507" s="8"/>
      <c r="AX1507" s="4"/>
      <c r="AY1507" s="8"/>
      <c r="AZ1507" s="7"/>
      <c r="BA1507" s="7"/>
      <c r="BB1507" s="7"/>
      <c r="BC1507" s="4" t="s">
        <v>228</v>
      </c>
      <c r="BD1507" s="8" t="s">
        <v>228</v>
      </c>
      <c r="BE1507" s="4" t="s">
        <v>228</v>
      </c>
      <c r="BF1507" s="8" t="s">
        <v>228</v>
      </c>
      <c r="BG1507" s="7" t="s">
        <v>228</v>
      </c>
      <c r="BH1507" s="7" t="s">
        <v>228</v>
      </c>
      <c r="BI1507" s="7"/>
      <c r="BJ1507" s="4">
        <v>20</v>
      </c>
      <c r="BK1507" s="8">
        <v>691.22</v>
      </c>
      <c r="BL1507" s="2" t="s">
        <v>3646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7688</v>
      </c>
      <c r="BV1507" s="2" t="s">
        <v>228</v>
      </c>
      <c r="BW1507" s="2" t="s">
        <v>228</v>
      </c>
      <c r="BX1507" s="2" t="s">
        <v>273</v>
      </c>
      <c r="BY1507" s="2" t="s">
        <v>274</v>
      </c>
      <c r="BZ1507" s="2" t="s">
        <v>240</v>
      </c>
      <c r="CA1507" s="2" t="s">
        <v>3414</v>
      </c>
      <c r="CB1507" s="2" t="s">
        <v>3296</v>
      </c>
      <c r="CC1507" s="2" t="s">
        <v>241</v>
      </c>
      <c r="CD1507" s="2" t="s">
        <v>228</v>
      </c>
      <c r="CE1507" s="4">
        <v>970</v>
      </c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>
        <v>460</v>
      </c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>
        <v>980</v>
      </c>
      <c r="EW1507" s="4"/>
      <c r="EX1507" s="4"/>
      <c r="EY1507" s="4"/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/>
      <c r="FT1507" s="4"/>
      <c r="FU1507" s="4"/>
      <c r="FV1507" s="4"/>
      <c r="FW1507" s="4"/>
      <c r="FX1507" s="4"/>
      <c r="FY1507" s="4"/>
      <c r="FZ1507" s="4"/>
      <c r="GA1507" s="4"/>
      <c r="GB1507" s="4">
        <v>480</v>
      </c>
      <c r="GC1507" s="4"/>
      <c r="GD1507" s="4"/>
      <c r="GE1507" s="4"/>
      <c r="GF1507" s="4"/>
      <c r="GG1507" s="4"/>
      <c r="GH1507" s="4"/>
      <c r="GI1507" s="4"/>
      <c r="GJ1507" s="4"/>
      <c r="GK1507" s="4"/>
      <c r="GL1507" s="4"/>
      <c r="GM1507" s="4"/>
      <c r="GN1507" s="4"/>
      <c r="GO1507" s="4"/>
      <c r="GP1507" s="4"/>
      <c r="GQ1507" s="4"/>
      <c r="GR1507" s="4"/>
      <c r="GS1507" s="4">
        <v>300</v>
      </c>
      <c r="GT1507" s="4"/>
      <c r="GU1507" s="4"/>
      <c r="GV1507" s="4"/>
      <c r="GW1507" s="4"/>
      <c r="GX1507" s="4"/>
      <c r="GY1507" s="4"/>
      <c r="GZ1507" s="4"/>
      <c r="HA1507" s="4"/>
      <c r="HB1507" s="4"/>
      <c r="HC1507" s="4"/>
      <c r="HD1507" s="4"/>
      <c r="HE1507" s="4"/>
    </row>
    <row r="1508">
      <c r="A1508" s="2" t="s">
        <v>7689</v>
      </c>
      <c r="B1508" s="2" t="s">
        <v>1150</v>
      </c>
      <c r="C1508" s="2" t="s">
        <v>300</v>
      </c>
      <c r="D1508" s="2" t="s">
        <v>850</v>
      </c>
      <c r="E1508" s="2" t="s">
        <v>1038</v>
      </c>
      <c r="F1508" s="2" t="s">
        <v>7690</v>
      </c>
      <c r="G1508" s="2" t="s">
        <v>7691</v>
      </c>
      <c r="H1508" s="2" t="s">
        <v>7692</v>
      </c>
      <c r="I1508" s="2" t="s">
        <v>7693</v>
      </c>
      <c r="J1508" s="2" t="s">
        <v>1189</v>
      </c>
      <c r="K1508" s="2" t="s">
        <v>251</v>
      </c>
      <c r="L1508" s="3">
        <v>22.85</v>
      </c>
      <c r="M1508" s="3">
        <v>23.99</v>
      </c>
      <c r="N1508" s="3">
        <v>49.99</v>
      </c>
      <c r="O1508" s="2" t="s">
        <v>240</v>
      </c>
      <c r="P1508" s="2" t="s">
        <v>233</v>
      </c>
      <c r="Q1508" s="2" t="s">
        <v>234</v>
      </c>
      <c r="R1508" s="2" t="s">
        <v>228</v>
      </c>
      <c r="S1508" s="2" t="s">
        <v>7694</v>
      </c>
      <c r="T1508" s="2" t="s">
        <v>415</v>
      </c>
      <c r="U1508" s="2" t="s">
        <v>500</v>
      </c>
      <c r="V1508" s="2" t="s">
        <v>1156</v>
      </c>
      <c r="W1508" s="2" t="s">
        <v>1761</v>
      </c>
      <c r="X1508" s="2" t="s">
        <v>269</v>
      </c>
      <c r="Y1508" s="2" t="s">
        <v>7695</v>
      </c>
      <c r="Z1508" s="4">
        <v>119</v>
      </c>
      <c r="AA1508" s="4">
        <f>=ROUNDDOWN(170,0)</f>
      </c>
      <c r="AB1508" s="5">
        <v>0.7</v>
      </c>
      <c r="AC1508" s="2" t="s">
        <v>228</v>
      </c>
      <c r="AD1508" s="4"/>
      <c r="AE1508" s="4"/>
      <c r="AF1508" s="6">
        <v>64</v>
      </c>
      <c r="AG1508" s="6"/>
      <c r="AH1508" s="7">
        <v>1</v>
      </c>
      <c r="AI1508" s="4"/>
      <c r="AJ1508" s="4">
        <f>=ROUNDDOWN({0},0)</f>
      </c>
      <c r="AK1508" s="5"/>
      <c r="AL1508" s="2" t="s">
        <v>228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 t="s">
        <v>228</v>
      </c>
      <c r="AW1508" s="8" t="s">
        <v>228</v>
      </c>
      <c r="AX1508" s="4" t="s">
        <v>228</v>
      </c>
      <c r="AY1508" s="8" t="s">
        <v>228</v>
      </c>
      <c r="AZ1508" s="7" t="s">
        <v>228</v>
      </c>
      <c r="BA1508" s="7" t="s">
        <v>228</v>
      </c>
      <c r="BB1508" s="7"/>
      <c r="BC1508" s="4" t="s">
        <v>228</v>
      </c>
      <c r="BD1508" s="8" t="s">
        <v>228</v>
      </c>
      <c r="BE1508" s="4" t="s">
        <v>228</v>
      </c>
      <c r="BF1508" s="8" t="s">
        <v>228</v>
      </c>
      <c r="BG1508" s="7" t="s">
        <v>228</v>
      </c>
      <c r="BH1508" s="7" t="s">
        <v>228</v>
      </c>
      <c r="BI1508" s="7"/>
      <c r="BJ1508" s="4">
        <v>3</v>
      </c>
      <c r="BK1508" s="8">
        <v>76.29</v>
      </c>
      <c r="BL1508" s="2" t="s">
        <v>2507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7696</v>
      </c>
      <c r="BV1508" s="2" t="s">
        <v>228</v>
      </c>
      <c r="BW1508" s="2" t="s">
        <v>228</v>
      </c>
      <c r="BX1508" s="2" t="s">
        <v>273</v>
      </c>
      <c r="BY1508" s="2" t="s">
        <v>274</v>
      </c>
      <c r="BZ1508" s="2" t="s">
        <v>240</v>
      </c>
      <c r="CA1508" s="2" t="s">
        <v>1109</v>
      </c>
      <c r="CB1508" s="2" t="s">
        <v>228</v>
      </c>
      <c r="CC1508" s="2" t="s">
        <v>241</v>
      </c>
      <c r="CD1508" s="2" t="s">
        <v>228</v>
      </c>
      <c r="CE1508" s="4">
        <v>119</v>
      </c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/>
      <c r="FR1508" s="4"/>
      <c r="FS1508" s="4"/>
      <c r="FT1508" s="4"/>
      <c r="FU1508" s="4"/>
      <c r="FV1508" s="4"/>
      <c r="FW1508" s="4"/>
      <c r="FX1508" s="4"/>
      <c r="FY1508" s="4"/>
      <c r="FZ1508" s="4"/>
      <c r="GA1508" s="4"/>
      <c r="GB1508" s="4"/>
      <c r="GC1508" s="4"/>
      <c r="GD1508" s="4"/>
      <c r="GE1508" s="4"/>
      <c r="GF1508" s="4"/>
      <c r="GG1508" s="4"/>
      <c r="GH1508" s="4"/>
      <c r="GI1508" s="4"/>
      <c r="GJ1508" s="4"/>
      <c r="GK1508" s="4"/>
      <c r="GL1508" s="4"/>
      <c r="GM1508" s="4"/>
      <c r="GN1508" s="4"/>
      <c r="GO1508" s="4"/>
      <c r="GP1508" s="4"/>
      <c r="GQ1508" s="4"/>
      <c r="GR1508" s="4"/>
      <c r="GS1508" s="4"/>
      <c r="GT1508" s="4"/>
      <c r="GU1508" s="4"/>
      <c r="GV1508" s="4"/>
      <c r="GW1508" s="4"/>
      <c r="GX1508" s="4"/>
      <c r="GY1508" s="4"/>
      <c r="GZ1508" s="4"/>
      <c r="HA1508" s="4"/>
      <c r="HB1508" s="4"/>
      <c r="HC1508" s="4"/>
      <c r="HD1508" s="4"/>
      <c r="HE1508" s="4"/>
    </row>
    <row r="1509">
      <c r="A1509" s="2" t="s">
        <v>7697</v>
      </c>
      <c r="B1509" s="2" t="s">
        <v>1150</v>
      </c>
      <c r="C1509" s="2" t="s">
        <v>300</v>
      </c>
      <c r="D1509" s="2" t="s">
        <v>1112</v>
      </c>
      <c r="E1509" s="2" t="s">
        <v>1165</v>
      </c>
      <c r="F1509" s="2" t="s">
        <v>7690</v>
      </c>
      <c r="G1509" s="2" t="s">
        <v>7691</v>
      </c>
      <c r="H1509" s="2" t="s">
        <v>7692</v>
      </c>
      <c r="I1509" s="2" t="s">
        <v>7698</v>
      </c>
      <c r="J1509" s="2" t="s">
        <v>1043</v>
      </c>
      <c r="K1509" s="2" t="s">
        <v>251</v>
      </c>
      <c r="L1509" s="3">
        <v>41.14</v>
      </c>
      <c r="M1509" s="3">
        <v>43.2</v>
      </c>
      <c r="N1509" s="3">
        <v>89.99</v>
      </c>
      <c r="O1509" s="2" t="s">
        <v>240</v>
      </c>
      <c r="P1509" s="2" t="s">
        <v>233</v>
      </c>
      <c r="Q1509" s="2" t="s">
        <v>234</v>
      </c>
      <c r="R1509" s="2" t="s">
        <v>228</v>
      </c>
      <c r="S1509" s="2" t="s">
        <v>7694</v>
      </c>
      <c r="T1509" s="2" t="s">
        <v>415</v>
      </c>
      <c r="U1509" s="2" t="s">
        <v>308</v>
      </c>
      <c r="V1509" s="2" t="s">
        <v>1156</v>
      </c>
      <c r="W1509" s="2" t="s">
        <v>1761</v>
      </c>
      <c r="X1509" s="2" t="s">
        <v>269</v>
      </c>
      <c r="Y1509" s="2" t="s">
        <v>7695</v>
      </c>
      <c r="Z1509" s="4">
        <v>219</v>
      </c>
      <c r="AA1509" s="4">
        <f>=ROUNDDOWN(273.75,0)</f>
      </c>
      <c r="AB1509" s="5">
        <v>0.8</v>
      </c>
      <c r="AC1509" s="2" t="s">
        <v>228</v>
      </c>
      <c r="AD1509" s="4"/>
      <c r="AE1509" s="4"/>
      <c r="AF1509" s="6">
        <v>64</v>
      </c>
      <c r="AG1509" s="6"/>
      <c r="AH1509" s="7">
        <v>1</v>
      </c>
      <c r="AI1509" s="4"/>
      <c r="AJ1509" s="4">
        <f>=ROUNDDOWN({0},0)</f>
      </c>
      <c r="AK1509" s="5"/>
      <c r="AL1509" s="2" t="s">
        <v>228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 t="s">
        <v>228</v>
      </c>
      <c r="AW1509" s="8" t="s">
        <v>228</v>
      </c>
      <c r="AX1509" s="4" t="s">
        <v>228</v>
      </c>
      <c r="AY1509" s="8" t="s">
        <v>228</v>
      </c>
      <c r="AZ1509" s="7" t="s">
        <v>228</v>
      </c>
      <c r="BA1509" s="7" t="s">
        <v>228</v>
      </c>
      <c r="BB1509" s="7" t="s">
        <v>228</v>
      </c>
      <c r="BC1509" s="4" t="s">
        <v>228</v>
      </c>
      <c r="BD1509" s="8" t="s">
        <v>228</v>
      </c>
      <c r="BE1509" s="4" t="s">
        <v>228</v>
      </c>
      <c r="BF1509" s="8" t="s">
        <v>228</v>
      </c>
      <c r="BG1509" s="7" t="s">
        <v>228</v>
      </c>
      <c r="BH1509" s="7" t="s">
        <v>228</v>
      </c>
      <c r="BI1509" s="7"/>
      <c r="BJ1509" s="4">
        <v>4</v>
      </c>
      <c r="BK1509" s="8">
        <v>173.22</v>
      </c>
      <c r="BL1509" s="2" t="s">
        <v>357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7699</v>
      </c>
      <c r="BV1509" s="2" t="s">
        <v>228</v>
      </c>
      <c r="BW1509" s="2" t="s">
        <v>228</v>
      </c>
      <c r="BX1509" s="2" t="s">
        <v>273</v>
      </c>
      <c r="BY1509" s="2" t="s">
        <v>274</v>
      </c>
      <c r="BZ1509" s="2" t="s">
        <v>240</v>
      </c>
      <c r="CA1509" s="2" t="s">
        <v>2162</v>
      </c>
      <c r="CB1509" s="2" t="s">
        <v>228</v>
      </c>
      <c r="CC1509" s="2" t="s">
        <v>241</v>
      </c>
      <c r="CD1509" s="2" t="s">
        <v>228</v>
      </c>
      <c r="CE1509" s="4">
        <v>219</v>
      </c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/>
      <c r="FR1509" s="4"/>
      <c r="FS1509" s="4"/>
      <c r="FT1509" s="4"/>
      <c r="FU1509" s="4"/>
      <c r="FV1509" s="4"/>
      <c r="FW1509" s="4"/>
      <c r="FX1509" s="4"/>
      <c r="FY1509" s="4"/>
      <c r="FZ1509" s="4"/>
      <c r="GA1509" s="4"/>
      <c r="GB1509" s="4"/>
      <c r="GC1509" s="4"/>
      <c r="GD1509" s="4"/>
      <c r="GE1509" s="4"/>
      <c r="GF1509" s="4"/>
      <c r="GG1509" s="4"/>
      <c r="GH1509" s="4"/>
      <c r="GI1509" s="4"/>
      <c r="GJ1509" s="4"/>
      <c r="GK1509" s="4"/>
      <c r="GL1509" s="4"/>
      <c r="GM1509" s="4"/>
      <c r="GN1509" s="4"/>
      <c r="GO1509" s="4"/>
      <c r="GP1509" s="4"/>
      <c r="GQ1509" s="4"/>
      <c r="GR1509" s="4"/>
      <c r="GS1509" s="4"/>
      <c r="GT1509" s="4"/>
      <c r="GU1509" s="4"/>
      <c r="GV1509" s="4"/>
      <c r="GW1509" s="4"/>
      <c r="GX1509" s="4"/>
      <c r="GY1509" s="4"/>
      <c r="GZ1509" s="4"/>
      <c r="HA1509" s="4"/>
      <c r="HB1509" s="4"/>
      <c r="HC1509" s="4"/>
      <c r="HD1509" s="4"/>
      <c r="HE1509" s="4"/>
    </row>
    <row r="1510">
      <c r="A1510" s="2" t="s">
        <v>7700</v>
      </c>
      <c r="B1510" s="2" t="s">
        <v>1150</v>
      </c>
      <c r="C1510" s="2" t="s">
        <v>300</v>
      </c>
      <c r="D1510" s="2" t="s">
        <v>850</v>
      </c>
      <c r="E1510" s="2" t="s">
        <v>1038</v>
      </c>
      <c r="F1510" s="2" t="s">
        <v>7690</v>
      </c>
      <c r="G1510" s="2" t="s">
        <v>7691</v>
      </c>
      <c r="H1510" s="2" t="s">
        <v>7692</v>
      </c>
      <c r="I1510" s="2" t="s">
        <v>7693</v>
      </c>
      <c r="J1510" s="2" t="s">
        <v>1043</v>
      </c>
      <c r="K1510" s="2" t="s">
        <v>251</v>
      </c>
      <c r="L1510" s="3">
        <v>27.42</v>
      </c>
      <c r="M1510" s="3">
        <v>28.79</v>
      </c>
      <c r="N1510" s="3">
        <v>59.99</v>
      </c>
      <c r="O1510" s="2" t="s">
        <v>240</v>
      </c>
      <c r="P1510" s="2" t="s">
        <v>233</v>
      </c>
      <c r="Q1510" s="2" t="s">
        <v>234</v>
      </c>
      <c r="R1510" s="2" t="s">
        <v>228</v>
      </c>
      <c r="S1510" s="2" t="s">
        <v>7694</v>
      </c>
      <c r="T1510" s="2" t="s">
        <v>415</v>
      </c>
      <c r="U1510" s="2" t="s">
        <v>500</v>
      </c>
      <c r="V1510" s="2" t="s">
        <v>1156</v>
      </c>
      <c r="W1510" s="2" t="s">
        <v>1761</v>
      </c>
      <c r="X1510" s="2" t="s">
        <v>269</v>
      </c>
      <c r="Y1510" s="2" t="s">
        <v>7695</v>
      </c>
      <c r="Z1510" s="4">
        <v>123</v>
      </c>
      <c r="AA1510" s="4">
        <f>=ROUNDDOWN(61.5,0)</f>
      </c>
      <c r="AB1510" s="5">
        <v>2</v>
      </c>
      <c r="AC1510" s="2" t="s">
        <v>228</v>
      </c>
      <c r="AD1510" s="4"/>
      <c r="AE1510" s="4"/>
      <c r="AF1510" s="6">
        <v>64</v>
      </c>
      <c r="AG1510" s="6"/>
      <c r="AH1510" s="7">
        <v>1</v>
      </c>
      <c r="AI1510" s="4"/>
      <c r="AJ1510" s="4">
        <f>=ROUNDDOWN({0},0)</f>
      </c>
      <c r="AK1510" s="5"/>
      <c r="AL1510" s="2" t="s">
        <v>228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 t="s">
        <v>228</v>
      </c>
      <c r="AW1510" s="8" t="s">
        <v>228</v>
      </c>
      <c r="AX1510" s="4" t="s">
        <v>228</v>
      </c>
      <c r="AY1510" s="8" t="s">
        <v>228</v>
      </c>
      <c r="AZ1510" s="7" t="s">
        <v>228</v>
      </c>
      <c r="BA1510" s="7" t="s">
        <v>228</v>
      </c>
      <c r="BB1510" s="7" t="s">
        <v>228</v>
      </c>
      <c r="BC1510" s="4" t="s">
        <v>228</v>
      </c>
      <c r="BD1510" s="8" t="s">
        <v>228</v>
      </c>
      <c r="BE1510" s="4" t="s">
        <v>228</v>
      </c>
      <c r="BF1510" s="8" t="s">
        <v>228</v>
      </c>
      <c r="BG1510" s="7" t="s">
        <v>228</v>
      </c>
      <c r="BH1510" s="7" t="s">
        <v>228</v>
      </c>
      <c r="BI1510" s="7"/>
      <c r="BJ1510" s="4">
        <v>4</v>
      </c>
      <c r="BK1510" s="8">
        <v>121.78</v>
      </c>
      <c r="BL1510" s="2" t="s">
        <v>2507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7701</v>
      </c>
      <c r="BV1510" s="2" t="s">
        <v>228</v>
      </c>
      <c r="BW1510" s="2" t="s">
        <v>228</v>
      </c>
      <c r="BX1510" s="2" t="s">
        <v>273</v>
      </c>
      <c r="BY1510" s="2" t="s">
        <v>274</v>
      </c>
      <c r="BZ1510" s="2" t="s">
        <v>240</v>
      </c>
      <c r="CA1510" s="2" t="s">
        <v>1109</v>
      </c>
      <c r="CB1510" s="2" t="s">
        <v>228</v>
      </c>
      <c r="CC1510" s="2" t="s">
        <v>241</v>
      </c>
      <c r="CD1510" s="2" t="s">
        <v>228</v>
      </c>
      <c r="CE1510" s="4">
        <v>123</v>
      </c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/>
      <c r="FR1510" s="4"/>
      <c r="FS1510" s="4"/>
      <c r="FT1510" s="4"/>
      <c r="FU1510" s="4"/>
      <c r="FV1510" s="4"/>
      <c r="FW1510" s="4"/>
      <c r="FX1510" s="4"/>
      <c r="FY1510" s="4"/>
      <c r="FZ1510" s="4"/>
      <c r="GA1510" s="4"/>
      <c r="GB1510" s="4"/>
      <c r="GC1510" s="4"/>
      <c r="GD1510" s="4"/>
      <c r="GE1510" s="4"/>
      <c r="GF1510" s="4"/>
      <c r="GG1510" s="4"/>
      <c r="GH1510" s="4"/>
      <c r="GI1510" s="4"/>
      <c r="GJ1510" s="4"/>
      <c r="GK1510" s="4"/>
      <c r="GL1510" s="4"/>
      <c r="GM1510" s="4"/>
      <c r="GN1510" s="4"/>
      <c r="GO1510" s="4"/>
      <c r="GP1510" s="4"/>
      <c r="GQ1510" s="4"/>
      <c r="GR1510" s="4"/>
      <c r="GS1510" s="4"/>
      <c r="GT1510" s="4"/>
      <c r="GU1510" s="4"/>
      <c r="GV1510" s="4"/>
      <c r="GW1510" s="4"/>
      <c r="GX1510" s="4"/>
      <c r="GY1510" s="4"/>
      <c r="GZ1510" s="4"/>
      <c r="HA1510" s="4"/>
      <c r="HB1510" s="4"/>
      <c r="HC1510" s="4"/>
      <c r="HD1510" s="4"/>
      <c r="HE1510" s="4"/>
    </row>
    <row r="1511">
      <c r="A1511" s="2" t="s">
        <v>7702</v>
      </c>
      <c r="B1511" s="2" t="s">
        <v>958</v>
      </c>
      <c r="C1511" s="2" t="s">
        <v>300</v>
      </c>
      <c r="D1511" s="2" t="s">
        <v>1790</v>
      </c>
      <c r="E1511" s="2" t="s">
        <v>1791</v>
      </c>
      <c r="F1511" s="2" t="s">
        <v>7703</v>
      </c>
      <c r="G1511" s="2" t="s">
        <v>7704</v>
      </c>
      <c r="H1511" s="2" t="s">
        <v>7705</v>
      </c>
      <c r="I1511" s="2" t="s">
        <v>7706</v>
      </c>
      <c r="J1511" s="2" t="s">
        <v>840</v>
      </c>
      <c r="K1511" s="2" t="s">
        <v>2350</v>
      </c>
      <c r="L1511" s="3">
        <v>84.15</v>
      </c>
      <c r="M1511" s="3">
        <v>88.36</v>
      </c>
      <c r="N1511" s="3">
        <v>179</v>
      </c>
      <c r="O1511" s="2" t="s">
        <v>240</v>
      </c>
      <c r="P1511" s="2" t="s">
        <v>1012</v>
      </c>
      <c r="Q1511" s="2" t="s">
        <v>234</v>
      </c>
      <c r="R1511" s="2" t="s">
        <v>228</v>
      </c>
      <c r="S1511" s="2" t="s">
        <v>228</v>
      </c>
      <c r="T1511" s="2" t="s">
        <v>228</v>
      </c>
      <c r="U1511" s="2" t="s">
        <v>228</v>
      </c>
      <c r="V1511" s="2" t="s">
        <v>842</v>
      </c>
      <c r="W1511" s="2" t="s">
        <v>463</v>
      </c>
      <c r="X1511" s="2" t="s">
        <v>228</v>
      </c>
      <c r="Y1511" s="2" t="s">
        <v>7707</v>
      </c>
      <c r="Z1511" s="4">
        <v>419</v>
      </c>
      <c r="AA1511" s="4">
        <f>=ROUNDDOWN(104.75,0)</f>
      </c>
      <c r="AB1511" s="5">
        <v>4</v>
      </c>
      <c r="AC1511" s="2" t="s">
        <v>228</v>
      </c>
      <c r="AD1511" s="4"/>
      <c r="AE1511" s="4"/>
      <c r="AF1511" s="6">
        <v>76</v>
      </c>
      <c r="AG1511" s="6"/>
      <c r="AH1511" s="7">
        <v>1</v>
      </c>
      <c r="AI1511" s="4"/>
      <c r="AJ1511" s="4">
        <f>=ROUNDDOWN({0},0)</f>
      </c>
      <c r="AK1511" s="5"/>
      <c r="AL1511" s="2" t="s">
        <v>228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/>
      <c r="AW1511" s="8"/>
      <c r="AX1511" s="4"/>
      <c r="AY1511" s="8"/>
      <c r="AZ1511" s="7"/>
      <c r="BA1511" s="7"/>
      <c r="BB1511" s="7"/>
      <c r="BC1511" s="4" t="s">
        <v>228</v>
      </c>
      <c r="BD1511" s="8" t="s">
        <v>228</v>
      </c>
      <c r="BE1511" s="4" t="s">
        <v>228</v>
      </c>
      <c r="BF1511" s="8" t="s">
        <v>228</v>
      </c>
      <c r="BG1511" s="7" t="s">
        <v>228</v>
      </c>
      <c r="BH1511" s="7" t="s">
        <v>228</v>
      </c>
      <c r="BI1511" s="7"/>
      <c r="BJ1511" s="4">
        <v>11</v>
      </c>
      <c r="BK1511" s="8">
        <v>919.53</v>
      </c>
      <c r="BL1511" s="2" t="s">
        <v>7708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7709</v>
      </c>
      <c r="BV1511" s="2" t="s">
        <v>228</v>
      </c>
      <c r="BW1511" s="2" t="s">
        <v>228</v>
      </c>
      <c r="BX1511" s="2" t="s">
        <v>273</v>
      </c>
      <c r="BY1511" s="2" t="s">
        <v>274</v>
      </c>
      <c r="BZ1511" s="2" t="s">
        <v>240</v>
      </c>
      <c r="CA1511" s="2" t="s">
        <v>7710</v>
      </c>
      <c r="CB1511" s="2" t="s">
        <v>7711</v>
      </c>
      <c r="CC1511" s="2" t="s">
        <v>241</v>
      </c>
      <c r="CD1511" s="2" t="s">
        <v>228</v>
      </c>
      <c r="CE1511" s="4"/>
      <c r="CF1511" s="4">
        <v>419</v>
      </c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  <c r="FX1511" s="4"/>
      <c r="FY1511" s="4"/>
      <c r="FZ1511" s="4"/>
      <c r="GA1511" s="4"/>
      <c r="GB1511" s="4"/>
      <c r="GC1511" s="4"/>
      <c r="GD1511" s="4"/>
      <c r="GE1511" s="4"/>
      <c r="GF1511" s="4"/>
      <c r="GG1511" s="4"/>
      <c r="GH1511" s="4"/>
      <c r="GI1511" s="4"/>
      <c r="GJ1511" s="4"/>
      <c r="GK1511" s="4"/>
      <c r="GL1511" s="4"/>
      <c r="GM1511" s="4"/>
      <c r="GN1511" s="4"/>
      <c r="GO1511" s="4"/>
      <c r="GP1511" s="4"/>
      <c r="GQ1511" s="4"/>
      <c r="GR1511" s="4"/>
      <c r="GS1511" s="4"/>
      <c r="GT1511" s="4"/>
      <c r="GU1511" s="4"/>
      <c r="GV1511" s="4"/>
      <c r="GW1511" s="4"/>
      <c r="GX1511" s="4"/>
      <c r="GY1511" s="4"/>
      <c r="GZ1511" s="4"/>
      <c r="HA1511" s="4"/>
      <c r="HB1511" s="4"/>
      <c r="HC1511" s="4"/>
      <c r="HD1511" s="4"/>
      <c r="HE1511" s="4"/>
    </row>
    <row r="1512">
      <c r="A1512" s="2" t="s">
        <v>7712</v>
      </c>
      <c r="B1512" s="2" t="s">
        <v>958</v>
      </c>
      <c r="C1512" s="2" t="s">
        <v>300</v>
      </c>
      <c r="D1512" s="2" t="s">
        <v>1790</v>
      </c>
      <c r="E1512" s="2" t="s">
        <v>1791</v>
      </c>
      <c r="F1512" s="2" t="s">
        <v>7703</v>
      </c>
      <c r="G1512" s="2" t="s">
        <v>7704</v>
      </c>
      <c r="H1512" s="2" t="s">
        <v>7705</v>
      </c>
      <c r="I1512" s="2" t="s">
        <v>7706</v>
      </c>
      <c r="J1512" s="2" t="s">
        <v>840</v>
      </c>
      <c r="K1512" s="2" t="s">
        <v>1478</v>
      </c>
      <c r="L1512" s="3">
        <v>84.15</v>
      </c>
      <c r="M1512" s="3">
        <v>88.36</v>
      </c>
      <c r="N1512" s="3">
        <v>179</v>
      </c>
      <c r="O1512" s="2" t="s">
        <v>240</v>
      </c>
      <c r="P1512" s="2" t="s">
        <v>266</v>
      </c>
      <c r="Q1512" s="2" t="s">
        <v>234</v>
      </c>
      <c r="R1512" s="2" t="s">
        <v>228</v>
      </c>
      <c r="S1512" s="2" t="s">
        <v>7713</v>
      </c>
      <c r="T1512" s="2" t="s">
        <v>228</v>
      </c>
      <c r="U1512" s="2" t="s">
        <v>228</v>
      </c>
      <c r="V1512" s="2" t="s">
        <v>236</v>
      </c>
      <c r="W1512" s="2" t="s">
        <v>463</v>
      </c>
      <c r="X1512" s="2" t="s">
        <v>228</v>
      </c>
      <c r="Y1512" s="2" t="s">
        <v>270</v>
      </c>
      <c r="Z1512" s="4">
        <v>519</v>
      </c>
      <c r="AA1512" s="4">
        <f>=ROUNDDOWN(74.1428571428571,0)</f>
      </c>
      <c r="AB1512" s="5">
        <v>7</v>
      </c>
      <c r="AC1512" s="2" t="s">
        <v>228</v>
      </c>
      <c r="AD1512" s="4"/>
      <c r="AE1512" s="4"/>
      <c r="AF1512" s="6">
        <v>76</v>
      </c>
      <c r="AG1512" s="6"/>
      <c r="AH1512" s="7">
        <v>1</v>
      </c>
      <c r="AI1512" s="4"/>
      <c r="AJ1512" s="4">
        <f>=ROUNDDOWN({0},0)</f>
      </c>
      <c r="AK1512" s="5"/>
      <c r="AL1512" s="2" t="s">
        <v>228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/>
      <c r="AW1512" s="8"/>
      <c r="AX1512" s="4"/>
      <c r="AY1512" s="8"/>
      <c r="AZ1512" s="7"/>
      <c r="BA1512" s="7"/>
      <c r="BB1512" s="7"/>
      <c r="BC1512" s="4" t="s">
        <v>228</v>
      </c>
      <c r="BD1512" s="8" t="s">
        <v>228</v>
      </c>
      <c r="BE1512" s="4" t="s">
        <v>228</v>
      </c>
      <c r="BF1512" s="8" t="s">
        <v>228</v>
      </c>
      <c r="BG1512" s="7" t="s">
        <v>228</v>
      </c>
      <c r="BH1512" s="7" t="s">
        <v>228</v>
      </c>
      <c r="BI1512" s="7"/>
      <c r="BJ1512" s="4">
        <v>21</v>
      </c>
      <c r="BK1512" s="8">
        <v>1656.46</v>
      </c>
      <c r="BL1512" s="2" t="s">
        <v>7714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7715</v>
      </c>
      <c r="BV1512" s="2" t="s">
        <v>228</v>
      </c>
      <c r="BW1512" s="2" t="s">
        <v>228</v>
      </c>
      <c r="BX1512" s="2" t="s">
        <v>273</v>
      </c>
      <c r="BY1512" s="2" t="s">
        <v>274</v>
      </c>
      <c r="BZ1512" s="2" t="s">
        <v>240</v>
      </c>
      <c r="CA1512" s="2" t="s">
        <v>275</v>
      </c>
      <c r="CB1512" s="2" t="s">
        <v>7716</v>
      </c>
      <c r="CC1512" s="2" t="s">
        <v>241</v>
      </c>
      <c r="CD1512" s="2" t="s">
        <v>228</v>
      </c>
      <c r="CE1512" s="4"/>
      <c r="CF1512" s="4">
        <v>519</v>
      </c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  <c r="FX1512" s="4"/>
      <c r="FY1512" s="4"/>
      <c r="FZ1512" s="4"/>
      <c r="GA1512" s="4"/>
      <c r="GB1512" s="4"/>
      <c r="GC1512" s="4"/>
      <c r="GD1512" s="4"/>
      <c r="GE1512" s="4"/>
      <c r="GF1512" s="4"/>
      <c r="GG1512" s="4"/>
      <c r="GH1512" s="4"/>
      <c r="GI1512" s="4"/>
      <c r="GJ1512" s="4"/>
      <c r="GK1512" s="4"/>
      <c r="GL1512" s="4"/>
      <c r="GM1512" s="4"/>
      <c r="GN1512" s="4"/>
      <c r="GO1512" s="4"/>
      <c r="GP1512" s="4"/>
      <c r="GQ1512" s="4"/>
      <c r="GR1512" s="4"/>
      <c r="GS1512" s="4"/>
      <c r="GT1512" s="4"/>
      <c r="GU1512" s="4"/>
      <c r="GV1512" s="4"/>
      <c r="GW1512" s="4"/>
      <c r="GX1512" s="4"/>
      <c r="GY1512" s="4"/>
      <c r="GZ1512" s="4"/>
      <c r="HA1512" s="4"/>
      <c r="HB1512" s="4"/>
      <c r="HC1512" s="4"/>
      <c r="HD1512" s="4"/>
      <c r="HE1512" s="4"/>
    </row>
    <row r="1513">
      <c r="A1513" s="2" t="s">
        <v>7717</v>
      </c>
      <c r="B1513" s="2" t="s">
        <v>1150</v>
      </c>
      <c r="C1513" s="2" t="s">
        <v>300</v>
      </c>
      <c r="D1513" s="2" t="s">
        <v>1112</v>
      </c>
      <c r="E1513" s="2" t="s">
        <v>1165</v>
      </c>
      <c r="F1513" s="2" t="s">
        <v>7718</v>
      </c>
      <c r="G1513" s="2" t="s">
        <v>7719</v>
      </c>
      <c r="H1513" s="2" t="s">
        <v>7720</v>
      </c>
      <c r="I1513" s="2" t="s">
        <v>7721</v>
      </c>
      <c r="J1513" s="2" t="s">
        <v>1189</v>
      </c>
      <c r="K1513" s="2" t="s">
        <v>1077</v>
      </c>
      <c r="L1513" s="3">
        <v>63.35</v>
      </c>
      <c r="M1513" s="3">
        <v>66.52</v>
      </c>
      <c r="N1513" s="3">
        <v>129.99</v>
      </c>
      <c r="O1513" s="2" t="s">
        <v>240</v>
      </c>
      <c r="P1513" s="2" t="s">
        <v>266</v>
      </c>
      <c r="Q1513" s="2" t="s">
        <v>234</v>
      </c>
      <c r="R1513" s="2" t="s">
        <v>228</v>
      </c>
      <c r="S1513" s="2" t="s">
        <v>7722</v>
      </c>
      <c r="T1513" s="2" t="s">
        <v>415</v>
      </c>
      <c r="U1513" s="2" t="s">
        <v>791</v>
      </c>
      <c r="V1513" s="2" t="s">
        <v>374</v>
      </c>
      <c r="W1513" s="2" t="s">
        <v>351</v>
      </c>
      <c r="X1513" s="2" t="s">
        <v>1229</v>
      </c>
      <c r="Y1513" s="2" t="s">
        <v>2080</v>
      </c>
      <c r="Z1513" s="4">
        <v>412</v>
      </c>
      <c r="AA1513" s="4">
        <f>=ROUNDDOWN(45.7777777777778,0)</f>
      </c>
      <c r="AB1513" s="5">
        <v>9</v>
      </c>
      <c r="AC1513" s="2" t="s">
        <v>168</v>
      </c>
      <c r="AD1513" s="4">
        <v>200</v>
      </c>
      <c r="AE1513" s="4">
        <v>200</v>
      </c>
      <c r="AF1513" s="6">
        <v>65</v>
      </c>
      <c r="AG1513" s="6"/>
      <c r="AH1513" s="7">
        <v>1</v>
      </c>
      <c r="AI1513" s="4"/>
      <c r="AJ1513" s="4">
        <f>=ROUNDDOWN({0},0)</f>
      </c>
      <c r="AK1513" s="5"/>
      <c r="AL1513" s="2" t="s">
        <v>228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 t="s">
        <v>228</v>
      </c>
      <c r="AW1513" s="8" t="s">
        <v>228</v>
      </c>
      <c r="AX1513" s="4" t="s">
        <v>228</v>
      </c>
      <c r="AY1513" s="8" t="s">
        <v>228</v>
      </c>
      <c r="AZ1513" s="7" t="s">
        <v>228</v>
      </c>
      <c r="BA1513" s="7" t="s">
        <v>228</v>
      </c>
      <c r="BB1513" s="7" t="s">
        <v>228</v>
      </c>
      <c r="BC1513" s="4" t="s">
        <v>228</v>
      </c>
      <c r="BD1513" s="8" t="s">
        <v>228</v>
      </c>
      <c r="BE1513" s="4" t="s">
        <v>228</v>
      </c>
      <c r="BF1513" s="8" t="s">
        <v>228</v>
      </c>
      <c r="BG1513" s="7" t="s">
        <v>228</v>
      </c>
      <c r="BH1513" s="7" t="s">
        <v>228</v>
      </c>
      <c r="BI1513" s="7"/>
      <c r="BJ1513" s="4">
        <v>20</v>
      </c>
      <c r="BK1513" s="8">
        <v>1359.69</v>
      </c>
      <c r="BL1513" s="2" t="s">
        <v>7723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7724</v>
      </c>
      <c r="BV1513" s="2" t="s">
        <v>228</v>
      </c>
      <c r="BW1513" s="2" t="s">
        <v>228</v>
      </c>
      <c r="BX1513" s="2" t="s">
        <v>273</v>
      </c>
      <c r="BY1513" s="2" t="s">
        <v>274</v>
      </c>
      <c r="BZ1513" s="2" t="s">
        <v>240</v>
      </c>
      <c r="CA1513" s="2" t="s">
        <v>5514</v>
      </c>
      <c r="CB1513" s="2" t="s">
        <v>7725</v>
      </c>
      <c r="CC1513" s="2" t="s">
        <v>241</v>
      </c>
      <c r="CD1513" s="2" t="s">
        <v>228</v>
      </c>
      <c r="CE1513" s="4">
        <v>412</v>
      </c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>
        <v>200</v>
      </c>
      <c r="FE1513" s="4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/>
      <c r="FT1513" s="4"/>
      <c r="FU1513" s="4"/>
      <c r="FV1513" s="4"/>
      <c r="FW1513" s="4"/>
      <c r="FX1513" s="4"/>
      <c r="FY1513" s="4"/>
      <c r="FZ1513" s="4"/>
      <c r="GA1513" s="4"/>
      <c r="GB1513" s="4"/>
      <c r="GC1513" s="4"/>
      <c r="GD1513" s="4"/>
      <c r="GE1513" s="4"/>
      <c r="GF1513" s="4"/>
      <c r="GG1513" s="4"/>
      <c r="GH1513" s="4"/>
      <c r="GI1513" s="4"/>
      <c r="GJ1513" s="4"/>
      <c r="GK1513" s="4"/>
      <c r="GL1513" s="4"/>
      <c r="GM1513" s="4"/>
      <c r="GN1513" s="4"/>
      <c r="GO1513" s="4"/>
      <c r="GP1513" s="4"/>
      <c r="GQ1513" s="4"/>
      <c r="GR1513" s="4"/>
      <c r="GS1513" s="4"/>
      <c r="GT1513" s="4"/>
      <c r="GU1513" s="4"/>
      <c r="GV1513" s="4"/>
      <c r="GW1513" s="4"/>
      <c r="GX1513" s="4"/>
      <c r="GY1513" s="4"/>
      <c r="GZ1513" s="4"/>
      <c r="HA1513" s="4"/>
      <c r="HB1513" s="4"/>
      <c r="HC1513" s="4"/>
      <c r="HD1513" s="4"/>
      <c r="HE1513" s="4"/>
    </row>
    <row r="1514">
      <c r="A1514" s="2" t="s">
        <v>7726</v>
      </c>
      <c r="B1514" s="2" t="s">
        <v>1150</v>
      </c>
      <c r="C1514" s="2" t="s">
        <v>300</v>
      </c>
      <c r="D1514" s="2" t="s">
        <v>1316</v>
      </c>
      <c r="E1514" s="2" t="s">
        <v>2876</v>
      </c>
      <c r="F1514" s="2" t="s">
        <v>7718</v>
      </c>
      <c r="G1514" s="2" t="s">
        <v>7719</v>
      </c>
      <c r="H1514" s="2" t="s">
        <v>7720</v>
      </c>
      <c r="I1514" s="2" t="s">
        <v>7727</v>
      </c>
      <c r="J1514" s="2" t="s">
        <v>1189</v>
      </c>
      <c r="K1514" s="2" t="s">
        <v>1077</v>
      </c>
      <c r="L1514" s="3">
        <v>52.92</v>
      </c>
      <c r="M1514" s="3">
        <v>55.57</v>
      </c>
      <c r="N1514" s="3">
        <v>109.99</v>
      </c>
      <c r="O1514" s="2" t="s">
        <v>240</v>
      </c>
      <c r="P1514" s="2" t="s">
        <v>266</v>
      </c>
      <c r="Q1514" s="2" t="s">
        <v>234</v>
      </c>
      <c r="R1514" s="2" t="s">
        <v>228</v>
      </c>
      <c r="S1514" s="2" t="s">
        <v>7728</v>
      </c>
      <c r="T1514" s="2" t="s">
        <v>415</v>
      </c>
      <c r="U1514" s="2" t="s">
        <v>1054</v>
      </c>
      <c r="V1514" s="2" t="s">
        <v>374</v>
      </c>
      <c r="W1514" s="2" t="s">
        <v>351</v>
      </c>
      <c r="X1514" s="2" t="s">
        <v>1229</v>
      </c>
      <c r="Y1514" s="2" t="s">
        <v>7729</v>
      </c>
      <c r="Z1514" s="4">
        <v>202</v>
      </c>
      <c r="AA1514" s="4">
        <f>=ROUNDDOWN(25.25,0)</f>
      </c>
      <c r="AB1514" s="5">
        <v>8</v>
      </c>
      <c r="AC1514" s="2" t="s">
        <v>168</v>
      </c>
      <c r="AD1514" s="4">
        <v>200</v>
      </c>
      <c r="AE1514" s="4">
        <v>200</v>
      </c>
      <c r="AF1514" s="6">
        <v>65</v>
      </c>
      <c r="AG1514" s="6"/>
      <c r="AH1514" s="7">
        <v>1</v>
      </c>
      <c r="AI1514" s="4"/>
      <c r="AJ1514" s="4">
        <f>=ROUNDDOWN({0},0)</f>
      </c>
      <c r="AK1514" s="5"/>
      <c r="AL1514" s="2" t="s">
        <v>228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 t="s">
        <v>228</v>
      </c>
      <c r="AW1514" s="8" t="s">
        <v>228</v>
      </c>
      <c r="AX1514" s="4" t="s">
        <v>228</v>
      </c>
      <c r="AY1514" s="8" t="s">
        <v>228</v>
      </c>
      <c r="AZ1514" s="7" t="s">
        <v>228</v>
      </c>
      <c r="BA1514" s="7" t="s">
        <v>228</v>
      </c>
      <c r="BB1514" s="7" t="s">
        <v>228</v>
      </c>
      <c r="BC1514" s="4" t="s">
        <v>228</v>
      </c>
      <c r="BD1514" s="8" t="s">
        <v>228</v>
      </c>
      <c r="BE1514" s="4" t="s">
        <v>228</v>
      </c>
      <c r="BF1514" s="8" t="s">
        <v>228</v>
      </c>
      <c r="BG1514" s="7" t="s">
        <v>228</v>
      </c>
      <c r="BH1514" s="7" t="s">
        <v>228</v>
      </c>
      <c r="BI1514" s="7"/>
      <c r="BJ1514" s="4">
        <v>9</v>
      </c>
      <c r="BK1514" s="8">
        <v>555.86</v>
      </c>
      <c r="BL1514" s="2" t="s">
        <v>7730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7731</v>
      </c>
      <c r="BV1514" s="2" t="s">
        <v>228</v>
      </c>
      <c r="BW1514" s="2" t="s">
        <v>228</v>
      </c>
      <c r="BX1514" s="2" t="s">
        <v>273</v>
      </c>
      <c r="BY1514" s="2" t="s">
        <v>274</v>
      </c>
      <c r="BZ1514" s="2" t="s">
        <v>240</v>
      </c>
      <c r="CA1514" s="2" t="s">
        <v>5514</v>
      </c>
      <c r="CB1514" s="2" t="s">
        <v>6324</v>
      </c>
      <c r="CC1514" s="2" t="s">
        <v>241</v>
      </c>
      <c r="CD1514" s="2" t="s">
        <v>228</v>
      </c>
      <c r="CE1514" s="4">
        <v>202</v>
      </c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>
        <v>200</v>
      </c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/>
      <c r="FT1514" s="4"/>
      <c r="FU1514" s="4"/>
      <c r="FV1514" s="4"/>
      <c r="FW1514" s="4"/>
      <c r="FX1514" s="4"/>
      <c r="FY1514" s="4"/>
      <c r="FZ1514" s="4"/>
      <c r="GA1514" s="4"/>
      <c r="GB1514" s="4"/>
      <c r="GC1514" s="4"/>
      <c r="GD1514" s="4"/>
      <c r="GE1514" s="4"/>
      <c r="GF1514" s="4"/>
      <c r="GG1514" s="4"/>
      <c r="GH1514" s="4"/>
      <c r="GI1514" s="4"/>
      <c r="GJ1514" s="4"/>
      <c r="GK1514" s="4"/>
      <c r="GL1514" s="4"/>
      <c r="GM1514" s="4"/>
      <c r="GN1514" s="4"/>
      <c r="GO1514" s="4"/>
      <c r="GP1514" s="4"/>
      <c r="GQ1514" s="4"/>
      <c r="GR1514" s="4"/>
      <c r="GS1514" s="4"/>
      <c r="GT1514" s="4"/>
      <c r="GU1514" s="4"/>
      <c r="GV1514" s="4"/>
      <c r="GW1514" s="4"/>
      <c r="GX1514" s="4"/>
      <c r="GY1514" s="4"/>
      <c r="GZ1514" s="4"/>
      <c r="HA1514" s="4"/>
      <c r="HB1514" s="4"/>
      <c r="HC1514" s="4"/>
      <c r="HD1514" s="4"/>
      <c r="HE1514" s="4"/>
    </row>
    <row r="1515">
      <c r="A1515" s="2" t="s">
        <v>7732</v>
      </c>
      <c r="B1515" s="2" t="s">
        <v>1150</v>
      </c>
      <c r="C1515" s="2" t="s">
        <v>300</v>
      </c>
      <c r="D1515" s="2" t="s">
        <v>1112</v>
      </c>
      <c r="E1515" s="2" t="s">
        <v>1165</v>
      </c>
      <c r="F1515" s="2" t="s">
        <v>7733</v>
      </c>
      <c r="G1515" s="2" t="s">
        <v>7734</v>
      </c>
      <c r="H1515" s="2" t="s">
        <v>7735</v>
      </c>
      <c r="I1515" s="2" t="s">
        <v>7736</v>
      </c>
      <c r="J1515" s="2" t="s">
        <v>1189</v>
      </c>
      <c r="K1515" s="2" t="s">
        <v>1421</v>
      </c>
      <c r="L1515" s="3">
        <v>36.57</v>
      </c>
      <c r="M1515" s="3">
        <v>38.4</v>
      </c>
      <c r="N1515" s="3">
        <v>79.99</v>
      </c>
      <c r="O1515" s="2" t="s">
        <v>240</v>
      </c>
      <c r="P1515" s="2" t="s">
        <v>233</v>
      </c>
      <c r="Q1515" s="2" t="s">
        <v>234</v>
      </c>
      <c r="R1515" s="2" t="s">
        <v>228</v>
      </c>
      <c r="S1515" s="2" t="s">
        <v>7737</v>
      </c>
      <c r="T1515" s="2" t="s">
        <v>1414</v>
      </c>
      <c r="U1515" s="2" t="s">
        <v>1170</v>
      </c>
      <c r="V1515" s="2" t="s">
        <v>2570</v>
      </c>
      <c r="W1515" s="2" t="s">
        <v>5215</v>
      </c>
      <c r="X1515" s="2" t="s">
        <v>1267</v>
      </c>
      <c r="Y1515" s="2" t="s">
        <v>1026</v>
      </c>
      <c r="Z1515" s="4">
        <v>239</v>
      </c>
      <c r="AA1515" s="4">
        <f>=ROUNDDOWN(796.666666666667,0)</f>
      </c>
      <c r="AB1515" s="5">
        <v>0.3</v>
      </c>
      <c r="AC1515" s="2" t="s">
        <v>1014</v>
      </c>
      <c r="AD1515" s="4">
        <v>247</v>
      </c>
      <c r="AE1515" s="4">
        <v>247</v>
      </c>
      <c r="AF1515" s="6">
        <v>64</v>
      </c>
      <c r="AG1515" s="6"/>
      <c r="AH1515" s="7">
        <v>1</v>
      </c>
      <c r="AI1515" s="4"/>
      <c r="AJ1515" s="4">
        <f>=ROUNDDOWN({0},0)</f>
      </c>
      <c r="AK1515" s="5"/>
      <c r="AL1515" s="2" t="s">
        <v>228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/>
      <c r="AW1515" s="8"/>
      <c r="AX1515" s="4"/>
      <c r="AY1515" s="8"/>
      <c r="AZ1515" s="7"/>
      <c r="BA1515" s="7"/>
      <c r="BB1515" s="7"/>
      <c r="BC1515" s="4"/>
      <c r="BD1515" s="8"/>
      <c r="BE1515" s="4"/>
      <c r="BF1515" s="8"/>
      <c r="BG1515" s="7"/>
      <c r="BH1515" s="7"/>
      <c r="BI1515" s="7"/>
      <c r="BJ1515" s="4">
        <v>1</v>
      </c>
      <c r="BK1515" s="8">
        <v>41.47</v>
      </c>
      <c r="BL1515" s="2" t="s">
        <v>622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7738</v>
      </c>
      <c r="BV1515" s="2" t="s">
        <v>228</v>
      </c>
      <c r="BW1515" s="2" t="s">
        <v>228</v>
      </c>
      <c r="BX1515" s="2" t="s">
        <v>238</v>
      </c>
      <c r="BY1515" s="2" t="s">
        <v>274</v>
      </c>
      <c r="BZ1515" s="2" t="s">
        <v>240</v>
      </c>
      <c r="CA1515" s="2" t="s">
        <v>1160</v>
      </c>
      <c r="CB1515" s="2" t="s">
        <v>228</v>
      </c>
      <c r="CC1515" s="2" t="s">
        <v>241</v>
      </c>
      <c r="CD1515" s="2" t="s">
        <v>228</v>
      </c>
      <c r="CE1515" s="4">
        <v>239</v>
      </c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>
        <v>247</v>
      </c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  <c r="FX1515" s="4"/>
      <c r="FY1515" s="4"/>
      <c r="FZ1515" s="4"/>
      <c r="GA1515" s="4"/>
      <c r="GB1515" s="4"/>
      <c r="GC1515" s="4"/>
      <c r="GD1515" s="4"/>
      <c r="GE1515" s="4"/>
      <c r="GF1515" s="4"/>
      <c r="GG1515" s="4"/>
      <c r="GH1515" s="4"/>
      <c r="GI1515" s="4"/>
      <c r="GJ1515" s="4"/>
      <c r="GK1515" s="4"/>
      <c r="GL1515" s="4"/>
      <c r="GM1515" s="4"/>
      <c r="GN1515" s="4"/>
      <c r="GO1515" s="4"/>
      <c r="GP1515" s="4"/>
      <c r="GQ1515" s="4"/>
      <c r="GR1515" s="4"/>
      <c r="GS1515" s="4"/>
      <c r="GT1515" s="4"/>
      <c r="GU1515" s="4"/>
      <c r="GV1515" s="4"/>
      <c r="GW1515" s="4"/>
      <c r="GX1515" s="4"/>
      <c r="GY1515" s="4"/>
      <c r="GZ1515" s="4"/>
      <c r="HA1515" s="4"/>
      <c r="HB1515" s="4"/>
      <c r="HC1515" s="4"/>
      <c r="HD1515" s="4"/>
      <c r="HE1515" s="4"/>
    </row>
    <row r="1516">
      <c r="A1516" s="2" t="s">
        <v>7739</v>
      </c>
      <c r="B1516" s="2" t="s">
        <v>866</v>
      </c>
      <c r="C1516" s="2" t="s">
        <v>773</v>
      </c>
      <c r="D1516" s="2" t="s">
        <v>907</v>
      </c>
      <c r="E1516" s="2" t="s">
        <v>908</v>
      </c>
      <c r="F1516" s="2" t="s">
        <v>7740</v>
      </c>
      <c r="G1516" s="2" t="s">
        <v>7740</v>
      </c>
      <c r="H1516" s="2" t="s">
        <v>7740</v>
      </c>
      <c r="I1516" s="2" t="s">
        <v>7741</v>
      </c>
      <c r="J1516" s="2" t="s">
        <v>7742</v>
      </c>
      <c r="K1516" s="2" t="s">
        <v>912</v>
      </c>
      <c r="L1516" s="3">
        <v>104.91</v>
      </c>
      <c r="M1516" s="3">
        <v>110.16</v>
      </c>
      <c r="N1516" s="3">
        <v>229.49</v>
      </c>
      <c r="O1516" s="2" t="s">
        <v>240</v>
      </c>
      <c r="P1516" s="2" t="s">
        <v>266</v>
      </c>
      <c r="Q1516" s="2" t="s">
        <v>234</v>
      </c>
      <c r="R1516" s="2" t="s">
        <v>228</v>
      </c>
      <c r="S1516" s="2" t="s">
        <v>7743</v>
      </c>
      <c r="T1516" s="2" t="s">
        <v>228</v>
      </c>
      <c r="U1516" s="2" t="s">
        <v>500</v>
      </c>
      <c r="V1516" s="2" t="s">
        <v>236</v>
      </c>
      <c r="W1516" s="2" t="s">
        <v>417</v>
      </c>
      <c r="X1516" s="2" t="s">
        <v>309</v>
      </c>
      <c r="Y1516" s="2" t="s">
        <v>7744</v>
      </c>
      <c r="Z1516" s="4">
        <v>2</v>
      </c>
      <c r="AA1516" s="4">
        <f>=ROUNDDOWN(0.769230769230769,0)</f>
      </c>
      <c r="AB1516" s="5">
        <v>2.6</v>
      </c>
      <c r="AC1516" s="2" t="s">
        <v>167</v>
      </c>
      <c r="AD1516" s="4">
        <v>60</v>
      </c>
      <c r="AE1516" s="4">
        <v>60</v>
      </c>
      <c r="AF1516" s="6">
        <v>65</v>
      </c>
      <c r="AG1516" s="6"/>
      <c r="AH1516" s="7">
        <v>0.9355</v>
      </c>
      <c r="AI1516" s="4"/>
      <c r="AJ1516" s="4">
        <f>=ROUNDDOWN({0},0)</f>
      </c>
      <c r="AK1516" s="5"/>
      <c r="AL1516" s="2" t="s">
        <v>228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228</v>
      </c>
      <c r="AW1516" s="8" t="s">
        <v>228</v>
      </c>
      <c r="AX1516" s="4" t="s">
        <v>228</v>
      </c>
      <c r="AY1516" s="8" t="s">
        <v>228</v>
      </c>
      <c r="AZ1516" s="7" t="s">
        <v>228</v>
      </c>
      <c r="BA1516" s="7" t="s">
        <v>228</v>
      </c>
      <c r="BB1516" s="7"/>
      <c r="BC1516" s="4" t="s">
        <v>228</v>
      </c>
      <c r="BD1516" s="8" t="s">
        <v>228</v>
      </c>
      <c r="BE1516" s="4" t="s">
        <v>228</v>
      </c>
      <c r="BF1516" s="8" t="s">
        <v>228</v>
      </c>
      <c r="BG1516" s="7" t="s">
        <v>228</v>
      </c>
      <c r="BH1516" s="7" t="s">
        <v>228</v>
      </c>
      <c r="BI1516" s="7"/>
      <c r="BJ1516" s="4">
        <v>15</v>
      </c>
      <c r="BK1516" s="8">
        <v>1676.72</v>
      </c>
      <c r="BL1516" s="2" t="s">
        <v>7745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7746</v>
      </c>
      <c r="BV1516" s="2" t="s">
        <v>228</v>
      </c>
      <c r="BW1516" s="2" t="s">
        <v>228</v>
      </c>
      <c r="BX1516" s="2" t="s">
        <v>735</v>
      </c>
      <c r="BY1516" s="2" t="s">
        <v>274</v>
      </c>
      <c r="BZ1516" s="2" t="s">
        <v>240</v>
      </c>
      <c r="CA1516" s="2" t="s">
        <v>7747</v>
      </c>
      <c r="CB1516" s="2" t="s">
        <v>1314</v>
      </c>
      <c r="CC1516" s="2" t="s">
        <v>241</v>
      </c>
      <c r="CD1516" s="2" t="s">
        <v>228</v>
      </c>
      <c r="CE1516" s="4"/>
      <c r="CF1516" s="4">
        <v>2</v>
      </c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>
        <v>60</v>
      </c>
      <c r="FD1516" s="4"/>
      <c r="FE1516" s="4"/>
      <c r="FF1516" s="4"/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  <c r="FX1516" s="4"/>
      <c r="FY1516" s="4"/>
      <c r="FZ1516" s="4"/>
      <c r="GA1516" s="4"/>
      <c r="GB1516" s="4"/>
      <c r="GC1516" s="4"/>
      <c r="GD1516" s="4"/>
      <c r="GE1516" s="4"/>
      <c r="GF1516" s="4"/>
      <c r="GG1516" s="4"/>
      <c r="GH1516" s="4"/>
      <c r="GI1516" s="4"/>
      <c r="GJ1516" s="4"/>
      <c r="GK1516" s="4"/>
      <c r="GL1516" s="4"/>
      <c r="GM1516" s="4"/>
      <c r="GN1516" s="4"/>
      <c r="GO1516" s="4"/>
      <c r="GP1516" s="4"/>
      <c r="GQ1516" s="4"/>
      <c r="GR1516" s="4"/>
      <c r="GS1516" s="4"/>
      <c r="GT1516" s="4"/>
      <c r="GU1516" s="4"/>
      <c r="GV1516" s="4"/>
      <c r="GW1516" s="4"/>
      <c r="GX1516" s="4"/>
      <c r="GY1516" s="4"/>
      <c r="GZ1516" s="4"/>
      <c r="HA1516" s="4"/>
      <c r="HB1516" s="4"/>
      <c r="HC1516" s="4"/>
      <c r="HD1516" s="4"/>
      <c r="HE1516" s="4"/>
    </row>
    <row r="1517">
      <c r="A1517" s="2" t="s">
        <v>7748</v>
      </c>
      <c r="B1517" s="2" t="s">
        <v>866</v>
      </c>
      <c r="C1517" s="2" t="s">
        <v>773</v>
      </c>
      <c r="D1517" s="2" t="s">
        <v>907</v>
      </c>
      <c r="E1517" s="2" t="s">
        <v>4844</v>
      </c>
      <c r="F1517" s="2" t="s">
        <v>7740</v>
      </c>
      <c r="G1517" s="2" t="s">
        <v>7740</v>
      </c>
      <c r="H1517" s="2" t="s">
        <v>7740</v>
      </c>
      <c r="I1517" s="2" t="s">
        <v>7749</v>
      </c>
      <c r="J1517" s="2" t="s">
        <v>7750</v>
      </c>
      <c r="K1517" s="2" t="s">
        <v>912</v>
      </c>
      <c r="L1517" s="3">
        <v>74.11</v>
      </c>
      <c r="M1517" s="3">
        <v>77.82</v>
      </c>
      <c r="N1517" s="3">
        <v>141.94</v>
      </c>
      <c r="O1517" s="2" t="s">
        <v>240</v>
      </c>
      <c r="P1517" s="2" t="s">
        <v>815</v>
      </c>
      <c r="Q1517" s="2" t="s">
        <v>234</v>
      </c>
      <c r="R1517" s="2" t="s">
        <v>228</v>
      </c>
      <c r="S1517" s="2" t="s">
        <v>228</v>
      </c>
      <c r="T1517" s="2" t="s">
        <v>228</v>
      </c>
      <c r="U1517" s="2" t="s">
        <v>416</v>
      </c>
      <c r="V1517" s="2" t="s">
        <v>980</v>
      </c>
      <c r="W1517" s="2" t="s">
        <v>417</v>
      </c>
      <c r="X1517" s="2" t="s">
        <v>309</v>
      </c>
      <c r="Y1517" s="2" t="s">
        <v>6096</v>
      </c>
      <c r="Z1517" s="4">
        <v>401</v>
      </c>
      <c r="AA1517" s="4">
        <f>=ROUNDDOWN(13.3666666666667,0)</f>
      </c>
      <c r="AB1517" s="5">
        <v>30</v>
      </c>
      <c r="AC1517" s="2" t="s">
        <v>163</v>
      </c>
      <c r="AD1517" s="4">
        <v>310</v>
      </c>
      <c r="AE1517" s="4">
        <v>530</v>
      </c>
      <c r="AF1517" s="6">
        <v>65</v>
      </c>
      <c r="AG1517" s="6">
        <v>48</v>
      </c>
      <c r="AH1517" s="7">
        <v>1</v>
      </c>
      <c r="AI1517" s="4"/>
      <c r="AJ1517" s="4">
        <f>=ROUNDDOWN({0},0)</f>
      </c>
      <c r="AK1517" s="5"/>
      <c r="AL1517" s="2" t="s">
        <v>228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228</v>
      </c>
      <c r="AW1517" s="8" t="s">
        <v>228</v>
      </c>
      <c r="AX1517" s="4" t="s">
        <v>228</v>
      </c>
      <c r="AY1517" s="8" t="s">
        <v>228</v>
      </c>
      <c r="AZ1517" s="7" t="s">
        <v>228</v>
      </c>
      <c r="BA1517" s="7" t="s">
        <v>228</v>
      </c>
      <c r="BB1517" s="7"/>
      <c r="BC1517" s="4" t="s">
        <v>228</v>
      </c>
      <c r="BD1517" s="8" t="s">
        <v>228</v>
      </c>
      <c r="BE1517" s="4" t="s">
        <v>228</v>
      </c>
      <c r="BF1517" s="8" t="s">
        <v>228</v>
      </c>
      <c r="BG1517" s="7" t="s">
        <v>228</v>
      </c>
      <c r="BH1517" s="7" t="s">
        <v>228</v>
      </c>
      <c r="BI1517" s="7"/>
      <c r="BJ1517" s="4">
        <v>202</v>
      </c>
      <c r="BK1517" s="8">
        <v>14988.49</v>
      </c>
      <c r="BL1517" s="2" t="s">
        <v>7751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7752</v>
      </c>
      <c r="BV1517" s="2" t="s">
        <v>228</v>
      </c>
      <c r="BW1517" s="2" t="s">
        <v>228</v>
      </c>
      <c r="BX1517" s="2" t="s">
        <v>2125</v>
      </c>
      <c r="BY1517" s="2" t="s">
        <v>274</v>
      </c>
      <c r="BZ1517" s="2" t="s">
        <v>240</v>
      </c>
      <c r="CA1517" s="2" t="s">
        <v>7753</v>
      </c>
      <c r="CB1517" s="2" t="s">
        <v>7754</v>
      </c>
      <c r="CC1517" s="2" t="s">
        <v>241</v>
      </c>
      <c r="CD1517" s="2" t="s">
        <v>228</v>
      </c>
      <c r="CE1517" s="4"/>
      <c r="CF1517" s="4">
        <v>401</v>
      </c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>
        <v>310</v>
      </c>
      <c r="EZ1517" s="4"/>
      <c r="FA1517" s="4"/>
      <c r="FB1517" s="4"/>
      <c r="FC1517" s="4"/>
      <c r="FD1517" s="4"/>
      <c r="FE1517" s="4"/>
      <c r="FF1517" s="4"/>
      <c r="FG1517" s="4"/>
      <c r="FH1517" s="4"/>
      <c r="FI1517" s="4"/>
      <c r="FJ1517" s="4">
        <v>220</v>
      </c>
      <c r="FK1517" s="4"/>
      <c r="FL1517" s="4"/>
      <c r="FM1517" s="4"/>
      <c r="FN1517" s="4"/>
      <c r="FO1517" s="4"/>
      <c r="FP1517" s="4"/>
      <c r="FQ1517" s="4"/>
      <c r="FR1517" s="4"/>
      <c r="FS1517" s="4"/>
      <c r="FT1517" s="4"/>
      <c r="FU1517" s="4"/>
      <c r="FV1517" s="4"/>
      <c r="FW1517" s="4"/>
      <c r="FX1517" s="4"/>
      <c r="FY1517" s="4"/>
      <c r="FZ1517" s="4"/>
      <c r="GA1517" s="4"/>
      <c r="GB1517" s="4"/>
      <c r="GC1517" s="4"/>
      <c r="GD1517" s="4"/>
      <c r="GE1517" s="4"/>
      <c r="GF1517" s="4"/>
      <c r="GG1517" s="4"/>
      <c r="GH1517" s="4"/>
      <c r="GI1517" s="4"/>
      <c r="GJ1517" s="4"/>
      <c r="GK1517" s="4"/>
      <c r="GL1517" s="4"/>
      <c r="GM1517" s="4"/>
      <c r="GN1517" s="4"/>
      <c r="GO1517" s="4"/>
      <c r="GP1517" s="4"/>
      <c r="GQ1517" s="4"/>
      <c r="GR1517" s="4"/>
      <c r="GS1517" s="4"/>
      <c r="GT1517" s="4"/>
      <c r="GU1517" s="4"/>
      <c r="GV1517" s="4"/>
      <c r="GW1517" s="4"/>
      <c r="GX1517" s="4"/>
      <c r="GY1517" s="4"/>
      <c r="GZ1517" s="4"/>
      <c r="HA1517" s="4"/>
      <c r="HB1517" s="4"/>
      <c r="HC1517" s="4"/>
      <c r="HD1517" s="4"/>
      <c r="HE1517" s="4"/>
    </row>
    <row r="1518">
      <c r="A1518" s="2" t="s">
        <v>7755</v>
      </c>
      <c r="B1518" s="2" t="s">
        <v>866</v>
      </c>
      <c r="C1518" s="2" t="s">
        <v>773</v>
      </c>
      <c r="D1518" s="2" t="s">
        <v>907</v>
      </c>
      <c r="E1518" s="2" t="s">
        <v>4844</v>
      </c>
      <c r="F1518" s="2" t="s">
        <v>7740</v>
      </c>
      <c r="G1518" s="2" t="s">
        <v>7740</v>
      </c>
      <c r="H1518" s="2" t="s">
        <v>7740</v>
      </c>
      <c r="I1518" s="2" t="s">
        <v>7756</v>
      </c>
      <c r="J1518" s="2" t="s">
        <v>7757</v>
      </c>
      <c r="K1518" s="2" t="s">
        <v>912</v>
      </c>
      <c r="L1518" s="3">
        <v>111.24</v>
      </c>
      <c r="M1518" s="3">
        <v>116.8</v>
      </c>
      <c r="N1518" s="3">
        <v>209.94</v>
      </c>
      <c r="O1518" s="2" t="s">
        <v>240</v>
      </c>
      <c r="P1518" s="2" t="s">
        <v>815</v>
      </c>
      <c r="Q1518" s="2" t="s">
        <v>234</v>
      </c>
      <c r="R1518" s="2" t="s">
        <v>228</v>
      </c>
      <c r="S1518" s="2" t="s">
        <v>7743</v>
      </c>
      <c r="T1518" s="2" t="s">
        <v>228</v>
      </c>
      <c r="U1518" s="2" t="s">
        <v>416</v>
      </c>
      <c r="V1518" s="2" t="s">
        <v>980</v>
      </c>
      <c r="W1518" s="2" t="s">
        <v>417</v>
      </c>
      <c r="X1518" s="2" t="s">
        <v>309</v>
      </c>
      <c r="Y1518" s="2" t="s">
        <v>4547</v>
      </c>
      <c r="Z1518" s="4">
        <v>200</v>
      </c>
      <c r="AA1518" s="4">
        <f>=ROUNDDOWN(3.63636363636364,0)</f>
      </c>
      <c r="AB1518" s="5">
        <v>55</v>
      </c>
      <c r="AC1518" s="2" t="s">
        <v>1788</v>
      </c>
      <c r="AD1518" s="4">
        <v>250</v>
      </c>
      <c r="AE1518" s="4">
        <v>1610</v>
      </c>
      <c r="AF1518" s="6">
        <v>65</v>
      </c>
      <c r="AG1518" s="6">
        <v>48</v>
      </c>
      <c r="AH1518" s="7">
        <v>1</v>
      </c>
      <c r="AI1518" s="4"/>
      <c r="AJ1518" s="4">
        <f>=ROUNDDOWN({0},0)</f>
      </c>
      <c r="AK1518" s="5"/>
      <c r="AL1518" s="2" t="s">
        <v>228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 t="s">
        <v>228</v>
      </c>
      <c r="AW1518" s="8" t="s">
        <v>228</v>
      </c>
      <c r="AX1518" s="4" t="s">
        <v>228</v>
      </c>
      <c r="AY1518" s="8" t="s">
        <v>228</v>
      </c>
      <c r="AZ1518" s="7" t="s">
        <v>228</v>
      </c>
      <c r="BA1518" s="7" t="s">
        <v>228</v>
      </c>
      <c r="BB1518" s="7"/>
      <c r="BC1518" s="4" t="s">
        <v>228</v>
      </c>
      <c r="BD1518" s="8" t="s">
        <v>228</v>
      </c>
      <c r="BE1518" s="4" t="s">
        <v>228</v>
      </c>
      <c r="BF1518" s="8" t="s">
        <v>228</v>
      </c>
      <c r="BG1518" s="7" t="s">
        <v>228</v>
      </c>
      <c r="BH1518" s="7" t="s">
        <v>228</v>
      </c>
      <c r="BI1518" s="7"/>
      <c r="BJ1518" s="4">
        <v>180</v>
      </c>
      <c r="BK1518" s="8">
        <v>19830.82</v>
      </c>
      <c r="BL1518" s="2" t="s">
        <v>7758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7759</v>
      </c>
      <c r="BV1518" s="2" t="s">
        <v>228</v>
      </c>
      <c r="BW1518" s="2" t="s">
        <v>228</v>
      </c>
      <c r="BX1518" s="2" t="s">
        <v>2125</v>
      </c>
      <c r="BY1518" s="2" t="s">
        <v>274</v>
      </c>
      <c r="BZ1518" s="2" t="s">
        <v>240</v>
      </c>
      <c r="CA1518" s="2" t="s">
        <v>6222</v>
      </c>
      <c r="CB1518" s="2" t="s">
        <v>3787</v>
      </c>
      <c r="CC1518" s="2" t="s">
        <v>241</v>
      </c>
      <c r="CD1518" s="2" t="s">
        <v>228</v>
      </c>
      <c r="CE1518" s="4"/>
      <c r="CF1518" s="4">
        <v>200</v>
      </c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>
        <v>250</v>
      </c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>
        <v>360</v>
      </c>
      <c r="EV1518" s="4"/>
      <c r="EW1518" s="4"/>
      <c r="EX1518" s="4"/>
      <c r="EY1518" s="4">
        <v>650</v>
      </c>
      <c r="EZ1518" s="4"/>
      <c r="FA1518" s="4"/>
      <c r="FB1518" s="4"/>
      <c r="FC1518" s="4"/>
      <c r="FD1518" s="4"/>
      <c r="FE1518" s="4"/>
      <c r="FF1518" s="4"/>
      <c r="FG1518" s="4"/>
      <c r="FH1518" s="4"/>
      <c r="FI1518" s="4"/>
      <c r="FJ1518" s="4">
        <v>200</v>
      </c>
      <c r="FK1518" s="4"/>
      <c r="FL1518" s="4"/>
      <c r="FM1518" s="4">
        <v>150</v>
      </c>
      <c r="FN1518" s="4"/>
      <c r="FO1518" s="4"/>
      <c r="FP1518" s="4"/>
      <c r="FQ1518" s="4"/>
      <c r="FR1518" s="4"/>
      <c r="FS1518" s="4"/>
      <c r="FT1518" s="4"/>
      <c r="FU1518" s="4"/>
      <c r="FV1518" s="4"/>
      <c r="FW1518" s="4"/>
      <c r="FX1518" s="4"/>
      <c r="FY1518" s="4"/>
      <c r="FZ1518" s="4"/>
      <c r="GA1518" s="4"/>
      <c r="GB1518" s="4"/>
      <c r="GC1518" s="4"/>
      <c r="GD1518" s="4"/>
      <c r="GE1518" s="4"/>
      <c r="GF1518" s="4"/>
      <c r="GG1518" s="4"/>
      <c r="GH1518" s="4"/>
      <c r="GI1518" s="4"/>
      <c r="GJ1518" s="4"/>
      <c r="GK1518" s="4"/>
      <c r="GL1518" s="4"/>
      <c r="GM1518" s="4"/>
      <c r="GN1518" s="4"/>
      <c r="GO1518" s="4"/>
      <c r="GP1518" s="4"/>
      <c r="GQ1518" s="4"/>
      <c r="GR1518" s="4"/>
      <c r="GS1518" s="4"/>
      <c r="GT1518" s="4"/>
      <c r="GU1518" s="4"/>
      <c r="GV1518" s="4"/>
      <c r="GW1518" s="4"/>
      <c r="GX1518" s="4"/>
      <c r="GY1518" s="4"/>
      <c r="GZ1518" s="4"/>
      <c r="HA1518" s="4"/>
      <c r="HB1518" s="4"/>
      <c r="HC1518" s="4"/>
      <c r="HD1518" s="4"/>
      <c r="HE1518" s="4"/>
    </row>
    <row r="1519">
      <c r="A1519" s="2" t="s">
        <v>7760</v>
      </c>
      <c r="B1519" s="2" t="s">
        <v>866</v>
      </c>
      <c r="C1519" s="2" t="s">
        <v>773</v>
      </c>
      <c r="D1519" s="2" t="s">
        <v>907</v>
      </c>
      <c r="E1519" s="2" t="s">
        <v>4844</v>
      </c>
      <c r="F1519" s="2" t="s">
        <v>7740</v>
      </c>
      <c r="G1519" s="2" t="s">
        <v>7740</v>
      </c>
      <c r="H1519" s="2" t="s">
        <v>7740</v>
      </c>
      <c r="I1519" s="2" t="s">
        <v>7749</v>
      </c>
      <c r="J1519" s="2" t="s">
        <v>7750</v>
      </c>
      <c r="K1519" s="2" t="s">
        <v>823</v>
      </c>
      <c r="L1519" s="3">
        <v>74.11</v>
      </c>
      <c r="M1519" s="3">
        <v>77.82</v>
      </c>
      <c r="N1519" s="3">
        <v>141.94</v>
      </c>
      <c r="O1519" s="2" t="s">
        <v>240</v>
      </c>
      <c r="P1519" s="2" t="s">
        <v>889</v>
      </c>
      <c r="Q1519" s="2" t="s">
        <v>234</v>
      </c>
      <c r="R1519" s="2" t="s">
        <v>228</v>
      </c>
      <c r="S1519" s="2" t="s">
        <v>228</v>
      </c>
      <c r="T1519" s="2" t="s">
        <v>228</v>
      </c>
      <c r="U1519" s="2" t="s">
        <v>416</v>
      </c>
      <c r="V1519" s="2" t="s">
        <v>980</v>
      </c>
      <c r="W1519" s="2" t="s">
        <v>417</v>
      </c>
      <c r="X1519" s="2" t="s">
        <v>309</v>
      </c>
      <c r="Y1519" s="2" t="s">
        <v>6096</v>
      </c>
      <c r="Z1519" s="4">
        <v>182</v>
      </c>
      <c r="AA1519" s="4">
        <f>=ROUNDDOWN(15.1666666666667,0)</f>
      </c>
      <c r="AB1519" s="5">
        <v>12</v>
      </c>
      <c r="AC1519" s="2" t="s">
        <v>163</v>
      </c>
      <c r="AD1519" s="4">
        <v>150</v>
      </c>
      <c r="AE1519" s="4">
        <v>260</v>
      </c>
      <c r="AF1519" s="6">
        <v>65</v>
      </c>
      <c r="AG1519" s="6">
        <v>48</v>
      </c>
      <c r="AH1519" s="7">
        <v>1</v>
      </c>
      <c r="AI1519" s="4"/>
      <c r="AJ1519" s="4">
        <f>=ROUNDDOWN({0},0)</f>
      </c>
      <c r="AK1519" s="5"/>
      <c r="AL1519" s="2" t="s">
        <v>228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/>
      <c r="AW1519" s="8"/>
      <c r="AX1519" s="4"/>
      <c r="AY1519" s="8"/>
      <c r="AZ1519" s="7"/>
      <c r="BA1519" s="7"/>
      <c r="BB1519" s="7"/>
      <c r="BC1519" s="4" t="s">
        <v>228</v>
      </c>
      <c r="BD1519" s="8" t="s">
        <v>228</v>
      </c>
      <c r="BE1519" s="4" t="s">
        <v>228</v>
      </c>
      <c r="BF1519" s="8" t="s">
        <v>228</v>
      </c>
      <c r="BG1519" s="7" t="s">
        <v>228</v>
      </c>
      <c r="BH1519" s="7" t="s">
        <v>228</v>
      </c>
      <c r="BI1519" s="7"/>
      <c r="BJ1519" s="4">
        <v>16</v>
      </c>
      <c r="BK1519" s="8">
        <v>1066.94</v>
      </c>
      <c r="BL1519" s="2" t="s">
        <v>7761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7762</v>
      </c>
      <c r="BV1519" s="2" t="s">
        <v>228</v>
      </c>
      <c r="BW1519" s="2" t="s">
        <v>228</v>
      </c>
      <c r="BX1519" s="2" t="s">
        <v>2125</v>
      </c>
      <c r="BY1519" s="2" t="s">
        <v>274</v>
      </c>
      <c r="BZ1519" s="2" t="s">
        <v>240</v>
      </c>
      <c r="CA1519" s="2" t="s">
        <v>7753</v>
      </c>
      <c r="CB1519" s="2" t="s">
        <v>7763</v>
      </c>
      <c r="CC1519" s="2" t="s">
        <v>241</v>
      </c>
      <c r="CD1519" s="2" t="s">
        <v>228</v>
      </c>
      <c r="CE1519" s="4"/>
      <c r="CF1519" s="4">
        <v>182</v>
      </c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>
        <v>150</v>
      </c>
      <c r="EZ1519" s="4"/>
      <c r="FA1519" s="4"/>
      <c r="FB1519" s="4"/>
      <c r="FC1519" s="4"/>
      <c r="FD1519" s="4"/>
      <c r="FE1519" s="4"/>
      <c r="FF1519" s="4"/>
      <c r="FG1519" s="4"/>
      <c r="FH1519" s="4"/>
      <c r="FI1519" s="4"/>
      <c r="FJ1519" s="4">
        <v>110</v>
      </c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/>
      <c r="FV1519" s="4"/>
      <c r="FW1519" s="4"/>
      <c r="FX1519" s="4"/>
      <c r="FY1519" s="4"/>
      <c r="FZ1519" s="4"/>
      <c r="GA1519" s="4"/>
      <c r="GB1519" s="4"/>
      <c r="GC1519" s="4"/>
      <c r="GD1519" s="4"/>
      <c r="GE1519" s="4"/>
      <c r="GF1519" s="4"/>
      <c r="GG1519" s="4"/>
      <c r="GH1519" s="4"/>
      <c r="GI1519" s="4"/>
      <c r="GJ1519" s="4"/>
      <c r="GK1519" s="4"/>
      <c r="GL1519" s="4"/>
      <c r="GM1519" s="4"/>
      <c r="GN1519" s="4"/>
      <c r="GO1519" s="4"/>
      <c r="GP1519" s="4"/>
      <c r="GQ1519" s="4"/>
      <c r="GR1519" s="4"/>
      <c r="GS1519" s="4"/>
      <c r="GT1519" s="4"/>
      <c r="GU1519" s="4"/>
      <c r="GV1519" s="4"/>
      <c r="GW1519" s="4"/>
      <c r="GX1519" s="4"/>
      <c r="GY1519" s="4"/>
      <c r="GZ1519" s="4"/>
      <c r="HA1519" s="4"/>
      <c r="HB1519" s="4"/>
      <c r="HC1519" s="4"/>
      <c r="HD1519" s="4"/>
      <c r="HE1519" s="4"/>
    </row>
    <row r="1520">
      <c r="A1520" s="2" t="s">
        <v>7764</v>
      </c>
      <c r="B1520" s="2" t="s">
        <v>2841</v>
      </c>
      <c r="C1520" s="2" t="s">
        <v>1197</v>
      </c>
      <c r="D1520" s="2" t="s">
        <v>2842</v>
      </c>
      <c r="E1520" s="2" t="s">
        <v>2843</v>
      </c>
      <c r="F1520" s="2" t="s">
        <v>7765</v>
      </c>
      <c r="G1520" s="2" t="s">
        <v>7765</v>
      </c>
      <c r="H1520" s="2" t="s">
        <v>7765</v>
      </c>
      <c r="I1520" s="2" t="s">
        <v>7766</v>
      </c>
      <c r="J1520" s="2" t="s">
        <v>1202</v>
      </c>
      <c r="K1520" s="2" t="s">
        <v>305</v>
      </c>
      <c r="L1520" s="3">
        <v>5.28</v>
      </c>
      <c r="M1520" s="3">
        <v>5.54</v>
      </c>
      <c r="N1520" s="3">
        <v>8.99</v>
      </c>
      <c r="O1520" s="2" t="s">
        <v>461</v>
      </c>
      <c r="P1520" s="2" t="s">
        <v>1116</v>
      </c>
      <c r="Q1520" s="2" t="s">
        <v>234</v>
      </c>
      <c r="R1520" s="2" t="s">
        <v>727</v>
      </c>
      <c r="S1520" s="2" t="s">
        <v>228</v>
      </c>
      <c r="T1520" s="2" t="s">
        <v>228</v>
      </c>
      <c r="U1520" s="2" t="s">
        <v>228</v>
      </c>
      <c r="V1520" s="2" t="s">
        <v>842</v>
      </c>
      <c r="W1520" s="2" t="s">
        <v>228</v>
      </c>
      <c r="X1520" s="2" t="s">
        <v>228</v>
      </c>
      <c r="Y1520" s="2" t="s">
        <v>1924</v>
      </c>
      <c r="Z1520" s="4">
        <v>460</v>
      </c>
      <c r="AA1520" s="4">
        <f>=ROUNDDOWN(511.111111111111,0)</f>
      </c>
      <c r="AB1520" s="5">
        <v>0.9</v>
      </c>
      <c r="AC1520" s="2" t="s">
        <v>228</v>
      </c>
      <c r="AD1520" s="4"/>
      <c r="AE1520" s="4"/>
      <c r="AF1520" s="6"/>
      <c r="AG1520" s="6">
        <v>47</v>
      </c>
      <c r="AH1520" s="7">
        <v>1</v>
      </c>
      <c r="AI1520" s="4"/>
      <c r="AJ1520" s="4">
        <f>=ROUNDDOWN({0},0)</f>
      </c>
      <c r="AK1520" s="5"/>
      <c r="AL1520" s="2" t="s">
        <v>228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 t="s">
        <v>228</v>
      </c>
      <c r="AW1520" s="8" t="s">
        <v>228</v>
      </c>
      <c r="AX1520" s="4" t="s">
        <v>228</v>
      </c>
      <c r="AY1520" s="8" t="s">
        <v>228</v>
      </c>
      <c r="AZ1520" s="7" t="s">
        <v>228</v>
      </c>
      <c r="BA1520" s="7" t="s">
        <v>228</v>
      </c>
      <c r="BB1520" s="7"/>
      <c r="BC1520" s="4" t="s">
        <v>228</v>
      </c>
      <c r="BD1520" s="8" t="s">
        <v>228</v>
      </c>
      <c r="BE1520" s="4" t="s">
        <v>228</v>
      </c>
      <c r="BF1520" s="8" t="s">
        <v>228</v>
      </c>
      <c r="BG1520" s="7" t="s">
        <v>228</v>
      </c>
      <c r="BH1520" s="7" t="s">
        <v>228</v>
      </c>
      <c r="BI1520" s="7"/>
      <c r="BJ1520" s="4">
        <v>2</v>
      </c>
      <c r="BK1520" s="8">
        <v>12.14</v>
      </c>
      <c r="BL1520" s="2" t="s">
        <v>699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7767</v>
      </c>
      <c r="BV1520" s="2" t="s">
        <v>228</v>
      </c>
      <c r="BW1520" s="2" t="s">
        <v>228</v>
      </c>
      <c r="BX1520" s="2" t="s">
        <v>273</v>
      </c>
      <c r="BY1520" s="2" t="s">
        <v>274</v>
      </c>
      <c r="BZ1520" s="2" t="s">
        <v>240</v>
      </c>
      <c r="CA1520" s="2" t="s">
        <v>228</v>
      </c>
      <c r="CB1520" s="2" t="s">
        <v>228</v>
      </c>
      <c r="CC1520" s="2" t="s">
        <v>241</v>
      </c>
      <c r="CD1520" s="2" t="s">
        <v>228</v>
      </c>
      <c r="CE1520" s="4"/>
      <c r="CF1520" s="4">
        <v>460</v>
      </c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/>
      <c r="FR1520" s="4"/>
      <c r="FS1520" s="4"/>
      <c r="FT1520" s="4"/>
      <c r="FU1520" s="4"/>
      <c r="FV1520" s="4"/>
      <c r="FW1520" s="4"/>
      <c r="FX1520" s="4"/>
      <c r="FY1520" s="4"/>
      <c r="FZ1520" s="4"/>
      <c r="GA1520" s="4"/>
      <c r="GB1520" s="4"/>
      <c r="GC1520" s="4"/>
      <c r="GD1520" s="4"/>
      <c r="GE1520" s="4"/>
      <c r="GF1520" s="4"/>
      <c r="GG1520" s="4"/>
      <c r="GH1520" s="4"/>
      <c r="GI1520" s="4"/>
      <c r="GJ1520" s="4"/>
      <c r="GK1520" s="4"/>
      <c r="GL1520" s="4"/>
      <c r="GM1520" s="4"/>
      <c r="GN1520" s="4"/>
      <c r="GO1520" s="4"/>
      <c r="GP1520" s="4"/>
      <c r="GQ1520" s="4"/>
      <c r="GR1520" s="4"/>
      <c r="GS1520" s="4"/>
      <c r="GT1520" s="4"/>
      <c r="GU1520" s="4"/>
      <c r="GV1520" s="4"/>
      <c r="GW1520" s="4"/>
      <c r="GX1520" s="4"/>
      <c r="GY1520" s="4"/>
      <c r="GZ1520" s="4"/>
      <c r="HA1520" s="4"/>
      <c r="HB1520" s="4"/>
      <c r="HC1520" s="4"/>
      <c r="HD1520" s="4"/>
      <c r="HE1520" s="4"/>
    </row>
    <row r="1521">
      <c r="A1521" s="2" t="s">
        <v>7768</v>
      </c>
      <c r="B1521" s="2" t="s">
        <v>2841</v>
      </c>
      <c r="C1521" s="2" t="s">
        <v>1197</v>
      </c>
      <c r="D1521" s="2" t="s">
        <v>2842</v>
      </c>
      <c r="E1521" s="2" t="s">
        <v>2843</v>
      </c>
      <c r="F1521" s="2" t="s">
        <v>7765</v>
      </c>
      <c r="G1521" s="2" t="s">
        <v>7765</v>
      </c>
      <c r="H1521" s="2" t="s">
        <v>7765</v>
      </c>
      <c r="I1521" s="2" t="s">
        <v>7766</v>
      </c>
      <c r="J1521" s="2" t="s">
        <v>1208</v>
      </c>
      <c r="K1521" s="2" t="s">
        <v>305</v>
      </c>
      <c r="L1521" s="3">
        <v>5.52</v>
      </c>
      <c r="M1521" s="3">
        <v>5.8</v>
      </c>
      <c r="N1521" s="3">
        <v>8.99</v>
      </c>
      <c r="O1521" s="2" t="s">
        <v>461</v>
      </c>
      <c r="P1521" s="2" t="s">
        <v>1116</v>
      </c>
      <c r="Q1521" s="2" t="s">
        <v>234</v>
      </c>
      <c r="R1521" s="2" t="s">
        <v>727</v>
      </c>
      <c r="S1521" s="2" t="s">
        <v>228</v>
      </c>
      <c r="T1521" s="2" t="s">
        <v>228</v>
      </c>
      <c r="U1521" s="2" t="s">
        <v>228</v>
      </c>
      <c r="V1521" s="2" t="s">
        <v>842</v>
      </c>
      <c r="W1521" s="2" t="s">
        <v>228</v>
      </c>
      <c r="X1521" s="2" t="s">
        <v>228</v>
      </c>
      <c r="Y1521" s="2" t="s">
        <v>1924</v>
      </c>
      <c r="Z1521" s="4">
        <v>612</v>
      </c>
      <c r="AA1521" s="4">
        <f>=ROUNDDOWN(680,0)</f>
      </c>
      <c r="AB1521" s="5">
        <v>0.9</v>
      </c>
      <c r="AC1521" s="2" t="s">
        <v>228</v>
      </c>
      <c r="AD1521" s="4"/>
      <c r="AE1521" s="4"/>
      <c r="AF1521" s="6"/>
      <c r="AG1521" s="6">
        <v>47</v>
      </c>
      <c r="AH1521" s="7">
        <v>1</v>
      </c>
      <c r="AI1521" s="4"/>
      <c r="AJ1521" s="4">
        <f>=ROUNDDOWN({0},0)</f>
      </c>
      <c r="AK1521" s="5"/>
      <c r="AL1521" s="2" t="s">
        <v>228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 t="s">
        <v>228</v>
      </c>
      <c r="AW1521" s="8" t="s">
        <v>228</v>
      </c>
      <c r="AX1521" s="4" t="s">
        <v>228</v>
      </c>
      <c r="AY1521" s="8" t="s">
        <v>228</v>
      </c>
      <c r="AZ1521" s="7" t="s">
        <v>228</v>
      </c>
      <c r="BA1521" s="7" t="s">
        <v>228</v>
      </c>
      <c r="BB1521" s="7"/>
      <c r="BC1521" s="4" t="s">
        <v>228</v>
      </c>
      <c r="BD1521" s="8" t="s">
        <v>228</v>
      </c>
      <c r="BE1521" s="4" t="s">
        <v>228</v>
      </c>
      <c r="BF1521" s="8" t="s">
        <v>228</v>
      </c>
      <c r="BG1521" s="7" t="s">
        <v>228</v>
      </c>
      <c r="BH1521" s="7" t="s">
        <v>228</v>
      </c>
      <c r="BI1521" s="7"/>
      <c r="BJ1521" s="4">
        <v>3</v>
      </c>
      <c r="BK1521" s="8">
        <v>19.05</v>
      </c>
      <c r="BL1521" s="2" t="s">
        <v>699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7769</v>
      </c>
      <c r="BV1521" s="2" t="s">
        <v>228</v>
      </c>
      <c r="BW1521" s="2" t="s">
        <v>228</v>
      </c>
      <c r="BX1521" s="2" t="s">
        <v>273</v>
      </c>
      <c r="BY1521" s="2" t="s">
        <v>274</v>
      </c>
      <c r="BZ1521" s="2" t="s">
        <v>240</v>
      </c>
      <c r="CA1521" s="2" t="s">
        <v>228</v>
      </c>
      <c r="CB1521" s="2" t="s">
        <v>228</v>
      </c>
      <c r="CC1521" s="2" t="s">
        <v>241</v>
      </c>
      <c r="CD1521" s="2" t="s">
        <v>228</v>
      </c>
      <c r="CE1521" s="4"/>
      <c r="CF1521" s="4">
        <v>612</v>
      </c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  <c r="FX1521" s="4"/>
      <c r="FY1521" s="4"/>
      <c r="FZ1521" s="4"/>
      <c r="GA1521" s="4"/>
      <c r="GB1521" s="4"/>
      <c r="GC1521" s="4"/>
      <c r="GD1521" s="4"/>
      <c r="GE1521" s="4"/>
      <c r="GF1521" s="4"/>
      <c r="GG1521" s="4"/>
      <c r="GH1521" s="4"/>
      <c r="GI1521" s="4"/>
      <c r="GJ1521" s="4"/>
      <c r="GK1521" s="4"/>
      <c r="GL1521" s="4"/>
      <c r="GM1521" s="4"/>
      <c r="GN1521" s="4"/>
      <c r="GO1521" s="4"/>
      <c r="GP1521" s="4"/>
      <c r="GQ1521" s="4"/>
      <c r="GR1521" s="4"/>
      <c r="GS1521" s="4"/>
      <c r="GT1521" s="4"/>
      <c r="GU1521" s="4"/>
      <c r="GV1521" s="4"/>
      <c r="GW1521" s="4"/>
      <c r="GX1521" s="4"/>
      <c r="GY1521" s="4"/>
      <c r="GZ1521" s="4"/>
      <c r="HA1521" s="4"/>
      <c r="HB1521" s="4"/>
      <c r="HC1521" s="4"/>
      <c r="HD1521" s="4"/>
      <c r="HE1521" s="4"/>
    </row>
    <row r="1522">
      <c r="A1522" s="2" t="s">
        <v>7770</v>
      </c>
      <c r="B1522" s="2" t="s">
        <v>1150</v>
      </c>
      <c r="C1522" s="2" t="s">
        <v>835</v>
      </c>
      <c r="D1522" s="2" t="s">
        <v>850</v>
      </c>
      <c r="E1522" s="2" t="s">
        <v>851</v>
      </c>
      <c r="F1522" s="2" t="s">
        <v>7771</v>
      </c>
      <c r="G1522" s="2" t="s">
        <v>7771</v>
      </c>
      <c r="H1522" s="2" t="s">
        <v>7771</v>
      </c>
      <c r="I1522" s="2" t="s">
        <v>7772</v>
      </c>
      <c r="J1522" s="2" t="s">
        <v>1043</v>
      </c>
      <c r="K1522" s="2" t="s">
        <v>556</v>
      </c>
      <c r="L1522" s="3">
        <v>65</v>
      </c>
      <c r="M1522" s="3">
        <v>68.24</v>
      </c>
      <c r="N1522" s="3">
        <v>129.99</v>
      </c>
      <c r="O1522" s="2" t="s">
        <v>491</v>
      </c>
      <c r="P1522" s="2" t="s">
        <v>333</v>
      </c>
      <c r="Q1522" s="2" t="s">
        <v>234</v>
      </c>
      <c r="R1522" s="2" t="s">
        <v>228</v>
      </c>
      <c r="S1522" s="2" t="s">
        <v>7773</v>
      </c>
      <c r="T1522" s="2" t="s">
        <v>228</v>
      </c>
      <c r="U1522" s="2" t="s">
        <v>228</v>
      </c>
      <c r="V1522" s="2" t="s">
        <v>236</v>
      </c>
      <c r="W1522" s="2" t="s">
        <v>463</v>
      </c>
      <c r="X1522" s="2" t="s">
        <v>1229</v>
      </c>
      <c r="Y1522" s="2" t="s">
        <v>2750</v>
      </c>
      <c r="Z1522" s="4">
        <v>81</v>
      </c>
      <c r="AA1522" s="4">
        <f>=ROUNDDOWN(101.25,0)</f>
      </c>
      <c r="AB1522" s="5">
        <v>0.8</v>
      </c>
      <c r="AC1522" s="2" t="s">
        <v>228</v>
      </c>
      <c r="AD1522" s="4"/>
      <c r="AE1522" s="4"/>
      <c r="AF1522" s="6">
        <v>67</v>
      </c>
      <c r="AG1522" s="6"/>
      <c r="AH1522" s="7">
        <v>1</v>
      </c>
      <c r="AI1522" s="4"/>
      <c r="AJ1522" s="4">
        <f>=ROUNDDOWN({0},0)</f>
      </c>
      <c r="AK1522" s="5"/>
      <c r="AL1522" s="2" t="s">
        <v>228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/>
      <c r="AW1522" s="8"/>
      <c r="AX1522" s="4"/>
      <c r="AY1522" s="8"/>
      <c r="AZ1522" s="7"/>
      <c r="BA1522" s="7"/>
      <c r="BB1522" s="7"/>
      <c r="BC1522" s="4" t="s">
        <v>228</v>
      </c>
      <c r="BD1522" s="8" t="s">
        <v>228</v>
      </c>
      <c r="BE1522" s="4" t="s">
        <v>228</v>
      </c>
      <c r="BF1522" s="8" t="s">
        <v>228</v>
      </c>
      <c r="BG1522" s="7" t="s">
        <v>228</v>
      </c>
      <c r="BH1522" s="7" t="s">
        <v>228</v>
      </c>
      <c r="BI1522" s="7"/>
      <c r="BJ1522" s="4">
        <v>4</v>
      </c>
      <c r="BK1522" s="8">
        <v>250.68</v>
      </c>
      <c r="BL1522" s="2" t="s">
        <v>1448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7774</v>
      </c>
      <c r="BV1522" s="2" t="s">
        <v>228</v>
      </c>
      <c r="BW1522" s="2" t="s">
        <v>228</v>
      </c>
      <c r="BX1522" s="2" t="s">
        <v>337</v>
      </c>
      <c r="BY1522" s="2" t="s">
        <v>274</v>
      </c>
      <c r="BZ1522" s="2" t="s">
        <v>240</v>
      </c>
      <c r="CA1522" s="2" t="s">
        <v>7775</v>
      </c>
      <c r="CB1522" s="2" t="s">
        <v>2530</v>
      </c>
      <c r="CC1522" s="2" t="s">
        <v>241</v>
      </c>
      <c r="CD1522" s="2" t="s">
        <v>228</v>
      </c>
      <c r="CE1522" s="4">
        <v>81</v>
      </c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/>
      <c r="GE1522" s="4"/>
      <c r="GF1522" s="4"/>
      <c r="GG1522" s="4"/>
      <c r="GH1522" s="4"/>
      <c r="GI1522" s="4"/>
      <c r="GJ1522" s="4"/>
      <c r="GK1522" s="4"/>
      <c r="GL1522" s="4"/>
      <c r="GM1522" s="4"/>
      <c r="GN1522" s="4"/>
      <c r="GO1522" s="4"/>
      <c r="GP1522" s="4"/>
      <c r="GQ1522" s="4"/>
      <c r="GR1522" s="4"/>
      <c r="GS1522" s="4"/>
      <c r="GT1522" s="4"/>
      <c r="GU1522" s="4"/>
      <c r="GV1522" s="4"/>
      <c r="GW1522" s="4"/>
      <c r="GX1522" s="4"/>
      <c r="GY1522" s="4"/>
      <c r="GZ1522" s="4"/>
      <c r="HA1522" s="4"/>
      <c r="HB1522" s="4"/>
      <c r="HC1522" s="4"/>
      <c r="HD1522" s="4"/>
      <c r="HE1522" s="4"/>
    </row>
    <row r="1523">
      <c r="A1523" s="2" t="s">
        <v>7776</v>
      </c>
      <c r="B1523" s="2" t="s">
        <v>1150</v>
      </c>
      <c r="C1523" s="2" t="s">
        <v>835</v>
      </c>
      <c r="D1523" s="2" t="s">
        <v>850</v>
      </c>
      <c r="E1523" s="2" t="s">
        <v>851</v>
      </c>
      <c r="F1523" s="2" t="s">
        <v>7771</v>
      </c>
      <c r="G1523" s="2" t="s">
        <v>7771</v>
      </c>
      <c r="H1523" s="2" t="s">
        <v>228</v>
      </c>
      <c r="I1523" s="2" t="s">
        <v>7772</v>
      </c>
      <c r="J1523" s="2" t="s">
        <v>1189</v>
      </c>
      <c r="K1523" s="2" t="s">
        <v>251</v>
      </c>
      <c r="L1523" s="3">
        <v>49</v>
      </c>
      <c r="M1523" s="3">
        <v>51.44</v>
      </c>
      <c r="N1523" s="3">
        <v>99.99</v>
      </c>
      <c r="O1523" s="2" t="s">
        <v>491</v>
      </c>
      <c r="P1523" s="2" t="s">
        <v>333</v>
      </c>
      <c r="Q1523" s="2" t="s">
        <v>234</v>
      </c>
      <c r="R1523" s="2" t="s">
        <v>228</v>
      </c>
      <c r="S1523" s="2" t="s">
        <v>7777</v>
      </c>
      <c r="T1523" s="2" t="s">
        <v>228</v>
      </c>
      <c r="U1523" s="2" t="s">
        <v>228</v>
      </c>
      <c r="V1523" s="2" t="s">
        <v>236</v>
      </c>
      <c r="W1523" s="2" t="s">
        <v>463</v>
      </c>
      <c r="X1523" s="2" t="s">
        <v>1229</v>
      </c>
      <c r="Y1523" s="2" t="s">
        <v>270</v>
      </c>
      <c r="Z1523" s="4">
        <v>79</v>
      </c>
      <c r="AA1523" s="4">
        <f>=ROUNDDOWN(20.7894736842105,0)</f>
      </c>
      <c r="AB1523" s="5">
        <v>3.8</v>
      </c>
      <c r="AC1523" s="2" t="s">
        <v>228</v>
      </c>
      <c r="AD1523" s="4"/>
      <c r="AE1523" s="4"/>
      <c r="AF1523" s="6">
        <v>67</v>
      </c>
      <c r="AG1523" s="6"/>
      <c r="AH1523" s="7">
        <v>1</v>
      </c>
      <c r="AI1523" s="4"/>
      <c r="AJ1523" s="4">
        <f>=ROUNDDOWN({0},0)</f>
      </c>
      <c r="AK1523" s="5"/>
      <c r="AL1523" s="2" t="s">
        <v>228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/>
      <c r="AW1523" s="8"/>
      <c r="AX1523" s="4"/>
      <c r="AY1523" s="8"/>
      <c r="AZ1523" s="7"/>
      <c r="BA1523" s="7"/>
      <c r="BB1523" s="7"/>
      <c r="BC1523" s="4" t="s">
        <v>228</v>
      </c>
      <c r="BD1523" s="8" t="s">
        <v>228</v>
      </c>
      <c r="BE1523" s="4" t="s">
        <v>228</v>
      </c>
      <c r="BF1523" s="8" t="s">
        <v>228</v>
      </c>
      <c r="BG1523" s="7" t="s">
        <v>228</v>
      </c>
      <c r="BH1523" s="7" t="s">
        <v>228</v>
      </c>
      <c r="BI1523" s="7"/>
      <c r="BJ1523" s="4">
        <v>16</v>
      </c>
      <c r="BK1523" s="8">
        <v>658.76</v>
      </c>
      <c r="BL1523" s="2" t="s">
        <v>7778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7779</v>
      </c>
      <c r="BV1523" s="2" t="s">
        <v>228</v>
      </c>
      <c r="BW1523" s="2" t="s">
        <v>228</v>
      </c>
      <c r="BX1523" s="2" t="s">
        <v>337</v>
      </c>
      <c r="BY1523" s="2" t="s">
        <v>274</v>
      </c>
      <c r="BZ1523" s="2" t="s">
        <v>240</v>
      </c>
      <c r="CA1523" s="2" t="s">
        <v>1231</v>
      </c>
      <c r="CB1523" s="2" t="s">
        <v>4286</v>
      </c>
      <c r="CC1523" s="2" t="s">
        <v>241</v>
      </c>
      <c r="CD1523" s="2" t="s">
        <v>228</v>
      </c>
      <c r="CE1523" s="4">
        <v>60</v>
      </c>
      <c r="CF1523" s="4">
        <v>19</v>
      </c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/>
      <c r="FZ1523" s="4"/>
      <c r="GA1523" s="4"/>
      <c r="GB1523" s="4"/>
      <c r="GC1523" s="4"/>
      <c r="GD1523" s="4"/>
      <c r="GE1523" s="4"/>
      <c r="GF1523" s="4"/>
      <c r="GG1523" s="4"/>
      <c r="GH1523" s="4"/>
      <c r="GI1523" s="4"/>
      <c r="GJ1523" s="4"/>
      <c r="GK1523" s="4"/>
      <c r="GL1523" s="4"/>
      <c r="GM1523" s="4"/>
      <c r="GN1523" s="4"/>
      <c r="GO1523" s="4"/>
      <c r="GP1523" s="4"/>
      <c r="GQ1523" s="4"/>
      <c r="GR1523" s="4"/>
      <c r="GS1523" s="4"/>
      <c r="GT1523" s="4"/>
      <c r="GU1523" s="4"/>
      <c r="GV1523" s="4"/>
      <c r="GW1523" s="4"/>
      <c r="GX1523" s="4"/>
      <c r="GY1523" s="4"/>
      <c r="GZ1523" s="4"/>
      <c r="HA1523" s="4"/>
      <c r="HB1523" s="4"/>
      <c r="HC1523" s="4"/>
      <c r="HD1523" s="4"/>
      <c r="HE1523" s="4"/>
    </row>
    <row r="1524">
      <c r="A1524" s="2" t="s">
        <v>7780</v>
      </c>
      <c r="B1524" s="2" t="s">
        <v>866</v>
      </c>
      <c r="C1524" s="2" t="s">
        <v>300</v>
      </c>
      <c r="D1524" s="2" t="s">
        <v>7781</v>
      </c>
      <c r="E1524" s="2" t="s">
        <v>7782</v>
      </c>
      <c r="F1524" s="2" t="s">
        <v>7783</v>
      </c>
      <c r="G1524" s="2" t="s">
        <v>7783</v>
      </c>
      <c r="H1524" s="2" t="s">
        <v>7783</v>
      </c>
      <c r="I1524" s="2" t="s">
        <v>7784</v>
      </c>
      <c r="J1524" s="2" t="s">
        <v>840</v>
      </c>
      <c r="K1524" s="2" t="s">
        <v>6668</v>
      </c>
      <c r="L1524" s="3">
        <v>40.19</v>
      </c>
      <c r="M1524" s="3">
        <v>42.2</v>
      </c>
      <c r="N1524" s="3">
        <v>89.99</v>
      </c>
      <c r="O1524" s="2" t="s">
        <v>491</v>
      </c>
      <c r="P1524" s="2" t="s">
        <v>333</v>
      </c>
      <c r="Q1524" s="2" t="s">
        <v>234</v>
      </c>
      <c r="R1524" s="2" t="s">
        <v>228</v>
      </c>
      <c r="S1524" s="2" t="s">
        <v>7785</v>
      </c>
      <c r="T1524" s="2" t="s">
        <v>228</v>
      </c>
      <c r="U1524" s="2" t="s">
        <v>416</v>
      </c>
      <c r="V1524" s="2" t="s">
        <v>236</v>
      </c>
      <c r="W1524" s="2" t="s">
        <v>417</v>
      </c>
      <c r="X1524" s="2" t="s">
        <v>309</v>
      </c>
      <c r="Y1524" s="2" t="s">
        <v>7744</v>
      </c>
      <c r="Z1524" s="4">
        <v>10</v>
      </c>
      <c r="AA1524" s="4">
        <f>=ROUNDDOWN(10,0)</f>
      </c>
      <c r="AB1524" s="5">
        <v>1</v>
      </c>
      <c r="AC1524" s="2" t="s">
        <v>228</v>
      </c>
      <c r="AD1524" s="4"/>
      <c r="AE1524" s="4"/>
      <c r="AF1524" s="6">
        <v>65</v>
      </c>
      <c r="AG1524" s="6"/>
      <c r="AH1524" s="7">
        <v>1</v>
      </c>
      <c r="AI1524" s="4"/>
      <c r="AJ1524" s="4">
        <f>=ROUNDDOWN({0},0)</f>
      </c>
      <c r="AK1524" s="5"/>
      <c r="AL1524" s="2" t="s">
        <v>228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/>
      <c r="AW1524" s="8"/>
      <c r="AX1524" s="4"/>
      <c r="AY1524" s="8"/>
      <c r="AZ1524" s="7"/>
      <c r="BA1524" s="7"/>
      <c r="BB1524" s="7"/>
      <c r="BC1524" s="4" t="s">
        <v>228</v>
      </c>
      <c r="BD1524" s="8" t="s">
        <v>228</v>
      </c>
      <c r="BE1524" s="4" t="s">
        <v>228</v>
      </c>
      <c r="BF1524" s="8" t="s">
        <v>228</v>
      </c>
      <c r="BG1524" s="7" t="s">
        <v>228</v>
      </c>
      <c r="BH1524" s="7" t="s">
        <v>228</v>
      </c>
      <c r="BI1524" s="7"/>
      <c r="BJ1524" s="4">
        <v>10</v>
      </c>
      <c r="BK1524" s="8">
        <v>357.64</v>
      </c>
      <c r="BL1524" s="2" t="s">
        <v>7786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7787</v>
      </c>
      <c r="BV1524" s="2" t="s">
        <v>228</v>
      </c>
      <c r="BW1524" s="2" t="s">
        <v>228</v>
      </c>
      <c r="BX1524" s="2" t="s">
        <v>337</v>
      </c>
      <c r="BY1524" s="2" t="s">
        <v>274</v>
      </c>
      <c r="BZ1524" s="2" t="s">
        <v>240</v>
      </c>
      <c r="CA1524" s="2" t="s">
        <v>7747</v>
      </c>
      <c r="CB1524" s="2" t="s">
        <v>7788</v>
      </c>
      <c r="CC1524" s="2" t="s">
        <v>241</v>
      </c>
      <c r="CD1524" s="2" t="s">
        <v>228</v>
      </c>
      <c r="CE1524" s="4"/>
      <c r="CF1524" s="4">
        <v>10</v>
      </c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/>
      <c r="FB1524" s="4"/>
      <c r="FC1524" s="4"/>
      <c r="FD1524" s="4"/>
      <c r="FE1524" s="4"/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/>
      <c r="FW1524" s="4"/>
      <c r="FX1524" s="4"/>
      <c r="FY1524" s="4"/>
      <c r="FZ1524" s="4"/>
      <c r="GA1524" s="4"/>
      <c r="GB1524" s="4"/>
      <c r="GC1524" s="4"/>
      <c r="GD1524" s="4"/>
      <c r="GE1524" s="4"/>
      <c r="GF1524" s="4"/>
      <c r="GG1524" s="4"/>
      <c r="GH1524" s="4"/>
      <c r="GI1524" s="4"/>
      <c r="GJ1524" s="4"/>
      <c r="GK1524" s="4"/>
      <c r="GL1524" s="4"/>
      <c r="GM1524" s="4"/>
      <c r="GN1524" s="4"/>
      <c r="GO1524" s="4"/>
      <c r="GP1524" s="4"/>
      <c r="GQ1524" s="4"/>
      <c r="GR1524" s="4"/>
      <c r="GS1524" s="4"/>
      <c r="GT1524" s="4"/>
      <c r="GU1524" s="4"/>
      <c r="GV1524" s="4"/>
      <c r="GW1524" s="4"/>
      <c r="GX1524" s="4"/>
      <c r="GY1524" s="4"/>
      <c r="GZ1524" s="4"/>
      <c r="HA1524" s="4"/>
      <c r="HB1524" s="4"/>
      <c r="HC1524" s="4"/>
      <c r="HD1524" s="4"/>
      <c r="HE1524" s="4"/>
    </row>
    <row r="1525">
      <c r="A1525" s="2" t="s">
        <v>7789</v>
      </c>
      <c r="B1525" s="2" t="s">
        <v>866</v>
      </c>
      <c r="C1525" s="2" t="s">
        <v>300</v>
      </c>
      <c r="D1525" s="2" t="s">
        <v>7781</v>
      </c>
      <c r="E1525" s="2" t="s">
        <v>7782</v>
      </c>
      <c r="F1525" s="2" t="s">
        <v>7783</v>
      </c>
      <c r="G1525" s="2" t="s">
        <v>7783</v>
      </c>
      <c r="H1525" s="2" t="s">
        <v>7783</v>
      </c>
      <c r="I1525" s="2" t="s">
        <v>7784</v>
      </c>
      <c r="J1525" s="2" t="s">
        <v>840</v>
      </c>
      <c r="K1525" s="2" t="s">
        <v>7790</v>
      </c>
      <c r="L1525" s="3">
        <v>40.19</v>
      </c>
      <c r="M1525" s="3">
        <v>42.2</v>
      </c>
      <c r="N1525" s="3">
        <v>89.99</v>
      </c>
      <c r="O1525" s="2" t="s">
        <v>240</v>
      </c>
      <c r="P1525" s="2" t="s">
        <v>889</v>
      </c>
      <c r="Q1525" s="2" t="s">
        <v>234</v>
      </c>
      <c r="R1525" s="2" t="s">
        <v>228</v>
      </c>
      <c r="S1525" s="2" t="s">
        <v>7791</v>
      </c>
      <c r="T1525" s="2" t="s">
        <v>228</v>
      </c>
      <c r="U1525" s="2" t="s">
        <v>416</v>
      </c>
      <c r="V1525" s="2" t="s">
        <v>236</v>
      </c>
      <c r="W1525" s="2" t="s">
        <v>417</v>
      </c>
      <c r="X1525" s="2" t="s">
        <v>228</v>
      </c>
      <c r="Y1525" s="2" t="s">
        <v>7792</v>
      </c>
      <c r="Z1525" s="4">
        <v>238</v>
      </c>
      <c r="AA1525" s="4">
        <f>=ROUNDDOWN(19.8333333333333,0)</f>
      </c>
      <c r="AB1525" s="5">
        <v>12</v>
      </c>
      <c r="AC1525" s="2" t="s">
        <v>4983</v>
      </c>
      <c r="AD1525" s="4">
        <v>120</v>
      </c>
      <c r="AE1525" s="4">
        <v>120</v>
      </c>
      <c r="AF1525" s="6">
        <v>65</v>
      </c>
      <c r="AG1525" s="6"/>
      <c r="AH1525" s="7">
        <v>1</v>
      </c>
      <c r="AI1525" s="4"/>
      <c r="AJ1525" s="4">
        <f>=ROUNDDOWN({0},0)</f>
      </c>
      <c r="AK1525" s="5"/>
      <c r="AL1525" s="2" t="s">
        <v>228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/>
      <c r="AW1525" s="8"/>
      <c r="AX1525" s="4"/>
      <c r="AY1525" s="8"/>
      <c r="AZ1525" s="7"/>
      <c r="BA1525" s="7"/>
      <c r="BB1525" s="7"/>
      <c r="BC1525" s="4" t="s">
        <v>228</v>
      </c>
      <c r="BD1525" s="8" t="s">
        <v>228</v>
      </c>
      <c r="BE1525" s="4" t="s">
        <v>228</v>
      </c>
      <c r="BF1525" s="8" t="s">
        <v>228</v>
      </c>
      <c r="BG1525" s="7" t="s">
        <v>228</v>
      </c>
      <c r="BH1525" s="7" t="s">
        <v>228</v>
      </c>
      <c r="BI1525" s="7"/>
      <c r="BJ1525" s="4">
        <v>38</v>
      </c>
      <c r="BK1525" s="8">
        <v>1773.4</v>
      </c>
      <c r="BL1525" s="2" t="s">
        <v>7793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7794</v>
      </c>
      <c r="BV1525" s="2" t="s">
        <v>228</v>
      </c>
      <c r="BW1525" s="2" t="s">
        <v>228</v>
      </c>
      <c r="BX1525" s="2" t="s">
        <v>273</v>
      </c>
      <c r="BY1525" s="2" t="s">
        <v>274</v>
      </c>
      <c r="BZ1525" s="2" t="s">
        <v>240</v>
      </c>
      <c r="CA1525" s="2" t="s">
        <v>5793</v>
      </c>
      <c r="CB1525" s="2" t="s">
        <v>7795</v>
      </c>
      <c r="CC1525" s="2" t="s">
        <v>241</v>
      </c>
      <c r="CD1525" s="2" t="s">
        <v>228</v>
      </c>
      <c r="CE1525" s="4"/>
      <c r="CF1525" s="4">
        <v>238</v>
      </c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>
        <v>120</v>
      </c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/>
      <c r="FW1525" s="4"/>
      <c r="FX1525" s="4"/>
      <c r="FY1525" s="4"/>
      <c r="FZ1525" s="4"/>
      <c r="GA1525" s="4"/>
      <c r="GB1525" s="4"/>
      <c r="GC1525" s="4"/>
      <c r="GD1525" s="4"/>
      <c r="GE1525" s="4"/>
      <c r="GF1525" s="4"/>
      <c r="GG1525" s="4"/>
      <c r="GH1525" s="4"/>
      <c r="GI1525" s="4"/>
      <c r="GJ1525" s="4"/>
      <c r="GK1525" s="4"/>
      <c r="GL1525" s="4"/>
      <c r="GM1525" s="4"/>
      <c r="GN1525" s="4"/>
      <c r="GO1525" s="4"/>
      <c r="GP1525" s="4"/>
      <c r="GQ1525" s="4"/>
      <c r="GR1525" s="4"/>
      <c r="GS1525" s="4"/>
      <c r="GT1525" s="4"/>
      <c r="GU1525" s="4"/>
      <c r="GV1525" s="4"/>
      <c r="GW1525" s="4"/>
      <c r="GX1525" s="4"/>
      <c r="GY1525" s="4"/>
      <c r="GZ1525" s="4"/>
      <c r="HA1525" s="4"/>
      <c r="HB1525" s="4"/>
      <c r="HC1525" s="4"/>
      <c r="HD1525" s="4"/>
      <c r="HE1525" s="4"/>
    </row>
    <row r="1526">
      <c r="A1526" s="2" t="s">
        <v>7796</v>
      </c>
      <c r="B1526" s="2" t="s">
        <v>1276</v>
      </c>
      <c r="C1526" s="2" t="s">
        <v>300</v>
      </c>
      <c r="D1526" s="2" t="s">
        <v>1276</v>
      </c>
      <c r="E1526" s="2" t="s">
        <v>1276</v>
      </c>
      <c r="F1526" s="2" t="s">
        <v>7797</v>
      </c>
      <c r="G1526" s="2" t="s">
        <v>7798</v>
      </c>
      <c r="H1526" s="2" t="s">
        <v>7799</v>
      </c>
      <c r="I1526" s="2" t="s">
        <v>7800</v>
      </c>
      <c r="J1526" s="2" t="s">
        <v>3202</v>
      </c>
      <c r="K1526" s="2" t="s">
        <v>2444</v>
      </c>
      <c r="L1526" s="3">
        <v>22</v>
      </c>
      <c r="M1526" s="3">
        <v>23.1</v>
      </c>
      <c r="N1526" s="3">
        <v>49.99</v>
      </c>
      <c r="O1526" s="2" t="s">
        <v>491</v>
      </c>
      <c r="P1526" s="2" t="s">
        <v>333</v>
      </c>
      <c r="Q1526" s="2" t="s">
        <v>234</v>
      </c>
      <c r="R1526" s="2" t="s">
        <v>228</v>
      </c>
      <c r="S1526" s="2" t="s">
        <v>7801</v>
      </c>
      <c r="T1526" s="2" t="s">
        <v>228</v>
      </c>
      <c r="U1526" s="2" t="s">
        <v>416</v>
      </c>
      <c r="V1526" s="2" t="s">
        <v>5214</v>
      </c>
      <c r="W1526" s="2" t="s">
        <v>2472</v>
      </c>
      <c r="X1526" s="2" t="s">
        <v>228</v>
      </c>
      <c r="Y1526" s="2" t="s">
        <v>5514</v>
      </c>
      <c r="Z1526" s="4">
        <v>3</v>
      </c>
      <c r="AA1526" s="4">
        <f>=ROUNDDOWN(15,0)</f>
      </c>
      <c r="AB1526" s="5">
        <v>0.2</v>
      </c>
      <c r="AC1526" s="2" t="s">
        <v>228</v>
      </c>
      <c r="AD1526" s="4"/>
      <c r="AE1526" s="4"/>
      <c r="AF1526" s="6">
        <v>63</v>
      </c>
      <c r="AG1526" s="6"/>
      <c r="AH1526" s="7">
        <v>0.7419</v>
      </c>
      <c r="AI1526" s="4"/>
      <c r="AJ1526" s="4">
        <f>=ROUNDDOWN({0},0)</f>
      </c>
      <c r="AK1526" s="5"/>
      <c r="AL1526" s="2" t="s">
        <v>228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 t="s">
        <v>228</v>
      </c>
      <c r="AW1526" s="8" t="s">
        <v>228</v>
      </c>
      <c r="AX1526" s="4" t="s">
        <v>228</v>
      </c>
      <c r="AY1526" s="8" t="s">
        <v>228</v>
      </c>
      <c r="AZ1526" s="7" t="s">
        <v>228</v>
      </c>
      <c r="BA1526" s="7" t="s">
        <v>228</v>
      </c>
      <c r="BB1526" s="7"/>
      <c r="BC1526" s="4" t="s">
        <v>228</v>
      </c>
      <c r="BD1526" s="8" t="s">
        <v>228</v>
      </c>
      <c r="BE1526" s="4" t="s">
        <v>228</v>
      </c>
      <c r="BF1526" s="8" t="s">
        <v>228</v>
      </c>
      <c r="BG1526" s="7" t="s">
        <v>228</v>
      </c>
      <c r="BH1526" s="7" t="s">
        <v>228</v>
      </c>
      <c r="BI1526" s="7"/>
      <c r="BJ1526" s="4"/>
      <c r="BK1526" s="8"/>
      <c r="BL1526" s="2" t="s">
        <v>1033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7802</v>
      </c>
      <c r="BV1526" s="2" t="s">
        <v>228</v>
      </c>
      <c r="BW1526" s="2" t="s">
        <v>228</v>
      </c>
      <c r="BX1526" s="2" t="s">
        <v>337</v>
      </c>
      <c r="BY1526" s="2" t="s">
        <v>274</v>
      </c>
      <c r="BZ1526" s="2" t="s">
        <v>240</v>
      </c>
      <c r="CA1526" s="2" t="s">
        <v>5351</v>
      </c>
      <c r="CB1526" s="2" t="s">
        <v>1596</v>
      </c>
      <c r="CC1526" s="2" t="s">
        <v>241</v>
      </c>
      <c r="CD1526" s="2" t="s">
        <v>228</v>
      </c>
      <c r="CE1526" s="4">
        <v>2</v>
      </c>
      <c r="CF1526" s="4">
        <v>1</v>
      </c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4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/>
      <c r="FZ1526" s="4"/>
      <c r="GA1526" s="4"/>
      <c r="GB1526" s="4"/>
      <c r="GC1526" s="4"/>
      <c r="GD1526" s="4"/>
      <c r="GE1526" s="4"/>
      <c r="GF1526" s="4"/>
      <c r="GG1526" s="4"/>
      <c r="GH1526" s="4"/>
      <c r="GI1526" s="4"/>
      <c r="GJ1526" s="4"/>
      <c r="GK1526" s="4"/>
      <c r="GL1526" s="4"/>
      <c r="GM1526" s="4"/>
      <c r="GN1526" s="4"/>
      <c r="GO1526" s="4"/>
      <c r="GP1526" s="4"/>
      <c r="GQ1526" s="4"/>
      <c r="GR1526" s="4"/>
      <c r="GS1526" s="4"/>
      <c r="GT1526" s="4"/>
      <c r="GU1526" s="4"/>
      <c r="GV1526" s="4"/>
      <c r="GW1526" s="4"/>
      <c r="GX1526" s="4"/>
      <c r="GY1526" s="4"/>
      <c r="GZ1526" s="4"/>
      <c r="HA1526" s="4"/>
      <c r="HB1526" s="4"/>
      <c r="HC1526" s="4"/>
      <c r="HD1526" s="4"/>
      <c r="HE1526" s="4"/>
    </row>
    <row r="1527">
      <c r="A1527" s="2" t="s">
        <v>7803</v>
      </c>
      <c r="B1527" s="2" t="s">
        <v>1276</v>
      </c>
      <c r="C1527" s="2" t="s">
        <v>300</v>
      </c>
      <c r="D1527" s="2" t="s">
        <v>1276</v>
      </c>
      <c r="E1527" s="2" t="s">
        <v>1276</v>
      </c>
      <c r="F1527" s="2" t="s">
        <v>7797</v>
      </c>
      <c r="G1527" s="2" t="s">
        <v>7798</v>
      </c>
      <c r="H1527" s="2" t="s">
        <v>7799</v>
      </c>
      <c r="I1527" s="2" t="s">
        <v>7800</v>
      </c>
      <c r="J1527" s="2" t="s">
        <v>1711</v>
      </c>
      <c r="K1527" s="2" t="s">
        <v>2444</v>
      </c>
      <c r="L1527" s="3">
        <v>45</v>
      </c>
      <c r="M1527" s="3">
        <v>47.25</v>
      </c>
      <c r="N1527" s="3">
        <v>99.99</v>
      </c>
      <c r="O1527" s="2" t="s">
        <v>491</v>
      </c>
      <c r="P1527" s="2" t="s">
        <v>333</v>
      </c>
      <c r="Q1527" s="2" t="s">
        <v>234</v>
      </c>
      <c r="R1527" s="2" t="s">
        <v>228</v>
      </c>
      <c r="S1527" s="2" t="s">
        <v>7801</v>
      </c>
      <c r="T1527" s="2" t="s">
        <v>228</v>
      </c>
      <c r="U1527" s="2" t="s">
        <v>416</v>
      </c>
      <c r="V1527" s="2" t="s">
        <v>5214</v>
      </c>
      <c r="W1527" s="2" t="s">
        <v>2472</v>
      </c>
      <c r="X1527" s="2" t="s">
        <v>228</v>
      </c>
      <c r="Y1527" s="2" t="s">
        <v>5514</v>
      </c>
      <c r="Z1527" s="4">
        <v>72</v>
      </c>
      <c r="AA1527" s="4">
        <f>=ROUNDDOWN(360,0)</f>
      </c>
      <c r="AB1527" s="5">
        <v>0.2</v>
      </c>
      <c r="AC1527" s="2" t="s">
        <v>228</v>
      </c>
      <c r="AD1527" s="4"/>
      <c r="AE1527" s="4"/>
      <c r="AF1527" s="6">
        <v>63</v>
      </c>
      <c r="AG1527" s="6"/>
      <c r="AH1527" s="7">
        <v>1</v>
      </c>
      <c r="AI1527" s="4"/>
      <c r="AJ1527" s="4">
        <f>=ROUNDDOWN({0},0)</f>
      </c>
      <c r="AK1527" s="5"/>
      <c r="AL1527" s="2" t="s">
        <v>228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228</v>
      </c>
      <c r="AW1527" s="8" t="s">
        <v>228</v>
      </c>
      <c r="AX1527" s="4" t="s">
        <v>228</v>
      </c>
      <c r="AY1527" s="8" t="s">
        <v>228</v>
      </c>
      <c r="AZ1527" s="7" t="s">
        <v>228</v>
      </c>
      <c r="BA1527" s="7" t="s">
        <v>228</v>
      </c>
      <c r="BB1527" s="7"/>
      <c r="BC1527" s="4" t="s">
        <v>228</v>
      </c>
      <c r="BD1527" s="8" t="s">
        <v>228</v>
      </c>
      <c r="BE1527" s="4" t="s">
        <v>228</v>
      </c>
      <c r="BF1527" s="8" t="s">
        <v>228</v>
      </c>
      <c r="BG1527" s="7" t="s">
        <v>228</v>
      </c>
      <c r="BH1527" s="7" t="s">
        <v>228</v>
      </c>
      <c r="BI1527" s="7"/>
      <c r="BJ1527" s="4">
        <v>1</v>
      </c>
      <c r="BK1527" s="8">
        <v>51.98</v>
      </c>
      <c r="BL1527" s="2" t="s">
        <v>7804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7805</v>
      </c>
      <c r="BV1527" s="2" t="s">
        <v>228</v>
      </c>
      <c r="BW1527" s="2" t="s">
        <v>228</v>
      </c>
      <c r="BX1527" s="2" t="s">
        <v>337</v>
      </c>
      <c r="BY1527" s="2" t="s">
        <v>274</v>
      </c>
      <c r="BZ1527" s="2" t="s">
        <v>240</v>
      </c>
      <c r="CA1527" s="2" t="s">
        <v>5351</v>
      </c>
      <c r="CB1527" s="2" t="s">
        <v>1026</v>
      </c>
      <c r="CC1527" s="2" t="s">
        <v>241</v>
      </c>
      <c r="CD1527" s="2" t="s">
        <v>228</v>
      </c>
      <c r="CE1527" s="4"/>
      <c r="CF1527" s="4">
        <v>72</v>
      </c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/>
      <c r="GA1527" s="4"/>
      <c r="GB1527" s="4"/>
      <c r="GC1527" s="4"/>
      <c r="GD1527" s="4"/>
      <c r="GE1527" s="4"/>
      <c r="GF1527" s="4"/>
      <c r="GG1527" s="4"/>
      <c r="GH1527" s="4"/>
      <c r="GI1527" s="4"/>
      <c r="GJ1527" s="4"/>
      <c r="GK1527" s="4"/>
      <c r="GL1527" s="4"/>
      <c r="GM1527" s="4"/>
      <c r="GN1527" s="4"/>
      <c r="GO1527" s="4"/>
      <c r="GP1527" s="4"/>
      <c r="GQ1527" s="4"/>
      <c r="GR1527" s="4"/>
      <c r="GS1527" s="4"/>
      <c r="GT1527" s="4"/>
      <c r="GU1527" s="4"/>
      <c r="GV1527" s="4"/>
      <c r="GW1527" s="4"/>
      <c r="GX1527" s="4"/>
      <c r="GY1527" s="4"/>
      <c r="GZ1527" s="4"/>
      <c r="HA1527" s="4"/>
      <c r="HB1527" s="4"/>
      <c r="HC1527" s="4"/>
      <c r="HD1527" s="4"/>
      <c r="HE1527" s="4"/>
    </row>
    <row r="1528">
      <c r="A1528" s="2" t="s">
        <v>7806</v>
      </c>
      <c r="B1528" s="2" t="s">
        <v>1276</v>
      </c>
      <c r="C1528" s="2" t="s">
        <v>300</v>
      </c>
      <c r="D1528" s="2" t="s">
        <v>1276</v>
      </c>
      <c r="E1528" s="2" t="s">
        <v>1276</v>
      </c>
      <c r="F1528" s="2" t="s">
        <v>7797</v>
      </c>
      <c r="G1528" s="2" t="s">
        <v>7798</v>
      </c>
      <c r="H1528" s="2" t="s">
        <v>7799</v>
      </c>
      <c r="I1528" s="2" t="s">
        <v>7800</v>
      </c>
      <c r="J1528" s="2" t="s">
        <v>1280</v>
      </c>
      <c r="K1528" s="2" t="s">
        <v>2444</v>
      </c>
      <c r="L1528" s="3">
        <v>67.5</v>
      </c>
      <c r="M1528" s="3">
        <v>70.88</v>
      </c>
      <c r="N1528" s="3">
        <v>149.98</v>
      </c>
      <c r="O1528" s="2" t="s">
        <v>461</v>
      </c>
      <c r="P1528" s="2" t="s">
        <v>333</v>
      </c>
      <c r="Q1528" s="2" t="s">
        <v>234</v>
      </c>
      <c r="R1528" s="2" t="s">
        <v>228</v>
      </c>
      <c r="S1528" s="2" t="s">
        <v>7801</v>
      </c>
      <c r="T1528" s="2" t="s">
        <v>228</v>
      </c>
      <c r="U1528" s="2" t="s">
        <v>416</v>
      </c>
      <c r="V1528" s="2" t="s">
        <v>5214</v>
      </c>
      <c r="W1528" s="2" t="s">
        <v>2472</v>
      </c>
      <c r="X1528" s="2" t="s">
        <v>228</v>
      </c>
      <c r="Y1528" s="2" t="s">
        <v>5514</v>
      </c>
      <c r="Z1528" s="4">
        <v>75</v>
      </c>
      <c r="AA1528" s="4">
        <f>=ROUNDDOWN(375,0)</f>
      </c>
      <c r="AB1528" s="5">
        <v>0.2</v>
      </c>
      <c r="AC1528" s="2" t="s">
        <v>228</v>
      </c>
      <c r="AD1528" s="4"/>
      <c r="AE1528" s="4"/>
      <c r="AF1528" s="6">
        <v>63</v>
      </c>
      <c r="AG1528" s="6"/>
      <c r="AH1528" s="7">
        <v>1</v>
      </c>
      <c r="AI1528" s="4"/>
      <c r="AJ1528" s="4">
        <f>=ROUNDDOWN({0},0)</f>
      </c>
      <c r="AK1528" s="5"/>
      <c r="AL1528" s="2" t="s">
        <v>228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228</v>
      </c>
      <c r="AW1528" s="8" t="s">
        <v>228</v>
      </c>
      <c r="AX1528" s="4" t="s">
        <v>228</v>
      </c>
      <c r="AY1528" s="8" t="s">
        <v>228</v>
      </c>
      <c r="AZ1528" s="7" t="s">
        <v>228</v>
      </c>
      <c r="BA1528" s="7" t="s">
        <v>228</v>
      </c>
      <c r="BB1528" s="7"/>
      <c r="BC1528" s="4" t="s">
        <v>228</v>
      </c>
      <c r="BD1528" s="8" t="s">
        <v>228</v>
      </c>
      <c r="BE1528" s="4" t="s">
        <v>228</v>
      </c>
      <c r="BF1528" s="8" t="s">
        <v>228</v>
      </c>
      <c r="BG1528" s="7" t="s">
        <v>228</v>
      </c>
      <c r="BH1528" s="7" t="s">
        <v>228</v>
      </c>
      <c r="BI1528" s="7"/>
      <c r="BJ1528" s="4">
        <v>1</v>
      </c>
      <c r="BK1528" s="8">
        <v>194.99</v>
      </c>
      <c r="BL1528" s="2" t="s">
        <v>7807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7808</v>
      </c>
      <c r="BV1528" s="2" t="s">
        <v>228</v>
      </c>
      <c r="BW1528" s="2" t="s">
        <v>228</v>
      </c>
      <c r="BX1528" s="2" t="s">
        <v>337</v>
      </c>
      <c r="BY1528" s="2" t="s">
        <v>274</v>
      </c>
      <c r="BZ1528" s="2" t="s">
        <v>240</v>
      </c>
      <c r="CA1528" s="2" t="s">
        <v>5351</v>
      </c>
      <c r="CB1528" s="2" t="s">
        <v>1874</v>
      </c>
      <c r="CC1528" s="2" t="s">
        <v>241</v>
      </c>
      <c r="CD1528" s="2" t="s">
        <v>228</v>
      </c>
      <c r="CE1528" s="4"/>
      <c r="CF1528" s="4">
        <v>75</v>
      </c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/>
      <c r="FZ1528" s="4"/>
      <c r="GA1528" s="4"/>
      <c r="GB1528" s="4"/>
      <c r="GC1528" s="4"/>
      <c r="GD1528" s="4"/>
      <c r="GE1528" s="4"/>
      <c r="GF1528" s="4"/>
      <c r="GG1528" s="4"/>
      <c r="GH1528" s="4"/>
      <c r="GI1528" s="4"/>
      <c r="GJ1528" s="4"/>
      <c r="GK1528" s="4"/>
      <c r="GL1528" s="4"/>
      <c r="GM1528" s="4"/>
      <c r="GN1528" s="4"/>
      <c r="GO1528" s="4"/>
      <c r="GP1528" s="4"/>
      <c r="GQ1528" s="4"/>
      <c r="GR1528" s="4"/>
      <c r="GS1528" s="4"/>
      <c r="GT1528" s="4"/>
      <c r="GU1528" s="4"/>
      <c r="GV1528" s="4"/>
      <c r="GW1528" s="4"/>
      <c r="GX1528" s="4"/>
      <c r="GY1528" s="4"/>
      <c r="GZ1528" s="4"/>
      <c r="HA1528" s="4"/>
      <c r="HB1528" s="4"/>
      <c r="HC1528" s="4"/>
      <c r="HD1528" s="4"/>
      <c r="HE1528" s="4"/>
    </row>
    <row r="1529">
      <c r="A1529" s="2" t="s">
        <v>7809</v>
      </c>
      <c r="B1529" s="2" t="s">
        <v>1276</v>
      </c>
      <c r="C1529" s="2" t="s">
        <v>300</v>
      </c>
      <c r="D1529" s="2" t="s">
        <v>1276</v>
      </c>
      <c r="E1529" s="2" t="s">
        <v>1276</v>
      </c>
      <c r="F1529" s="2" t="s">
        <v>7797</v>
      </c>
      <c r="G1529" s="2" t="s">
        <v>7798</v>
      </c>
      <c r="H1529" s="2" t="s">
        <v>7799</v>
      </c>
      <c r="I1529" s="2" t="s">
        <v>7800</v>
      </c>
      <c r="J1529" s="2" t="s">
        <v>1937</v>
      </c>
      <c r="K1529" s="2" t="s">
        <v>2444</v>
      </c>
      <c r="L1529" s="3">
        <v>94.5</v>
      </c>
      <c r="M1529" s="3">
        <v>99.23</v>
      </c>
      <c r="N1529" s="3">
        <v>199.98</v>
      </c>
      <c r="O1529" s="2" t="s">
        <v>461</v>
      </c>
      <c r="P1529" s="2" t="s">
        <v>333</v>
      </c>
      <c r="Q1529" s="2" t="s">
        <v>234</v>
      </c>
      <c r="R1529" s="2" t="s">
        <v>228</v>
      </c>
      <c r="S1529" s="2" t="s">
        <v>7801</v>
      </c>
      <c r="T1529" s="2" t="s">
        <v>228</v>
      </c>
      <c r="U1529" s="2" t="s">
        <v>416</v>
      </c>
      <c r="V1529" s="2" t="s">
        <v>5214</v>
      </c>
      <c r="W1529" s="2" t="s">
        <v>2472</v>
      </c>
      <c r="X1529" s="2" t="s">
        <v>228</v>
      </c>
      <c r="Y1529" s="2" t="s">
        <v>5514</v>
      </c>
      <c r="Z1529" s="4">
        <v>19</v>
      </c>
      <c r="AA1529" s="4">
        <f>=ROUNDDOWN(23.75,0)</f>
      </c>
      <c r="AB1529" s="5">
        <v>0.8</v>
      </c>
      <c r="AC1529" s="2" t="s">
        <v>228</v>
      </c>
      <c r="AD1529" s="4"/>
      <c r="AE1529" s="4"/>
      <c r="AF1529" s="6">
        <v>63</v>
      </c>
      <c r="AG1529" s="6"/>
      <c r="AH1529" s="7">
        <v>1</v>
      </c>
      <c r="AI1529" s="4"/>
      <c r="AJ1529" s="4">
        <f>=ROUNDDOWN({0},0)</f>
      </c>
      <c r="AK1529" s="5"/>
      <c r="AL1529" s="2" t="s">
        <v>228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 t="s">
        <v>228</v>
      </c>
      <c r="AW1529" s="8" t="s">
        <v>228</v>
      </c>
      <c r="AX1529" s="4" t="s">
        <v>228</v>
      </c>
      <c r="AY1529" s="8" t="s">
        <v>228</v>
      </c>
      <c r="AZ1529" s="7" t="s">
        <v>228</v>
      </c>
      <c r="BA1529" s="7" t="s">
        <v>228</v>
      </c>
      <c r="BB1529" s="7"/>
      <c r="BC1529" s="4" t="s">
        <v>228</v>
      </c>
      <c r="BD1529" s="8" t="s">
        <v>228</v>
      </c>
      <c r="BE1529" s="4" t="s">
        <v>228</v>
      </c>
      <c r="BF1529" s="8" t="s">
        <v>228</v>
      </c>
      <c r="BG1529" s="7" t="s">
        <v>228</v>
      </c>
      <c r="BH1529" s="7" t="s">
        <v>228</v>
      </c>
      <c r="BI1529" s="7"/>
      <c r="BJ1529" s="4">
        <v>3</v>
      </c>
      <c r="BK1529" s="8">
        <v>327.45</v>
      </c>
      <c r="BL1529" s="2" t="s">
        <v>7804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7810</v>
      </c>
      <c r="BV1529" s="2" t="s">
        <v>228</v>
      </c>
      <c r="BW1529" s="2" t="s">
        <v>228</v>
      </c>
      <c r="BX1529" s="2" t="s">
        <v>337</v>
      </c>
      <c r="BY1529" s="2" t="s">
        <v>274</v>
      </c>
      <c r="BZ1529" s="2" t="s">
        <v>240</v>
      </c>
      <c r="CA1529" s="2" t="s">
        <v>5351</v>
      </c>
      <c r="CB1529" s="2" t="s">
        <v>1217</v>
      </c>
      <c r="CC1529" s="2" t="s">
        <v>241</v>
      </c>
      <c r="CD1529" s="2" t="s">
        <v>228</v>
      </c>
      <c r="CE1529" s="4"/>
      <c r="CF1529" s="4">
        <v>19</v>
      </c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4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  <c r="FX1529" s="4"/>
      <c r="FY1529" s="4"/>
      <c r="FZ1529" s="4"/>
      <c r="GA1529" s="4"/>
      <c r="GB1529" s="4"/>
      <c r="GC1529" s="4"/>
      <c r="GD1529" s="4"/>
      <c r="GE1529" s="4"/>
      <c r="GF1529" s="4"/>
      <c r="GG1529" s="4"/>
      <c r="GH1529" s="4"/>
      <c r="GI1529" s="4"/>
      <c r="GJ1529" s="4"/>
      <c r="GK1529" s="4"/>
      <c r="GL1529" s="4"/>
      <c r="GM1529" s="4"/>
      <c r="GN1529" s="4"/>
      <c r="GO1529" s="4"/>
      <c r="GP1529" s="4"/>
      <c r="GQ1529" s="4"/>
      <c r="GR1529" s="4"/>
      <c r="GS1529" s="4"/>
      <c r="GT1529" s="4"/>
      <c r="GU1529" s="4"/>
      <c r="GV1529" s="4"/>
      <c r="GW1529" s="4"/>
      <c r="GX1529" s="4"/>
      <c r="GY1529" s="4"/>
      <c r="GZ1529" s="4"/>
      <c r="HA1529" s="4"/>
      <c r="HB1529" s="4"/>
      <c r="HC1529" s="4"/>
      <c r="HD1529" s="4"/>
      <c r="HE1529" s="4"/>
    </row>
    <row r="1530">
      <c r="A1530" s="2" t="s">
        <v>7811</v>
      </c>
      <c r="B1530" s="2" t="s">
        <v>958</v>
      </c>
      <c r="C1530" s="2" t="s">
        <v>300</v>
      </c>
      <c r="D1530" s="2" t="s">
        <v>1006</v>
      </c>
      <c r="E1530" s="2" t="s">
        <v>1651</v>
      </c>
      <c r="F1530" s="2" t="s">
        <v>7812</v>
      </c>
      <c r="G1530" s="2" t="s">
        <v>7813</v>
      </c>
      <c r="H1530" s="2" t="s">
        <v>7814</v>
      </c>
      <c r="I1530" s="2" t="s">
        <v>1652</v>
      </c>
      <c r="J1530" s="2" t="s">
        <v>840</v>
      </c>
      <c r="K1530" s="2" t="s">
        <v>231</v>
      </c>
      <c r="L1530" s="3">
        <v>270.75</v>
      </c>
      <c r="M1530" s="3">
        <v>284.29</v>
      </c>
      <c r="N1530" s="3">
        <v>569</v>
      </c>
      <c r="O1530" s="2" t="s">
        <v>240</v>
      </c>
      <c r="P1530" s="2" t="s">
        <v>333</v>
      </c>
      <c r="Q1530" s="2" t="s">
        <v>234</v>
      </c>
      <c r="R1530" s="2" t="s">
        <v>228</v>
      </c>
      <c r="S1530" s="2" t="s">
        <v>228</v>
      </c>
      <c r="T1530" s="2" t="s">
        <v>228</v>
      </c>
      <c r="U1530" s="2" t="s">
        <v>416</v>
      </c>
      <c r="V1530" s="2" t="s">
        <v>236</v>
      </c>
      <c r="W1530" s="2" t="s">
        <v>743</v>
      </c>
      <c r="X1530" s="2" t="s">
        <v>228</v>
      </c>
      <c r="Y1530" s="2" t="s">
        <v>1035</v>
      </c>
      <c r="Z1530" s="4">
        <v>70</v>
      </c>
      <c r="AA1530" s="4">
        <f>=ROUNDDOWN(35,0)</f>
      </c>
      <c r="AB1530" s="5">
        <v>2</v>
      </c>
      <c r="AC1530" s="2" t="s">
        <v>228</v>
      </c>
      <c r="AD1530" s="4"/>
      <c r="AE1530" s="4"/>
      <c r="AF1530" s="6">
        <v>66</v>
      </c>
      <c r="AG1530" s="6"/>
      <c r="AH1530" s="7">
        <v>1</v>
      </c>
      <c r="AI1530" s="4"/>
      <c r="AJ1530" s="4">
        <f>=ROUNDDOWN({0},0)</f>
      </c>
      <c r="AK1530" s="5"/>
      <c r="AL1530" s="2" t="s">
        <v>228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/>
      <c r="AW1530" s="8"/>
      <c r="AX1530" s="4"/>
      <c r="AY1530" s="8"/>
      <c r="AZ1530" s="7"/>
      <c r="BA1530" s="7"/>
      <c r="BB1530" s="7"/>
      <c r="BC1530" s="4"/>
      <c r="BD1530" s="8"/>
      <c r="BE1530" s="4"/>
      <c r="BF1530" s="8"/>
      <c r="BG1530" s="7"/>
      <c r="BH1530" s="7"/>
      <c r="BI1530" s="7"/>
      <c r="BJ1530" s="4"/>
      <c r="BK1530" s="8"/>
      <c r="BL1530" s="2" t="s">
        <v>995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7815</v>
      </c>
      <c r="BV1530" s="2" t="s">
        <v>228</v>
      </c>
      <c r="BW1530" s="2" t="s">
        <v>228</v>
      </c>
      <c r="BX1530" s="2" t="s">
        <v>337</v>
      </c>
      <c r="BY1530" s="2" t="s">
        <v>274</v>
      </c>
      <c r="BZ1530" s="2" t="s">
        <v>240</v>
      </c>
      <c r="CA1530" s="2" t="s">
        <v>2911</v>
      </c>
      <c r="CB1530" s="2" t="s">
        <v>7816</v>
      </c>
      <c r="CC1530" s="2" t="s">
        <v>241</v>
      </c>
      <c r="CD1530" s="2" t="s">
        <v>228</v>
      </c>
      <c r="CE1530" s="4"/>
      <c r="CF1530" s="4">
        <v>70</v>
      </c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/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  <c r="FX1530" s="4"/>
      <c r="FY1530" s="4"/>
      <c r="FZ1530" s="4"/>
      <c r="GA1530" s="4"/>
      <c r="GB1530" s="4"/>
      <c r="GC1530" s="4"/>
      <c r="GD1530" s="4"/>
      <c r="GE1530" s="4"/>
      <c r="GF1530" s="4"/>
      <c r="GG1530" s="4"/>
      <c r="GH1530" s="4"/>
      <c r="GI1530" s="4"/>
      <c r="GJ1530" s="4"/>
      <c r="GK1530" s="4"/>
      <c r="GL1530" s="4"/>
      <c r="GM1530" s="4"/>
      <c r="GN1530" s="4"/>
      <c r="GO1530" s="4"/>
      <c r="GP1530" s="4"/>
      <c r="GQ1530" s="4"/>
      <c r="GR1530" s="4"/>
      <c r="GS1530" s="4"/>
      <c r="GT1530" s="4"/>
      <c r="GU1530" s="4"/>
      <c r="GV1530" s="4"/>
      <c r="GW1530" s="4"/>
      <c r="GX1530" s="4"/>
      <c r="GY1530" s="4"/>
      <c r="GZ1530" s="4"/>
      <c r="HA1530" s="4"/>
      <c r="HB1530" s="4"/>
      <c r="HC1530" s="4"/>
      <c r="HD1530" s="4"/>
      <c r="HE1530" s="4"/>
    </row>
    <row r="1531">
      <c r="A1531" s="2" t="s">
        <v>7817</v>
      </c>
      <c r="B1531" s="2" t="s">
        <v>1150</v>
      </c>
      <c r="C1531" s="2" t="s">
        <v>300</v>
      </c>
      <c r="D1531" s="2" t="s">
        <v>1112</v>
      </c>
      <c r="E1531" s="2" t="s">
        <v>1165</v>
      </c>
      <c r="F1531" s="2" t="s">
        <v>7818</v>
      </c>
      <c r="G1531" s="2" t="s">
        <v>7819</v>
      </c>
      <c r="H1531" s="2" t="s">
        <v>2361</v>
      </c>
      <c r="I1531" s="2" t="s">
        <v>1329</v>
      </c>
      <c r="J1531" s="2" t="s">
        <v>294</v>
      </c>
      <c r="K1531" s="2" t="s">
        <v>265</v>
      </c>
      <c r="L1531" s="3">
        <v>76.8</v>
      </c>
      <c r="M1531" s="3">
        <v>80.63</v>
      </c>
      <c r="N1531" s="3">
        <v>159.99</v>
      </c>
      <c r="O1531" s="2" t="s">
        <v>240</v>
      </c>
      <c r="P1531" s="2" t="s">
        <v>333</v>
      </c>
      <c r="Q1531" s="2" t="s">
        <v>234</v>
      </c>
      <c r="R1531" s="2" t="s">
        <v>228</v>
      </c>
      <c r="S1531" s="2" t="s">
        <v>7820</v>
      </c>
      <c r="T1531" s="2" t="s">
        <v>228</v>
      </c>
      <c r="U1531" s="2" t="s">
        <v>1331</v>
      </c>
      <c r="V1531" s="2" t="s">
        <v>387</v>
      </c>
      <c r="W1531" s="2" t="s">
        <v>463</v>
      </c>
      <c r="X1531" s="2" t="s">
        <v>1333</v>
      </c>
      <c r="Y1531" s="2" t="s">
        <v>270</v>
      </c>
      <c r="Z1531" s="4">
        <v>198</v>
      </c>
      <c r="AA1531" s="4">
        <f>=ROUNDDOWN(24.75,0)</f>
      </c>
      <c r="AB1531" s="5">
        <v>8</v>
      </c>
      <c r="AC1531" s="2" t="s">
        <v>228</v>
      </c>
      <c r="AD1531" s="4"/>
      <c r="AE1531" s="4"/>
      <c r="AF1531" s="6">
        <v>65</v>
      </c>
      <c r="AG1531" s="6"/>
      <c r="AH1531" s="7">
        <v>1</v>
      </c>
      <c r="AI1531" s="4"/>
      <c r="AJ1531" s="4">
        <f>=ROUNDDOWN({0},0)</f>
      </c>
      <c r="AK1531" s="5"/>
      <c r="AL1531" s="2" t="s">
        <v>228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/>
      <c r="AW1531" s="8"/>
      <c r="AX1531" s="4"/>
      <c r="AY1531" s="8"/>
      <c r="AZ1531" s="7"/>
      <c r="BA1531" s="7"/>
      <c r="BB1531" s="7"/>
      <c r="BC1531" s="4"/>
      <c r="BD1531" s="8"/>
      <c r="BE1531" s="4"/>
      <c r="BF1531" s="8"/>
      <c r="BG1531" s="7"/>
      <c r="BH1531" s="7"/>
      <c r="BI1531" s="7"/>
      <c r="BJ1531" s="4">
        <v>26</v>
      </c>
      <c r="BK1531" s="8">
        <v>2064.09</v>
      </c>
      <c r="BL1531" s="2" t="s">
        <v>7821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7822</v>
      </c>
      <c r="BV1531" s="2" t="s">
        <v>228</v>
      </c>
      <c r="BW1531" s="2" t="s">
        <v>228</v>
      </c>
      <c r="BX1531" s="2" t="s">
        <v>337</v>
      </c>
      <c r="BY1531" s="2" t="s">
        <v>274</v>
      </c>
      <c r="BZ1531" s="2" t="s">
        <v>240</v>
      </c>
      <c r="CA1531" s="2" t="s">
        <v>275</v>
      </c>
      <c r="CB1531" s="2" t="s">
        <v>1365</v>
      </c>
      <c r="CC1531" s="2" t="s">
        <v>241</v>
      </c>
      <c r="CD1531" s="2" t="s">
        <v>228</v>
      </c>
      <c r="CE1531" s="4">
        <v>198</v>
      </c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/>
      <c r="GE1531" s="4"/>
      <c r="GF1531" s="4"/>
      <c r="GG1531" s="4"/>
      <c r="GH1531" s="4"/>
      <c r="GI1531" s="4"/>
      <c r="GJ1531" s="4"/>
      <c r="GK1531" s="4"/>
      <c r="GL1531" s="4"/>
      <c r="GM1531" s="4"/>
      <c r="GN1531" s="4"/>
      <c r="GO1531" s="4"/>
      <c r="GP1531" s="4"/>
      <c r="GQ1531" s="4"/>
      <c r="GR1531" s="4"/>
      <c r="GS1531" s="4"/>
      <c r="GT1531" s="4"/>
      <c r="GU1531" s="4"/>
      <c r="GV1531" s="4"/>
      <c r="GW1531" s="4"/>
      <c r="GX1531" s="4"/>
      <c r="GY1531" s="4"/>
      <c r="GZ1531" s="4"/>
      <c r="HA1531" s="4"/>
      <c r="HB1531" s="4"/>
      <c r="HC1531" s="4"/>
      <c r="HD1531" s="4"/>
      <c r="HE1531" s="4"/>
    </row>
    <row r="1532">
      <c r="A1532" s="2" t="s">
        <v>7823</v>
      </c>
      <c r="B1532" s="2" t="s">
        <v>258</v>
      </c>
      <c r="C1532" s="2" t="s">
        <v>259</v>
      </c>
      <c r="D1532" s="2" t="s">
        <v>1112</v>
      </c>
      <c r="E1532" s="2" t="s">
        <v>3467</v>
      </c>
      <c r="F1532" s="2" t="s">
        <v>7824</v>
      </c>
      <c r="G1532" s="2" t="s">
        <v>7824</v>
      </c>
      <c r="H1532" s="2" t="s">
        <v>7824</v>
      </c>
      <c r="I1532" s="2" t="s">
        <v>7825</v>
      </c>
      <c r="J1532" s="2" t="s">
        <v>1189</v>
      </c>
      <c r="K1532" s="2" t="s">
        <v>316</v>
      </c>
      <c r="L1532" s="3">
        <v>55</v>
      </c>
      <c r="M1532" s="3">
        <v>57.75</v>
      </c>
      <c r="N1532" s="3">
        <v>109.99</v>
      </c>
      <c r="O1532" s="2" t="s">
        <v>240</v>
      </c>
      <c r="P1532" s="2" t="s">
        <v>266</v>
      </c>
      <c r="Q1532" s="2" t="s">
        <v>234</v>
      </c>
      <c r="R1532" s="2" t="s">
        <v>228</v>
      </c>
      <c r="S1532" s="2" t="s">
        <v>7826</v>
      </c>
      <c r="T1532" s="2" t="s">
        <v>350</v>
      </c>
      <c r="U1532" s="2" t="s">
        <v>228</v>
      </c>
      <c r="V1532" s="2" t="s">
        <v>236</v>
      </c>
      <c r="W1532" s="2" t="s">
        <v>269</v>
      </c>
      <c r="X1532" s="2" t="s">
        <v>228</v>
      </c>
      <c r="Y1532" s="2" t="s">
        <v>270</v>
      </c>
      <c r="Z1532" s="4">
        <v>233</v>
      </c>
      <c r="AA1532" s="4">
        <f>=ROUNDDOWN(33.2857142857143,0)</f>
      </c>
      <c r="AB1532" s="5">
        <v>7</v>
      </c>
      <c r="AC1532" s="2" t="s">
        <v>193</v>
      </c>
      <c r="AD1532" s="4">
        <v>160</v>
      </c>
      <c r="AE1532" s="4">
        <v>160</v>
      </c>
      <c r="AF1532" s="6">
        <v>66</v>
      </c>
      <c r="AG1532" s="6"/>
      <c r="AH1532" s="7">
        <v>1</v>
      </c>
      <c r="AI1532" s="4"/>
      <c r="AJ1532" s="4">
        <f>=ROUNDDOWN({0},0)</f>
      </c>
      <c r="AK1532" s="5"/>
      <c r="AL1532" s="2" t="s">
        <v>228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/>
      <c r="AW1532" s="8"/>
      <c r="AX1532" s="4"/>
      <c r="AY1532" s="8"/>
      <c r="AZ1532" s="7"/>
      <c r="BA1532" s="7"/>
      <c r="BB1532" s="7"/>
      <c r="BC1532" s="4"/>
      <c r="BD1532" s="8"/>
      <c r="BE1532" s="4"/>
      <c r="BF1532" s="8"/>
      <c r="BG1532" s="7"/>
      <c r="BH1532" s="7"/>
      <c r="BI1532" s="7"/>
      <c r="BJ1532" s="4">
        <v>22</v>
      </c>
      <c r="BK1532" s="8">
        <v>1263.35</v>
      </c>
      <c r="BL1532" s="2" t="s">
        <v>4805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7827</v>
      </c>
      <c r="BV1532" s="2" t="s">
        <v>228</v>
      </c>
      <c r="BW1532" s="2" t="s">
        <v>228</v>
      </c>
      <c r="BX1532" s="2" t="s">
        <v>273</v>
      </c>
      <c r="BY1532" s="2" t="s">
        <v>274</v>
      </c>
      <c r="BZ1532" s="2" t="s">
        <v>240</v>
      </c>
      <c r="CA1532" s="2" t="s">
        <v>275</v>
      </c>
      <c r="CB1532" s="2" t="s">
        <v>7828</v>
      </c>
      <c r="CC1532" s="2" t="s">
        <v>241</v>
      </c>
      <c r="CD1532" s="2" t="s">
        <v>228</v>
      </c>
      <c r="CE1532" s="4">
        <v>233</v>
      </c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/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  <c r="FX1532" s="4"/>
      <c r="FY1532" s="4"/>
      <c r="FZ1532" s="4"/>
      <c r="GA1532" s="4"/>
      <c r="GB1532" s="4"/>
      <c r="GC1532" s="4">
        <v>160</v>
      </c>
      <c r="GD1532" s="4"/>
      <c r="GE1532" s="4"/>
      <c r="GF1532" s="4"/>
      <c r="GG1532" s="4"/>
      <c r="GH1532" s="4"/>
      <c r="GI1532" s="4"/>
      <c r="GJ1532" s="4"/>
      <c r="GK1532" s="4"/>
      <c r="GL1532" s="4"/>
      <c r="GM1532" s="4"/>
      <c r="GN1532" s="4"/>
      <c r="GO1532" s="4"/>
      <c r="GP1532" s="4"/>
      <c r="GQ1532" s="4"/>
      <c r="GR1532" s="4"/>
      <c r="GS1532" s="4"/>
      <c r="GT1532" s="4"/>
      <c r="GU1532" s="4"/>
      <c r="GV1532" s="4"/>
      <c r="GW1532" s="4"/>
      <c r="GX1532" s="4"/>
      <c r="GY1532" s="4"/>
      <c r="GZ1532" s="4"/>
      <c r="HA1532" s="4"/>
      <c r="HB1532" s="4"/>
      <c r="HC1532" s="4"/>
      <c r="HD1532" s="4"/>
      <c r="HE1532" s="4"/>
    </row>
    <row r="1533">
      <c r="A1533" s="2" t="s">
        <v>7829</v>
      </c>
      <c r="B1533" s="2" t="s">
        <v>958</v>
      </c>
      <c r="C1533" s="2" t="s">
        <v>300</v>
      </c>
      <c r="D1533" s="2" t="s">
        <v>959</v>
      </c>
      <c r="E1533" s="2" t="s">
        <v>960</v>
      </c>
      <c r="F1533" s="2" t="s">
        <v>7830</v>
      </c>
      <c r="G1533" s="2" t="s">
        <v>7831</v>
      </c>
      <c r="H1533" s="2" t="s">
        <v>7567</v>
      </c>
      <c r="I1533" s="2" t="s">
        <v>7832</v>
      </c>
      <c r="J1533" s="2" t="s">
        <v>840</v>
      </c>
      <c r="K1533" s="2" t="s">
        <v>251</v>
      </c>
      <c r="L1533" s="3">
        <v>207</v>
      </c>
      <c r="M1533" s="3">
        <v>217.35</v>
      </c>
      <c r="N1533" s="3">
        <v>439</v>
      </c>
      <c r="O1533" s="2" t="s">
        <v>240</v>
      </c>
      <c r="P1533" s="2" t="s">
        <v>333</v>
      </c>
      <c r="Q1533" s="2" t="s">
        <v>234</v>
      </c>
      <c r="R1533" s="2" t="s">
        <v>228</v>
      </c>
      <c r="S1533" s="2" t="s">
        <v>7833</v>
      </c>
      <c r="T1533" s="2" t="s">
        <v>228</v>
      </c>
      <c r="U1533" s="2" t="s">
        <v>228</v>
      </c>
      <c r="V1533" s="2" t="s">
        <v>236</v>
      </c>
      <c r="W1533" s="2" t="s">
        <v>463</v>
      </c>
      <c r="X1533" s="2" t="s">
        <v>228</v>
      </c>
      <c r="Y1533" s="2" t="s">
        <v>270</v>
      </c>
      <c r="Z1533" s="4">
        <v>85</v>
      </c>
      <c r="AA1533" s="4">
        <f>=ROUNDDOWN(12.1428571428571,0)</f>
      </c>
      <c r="AB1533" s="5">
        <v>7</v>
      </c>
      <c r="AC1533" s="2" t="s">
        <v>228</v>
      </c>
      <c r="AD1533" s="4"/>
      <c r="AE1533" s="4"/>
      <c r="AF1533" s="6">
        <v>74</v>
      </c>
      <c r="AG1533" s="6"/>
      <c r="AH1533" s="7">
        <v>1</v>
      </c>
      <c r="AI1533" s="4"/>
      <c r="AJ1533" s="4">
        <f>=ROUNDDOWN({0},0)</f>
      </c>
      <c r="AK1533" s="5"/>
      <c r="AL1533" s="2" t="s">
        <v>228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/>
      <c r="AW1533" s="8"/>
      <c r="AX1533" s="4"/>
      <c r="AY1533" s="8"/>
      <c r="AZ1533" s="7"/>
      <c r="BA1533" s="7"/>
      <c r="BB1533" s="7"/>
      <c r="BC1533" s="4"/>
      <c r="BD1533" s="8"/>
      <c r="BE1533" s="4"/>
      <c r="BF1533" s="8"/>
      <c r="BG1533" s="7"/>
      <c r="BH1533" s="7"/>
      <c r="BI1533" s="7"/>
      <c r="BJ1533" s="4">
        <v>5</v>
      </c>
      <c r="BK1533" s="8">
        <v>936.55</v>
      </c>
      <c r="BL1533" s="2" t="s">
        <v>2978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7834</v>
      </c>
      <c r="BV1533" s="2" t="s">
        <v>228</v>
      </c>
      <c r="BW1533" s="2" t="s">
        <v>228</v>
      </c>
      <c r="BX1533" s="2" t="s">
        <v>337</v>
      </c>
      <c r="BY1533" s="2" t="s">
        <v>274</v>
      </c>
      <c r="BZ1533" s="2" t="s">
        <v>240</v>
      </c>
      <c r="CA1533" s="2" t="s">
        <v>3034</v>
      </c>
      <c r="CB1533" s="2" t="s">
        <v>7835</v>
      </c>
      <c r="CC1533" s="2" t="s">
        <v>241</v>
      </c>
      <c r="CD1533" s="2" t="s">
        <v>228</v>
      </c>
      <c r="CE1533" s="4"/>
      <c r="CF1533" s="4">
        <v>85</v>
      </c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/>
      <c r="FZ1533" s="4"/>
      <c r="GA1533" s="4"/>
      <c r="GB1533" s="4"/>
      <c r="GC1533" s="4"/>
      <c r="GD1533" s="4"/>
      <c r="GE1533" s="4"/>
      <c r="GF1533" s="4"/>
      <c r="GG1533" s="4"/>
      <c r="GH1533" s="4"/>
      <c r="GI1533" s="4"/>
      <c r="GJ1533" s="4"/>
      <c r="GK1533" s="4"/>
      <c r="GL1533" s="4"/>
      <c r="GM1533" s="4"/>
      <c r="GN1533" s="4"/>
      <c r="GO1533" s="4"/>
      <c r="GP1533" s="4"/>
      <c r="GQ1533" s="4"/>
      <c r="GR1533" s="4"/>
      <c r="GS1533" s="4"/>
      <c r="GT1533" s="4"/>
      <c r="GU1533" s="4"/>
      <c r="GV1533" s="4"/>
      <c r="GW1533" s="4"/>
      <c r="GX1533" s="4"/>
      <c r="GY1533" s="4"/>
      <c r="GZ1533" s="4"/>
      <c r="HA1533" s="4"/>
      <c r="HB1533" s="4"/>
      <c r="HC1533" s="4"/>
      <c r="HD1533" s="4"/>
      <c r="HE1533" s="4"/>
    </row>
    <row r="1534">
      <c r="A1534" s="2" t="s">
        <v>7836</v>
      </c>
      <c r="B1534" s="2" t="s">
        <v>970</v>
      </c>
      <c r="C1534" s="2" t="s">
        <v>1296</v>
      </c>
      <c r="D1534" s="2" t="s">
        <v>971</v>
      </c>
      <c r="E1534" s="2" t="s">
        <v>972</v>
      </c>
      <c r="F1534" s="2" t="s">
        <v>4523</v>
      </c>
      <c r="G1534" s="2" t="s">
        <v>7837</v>
      </c>
      <c r="H1534" s="2" t="s">
        <v>7838</v>
      </c>
      <c r="I1534" s="2" t="s">
        <v>7839</v>
      </c>
      <c r="J1534" s="2" t="s">
        <v>1300</v>
      </c>
      <c r="K1534" s="2" t="s">
        <v>7840</v>
      </c>
      <c r="L1534" s="3">
        <v>18</v>
      </c>
      <c r="M1534" s="3">
        <v>18.9</v>
      </c>
      <c r="N1534" s="3">
        <v>39.99</v>
      </c>
      <c r="O1534" s="2" t="s">
        <v>491</v>
      </c>
      <c r="P1534" s="2" t="s">
        <v>922</v>
      </c>
      <c r="Q1534" s="2" t="s">
        <v>234</v>
      </c>
      <c r="R1534" s="2" t="s">
        <v>228</v>
      </c>
      <c r="S1534" s="2" t="s">
        <v>7841</v>
      </c>
      <c r="T1534" s="2" t="s">
        <v>228</v>
      </c>
      <c r="U1534" s="2" t="s">
        <v>228</v>
      </c>
      <c r="V1534" s="2" t="s">
        <v>236</v>
      </c>
      <c r="W1534" s="2" t="s">
        <v>269</v>
      </c>
      <c r="X1534" s="2" t="s">
        <v>228</v>
      </c>
      <c r="Y1534" s="2" t="s">
        <v>6820</v>
      </c>
      <c r="Z1534" s="4"/>
      <c r="AA1534" s="4">
        <f>=ROUNDDOWN({0},0)</f>
      </c>
      <c r="AB1534" s="5">
        <v>1</v>
      </c>
      <c r="AC1534" s="2" t="s">
        <v>228</v>
      </c>
      <c r="AD1534" s="4"/>
      <c r="AE1534" s="4"/>
      <c r="AF1534" s="6">
        <v>65</v>
      </c>
      <c r="AG1534" s="6"/>
      <c r="AH1534" s="7">
        <v>0.3548</v>
      </c>
      <c r="AI1534" s="4"/>
      <c r="AJ1534" s="4">
        <f>=ROUNDDOWN({0},0)</f>
      </c>
      <c r="AK1534" s="5"/>
      <c r="AL1534" s="2" t="s">
        <v>228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228</v>
      </c>
      <c r="AW1534" s="8" t="s">
        <v>228</v>
      </c>
      <c r="AX1534" s="4" t="s">
        <v>228</v>
      </c>
      <c r="AY1534" s="8" t="s">
        <v>228</v>
      </c>
      <c r="AZ1534" s="7" t="s">
        <v>228</v>
      </c>
      <c r="BA1534" s="7" t="s">
        <v>228</v>
      </c>
      <c r="BB1534" s="7"/>
      <c r="BC1534" s="4" t="s">
        <v>228</v>
      </c>
      <c r="BD1534" s="8" t="s">
        <v>228</v>
      </c>
      <c r="BE1534" s="4" t="s">
        <v>228</v>
      </c>
      <c r="BF1534" s="8" t="s">
        <v>228</v>
      </c>
      <c r="BG1534" s="7" t="s">
        <v>228</v>
      </c>
      <c r="BH1534" s="7" t="s">
        <v>228</v>
      </c>
      <c r="BI1534" s="7"/>
      <c r="BJ1534" s="4">
        <v>1</v>
      </c>
      <c r="BK1534" s="8">
        <v>16.97</v>
      </c>
      <c r="BL1534" s="2" t="s">
        <v>357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7842</v>
      </c>
      <c r="BV1534" s="2" t="s">
        <v>228</v>
      </c>
      <c r="BW1534" s="2" t="s">
        <v>228</v>
      </c>
      <c r="BX1534" s="2" t="s">
        <v>337</v>
      </c>
      <c r="BY1534" s="2" t="s">
        <v>274</v>
      </c>
      <c r="BZ1534" s="2" t="s">
        <v>240</v>
      </c>
      <c r="CA1534" s="2" t="s">
        <v>6823</v>
      </c>
      <c r="CB1534" s="2" t="s">
        <v>7843</v>
      </c>
      <c r="CC1534" s="2" t="s">
        <v>241</v>
      </c>
      <c r="CD1534" s="2" t="s">
        <v>228</v>
      </c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/>
      <c r="FV1534" s="4"/>
      <c r="FW1534" s="4"/>
      <c r="FX1534" s="4"/>
      <c r="FY1534" s="4"/>
      <c r="FZ1534" s="4"/>
      <c r="GA1534" s="4"/>
      <c r="GB1534" s="4"/>
      <c r="GC1534" s="4"/>
      <c r="GD1534" s="4"/>
      <c r="GE1534" s="4"/>
      <c r="GF1534" s="4"/>
      <c r="GG1534" s="4"/>
      <c r="GH1534" s="4"/>
      <c r="GI1534" s="4"/>
      <c r="GJ1534" s="4"/>
      <c r="GK1534" s="4"/>
      <c r="GL1534" s="4"/>
      <c r="GM1534" s="4"/>
      <c r="GN1534" s="4"/>
      <c r="GO1534" s="4"/>
      <c r="GP1534" s="4"/>
      <c r="GQ1534" s="4"/>
      <c r="GR1534" s="4"/>
      <c r="GS1534" s="4"/>
      <c r="GT1534" s="4"/>
      <c r="GU1534" s="4"/>
      <c r="GV1534" s="4"/>
      <c r="GW1534" s="4"/>
      <c r="GX1534" s="4"/>
      <c r="GY1534" s="4"/>
      <c r="GZ1534" s="4"/>
      <c r="HA1534" s="4"/>
      <c r="HB1534" s="4"/>
      <c r="HC1534" s="4"/>
      <c r="HD1534" s="4"/>
      <c r="HE1534" s="4"/>
    </row>
    <row r="1535">
      <c r="A1535" s="2" t="s">
        <v>7844</v>
      </c>
      <c r="B1535" s="2" t="s">
        <v>970</v>
      </c>
      <c r="C1535" s="2" t="s">
        <v>1296</v>
      </c>
      <c r="D1535" s="2" t="s">
        <v>971</v>
      </c>
      <c r="E1535" s="2" t="s">
        <v>972</v>
      </c>
      <c r="F1535" s="2" t="s">
        <v>4523</v>
      </c>
      <c r="G1535" s="2" t="s">
        <v>7837</v>
      </c>
      <c r="H1535" s="2" t="s">
        <v>7838</v>
      </c>
      <c r="I1535" s="2" t="s">
        <v>7839</v>
      </c>
      <c r="J1535" s="2" t="s">
        <v>7845</v>
      </c>
      <c r="K1535" s="2" t="s">
        <v>7840</v>
      </c>
      <c r="L1535" s="3">
        <v>12.76</v>
      </c>
      <c r="M1535" s="3">
        <v>13.4</v>
      </c>
      <c r="N1535" s="3">
        <v>28.99</v>
      </c>
      <c r="O1535" s="2" t="s">
        <v>240</v>
      </c>
      <c r="P1535" s="2" t="s">
        <v>266</v>
      </c>
      <c r="Q1535" s="2" t="s">
        <v>234</v>
      </c>
      <c r="R1535" s="2" t="s">
        <v>228</v>
      </c>
      <c r="S1535" s="2" t="s">
        <v>7846</v>
      </c>
      <c r="T1535" s="2" t="s">
        <v>228</v>
      </c>
      <c r="U1535" s="2" t="s">
        <v>228</v>
      </c>
      <c r="V1535" s="2" t="s">
        <v>236</v>
      </c>
      <c r="W1535" s="2" t="s">
        <v>269</v>
      </c>
      <c r="X1535" s="2" t="s">
        <v>2411</v>
      </c>
      <c r="Y1535" s="2" t="s">
        <v>6820</v>
      </c>
      <c r="Z1535" s="4">
        <v>30</v>
      </c>
      <c r="AA1535" s="4">
        <f>=ROUNDDOWN(3.75,0)</f>
      </c>
      <c r="AB1535" s="5">
        <v>8</v>
      </c>
      <c r="AC1535" s="2" t="s">
        <v>1352</v>
      </c>
      <c r="AD1535" s="4">
        <v>120</v>
      </c>
      <c r="AE1535" s="4">
        <v>192</v>
      </c>
      <c r="AF1535" s="6">
        <v>65</v>
      </c>
      <c r="AG1535" s="6"/>
      <c r="AH1535" s="7">
        <v>1</v>
      </c>
      <c r="AI1535" s="4"/>
      <c r="AJ1535" s="4">
        <f>=ROUNDDOWN({0},0)</f>
      </c>
      <c r="AK1535" s="5"/>
      <c r="AL1535" s="2" t="s">
        <v>228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228</v>
      </c>
      <c r="AW1535" s="8" t="s">
        <v>228</v>
      </c>
      <c r="AX1535" s="4" t="s">
        <v>228</v>
      </c>
      <c r="AY1535" s="8" t="s">
        <v>228</v>
      </c>
      <c r="AZ1535" s="7" t="s">
        <v>228</v>
      </c>
      <c r="BA1535" s="7" t="s">
        <v>228</v>
      </c>
      <c r="BB1535" s="7"/>
      <c r="BC1535" s="4" t="s">
        <v>228</v>
      </c>
      <c r="BD1535" s="8" t="s">
        <v>228</v>
      </c>
      <c r="BE1535" s="4" t="s">
        <v>228</v>
      </c>
      <c r="BF1535" s="8" t="s">
        <v>228</v>
      </c>
      <c r="BG1535" s="7" t="s">
        <v>228</v>
      </c>
      <c r="BH1535" s="7" t="s">
        <v>228</v>
      </c>
      <c r="BI1535" s="7"/>
      <c r="BJ1535" s="4">
        <v>25</v>
      </c>
      <c r="BK1535" s="8">
        <v>468.31</v>
      </c>
      <c r="BL1535" s="2" t="s">
        <v>6097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7847</v>
      </c>
      <c r="BV1535" s="2" t="s">
        <v>228</v>
      </c>
      <c r="BW1535" s="2" t="s">
        <v>228</v>
      </c>
      <c r="BX1535" s="2" t="s">
        <v>273</v>
      </c>
      <c r="BY1535" s="2" t="s">
        <v>274</v>
      </c>
      <c r="BZ1535" s="2" t="s">
        <v>240</v>
      </c>
      <c r="CA1535" s="2" t="s">
        <v>6823</v>
      </c>
      <c r="CB1535" s="2" t="s">
        <v>3786</v>
      </c>
      <c r="CC1535" s="2" t="s">
        <v>241</v>
      </c>
      <c r="CD1535" s="2" t="s">
        <v>228</v>
      </c>
      <c r="CE1535" s="4">
        <v>30</v>
      </c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>
        <v>120</v>
      </c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>
        <v>72</v>
      </c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/>
      <c r="GE1535" s="4"/>
      <c r="GF1535" s="4"/>
      <c r="GG1535" s="4"/>
      <c r="GH1535" s="4"/>
      <c r="GI1535" s="4"/>
      <c r="GJ1535" s="4"/>
      <c r="GK1535" s="4"/>
      <c r="GL1535" s="4"/>
      <c r="GM1535" s="4"/>
      <c r="GN1535" s="4"/>
      <c r="GO1535" s="4"/>
      <c r="GP1535" s="4"/>
      <c r="GQ1535" s="4"/>
      <c r="GR1535" s="4"/>
      <c r="GS1535" s="4"/>
      <c r="GT1535" s="4"/>
      <c r="GU1535" s="4"/>
      <c r="GV1535" s="4"/>
      <c r="GW1535" s="4"/>
      <c r="GX1535" s="4"/>
      <c r="GY1535" s="4"/>
      <c r="GZ1535" s="4"/>
      <c r="HA1535" s="4"/>
      <c r="HB1535" s="4"/>
      <c r="HC1535" s="4"/>
      <c r="HD1535" s="4"/>
      <c r="HE1535" s="4"/>
    </row>
    <row r="1536">
      <c r="A1536" s="2" t="s">
        <v>7848</v>
      </c>
      <c r="B1536" s="2" t="s">
        <v>970</v>
      </c>
      <c r="C1536" s="2" t="s">
        <v>1296</v>
      </c>
      <c r="D1536" s="2" t="s">
        <v>971</v>
      </c>
      <c r="E1536" s="2" t="s">
        <v>972</v>
      </c>
      <c r="F1536" s="2" t="s">
        <v>4523</v>
      </c>
      <c r="G1536" s="2" t="s">
        <v>7837</v>
      </c>
      <c r="H1536" s="2" t="s">
        <v>7838</v>
      </c>
      <c r="I1536" s="2" t="s">
        <v>7849</v>
      </c>
      <c r="J1536" s="2" t="s">
        <v>7850</v>
      </c>
      <c r="K1536" s="2" t="s">
        <v>249</v>
      </c>
      <c r="L1536" s="3">
        <v>25.85</v>
      </c>
      <c r="M1536" s="3">
        <v>27.14</v>
      </c>
      <c r="N1536" s="3">
        <v>54.99</v>
      </c>
      <c r="O1536" s="2" t="s">
        <v>240</v>
      </c>
      <c r="P1536" s="2" t="s">
        <v>266</v>
      </c>
      <c r="Q1536" s="2" t="s">
        <v>234</v>
      </c>
      <c r="R1536" s="2" t="s">
        <v>228</v>
      </c>
      <c r="S1536" s="2" t="s">
        <v>7851</v>
      </c>
      <c r="T1536" s="2" t="s">
        <v>228</v>
      </c>
      <c r="U1536" s="2" t="s">
        <v>416</v>
      </c>
      <c r="V1536" s="2" t="s">
        <v>236</v>
      </c>
      <c r="W1536" s="2" t="s">
        <v>269</v>
      </c>
      <c r="X1536" s="2" t="s">
        <v>2411</v>
      </c>
      <c r="Y1536" s="2" t="s">
        <v>7852</v>
      </c>
      <c r="Z1536" s="4">
        <v>384</v>
      </c>
      <c r="AA1536" s="4">
        <f>=ROUNDDOWN(24,0)</f>
      </c>
      <c r="AB1536" s="5">
        <v>16</v>
      </c>
      <c r="AC1536" s="2" t="s">
        <v>1370</v>
      </c>
      <c r="AD1536" s="4">
        <v>120</v>
      </c>
      <c r="AE1536" s="4">
        <v>280</v>
      </c>
      <c r="AF1536" s="6">
        <v>65</v>
      </c>
      <c r="AG1536" s="6"/>
      <c r="AH1536" s="7">
        <v>1</v>
      </c>
      <c r="AI1536" s="4"/>
      <c r="AJ1536" s="4">
        <f>=ROUNDDOWN({0},0)</f>
      </c>
      <c r="AK1536" s="5"/>
      <c r="AL1536" s="2" t="s">
        <v>228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/>
      <c r="AW1536" s="8"/>
      <c r="AX1536" s="4"/>
      <c r="AY1536" s="8"/>
      <c r="AZ1536" s="7"/>
      <c r="BA1536" s="7"/>
      <c r="BB1536" s="7"/>
      <c r="BC1536" s="4" t="s">
        <v>228</v>
      </c>
      <c r="BD1536" s="8" t="s">
        <v>228</v>
      </c>
      <c r="BE1536" s="4" t="s">
        <v>228</v>
      </c>
      <c r="BF1536" s="8" t="s">
        <v>228</v>
      </c>
      <c r="BG1536" s="7" t="s">
        <v>228</v>
      </c>
      <c r="BH1536" s="7" t="s">
        <v>228</v>
      </c>
      <c r="BI1536" s="7"/>
      <c r="BJ1536" s="4">
        <v>46</v>
      </c>
      <c r="BK1536" s="8">
        <v>1267.25</v>
      </c>
      <c r="BL1536" s="2" t="s">
        <v>7853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7854</v>
      </c>
      <c r="BV1536" s="2" t="s">
        <v>228</v>
      </c>
      <c r="BW1536" s="2" t="s">
        <v>228</v>
      </c>
      <c r="BX1536" s="2" t="s">
        <v>273</v>
      </c>
      <c r="BY1536" s="2" t="s">
        <v>274</v>
      </c>
      <c r="BZ1536" s="2" t="s">
        <v>240</v>
      </c>
      <c r="CA1536" s="2" t="s">
        <v>7855</v>
      </c>
      <c r="CB1536" s="2" t="s">
        <v>2760</v>
      </c>
      <c r="CC1536" s="2" t="s">
        <v>241</v>
      </c>
      <c r="CD1536" s="2" t="s">
        <v>228</v>
      </c>
      <c r="CE1536" s="4">
        <v>164</v>
      </c>
      <c r="CF1536" s="4"/>
      <c r="CG1536" s="4"/>
      <c r="CH1536" s="4"/>
      <c r="CI1536" s="4"/>
      <c r="CJ1536" s="4"/>
      <c r="CK1536" s="4">
        <v>220</v>
      </c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4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>
        <v>120</v>
      </c>
      <c r="FQ1536" s="4"/>
      <c r="FR1536" s="4"/>
      <c r="FS1536" s="4"/>
      <c r="FT1536" s="4"/>
      <c r="FU1536" s="4"/>
      <c r="FV1536" s="4"/>
      <c r="FW1536" s="4"/>
      <c r="FX1536" s="4"/>
      <c r="FY1536" s="4"/>
      <c r="FZ1536" s="4"/>
      <c r="GA1536" s="4"/>
      <c r="GB1536" s="4"/>
      <c r="GC1536" s="4"/>
      <c r="GD1536" s="4"/>
      <c r="GE1536" s="4"/>
      <c r="GF1536" s="4"/>
      <c r="GG1536" s="4"/>
      <c r="GH1536" s="4"/>
      <c r="GI1536" s="4"/>
      <c r="GJ1536" s="4"/>
      <c r="GK1536" s="4"/>
      <c r="GL1536" s="4"/>
      <c r="GM1536" s="4"/>
      <c r="GN1536" s="4"/>
      <c r="GO1536" s="4"/>
      <c r="GP1536" s="4"/>
      <c r="GQ1536" s="4"/>
      <c r="GR1536" s="4"/>
      <c r="GS1536" s="4"/>
      <c r="GT1536" s="4"/>
      <c r="GU1536" s="4"/>
      <c r="GV1536" s="4"/>
      <c r="GW1536" s="4"/>
      <c r="GX1536" s="4"/>
      <c r="GY1536" s="4"/>
      <c r="GZ1536" s="4"/>
      <c r="HA1536" s="4"/>
      <c r="HB1536" s="4"/>
      <c r="HC1536" s="4"/>
      <c r="HD1536" s="4">
        <v>160</v>
      </c>
      <c r="HE1536" s="4"/>
    </row>
    <row r="1537">
      <c r="A1537" s="2" t="s">
        <v>7856</v>
      </c>
      <c r="B1537" s="2" t="s">
        <v>970</v>
      </c>
      <c r="C1537" s="2" t="s">
        <v>1296</v>
      </c>
      <c r="D1537" s="2" t="s">
        <v>971</v>
      </c>
      <c r="E1537" s="2" t="s">
        <v>972</v>
      </c>
      <c r="F1537" s="2" t="s">
        <v>4523</v>
      </c>
      <c r="G1537" s="2" t="s">
        <v>7837</v>
      </c>
      <c r="H1537" s="2" t="s">
        <v>7838</v>
      </c>
      <c r="I1537" s="2" t="s">
        <v>7839</v>
      </c>
      <c r="J1537" s="2" t="s">
        <v>977</v>
      </c>
      <c r="K1537" s="2" t="s">
        <v>251</v>
      </c>
      <c r="L1537" s="3">
        <v>16.28</v>
      </c>
      <c r="M1537" s="3">
        <v>17.09</v>
      </c>
      <c r="N1537" s="3">
        <v>36.99</v>
      </c>
      <c r="O1537" s="2" t="s">
        <v>240</v>
      </c>
      <c r="P1537" s="2" t="s">
        <v>333</v>
      </c>
      <c r="Q1537" s="2" t="s">
        <v>234</v>
      </c>
      <c r="R1537" s="2" t="s">
        <v>228</v>
      </c>
      <c r="S1537" s="2" t="s">
        <v>7857</v>
      </c>
      <c r="T1537" s="2" t="s">
        <v>228</v>
      </c>
      <c r="U1537" s="2" t="s">
        <v>416</v>
      </c>
      <c r="V1537" s="2" t="s">
        <v>236</v>
      </c>
      <c r="W1537" s="2" t="s">
        <v>269</v>
      </c>
      <c r="X1537" s="2" t="s">
        <v>228</v>
      </c>
      <c r="Y1537" s="2" t="s">
        <v>7858</v>
      </c>
      <c r="Z1537" s="4">
        <v>4</v>
      </c>
      <c r="AA1537" s="4">
        <f>=ROUNDDOWN(1.33333333333333,0)</f>
      </c>
      <c r="AB1537" s="5">
        <v>3</v>
      </c>
      <c r="AC1537" s="2" t="s">
        <v>228</v>
      </c>
      <c r="AD1537" s="4"/>
      <c r="AE1537" s="4"/>
      <c r="AF1537" s="6">
        <v>65</v>
      </c>
      <c r="AG1537" s="6"/>
      <c r="AH1537" s="7">
        <v>1</v>
      </c>
      <c r="AI1537" s="4"/>
      <c r="AJ1537" s="4">
        <f>=ROUNDDOWN({0},0)</f>
      </c>
      <c r="AK1537" s="5"/>
      <c r="AL1537" s="2" t="s">
        <v>228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/>
      <c r="AW1537" s="8"/>
      <c r="AX1537" s="4"/>
      <c r="AY1537" s="8"/>
      <c r="AZ1537" s="7"/>
      <c r="BA1537" s="7"/>
      <c r="BB1537" s="7"/>
      <c r="BC1537" s="4" t="s">
        <v>228</v>
      </c>
      <c r="BD1537" s="8" t="s">
        <v>228</v>
      </c>
      <c r="BE1537" s="4" t="s">
        <v>228</v>
      </c>
      <c r="BF1537" s="8" t="s">
        <v>228</v>
      </c>
      <c r="BG1537" s="7" t="s">
        <v>228</v>
      </c>
      <c r="BH1537" s="7" t="s">
        <v>228</v>
      </c>
      <c r="BI1537" s="7"/>
      <c r="BJ1537" s="4">
        <v>10</v>
      </c>
      <c r="BK1537" s="8">
        <v>113.44</v>
      </c>
      <c r="BL1537" s="2" t="s">
        <v>1098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7859</v>
      </c>
      <c r="BV1537" s="2" t="s">
        <v>228</v>
      </c>
      <c r="BW1537" s="2" t="s">
        <v>228</v>
      </c>
      <c r="BX1537" s="2" t="s">
        <v>337</v>
      </c>
      <c r="BY1537" s="2" t="s">
        <v>274</v>
      </c>
      <c r="BZ1537" s="2" t="s">
        <v>240</v>
      </c>
      <c r="CA1537" s="2" t="s">
        <v>7858</v>
      </c>
      <c r="CB1537" s="2" t="s">
        <v>7860</v>
      </c>
      <c r="CC1537" s="2" t="s">
        <v>241</v>
      </c>
      <c r="CD1537" s="2" t="s">
        <v>228</v>
      </c>
      <c r="CE1537" s="4">
        <v>4</v>
      </c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  <c r="FX1537" s="4"/>
      <c r="FY1537" s="4"/>
      <c r="FZ1537" s="4"/>
      <c r="GA1537" s="4"/>
      <c r="GB1537" s="4"/>
      <c r="GC1537" s="4"/>
      <c r="GD1537" s="4"/>
      <c r="GE1537" s="4"/>
      <c r="GF1537" s="4"/>
      <c r="GG1537" s="4"/>
      <c r="GH1537" s="4"/>
      <c r="GI1537" s="4"/>
      <c r="GJ1537" s="4"/>
      <c r="GK1537" s="4"/>
      <c r="GL1537" s="4"/>
      <c r="GM1537" s="4"/>
      <c r="GN1537" s="4"/>
      <c r="GO1537" s="4"/>
      <c r="GP1537" s="4"/>
      <c r="GQ1537" s="4"/>
      <c r="GR1537" s="4"/>
      <c r="GS1537" s="4"/>
      <c r="GT1537" s="4"/>
      <c r="GU1537" s="4"/>
      <c r="GV1537" s="4"/>
      <c r="GW1537" s="4"/>
      <c r="GX1537" s="4"/>
      <c r="GY1537" s="4"/>
      <c r="GZ1537" s="4"/>
      <c r="HA1537" s="4"/>
      <c r="HB1537" s="4"/>
      <c r="HC1537" s="4"/>
      <c r="HD1537" s="4"/>
      <c r="HE1537" s="4"/>
    </row>
    <row r="1538">
      <c r="A1538" s="2" t="s">
        <v>7861</v>
      </c>
      <c r="B1538" s="2" t="s">
        <v>970</v>
      </c>
      <c r="C1538" s="2" t="s">
        <v>1296</v>
      </c>
      <c r="D1538" s="2" t="s">
        <v>971</v>
      </c>
      <c r="E1538" s="2" t="s">
        <v>972</v>
      </c>
      <c r="F1538" s="2" t="s">
        <v>4523</v>
      </c>
      <c r="G1538" s="2" t="s">
        <v>7837</v>
      </c>
      <c r="H1538" s="2" t="s">
        <v>7838</v>
      </c>
      <c r="I1538" s="2" t="s">
        <v>7839</v>
      </c>
      <c r="J1538" s="2" t="s">
        <v>1300</v>
      </c>
      <c r="K1538" s="2" t="s">
        <v>829</v>
      </c>
      <c r="L1538" s="3">
        <v>18</v>
      </c>
      <c r="M1538" s="3">
        <v>18.9</v>
      </c>
      <c r="N1538" s="3">
        <v>39.99</v>
      </c>
      <c r="O1538" s="2" t="s">
        <v>491</v>
      </c>
      <c r="P1538" s="2" t="s">
        <v>922</v>
      </c>
      <c r="Q1538" s="2" t="s">
        <v>234</v>
      </c>
      <c r="R1538" s="2" t="s">
        <v>228</v>
      </c>
      <c r="S1538" s="2" t="s">
        <v>7862</v>
      </c>
      <c r="T1538" s="2" t="s">
        <v>228</v>
      </c>
      <c r="U1538" s="2" t="s">
        <v>228</v>
      </c>
      <c r="V1538" s="2" t="s">
        <v>236</v>
      </c>
      <c r="W1538" s="2" t="s">
        <v>269</v>
      </c>
      <c r="X1538" s="2" t="s">
        <v>228</v>
      </c>
      <c r="Y1538" s="2" t="s">
        <v>6820</v>
      </c>
      <c r="Z1538" s="4"/>
      <c r="AA1538" s="4">
        <f>=ROUNDDOWN({0},0)</f>
      </c>
      <c r="AB1538" s="5">
        <v>1.2</v>
      </c>
      <c r="AC1538" s="2" t="s">
        <v>228</v>
      </c>
      <c r="AD1538" s="4"/>
      <c r="AE1538" s="4"/>
      <c r="AF1538" s="6">
        <v>65</v>
      </c>
      <c r="AG1538" s="6"/>
      <c r="AH1538" s="7">
        <v>0.2581</v>
      </c>
      <c r="AI1538" s="4"/>
      <c r="AJ1538" s="4">
        <f>=ROUNDDOWN({0},0)</f>
      </c>
      <c r="AK1538" s="5"/>
      <c r="AL1538" s="2" t="s">
        <v>228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 t="s">
        <v>228</v>
      </c>
      <c r="AW1538" s="8" t="s">
        <v>228</v>
      </c>
      <c r="AX1538" s="4" t="s">
        <v>228</v>
      </c>
      <c r="AY1538" s="8" t="s">
        <v>228</v>
      </c>
      <c r="AZ1538" s="7" t="s">
        <v>228</v>
      </c>
      <c r="BA1538" s="7" t="s">
        <v>228</v>
      </c>
      <c r="BB1538" s="7"/>
      <c r="BC1538" s="4" t="s">
        <v>228</v>
      </c>
      <c r="BD1538" s="8" t="s">
        <v>228</v>
      </c>
      <c r="BE1538" s="4" t="s">
        <v>228</v>
      </c>
      <c r="BF1538" s="8" t="s">
        <v>228</v>
      </c>
      <c r="BG1538" s="7" t="s">
        <v>228</v>
      </c>
      <c r="BH1538" s="7" t="s">
        <v>228</v>
      </c>
      <c r="BI1538" s="7"/>
      <c r="BJ1538" s="4">
        <v>3</v>
      </c>
      <c r="BK1538" s="8">
        <v>50.91</v>
      </c>
      <c r="BL1538" s="2" t="s">
        <v>7863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7864</v>
      </c>
      <c r="BV1538" s="2" t="s">
        <v>228</v>
      </c>
      <c r="BW1538" s="2" t="s">
        <v>228</v>
      </c>
      <c r="BX1538" s="2" t="s">
        <v>337</v>
      </c>
      <c r="BY1538" s="2" t="s">
        <v>274</v>
      </c>
      <c r="BZ1538" s="2" t="s">
        <v>240</v>
      </c>
      <c r="CA1538" s="2" t="s">
        <v>6823</v>
      </c>
      <c r="CB1538" s="2" t="s">
        <v>3948</v>
      </c>
      <c r="CC1538" s="2" t="s">
        <v>241</v>
      </c>
      <c r="CD1538" s="2" t="s">
        <v>228</v>
      </c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/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  <c r="FX1538" s="4"/>
      <c r="FY1538" s="4"/>
      <c r="FZ1538" s="4"/>
      <c r="GA1538" s="4"/>
      <c r="GB1538" s="4"/>
      <c r="GC1538" s="4"/>
      <c r="GD1538" s="4"/>
      <c r="GE1538" s="4"/>
      <c r="GF1538" s="4"/>
      <c r="GG1538" s="4"/>
      <c r="GH1538" s="4"/>
      <c r="GI1538" s="4"/>
      <c r="GJ1538" s="4"/>
      <c r="GK1538" s="4"/>
      <c r="GL1538" s="4"/>
      <c r="GM1538" s="4"/>
      <c r="GN1538" s="4"/>
      <c r="GO1538" s="4"/>
      <c r="GP1538" s="4"/>
      <c r="GQ1538" s="4"/>
      <c r="GR1538" s="4"/>
      <c r="GS1538" s="4"/>
      <c r="GT1538" s="4"/>
      <c r="GU1538" s="4"/>
      <c r="GV1538" s="4"/>
      <c r="GW1538" s="4"/>
      <c r="GX1538" s="4"/>
      <c r="GY1538" s="4"/>
      <c r="GZ1538" s="4"/>
      <c r="HA1538" s="4"/>
      <c r="HB1538" s="4"/>
      <c r="HC1538" s="4"/>
      <c r="HD1538" s="4"/>
      <c r="HE1538" s="4"/>
    </row>
    <row r="1539">
      <c r="A1539" s="2" t="s">
        <v>7865</v>
      </c>
      <c r="B1539" s="2" t="s">
        <v>970</v>
      </c>
      <c r="C1539" s="2" t="s">
        <v>1296</v>
      </c>
      <c r="D1539" s="2" t="s">
        <v>971</v>
      </c>
      <c r="E1539" s="2" t="s">
        <v>972</v>
      </c>
      <c r="F1539" s="2" t="s">
        <v>4523</v>
      </c>
      <c r="G1539" s="2" t="s">
        <v>7837</v>
      </c>
      <c r="H1539" s="2" t="s">
        <v>7838</v>
      </c>
      <c r="I1539" s="2" t="s">
        <v>7839</v>
      </c>
      <c r="J1539" s="2" t="s">
        <v>7845</v>
      </c>
      <c r="K1539" s="2" t="s">
        <v>829</v>
      </c>
      <c r="L1539" s="3">
        <v>12.76</v>
      </c>
      <c r="M1539" s="3">
        <v>13.4</v>
      </c>
      <c r="N1539" s="3">
        <v>28.99</v>
      </c>
      <c r="O1539" s="2" t="s">
        <v>240</v>
      </c>
      <c r="P1539" s="2" t="s">
        <v>266</v>
      </c>
      <c r="Q1539" s="2" t="s">
        <v>234</v>
      </c>
      <c r="R1539" s="2" t="s">
        <v>228</v>
      </c>
      <c r="S1539" s="2" t="s">
        <v>7862</v>
      </c>
      <c r="T1539" s="2" t="s">
        <v>228</v>
      </c>
      <c r="U1539" s="2" t="s">
        <v>228</v>
      </c>
      <c r="V1539" s="2" t="s">
        <v>236</v>
      </c>
      <c r="W1539" s="2" t="s">
        <v>269</v>
      </c>
      <c r="X1539" s="2" t="s">
        <v>2411</v>
      </c>
      <c r="Y1539" s="2" t="s">
        <v>6820</v>
      </c>
      <c r="Z1539" s="4">
        <v>206</v>
      </c>
      <c r="AA1539" s="4">
        <f>=ROUNDDOWN(17.1666666666667,0)</f>
      </c>
      <c r="AB1539" s="5">
        <v>12</v>
      </c>
      <c r="AC1539" s="2" t="s">
        <v>1370</v>
      </c>
      <c r="AD1539" s="4">
        <v>132</v>
      </c>
      <c r="AE1539" s="4">
        <v>284</v>
      </c>
      <c r="AF1539" s="6">
        <v>65</v>
      </c>
      <c r="AG1539" s="6"/>
      <c r="AH1539" s="7">
        <v>1</v>
      </c>
      <c r="AI1539" s="4"/>
      <c r="AJ1539" s="4">
        <f>=ROUNDDOWN({0},0)</f>
      </c>
      <c r="AK1539" s="5"/>
      <c r="AL1539" s="2" t="s">
        <v>228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228</v>
      </c>
      <c r="AW1539" s="8" t="s">
        <v>228</v>
      </c>
      <c r="AX1539" s="4" t="s">
        <v>228</v>
      </c>
      <c r="AY1539" s="8" t="s">
        <v>228</v>
      </c>
      <c r="AZ1539" s="7" t="s">
        <v>228</v>
      </c>
      <c r="BA1539" s="7" t="s">
        <v>228</v>
      </c>
      <c r="BB1539" s="7"/>
      <c r="BC1539" s="4" t="s">
        <v>228</v>
      </c>
      <c r="BD1539" s="8" t="s">
        <v>228</v>
      </c>
      <c r="BE1539" s="4" t="s">
        <v>228</v>
      </c>
      <c r="BF1539" s="8" t="s">
        <v>228</v>
      </c>
      <c r="BG1539" s="7" t="s">
        <v>228</v>
      </c>
      <c r="BH1539" s="7" t="s">
        <v>228</v>
      </c>
      <c r="BI1539" s="7"/>
      <c r="BJ1539" s="4">
        <v>39</v>
      </c>
      <c r="BK1539" s="8">
        <v>509.31</v>
      </c>
      <c r="BL1539" s="2" t="s">
        <v>2720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7866</v>
      </c>
      <c r="BV1539" s="2" t="s">
        <v>228</v>
      </c>
      <c r="BW1539" s="2" t="s">
        <v>228</v>
      </c>
      <c r="BX1539" s="2" t="s">
        <v>273</v>
      </c>
      <c r="BY1539" s="2" t="s">
        <v>274</v>
      </c>
      <c r="BZ1539" s="2" t="s">
        <v>240</v>
      </c>
      <c r="CA1539" s="2" t="s">
        <v>6823</v>
      </c>
      <c r="CB1539" s="2" t="s">
        <v>4018</v>
      </c>
      <c r="CC1539" s="2" t="s">
        <v>241</v>
      </c>
      <c r="CD1539" s="2" t="s">
        <v>228</v>
      </c>
      <c r="CE1539" s="4">
        <v>206</v>
      </c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>
        <v>132</v>
      </c>
      <c r="FQ1539" s="4"/>
      <c r="FR1539" s="4"/>
      <c r="FS1539" s="4"/>
      <c r="FT1539" s="4"/>
      <c r="FU1539" s="4"/>
      <c r="FV1539" s="4"/>
      <c r="FW1539" s="4"/>
      <c r="FX1539" s="4"/>
      <c r="FY1539" s="4"/>
      <c r="FZ1539" s="4"/>
      <c r="GA1539" s="4"/>
      <c r="GB1539" s="4"/>
      <c r="GC1539" s="4"/>
      <c r="GD1539" s="4"/>
      <c r="GE1539" s="4"/>
      <c r="GF1539" s="4"/>
      <c r="GG1539" s="4"/>
      <c r="GH1539" s="4"/>
      <c r="GI1539" s="4"/>
      <c r="GJ1539" s="4"/>
      <c r="GK1539" s="4"/>
      <c r="GL1539" s="4"/>
      <c r="GM1539" s="4"/>
      <c r="GN1539" s="4"/>
      <c r="GO1539" s="4"/>
      <c r="GP1539" s="4"/>
      <c r="GQ1539" s="4"/>
      <c r="GR1539" s="4"/>
      <c r="GS1539" s="4"/>
      <c r="GT1539" s="4"/>
      <c r="GU1539" s="4"/>
      <c r="GV1539" s="4"/>
      <c r="GW1539" s="4"/>
      <c r="GX1539" s="4"/>
      <c r="GY1539" s="4"/>
      <c r="GZ1539" s="4"/>
      <c r="HA1539" s="4"/>
      <c r="HB1539" s="4"/>
      <c r="HC1539" s="4"/>
      <c r="HD1539" s="4">
        <v>152</v>
      </c>
      <c r="HE1539" s="4"/>
    </row>
    <row r="1540">
      <c r="A1540" s="2" t="s">
        <v>7867</v>
      </c>
      <c r="B1540" s="2" t="s">
        <v>970</v>
      </c>
      <c r="C1540" s="2" t="s">
        <v>1743</v>
      </c>
      <c r="D1540" s="2" t="s">
        <v>3702</v>
      </c>
      <c r="E1540" s="2" t="s">
        <v>238</v>
      </c>
      <c r="F1540" s="2" t="s">
        <v>7868</v>
      </c>
      <c r="G1540" s="2" t="s">
        <v>7869</v>
      </c>
      <c r="H1540" s="2" t="s">
        <v>7869</v>
      </c>
      <c r="I1540" s="2" t="s">
        <v>7870</v>
      </c>
      <c r="J1540" s="2" t="s">
        <v>7871</v>
      </c>
      <c r="K1540" s="2" t="s">
        <v>3005</v>
      </c>
      <c r="L1540" s="3">
        <v>18.72</v>
      </c>
      <c r="M1540" s="3">
        <v>19.66</v>
      </c>
      <c r="N1540" s="3">
        <v>41.99</v>
      </c>
      <c r="O1540" s="2" t="s">
        <v>240</v>
      </c>
      <c r="P1540" s="2" t="s">
        <v>233</v>
      </c>
      <c r="Q1540" s="2" t="s">
        <v>234</v>
      </c>
      <c r="R1540" s="2" t="s">
        <v>228</v>
      </c>
      <c r="S1540" s="2" t="s">
        <v>7872</v>
      </c>
      <c r="T1540" s="2" t="s">
        <v>228</v>
      </c>
      <c r="U1540" s="2" t="s">
        <v>416</v>
      </c>
      <c r="V1540" s="2" t="s">
        <v>1644</v>
      </c>
      <c r="W1540" s="2" t="s">
        <v>228</v>
      </c>
      <c r="X1540" s="2" t="s">
        <v>228</v>
      </c>
      <c r="Y1540" s="2" t="s">
        <v>3610</v>
      </c>
      <c r="Z1540" s="4">
        <v>128</v>
      </c>
      <c r="AA1540" s="4">
        <f>=ROUNDDOWN(25.6,0)</f>
      </c>
      <c r="AB1540" s="5">
        <v>5</v>
      </c>
      <c r="AC1540" s="2" t="s">
        <v>228</v>
      </c>
      <c r="AD1540" s="4"/>
      <c r="AE1540" s="4"/>
      <c r="AF1540" s="6">
        <v>65</v>
      </c>
      <c r="AG1540" s="6"/>
      <c r="AH1540" s="7">
        <v>1</v>
      </c>
      <c r="AI1540" s="4"/>
      <c r="AJ1540" s="4">
        <f>=ROUNDDOWN({0},0)</f>
      </c>
      <c r="AK1540" s="5"/>
      <c r="AL1540" s="2" t="s">
        <v>228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/>
      <c r="AW1540" s="8"/>
      <c r="AX1540" s="4"/>
      <c r="AY1540" s="8"/>
      <c r="AZ1540" s="7"/>
      <c r="BA1540" s="7"/>
      <c r="BB1540" s="7"/>
      <c r="BC1540" s="4" t="s">
        <v>228</v>
      </c>
      <c r="BD1540" s="8" t="s">
        <v>228</v>
      </c>
      <c r="BE1540" s="4" t="s">
        <v>228</v>
      </c>
      <c r="BF1540" s="8" t="s">
        <v>228</v>
      </c>
      <c r="BG1540" s="7" t="s">
        <v>228</v>
      </c>
      <c r="BH1540" s="7" t="s">
        <v>228</v>
      </c>
      <c r="BI1540" s="7"/>
      <c r="BJ1540" s="4"/>
      <c r="BK1540" s="8"/>
      <c r="BL1540" s="2" t="s">
        <v>228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238</v>
      </c>
      <c r="BV1540" s="2" t="s">
        <v>228</v>
      </c>
      <c r="BW1540" s="2" t="s">
        <v>228</v>
      </c>
      <c r="BX1540" s="2" t="s">
        <v>3576</v>
      </c>
      <c r="BY1540" s="2" t="s">
        <v>4862</v>
      </c>
      <c r="BZ1540" s="2" t="s">
        <v>240</v>
      </c>
      <c r="CA1540" s="2" t="s">
        <v>228</v>
      </c>
      <c r="CB1540" s="2" t="s">
        <v>228</v>
      </c>
      <c r="CC1540" s="2" t="s">
        <v>241</v>
      </c>
      <c r="CD1540" s="2" t="s">
        <v>228</v>
      </c>
      <c r="CE1540" s="4">
        <v>128</v>
      </c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  <c r="FX1540" s="4"/>
      <c r="FY1540" s="4"/>
      <c r="FZ1540" s="4"/>
      <c r="GA1540" s="4"/>
      <c r="GB1540" s="4"/>
      <c r="GC1540" s="4"/>
      <c r="GD1540" s="4"/>
      <c r="GE1540" s="4"/>
      <c r="GF1540" s="4"/>
      <c r="GG1540" s="4"/>
      <c r="GH1540" s="4"/>
      <c r="GI1540" s="4"/>
      <c r="GJ1540" s="4"/>
      <c r="GK1540" s="4"/>
      <c r="GL1540" s="4"/>
      <c r="GM1540" s="4"/>
      <c r="GN1540" s="4"/>
      <c r="GO1540" s="4"/>
      <c r="GP1540" s="4"/>
      <c r="GQ1540" s="4"/>
      <c r="GR1540" s="4"/>
      <c r="GS1540" s="4"/>
      <c r="GT1540" s="4"/>
      <c r="GU1540" s="4"/>
      <c r="GV1540" s="4"/>
      <c r="GW1540" s="4"/>
      <c r="GX1540" s="4"/>
      <c r="GY1540" s="4"/>
      <c r="GZ1540" s="4"/>
      <c r="HA1540" s="4"/>
      <c r="HB1540" s="4"/>
      <c r="HC1540" s="4"/>
      <c r="HD1540" s="4"/>
      <c r="HE1540" s="4"/>
    </row>
    <row r="1541">
      <c r="A1541" s="2" t="s">
        <v>7873</v>
      </c>
      <c r="B1541" s="2" t="s">
        <v>970</v>
      </c>
      <c r="C1541" s="2" t="s">
        <v>1743</v>
      </c>
      <c r="D1541" s="2" t="s">
        <v>3702</v>
      </c>
      <c r="E1541" s="2" t="s">
        <v>238</v>
      </c>
      <c r="F1541" s="2" t="s">
        <v>7868</v>
      </c>
      <c r="G1541" s="2" t="s">
        <v>7869</v>
      </c>
      <c r="H1541" s="2" t="s">
        <v>7869</v>
      </c>
      <c r="I1541" s="2" t="s">
        <v>7870</v>
      </c>
      <c r="J1541" s="2" t="s">
        <v>7871</v>
      </c>
      <c r="K1541" s="2" t="s">
        <v>888</v>
      </c>
      <c r="L1541" s="3">
        <v>18.72</v>
      </c>
      <c r="M1541" s="3">
        <v>19.66</v>
      </c>
      <c r="N1541" s="3">
        <v>41.99</v>
      </c>
      <c r="O1541" s="2" t="s">
        <v>240</v>
      </c>
      <c r="P1541" s="2" t="s">
        <v>233</v>
      </c>
      <c r="Q1541" s="2" t="s">
        <v>234</v>
      </c>
      <c r="R1541" s="2" t="s">
        <v>228</v>
      </c>
      <c r="S1541" s="2" t="s">
        <v>7874</v>
      </c>
      <c r="T1541" s="2" t="s">
        <v>228</v>
      </c>
      <c r="U1541" s="2" t="s">
        <v>416</v>
      </c>
      <c r="V1541" s="2" t="s">
        <v>1781</v>
      </c>
      <c r="W1541" s="2" t="s">
        <v>228</v>
      </c>
      <c r="X1541" s="2" t="s">
        <v>228</v>
      </c>
      <c r="Y1541" s="2" t="s">
        <v>3610</v>
      </c>
      <c r="Z1541" s="4">
        <v>199</v>
      </c>
      <c r="AA1541" s="4">
        <f>=ROUNDDOWN(24.875,0)</f>
      </c>
      <c r="AB1541" s="5">
        <v>8</v>
      </c>
      <c r="AC1541" s="2" t="s">
        <v>228</v>
      </c>
      <c r="AD1541" s="4"/>
      <c r="AE1541" s="4"/>
      <c r="AF1541" s="6">
        <v>65</v>
      </c>
      <c r="AG1541" s="6"/>
      <c r="AH1541" s="7">
        <v>1</v>
      </c>
      <c r="AI1541" s="4"/>
      <c r="AJ1541" s="4">
        <f>=ROUNDDOWN({0},0)</f>
      </c>
      <c r="AK1541" s="5"/>
      <c r="AL1541" s="2" t="s">
        <v>228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/>
      <c r="AW1541" s="8"/>
      <c r="AX1541" s="4"/>
      <c r="AY1541" s="8"/>
      <c r="AZ1541" s="7"/>
      <c r="BA1541" s="7"/>
      <c r="BB1541" s="7"/>
      <c r="BC1541" s="4" t="s">
        <v>228</v>
      </c>
      <c r="BD1541" s="8" t="s">
        <v>228</v>
      </c>
      <c r="BE1541" s="4" t="s">
        <v>228</v>
      </c>
      <c r="BF1541" s="8" t="s">
        <v>228</v>
      </c>
      <c r="BG1541" s="7" t="s">
        <v>228</v>
      </c>
      <c r="BH1541" s="7" t="s">
        <v>228</v>
      </c>
      <c r="BI1541" s="7"/>
      <c r="BJ1541" s="4">
        <v>1</v>
      </c>
      <c r="BK1541" s="8">
        <v>19.66</v>
      </c>
      <c r="BL1541" s="2" t="s">
        <v>1933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238</v>
      </c>
      <c r="BV1541" s="2" t="s">
        <v>228</v>
      </c>
      <c r="BW1541" s="2" t="s">
        <v>228</v>
      </c>
      <c r="BX1541" s="2" t="s">
        <v>3576</v>
      </c>
      <c r="BY1541" s="2" t="s">
        <v>4862</v>
      </c>
      <c r="BZ1541" s="2" t="s">
        <v>240</v>
      </c>
      <c r="CA1541" s="2" t="s">
        <v>228</v>
      </c>
      <c r="CB1541" s="2" t="s">
        <v>228</v>
      </c>
      <c r="CC1541" s="2" t="s">
        <v>241</v>
      </c>
      <c r="CD1541" s="2" t="s">
        <v>228</v>
      </c>
      <c r="CE1541" s="4">
        <v>199</v>
      </c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  <c r="FX1541" s="4"/>
      <c r="FY1541" s="4"/>
      <c r="FZ1541" s="4"/>
      <c r="GA1541" s="4"/>
      <c r="GB1541" s="4"/>
      <c r="GC1541" s="4"/>
      <c r="GD1541" s="4"/>
      <c r="GE1541" s="4"/>
      <c r="GF1541" s="4"/>
      <c r="GG1541" s="4"/>
      <c r="GH1541" s="4"/>
      <c r="GI1541" s="4"/>
      <c r="GJ1541" s="4"/>
      <c r="GK1541" s="4"/>
      <c r="GL1541" s="4"/>
      <c r="GM1541" s="4"/>
      <c r="GN1541" s="4"/>
      <c r="GO1541" s="4"/>
      <c r="GP1541" s="4"/>
      <c r="GQ1541" s="4"/>
      <c r="GR1541" s="4"/>
      <c r="GS1541" s="4"/>
      <c r="GT1541" s="4"/>
      <c r="GU1541" s="4"/>
      <c r="GV1541" s="4"/>
      <c r="GW1541" s="4"/>
      <c r="GX1541" s="4"/>
      <c r="GY1541" s="4"/>
      <c r="GZ1541" s="4"/>
      <c r="HA1541" s="4"/>
      <c r="HB1541" s="4"/>
      <c r="HC1541" s="4"/>
      <c r="HD1541" s="4"/>
      <c r="HE1541" s="4"/>
    </row>
    <row r="1542">
      <c r="A1542" s="2" t="s">
        <v>7875</v>
      </c>
      <c r="B1542" s="2" t="s">
        <v>1150</v>
      </c>
      <c r="C1542" s="2" t="s">
        <v>2217</v>
      </c>
      <c r="D1542" s="2" t="s">
        <v>1862</v>
      </c>
      <c r="E1542" s="2" t="s">
        <v>1863</v>
      </c>
      <c r="F1542" s="2" t="s">
        <v>7876</v>
      </c>
      <c r="G1542" s="2" t="s">
        <v>7876</v>
      </c>
      <c r="H1542" s="2" t="s">
        <v>7876</v>
      </c>
      <c r="I1542" s="2" t="s">
        <v>2316</v>
      </c>
      <c r="J1542" s="2" t="s">
        <v>1991</v>
      </c>
      <c r="K1542" s="2" t="s">
        <v>249</v>
      </c>
      <c r="L1542" s="3">
        <v>24.76</v>
      </c>
      <c r="M1542" s="3">
        <v>26</v>
      </c>
      <c r="N1542" s="3">
        <v>79.99</v>
      </c>
      <c r="O1542" s="2" t="s">
        <v>240</v>
      </c>
      <c r="P1542" s="2" t="s">
        <v>333</v>
      </c>
      <c r="Q1542" s="2" t="s">
        <v>234</v>
      </c>
      <c r="R1542" s="2" t="s">
        <v>228</v>
      </c>
      <c r="S1542" s="2" t="s">
        <v>228</v>
      </c>
      <c r="T1542" s="2" t="s">
        <v>3067</v>
      </c>
      <c r="U1542" s="2" t="s">
        <v>228</v>
      </c>
      <c r="V1542" s="2" t="s">
        <v>387</v>
      </c>
      <c r="W1542" s="2" t="s">
        <v>463</v>
      </c>
      <c r="X1542" s="2" t="s">
        <v>228</v>
      </c>
      <c r="Y1542" s="2" t="s">
        <v>2824</v>
      </c>
      <c r="Z1542" s="4">
        <v>178</v>
      </c>
      <c r="AA1542" s="4">
        <f>=ROUNDDOWN(178,0)</f>
      </c>
      <c r="AB1542" s="5">
        <v>1</v>
      </c>
      <c r="AC1542" s="2" t="s">
        <v>228</v>
      </c>
      <c r="AD1542" s="4"/>
      <c r="AE1542" s="4"/>
      <c r="AF1542" s="6">
        <v>65</v>
      </c>
      <c r="AG1542" s="6"/>
      <c r="AH1542" s="7">
        <v>1</v>
      </c>
      <c r="AI1542" s="4"/>
      <c r="AJ1542" s="4">
        <f>=ROUNDDOWN({0},0)</f>
      </c>
      <c r="AK1542" s="5"/>
      <c r="AL1542" s="2" t="s">
        <v>228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/>
      <c r="AW1542" s="8"/>
      <c r="AX1542" s="4"/>
      <c r="AY1542" s="8"/>
      <c r="AZ1542" s="7"/>
      <c r="BA1542" s="7"/>
      <c r="BB1542" s="7"/>
      <c r="BC1542" s="4" t="s">
        <v>228</v>
      </c>
      <c r="BD1542" s="8" t="s">
        <v>228</v>
      </c>
      <c r="BE1542" s="4" t="s">
        <v>228</v>
      </c>
      <c r="BF1542" s="8" t="s">
        <v>228</v>
      </c>
      <c r="BG1542" s="7" t="s">
        <v>228</v>
      </c>
      <c r="BH1542" s="7" t="s">
        <v>228</v>
      </c>
      <c r="BI1542" s="7"/>
      <c r="BJ1542" s="4">
        <v>4</v>
      </c>
      <c r="BK1542" s="8">
        <v>154.69</v>
      </c>
      <c r="BL1542" s="2" t="s">
        <v>7877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7878</v>
      </c>
      <c r="BV1542" s="2" t="s">
        <v>228</v>
      </c>
      <c r="BW1542" s="2" t="s">
        <v>228</v>
      </c>
      <c r="BX1542" s="2" t="s">
        <v>337</v>
      </c>
      <c r="BY1542" s="2" t="s">
        <v>274</v>
      </c>
      <c r="BZ1542" s="2" t="s">
        <v>240</v>
      </c>
      <c r="CA1542" s="2" t="s">
        <v>1469</v>
      </c>
      <c r="CB1542" s="2" t="s">
        <v>5478</v>
      </c>
      <c r="CC1542" s="2" t="s">
        <v>241</v>
      </c>
      <c r="CD1542" s="2" t="s">
        <v>228</v>
      </c>
      <c r="CE1542" s="4">
        <v>178</v>
      </c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/>
      <c r="GE1542" s="4"/>
      <c r="GF1542" s="4"/>
      <c r="GG1542" s="4"/>
      <c r="GH1542" s="4"/>
      <c r="GI1542" s="4"/>
      <c r="GJ1542" s="4"/>
      <c r="GK1542" s="4"/>
      <c r="GL1542" s="4"/>
      <c r="GM1542" s="4"/>
      <c r="GN1542" s="4"/>
      <c r="GO1542" s="4"/>
      <c r="GP1542" s="4"/>
      <c r="GQ1542" s="4"/>
      <c r="GR1542" s="4"/>
      <c r="GS1542" s="4"/>
      <c r="GT1542" s="4"/>
      <c r="GU1542" s="4"/>
      <c r="GV1542" s="4"/>
      <c r="GW1542" s="4"/>
      <c r="GX1542" s="4"/>
      <c r="GY1542" s="4"/>
      <c r="GZ1542" s="4"/>
      <c r="HA1542" s="4"/>
      <c r="HB1542" s="4"/>
      <c r="HC1542" s="4"/>
      <c r="HD1542" s="4"/>
      <c r="HE1542" s="4"/>
    </row>
    <row r="1543">
      <c r="A1543" s="2" t="s">
        <v>7879</v>
      </c>
      <c r="B1543" s="2" t="s">
        <v>1150</v>
      </c>
      <c r="C1543" s="2" t="s">
        <v>2217</v>
      </c>
      <c r="D1543" s="2" t="s">
        <v>1862</v>
      </c>
      <c r="E1543" s="2" t="s">
        <v>1863</v>
      </c>
      <c r="F1543" s="2" t="s">
        <v>7876</v>
      </c>
      <c r="G1543" s="2" t="s">
        <v>7876</v>
      </c>
      <c r="H1543" s="2" t="s">
        <v>7876</v>
      </c>
      <c r="I1543" s="2" t="s">
        <v>2316</v>
      </c>
      <c r="J1543" s="2" t="s">
        <v>1991</v>
      </c>
      <c r="K1543" s="2" t="s">
        <v>1478</v>
      </c>
      <c r="L1543" s="3">
        <v>24.76</v>
      </c>
      <c r="M1543" s="3">
        <v>26</v>
      </c>
      <c r="N1543" s="3">
        <v>79.99</v>
      </c>
      <c r="O1543" s="2" t="s">
        <v>240</v>
      </c>
      <c r="P1543" s="2" t="s">
        <v>333</v>
      </c>
      <c r="Q1543" s="2" t="s">
        <v>234</v>
      </c>
      <c r="R1543" s="2" t="s">
        <v>228</v>
      </c>
      <c r="S1543" s="2" t="s">
        <v>228</v>
      </c>
      <c r="T1543" s="2" t="s">
        <v>228</v>
      </c>
      <c r="U1543" s="2" t="s">
        <v>228</v>
      </c>
      <c r="V1543" s="2" t="s">
        <v>387</v>
      </c>
      <c r="W1543" s="2" t="s">
        <v>463</v>
      </c>
      <c r="X1543" s="2" t="s">
        <v>228</v>
      </c>
      <c r="Y1543" s="2" t="s">
        <v>2824</v>
      </c>
      <c r="Z1543" s="4">
        <v>149</v>
      </c>
      <c r="AA1543" s="4">
        <f>=ROUNDDOWN(74.5,0)</f>
      </c>
      <c r="AB1543" s="5">
        <v>2</v>
      </c>
      <c r="AC1543" s="2" t="s">
        <v>228</v>
      </c>
      <c r="AD1543" s="4"/>
      <c r="AE1543" s="4"/>
      <c r="AF1543" s="6">
        <v>65</v>
      </c>
      <c r="AG1543" s="6"/>
      <c r="AH1543" s="7">
        <v>1</v>
      </c>
      <c r="AI1543" s="4"/>
      <c r="AJ1543" s="4">
        <f>=ROUNDDOWN({0},0)</f>
      </c>
      <c r="AK1543" s="5"/>
      <c r="AL1543" s="2" t="s">
        <v>228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/>
      <c r="AW1543" s="8"/>
      <c r="AX1543" s="4"/>
      <c r="AY1543" s="8"/>
      <c r="AZ1543" s="7"/>
      <c r="BA1543" s="7"/>
      <c r="BB1543" s="7"/>
      <c r="BC1543" s="4" t="s">
        <v>228</v>
      </c>
      <c r="BD1543" s="8" t="s">
        <v>228</v>
      </c>
      <c r="BE1543" s="4" t="s">
        <v>228</v>
      </c>
      <c r="BF1543" s="8" t="s">
        <v>228</v>
      </c>
      <c r="BG1543" s="7" t="s">
        <v>228</v>
      </c>
      <c r="BH1543" s="7" t="s">
        <v>228</v>
      </c>
      <c r="BI1543" s="7"/>
      <c r="BJ1543" s="4">
        <v>5</v>
      </c>
      <c r="BK1543" s="8">
        <v>79.82</v>
      </c>
      <c r="BL1543" s="2" t="s">
        <v>2220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7880</v>
      </c>
      <c r="BV1543" s="2" t="s">
        <v>228</v>
      </c>
      <c r="BW1543" s="2" t="s">
        <v>228</v>
      </c>
      <c r="BX1543" s="2" t="s">
        <v>337</v>
      </c>
      <c r="BY1543" s="2" t="s">
        <v>274</v>
      </c>
      <c r="BZ1543" s="2" t="s">
        <v>240</v>
      </c>
      <c r="CA1543" s="2" t="s">
        <v>1469</v>
      </c>
      <c r="CB1543" s="2" t="s">
        <v>2673</v>
      </c>
      <c r="CC1543" s="2" t="s">
        <v>241</v>
      </c>
      <c r="CD1543" s="2" t="s">
        <v>228</v>
      </c>
      <c r="CE1543" s="4">
        <v>149</v>
      </c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  <c r="FX1543" s="4"/>
      <c r="FY1543" s="4"/>
      <c r="FZ1543" s="4"/>
      <c r="GA1543" s="4"/>
      <c r="GB1543" s="4"/>
      <c r="GC1543" s="4"/>
      <c r="GD1543" s="4"/>
      <c r="GE1543" s="4"/>
      <c r="GF1543" s="4"/>
      <c r="GG1543" s="4"/>
      <c r="GH1543" s="4"/>
      <c r="GI1543" s="4"/>
      <c r="GJ1543" s="4"/>
      <c r="GK1543" s="4"/>
      <c r="GL1543" s="4"/>
      <c r="GM1543" s="4"/>
      <c r="GN1543" s="4"/>
      <c r="GO1543" s="4"/>
      <c r="GP1543" s="4"/>
      <c r="GQ1543" s="4"/>
      <c r="GR1543" s="4"/>
      <c r="GS1543" s="4"/>
      <c r="GT1543" s="4"/>
      <c r="GU1543" s="4"/>
      <c r="GV1543" s="4"/>
      <c r="GW1543" s="4"/>
      <c r="GX1543" s="4"/>
      <c r="GY1543" s="4"/>
      <c r="GZ1543" s="4"/>
      <c r="HA1543" s="4"/>
      <c r="HB1543" s="4"/>
      <c r="HC1543" s="4"/>
      <c r="HD1543" s="4"/>
      <c r="HE1543" s="4"/>
    </row>
    <row r="1544">
      <c r="A1544" s="2" t="s">
        <v>7881</v>
      </c>
      <c r="B1544" s="2" t="s">
        <v>834</v>
      </c>
      <c r="C1544" s="2" t="s">
        <v>1142</v>
      </c>
      <c r="D1544" s="2" t="s">
        <v>836</v>
      </c>
      <c r="E1544" s="2" t="s">
        <v>837</v>
      </c>
      <c r="F1544" s="2" t="s">
        <v>7882</v>
      </c>
      <c r="G1544" s="2" t="s">
        <v>7882</v>
      </c>
      <c r="H1544" s="2" t="s">
        <v>7882</v>
      </c>
      <c r="I1544" s="2" t="s">
        <v>7883</v>
      </c>
      <c r="J1544" s="2" t="s">
        <v>840</v>
      </c>
      <c r="K1544" s="2" t="s">
        <v>5328</v>
      </c>
      <c r="L1544" s="3">
        <v>66.24</v>
      </c>
      <c r="M1544" s="3">
        <v>69.55</v>
      </c>
      <c r="N1544" s="3">
        <v>149.99</v>
      </c>
      <c r="O1544" s="2" t="s">
        <v>461</v>
      </c>
      <c r="P1544" s="2" t="s">
        <v>333</v>
      </c>
      <c r="Q1544" s="2" t="s">
        <v>234</v>
      </c>
      <c r="R1544" s="2" t="s">
        <v>228</v>
      </c>
      <c r="S1544" s="2" t="s">
        <v>228</v>
      </c>
      <c r="T1544" s="2" t="s">
        <v>228</v>
      </c>
      <c r="U1544" s="2" t="s">
        <v>416</v>
      </c>
      <c r="V1544" s="2" t="s">
        <v>842</v>
      </c>
      <c r="W1544" s="2" t="s">
        <v>417</v>
      </c>
      <c r="X1544" s="2" t="s">
        <v>228</v>
      </c>
      <c r="Y1544" s="2" t="s">
        <v>3334</v>
      </c>
      <c r="Z1544" s="4">
        <v>126</v>
      </c>
      <c r="AA1544" s="4">
        <f>=ROUNDDOWN({0},0)</f>
      </c>
      <c r="AB1544" s="5"/>
      <c r="AC1544" s="2" t="s">
        <v>228</v>
      </c>
      <c r="AD1544" s="4"/>
      <c r="AE1544" s="4"/>
      <c r="AF1544" s="6">
        <v>65</v>
      </c>
      <c r="AG1544" s="6"/>
      <c r="AH1544" s="7">
        <v>1</v>
      </c>
      <c r="AI1544" s="4"/>
      <c r="AJ1544" s="4">
        <f>=ROUNDDOWN({0},0)</f>
      </c>
      <c r="AK1544" s="5"/>
      <c r="AL1544" s="2" t="s">
        <v>228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/>
      <c r="AW1544" s="8"/>
      <c r="AX1544" s="4"/>
      <c r="AY1544" s="8"/>
      <c r="AZ1544" s="7"/>
      <c r="BA1544" s="7"/>
      <c r="BB1544" s="7"/>
      <c r="BC1544" s="4"/>
      <c r="BD1544" s="8"/>
      <c r="BE1544" s="4"/>
      <c r="BF1544" s="8"/>
      <c r="BG1544" s="7"/>
      <c r="BH1544" s="7"/>
      <c r="BI1544" s="7"/>
      <c r="BJ1544" s="4"/>
      <c r="BK1544" s="8"/>
      <c r="BL1544" s="2" t="s">
        <v>7884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7885</v>
      </c>
      <c r="BV1544" s="2" t="s">
        <v>228</v>
      </c>
      <c r="BW1544" s="2" t="s">
        <v>228</v>
      </c>
      <c r="BX1544" s="2" t="s">
        <v>337</v>
      </c>
      <c r="BY1544" s="2" t="s">
        <v>274</v>
      </c>
      <c r="BZ1544" s="2" t="s">
        <v>240</v>
      </c>
      <c r="CA1544" s="2" t="s">
        <v>7886</v>
      </c>
      <c r="CB1544" s="2" t="s">
        <v>7887</v>
      </c>
      <c r="CC1544" s="2" t="s">
        <v>241</v>
      </c>
      <c r="CD1544" s="2" t="s">
        <v>228</v>
      </c>
      <c r="CE1544" s="4"/>
      <c r="CF1544" s="4">
        <v>126</v>
      </c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/>
      <c r="FX1544" s="4"/>
      <c r="FY1544" s="4"/>
      <c r="FZ1544" s="4"/>
      <c r="GA1544" s="4"/>
      <c r="GB1544" s="4"/>
      <c r="GC1544" s="4"/>
      <c r="GD1544" s="4"/>
      <c r="GE1544" s="4"/>
      <c r="GF1544" s="4"/>
      <c r="GG1544" s="4"/>
      <c r="GH1544" s="4"/>
      <c r="GI1544" s="4"/>
      <c r="GJ1544" s="4"/>
      <c r="GK1544" s="4"/>
      <c r="GL1544" s="4"/>
      <c r="GM1544" s="4"/>
      <c r="GN1544" s="4"/>
      <c r="GO1544" s="4"/>
      <c r="GP1544" s="4"/>
      <c r="GQ1544" s="4"/>
      <c r="GR1544" s="4"/>
      <c r="GS1544" s="4"/>
      <c r="GT1544" s="4"/>
      <c r="GU1544" s="4"/>
      <c r="GV1544" s="4"/>
      <c r="GW1544" s="4"/>
      <c r="GX1544" s="4"/>
      <c r="GY1544" s="4"/>
      <c r="GZ1544" s="4"/>
      <c r="HA1544" s="4"/>
      <c r="HB1544" s="4"/>
      <c r="HC1544" s="4"/>
      <c r="HD1544" s="4"/>
      <c r="HE1544" s="4"/>
    </row>
    <row r="1545">
      <c r="A1545" s="2" t="s">
        <v>7888</v>
      </c>
      <c r="B1545" s="2" t="s">
        <v>958</v>
      </c>
      <c r="C1545" s="2" t="s">
        <v>835</v>
      </c>
      <c r="D1545" s="2" t="s">
        <v>2164</v>
      </c>
      <c r="E1545" s="2" t="s">
        <v>2165</v>
      </c>
      <c r="F1545" s="2" t="s">
        <v>7889</v>
      </c>
      <c r="G1545" s="2" t="s">
        <v>7889</v>
      </c>
      <c r="H1545" s="2" t="s">
        <v>7889</v>
      </c>
      <c r="I1545" s="2" t="s">
        <v>7890</v>
      </c>
      <c r="J1545" s="2" t="s">
        <v>840</v>
      </c>
      <c r="K1545" s="2" t="s">
        <v>305</v>
      </c>
      <c r="L1545" s="3">
        <v>405</v>
      </c>
      <c r="M1545" s="3">
        <v>425.25</v>
      </c>
      <c r="N1545" s="3">
        <v>849</v>
      </c>
      <c r="O1545" s="2" t="s">
        <v>240</v>
      </c>
      <c r="P1545" s="2" t="s">
        <v>1012</v>
      </c>
      <c r="Q1545" s="2" t="s">
        <v>234</v>
      </c>
      <c r="R1545" s="2" t="s">
        <v>228</v>
      </c>
      <c r="S1545" s="2" t="s">
        <v>228</v>
      </c>
      <c r="T1545" s="2" t="s">
        <v>228</v>
      </c>
      <c r="U1545" s="2" t="s">
        <v>228</v>
      </c>
      <c r="V1545" s="2" t="s">
        <v>842</v>
      </c>
      <c r="W1545" s="2" t="s">
        <v>843</v>
      </c>
      <c r="X1545" s="2" t="s">
        <v>417</v>
      </c>
      <c r="Y1545" s="2" t="s">
        <v>1032</v>
      </c>
      <c r="Z1545" s="4">
        <v>98</v>
      </c>
      <c r="AA1545" s="4">
        <f>=ROUNDDOWN(70,0)</f>
      </c>
      <c r="AB1545" s="5">
        <v>1.4</v>
      </c>
      <c r="AC1545" s="2" t="s">
        <v>7891</v>
      </c>
      <c r="AD1545" s="4">
        <v>90</v>
      </c>
      <c r="AE1545" s="4">
        <v>100</v>
      </c>
      <c r="AF1545" s="6">
        <v>74</v>
      </c>
      <c r="AG1545" s="6"/>
      <c r="AH1545" s="7">
        <v>1</v>
      </c>
      <c r="AI1545" s="4"/>
      <c r="AJ1545" s="4">
        <f>=ROUNDDOWN({0},0)</f>
      </c>
      <c r="AK1545" s="5"/>
      <c r="AL1545" s="2" t="s">
        <v>228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/>
      <c r="AW1545" s="8"/>
      <c r="AX1545" s="4"/>
      <c r="AY1545" s="8"/>
      <c r="AZ1545" s="7"/>
      <c r="BA1545" s="7"/>
      <c r="BB1545" s="7"/>
      <c r="BC1545" s="4" t="s">
        <v>228</v>
      </c>
      <c r="BD1545" s="8" t="s">
        <v>228</v>
      </c>
      <c r="BE1545" s="4" t="s">
        <v>228</v>
      </c>
      <c r="BF1545" s="8" t="s">
        <v>228</v>
      </c>
      <c r="BG1545" s="7" t="s">
        <v>228</v>
      </c>
      <c r="BH1545" s="7" t="s">
        <v>228</v>
      </c>
      <c r="BI1545" s="7"/>
      <c r="BJ1545" s="4">
        <v>2</v>
      </c>
      <c r="BK1545" s="8">
        <v>701.07</v>
      </c>
      <c r="BL1545" s="2" t="s">
        <v>2978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7892</v>
      </c>
      <c r="BV1545" s="2" t="s">
        <v>228</v>
      </c>
      <c r="BW1545" s="2" t="s">
        <v>228</v>
      </c>
      <c r="BX1545" s="2" t="s">
        <v>273</v>
      </c>
      <c r="BY1545" s="2" t="s">
        <v>274</v>
      </c>
      <c r="BZ1545" s="2" t="s">
        <v>240</v>
      </c>
      <c r="CA1545" s="2" t="s">
        <v>1569</v>
      </c>
      <c r="CB1545" s="2" t="s">
        <v>5263</v>
      </c>
      <c r="CC1545" s="2" t="s">
        <v>241</v>
      </c>
      <c r="CD1545" s="2" t="s">
        <v>228</v>
      </c>
      <c r="CE1545" s="4"/>
      <c r="CF1545" s="4">
        <v>98</v>
      </c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>
        <v>90</v>
      </c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>
        <v>10</v>
      </c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/>
      <c r="GE1545" s="4"/>
      <c r="GF1545" s="4"/>
      <c r="GG1545" s="4"/>
      <c r="GH1545" s="4"/>
      <c r="GI1545" s="4"/>
      <c r="GJ1545" s="4"/>
      <c r="GK1545" s="4"/>
      <c r="GL1545" s="4"/>
      <c r="GM1545" s="4"/>
      <c r="GN1545" s="4"/>
      <c r="GO1545" s="4"/>
      <c r="GP1545" s="4"/>
      <c r="GQ1545" s="4"/>
      <c r="GR1545" s="4"/>
      <c r="GS1545" s="4"/>
      <c r="GT1545" s="4"/>
      <c r="GU1545" s="4"/>
      <c r="GV1545" s="4"/>
      <c r="GW1545" s="4"/>
      <c r="GX1545" s="4"/>
      <c r="GY1545" s="4"/>
      <c r="GZ1545" s="4"/>
      <c r="HA1545" s="4"/>
      <c r="HB1545" s="4"/>
      <c r="HC1545" s="4"/>
      <c r="HD1545" s="4"/>
      <c r="HE1545" s="4"/>
    </row>
    <row r="1546">
      <c r="A1546" s="2" t="s">
        <v>7893</v>
      </c>
      <c r="B1546" s="2" t="s">
        <v>958</v>
      </c>
      <c r="C1546" s="2" t="s">
        <v>835</v>
      </c>
      <c r="D1546" s="2" t="s">
        <v>3271</v>
      </c>
      <c r="E1546" s="2" t="s">
        <v>7894</v>
      </c>
      <c r="F1546" s="2" t="s">
        <v>7889</v>
      </c>
      <c r="G1546" s="2" t="s">
        <v>7889</v>
      </c>
      <c r="H1546" s="2" t="s">
        <v>7889</v>
      </c>
      <c r="I1546" s="2" t="s">
        <v>7895</v>
      </c>
      <c r="J1546" s="2" t="s">
        <v>840</v>
      </c>
      <c r="K1546" s="2" t="s">
        <v>4935</v>
      </c>
      <c r="L1546" s="3">
        <v>118</v>
      </c>
      <c r="M1546" s="3">
        <v>123.9</v>
      </c>
      <c r="N1546" s="3">
        <v>249</v>
      </c>
      <c r="O1546" s="2" t="s">
        <v>240</v>
      </c>
      <c r="P1546" s="2" t="s">
        <v>266</v>
      </c>
      <c r="Q1546" s="2" t="s">
        <v>234</v>
      </c>
      <c r="R1546" s="2" t="s">
        <v>228</v>
      </c>
      <c r="S1546" s="2" t="s">
        <v>7896</v>
      </c>
      <c r="T1546" s="2" t="s">
        <v>228</v>
      </c>
      <c r="U1546" s="2" t="s">
        <v>228</v>
      </c>
      <c r="V1546" s="2" t="s">
        <v>236</v>
      </c>
      <c r="W1546" s="2" t="s">
        <v>843</v>
      </c>
      <c r="X1546" s="2" t="s">
        <v>228</v>
      </c>
      <c r="Y1546" s="2" t="s">
        <v>270</v>
      </c>
      <c r="Z1546" s="4">
        <v>144</v>
      </c>
      <c r="AA1546" s="4">
        <f>=ROUNDDOWN(36,0)</f>
      </c>
      <c r="AB1546" s="5">
        <v>4</v>
      </c>
      <c r="AC1546" s="2" t="s">
        <v>228</v>
      </c>
      <c r="AD1546" s="4"/>
      <c r="AE1546" s="4"/>
      <c r="AF1546" s="6">
        <v>74</v>
      </c>
      <c r="AG1546" s="6">
        <v>60</v>
      </c>
      <c r="AH1546" s="7">
        <v>1</v>
      </c>
      <c r="AI1546" s="4"/>
      <c r="AJ1546" s="4">
        <f>=ROUNDDOWN({0},0)</f>
      </c>
      <c r="AK1546" s="5"/>
      <c r="AL1546" s="2" t="s">
        <v>228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/>
      <c r="AW1546" s="8"/>
      <c r="AX1546" s="4"/>
      <c r="AY1546" s="8"/>
      <c r="AZ1546" s="7"/>
      <c r="BA1546" s="7"/>
      <c r="BB1546" s="7"/>
      <c r="BC1546" s="4" t="s">
        <v>228</v>
      </c>
      <c r="BD1546" s="8" t="s">
        <v>228</v>
      </c>
      <c r="BE1546" s="4" t="s">
        <v>228</v>
      </c>
      <c r="BF1546" s="8" t="s">
        <v>228</v>
      </c>
      <c r="BG1546" s="7" t="s">
        <v>228</v>
      </c>
      <c r="BH1546" s="7" t="s">
        <v>228</v>
      </c>
      <c r="BI1546" s="7"/>
      <c r="BJ1546" s="4">
        <v>20</v>
      </c>
      <c r="BK1546" s="8">
        <v>1965.9</v>
      </c>
      <c r="BL1546" s="2" t="s">
        <v>7897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7898</v>
      </c>
      <c r="BV1546" s="2" t="s">
        <v>228</v>
      </c>
      <c r="BW1546" s="2" t="s">
        <v>228</v>
      </c>
      <c r="BX1546" s="2" t="s">
        <v>273</v>
      </c>
      <c r="BY1546" s="2" t="s">
        <v>274</v>
      </c>
      <c r="BZ1546" s="2" t="s">
        <v>240</v>
      </c>
      <c r="CA1546" s="2" t="s">
        <v>7899</v>
      </c>
      <c r="CB1546" s="2" t="s">
        <v>5107</v>
      </c>
      <c r="CC1546" s="2" t="s">
        <v>241</v>
      </c>
      <c r="CD1546" s="2" t="s">
        <v>228</v>
      </c>
      <c r="CE1546" s="4"/>
      <c r="CF1546" s="4">
        <v>143</v>
      </c>
      <c r="CG1546" s="4"/>
      <c r="CH1546" s="4">
        <v>1</v>
      </c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/>
      <c r="FZ1546" s="4"/>
      <c r="GA1546" s="4"/>
      <c r="GB1546" s="4"/>
      <c r="GC1546" s="4"/>
      <c r="GD1546" s="4"/>
      <c r="GE1546" s="4"/>
      <c r="GF1546" s="4"/>
      <c r="GG1546" s="4"/>
      <c r="GH1546" s="4"/>
      <c r="GI1546" s="4"/>
      <c r="GJ1546" s="4"/>
      <c r="GK1546" s="4"/>
      <c r="GL1546" s="4"/>
      <c r="GM1546" s="4"/>
      <c r="GN1546" s="4"/>
      <c r="GO1546" s="4"/>
      <c r="GP1546" s="4"/>
      <c r="GQ1546" s="4"/>
      <c r="GR1546" s="4"/>
      <c r="GS1546" s="4"/>
      <c r="GT1546" s="4"/>
      <c r="GU1546" s="4"/>
      <c r="GV1546" s="4"/>
      <c r="GW1546" s="4"/>
      <c r="GX1546" s="4"/>
      <c r="GY1546" s="4"/>
      <c r="GZ1546" s="4"/>
      <c r="HA1546" s="4"/>
      <c r="HB1546" s="4"/>
      <c r="HC1546" s="4"/>
      <c r="HD1546" s="4"/>
      <c r="HE1546" s="4"/>
    </row>
    <row r="1547">
      <c r="A1547" s="2" t="s">
        <v>7900</v>
      </c>
      <c r="B1547" s="2" t="s">
        <v>958</v>
      </c>
      <c r="C1547" s="2" t="s">
        <v>835</v>
      </c>
      <c r="D1547" s="2" t="s">
        <v>1257</v>
      </c>
      <c r="E1547" s="2" t="s">
        <v>2091</v>
      </c>
      <c r="F1547" s="2" t="s">
        <v>7889</v>
      </c>
      <c r="G1547" s="2" t="s">
        <v>7889</v>
      </c>
      <c r="H1547" s="2" t="s">
        <v>7889</v>
      </c>
      <c r="I1547" s="2" t="s">
        <v>7901</v>
      </c>
      <c r="J1547" s="2" t="s">
        <v>289</v>
      </c>
      <c r="K1547" s="2" t="s">
        <v>7902</v>
      </c>
      <c r="L1547" s="3">
        <v>370</v>
      </c>
      <c r="M1547" s="3">
        <v>388.5</v>
      </c>
      <c r="N1547" s="3">
        <v>769</v>
      </c>
      <c r="O1547" s="2" t="s">
        <v>240</v>
      </c>
      <c r="P1547" s="2" t="s">
        <v>333</v>
      </c>
      <c r="Q1547" s="2" t="s">
        <v>234</v>
      </c>
      <c r="R1547" s="2" t="s">
        <v>228</v>
      </c>
      <c r="S1547" s="2" t="s">
        <v>228</v>
      </c>
      <c r="T1547" s="2" t="s">
        <v>228</v>
      </c>
      <c r="U1547" s="2" t="s">
        <v>416</v>
      </c>
      <c r="V1547" s="2" t="s">
        <v>842</v>
      </c>
      <c r="W1547" s="2" t="s">
        <v>843</v>
      </c>
      <c r="X1547" s="2" t="s">
        <v>843</v>
      </c>
      <c r="Y1547" s="2" t="s">
        <v>4883</v>
      </c>
      <c r="Z1547" s="4">
        <v>68</v>
      </c>
      <c r="AA1547" s="4">
        <f>=ROUNDDOWN(340,0)</f>
      </c>
      <c r="AB1547" s="5">
        <v>0.2</v>
      </c>
      <c r="AC1547" s="2" t="s">
        <v>228</v>
      </c>
      <c r="AD1547" s="4"/>
      <c r="AE1547" s="4"/>
      <c r="AF1547" s="6">
        <v>74</v>
      </c>
      <c r="AG1547" s="6"/>
      <c r="AH1547" s="7">
        <v>1</v>
      </c>
      <c r="AI1547" s="4"/>
      <c r="AJ1547" s="4">
        <f>=ROUNDDOWN({0},0)</f>
      </c>
      <c r="AK1547" s="5"/>
      <c r="AL1547" s="2" t="s">
        <v>228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/>
      <c r="AW1547" s="8"/>
      <c r="AX1547" s="4"/>
      <c r="AY1547" s="8"/>
      <c r="AZ1547" s="7"/>
      <c r="BA1547" s="7"/>
      <c r="BB1547" s="7"/>
      <c r="BC1547" s="4" t="s">
        <v>228</v>
      </c>
      <c r="BD1547" s="8" t="s">
        <v>228</v>
      </c>
      <c r="BE1547" s="4" t="s">
        <v>228</v>
      </c>
      <c r="BF1547" s="8" t="s">
        <v>228</v>
      </c>
      <c r="BG1547" s="7" t="s">
        <v>228</v>
      </c>
      <c r="BH1547" s="7" t="s">
        <v>228</v>
      </c>
      <c r="BI1547" s="7"/>
      <c r="BJ1547" s="4"/>
      <c r="BK1547" s="8"/>
      <c r="BL1547" s="2" t="s">
        <v>1033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7903</v>
      </c>
      <c r="BV1547" s="2" t="s">
        <v>228</v>
      </c>
      <c r="BW1547" s="2" t="s">
        <v>228</v>
      </c>
      <c r="BX1547" s="2" t="s">
        <v>337</v>
      </c>
      <c r="BY1547" s="2" t="s">
        <v>274</v>
      </c>
      <c r="BZ1547" s="2" t="s">
        <v>240</v>
      </c>
      <c r="CA1547" s="2" t="s">
        <v>6415</v>
      </c>
      <c r="CB1547" s="2" t="s">
        <v>6481</v>
      </c>
      <c r="CC1547" s="2" t="s">
        <v>241</v>
      </c>
      <c r="CD1547" s="2" t="s">
        <v>228</v>
      </c>
      <c r="CE1547" s="4"/>
      <c r="CF1547" s="4">
        <v>68</v>
      </c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  <c r="FX1547" s="4"/>
      <c r="FY1547" s="4"/>
      <c r="FZ1547" s="4"/>
      <c r="GA1547" s="4"/>
      <c r="GB1547" s="4"/>
      <c r="GC1547" s="4"/>
      <c r="GD1547" s="4"/>
      <c r="GE1547" s="4"/>
      <c r="GF1547" s="4"/>
      <c r="GG1547" s="4"/>
      <c r="GH1547" s="4"/>
      <c r="GI1547" s="4"/>
      <c r="GJ1547" s="4"/>
      <c r="GK1547" s="4"/>
      <c r="GL1547" s="4"/>
      <c r="GM1547" s="4"/>
      <c r="GN1547" s="4"/>
      <c r="GO1547" s="4"/>
      <c r="GP1547" s="4"/>
      <c r="GQ1547" s="4"/>
      <c r="GR1547" s="4"/>
      <c r="GS1547" s="4"/>
      <c r="GT1547" s="4"/>
      <c r="GU1547" s="4"/>
      <c r="GV1547" s="4"/>
      <c r="GW1547" s="4"/>
      <c r="GX1547" s="4"/>
      <c r="GY1547" s="4"/>
      <c r="GZ1547" s="4"/>
      <c r="HA1547" s="4"/>
      <c r="HB1547" s="4"/>
      <c r="HC1547" s="4"/>
      <c r="HD1547" s="4"/>
      <c r="HE1547" s="4"/>
    </row>
    <row r="1548">
      <c r="A1548" s="2" t="s">
        <v>7904</v>
      </c>
      <c r="B1548" s="2" t="s">
        <v>848</v>
      </c>
      <c r="C1548" s="2" t="s">
        <v>1037</v>
      </c>
      <c r="D1548" s="2" t="s">
        <v>1316</v>
      </c>
      <c r="E1548" s="2" t="s">
        <v>1317</v>
      </c>
      <c r="F1548" s="2" t="s">
        <v>7889</v>
      </c>
      <c r="G1548" s="2" t="s">
        <v>2962</v>
      </c>
      <c r="H1548" s="2" t="s">
        <v>7905</v>
      </c>
      <c r="I1548" s="2" t="s">
        <v>7906</v>
      </c>
      <c r="J1548" s="2" t="s">
        <v>1189</v>
      </c>
      <c r="K1548" s="2" t="s">
        <v>480</v>
      </c>
      <c r="L1548" s="3">
        <v>71.39</v>
      </c>
      <c r="M1548" s="3">
        <v>74.96</v>
      </c>
      <c r="N1548" s="3">
        <v>139.99</v>
      </c>
      <c r="O1548" s="2" t="s">
        <v>240</v>
      </c>
      <c r="P1548" s="2" t="s">
        <v>266</v>
      </c>
      <c r="Q1548" s="2" t="s">
        <v>234</v>
      </c>
      <c r="R1548" s="2" t="s">
        <v>228</v>
      </c>
      <c r="S1548" s="2" t="s">
        <v>7907</v>
      </c>
      <c r="T1548" s="2" t="s">
        <v>350</v>
      </c>
      <c r="U1548" s="2" t="s">
        <v>500</v>
      </c>
      <c r="V1548" s="2" t="s">
        <v>236</v>
      </c>
      <c r="W1548" s="2" t="s">
        <v>417</v>
      </c>
      <c r="X1548" s="2" t="s">
        <v>2834</v>
      </c>
      <c r="Y1548" s="2" t="s">
        <v>7908</v>
      </c>
      <c r="Z1548" s="4">
        <v>110</v>
      </c>
      <c r="AA1548" s="4">
        <f>=ROUNDDOWN(55,0)</f>
      </c>
      <c r="AB1548" s="5">
        <v>2</v>
      </c>
      <c r="AC1548" s="2" t="s">
        <v>228</v>
      </c>
      <c r="AD1548" s="4"/>
      <c r="AE1548" s="4"/>
      <c r="AF1548" s="6">
        <v>69</v>
      </c>
      <c r="AG1548" s="6"/>
      <c r="AH1548" s="7">
        <v>1</v>
      </c>
      <c r="AI1548" s="4"/>
      <c r="AJ1548" s="4">
        <f>=ROUNDDOWN({0},0)</f>
      </c>
      <c r="AK1548" s="5"/>
      <c r="AL1548" s="2" t="s">
        <v>228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 t="s">
        <v>228</v>
      </c>
      <c r="AW1548" s="8" t="s">
        <v>228</v>
      </c>
      <c r="AX1548" s="4" t="s">
        <v>228</v>
      </c>
      <c r="AY1548" s="8" t="s">
        <v>228</v>
      </c>
      <c r="AZ1548" s="7" t="s">
        <v>228</v>
      </c>
      <c r="BA1548" s="7" t="s">
        <v>228</v>
      </c>
      <c r="BB1548" s="7" t="s">
        <v>228</v>
      </c>
      <c r="BC1548" s="4" t="s">
        <v>228</v>
      </c>
      <c r="BD1548" s="8" t="s">
        <v>228</v>
      </c>
      <c r="BE1548" s="4" t="s">
        <v>228</v>
      </c>
      <c r="BF1548" s="8" t="s">
        <v>228</v>
      </c>
      <c r="BG1548" s="7" t="s">
        <v>228</v>
      </c>
      <c r="BH1548" s="7" t="s">
        <v>228</v>
      </c>
      <c r="BI1548" s="7"/>
      <c r="BJ1548" s="4">
        <v>2</v>
      </c>
      <c r="BK1548" s="8">
        <v>159.41</v>
      </c>
      <c r="BL1548" s="2" t="s">
        <v>404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7909</v>
      </c>
      <c r="BV1548" s="2" t="s">
        <v>228</v>
      </c>
      <c r="BW1548" s="2" t="s">
        <v>228</v>
      </c>
      <c r="BX1548" s="2" t="s">
        <v>273</v>
      </c>
      <c r="BY1548" s="2" t="s">
        <v>274</v>
      </c>
      <c r="BZ1548" s="2" t="s">
        <v>240</v>
      </c>
      <c r="CA1548" s="2" t="s">
        <v>7908</v>
      </c>
      <c r="CB1548" s="2" t="s">
        <v>1664</v>
      </c>
      <c r="CC1548" s="2" t="s">
        <v>241</v>
      </c>
      <c r="CD1548" s="2" t="s">
        <v>228</v>
      </c>
      <c r="CE1548" s="4">
        <v>110</v>
      </c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/>
      <c r="GE1548" s="4"/>
      <c r="GF1548" s="4"/>
      <c r="GG1548" s="4"/>
      <c r="GH1548" s="4"/>
      <c r="GI1548" s="4"/>
      <c r="GJ1548" s="4"/>
      <c r="GK1548" s="4"/>
      <c r="GL1548" s="4"/>
      <c r="GM1548" s="4"/>
      <c r="GN1548" s="4"/>
      <c r="GO1548" s="4"/>
      <c r="GP1548" s="4"/>
      <c r="GQ1548" s="4"/>
      <c r="GR1548" s="4"/>
      <c r="GS1548" s="4"/>
      <c r="GT1548" s="4"/>
      <c r="GU1548" s="4"/>
      <c r="GV1548" s="4"/>
      <c r="GW1548" s="4"/>
      <c r="GX1548" s="4"/>
      <c r="GY1548" s="4"/>
      <c r="GZ1548" s="4"/>
      <c r="HA1548" s="4"/>
      <c r="HB1548" s="4"/>
      <c r="HC1548" s="4"/>
      <c r="HD1548" s="4"/>
      <c r="HE1548" s="4"/>
    </row>
    <row r="1549">
      <c r="A1549" s="2" t="s">
        <v>7910</v>
      </c>
      <c r="B1549" s="2" t="s">
        <v>848</v>
      </c>
      <c r="C1549" s="2" t="s">
        <v>1037</v>
      </c>
      <c r="D1549" s="2" t="s">
        <v>850</v>
      </c>
      <c r="E1549" s="2" t="s">
        <v>1038</v>
      </c>
      <c r="F1549" s="2" t="s">
        <v>7889</v>
      </c>
      <c r="G1549" s="2" t="s">
        <v>2962</v>
      </c>
      <c r="H1549" s="2" t="s">
        <v>7905</v>
      </c>
      <c r="I1549" s="2" t="s">
        <v>7911</v>
      </c>
      <c r="J1549" s="2" t="s">
        <v>1189</v>
      </c>
      <c r="K1549" s="2" t="s">
        <v>480</v>
      </c>
      <c r="L1549" s="3">
        <v>54.99</v>
      </c>
      <c r="M1549" s="3">
        <v>57.74</v>
      </c>
      <c r="N1549" s="3">
        <v>109.99</v>
      </c>
      <c r="O1549" s="2" t="s">
        <v>240</v>
      </c>
      <c r="P1549" s="2" t="s">
        <v>266</v>
      </c>
      <c r="Q1549" s="2" t="s">
        <v>234</v>
      </c>
      <c r="R1549" s="2" t="s">
        <v>228</v>
      </c>
      <c r="S1549" s="2" t="s">
        <v>7907</v>
      </c>
      <c r="T1549" s="2" t="s">
        <v>350</v>
      </c>
      <c r="U1549" s="2" t="s">
        <v>500</v>
      </c>
      <c r="V1549" s="2" t="s">
        <v>236</v>
      </c>
      <c r="W1549" s="2" t="s">
        <v>417</v>
      </c>
      <c r="X1549" s="2" t="s">
        <v>2834</v>
      </c>
      <c r="Y1549" s="2" t="s">
        <v>6600</v>
      </c>
      <c r="Z1549" s="4">
        <v>129</v>
      </c>
      <c r="AA1549" s="4">
        <f>=ROUNDDOWN(25.8,0)</f>
      </c>
      <c r="AB1549" s="5">
        <v>5</v>
      </c>
      <c r="AC1549" s="2" t="s">
        <v>7912</v>
      </c>
      <c r="AD1549" s="4">
        <v>105</v>
      </c>
      <c r="AE1549" s="4">
        <v>165</v>
      </c>
      <c r="AF1549" s="6">
        <v>69</v>
      </c>
      <c r="AG1549" s="6"/>
      <c r="AH1549" s="7">
        <v>1</v>
      </c>
      <c r="AI1549" s="4"/>
      <c r="AJ1549" s="4">
        <f>=ROUNDDOWN({0},0)</f>
      </c>
      <c r="AK1549" s="5"/>
      <c r="AL1549" s="2" t="s">
        <v>228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 t="s">
        <v>228</v>
      </c>
      <c r="AW1549" s="8" t="s">
        <v>228</v>
      </c>
      <c r="AX1549" s="4" t="s">
        <v>228</v>
      </c>
      <c r="AY1549" s="8" t="s">
        <v>228</v>
      </c>
      <c r="AZ1549" s="7" t="s">
        <v>228</v>
      </c>
      <c r="BA1549" s="7" t="s">
        <v>228</v>
      </c>
      <c r="BB1549" s="7" t="s">
        <v>228</v>
      </c>
      <c r="BC1549" s="4" t="s">
        <v>228</v>
      </c>
      <c r="BD1549" s="8" t="s">
        <v>228</v>
      </c>
      <c r="BE1549" s="4" t="s">
        <v>228</v>
      </c>
      <c r="BF1549" s="8" t="s">
        <v>228</v>
      </c>
      <c r="BG1549" s="7" t="s">
        <v>228</v>
      </c>
      <c r="BH1549" s="7" t="s">
        <v>228</v>
      </c>
      <c r="BI1549" s="7"/>
      <c r="BJ1549" s="4">
        <v>32</v>
      </c>
      <c r="BK1549" s="8">
        <v>1905.56</v>
      </c>
      <c r="BL1549" s="2" t="s">
        <v>7913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7914</v>
      </c>
      <c r="BV1549" s="2" t="s">
        <v>228</v>
      </c>
      <c r="BW1549" s="2" t="s">
        <v>228</v>
      </c>
      <c r="BX1549" s="2" t="s">
        <v>273</v>
      </c>
      <c r="BY1549" s="2" t="s">
        <v>274</v>
      </c>
      <c r="BZ1549" s="2" t="s">
        <v>240</v>
      </c>
      <c r="CA1549" s="2" t="s">
        <v>6600</v>
      </c>
      <c r="CB1549" s="2" t="s">
        <v>6611</v>
      </c>
      <c r="CC1549" s="2" t="s">
        <v>241</v>
      </c>
      <c r="CD1549" s="2" t="s">
        <v>228</v>
      </c>
      <c r="CE1549" s="4">
        <v>129</v>
      </c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>
        <v>105</v>
      </c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4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  <c r="FX1549" s="4"/>
      <c r="FY1549" s="4"/>
      <c r="FZ1549" s="4"/>
      <c r="GA1549" s="4"/>
      <c r="GB1549" s="4"/>
      <c r="GC1549" s="4"/>
      <c r="GD1549" s="4"/>
      <c r="GE1549" s="4"/>
      <c r="GF1549" s="4"/>
      <c r="GG1549" s="4"/>
      <c r="GH1549" s="4"/>
      <c r="GI1549" s="4"/>
      <c r="GJ1549" s="4"/>
      <c r="GK1549" s="4"/>
      <c r="GL1549" s="4"/>
      <c r="GM1549" s="4"/>
      <c r="GN1549" s="4">
        <v>60</v>
      </c>
      <c r="GO1549" s="4"/>
      <c r="GP1549" s="4"/>
      <c r="GQ1549" s="4"/>
      <c r="GR1549" s="4"/>
      <c r="GS1549" s="4"/>
      <c r="GT1549" s="4"/>
      <c r="GU1549" s="4"/>
      <c r="GV1549" s="4"/>
      <c r="GW1549" s="4"/>
      <c r="GX1549" s="4"/>
      <c r="GY1549" s="4"/>
      <c r="GZ1549" s="4"/>
      <c r="HA1549" s="4"/>
      <c r="HB1549" s="4"/>
      <c r="HC1549" s="4"/>
      <c r="HD1549" s="4"/>
      <c r="HE1549" s="4"/>
    </row>
    <row r="1550">
      <c r="A1550" s="2" t="s">
        <v>7915</v>
      </c>
      <c r="B1550" s="2" t="s">
        <v>1150</v>
      </c>
      <c r="C1550" s="2" t="s">
        <v>345</v>
      </c>
      <c r="D1550" s="2" t="s">
        <v>1112</v>
      </c>
      <c r="E1550" s="2" t="s">
        <v>1151</v>
      </c>
      <c r="F1550" s="2" t="s">
        <v>7916</v>
      </c>
      <c r="G1550" s="2" t="s">
        <v>7917</v>
      </c>
      <c r="H1550" s="2" t="s">
        <v>7918</v>
      </c>
      <c r="I1550" s="2" t="s">
        <v>7919</v>
      </c>
      <c r="J1550" s="2" t="s">
        <v>289</v>
      </c>
      <c r="K1550" s="2" t="s">
        <v>829</v>
      </c>
      <c r="L1550" s="3">
        <v>62.39</v>
      </c>
      <c r="M1550" s="3">
        <v>65.51</v>
      </c>
      <c r="N1550" s="3">
        <v>119.99</v>
      </c>
      <c r="O1550" s="2" t="s">
        <v>232</v>
      </c>
      <c r="P1550" s="2" t="s">
        <v>333</v>
      </c>
      <c r="Q1550" s="2" t="s">
        <v>234</v>
      </c>
      <c r="R1550" s="2" t="s">
        <v>228</v>
      </c>
      <c r="S1550" s="2" t="s">
        <v>7920</v>
      </c>
      <c r="T1550" s="2" t="s">
        <v>228</v>
      </c>
      <c r="U1550" s="2" t="s">
        <v>1162</v>
      </c>
      <c r="V1550" s="2" t="s">
        <v>980</v>
      </c>
      <c r="W1550" s="2" t="s">
        <v>463</v>
      </c>
      <c r="X1550" s="2" t="s">
        <v>1333</v>
      </c>
      <c r="Y1550" s="2" t="s">
        <v>270</v>
      </c>
      <c r="Z1550" s="4"/>
      <c r="AA1550" s="4">
        <f>=ROUNDDOWN({0},0)</f>
      </c>
      <c r="AB1550" s="5"/>
      <c r="AC1550" s="2" t="s">
        <v>228</v>
      </c>
      <c r="AD1550" s="4"/>
      <c r="AE1550" s="4"/>
      <c r="AF1550" s="6">
        <v>64</v>
      </c>
      <c r="AG1550" s="6"/>
      <c r="AH1550" s="7">
        <v>0</v>
      </c>
      <c r="AI1550" s="4"/>
      <c r="AJ1550" s="4">
        <f>=ROUNDDOWN({0},0)</f>
      </c>
      <c r="AK1550" s="5"/>
      <c r="AL1550" s="2" t="s">
        <v>228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/>
      <c r="AW1550" s="8"/>
      <c r="AX1550" s="4"/>
      <c r="AY1550" s="8"/>
      <c r="AZ1550" s="7"/>
      <c r="BA1550" s="7"/>
      <c r="BB1550" s="7"/>
      <c r="BC1550" s="4"/>
      <c r="BD1550" s="8"/>
      <c r="BE1550" s="4"/>
      <c r="BF1550" s="8"/>
      <c r="BG1550" s="7"/>
      <c r="BH1550" s="7"/>
      <c r="BI1550" s="7"/>
      <c r="BJ1550" s="4"/>
      <c r="BK1550" s="8"/>
      <c r="BL1550" s="2" t="s">
        <v>7921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7922</v>
      </c>
      <c r="BV1550" s="2" t="s">
        <v>228</v>
      </c>
      <c r="BW1550" s="2" t="s">
        <v>228</v>
      </c>
      <c r="BX1550" s="2" t="s">
        <v>337</v>
      </c>
      <c r="BY1550" s="2" t="s">
        <v>274</v>
      </c>
      <c r="BZ1550" s="2" t="s">
        <v>240</v>
      </c>
      <c r="CA1550" s="2" t="s">
        <v>275</v>
      </c>
      <c r="CB1550" s="2" t="s">
        <v>678</v>
      </c>
      <c r="CC1550" s="2" t="s">
        <v>241</v>
      </c>
      <c r="CD1550" s="2" t="s">
        <v>228</v>
      </c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4"/>
      <c r="FF1550" s="4"/>
      <c r="FG1550" s="4"/>
      <c r="FH1550" s="4"/>
      <c r="FI1550" s="4"/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  <c r="FX1550" s="4"/>
      <c r="FY1550" s="4"/>
      <c r="FZ1550" s="4"/>
      <c r="GA1550" s="4"/>
      <c r="GB1550" s="4"/>
      <c r="GC1550" s="4"/>
      <c r="GD1550" s="4"/>
      <c r="GE1550" s="4"/>
      <c r="GF1550" s="4"/>
      <c r="GG1550" s="4"/>
      <c r="GH1550" s="4"/>
      <c r="GI1550" s="4"/>
      <c r="GJ1550" s="4"/>
      <c r="GK1550" s="4"/>
      <c r="GL1550" s="4"/>
      <c r="GM1550" s="4"/>
      <c r="GN1550" s="4"/>
      <c r="GO1550" s="4"/>
      <c r="GP1550" s="4"/>
      <c r="GQ1550" s="4"/>
      <c r="GR1550" s="4"/>
      <c r="GS1550" s="4"/>
      <c r="GT1550" s="4"/>
      <c r="GU1550" s="4"/>
      <c r="GV1550" s="4"/>
      <c r="GW1550" s="4"/>
      <c r="GX1550" s="4"/>
      <c r="GY1550" s="4"/>
      <c r="GZ1550" s="4"/>
      <c r="HA1550" s="4"/>
      <c r="HB1550" s="4"/>
      <c r="HC1550" s="4"/>
      <c r="HD1550" s="4"/>
      <c r="HE1550" s="4"/>
    </row>
    <row r="1551">
      <c r="A1551" s="2" t="s">
        <v>7923</v>
      </c>
      <c r="B1551" s="2" t="s">
        <v>299</v>
      </c>
      <c r="C1551" s="2" t="s">
        <v>849</v>
      </c>
      <c r="D1551" s="2" t="s">
        <v>301</v>
      </c>
      <c r="E1551" s="2" t="s">
        <v>302</v>
      </c>
      <c r="F1551" s="2" t="s">
        <v>7924</v>
      </c>
      <c r="G1551" s="2" t="s">
        <v>7924</v>
      </c>
      <c r="H1551" s="2" t="s">
        <v>7924</v>
      </c>
      <c r="I1551" s="2" t="s">
        <v>4002</v>
      </c>
      <c r="J1551" s="2" t="s">
        <v>264</v>
      </c>
      <c r="K1551" s="2" t="s">
        <v>7925</v>
      </c>
      <c r="L1551" s="3">
        <v>15.4</v>
      </c>
      <c r="M1551" s="3">
        <v>16.17</v>
      </c>
      <c r="N1551" s="3">
        <v>34.99</v>
      </c>
      <c r="O1551" s="2" t="s">
        <v>240</v>
      </c>
      <c r="P1551" s="2" t="s">
        <v>333</v>
      </c>
      <c r="Q1551" s="2" t="s">
        <v>234</v>
      </c>
      <c r="R1551" s="2" t="s">
        <v>228</v>
      </c>
      <c r="S1551" s="2" t="s">
        <v>7926</v>
      </c>
      <c r="T1551" s="2" t="s">
        <v>415</v>
      </c>
      <c r="U1551" s="2" t="s">
        <v>500</v>
      </c>
      <c r="V1551" s="2" t="s">
        <v>3625</v>
      </c>
      <c r="W1551" s="2" t="s">
        <v>309</v>
      </c>
      <c r="X1551" s="2" t="s">
        <v>228</v>
      </c>
      <c r="Y1551" s="2" t="s">
        <v>2765</v>
      </c>
      <c r="Z1551" s="4">
        <v>157</v>
      </c>
      <c r="AA1551" s="4">
        <f>=ROUNDDOWN(87.2222222222222,0)</f>
      </c>
      <c r="AB1551" s="5">
        <v>1.8</v>
      </c>
      <c r="AC1551" s="2" t="s">
        <v>228</v>
      </c>
      <c r="AD1551" s="4"/>
      <c r="AE1551" s="4"/>
      <c r="AF1551" s="6">
        <v>66</v>
      </c>
      <c r="AG1551" s="6"/>
      <c r="AH1551" s="7">
        <v>1</v>
      </c>
      <c r="AI1551" s="4"/>
      <c r="AJ1551" s="4">
        <f>=ROUNDDOWN({0},0)</f>
      </c>
      <c r="AK1551" s="5"/>
      <c r="AL1551" s="2" t="s">
        <v>228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 t="s">
        <v>228</v>
      </c>
      <c r="AW1551" s="8" t="s">
        <v>228</v>
      </c>
      <c r="AX1551" s="4" t="s">
        <v>228</v>
      </c>
      <c r="AY1551" s="8" t="s">
        <v>228</v>
      </c>
      <c r="AZ1551" s="7" t="s">
        <v>228</v>
      </c>
      <c r="BA1551" s="7" t="s">
        <v>228</v>
      </c>
      <c r="BB1551" s="7"/>
      <c r="BC1551" s="4" t="s">
        <v>228</v>
      </c>
      <c r="BD1551" s="8" t="s">
        <v>228</v>
      </c>
      <c r="BE1551" s="4" t="s">
        <v>228</v>
      </c>
      <c r="BF1551" s="8" t="s">
        <v>228</v>
      </c>
      <c r="BG1551" s="7" t="s">
        <v>228</v>
      </c>
      <c r="BH1551" s="7" t="s">
        <v>228</v>
      </c>
      <c r="BI1551" s="7"/>
      <c r="BJ1551" s="4">
        <v>7</v>
      </c>
      <c r="BK1551" s="8">
        <v>116.22</v>
      </c>
      <c r="BL1551" s="2" t="s">
        <v>7927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7928</v>
      </c>
      <c r="BV1551" s="2" t="s">
        <v>228</v>
      </c>
      <c r="BW1551" s="2" t="s">
        <v>228</v>
      </c>
      <c r="BX1551" s="2" t="s">
        <v>337</v>
      </c>
      <c r="BY1551" s="2" t="s">
        <v>274</v>
      </c>
      <c r="BZ1551" s="2" t="s">
        <v>240</v>
      </c>
      <c r="CA1551" s="2" t="s">
        <v>7929</v>
      </c>
      <c r="CB1551" s="2" t="s">
        <v>3196</v>
      </c>
      <c r="CC1551" s="2" t="s">
        <v>241</v>
      </c>
      <c r="CD1551" s="2" t="s">
        <v>228</v>
      </c>
      <c r="CE1551" s="4">
        <v>157</v>
      </c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4"/>
      <c r="FE1551" s="4"/>
      <c r="FF1551" s="4"/>
      <c r="FG1551" s="4"/>
      <c r="FH1551" s="4"/>
      <c r="FI1551" s="4"/>
      <c r="FJ1551" s="4"/>
      <c r="FK1551" s="4"/>
      <c r="FL1551" s="4"/>
      <c r="FM1551" s="4"/>
      <c r="FN1551" s="4"/>
      <c r="FO1551" s="4"/>
      <c r="FP1551" s="4"/>
      <c r="FQ1551" s="4"/>
      <c r="FR1551" s="4"/>
      <c r="FS1551" s="4"/>
      <c r="FT1551" s="4"/>
      <c r="FU1551" s="4"/>
      <c r="FV1551" s="4"/>
      <c r="FW1551" s="4"/>
      <c r="FX1551" s="4"/>
      <c r="FY1551" s="4"/>
      <c r="FZ1551" s="4"/>
      <c r="GA1551" s="4"/>
      <c r="GB1551" s="4"/>
      <c r="GC1551" s="4"/>
      <c r="GD1551" s="4"/>
      <c r="GE1551" s="4"/>
      <c r="GF1551" s="4"/>
      <c r="GG1551" s="4"/>
      <c r="GH1551" s="4"/>
      <c r="GI1551" s="4"/>
      <c r="GJ1551" s="4"/>
      <c r="GK1551" s="4"/>
      <c r="GL1551" s="4"/>
      <c r="GM1551" s="4"/>
      <c r="GN1551" s="4"/>
      <c r="GO1551" s="4"/>
      <c r="GP1551" s="4"/>
      <c r="GQ1551" s="4"/>
      <c r="GR1551" s="4"/>
      <c r="GS1551" s="4"/>
      <c r="GT1551" s="4"/>
      <c r="GU1551" s="4"/>
      <c r="GV1551" s="4"/>
      <c r="GW1551" s="4"/>
      <c r="GX1551" s="4"/>
      <c r="GY1551" s="4"/>
      <c r="GZ1551" s="4"/>
      <c r="HA1551" s="4"/>
      <c r="HB1551" s="4"/>
      <c r="HC1551" s="4"/>
      <c r="HD1551" s="4"/>
      <c r="HE1551" s="4"/>
    </row>
    <row r="1552">
      <c r="A1552" s="2" t="s">
        <v>7930</v>
      </c>
      <c r="B1552" s="2" t="s">
        <v>299</v>
      </c>
      <c r="C1552" s="2" t="s">
        <v>849</v>
      </c>
      <c r="D1552" s="2" t="s">
        <v>301</v>
      </c>
      <c r="E1552" s="2" t="s">
        <v>302</v>
      </c>
      <c r="F1552" s="2" t="s">
        <v>7924</v>
      </c>
      <c r="G1552" s="2" t="s">
        <v>7924</v>
      </c>
      <c r="H1552" s="2" t="s">
        <v>7924</v>
      </c>
      <c r="I1552" s="2" t="s">
        <v>4002</v>
      </c>
      <c r="J1552" s="2" t="s">
        <v>278</v>
      </c>
      <c r="K1552" s="2" t="s">
        <v>7925</v>
      </c>
      <c r="L1552" s="3">
        <v>15.4</v>
      </c>
      <c r="M1552" s="3">
        <v>16.17</v>
      </c>
      <c r="N1552" s="3">
        <v>34.99</v>
      </c>
      <c r="O1552" s="2" t="s">
        <v>240</v>
      </c>
      <c r="P1552" s="2" t="s">
        <v>333</v>
      </c>
      <c r="Q1552" s="2" t="s">
        <v>234</v>
      </c>
      <c r="R1552" s="2" t="s">
        <v>228</v>
      </c>
      <c r="S1552" s="2" t="s">
        <v>7926</v>
      </c>
      <c r="T1552" s="2" t="s">
        <v>415</v>
      </c>
      <c r="U1552" s="2" t="s">
        <v>500</v>
      </c>
      <c r="V1552" s="2" t="s">
        <v>3625</v>
      </c>
      <c r="W1552" s="2" t="s">
        <v>309</v>
      </c>
      <c r="X1552" s="2" t="s">
        <v>228</v>
      </c>
      <c r="Y1552" s="2" t="s">
        <v>2765</v>
      </c>
      <c r="Z1552" s="4">
        <v>206</v>
      </c>
      <c r="AA1552" s="4">
        <f>=ROUNDDOWN(206,0)</f>
      </c>
      <c r="AB1552" s="5">
        <v>1</v>
      </c>
      <c r="AC1552" s="2" t="s">
        <v>228</v>
      </c>
      <c r="AD1552" s="4"/>
      <c r="AE1552" s="4"/>
      <c r="AF1552" s="6">
        <v>66</v>
      </c>
      <c r="AG1552" s="6"/>
      <c r="AH1552" s="7">
        <v>1</v>
      </c>
      <c r="AI1552" s="4"/>
      <c r="AJ1552" s="4">
        <f>=ROUNDDOWN({0},0)</f>
      </c>
      <c r="AK1552" s="5"/>
      <c r="AL1552" s="2" t="s">
        <v>228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 t="s">
        <v>228</v>
      </c>
      <c r="AW1552" s="8" t="s">
        <v>228</v>
      </c>
      <c r="AX1552" s="4" t="s">
        <v>228</v>
      </c>
      <c r="AY1552" s="8" t="s">
        <v>228</v>
      </c>
      <c r="AZ1552" s="7" t="s">
        <v>228</v>
      </c>
      <c r="BA1552" s="7" t="s">
        <v>228</v>
      </c>
      <c r="BB1552" s="7"/>
      <c r="BC1552" s="4" t="s">
        <v>228</v>
      </c>
      <c r="BD1552" s="8" t="s">
        <v>228</v>
      </c>
      <c r="BE1552" s="4" t="s">
        <v>228</v>
      </c>
      <c r="BF1552" s="8" t="s">
        <v>228</v>
      </c>
      <c r="BG1552" s="7" t="s">
        <v>228</v>
      </c>
      <c r="BH1552" s="7" t="s">
        <v>228</v>
      </c>
      <c r="BI1552" s="7"/>
      <c r="BJ1552" s="4">
        <v>11</v>
      </c>
      <c r="BK1552" s="8">
        <v>183.49</v>
      </c>
      <c r="BL1552" s="2" t="s">
        <v>7931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7932</v>
      </c>
      <c r="BV1552" s="2" t="s">
        <v>228</v>
      </c>
      <c r="BW1552" s="2" t="s">
        <v>228</v>
      </c>
      <c r="BX1552" s="2" t="s">
        <v>337</v>
      </c>
      <c r="BY1552" s="2" t="s">
        <v>274</v>
      </c>
      <c r="BZ1552" s="2" t="s">
        <v>240</v>
      </c>
      <c r="CA1552" s="2" t="s">
        <v>7929</v>
      </c>
      <c r="CB1552" s="2" t="s">
        <v>7933</v>
      </c>
      <c r="CC1552" s="2" t="s">
        <v>241</v>
      </c>
      <c r="CD1552" s="2" t="s">
        <v>228</v>
      </c>
      <c r="CE1552" s="4">
        <v>206</v>
      </c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/>
      <c r="EV1552" s="4"/>
      <c r="EW1552" s="4"/>
      <c r="EX1552" s="4"/>
      <c r="EY1552" s="4"/>
      <c r="EZ1552" s="4"/>
      <c r="FA1552" s="4"/>
      <c r="FB1552" s="4"/>
      <c r="FC1552" s="4"/>
      <c r="FD1552" s="4"/>
      <c r="FE1552" s="4"/>
      <c r="FF1552" s="4"/>
      <c r="FG1552" s="4"/>
      <c r="FH1552" s="4"/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/>
      <c r="FZ1552" s="4"/>
      <c r="GA1552" s="4"/>
      <c r="GB1552" s="4"/>
      <c r="GC1552" s="4"/>
      <c r="GD1552" s="4"/>
      <c r="GE1552" s="4"/>
      <c r="GF1552" s="4"/>
      <c r="GG1552" s="4"/>
      <c r="GH1552" s="4"/>
      <c r="GI1552" s="4"/>
      <c r="GJ1552" s="4"/>
      <c r="GK1552" s="4"/>
      <c r="GL1552" s="4"/>
      <c r="GM1552" s="4"/>
      <c r="GN1552" s="4"/>
      <c r="GO1552" s="4"/>
      <c r="GP1552" s="4"/>
      <c r="GQ1552" s="4"/>
      <c r="GR1552" s="4"/>
      <c r="GS1552" s="4"/>
      <c r="GT1552" s="4"/>
      <c r="GU1552" s="4"/>
      <c r="GV1552" s="4"/>
      <c r="GW1552" s="4"/>
      <c r="GX1552" s="4"/>
      <c r="GY1552" s="4"/>
      <c r="GZ1552" s="4"/>
      <c r="HA1552" s="4"/>
      <c r="HB1552" s="4"/>
      <c r="HC1552" s="4"/>
      <c r="HD1552" s="4"/>
      <c r="HE1552" s="4"/>
    </row>
    <row r="1553">
      <c r="A1553" s="2" t="s">
        <v>7934</v>
      </c>
      <c r="B1553" s="2" t="s">
        <v>299</v>
      </c>
      <c r="C1553" s="2" t="s">
        <v>849</v>
      </c>
      <c r="D1553" s="2" t="s">
        <v>301</v>
      </c>
      <c r="E1553" s="2" t="s">
        <v>302</v>
      </c>
      <c r="F1553" s="2" t="s">
        <v>7924</v>
      </c>
      <c r="G1553" s="2" t="s">
        <v>7924</v>
      </c>
      <c r="H1553" s="2" t="s">
        <v>7924</v>
      </c>
      <c r="I1553" s="2" t="s">
        <v>4002</v>
      </c>
      <c r="J1553" s="2" t="s">
        <v>264</v>
      </c>
      <c r="K1553" s="2" t="s">
        <v>7105</v>
      </c>
      <c r="L1553" s="3">
        <v>15.4</v>
      </c>
      <c r="M1553" s="3">
        <v>16.17</v>
      </c>
      <c r="N1553" s="3">
        <v>34.99</v>
      </c>
      <c r="O1553" s="2" t="s">
        <v>240</v>
      </c>
      <c r="P1553" s="2" t="s">
        <v>266</v>
      </c>
      <c r="Q1553" s="2" t="s">
        <v>234</v>
      </c>
      <c r="R1553" s="2" t="s">
        <v>228</v>
      </c>
      <c r="S1553" s="2" t="s">
        <v>7935</v>
      </c>
      <c r="T1553" s="2" t="s">
        <v>415</v>
      </c>
      <c r="U1553" s="2" t="s">
        <v>500</v>
      </c>
      <c r="V1553" s="2" t="s">
        <v>3625</v>
      </c>
      <c r="W1553" s="2" t="s">
        <v>309</v>
      </c>
      <c r="X1553" s="2" t="s">
        <v>228</v>
      </c>
      <c r="Y1553" s="2" t="s">
        <v>2765</v>
      </c>
      <c r="Z1553" s="4">
        <v>121</v>
      </c>
      <c r="AA1553" s="4">
        <f>=ROUNDDOWN(100.833333333333,0)</f>
      </c>
      <c r="AB1553" s="5">
        <v>1.2</v>
      </c>
      <c r="AC1553" s="2" t="s">
        <v>228</v>
      </c>
      <c r="AD1553" s="4"/>
      <c r="AE1553" s="4"/>
      <c r="AF1553" s="6">
        <v>66</v>
      </c>
      <c r="AG1553" s="6"/>
      <c r="AH1553" s="7">
        <v>1</v>
      </c>
      <c r="AI1553" s="4"/>
      <c r="AJ1553" s="4">
        <f>=ROUNDDOWN({0},0)</f>
      </c>
      <c r="AK1553" s="5"/>
      <c r="AL1553" s="2" t="s">
        <v>228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/>
      <c r="AW1553" s="8"/>
      <c r="AX1553" s="4"/>
      <c r="AY1553" s="8"/>
      <c r="AZ1553" s="7"/>
      <c r="BA1553" s="7"/>
      <c r="BB1553" s="7"/>
      <c r="BC1553" s="4" t="s">
        <v>228</v>
      </c>
      <c r="BD1553" s="8" t="s">
        <v>228</v>
      </c>
      <c r="BE1553" s="4" t="s">
        <v>228</v>
      </c>
      <c r="BF1553" s="8" t="s">
        <v>228</v>
      </c>
      <c r="BG1553" s="7" t="s">
        <v>228</v>
      </c>
      <c r="BH1553" s="7" t="s">
        <v>228</v>
      </c>
      <c r="BI1553" s="7"/>
      <c r="BJ1553" s="4">
        <v>6</v>
      </c>
      <c r="BK1553" s="8">
        <v>126.64</v>
      </c>
      <c r="BL1553" s="2" t="s">
        <v>7936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7937</v>
      </c>
      <c r="BV1553" s="2" t="s">
        <v>228</v>
      </c>
      <c r="BW1553" s="2" t="s">
        <v>228</v>
      </c>
      <c r="BX1553" s="2" t="s">
        <v>273</v>
      </c>
      <c r="BY1553" s="2" t="s">
        <v>274</v>
      </c>
      <c r="BZ1553" s="2" t="s">
        <v>240</v>
      </c>
      <c r="CA1553" s="2" t="s">
        <v>7929</v>
      </c>
      <c r="CB1553" s="2" t="s">
        <v>7938</v>
      </c>
      <c r="CC1553" s="2" t="s">
        <v>241</v>
      </c>
      <c r="CD1553" s="2" t="s">
        <v>228</v>
      </c>
      <c r="CE1553" s="4">
        <v>121</v>
      </c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/>
      <c r="FE1553" s="4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/>
      <c r="FZ1553" s="4"/>
      <c r="GA1553" s="4"/>
      <c r="GB1553" s="4"/>
      <c r="GC1553" s="4"/>
      <c r="GD1553" s="4"/>
      <c r="GE1553" s="4"/>
      <c r="GF1553" s="4"/>
      <c r="GG1553" s="4"/>
      <c r="GH1553" s="4"/>
      <c r="GI1553" s="4"/>
      <c r="GJ1553" s="4"/>
      <c r="GK1553" s="4"/>
      <c r="GL1553" s="4"/>
      <c r="GM1553" s="4"/>
      <c r="GN1553" s="4"/>
      <c r="GO1553" s="4"/>
      <c r="GP1553" s="4"/>
      <c r="GQ1553" s="4"/>
      <c r="GR1553" s="4"/>
      <c r="GS1553" s="4"/>
      <c r="GT1553" s="4"/>
      <c r="GU1553" s="4"/>
      <c r="GV1553" s="4"/>
      <c r="GW1553" s="4"/>
      <c r="GX1553" s="4"/>
      <c r="GY1553" s="4"/>
      <c r="GZ1553" s="4"/>
      <c r="HA1553" s="4"/>
      <c r="HB1553" s="4"/>
      <c r="HC1553" s="4"/>
      <c r="HD1553" s="4"/>
      <c r="HE1553" s="4"/>
    </row>
    <row r="1554">
      <c r="A1554" s="2" t="s">
        <v>7939</v>
      </c>
      <c r="B1554" s="2" t="s">
        <v>958</v>
      </c>
      <c r="C1554" s="2" t="s">
        <v>835</v>
      </c>
      <c r="D1554" s="2" t="s">
        <v>7940</v>
      </c>
      <c r="E1554" s="2" t="s">
        <v>2560</v>
      </c>
      <c r="F1554" s="2" t="s">
        <v>7941</v>
      </c>
      <c r="G1554" s="2" t="s">
        <v>7941</v>
      </c>
      <c r="H1554" s="2" t="s">
        <v>7941</v>
      </c>
      <c r="I1554" s="2" t="s">
        <v>7942</v>
      </c>
      <c r="J1554" s="2" t="s">
        <v>7943</v>
      </c>
      <c r="K1554" s="2" t="s">
        <v>1421</v>
      </c>
      <c r="L1554" s="3">
        <v>900</v>
      </c>
      <c r="M1554" s="3">
        <v>945</v>
      </c>
      <c r="N1554" s="3">
        <v>1896</v>
      </c>
      <c r="O1554" s="2" t="s">
        <v>240</v>
      </c>
      <c r="P1554" s="2" t="s">
        <v>1022</v>
      </c>
      <c r="Q1554" s="2" t="s">
        <v>234</v>
      </c>
      <c r="R1554" s="2" t="s">
        <v>228</v>
      </c>
      <c r="S1554" s="2" t="s">
        <v>228</v>
      </c>
      <c r="T1554" s="2" t="s">
        <v>228</v>
      </c>
      <c r="U1554" s="2" t="s">
        <v>308</v>
      </c>
      <c r="V1554" s="2" t="s">
        <v>842</v>
      </c>
      <c r="W1554" s="2" t="s">
        <v>417</v>
      </c>
      <c r="X1554" s="2" t="s">
        <v>228</v>
      </c>
      <c r="Y1554" s="2" t="s">
        <v>7944</v>
      </c>
      <c r="Z1554" s="4"/>
      <c r="AA1554" s="4">
        <f>=ROUNDDOWN({0},0)</f>
      </c>
      <c r="AB1554" s="5"/>
      <c r="AC1554" s="2" t="s">
        <v>228</v>
      </c>
      <c r="AD1554" s="4"/>
      <c r="AE1554" s="4"/>
      <c r="AF1554" s="6"/>
      <c r="AG1554" s="6"/>
      <c r="AH1554" s="7"/>
      <c r="AI1554" s="4"/>
      <c r="AJ1554" s="4">
        <f>=ROUNDDOWN({0},0)</f>
      </c>
      <c r="AK1554" s="5"/>
      <c r="AL1554" s="2" t="s">
        <v>228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/>
      <c r="AW1554" s="8"/>
      <c r="AX1554" s="4"/>
      <c r="AY1554" s="8"/>
      <c r="AZ1554" s="7"/>
      <c r="BA1554" s="7"/>
      <c r="BB1554" s="7"/>
      <c r="BC1554" s="4"/>
      <c r="BD1554" s="8"/>
      <c r="BE1554" s="4"/>
      <c r="BF1554" s="8"/>
      <c r="BG1554" s="7"/>
      <c r="BH1554" s="7"/>
      <c r="BI1554" s="7"/>
      <c r="BJ1554" s="4"/>
      <c r="BK1554" s="8"/>
      <c r="BL1554" s="2" t="s">
        <v>228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7945</v>
      </c>
      <c r="BV1554" s="2" t="s">
        <v>228</v>
      </c>
      <c r="BW1554" s="2" t="s">
        <v>228</v>
      </c>
      <c r="BX1554" s="2" t="s">
        <v>273</v>
      </c>
      <c r="BY1554" s="2" t="s">
        <v>274</v>
      </c>
      <c r="BZ1554" s="2" t="s">
        <v>240</v>
      </c>
      <c r="CA1554" s="2" t="s">
        <v>1291</v>
      </c>
      <c r="CB1554" s="2" t="s">
        <v>228</v>
      </c>
      <c r="CC1554" s="2" t="s">
        <v>241</v>
      </c>
      <c r="CD1554" s="2" t="s">
        <v>228</v>
      </c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4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/>
      <c r="FU1554" s="4"/>
      <c r="FV1554" s="4"/>
      <c r="FW1554" s="4"/>
      <c r="FX1554" s="4"/>
      <c r="FY1554" s="4"/>
      <c r="FZ1554" s="4"/>
      <c r="GA1554" s="4"/>
      <c r="GB1554" s="4"/>
      <c r="GC1554" s="4"/>
      <c r="GD1554" s="4"/>
      <c r="GE1554" s="4"/>
      <c r="GF1554" s="4"/>
      <c r="GG1554" s="4"/>
      <c r="GH1554" s="4"/>
      <c r="GI1554" s="4"/>
      <c r="GJ1554" s="4"/>
      <c r="GK1554" s="4"/>
      <c r="GL1554" s="4"/>
      <c r="GM1554" s="4"/>
      <c r="GN1554" s="4"/>
      <c r="GO1554" s="4"/>
      <c r="GP1554" s="4"/>
      <c r="GQ1554" s="4"/>
      <c r="GR1554" s="4"/>
      <c r="GS1554" s="4"/>
      <c r="GT1554" s="4"/>
      <c r="GU1554" s="4"/>
      <c r="GV1554" s="4"/>
      <c r="GW1554" s="4"/>
      <c r="GX1554" s="4"/>
      <c r="GY1554" s="4"/>
      <c r="GZ1554" s="4"/>
      <c r="HA1554" s="4"/>
      <c r="HB1554" s="4"/>
      <c r="HC1554" s="4"/>
      <c r="HD1554" s="4"/>
      <c r="HE1554" s="4"/>
    </row>
    <row r="1555">
      <c r="A1555" s="2" t="s">
        <v>7946</v>
      </c>
      <c r="B1555" s="2" t="s">
        <v>958</v>
      </c>
      <c r="C1555" s="2" t="s">
        <v>835</v>
      </c>
      <c r="D1555" s="2" t="s">
        <v>1790</v>
      </c>
      <c r="E1555" s="2" t="s">
        <v>1007</v>
      </c>
      <c r="F1555" s="2" t="s">
        <v>7947</v>
      </c>
      <c r="G1555" s="2" t="s">
        <v>7947</v>
      </c>
      <c r="H1555" s="2" t="s">
        <v>7947</v>
      </c>
      <c r="I1555" s="2" t="s">
        <v>7948</v>
      </c>
      <c r="J1555" s="2" t="s">
        <v>840</v>
      </c>
      <c r="K1555" s="2" t="s">
        <v>1357</v>
      </c>
      <c r="L1555" s="3">
        <v>165</v>
      </c>
      <c r="M1555" s="3">
        <v>173.25</v>
      </c>
      <c r="N1555" s="3">
        <v>349</v>
      </c>
      <c r="O1555" s="2" t="s">
        <v>240</v>
      </c>
      <c r="P1555" s="2" t="s">
        <v>233</v>
      </c>
      <c r="Q1555" s="2" t="s">
        <v>234</v>
      </c>
      <c r="R1555" s="2" t="s">
        <v>228</v>
      </c>
      <c r="S1555" s="2" t="s">
        <v>228</v>
      </c>
      <c r="T1555" s="2" t="s">
        <v>228</v>
      </c>
      <c r="U1555" s="2" t="s">
        <v>416</v>
      </c>
      <c r="V1555" s="2" t="s">
        <v>842</v>
      </c>
      <c r="W1555" s="2" t="s">
        <v>843</v>
      </c>
      <c r="X1555" s="2" t="s">
        <v>417</v>
      </c>
      <c r="Y1555" s="2" t="s">
        <v>806</v>
      </c>
      <c r="Z1555" s="4">
        <v>99</v>
      </c>
      <c r="AA1555" s="4">
        <f>=ROUNDDOWN({0},0)</f>
      </c>
      <c r="AB1555" s="5"/>
      <c r="AC1555" s="2" t="s">
        <v>184</v>
      </c>
      <c r="AD1555" s="4">
        <v>1</v>
      </c>
      <c r="AE1555" s="4">
        <v>1</v>
      </c>
      <c r="AF1555" s="6">
        <v>66</v>
      </c>
      <c r="AG1555" s="6"/>
      <c r="AH1555" s="7">
        <v>1</v>
      </c>
      <c r="AI1555" s="4"/>
      <c r="AJ1555" s="4">
        <f>=ROUNDDOWN({0},0)</f>
      </c>
      <c r="AK1555" s="5"/>
      <c r="AL1555" s="2" t="s">
        <v>228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/>
      <c r="AW1555" s="8"/>
      <c r="AX1555" s="4"/>
      <c r="AY1555" s="8"/>
      <c r="AZ1555" s="7"/>
      <c r="BA1555" s="7"/>
      <c r="BB1555" s="7"/>
      <c r="BC1555" s="4"/>
      <c r="BD1555" s="8"/>
      <c r="BE1555" s="4"/>
      <c r="BF1555" s="8"/>
      <c r="BG1555" s="7"/>
      <c r="BH1555" s="7"/>
      <c r="BI1555" s="7"/>
      <c r="BJ1555" s="4"/>
      <c r="BK1555" s="8"/>
      <c r="BL1555" s="2" t="s">
        <v>228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7949</v>
      </c>
      <c r="BV1555" s="2" t="s">
        <v>228</v>
      </c>
      <c r="BW1555" s="2" t="s">
        <v>228</v>
      </c>
      <c r="BX1555" s="2" t="s">
        <v>238</v>
      </c>
      <c r="BY1555" s="2" t="s">
        <v>274</v>
      </c>
      <c r="BZ1555" s="2" t="s">
        <v>240</v>
      </c>
      <c r="CA1555" s="2" t="s">
        <v>916</v>
      </c>
      <c r="CB1555" s="2" t="s">
        <v>228</v>
      </c>
      <c r="CC1555" s="2" t="s">
        <v>241</v>
      </c>
      <c r="CD1555" s="2" t="s">
        <v>228</v>
      </c>
      <c r="CE1555" s="4"/>
      <c r="CF1555" s="4">
        <v>99</v>
      </c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/>
      <c r="EX1555" s="4"/>
      <c r="EY1555" s="4"/>
      <c r="EZ1555" s="4"/>
      <c r="FA1555" s="4"/>
      <c r="FB1555" s="4"/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>
        <v>1</v>
      </c>
      <c r="FU1555" s="4"/>
      <c r="FV1555" s="4"/>
      <c r="FW1555" s="4"/>
      <c r="FX1555" s="4"/>
      <c r="FY1555" s="4"/>
      <c r="FZ1555" s="4"/>
      <c r="GA1555" s="4"/>
      <c r="GB1555" s="4"/>
      <c r="GC1555" s="4"/>
      <c r="GD1555" s="4"/>
      <c r="GE1555" s="4"/>
      <c r="GF1555" s="4"/>
      <c r="GG1555" s="4"/>
      <c r="GH1555" s="4"/>
      <c r="GI1555" s="4"/>
      <c r="GJ1555" s="4"/>
      <c r="GK1555" s="4"/>
      <c r="GL1555" s="4"/>
      <c r="GM1555" s="4"/>
      <c r="GN1555" s="4"/>
      <c r="GO1555" s="4"/>
      <c r="GP1555" s="4"/>
      <c r="GQ1555" s="4"/>
      <c r="GR1555" s="4"/>
      <c r="GS1555" s="4"/>
      <c r="GT1555" s="4"/>
      <c r="GU1555" s="4"/>
      <c r="GV1555" s="4"/>
      <c r="GW1555" s="4"/>
      <c r="GX1555" s="4"/>
      <c r="GY1555" s="4"/>
      <c r="GZ1555" s="4"/>
      <c r="HA1555" s="4"/>
      <c r="HB1555" s="4"/>
      <c r="HC1555" s="4"/>
      <c r="HD1555" s="4"/>
      <c r="HE1555" s="4"/>
    </row>
    <row r="1556">
      <c r="A1556" s="2" t="s">
        <v>7950</v>
      </c>
      <c r="B1556" s="2" t="s">
        <v>299</v>
      </c>
      <c r="C1556" s="2" t="s">
        <v>4000</v>
      </c>
      <c r="D1556" s="2" t="s">
        <v>301</v>
      </c>
      <c r="E1556" s="2" t="s">
        <v>302</v>
      </c>
      <c r="F1556" s="2" t="s">
        <v>7951</v>
      </c>
      <c r="G1556" s="2" t="s">
        <v>7951</v>
      </c>
      <c r="H1556" s="2" t="s">
        <v>7951</v>
      </c>
      <c r="I1556" s="2" t="s">
        <v>347</v>
      </c>
      <c r="J1556" s="2" t="s">
        <v>264</v>
      </c>
      <c r="K1556" s="2" t="s">
        <v>978</v>
      </c>
      <c r="L1556" s="3">
        <v>21.62</v>
      </c>
      <c r="M1556" s="3">
        <v>22.7</v>
      </c>
      <c r="N1556" s="3">
        <v>46.99</v>
      </c>
      <c r="O1556" s="2" t="s">
        <v>240</v>
      </c>
      <c r="P1556" s="2" t="s">
        <v>233</v>
      </c>
      <c r="Q1556" s="2" t="s">
        <v>234</v>
      </c>
      <c r="R1556" s="2" t="s">
        <v>228</v>
      </c>
      <c r="S1556" s="2" t="s">
        <v>7952</v>
      </c>
      <c r="T1556" s="2" t="s">
        <v>675</v>
      </c>
      <c r="U1556" s="2" t="s">
        <v>500</v>
      </c>
      <c r="V1556" s="2" t="s">
        <v>236</v>
      </c>
      <c r="W1556" s="2" t="s">
        <v>269</v>
      </c>
      <c r="X1556" s="2" t="s">
        <v>417</v>
      </c>
      <c r="Y1556" s="2" t="s">
        <v>7953</v>
      </c>
      <c r="Z1556" s="4">
        <v>210</v>
      </c>
      <c r="AA1556" s="4">
        <f>=ROUNDDOWN({0},0)</f>
      </c>
      <c r="AB1556" s="5"/>
      <c r="AC1556" s="2" t="s">
        <v>162</v>
      </c>
      <c r="AD1556" s="4">
        <v>130</v>
      </c>
      <c r="AE1556" s="4">
        <v>200</v>
      </c>
      <c r="AF1556" s="6">
        <v>65</v>
      </c>
      <c r="AG1556" s="6"/>
      <c r="AH1556" s="7">
        <v>1</v>
      </c>
      <c r="AI1556" s="4"/>
      <c r="AJ1556" s="4">
        <f>=ROUNDDOWN({0},0)</f>
      </c>
      <c r="AK1556" s="5"/>
      <c r="AL1556" s="2" t="s">
        <v>228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 t="s">
        <v>228</v>
      </c>
      <c r="AW1556" s="8" t="s">
        <v>228</v>
      </c>
      <c r="AX1556" s="4" t="s">
        <v>228</v>
      </c>
      <c r="AY1556" s="8" t="s">
        <v>228</v>
      </c>
      <c r="AZ1556" s="7" t="s">
        <v>228</v>
      </c>
      <c r="BA1556" s="7" t="s">
        <v>228</v>
      </c>
      <c r="BB1556" s="7"/>
      <c r="BC1556" s="4" t="s">
        <v>228</v>
      </c>
      <c r="BD1556" s="8" t="s">
        <v>228</v>
      </c>
      <c r="BE1556" s="4" t="s">
        <v>228</v>
      </c>
      <c r="BF1556" s="8" t="s">
        <v>228</v>
      </c>
      <c r="BG1556" s="7" t="s">
        <v>228</v>
      </c>
      <c r="BH1556" s="7" t="s">
        <v>228</v>
      </c>
      <c r="BI1556" s="7"/>
      <c r="BJ1556" s="4"/>
      <c r="BK1556" s="8"/>
      <c r="BL1556" s="2" t="s">
        <v>228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238</v>
      </c>
      <c r="BV1556" s="2" t="s">
        <v>228</v>
      </c>
      <c r="BW1556" s="2" t="s">
        <v>228</v>
      </c>
      <c r="BX1556" s="2" t="s">
        <v>238</v>
      </c>
      <c r="BY1556" s="2" t="s">
        <v>239</v>
      </c>
      <c r="BZ1556" s="2" t="s">
        <v>240</v>
      </c>
      <c r="CA1556" s="2" t="s">
        <v>228</v>
      </c>
      <c r="CB1556" s="2" t="s">
        <v>228</v>
      </c>
      <c r="CC1556" s="2" t="s">
        <v>241</v>
      </c>
      <c r="CD1556" s="2" t="s">
        <v>228</v>
      </c>
      <c r="CE1556" s="4"/>
      <c r="CF1556" s="4"/>
      <c r="CG1556" s="4"/>
      <c r="CH1556" s="4"/>
      <c r="CI1556" s="4"/>
      <c r="CJ1556" s="4"/>
      <c r="CK1556" s="4">
        <v>210</v>
      </c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>
        <v>130</v>
      </c>
      <c r="EY1556" s="4"/>
      <c r="EZ1556" s="4"/>
      <c r="FA1556" s="4"/>
      <c r="FB1556" s="4"/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>
        <v>70</v>
      </c>
      <c r="FU1556" s="4"/>
      <c r="FV1556" s="4"/>
      <c r="FW1556" s="4"/>
      <c r="FX1556" s="4"/>
      <c r="FY1556" s="4"/>
      <c r="FZ1556" s="4"/>
      <c r="GA1556" s="4"/>
      <c r="GB1556" s="4"/>
      <c r="GC1556" s="4"/>
      <c r="GD1556" s="4"/>
      <c r="GE1556" s="4"/>
      <c r="GF1556" s="4"/>
      <c r="GG1556" s="4"/>
      <c r="GH1556" s="4"/>
      <c r="GI1556" s="4"/>
      <c r="GJ1556" s="4"/>
      <c r="GK1556" s="4"/>
      <c r="GL1556" s="4"/>
      <c r="GM1556" s="4"/>
      <c r="GN1556" s="4"/>
      <c r="GO1556" s="4"/>
      <c r="GP1556" s="4"/>
      <c r="GQ1556" s="4"/>
      <c r="GR1556" s="4"/>
      <c r="GS1556" s="4"/>
      <c r="GT1556" s="4"/>
      <c r="GU1556" s="4"/>
      <c r="GV1556" s="4"/>
      <c r="GW1556" s="4"/>
      <c r="GX1556" s="4"/>
      <c r="GY1556" s="4"/>
      <c r="GZ1556" s="4"/>
      <c r="HA1556" s="4"/>
      <c r="HB1556" s="4"/>
      <c r="HC1556" s="4"/>
      <c r="HD1556" s="4"/>
      <c r="HE1556" s="4"/>
    </row>
    <row r="1557">
      <c r="A1557" s="2" t="s">
        <v>7954</v>
      </c>
      <c r="B1557" s="2" t="s">
        <v>299</v>
      </c>
      <c r="C1557" s="2" t="s">
        <v>4000</v>
      </c>
      <c r="D1557" s="2" t="s">
        <v>301</v>
      </c>
      <c r="E1557" s="2" t="s">
        <v>302</v>
      </c>
      <c r="F1557" s="2" t="s">
        <v>7951</v>
      </c>
      <c r="G1557" s="2" t="s">
        <v>7951</v>
      </c>
      <c r="H1557" s="2" t="s">
        <v>7951</v>
      </c>
      <c r="I1557" s="2" t="s">
        <v>347</v>
      </c>
      <c r="J1557" s="2" t="s">
        <v>278</v>
      </c>
      <c r="K1557" s="2" t="s">
        <v>978</v>
      </c>
      <c r="L1557" s="3">
        <v>23.04</v>
      </c>
      <c r="M1557" s="3">
        <v>24.19</v>
      </c>
      <c r="N1557" s="3">
        <v>47.99</v>
      </c>
      <c r="O1557" s="2" t="s">
        <v>240</v>
      </c>
      <c r="P1557" s="2" t="s">
        <v>233</v>
      </c>
      <c r="Q1557" s="2" t="s">
        <v>234</v>
      </c>
      <c r="R1557" s="2" t="s">
        <v>228</v>
      </c>
      <c r="S1557" s="2" t="s">
        <v>7952</v>
      </c>
      <c r="T1557" s="2" t="s">
        <v>675</v>
      </c>
      <c r="U1557" s="2" t="s">
        <v>500</v>
      </c>
      <c r="V1557" s="2" t="s">
        <v>236</v>
      </c>
      <c r="W1557" s="2" t="s">
        <v>269</v>
      </c>
      <c r="X1557" s="2" t="s">
        <v>417</v>
      </c>
      <c r="Y1557" s="2" t="s">
        <v>7953</v>
      </c>
      <c r="Z1557" s="4">
        <v>300</v>
      </c>
      <c r="AA1557" s="4">
        <f>=ROUNDDOWN({0},0)</f>
      </c>
      <c r="AB1557" s="5"/>
      <c r="AC1557" s="2" t="s">
        <v>162</v>
      </c>
      <c r="AD1557" s="4">
        <v>180</v>
      </c>
      <c r="AE1557" s="4">
        <v>300</v>
      </c>
      <c r="AF1557" s="6">
        <v>65</v>
      </c>
      <c r="AG1557" s="6"/>
      <c r="AH1557" s="7">
        <v>1</v>
      </c>
      <c r="AI1557" s="4"/>
      <c r="AJ1557" s="4">
        <f>=ROUNDDOWN({0},0)</f>
      </c>
      <c r="AK1557" s="5"/>
      <c r="AL1557" s="2" t="s">
        <v>228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 t="s">
        <v>228</v>
      </c>
      <c r="AW1557" s="8" t="s">
        <v>228</v>
      </c>
      <c r="AX1557" s="4" t="s">
        <v>228</v>
      </c>
      <c r="AY1557" s="8" t="s">
        <v>228</v>
      </c>
      <c r="AZ1557" s="7" t="s">
        <v>228</v>
      </c>
      <c r="BA1557" s="7" t="s">
        <v>228</v>
      </c>
      <c r="BB1557" s="7"/>
      <c r="BC1557" s="4" t="s">
        <v>228</v>
      </c>
      <c r="BD1557" s="8" t="s">
        <v>228</v>
      </c>
      <c r="BE1557" s="4" t="s">
        <v>228</v>
      </c>
      <c r="BF1557" s="8" t="s">
        <v>228</v>
      </c>
      <c r="BG1557" s="7" t="s">
        <v>228</v>
      </c>
      <c r="BH1557" s="7" t="s">
        <v>228</v>
      </c>
      <c r="BI1557" s="7"/>
      <c r="BJ1557" s="4"/>
      <c r="BK1557" s="8"/>
      <c r="BL1557" s="2" t="s">
        <v>228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238</v>
      </c>
      <c r="BV1557" s="2" t="s">
        <v>228</v>
      </c>
      <c r="BW1557" s="2" t="s">
        <v>228</v>
      </c>
      <c r="BX1557" s="2" t="s">
        <v>238</v>
      </c>
      <c r="BY1557" s="2" t="s">
        <v>239</v>
      </c>
      <c r="BZ1557" s="2" t="s">
        <v>240</v>
      </c>
      <c r="CA1557" s="2" t="s">
        <v>228</v>
      </c>
      <c r="CB1557" s="2" t="s">
        <v>228</v>
      </c>
      <c r="CC1557" s="2" t="s">
        <v>241</v>
      </c>
      <c r="CD1557" s="2" t="s">
        <v>228</v>
      </c>
      <c r="CE1557" s="4"/>
      <c r="CF1557" s="4"/>
      <c r="CG1557" s="4"/>
      <c r="CH1557" s="4"/>
      <c r="CI1557" s="4"/>
      <c r="CJ1557" s="4"/>
      <c r="CK1557" s="4">
        <v>300</v>
      </c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/>
      <c r="EV1557" s="4"/>
      <c r="EW1557" s="4"/>
      <c r="EX1557" s="4">
        <v>180</v>
      </c>
      <c r="EY1557" s="4"/>
      <c r="EZ1557" s="4"/>
      <c r="FA1557" s="4"/>
      <c r="FB1557" s="4"/>
      <c r="FC1557" s="4"/>
      <c r="FD1557" s="4"/>
      <c r="FE1557" s="4"/>
      <c r="FF1557" s="4"/>
      <c r="FG1557" s="4"/>
      <c r="FH1557" s="4"/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>
        <v>120</v>
      </c>
      <c r="FU1557" s="4"/>
      <c r="FV1557" s="4"/>
      <c r="FW1557" s="4"/>
      <c r="FX1557" s="4"/>
      <c r="FY1557" s="4"/>
      <c r="FZ1557" s="4"/>
      <c r="GA1557" s="4"/>
      <c r="GB1557" s="4"/>
      <c r="GC1557" s="4"/>
      <c r="GD1557" s="4"/>
      <c r="GE1557" s="4"/>
      <c r="GF1557" s="4"/>
      <c r="GG1557" s="4"/>
      <c r="GH1557" s="4"/>
      <c r="GI1557" s="4"/>
      <c r="GJ1557" s="4"/>
      <c r="GK1557" s="4"/>
      <c r="GL1557" s="4"/>
      <c r="GM1557" s="4"/>
      <c r="GN1557" s="4"/>
      <c r="GO1557" s="4"/>
      <c r="GP1557" s="4"/>
      <c r="GQ1557" s="4"/>
      <c r="GR1557" s="4"/>
      <c r="GS1557" s="4"/>
      <c r="GT1557" s="4"/>
      <c r="GU1557" s="4"/>
      <c r="GV1557" s="4"/>
      <c r="GW1557" s="4"/>
      <c r="GX1557" s="4"/>
      <c r="GY1557" s="4"/>
      <c r="GZ1557" s="4"/>
      <c r="HA1557" s="4"/>
      <c r="HB1557" s="4"/>
      <c r="HC1557" s="4"/>
      <c r="HD1557" s="4"/>
      <c r="HE1557" s="4"/>
    </row>
    <row r="1558">
      <c r="A1558" s="2" t="s">
        <v>7955</v>
      </c>
      <c r="B1558" s="2" t="s">
        <v>299</v>
      </c>
      <c r="C1558" s="2" t="s">
        <v>4000</v>
      </c>
      <c r="D1558" s="2" t="s">
        <v>301</v>
      </c>
      <c r="E1558" s="2" t="s">
        <v>302</v>
      </c>
      <c r="F1558" s="2" t="s">
        <v>7951</v>
      </c>
      <c r="G1558" s="2" t="s">
        <v>7951</v>
      </c>
      <c r="H1558" s="2" t="s">
        <v>7951</v>
      </c>
      <c r="I1558" s="2" t="s">
        <v>347</v>
      </c>
      <c r="J1558" s="2" t="s">
        <v>284</v>
      </c>
      <c r="K1558" s="2" t="s">
        <v>978</v>
      </c>
      <c r="L1558" s="3">
        <v>25.3</v>
      </c>
      <c r="M1558" s="3">
        <v>26.57</v>
      </c>
      <c r="N1558" s="3">
        <v>54.99</v>
      </c>
      <c r="O1558" s="2" t="s">
        <v>240</v>
      </c>
      <c r="P1558" s="2" t="s">
        <v>233</v>
      </c>
      <c r="Q1558" s="2" t="s">
        <v>234</v>
      </c>
      <c r="R1558" s="2" t="s">
        <v>228</v>
      </c>
      <c r="S1558" s="2" t="s">
        <v>7952</v>
      </c>
      <c r="T1558" s="2" t="s">
        <v>675</v>
      </c>
      <c r="U1558" s="2" t="s">
        <v>308</v>
      </c>
      <c r="V1558" s="2" t="s">
        <v>236</v>
      </c>
      <c r="W1558" s="2" t="s">
        <v>269</v>
      </c>
      <c r="X1558" s="2" t="s">
        <v>417</v>
      </c>
      <c r="Y1558" s="2" t="s">
        <v>7953</v>
      </c>
      <c r="Z1558" s="4">
        <v>360</v>
      </c>
      <c r="AA1558" s="4">
        <f>=ROUNDDOWN({0},0)</f>
      </c>
      <c r="AB1558" s="5"/>
      <c r="AC1558" s="2" t="s">
        <v>162</v>
      </c>
      <c r="AD1558" s="4">
        <v>220</v>
      </c>
      <c r="AE1558" s="4">
        <v>360</v>
      </c>
      <c r="AF1558" s="6">
        <v>65</v>
      </c>
      <c r="AG1558" s="6"/>
      <c r="AH1558" s="7">
        <v>1</v>
      </c>
      <c r="AI1558" s="4"/>
      <c r="AJ1558" s="4">
        <f>=ROUNDDOWN({0},0)</f>
      </c>
      <c r="AK1558" s="5"/>
      <c r="AL1558" s="2" t="s">
        <v>228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 t="s">
        <v>228</v>
      </c>
      <c r="AW1558" s="8" t="s">
        <v>228</v>
      </c>
      <c r="AX1558" s="4" t="s">
        <v>228</v>
      </c>
      <c r="AY1558" s="8" t="s">
        <v>228</v>
      </c>
      <c r="AZ1558" s="7" t="s">
        <v>228</v>
      </c>
      <c r="BA1558" s="7" t="s">
        <v>228</v>
      </c>
      <c r="BB1558" s="7"/>
      <c r="BC1558" s="4" t="s">
        <v>228</v>
      </c>
      <c r="BD1558" s="8" t="s">
        <v>228</v>
      </c>
      <c r="BE1558" s="4" t="s">
        <v>228</v>
      </c>
      <c r="BF1558" s="8" t="s">
        <v>228</v>
      </c>
      <c r="BG1558" s="7" t="s">
        <v>228</v>
      </c>
      <c r="BH1558" s="7" t="s">
        <v>228</v>
      </c>
      <c r="BI1558" s="7"/>
      <c r="BJ1558" s="4"/>
      <c r="BK1558" s="8"/>
      <c r="BL1558" s="2" t="s">
        <v>228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238</v>
      </c>
      <c r="BV1558" s="2" t="s">
        <v>228</v>
      </c>
      <c r="BW1558" s="2" t="s">
        <v>228</v>
      </c>
      <c r="BX1558" s="2" t="s">
        <v>238</v>
      </c>
      <c r="BY1558" s="2" t="s">
        <v>239</v>
      </c>
      <c r="BZ1558" s="2" t="s">
        <v>240</v>
      </c>
      <c r="CA1558" s="2" t="s">
        <v>228</v>
      </c>
      <c r="CB1558" s="2" t="s">
        <v>228</v>
      </c>
      <c r="CC1558" s="2" t="s">
        <v>241</v>
      </c>
      <c r="CD1558" s="2" t="s">
        <v>228</v>
      </c>
      <c r="CE1558" s="4"/>
      <c r="CF1558" s="4"/>
      <c r="CG1558" s="4"/>
      <c r="CH1558" s="4"/>
      <c r="CI1558" s="4"/>
      <c r="CJ1558" s="4"/>
      <c r="CK1558" s="4">
        <v>360</v>
      </c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>
        <v>220</v>
      </c>
      <c r="EY1558" s="4"/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>
        <v>140</v>
      </c>
      <c r="FU1558" s="4"/>
      <c r="FV1558" s="4"/>
      <c r="FW1558" s="4"/>
      <c r="FX1558" s="4"/>
      <c r="FY1558" s="4"/>
      <c r="FZ1558" s="4"/>
      <c r="GA1558" s="4"/>
      <c r="GB1558" s="4"/>
      <c r="GC1558" s="4"/>
      <c r="GD1558" s="4"/>
      <c r="GE1558" s="4"/>
      <c r="GF1558" s="4"/>
      <c r="GG1558" s="4"/>
      <c r="GH1558" s="4"/>
      <c r="GI1558" s="4"/>
      <c r="GJ1558" s="4"/>
      <c r="GK1558" s="4"/>
      <c r="GL1558" s="4"/>
      <c r="GM1558" s="4"/>
      <c r="GN1558" s="4"/>
      <c r="GO1558" s="4"/>
      <c r="GP1558" s="4"/>
      <c r="GQ1558" s="4"/>
      <c r="GR1558" s="4"/>
      <c r="GS1558" s="4"/>
      <c r="GT1558" s="4"/>
      <c r="GU1558" s="4"/>
      <c r="GV1558" s="4"/>
      <c r="GW1558" s="4"/>
      <c r="GX1558" s="4"/>
      <c r="GY1558" s="4"/>
      <c r="GZ1558" s="4"/>
      <c r="HA1558" s="4"/>
      <c r="HB1558" s="4"/>
      <c r="HC1558" s="4"/>
      <c r="HD1558" s="4"/>
      <c r="HE1558" s="4"/>
    </row>
    <row r="1559">
      <c r="A1559" s="2" t="s">
        <v>7956</v>
      </c>
      <c r="B1559" s="2" t="s">
        <v>299</v>
      </c>
      <c r="C1559" s="2" t="s">
        <v>4000</v>
      </c>
      <c r="D1559" s="2" t="s">
        <v>301</v>
      </c>
      <c r="E1559" s="2" t="s">
        <v>302</v>
      </c>
      <c r="F1559" s="2" t="s">
        <v>7951</v>
      </c>
      <c r="G1559" s="2" t="s">
        <v>7951</v>
      </c>
      <c r="H1559" s="2" t="s">
        <v>7951</v>
      </c>
      <c r="I1559" s="2" t="s">
        <v>347</v>
      </c>
      <c r="J1559" s="2" t="s">
        <v>289</v>
      </c>
      <c r="K1559" s="2" t="s">
        <v>978</v>
      </c>
      <c r="L1559" s="3">
        <v>28.2</v>
      </c>
      <c r="M1559" s="3">
        <v>29.61</v>
      </c>
      <c r="N1559" s="3">
        <v>59.99</v>
      </c>
      <c r="O1559" s="2" t="s">
        <v>240</v>
      </c>
      <c r="P1559" s="2" t="s">
        <v>233</v>
      </c>
      <c r="Q1559" s="2" t="s">
        <v>234</v>
      </c>
      <c r="R1559" s="2" t="s">
        <v>228</v>
      </c>
      <c r="S1559" s="2" t="s">
        <v>7952</v>
      </c>
      <c r="T1559" s="2" t="s">
        <v>675</v>
      </c>
      <c r="U1559" s="2" t="s">
        <v>308</v>
      </c>
      <c r="V1559" s="2" t="s">
        <v>236</v>
      </c>
      <c r="W1559" s="2" t="s">
        <v>269</v>
      </c>
      <c r="X1559" s="2" t="s">
        <v>417</v>
      </c>
      <c r="Y1559" s="2" t="s">
        <v>7953</v>
      </c>
      <c r="Z1559" s="4">
        <v>670</v>
      </c>
      <c r="AA1559" s="4">
        <f>=ROUNDDOWN({0},0)</f>
      </c>
      <c r="AB1559" s="5"/>
      <c r="AC1559" s="2" t="s">
        <v>162</v>
      </c>
      <c r="AD1559" s="4">
        <v>430</v>
      </c>
      <c r="AE1559" s="4">
        <v>690</v>
      </c>
      <c r="AF1559" s="6">
        <v>65</v>
      </c>
      <c r="AG1559" s="6"/>
      <c r="AH1559" s="7">
        <v>1</v>
      </c>
      <c r="AI1559" s="4"/>
      <c r="AJ1559" s="4">
        <f>=ROUNDDOWN({0},0)</f>
      </c>
      <c r="AK1559" s="5"/>
      <c r="AL1559" s="2" t="s">
        <v>228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228</v>
      </c>
      <c r="AW1559" s="8" t="s">
        <v>228</v>
      </c>
      <c r="AX1559" s="4" t="s">
        <v>228</v>
      </c>
      <c r="AY1559" s="8" t="s">
        <v>228</v>
      </c>
      <c r="AZ1559" s="7" t="s">
        <v>228</v>
      </c>
      <c r="BA1559" s="7" t="s">
        <v>228</v>
      </c>
      <c r="BB1559" s="7"/>
      <c r="BC1559" s="4" t="s">
        <v>228</v>
      </c>
      <c r="BD1559" s="8" t="s">
        <v>228</v>
      </c>
      <c r="BE1559" s="4" t="s">
        <v>228</v>
      </c>
      <c r="BF1559" s="8" t="s">
        <v>228</v>
      </c>
      <c r="BG1559" s="7" t="s">
        <v>228</v>
      </c>
      <c r="BH1559" s="7" t="s">
        <v>228</v>
      </c>
      <c r="BI1559" s="7"/>
      <c r="BJ1559" s="4"/>
      <c r="BK1559" s="8"/>
      <c r="BL1559" s="2" t="s">
        <v>228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238</v>
      </c>
      <c r="BV1559" s="2" t="s">
        <v>228</v>
      </c>
      <c r="BW1559" s="2" t="s">
        <v>228</v>
      </c>
      <c r="BX1559" s="2" t="s">
        <v>238</v>
      </c>
      <c r="BY1559" s="2" t="s">
        <v>239</v>
      </c>
      <c r="BZ1559" s="2" t="s">
        <v>240</v>
      </c>
      <c r="CA1559" s="2" t="s">
        <v>228</v>
      </c>
      <c r="CB1559" s="2" t="s">
        <v>228</v>
      </c>
      <c r="CC1559" s="2" t="s">
        <v>241</v>
      </c>
      <c r="CD1559" s="2" t="s">
        <v>228</v>
      </c>
      <c r="CE1559" s="4"/>
      <c r="CF1559" s="4"/>
      <c r="CG1559" s="4"/>
      <c r="CH1559" s="4"/>
      <c r="CI1559" s="4"/>
      <c r="CJ1559" s="4"/>
      <c r="CK1559" s="4">
        <v>670</v>
      </c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>
        <v>430</v>
      </c>
      <c r="EY1559" s="4"/>
      <c r="EZ1559" s="4"/>
      <c r="FA1559" s="4"/>
      <c r="FB1559" s="4"/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>
        <v>260</v>
      </c>
      <c r="FU1559" s="4"/>
      <c r="FV1559" s="4"/>
      <c r="FW1559" s="4"/>
      <c r="FX1559" s="4"/>
      <c r="FY1559" s="4"/>
      <c r="FZ1559" s="4"/>
      <c r="GA1559" s="4"/>
      <c r="GB1559" s="4"/>
      <c r="GC1559" s="4"/>
      <c r="GD1559" s="4"/>
      <c r="GE1559" s="4"/>
      <c r="GF1559" s="4"/>
      <c r="GG1559" s="4"/>
      <c r="GH1559" s="4"/>
      <c r="GI1559" s="4"/>
      <c r="GJ1559" s="4"/>
      <c r="GK1559" s="4"/>
      <c r="GL1559" s="4"/>
      <c r="GM1559" s="4"/>
      <c r="GN1559" s="4"/>
      <c r="GO1559" s="4"/>
      <c r="GP1559" s="4"/>
      <c r="GQ1559" s="4"/>
      <c r="GR1559" s="4"/>
      <c r="GS1559" s="4"/>
      <c r="GT1559" s="4"/>
      <c r="GU1559" s="4"/>
      <c r="GV1559" s="4"/>
      <c r="GW1559" s="4"/>
      <c r="GX1559" s="4"/>
      <c r="GY1559" s="4"/>
      <c r="GZ1559" s="4"/>
      <c r="HA1559" s="4"/>
      <c r="HB1559" s="4"/>
      <c r="HC1559" s="4"/>
      <c r="HD1559" s="4"/>
      <c r="HE1559" s="4"/>
    </row>
    <row r="1560">
      <c r="A1560" s="2" t="s">
        <v>7957</v>
      </c>
      <c r="B1560" s="2" t="s">
        <v>299</v>
      </c>
      <c r="C1560" s="2" t="s">
        <v>4000</v>
      </c>
      <c r="D1560" s="2" t="s">
        <v>301</v>
      </c>
      <c r="E1560" s="2" t="s">
        <v>302</v>
      </c>
      <c r="F1560" s="2" t="s">
        <v>7951</v>
      </c>
      <c r="G1560" s="2" t="s">
        <v>7951</v>
      </c>
      <c r="H1560" s="2" t="s">
        <v>7951</v>
      </c>
      <c r="I1560" s="2" t="s">
        <v>347</v>
      </c>
      <c r="J1560" s="2" t="s">
        <v>294</v>
      </c>
      <c r="K1560" s="2" t="s">
        <v>978</v>
      </c>
      <c r="L1560" s="3">
        <v>31.2</v>
      </c>
      <c r="M1560" s="3">
        <v>32.76</v>
      </c>
      <c r="N1560" s="3">
        <v>64.99</v>
      </c>
      <c r="O1560" s="2" t="s">
        <v>240</v>
      </c>
      <c r="P1560" s="2" t="s">
        <v>233</v>
      </c>
      <c r="Q1560" s="2" t="s">
        <v>234</v>
      </c>
      <c r="R1560" s="2" t="s">
        <v>228</v>
      </c>
      <c r="S1560" s="2" t="s">
        <v>7952</v>
      </c>
      <c r="T1560" s="2" t="s">
        <v>675</v>
      </c>
      <c r="U1560" s="2" t="s">
        <v>308</v>
      </c>
      <c r="V1560" s="2" t="s">
        <v>236</v>
      </c>
      <c r="W1560" s="2" t="s">
        <v>269</v>
      </c>
      <c r="X1560" s="2" t="s">
        <v>417</v>
      </c>
      <c r="Y1560" s="2" t="s">
        <v>7953</v>
      </c>
      <c r="Z1560" s="4">
        <v>310</v>
      </c>
      <c r="AA1560" s="4">
        <f>=ROUNDDOWN({0},0)</f>
      </c>
      <c r="AB1560" s="5"/>
      <c r="AC1560" s="2" t="s">
        <v>162</v>
      </c>
      <c r="AD1560" s="4">
        <v>190</v>
      </c>
      <c r="AE1560" s="4">
        <v>300</v>
      </c>
      <c r="AF1560" s="6">
        <v>65</v>
      </c>
      <c r="AG1560" s="6"/>
      <c r="AH1560" s="7">
        <v>1</v>
      </c>
      <c r="AI1560" s="4"/>
      <c r="AJ1560" s="4">
        <f>=ROUNDDOWN({0},0)</f>
      </c>
      <c r="AK1560" s="5"/>
      <c r="AL1560" s="2" t="s">
        <v>228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 t="s">
        <v>228</v>
      </c>
      <c r="AW1560" s="8" t="s">
        <v>228</v>
      </c>
      <c r="AX1560" s="4" t="s">
        <v>228</v>
      </c>
      <c r="AY1560" s="8" t="s">
        <v>228</v>
      </c>
      <c r="AZ1560" s="7" t="s">
        <v>228</v>
      </c>
      <c r="BA1560" s="7" t="s">
        <v>228</v>
      </c>
      <c r="BB1560" s="7"/>
      <c r="BC1560" s="4" t="s">
        <v>228</v>
      </c>
      <c r="BD1560" s="8" t="s">
        <v>228</v>
      </c>
      <c r="BE1560" s="4" t="s">
        <v>228</v>
      </c>
      <c r="BF1560" s="8" t="s">
        <v>228</v>
      </c>
      <c r="BG1560" s="7" t="s">
        <v>228</v>
      </c>
      <c r="BH1560" s="7" t="s">
        <v>228</v>
      </c>
      <c r="BI1560" s="7"/>
      <c r="BJ1560" s="4"/>
      <c r="BK1560" s="8"/>
      <c r="BL1560" s="2" t="s">
        <v>228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238</v>
      </c>
      <c r="BV1560" s="2" t="s">
        <v>228</v>
      </c>
      <c r="BW1560" s="2" t="s">
        <v>228</v>
      </c>
      <c r="BX1560" s="2" t="s">
        <v>238</v>
      </c>
      <c r="BY1560" s="2" t="s">
        <v>239</v>
      </c>
      <c r="BZ1560" s="2" t="s">
        <v>240</v>
      </c>
      <c r="CA1560" s="2" t="s">
        <v>228</v>
      </c>
      <c r="CB1560" s="2" t="s">
        <v>228</v>
      </c>
      <c r="CC1560" s="2" t="s">
        <v>241</v>
      </c>
      <c r="CD1560" s="2" t="s">
        <v>228</v>
      </c>
      <c r="CE1560" s="4"/>
      <c r="CF1560" s="4"/>
      <c r="CG1560" s="4"/>
      <c r="CH1560" s="4"/>
      <c r="CI1560" s="4"/>
      <c r="CJ1560" s="4"/>
      <c r="CK1560" s="4">
        <v>310</v>
      </c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>
        <v>190</v>
      </c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>
        <v>110</v>
      </c>
      <c r="FU1560" s="4"/>
      <c r="FV1560" s="4"/>
      <c r="FW1560" s="4"/>
      <c r="FX1560" s="4"/>
      <c r="FY1560" s="4"/>
      <c r="FZ1560" s="4"/>
      <c r="GA1560" s="4"/>
      <c r="GB1560" s="4"/>
      <c r="GC1560" s="4"/>
      <c r="GD1560" s="4"/>
      <c r="GE1560" s="4"/>
      <c r="GF1560" s="4"/>
      <c r="GG1560" s="4"/>
      <c r="GH1560" s="4"/>
      <c r="GI1560" s="4"/>
      <c r="GJ1560" s="4"/>
      <c r="GK1560" s="4"/>
      <c r="GL1560" s="4"/>
      <c r="GM1560" s="4"/>
      <c r="GN1560" s="4"/>
      <c r="GO1560" s="4"/>
      <c r="GP1560" s="4"/>
      <c r="GQ1560" s="4"/>
      <c r="GR1560" s="4"/>
      <c r="GS1560" s="4"/>
      <c r="GT1560" s="4"/>
      <c r="GU1560" s="4"/>
      <c r="GV1560" s="4"/>
      <c r="GW1560" s="4"/>
      <c r="GX1560" s="4"/>
      <c r="GY1560" s="4"/>
      <c r="GZ1560" s="4"/>
      <c r="HA1560" s="4"/>
      <c r="HB1560" s="4"/>
      <c r="HC1560" s="4"/>
      <c r="HD1560" s="4"/>
      <c r="HE1560" s="4"/>
    </row>
    <row r="1561">
      <c r="A1561" s="2" t="s">
        <v>7958</v>
      </c>
      <c r="B1561" s="2" t="s">
        <v>299</v>
      </c>
      <c r="C1561" s="2" t="s">
        <v>4000</v>
      </c>
      <c r="D1561" s="2" t="s">
        <v>301</v>
      </c>
      <c r="E1561" s="2" t="s">
        <v>302</v>
      </c>
      <c r="F1561" s="2" t="s">
        <v>7951</v>
      </c>
      <c r="G1561" s="2" t="s">
        <v>7951</v>
      </c>
      <c r="H1561" s="2" t="s">
        <v>7951</v>
      </c>
      <c r="I1561" s="2" t="s">
        <v>347</v>
      </c>
      <c r="J1561" s="2" t="s">
        <v>312</v>
      </c>
      <c r="K1561" s="2" t="s">
        <v>978</v>
      </c>
      <c r="L1561" s="3">
        <v>31.85</v>
      </c>
      <c r="M1561" s="3">
        <v>33.44</v>
      </c>
      <c r="N1561" s="3">
        <v>64.99</v>
      </c>
      <c r="O1561" s="2" t="s">
        <v>240</v>
      </c>
      <c r="P1561" s="2" t="s">
        <v>233</v>
      </c>
      <c r="Q1561" s="2" t="s">
        <v>234</v>
      </c>
      <c r="R1561" s="2" t="s">
        <v>228</v>
      </c>
      <c r="S1561" s="2" t="s">
        <v>7952</v>
      </c>
      <c r="T1561" s="2" t="s">
        <v>675</v>
      </c>
      <c r="U1561" s="2" t="s">
        <v>308</v>
      </c>
      <c r="V1561" s="2" t="s">
        <v>236</v>
      </c>
      <c r="W1561" s="2" t="s">
        <v>269</v>
      </c>
      <c r="X1561" s="2" t="s">
        <v>417</v>
      </c>
      <c r="Y1561" s="2" t="s">
        <v>7953</v>
      </c>
      <c r="Z1561" s="4">
        <v>110</v>
      </c>
      <c r="AA1561" s="4">
        <f>=ROUNDDOWN({0},0)</f>
      </c>
      <c r="AB1561" s="5"/>
      <c r="AC1561" s="2" t="s">
        <v>162</v>
      </c>
      <c r="AD1561" s="4">
        <v>70</v>
      </c>
      <c r="AE1561" s="4">
        <v>110</v>
      </c>
      <c r="AF1561" s="6">
        <v>65</v>
      </c>
      <c r="AG1561" s="6"/>
      <c r="AH1561" s="7">
        <v>1</v>
      </c>
      <c r="AI1561" s="4"/>
      <c r="AJ1561" s="4">
        <f>=ROUNDDOWN({0},0)</f>
      </c>
      <c r="AK1561" s="5"/>
      <c r="AL1561" s="2" t="s">
        <v>228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 t="s">
        <v>228</v>
      </c>
      <c r="AW1561" s="8" t="s">
        <v>228</v>
      </c>
      <c r="AX1561" s="4" t="s">
        <v>228</v>
      </c>
      <c r="AY1561" s="8" t="s">
        <v>228</v>
      </c>
      <c r="AZ1561" s="7" t="s">
        <v>228</v>
      </c>
      <c r="BA1561" s="7" t="s">
        <v>228</v>
      </c>
      <c r="BB1561" s="7"/>
      <c r="BC1561" s="4" t="s">
        <v>228</v>
      </c>
      <c r="BD1561" s="8" t="s">
        <v>228</v>
      </c>
      <c r="BE1561" s="4" t="s">
        <v>228</v>
      </c>
      <c r="BF1561" s="8" t="s">
        <v>228</v>
      </c>
      <c r="BG1561" s="7" t="s">
        <v>228</v>
      </c>
      <c r="BH1561" s="7" t="s">
        <v>228</v>
      </c>
      <c r="BI1561" s="7"/>
      <c r="BJ1561" s="4"/>
      <c r="BK1561" s="8"/>
      <c r="BL1561" s="2" t="s">
        <v>228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238</v>
      </c>
      <c r="BV1561" s="2" t="s">
        <v>228</v>
      </c>
      <c r="BW1561" s="2" t="s">
        <v>228</v>
      </c>
      <c r="BX1561" s="2" t="s">
        <v>238</v>
      </c>
      <c r="BY1561" s="2" t="s">
        <v>239</v>
      </c>
      <c r="BZ1561" s="2" t="s">
        <v>240</v>
      </c>
      <c r="CA1561" s="2" t="s">
        <v>228</v>
      </c>
      <c r="CB1561" s="2" t="s">
        <v>228</v>
      </c>
      <c r="CC1561" s="2" t="s">
        <v>241</v>
      </c>
      <c r="CD1561" s="2" t="s">
        <v>228</v>
      </c>
      <c r="CE1561" s="4"/>
      <c r="CF1561" s="4"/>
      <c r="CG1561" s="4"/>
      <c r="CH1561" s="4"/>
      <c r="CI1561" s="4"/>
      <c r="CJ1561" s="4"/>
      <c r="CK1561" s="4">
        <v>110</v>
      </c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>
        <v>70</v>
      </c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>
        <v>40</v>
      </c>
      <c r="FU1561" s="4"/>
      <c r="FV1561" s="4"/>
      <c r="FW1561" s="4"/>
      <c r="FX1561" s="4"/>
      <c r="FY1561" s="4"/>
      <c r="FZ1561" s="4"/>
      <c r="GA1561" s="4"/>
      <c r="GB1561" s="4"/>
      <c r="GC1561" s="4"/>
      <c r="GD1561" s="4"/>
      <c r="GE1561" s="4"/>
      <c r="GF1561" s="4"/>
      <c r="GG1561" s="4"/>
      <c r="GH1561" s="4"/>
      <c r="GI1561" s="4"/>
      <c r="GJ1561" s="4"/>
      <c r="GK1561" s="4"/>
      <c r="GL1561" s="4"/>
      <c r="GM1561" s="4"/>
      <c r="GN1561" s="4"/>
      <c r="GO1561" s="4"/>
      <c r="GP1561" s="4"/>
      <c r="GQ1561" s="4"/>
      <c r="GR1561" s="4"/>
      <c r="GS1561" s="4"/>
      <c r="GT1561" s="4"/>
      <c r="GU1561" s="4"/>
      <c r="GV1561" s="4"/>
      <c r="GW1561" s="4"/>
      <c r="GX1561" s="4"/>
      <c r="GY1561" s="4"/>
      <c r="GZ1561" s="4"/>
      <c r="HA1561" s="4"/>
      <c r="HB1561" s="4"/>
      <c r="HC1561" s="4"/>
      <c r="HD1561" s="4"/>
      <c r="HE1561" s="4"/>
    </row>
    <row r="1562">
      <c r="A1562" s="2" t="s">
        <v>7959</v>
      </c>
      <c r="B1562" s="2" t="s">
        <v>299</v>
      </c>
      <c r="C1562" s="2" t="s">
        <v>4000</v>
      </c>
      <c r="D1562" s="2" t="s">
        <v>301</v>
      </c>
      <c r="E1562" s="2" t="s">
        <v>302</v>
      </c>
      <c r="F1562" s="2" t="s">
        <v>7951</v>
      </c>
      <c r="G1562" s="2" t="s">
        <v>7951</v>
      </c>
      <c r="H1562" s="2" t="s">
        <v>7951</v>
      </c>
      <c r="I1562" s="2" t="s">
        <v>347</v>
      </c>
      <c r="J1562" s="2" t="s">
        <v>264</v>
      </c>
      <c r="K1562" s="2" t="s">
        <v>305</v>
      </c>
      <c r="L1562" s="3">
        <v>21.62</v>
      </c>
      <c r="M1562" s="3">
        <v>22.7</v>
      </c>
      <c r="N1562" s="3">
        <v>46.99</v>
      </c>
      <c r="O1562" s="2" t="s">
        <v>240</v>
      </c>
      <c r="P1562" s="2" t="s">
        <v>266</v>
      </c>
      <c r="Q1562" s="2" t="s">
        <v>234</v>
      </c>
      <c r="R1562" s="2" t="s">
        <v>228</v>
      </c>
      <c r="S1562" s="2" t="s">
        <v>7960</v>
      </c>
      <c r="T1562" s="2" t="s">
        <v>675</v>
      </c>
      <c r="U1562" s="2" t="s">
        <v>500</v>
      </c>
      <c r="V1562" s="2" t="s">
        <v>236</v>
      </c>
      <c r="W1562" s="2" t="s">
        <v>269</v>
      </c>
      <c r="X1562" s="2" t="s">
        <v>417</v>
      </c>
      <c r="Y1562" s="2" t="s">
        <v>7961</v>
      </c>
      <c r="Z1562" s="4">
        <v>148</v>
      </c>
      <c r="AA1562" s="4">
        <f>=ROUNDDOWN(21.1428571428571,0)</f>
      </c>
      <c r="AB1562" s="5">
        <v>7</v>
      </c>
      <c r="AC1562" s="2" t="s">
        <v>1352</v>
      </c>
      <c r="AD1562" s="4">
        <v>30</v>
      </c>
      <c r="AE1562" s="4">
        <v>80</v>
      </c>
      <c r="AF1562" s="6">
        <v>65</v>
      </c>
      <c r="AG1562" s="6"/>
      <c r="AH1562" s="7">
        <v>1</v>
      </c>
      <c r="AI1562" s="4"/>
      <c r="AJ1562" s="4">
        <f>=ROUNDDOWN({0},0)</f>
      </c>
      <c r="AK1562" s="5"/>
      <c r="AL1562" s="2" t="s">
        <v>228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 t="s">
        <v>228</v>
      </c>
      <c r="AW1562" s="8" t="s">
        <v>228</v>
      </c>
      <c r="AX1562" s="4" t="s">
        <v>228</v>
      </c>
      <c r="AY1562" s="8" t="s">
        <v>228</v>
      </c>
      <c r="AZ1562" s="7" t="s">
        <v>228</v>
      </c>
      <c r="BA1562" s="7" t="s">
        <v>228</v>
      </c>
      <c r="BB1562" s="7"/>
      <c r="BC1562" s="4" t="s">
        <v>228</v>
      </c>
      <c r="BD1562" s="8" t="s">
        <v>228</v>
      </c>
      <c r="BE1562" s="4" t="s">
        <v>228</v>
      </c>
      <c r="BF1562" s="8" t="s">
        <v>228</v>
      </c>
      <c r="BG1562" s="7" t="s">
        <v>228</v>
      </c>
      <c r="BH1562" s="7" t="s">
        <v>228</v>
      </c>
      <c r="BI1562" s="7"/>
      <c r="BJ1562" s="4">
        <v>5</v>
      </c>
      <c r="BK1562" s="8">
        <v>113.17</v>
      </c>
      <c r="BL1562" s="2" t="s">
        <v>3920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7962</v>
      </c>
      <c r="BV1562" s="2" t="s">
        <v>228</v>
      </c>
      <c r="BW1562" s="2" t="s">
        <v>228</v>
      </c>
      <c r="BX1562" s="2" t="s">
        <v>273</v>
      </c>
      <c r="BY1562" s="2" t="s">
        <v>274</v>
      </c>
      <c r="BZ1562" s="2" t="s">
        <v>240</v>
      </c>
      <c r="CA1562" s="2" t="s">
        <v>7963</v>
      </c>
      <c r="CB1562" s="2" t="s">
        <v>7964</v>
      </c>
      <c r="CC1562" s="2" t="s">
        <v>241</v>
      </c>
      <c r="CD1562" s="2" t="s">
        <v>228</v>
      </c>
      <c r="CE1562" s="4">
        <v>148</v>
      </c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>
        <v>30</v>
      </c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>
        <v>50</v>
      </c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/>
      <c r="GE1562" s="4"/>
      <c r="GF1562" s="4"/>
      <c r="GG1562" s="4"/>
      <c r="GH1562" s="4"/>
      <c r="GI1562" s="4"/>
      <c r="GJ1562" s="4"/>
      <c r="GK1562" s="4"/>
      <c r="GL1562" s="4"/>
      <c r="GM1562" s="4"/>
      <c r="GN1562" s="4"/>
      <c r="GO1562" s="4"/>
      <c r="GP1562" s="4"/>
      <c r="GQ1562" s="4"/>
      <c r="GR1562" s="4"/>
      <c r="GS1562" s="4"/>
      <c r="GT1562" s="4"/>
      <c r="GU1562" s="4"/>
      <c r="GV1562" s="4"/>
      <c r="GW1562" s="4"/>
      <c r="GX1562" s="4"/>
      <c r="GY1562" s="4"/>
      <c r="GZ1562" s="4"/>
      <c r="HA1562" s="4"/>
      <c r="HB1562" s="4"/>
      <c r="HC1562" s="4"/>
      <c r="HD1562" s="4"/>
      <c r="HE1562" s="4"/>
    </row>
    <row r="1563">
      <c r="A1563" s="2" t="s">
        <v>7965</v>
      </c>
      <c r="B1563" s="2" t="s">
        <v>299</v>
      </c>
      <c r="C1563" s="2" t="s">
        <v>4000</v>
      </c>
      <c r="D1563" s="2" t="s">
        <v>301</v>
      </c>
      <c r="E1563" s="2" t="s">
        <v>302</v>
      </c>
      <c r="F1563" s="2" t="s">
        <v>7951</v>
      </c>
      <c r="G1563" s="2" t="s">
        <v>7951</v>
      </c>
      <c r="H1563" s="2" t="s">
        <v>7951</v>
      </c>
      <c r="I1563" s="2" t="s">
        <v>347</v>
      </c>
      <c r="J1563" s="2" t="s">
        <v>278</v>
      </c>
      <c r="K1563" s="2" t="s">
        <v>305</v>
      </c>
      <c r="L1563" s="3">
        <v>23.04</v>
      </c>
      <c r="M1563" s="3">
        <v>24.19</v>
      </c>
      <c r="N1563" s="3">
        <v>47.99</v>
      </c>
      <c r="O1563" s="2" t="s">
        <v>240</v>
      </c>
      <c r="P1563" s="2" t="s">
        <v>266</v>
      </c>
      <c r="Q1563" s="2" t="s">
        <v>234</v>
      </c>
      <c r="R1563" s="2" t="s">
        <v>228</v>
      </c>
      <c r="S1563" s="2" t="s">
        <v>7960</v>
      </c>
      <c r="T1563" s="2" t="s">
        <v>675</v>
      </c>
      <c r="U1563" s="2" t="s">
        <v>500</v>
      </c>
      <c r="V1563" s="2" t="s">
        <v>236</v>
      </c>
      <c r="W1563" s="2" t="s">
        <v>269</v>
      </c>
      <c r="X1563" s="2" t="s">
        <v>417</v>
      </c>
      <c r="Y1563" s="2" t="s">
        <v>7961</v>
      </c>
      <c r="Z1563" s="4">
        <v>82</v>
      </c>
      <c r="AA1563" s="4">
        <f>=ROUNDDOWN(20.5,0)</f>
      </c>
      <c r="AB1563" s="5">
        <v>4</v>
      </c>
      <c r="AC1563" s="2" t="s">
        <v>1352</v>
      </c>
      <c r="AD1563" s="4">
        <v>20</v>
      </c>
      <c r="AE1563" s="4">
        <v>50</v>
      </c>
      <c r="AF1563" s="6">
        <v>65</v>
      </c>
      <c r="AG1563" s="6"/>
      <c r="AH1563" s="7">
        <v>1</v>
      </c>
      <c r="AI1563" s="4"/>
      <c r="AJ1563" s="4">
        <f>=ROUNDDOWN({0},0)</f>
      </c>
      <c r="AK1563" s="5"/>
      <c r="AL1563" s="2" t="s">
        <v>228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228</v>
      </c>
      <c r="AW1563" s="8" t="s">
        <v>228</v>
      </c>
      <c r="AX1563" s="4" t="s">
        <v>228</v>
      </c>
      <c r="AY1563" s="8" t="s">
        <v>228</v>
      </c>
      <c r="AZ1563" s="7" t="s">
        <v>228</v>
      </c>
      <c r="BA1563" s="7" t="s">
        <v>228</v>
      </c>
      <c r="BB1563" s="7"/>
      <c r="BC1563" s="4" t="s">
        <v>228</v>
      </c>
      <c r="BD1563" s="8" t="s">
        <v>228</v>
      </c>
      <c r="BE1563" s="4" t="s">
        <v>228</v>
      </c>
      <c r="BF1563" s="8" t="s">
        <v>228</v>
      </c>
      <c r="BG1563" s="7" t="s">
        <v>228</v>
      </c>
      <c r="BH1563" s="7" t="s">
        <v>228</v>
      </c>
      <c r="BI1563" s="7"/>
      <c r="BJ1563" s="4">
        <v>10</v>
      </c>
      <c r="BK1563" s="8">
        <v>255.16</v>
      </c>
      <c r="BL1563" s="2" t="s">
        <v>3816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7966</v>
      </c>
      <c r="BV1563" s="2" t="s">
        <v>228</v>
      </c>
      <c r="BW1563" s="2" t="s">
        <v>228</v>
      </c>
      <c r="BX1563" s="2" t="s">
        <v>273</v>
      </c>
      <c r="BY1563" s="2" t="s">
        <v>274</v>
      </c>
      <c r="BZ1563" s="2" t="s">
        <v>240</v>
      </c>
      <c r="CA1563" s="2" t="s">
        <v>7963</v>
      </c>
      <c r="CB1563" s="2" t="s">
        <v>5637</v>
      </c>
      <c r="CC1563" s="2" t="s">
        <v>241</v>
      </c>
      <c r="CD1563" s="2" t="s">
        <v>228</v>
      </c>
      <c r="CE1563" s="4">
        <v>82</v>
      </c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>
        <v>20</v>
      </c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>
        <v>30</v>
      </c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/>
      <c r="GE1563" s="4"/>
      <c r="GF1563" s="4"/>
      <c r="GG1563" s="4"/>
      <c r="GH1563" s="4"/>
      <c r="GI1563" s="4"/>
      <c r="GJ1563" s="4"/>
      <c r="GK1563" s="4"/>
      <c r="GL1563" s="4"/>
      <c r="GM1563" s="4"/>
      <c r="GN1563" s="4"/>
      <c r="GO1563" s="4"/>
      <c r="GP1563" s="4"/>
      <c r="GQ1563" s="4"/>
      <c r="GR1563" s="4"/>
      <c r="GS1563" s="4"/>
      <c r="GT1563" s="4"/>
      <c r="GU1563" s="4"/>
      <c r="GV1563" s="4"/>
      <c r="GW1563" s="4"/>
      <c r="GX1563" s="4"/>
      <c r="GY1563" s="4"/>
      <c r="GZ1563" s="4"/>
      <c r="HA1563" s="4"/>
      <c r="HB1563" s="4"/>
      <c r="HC1563" s="4"/>
      <c r="HD1563" s="4"/>
      <c r="HE1563" s="4"/>
    </row>
    <row r="1564">
      <c r="A1564" s="2" t="s">
        <v>7967</v>
      </c>
      <c r="B1564" s="2" t="s">
        <v>299</v>
      </c>
      <c r="C1564" s="2" t="s">
        <v>4000</v>
      </c>
      <c r="D1564" s="2" t="s">
        <v>301</v>
      </c>
      <c r="E1564" s="2" t="s">
        <v>302</v>
      </c>
      <c r="F1564" s="2" t="s">
        <v>7951</v>
      </c>
      <c r="G1564" s="2" t="s">
        <v>7951</v>
      </c>
      <c r="H1564" s="2" t="s">
        <v>7951</v>
      </c>
      <c r="I1564" s="2" t="s">
        <v>347</v>
      </c>
      <c r="J1564" s="2" t="s">
        <v>289</v>
      </c>
      <c r="K1564" s="2" t="s">
        <v>305</v>
      </c>
      <c r="L1564" s="3">
        <v>28.2</v>
      </c>
      <c r="M1564" s="3">
        <v>29.61</v>
      </c>
      <c r="N1564" s="3">
        <v>59.99</v>
      </c>
      <c r="O1564" s="2" t="s">
        <v>240</v>
      </c>
      <c r="P1564" s="2" t="s">
        <v>715</v>
      </c>
      <c r="Q1564" s="2" t="s">
        <v>234</v>
      </c>
      <c r="R1564" s="2" t="s">
        <v>228</v>
      </c>
      <c r="S1564" s="2" t="s">
        <v>7960</v>
      </c>
      <c r="T1564" s="2" t="s">
        <v>675</v>
      </c>
      <c r="U1564" s="2" t="s">
        <v>308</v>
      </c>
      <c r="V1564" s="2" t="s">
        <v>236</v>
      </c>
      <c r="W1564" s="2" t="s">
        <v>269</v>
      </c>
      <c r="X1564" s="2" t="s">
        <v>417</v>
      </c>
      <c r="Y1564" s="2" t="s">
        <v>7961</v>
      </c>
      <c r="Z1564" s="4">
        <v>464</v>
      </c>
      <c r="AA1564" s="4">
        <f>=ROUNDDOWN(22.0952380952381,0)</f>
      </c>
      <c r="AB1564" s="5">
        <v>21</v>
      </c>
      <c r="AC1564" s="2" t="s">
        <v>1352</v>
      </c>
      <c r="AD1564" s="4">
        <v>170</v>
      </c>
      <c r="AE1564" s="4">
        <v>360</v>
      </c>
      <c r="AF1564" s="6">
        <v>65</v>
      </c>
      <c r="AG1564" s="6"/>
      <c r="AH1564" s="7">
        <v>1</v>
      </c>
      <c r="AI1564" s="4"/>
      <c r="AJ1564" s="4">
        <f>=ROUNDDOWN({0},0)</f>
      </c>
      <c r="AK1564" s="5"/>
      <c r="AL1564" s="2" t="s">
        <v>228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228</v>
      </c>
      <c r="AW1564" s="8" t="s">
        <v>228</v>
      </c>
      <c r="AX1564" s="4" t="s">
        <v>228</v>
      </c>
      <c r="AY1564" s="8" t="s">
        <v>228</v>
      </c>
      <c r="AZ1564" s="7" t="s">
        <v>228</v>
      </c>
      <c r="BA1564" s="7" t="s">
        <v>228</v>
      </c>
      <c r="BB1564" s="7"/>
      <c r="BC1564" s="4" t="s">
        <v>228</v>
      </c>
      <c r="BD1564" s="8" t="s">
        <v>228</v>
      </c>
      <c r="BE1564" s="4" t="s">
        <v>228</v>
      </c>
      <c r="BF1564" s="8" t="s">
        <v>228</v>
      </c>
      <c r="BG1564" s="7" t="s">
        <v>228</v>
      </c>
      <c r="BH1564" s="7" t="s">
        <v>228</v>
      </c>
      <c r="BI1564" s="7"/>
      <c r="BJ1564" s="4">
        <v>22</v>
      </c>
      <c r="BK1564" s="8">
        <v>682.02</v>
      </c>
      <c r="BL1564" s="2" t="s">
        <v>1192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7968</v>
      </c>
      <c r="BV1564" s="2" t="s">
        <v>228</v>
      </c>
      <c r="BW1564" s="2" t="s">
        <v>228</v>
      </c>
      <c r="BX1564" s="2" t="s">
        <v>273</v>
      </c>
      <c r="BY1564" s="2" t="s">
        <v>274</v>
      </c>
      <c r="BZ1564" s="2" t="s">
        <v>240</v>
      </c>
      <c r="CA1564" s="2" t="s">
        <v>7969</v>
      </c>
      <c r="CB1564" s="2" t="s">
        <v>1738</v>
      </c>
      <c r="CC1564" s="2" t="s">
        <v>241</v>
      </c>
      <c r="CD1564" s="2" t="s">
        <v>228</v>
      </c>
      <c r="CE1564" s="4">
        <v>416</v>
      </c>
      <c r="CF1564" s="4"/>
      <c r="CG1564" s="4"/>
      <c r="CH1564" s="4"/>
      <c r="CI1564" s="4"/>
      <c r="CJ1564" s="4"/>
      <c r="CK1564" s="4">
        <v>48</v>
      </c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>
        <v>170</v>
      </c>
      <c r="EK1564" s="4"/>
      <c r="EL1564" s="4"/>
      <c r="EM1564" s="4"/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>
        <v>190</v>
      </c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  <c r="FX1564" s="4"/>
      <c r="FY1564" s="4"/>
      <c r="FZ1564" s="4"/>
      <c r="GA1564" s="4"/>
      <c r="GB1564" s="4"/>
      <c r="GC1564" s="4"/>
      <c r="GD1564" s="4"/>
      <c r="GE1564" s="4"/>
      <c r="GF1564" s="4"/>
      <c r="GG1564" s="4"/>
      <c r="GH1564" s="4"/>
      <c r="GI1564" s="4"/>
      <c r="GJ1564" s="4"/>
      <c r="GK1564" s="4"/>
      <c r="GL1564" s="4"/>
      <c r="GM1564" s="4"/>
      <c r="GN1564" s="4"/>
      <c r="GO1564" s="4"/>
      <c r="GP1564" s="4"/>
      <c r="GQ1564" s="4"/>
      <c r="GR1564" s="4"/>
      <c r="GS1564" s="4"/>
      <c r="GT1564" s="4"/>
      <c r="GU1564" s="4"/>
      <c r="GV1564" s="4"/>
      <c r="GW1564" s="4"/>
      <c r="GX1564" s="4"/>
      <c r="GY1564" s="4"/>
      <c r="GZ1564" s="4"/>
      <c r="HA1564" s="4"/>
      <c r="HB1564" s="4"/>
      <c r="HC1564" s="4"/>
      <c r="HD1564" s="4"/>
      <c r="HE1564" s="4"/>
    </row>
    <row r="1565">
      <c r="A1565" s="2" t="s">
        <v>7970</v>
      </c>
      <c r="B1565" s="2" t="s">
        <v>299</v>
      </c>
      <c r="C1565" s="2" t="s">
        <v>4000</v>
      </c>
      <c r="D1565" s="2" t="s">
        <v>301</v>
      </c>
      <c r="E1565" s="2" t="s">
        <v>302</v>
      </c>
      <c r="F1565" s="2" t="s">
        <v>7951</v>
      </c>
      <c r="G1565" s="2" t="s">
        <v>7951</v>
      </c>
      <c r="H1565" s="2" t="s">
        <v>7951</v>
      </c>
      <c r="I1565" s="2" t="s">
        <v>347</v>
      </c>
      <c r="J1565" s="2" t="s">
        <v>312</v>
      </c>
      <c r="K1565" s="2" t="s">
        <v>305</v>
      </c>
      <c r="L1565" s="3">
        <v>31.85</v>
      </c>
      <c r="M1565" s="3">
        <v>33.44</v>
      </c>
      <c r="N1565" s="3">
        <v>64.99</v>
      </c>
      <c r="O1565" s="2" t="s">
        <v>240</v>
      </c>
      <c r="P1565" s="2" t="s">
        <v>266</v>
      </c>
      <c r="Q1565" s="2" t="s">
        <v>234</v>
      </c>
      <c r="R1565" s="2" t="s">
        <v>228</v>
      </c>
      <c r="S1565" s="2" t="s">
        <v>7960</v>
      </c>
      <c r="T1565" s="2" t="s">
        <v>675</v>
      </c>
      <c r="U1565" s="2" t="s">
        <v>308</v>
      </c>
      <c r="V1565" s="2" t="s">
        <v>236</v>
      </c>
      <c r="W1565" s="2" t="s">
        <v>269</v>
      </c>
      <c r="X1565" s="2" t="s">
        <v>417</v>
      </c>
      <c r="Y1565" s="2" t="s">
        <v>7961</v>
      </c>
      <c r="Z1565" s="4">
        <v>108</v>
      </c>
      <c r="AA1565" s="4">
        <f>=ROUNDDOWN(21.6,0)</f>
      </c>
      <c r="AB1565" s="5">
        <v>5</v>
      </c>
      <c r="AC1565" s="2" t="s">
        <v>1352</v>
      </c>
      <c r="AD1565" s="4">
        <v>30</v>
      </c>
      <c r="AE1565" s="4">
        <v>70</v>
      </c>
      <c r="AF1565" s="6">
        <v>65</v>
      </c>
      <c r="AG1565" s="6"/>
      <c r="AH1565" s="7">
        <v>1</v>
      </c>
      <c r="AI1565" s="4"/>
      <c r="AJ1565" s="4">
        <f>=ROUNDDOWN({0},0)</f>
      </c>
      <c r="AK1565" s="5"/>
      <c r="AL1565" s="2" t="s">
        <v>228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 t="s">
        <v>228</v>
      </c>
      <c r="AW1565" s="8" t="s">
        <v>228</v>
      </c>
      <c r="AX1565" s="4" t="s">
        <v>228</v>
      </c>
      <c r="AY1565" s="8" t="s">
        <v>228</v>
      </c>
      <c r="AZ1565" s="7" t="s">
        <v>228</v>
      </c>
      <c r="BA1565" s="7" t="s">
        <v>228</v>
      </c>
      <c r="BB1565" s="7"/>
      <c r="BC1565" s="4" t="s">
        <v>228</v>
      </c>
      <c r="BD1565" s="8" t="s">
        <v>228</v>
      </c>
      <c r="BE1565" s="4" t="s">
        <v>228</v>
      </c>
      <c r="BF1565" s="8" t="s">
        <v>228</v>
      </c>
      <c r="BG1565" s="7" t="s">
        <v>228</v>
      </c>
      <c r="BH1565" s="7" t="s">
        <v>228</v>
      </c>
      <c r="BI1565" s="7"/>
      <c r="BJ1565" s="4">
        <v>6</v>
      </c>
      <c r="BK1565" s="8">
        <v>210.31</v>
      </c>
      <c r="BL1565" s="2" t="s">
        <v>4127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7971</v>
      </c>
      <c r="BV1565" s="2" t="s">
        <v>228</v>
      </c>
      <c r="BW1565" s="2" t="s">
        <v>228</v>
      </c>
      <c r="BX1565" s="2" t="s">
        <v>273</v>
      </c>
      <c r="BY1565" s="2" t="s">
        <v>274</v>
      </c>
      <c r="BZ1565" s="2" t="s">
        <v>240</v>
      </c>
      <c r="CA1565" s="2" t="s">
        <v>7969</v>
      </c>
      <c r="CB1565" s="2" t="s">
        <v>7972</v>
      </c>
      <c r="CC1565" s="2" t="s">
        <v>241</v>
      </c>
      <c r="CD1565" s="2" t="s">
        <v>228</v>
      </c>
      <c r="CE1565" s="4">
        <v>108</v>
      </c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>
        <v>30</v>
      </c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>
        <v>40</v>
      </c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/>
      <c r="FT1565" s="4"/>
      <c r="FU1565" s="4"/>
      <c r="FV1565" s="4"/>
      <c r="FW1565" s="4"/>
      <c r="FX1565" s="4"/>
      <c r="FY1565" s="4"/>
      <c r="FZ1565" s="4"/>
      <c r="GA1565" s="4"/>
      <c r="GB1565" s="4"/>
      <c r="GC1565" s="4"/>
      <c r="GD1565" s="4"/>
      <c r="GE1565" s="4"/>
      <c r="GF1565" s="4"/>
      <c r="GG1565" s="4"/>
      <c r="GH1565" s="4"/>
      <c r="GI1565" s="4"/>
      <c r="GJ1565" s="4"/>
      <c r="GK1565" s="4"/>
      <c r="GL1565" s="4"/>
      <c r="GM1565" s="4"/>
      <c r="GN1565" s="4"/>
      <c r="GO1565" s="4"/>
      <c r="GP1565" s="4"/>
      <c r="GQ1565" s="4"/>
      <c r="GR1565" s="4"/>
      <c r="GS1565" s="4"/>
      <c r="GT1565" s="4"/>
      <c r="GU1565" s="4"/>
      <c r="GV1565" s="4"/>
      <c r="GW1565" s="4"/>
      <c r="GX1565" s="4"/>
      <c r="GY1565" s="4"/>
      <c r="GZ1565" s="4"/>
      <c r="HA1565" s="4"/>
      <c r="HB1565" s="4"/>
      <c r="HC1565" s="4"/>
      <c r="HD1565" s="4"/>
      <c r="HE1565" s="4"/>
    </row>
    <row r="1566">
      <c r="A1566" s="2" t="s">
        <v>7973</v>
      </c>
      <c r="B1566" s="2" t="s">
        <v>299</v>
      </c>
      <c r="C1566" s="2" t="s">
        <v>4000</v>
      </c>
      <c r="D1566" s="2" t="s">
        <v>301</v>
      </c>
      <c r="E1566" s="2" t="s">
        <v>302</v>
      </c>
      <c r="F1566" s="2" t="s">
        <v>7951</v>
      </c>
      <c r="G1566" s="2" t="s">
        <v>7951</v>
      </c>
      <c r="H1566" s="2" t="s">
        <v>7951</v>
      </c>
      <c r="I1566" s="2" t="s">
        <v>347</v>
      </c>
      <c r="J1566" s="2" t="s">
        <v>278</v>
      </c>
      <c r="K1566" s="2" t="s">
        <v>265</v>
      </c>
      <c r="L1566" s="3">
        <v>23.04</v>
      </c>
      <c r="M1566" s="3">
        <v>24.19</v>
      </c>
      <c r="N1566" s="3">
        <v>47.99</v>
      </c>
      <c r="O1566" s="2" t="s">
        <v>240</v>
      </c>
      <c r="P1566" s="2" t="s">
        <v>266</v>
      </c>
      <c r="Q1566" s="2" t="s">
        <v>234</v>
      </c>
      <c r="R1566" s="2" t="s">
        <v>228</v>
      </c>
      <c r="S1566" s="2" t="s">
        <v>7974</v>
      </c>
      <c r="T1566" s="2" t="s">
        <v>675</v>
      </c>
      <c r="U1566" s="2" t="s">
        <v>500</v>
      </c>
      <c r="V1566" s="2" t="s">
        <v>236</v>
      </c>
      <c r="W1566" s="2" t="s">
        <v>269</v>
      </c>
      <c r="X1566" s="2" t="s">
        <v>417</v>
      </c>
      <c r="Y1566" s="2" t="s">
        <v>270</v>
      </c>
      <c r="Z1566" s="4">
        <v>308</v>
      </c>
      <c r="AA1566" s="4">
        <f>=ROUNDDOWN(17.1111111111111,0)</f>
      </c>
      <c r="AB1566" s="5">
        <v>18</v>
      </c>
      <c r="AC1566" s="2" t="s">
        <v>1352</v>
      </c>
      <c r="AD1566" s="4">
        <v>100</v>
      </c>
      <c r="AE1566" s="4">
        <v>220</v>
      </c>
      <c r="AF1566" s="6">
        <v>65</v>
      </c>
      <c r="AG1566" s="6"/>
      <c r="AH1566" s="7">
        <v>1</v>
      </c>
      <c r="AI1566" s="4"/>
      <c r="AJ1566" s="4">
        <f>=ROUNDDOWN({0},0)</f>
      </c>
      <c r="AK1566" s="5"/>
      <c r="AL1566" s="2" t="s">
        <v>228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 t="s">
        <v>228</v>
      </c>
      <c r="AW1566" s="8" t="s">
        <v>228</v>
      </c>
      <c r="AX1566" s="4" t="s">
        <v>228</v>
      </c>
      <c r="AY1566" s="8" t="s">
        <v>228</v>
      </c>
      <c r="AZ1566" s="7" t="s">
        <v>228</v>
      </c>
      <c r="BA1566" s="7" t="s">
        <v>228</v>
      </c>
      <c r="BB1566" s="7"/>
      <c r="BC1566" s="4" t="s">
        <v>228</v>
      </c>
      <c r="BD1566" s="8" t="s">
        <v>228</v>
      </c>
      <c r="BE1566" s="4" t="s">
        <v>228</v>
      </c>
      <c r="BF1566" s="8" t="s">
        <v>228</v>
      </c>
      <c r="BG1566" s="7" t="s">
        <v>228</v>
      </c>
      <c r="BH1566" s="7" t="s">
        <v>228</v>
      </c>
      <c r="BI1566" s="7"/>
      <c r="BJ1566" s="4">
        <v>32</v>
      </c>
      <c r="BK1566" s="8">
        <v>795.2</v>
      </c>
      <c r="BL1566" s="2" t="s">
        <v>7975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7976</v>
      </c>
      <c r="BV1566" s="2" t="s">
        <v>228</v>
      </c>
      <c r="BW1566" s="2" t="s">
        <v>228</v>
      </c>
      <c r="BX1566" s="2" t="s">
        <v>273</v>
      </c>
      <c r="BY1566" s="2" t="s">
        <v>274</v>
      </c>
      <c r="BZ1566" s="2" t="s">
        <v>240</v>
      </c>
      <c r="CA1566" s="2" t="s">
        <v>275</v>
      </c>
      <c r="CB1566" s="2" t="s">
        <v>7977</v>
      </c>
      <c r="CC1566" s="2" t="s">
        <v>241</v>
      </c>
      <c r="CD1566" s="2" t="s">
        <v>228</v>
      </c>
      <c r="CE1566" s="4">
        <v>308</v>
      </c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>
        <v>100</v>
      </c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>
        <v>120</v>
      </c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/>
      <c r="FY1566" s="4"/>
      <c r="FZ1566" s="4"/>
      <c r="GA1566" s="4"/>
      <c r="GB1566" s="4"/>
      <c r="GC1566" s="4"/>
      <c r="GD1566" s="4"/>
      <c r="GE1566" s="4"/>
      <c r="GF1566" s="4"/>
      <c r="GG1566" s="4"/>
      <c r="GH1566" s="4"/>
      <c r="GI1566" s="4"/>
      <c r="GJ1566" s="4"/>
      <c r="GK1566" s="4"/>
      <c r="GL1566" s="4"/>
      <c r="GM1566" s="4"/>
      <c r="GN1566" s="4"/>
      <c r="GO1566" s="4"/>
      <c r="GP1566" s="4"/>
      <c r="GQ1566" s="4"/>
      <c r="GR1566" s="4"/>
      <c r="GS1566" s="4"/>
      <c r="GT1566" s="4"/>
      <c r="GU1566" s="4"/>
      <c r="GV1566" s="4"/>
      <c r="GW1566" s="4"/>
      <c r="GX1566" s="4"/>
      <c r="GY1566" s="4"/>
      <c r="GZ1566" s="4"/>
      <c r="HA1566" s="4"/>
      <c r="HB1566" s="4"/>
      <c r="HC1566" s="4"/>
      <c r="HD1566" s="4"/>
      <c r="HE1566" s="4"/>
    </row>
    <row r="1567">
      <c r="A1567" s="2" t="s">
        <v>7978</v>
      </c>
      <c r="B1567" s="2" t="s">
        <v>299</v>
      </c>
      <c r="C1567" s="2" t="s">
        <v>4000</v>
      </c>
      <c r="D1567" s="2" t="s">
        <v>301</v>
      </c>
      <c r="E1567" s="2" t="s">
        <v>302</v>
      </c>
      <c r="F1567" s="2" t="s">
        <v>7951</v>
      </c>
      <c r="G1567" s="2" t="s">
        <v>7951</v>
      </c>
      <c r="H1567" s="2" t="s">
        <v>7951</v>
      </c>
      <c r="I1567" s="2" t="s">
        <v>347</v>
      </c>
      <c r="J1567" s="2" t="s">
        <v>294</v>
      </c>
      <c r="K1567" s="2" t="s">
        <v>265</v>
      </c>
      <c r="L1567" s="3">
        <v>31.2</v>
      </c>
      <c r="M1567" s="3">
        <v>32.76</v>
      </c>
      <c r="N1567" s="3">
        <v>64.99</v>
      </c>
      <c r="O1567" s="2" t="s">
        <v>240</v>
      </c>
      <c r="P1567" s="2" t="s">
        <v>266</v>
      </c>
      <c r="Q1567" s="2" t="s">
        <v>234</v>
      </c>
      <c r="R1567" s="2" t="s">
        <v>228</v>
      </c>
      <c r="S1567" s="2" t="s">
        <v>7974</v>
      </c>
      <c r="T1567" s="2" t="s">
        <v>675</v>
      </c>
      <c r="U1567" s="2" t="s">
        <v>308</v>
      </c>
      <c r="V1567" s="2" t="s">
        <v>236</v>
      </c>
      <c r="W1567" s="2" t="s">
        <v>269</v>
      </c>
      <c r="X1567" s="2" t="s">
        <v>417</v>
      </c>
      <c r="Y1567" s="2" t="s">
        <v>270</v>
      </c>
      <c r="Z1567" s="4">
        <v>383</v>
      </c>
      <c r="AA1567" s="4">
        <f>=ROUNDDOWN(19.15,0)</f>
      </c>
      <c r="AB1567" s="5">
        <v>20</v>
      </c>
      <c r="AC1567" s="2" t="s">
        <v>3792</v>
      </c>
      <c r="AD1567" s="4">
        <v>110</v>
      </c>
      <c r="AE1567" s="4">
        <v>260</v>
      </c>
      <c r="AF1567" s="6">
        <v>65</v>
      </c>
      <c r="AG1567" s="6"/>
      <c r="AH1567" s="7">
        <v>1</v>
      </c>
      <c r="AI1567" s="4"/>
      <c r="AJ1567" s="4">
        <f>=ROUNDDOWN({0},0)</f>
      </c>
      <c r="AK1567" s="5"/>
      <c r="AL1567" s="2" t="s">
        <v>228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228</v>
      </c>
      <c r="AW1567" s="8" t="s">
        <v>228</v>
      </c>
      <c r="AX1567" s="4" t="s">
        <v>228</v>
      </c>
      <c r="AY1567" s="8" t="s">
        <v>228</v>
      </c>
      <c r="AZ1567" s="7" t="s">
        <v>228</v>
      </c>
      <c r="BA1567" s="7" t="s">
        <v>228</v>
      </c>
      <c r="BB1567" s="7"/>
      <c r="BC1567" s="4" t="s">
        <v>228</v>
      </c>
      <c r="BD1567" s="8" t="s">
        <v>228</v>
      </c>
      <c r="BE1567" s="4" t="s">
        <v>228</v>
      </c>
      <c r="BF1567" s="8" t="s">
        <v>228</v>
      </c>
      <c r="BG1567" s="7" t="s">
        <v>228</v>
      </c>
      <c r="BH1567" s="7" t="s">
        <v>228</v>
      </c>
      <c r="BI1567" s="7"/>
      <c r="BJ1567" s="4">
        <v>27</v>
      </c>
      <c r="BK1567" s="8">
        <v>897.94</v>
      </c>
      <c r="BL1567" s="2" t="s">
        <v>7979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7980</v>
      </c>
      <c r="BV1567" s="2" t="s">
        <v>228</v>
      </c>
      <c r="BW1567" s="2" t="s">
        <v>228</v>
      </c>
      <c r="BX1567" s="2" t="s">
        <v>273</v>
      </c>
      <c r="BY1567" s="2" t="s">
        <v>274</v>
      </c>
      <c r="BZ1567" s="2" t="s">
        <v>240</v>
      </c>
      <c r="CA1567" s="2" t="s">
        <v>275</v>
      </c>
      <c r="CB1567" s="2" t="s">
        <v>7981</v>
      </c>
      <c r="CC1567" s="2" t="s">
        <v>241</v>
      </c>
      <c r="CD1567" s="2" t="s">
        <v>228</v>
      </c>
      <c r="CE1567" s="4">
        <v>383</v>
      </c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>
        <v>110</v>
      </c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>
        <v>150</v>
      </c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/>
      <c r="FY1567" s="4"/>
      <c r="FZ1567" s="4"/>
      <c r="GA1567" s="4"/>
      <c r="GB1567" s="4"/>
      <c r="GC1567" s="4"/>
      <c r="GD1567" s="4"/>
      <c r="GE1567" s="4"/>
      <c r="GF1567" s="4"/>
      <c r="GG1567" s="4"/>
      <c r="GH1567" s="4"/>
      <c r="GI1567" s="4"/>
      <c r="GJ1567" s="4"/>
      <c r="GK1567" s="4"/>
      <c r="GL1567" s="4"/>
      <c r="GM1567" s="4"/>
      <c r="GN1567" s="4"/>
      <c r="GO1567" s="4"/>
      <c r="GP1567" s="4"/>
      <c r="GQ1567" s="4"/>
      <c r="GR1567" s="4"/>
      <c r="GS1567" s="4"/>
      <c r="GT1567" s="4"/>
      <c r="GU1567" s="4"/>
      <c r="GV1567" s="4"/>
      <c r="GW1567" s="4"/>
      <c r="GX1567" s="4"/>
      <c r="GY1567" s="4"/>
      <c r="GZ1567" s="4"/>
      <c r="HA1567" s="4"/>
      <c r="HB1567" s="4"/>
      <c r="HC1567" s="4"/>
      <c r="HD1567" s="4"/>
      <c r="HE1567" s="4"/>
    </row>
    <row r="1568">
      <c r="A1568" s="2" t="s">
        <v>7982</v>
      </c>
      <c r="B1568" s="2" t="s">
        <v>299</v>
      </c>
      <c r="C1568" s="2" t="s">
        <v>4000</v>
      </c>
      <c r="D1568" s="2" t="s">
        <v>301</v>
      </c>
      <c r="E1568" s="2" t="s">
        <v>302</v>
      </c>
      <c r="F1568" s="2" t="s">
        <v>7951</v>
      </c>
      <c r="G1568" s="2" t="s">
        <v>7951</v>
      </c>
      <c r="H1568" s="2" t="s">
        <v>7951</v>
      </c>
      <c r="I1568" s="2" t="s">
        <v>347</v>
      </c>
      <c r="J1568" s="2" t="s">
        <v>264</v>
      </c>
      <c r="K1568" s="2" t="s">
        <v>7983</v>
      </c>
      <c r="L1568" s="3">
        <v>24</v>
      </c>
      <c r="M1568" s="3">
        <v>25.2</v>
      </c>
      <c r="N1568" s="3">
        <v>49.99</v>
      </c>
      <c r="O1568" s="2" t="s">
        <v>461</v>
      </c>
      <c r="P1568" s="2" t="s">
        <v>333</v>
      </c>
      <c r="Q1568" s="2" t="s">
        <v>234</v>
      </c>
      <c r="R1568" s="2" t="s">
        <v>228</v>
      </c>
      <c r="S1568" s="2" t="s">
        <v>7984</v>
      </c>
      <c r="T1568" s="2" t="s">
        <v>675</v>
      </c>
      <c r="U1568" s="2" t="s">
        <v>500</v>
      </c>
      <c r="V1568" s="2" t="s">
        <v>1644</v>
      </c>
      <c r="W1568" s="2" t="s">
        <v>269</v>
      </c>
      <c r="X1568" s="2" t="s">
        <v>417</v>
      </c>
      <c r="Y1568" s="2" t="s">
        <v>270</v>
      </c>
      <c r="Z1568" s="4">
        <v>76</v>
      </c>
      <c r="AA1568" s="4">
        <f>=ROUNDDOWN(30.4,0)</f>
      </c>
      <c r="AB1568" s="5">
        <v>2.5</v>
      </c>
      <c r="AC1568" s="2" t="s">
        <v>228</v>
      </c>
      <c r="AD1568" s="4"/>
      <c r="AE1568" s="4"/>
      <c r="AF1568" s="6">
        <v>65</v>
      </c>
      <c r="AG1568" s="6"/>
      <c r="AH1568" s="7">
        <v>1</v>
      </c>
      <c r="AI1568" s="4"/>
      <c r="AJ1568" s="4">
        <f>=ROUNDDOWN({0},0)</f>
      </c>
      <c r="AK1568" s="5"/>
      <c r="AL1568" s="2" t="s">
        <v>228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 t="s">
        <v>228</v>
      </c>
      <c r="AW1568" s="8" t="s">
        <v>228</v>
      </c>
      <c r="AX1568" s="4" t="s">
        <v>228</v>
      </c>
      <c r="AY1568" s="8" t="s">
        <v>228</v>
      </c>
      <c r="AZ1568" s="7" t="s">
        <v>228</v>
      </c>
      <c r="BA1568" s="7" t="s">
        <v>228</v>
      </c>
      <c r="BB1568" s="7"/>
      <c r="BC1568" s="4" t="s">
        <v>228</v>
      </c>
      <c r="BD1568" s="8" t="s">
        <v>228</v>
      </c>
      <c r="BE1568" s="4" t="s">
        <v>228</v>
      </c>
      <c r="BF1568" s="8" t="s">
        <v>228</v>
      </c>
      <c r="BG1568" s="7" t="s">
        <v>228</v>
      </c>
      <c r="BH1568" s="7" t="s">
        <v>228</v>
      </c>
      <c r="BI1568" s="7"/>
      <c r="BJ1568" s="4">
        <v>14</v>
      </c>
      <c r="BK1568" s="8">
        <v>292.88</v>
      </c>
      <c r="BL1568" s="2" t="s">
        <v>1092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7985</v>
      </c>
      <c r="BV1568" s="2" t="s">
        <v>228</v>
      </c>
      <c r="BW1568" s="2" t="s">
        <v>228</v>
      </c>
      <c r="BX1568" s="2" t="s">
        <v>337</v>
      </c>
      <c r="BY1568" s="2" t="s">
        <v>274</v>
      </c>
      <c r="BZ1568" s="2" t="s">
        <v>240</v>
      </c>
      <c r="CA1568" s="2" t="s">
        <v>281</v>
      </c>
      <c r="CB1568" s="2" t="s">
        <v>7986</v>
      </c>
      <c r="CC1568" s="2" t="s">
        <v>241</v>
      </c>
      <c r="CD1568" s="2" t="s">
        <v>228</v>
      </c>
      <c r="CE1568" s="4">
        <v>76</v>
      </c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/>
      <c r="GE1568" s="4"/>
      <c r="GF1568" s="4"/>
      <c r="GG1568" s="4"/>
      <c r="GH1568" s="4"/>
      <c r="GI1568" s="4"/>
      <c r="GJ1568" s="4"/>
      <c r="GK1568" s="4"/>
      <c r="GL1568" s="4"/>
      <c r="GM1568" s="4"/>
      <c r="GN1568" s="4"/>
      <c r="GO1568" s="4"/>
      <c r="GP1568" s="4"/>
      <c r="GQ1568" s="4"/>
      <c r="GR1568" s="4"/>
      <c r="GS1568" s="4"/>
      <c r="GT1568" s="4"/>
      <c r="GU1568" s="4"/>
      <c r="GV1568" s="4"/>
      <c r="GW1568" s="4"/>
      <c r="GX1568" s="4"/>
      <c r="GY1568" s="4"/>
      <c r="GZ1568" s="4"/>
      <c r="HA1568" s="4"/>
      <c r="HB1568" s="4"/>
      <c r="HC1568" s="4"/>
      <c r="HD1568" s="4"/>
      <c r="HE1568" s="4"/>
    </row>
    <row r="1569">
      <c r="A1569" s="2" t="s">
        <v>7987</v>
      </c>
      <c r="B1569" s="2" t="s">
        <v>299</v>
      </c>
      <c r="C1569" s="2" t="s">
        <v>4000</v>
      </c>
      <c r="D1569" s="2" t="s">
        <v>301</v>
      </c>
      <c r="E1569" s="2" t="s">
        <v>302</v>
      </c>
      <c r="F1569" s="2" t="s">
        <v>7951</v>
      </c>
      <c r="G1569" s="2" t="s">
        <v>7951</v>
      </c>
      <c r="H1569" s="2" t="s">
        <v>7951</v>
      </c>
      <c r="I1569" s="2" t="s">
        <v>347</v>
      </c>
      <c r="J1569" s="2" t="s">
        <v>294</v>
      </c>
      <c r="K1569" s="2" t="s">
        <v>7983</v>
      </c>
      <c r="L1569" s="3">
        <v>34.5</v>
      </c>
      <c r="M1569" s="3">
        <v>36.22</v>
      </c>
      <c r="N1569" s="3">
        <v>74.99</v>
      </c>
      <c r="O1569" s="2" t="s">
        <v>461</v>
      </c>
      <c r="P1569" s="2" t="s">
        <v>333</v>
      </c>
      <c r="Q1569" s="2" t="s">
        <v>234</v>
      </c>
      <c r="R1569" s="2" t="s">
        <v>228</v>
      </c>
      <c r="S1569" s="2" t="s">
        <v>7984</v>
      </c>
      <c r="T1569" s="2" t="s">
        <v>675</v>
      </c>
      <c r="U1569" s="2" t="s">
        <v>308</v>
      </c>
      <c r="V1569" s="2" t="s">
        <v>1644</v>
      </c>
      <c r="W1569" s="2" t="s">
        <v>269</v>
      </c>
      <c r="X1569" s="2" t="s">
        <v>417</v>
      </c>
      <c r="Y1569" s="2" t="s">
        <v>270</v>
      </c>
      <c r="Z1569" s="4">
        <v>96</v>
      </c>
      <c r="AA1569" s="4">
        <f>=ROUNDDOWN(29.0909090909091,0)</f>
      </c>
      <c r="AB1569" s="5">
        <v>3.3</v>
      </c>
      <c r="AC1569" s="2" t="s">
        <v>228</v>
      </c>
      <c r="AD1569" s="4"/>
      <c r="AE1569" s="4"/>
      <c r="AF1569" s="6">
        <v>65</v>
      </c>
      <c r="AG1569" s="6"/>
      <c r="AH1569" s="7">
        <v>1</v>
      </c>
      <c r="AI1569" s="4"/>
      <c r="AJ1569" s="4">
        <f>=ROUNDDOWN({0},0)</f>
      </c>
      <c r="AK1569" s="5"/>
      <c r="AL1569" s="2" t="s">
        <v>228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228</v>
      </c>
      <c r="AW1569" s="8" t="s">
        <v>228</v>
      </c>
      <c r="AX1569" s="4" t="s">
        <v>228</v>
      </c>
      <c r="AY1569" s="8" t="s">
        <v>228</v>
      </c>
      <c r="AZ1569" s="7" t="s">
        <v>228</v>
      </c>
      <c r="BA1569" s="7" t="s">
        <v>228</v>
      </c>
      <c r="BB1569" s="7"/>
      <c r="BC1569" s="4" t="s">
        <v>228</v>
      </c>
      <c r="BD1569" s="8" t="s">
        <v>228</v>
      </c>
      <c r="BE1569" s="4" t="s">
        <v>228</v>
      </c>
      <c r="BF1569" s="8" t="s">
        <v>228</v>
      </c>
      <c r="BG1569" s="7" t="s">
        <v>228</v>
      </c>
      <c r="BH1569" s="7" t="s">
        <v>228</v>
      </c>
      <c r="BI1569" s="7"/>
      <c r="BJ1569" s="4">
        <v>18</v>
      </c>
      <c r="BK1569" s="8">
        <v>515.79</v>
      </c>
      <c r="BL1569" s="2" t="s">
        <v>4195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7988</v>
      </c>
      <c r="BV1569" s="2" t="s">
        <v>228</v>
      </c>
      <c r="BW1569" s="2" t="s">
        <v>228</v>
      </c>
      <c r="BX1569" s="2" t="s">
        <v>337</v>
      </c>
      <c r="BY1569" s="2" t="s">
        <v>274</v>
      </c>
      <c r="BZ1569" s="2" t="s">
        <v>240</v>
      </c>
      <c r="CA1569" s="2" t="s">
        <v>281</v>
      </c>
      <c r="CB1569" s="2" t="s">
        <v>7989</v>
      </c>
      <c r="CC1569" s="2" t="s">
        <v>241</v>
      </c>
      <c r="CD1569" s="2" t="s">
        <v>228</v>
      </c>
      <c r="CE1569" s="4">
        <v>96</v>
      </c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/>
      <c r="FJ1569" s="4"/>
      <c r="FK1569" s="4"/>
      <c r="FL1569" s="4"/>
      <c r="FM1569" s="4"/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/>
      <c r="FY1569" s="4"/>
      <c r="FZ1569" s="4"/>
      <c r="GA1569" s="4"/>
      <c r="GB1569" s="4"/>
      <c r="GC1569" s="4"/>
      <c r="GD1569" s="4"/>
      <c r="GE1569" s="4"/>
      <c r="GF1569" s="4"/>
      <c r="GG1569" s="4"/>
      <c r="GH1569" s="4"/>
      <c r="GI1569" s="4"/>
      <c r="GJ1569" s="4"/>
      <c r="GK1569" s="4"/>
      <c r="GL1569" s="4"/>
      <c r="GM1569" s="4"/>
      <c r="GN1569" s="4"/>
      <c r="GO1569" s="4"/>
      <c r="GP1569" s="4"/>
      <c r="GQ1569" s="4"/>
      <c r="GR1569" s="4"/>
      <c r="GS1569" s="4"/>
      <c r="GT1569" s="4"/>
      <c r="GU1569" s="4"/>
      <c r="GV1569" s="4"/>
      <c r="GW1569" s="4"/>
      <c r="GX1569" s="4"/>
      <c r="GY1569" s="4"/>
      <c r="GZ1569" s="4"/>
      <c r="HA1569" s="4"/>
      <c r="HB1569" s="4"/>
      <c r="HC1569" s="4"/>
      <c r="HD1569" s="4"/>
      <c r="HE1569" s="4"/>
    </row>
    <row r="1570">
      <c r="A1570" s="2" t="s">
        <v>7990</v>
      </c>
      <c r="B1570" s="2" t="s">
        <v>299</v>
      </c>
      <c r="C1570" s="2" t="s">
        <v>4000</v>
      </c>
      <c r="D1570" s="2" t="s">
        <v>301</v>
      </c>
      <c r="E1570" s="2" t="s">
        <v>302</v>
      </c>
      <c r="F1570" s="2" t="s">
        <v>7951</v>
      </c>
      <c r="G1570" s="2" t="s">
        <v>7951</v>
      </c>
      <c r="H1570" s="2" t="s">
        <v>7951</v>
      </c>
      <c r="I1570" s="2" t="s">
        <v>347</v>
      </c>
      <c r="J1570" s="2" t="s">
        <v>264</v>
      </c>
      <c r="K1570" s="2" t="s">
        <v>556</v>
      </c>
      <c r="L1570" s="3">
        <v>21.62</v>
      </c>
      <c r="M1570" s="3">
        <v>22.7</v>
      </c>
      <c r="N1570" s="3">
        <v>46.99</v>
      </c>
      <c r="O1570" s="2" t="s">
        <v>240</v>
      </c>
      <c r="P1570" s="2" t="s">
        <v>266</v>
      </c>
      <c r="Q1570" s="2" t="s">
        <v>234</v>
      </c>
      <c r="R1570" s="2" t="s">
        <v>228</v>
      </c>
      <c r="S1570" s="2" t="s">
        <v>7991</v>
      </c>
      <c r="T1570" s="2" t="s">
        <v>675</v>
      </c>
      <c r="U1570" s="2" t="s">
        <v>500</v>
      </c>
      <c r="V1570" s="2" t="s">
        <v>236</v>
      </c>
      <c r="W1570" s="2" t="s">
        <v>269</v>
      </c>
      <c r="X1570" s="2" t="s">
        <v>417</v>
      </c>
      <c r="Y1570" s="2" t="s">
        <v>6021</v>
      </c>
      <c r="Z1570" s="4">
        <v>136</v>
      </c>
      <c r="AA1570" s="4">
        <f>=ROUNDDOWN(17,0)</f>
      </c>
      <c r="AB1570" s="5">
        <v>8</v>
      </c>
      <c r="AC1570" s="2" t="s">
        <v>1352</v>
      </c>
      <c r="AD1570" s="4">
        <v>40</v>
      </c>
      <c r="AE1570" s="4">
        <v>100</v>
      </c>
      <c r="AF1570" s="6">
        <v>65</v>
      </c>
      <c r="AG1570" s="6"/>
      <c r="AH1570" s="7">
        <v>1</v>
      </c>
      <c r="AI1570" s="4"/>
      <c r="AJ1570" s="4">
        <f>=ROUNDDOWN({0},0)</f>
      </c>
      <c r="AK1570" s="5"/>
      <c r="AL1570" s="2" t="s">
        <v>228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 t="s">
        <v>228</v>
      </c>
      <c r="AW1570" s="8" t="s">
        <v>228</v>
      </c>
      <c r="AX1570" s="4" t="s">
        <v>228</v>
      </c>
      <c r="AY1570" s="8" t="s">
        <v>228</v>
      </c>
      <c r="AZ1570" s="7" t="s">
        <v>228</v>
      </c>
      <c r="BA1570" s="7" t="s">
        <v>228</v>
      </c>
      <c r="BB1570" s="7"/>
      <c r="BC1570" s="4" t="s">
        <v>228</v>
      </c>
      <c r="BD1570" s="8" t="s">
        <v>228</v>
      </c>
      <c r="BE1570" s="4" t="s">
        <v>228</v>
      </c>
      <c r="BF1570" s="8" t="s">
        <v>228</v>
      </c>
      <c r="BG1570" s="7" t="s">
        <v>228</v>
      </c>
      <c r="BH1570" s="7" t="s">
        <v>228</v>
      </c>
      <c r="BI1570" s="7"/>
      <c r="BJ1570" s="4">
        <v>22</v>
      </c>
      <c r="BK1570" s="8">
        <v>541.58</v>
      </c>
      <c r="BL1570" s="2" t="s">
        <v>7992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7993</v>
      </c>
      <c r="BV1570" s="2" t="s">
        <v>228</v>
      </c>
      <c r="BW1570" s="2" t="s">
        <v>228</v>
      </c>
      <c r="BX1570" s="2" t="s">
        <v>273</v>
      </c>
      <c r="BY1570" s="2" t="s">
        <v>274</v>
      </c>
      <c r="BZ1570" s="2" t="s">
        <v>240</v>
      </c>
      <c r="CA1570" s="2" t="s">
        <v>1978</v>
      </c>
      <c r="CB1570" s="2" t="s">
        <v>932</v>
      </c>
      <c r="CC1570" s="2" t="s">
        <v>241</v>
      </c>
      <c r="CD1570" s="2" t="s">
        <v>228</v>
      </c>
      <c r="CE1570" s="4">
        <v>136</v>
      </c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>
        <v>40</v>
      </c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>
        <v>60</v>
      </c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/>
      <c r="FJ1570" s="4"/>
      <c r="FK1570" s="4"/>
      <c r="FL1570" s="4"/>
      <c r="FM1570" s="4"/>
      <c r="FN1570" s="4"/>
      <c r="FO1570" s="4"/>
      <c r="FP1570" s="4"/>
      <c r="FQ1570" s="4"/>
      <c r="FR1570" s="4"/>
      <c r="FS1570" s="4"/>
      <c r="FT1570" s="4"/>
      <c r="FU1570" s="4"/>
      <c r="FV1570" s="4"/>
      <c r="FW1570" s="4"/>
      <c r="FX1570" s="4"/>
      <c r="FY1570" s="4"/>
      <c r="FZ1570" s="4"/>
      <c r="GA1570" s="4"/>
      <c r="GB1570" s="4"/>
      <c r="GC1570" s="4"/>
      <c r="GD1570" s="4"/>
      <c r="GE1570" s="4"/>
      <c r="GF1570" s="4"/>
      <c r="GG1570" s="4"/>
      <c r="GH1570" s="4"/>
      <c r="GI1570" s="4"/>
      <c r="GJ1570" s="4"/>
      <c r="GK1570" s="4"/>
      <c r="GL1570" s="4"/>
      <c r="GM1570" s="4"/>
      <c r="GN1570" s="4"/>
      <c r="GO1570" s="4"/>
      <c r="GP1570" s="4"/>
      <c r="GQ1570" s="4"/>
      <c r="GR1570" s="4"/>
      <c r="GS1570" s="4"/>
      <c r="GT1570" s="4"/>
      <c r="GU1570" s="4"/>
      <c r="GV1570" s="4"/>
      <c r="GW1570" s="4"/>
      <c r="GX1570" s="4"/>
      <c r="GY1570" s="4"/>
      <c r="GZ1570" s="4"/>
      <c r="HA1570" s="4"/>
      <c r="HB1570" s="4"/>
      <c r="HC1570" s="4"/>
      <c r="HD1570" s="4"/>
      <c r="HE1570" s="4"/>
    </row>
    <row r="1571">
      <c r="A1571" s="2" t="s">
        <v>7994</v>
      </c>
      <c r="B1571" s="2" t="s">
        <v>299</v>
      </c>
      <c r="C1571" s="2" t="s">
        <v>4000</v>
      </c>
      <c r="D1571" s="2" t="s">
        <v>301</v>
      </c>
      <c r="E1571" s="2" t="s">
        <v>302</v>
      </c>
      <c r="F1571" s="2" t="s">
        <v>7951</v>
      </c>
      <c r="G1571" s="2" t="s">
        <v>7951</v>
      </c>
      <c r="H1571" s="2" t="s">
        <v>7951</v>
      </c>
      <c r="I1571" s="2" t="s">
        <v>347</v>
      </c>
      <c r="J1571" s="2" t="s">
        <v>278</v>
      </c>
      <c r="K1571" s="2" t="s">
        <v>556</v>
      </c>
      <c r="L1571" s="3">
        <v>23.04</v>
      </c>
      <c r="M1571" s="3">
        <v>24.19</v>
      </c>
      <c r="N1571" s="3">
        <v>47.99</v>
      </c>
      <c r="O1571" s="2" t="s">
        <v>240</v>
      </c>
      <c r="P1571" s="2" t="s">
        <v>266</v>
      </c>
      <c r="Q1571" s="2" t="s">
        <v>234</v>
      </c>
      <c r="R1571" s="2" t="s">
        <v>228</v>
      </c>
      <c r="S1571" s="2" t="s">
        <v>7991</v>
      </c>
      <c r="T1571" s="2" t="s">
        <v>675</v>
      </c>
      <c r="U1571" s="2" t="s">
        <v>500</v>
      </c>
      <c r="V1571" s="2" t="s">
        <v>236</v>
      </c>
      <c r="W1571" s="2" t="s">
        <v>269</v>
      </c>
      <c r="X1571" s="2" t="s">
        <v>417</v>
      </c>
      <c r="Y1571" s="2" t="s">
        <v>6021</v>
      </c>
      <c r="Z1571" s="4">
        <v>119</v>
      </c>
      <c r="AA1571" s="4">
        <f>=ROUNDDOWN(17,0)</f>
      </c>
      <c r="AB1571" s="5">
        <v>7</v>
      </c>
      <c r="AC1571" s="2" t="s">
        <v>1352</v>
      </c>
      <c r="AD1571" s="4">
        <v>40</v>
      </c>
      <c r="AE1571" s="4">
        <v>90</v>
      </c>
      <c r="AF1571" s="6">
        <v>65</v>
      </c>
      <c r="AG1571" s="6"/>
      <c r="AH1571" s="7">
        <v>1</v>
      </c>
      <c r="AI1571" s="4"/>
      <c r="AJ1571" s="4">
        <f>=ROUNDDOWN({0},0)</f>
      </c>
      <c r="AK1571" s="5"/>
      <c r="AL1571" s="2" t="s">
        <v>228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228</v>
      </c>
      <c r="AW1571" s="8" t="s">
        <v>228</v>
      </c>
      <c r="AX1571" s="4" t="s">
        <v>228</v>
      </c>
      <c r="AY1571" s="8" t="s">
        <v>228</v>
      </c>
      <c r="AZ1571" s="7" t="s">
        <v>228</v>
      </c>
      <c r="BA1571" s="7" t="s">
        <v>228</v>
      </c>
      <c r="BB1571" s="7"/>
      <c r="BC1571" s="4" t="s">
        <v>228</v>
      </c>
      <c r="BD1571" s="8" t="s">
        <v>228</v>
      </c>
      <c r="BE1571" s="4" t="s">
        <v>228</v>
      </c>
      <c r="BF1571" s="8" t="s">
        <v>228</v>
      </c>
      <c r="BG1571" s="7" t="s">
        <v>228</v>
      </c>
      <c r="BH1571" s="7" t="s">
        <v>228</v>
      </c>
      <c r="BI1571" s="7"/>
      <c r="BJ1571" s="4">
        <v>31</v>
      </c>
      <c r="BK1571" s="8">
        <v>817.45</v>
      </c>
      <c r="BL1571" s="2" t="s">
        <v>3141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7995</v>
      </c>
      <c r="BV1571" s="2" t="s">
        <v>228</v>
      </c>
      <c r="BW1571" s="2" t="s">
        <v>228</v>
      </c>
      <c r="BX1571" s="2" t="s">
        <v>273</v>
      </c>
      <c r="BY1571" s="2" t="s">
        <v>274</v>
      </c>
      <c r="BZ1571" s="2" t="s">
        <v>240</v>
      </c>
      <c r="CA1571" s="2" t="s">
        <v>1978</v>
      </c>
      <c r="CB1571" s="2" t="s">
        <v>3296</v>
      </c>
      <c r="CC1571" s="2" t="s">
        <v>241</v>
      </c>
      <c r="CD1571" s="2" t="s">
        <v>228</v>
      </c>
      <c r="CE1571" s="4">
        <v>119</v>
      </c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>
        <v>40</v>
      </c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>
        <v>50</v>
      </c>
      <c r="EY1571" s="4"/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/>
      <c r="FL1571" s="4"/>
      <c r="FM1571" s="4"/>
      <c r="FN1571" s="4"/>
      <c r="FO1571" s="4"/>
      <c r="FP1571" s="4"/>
      <c r="FQ1571" s="4"/>
      <c r="FR1571" s="4"/>
      <c r="FS1571" s="4"/>
      <c r="FT1571" s="4"/>
      <c r="FU1571" s="4"/>
      <c r="FV1571" s="4"/>
      <c r="FW1571" s="4"/>
      <c r="FX1571" s="4"/>
      <c r="FY1571" s="4"/>
      <c r="FZ1571" s="4"/>
      <c r="GA1571" s="4"/>
      <c r="GB1571" s="4"/>
      <c r="GC1571" s="4"/>
      <c r="GD1571" s="4"/>
      <c r="GE1571" s="4"/>
      <c r="GF1571" s="4"/>
      <c r="GG1571" s="4"/>
      <c r="GH1571" s="4"/>
      <c r="GI1571" s="4"/>
      <c r="GJ1571" s="4"/>
      <c r="GK1571" s="4"/>
      <c r="GL1571" s="4"/>
      <c r="GM1571" s="4"/>
      <c r="GN1571" s="4"/>
      <c r="GO1571" s="4"/>
      <c r="GP1571" s="4"/>
      <c r="GQ1571" s="4"/>
      <c r="GR1571" s="4"/>
      <c r="GS1571" s="4"/>
      <c r="GT1571" s="4"/>
      <c r="GU1571" s="4"/>
      <c r="GV1571" s="4"/>
      <c r="GW1571" s="4"/>
      <c r="GX1571" s="4"/>
      <c r="GY1571" s="4"/>
      <c r="GZ1571" s="4"/>
      <c r="HA1571" s="4"/>
      <c r="HB1571" s="4"/>
      <c r="HC1571" s="4"/>
      <c r="HD1571" s="4"/>
      <c r="HE1571" s="4"/>
    </row>
    <row r="1572">
      <c r="A1572" s="2" t="s">
        <v>7996</v>
      </c>
      <c r="B1572" s="2" t="s">
        <v>299</v>
      </c>
      <c r="C1572" s="2" t="s">
        <v>4000</v>
      </c>
      <c r="D1572" s="2" t="s">
        <v>301</v>
      </c>
      <c r="E1572" s="2" t="s">
        <v>302</v>
      </c>
      <c r="F1572" s="2" t="s">
        <v>7951</v>
      </c>
      <c r="G1572" s="2" t="s">
        <v>7951</v>
      </c>
      <c r="H1572" s="2" t="s">
        <v>7951</v>
      </c>
      <c r="I1572" s="2" t="s">
        <v>347</v>
      </c>
      <c r="J1572" s="2" t="s">
        <v>284</v>
      </c>
      <c r="K1572" s="2" t="s">
        <v>556</v>
      </c>
      <c r="L1572" s="3">
        <v>25.3</v>
      </c>
      <c r="M1572" s="3">
        <v>26.57</v>
      </c>
      <c r="N1572" s="3">
        <v>54.99</v>
      </c>
      <c r="O1572" s="2" t="s">
        <v>240</v>
      </c>
      <c r="P1572" s="2" t="s">
        <v>266</v>
      </c>
      <c r="Q1572" s="2" t="s">
        <v>234</v>
      </c>
      <c r="R1572" s="2" t="s">
        <v>228</v>
      </c>
      <c r="S1572" s="2" t="s">
        <v>7991</v>
      </c>
      <c r="T1572" s="2" t="s">
        <v>675</v>
      </c>
      <c r="U1572" s="2" t="s">
        <v>308</v>
      </c>
      <c r="V1572" s="2" t="s">
        <v>236</v>
      </c>
      <c r="W1572" s="2" t="s">
        <v>269</v>
      </c>
      <c r="X1572" s="2" t="s">
        <v>417</v>
      </c>
      <c r="Y1572" s="2" t="s">
        <v>6021</v>
      </c>
      <c r="Z1572" s="4">
        <v>168</v>
      </c>
      <c r="AA1572" s="4">
        <f>=ROUNDDOWN(15.2727272727273,0)</f>
      </c>
      <c r="AB1572" s="5">
        <v>11</v>
      </c>
      <c r="AC1572" s="2" t="s">
        <v>1352</v>
      </c>
      <c r="AD1572" s="4">
        <v>60</v>
      </c>
      <c r="AE1572" s="4">
        <v>150</v>
      </c>
      <c r="AF1572" s="6">
        <v>65</v>
      </c>
      <c r="AG1572" s="6"/>
      <c r="AH1572" s="7">
        <v>0.871</v>
      </c>
      <c r="AI1572" s="4"/>
      <c r="AJ1572" s="4">
        <f>=ROUNDDOWN({0},0)</f>
      </c>
      <c r="AK1572" s="5"/>
      <c r="AL1572" s="2" t="s">
        <v>228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228</v>
      </c>
      <c r="AW1572" s="8" t="s">
        <v>228</v>
      </c>
      <c r="AX1572" s="4" t="s">
        <v>228</v>
      </c>
      <c r="AY1572" s="8" t="s">
        <v>228</v>
      </c>
      <c r="AZ1572" s="7" t="s">
        <v>228</v>
      </c>
      <c r="BA1572" s="7" t="s">
        <v>228</v>
      </c>
      <c r="BB1572" s="7"/>
      <c r="BC1572" s="4" t="s">
        <v>228</v>
      </c>
      <c r="BD1572" s="8" t="s">
        <v>228</v>
      </c>
      <c r="BE1572" s="4" t="s">
        <v>228</v>
      </c>
      <c r="BF1572" s="8" t="s">
        <v>228</v>
      </c>
      <c r="BG1572" s="7" t="s">
        <v>228</v>
      </c>
      <c r="BH1572" s="7" t="s">
        <v>228</v>
      </c>
      <c r="BI1572" s="7"/>
      <c r="BJ1572" s="4">
        <v>55</v>
      </c>
      <c r="BK1572" s="8">
        <v>1593.09</v>
      </c>
      <c r="BL1572" s="2" t="s">
        <v>7992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7997</v>
      </c>
      <c r="BV1572" s="2" t="s">
        <v>228</v>
      </c>
      <c r="BW1572" s="2" t="s">
        <v>228</v>
      </c>
      <c r="BX1572" s="2" t="s">
        <v>273</v>
      </c>
      <c r="BY1572" s="2" t="s">
        <v>274</v>
      </c>
      <c r="BZ1572" s="2" t="s">
        <v>240</v>
      </c>
      <c r="CA1572" s="2" t="s">
        <v>1978</v>
      </c>
      <c r="CB1572" s="2" t="s">
        <v>4588</v>
      </c>
      <c r="CC1572" s="2" t="s">
        <v>241</v>
      </c>
      <c r="CD1572" s="2" t="s">
        <v>228</v>
      </c>
      <c r="CE1572" s="4">
        <v>168</v>
      </c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>
        <v>60</v>
      </c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>
        <v>90</v>
      </c>
      <c r="EY1572" s="4"/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/>
      <c r="FV1572" s="4"/>
      <c r="FW1572" s="4"/>
      <c r="FX1572" s="4"/>
      <c r="FY1572" s="4"/>
      <c r="FZ1572" s="4"/>
      <c r="GA1572" s="4"/>
      <c r="GB1572" s="4"/>
      <c r="GC1572" s="4"/>
      <c r="GD1572" s="4"/>
      <c r="GE1572" s="4"/>
      <c r="GF1572" s="4"/>
      <c r="GG1572" s="4"/>
      <c r="GH1572" s="4"/>
      <c r="GI1572" s="4"/>
      <c r="GJ1572" s="4"/>
      <c r="GK1572" s="4"/>
      <c r="GL1572" s="4"/>
      <c r="GM1572" s="4"/>
      <c r="GN1572" s="4"/>
      <c r="GO1572" s="4"/>
      <c r="GP1572" s="4"/>
      <c r="GQ1572" s="4"/>
      <c r="GR1572" s="4"/>
      <c r="GS1572" s="4"/>
      <c r="GT1572" s="4"/>
      <c r="GU1572" s="4"/>
      <c r="GV1572" s="4"/>
      <c r="GW1572" s="4"/>
      <c r="GX1572" s="4"/>
      <c r="GY1572" s="4"/>
      <c r="GZ1572" s="4"/>
      <c r="HA1572" s="4"/>
      <c r="HB1572" s="4"/>
      <c r="HC1572" s="4"/>
      <c r="HD1572" s="4"/>
      <c r="HE1572" s="4"/>
    </row>
    <row r="1573">
      <c r="A1573" s="2" t="s">
        <v>7998</v>
      </c>
      <c r="B1573" s="2" t="s">
        <v>299</v>
      </c>
      <c r="C1573" s="2" t="s">
        <v>4000</v>
      </c>
      <c r="D1573" s="2" t="s">
        <v>301</v>
      </c>
      <c r="E1573" s="2" t="s">
        <v>302</v>
      </c>
      <c r="F1573" s="2" t="s">
        <v>7951</v>
      </c>
      <c r="G1573" s="2" t="s">
        <v>7951</v>
      </c>
      <c r="H1573" s="2" t="s">
        <v>7951</v>
      </c>
      <c r="I1573" s="2" t="s">
        <v>347</v>
      </c>
      <c r="J1573" s="2" t="s">
        <v>294</v>
      </c>
      <c r="K1573" s="2" t="s">
        <v>556</v>
      </c>
      <c r="L1573" s="3">
        <v>31.2</v>
      </c>
      <c r="M1573" s="3">
        <v>32.76</v>
      </c>
      <c r="N1573" s="3">
        <v>64.99</v>
      </c>
      <c r="O1573" s="2" t="s">
        <v>240</v>
      </c>
      <c r="P1573" s="2" t="s">
        <v>266</v>
      </c>
      <c r="Q1573" s="2" t="s">
        <v>234</v>
      </c>
      <c r="R1573" s="2" t="s">
        <v>228</v>
      </c>
      <c r="S1573" s="2" t="s">
        <v>7991</v>
      </c>
      <c r="T1573" s="2" t="s">
        <v>675</v>
      </c>
      <c r="U1573" s="2" t="s">
        <v>308</v>
      </c>
      <c r="V1573" s="2" t="s">
        <v>236</v>
      </c>
      <c r="W1573" s="2" t="s">
        <v>269</v>
      </c>
      <c r="X1573" s="2" t="s">
        <v>417</v>
      </c>
      <c r="Y1573" s="2" t="s">
        <v>6021</v>
      </c>
      <c r="Z1573" s="4">
        <v>222</v>
      </c>
      <c r="AA1573" s="4">
        <f>=ROUNDDOWN(22.2,0)</f>
      </c>
      <c r="AB1573" s="5">
        <v>10</v>
      </c>
      <c r="AC1573" s="2" t="s">
        <v>1352</v>
      </c>
      <c r="AD1573" s="4">
        <v>60</v>
      </c>
      <c r="AE1573" s="4">
        <v>140</v>
      </c>
      <c r="AF1573" s="6">
        <v>65</v>
      </c>
      <c r="AG1573" s="6"/>
      <c r="AH1573" s="7">
        <v>1</v>
      </c>
      <c r="AI1573" s="4"/>
      <c r="AJ1573" s="4">
        <f>=ROUNDDOWN({0},0)</f>
      </c>
      <c r="AK1573" s="5"/>
      <c r="AL1573" s="2" t="s">
        <v>228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 t="s">
        <v>228</v>
      </c>
      <c r="AW1573" s="8" t="s">
        <v>228</v>
      </c>
      <c r="AX1573" s="4" t="s">
        <v>228</v>
      </c>
      <c r="AY1573" s="8" t="s">
        <v>228</v>
      </c>
      <c r="AZ1573" s="7" t="s">
        <v>228</v>
      </c>
      <c r="BA1573" s="7" t="s">
        <v>228</v>
      </c>
      <c r="BB1573" s="7"/>
      <c r="BC1573" s="4" t="s">
        <v>228</v>
      </c>
      <c r="BD1573" s="8" t="s">
        <v>228</v>
      </c>
      <c r="BE1573" s="4" t="s">
        <v>228</v>
      </c>
      <c r="BF1573" s="8" t="s">
        <v>228</v>
      </c>
      <c r="BG1573" s="7" t="s">
        <v>228</v>
      </c>
      <c r="BH1573" s="7" t="s">
        <v>228</v>
      </c>
      <c r="BI1573" s="7"/>
      <c r="BJ1573" s="4">
        <v>14</v>
      </c>
      <c r="BK1573" s="8">
        <v>474.26</v>
      </c>
      <c r="BL1573" s="2" t="s">
        <v>7821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7999</v>
      </c>
      <c r="BV1573" s="2" t="s">
        <v>228</v>
      </c>
      <c r="BW1573" s="2" t="s">
        <v>228</v>
      </c>
      <c r="BX1573" s="2" t="s">
        <v>273</v>
      </c>
      <c r="BY1573" s="2" t="s">
        <v>274</v>
      </c>
      <c r="BZ1573" s="2" t="s">
        <v>240</v>
      </c>
      <c r="CA1573" s="2" t="s">
        <v>1978</v>
      </c>
      <c r="CB1573" s="2" t="s">
        <v>390</v>
      </c>
      <c r="CC1573" s="2" t="s">
        <v>241</v>
      </c>
      <c r="CD1573" s="2" t="s">
        <v>228</v>
      </c>
      <c r="CE1573" s="4">
        <v>222</v>
      </c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>
        <v>60</v>
      </c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>
        <v>80</v>
      </c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  <c r="FX1573" s="4"/>
      <c r="FY1573" s="4"/>
      <c r="FZ1573" s="4"/>
      <c r="GA1573" s="4"/>
      <c r="GB1573" s="4"/>
      <c r="GC1573" s="4"/>
      <c r="GD1573" s="4"/>
      <c r="GE1573" s="4"/>
      <c r="GF1573" s="4"/>
      <c r="GG1573" s="4"/>
      <c r="GH1573" s="4"/>
      <c r="GI1573" s="4"/>
      <c r="GJ1573" s="4"/>
      <c r="GK1573" s="4"/>
      <c r="GL1573" s="4"/>
      <c r="GM1573" s="4"/>
      <c r="GN1573" s="4"/>
      <c r="GO1573" s="4"/>
      <c r="GP1573" s="4"/>
      <c r="GQ1573" s="4"/>
      <c r="GR1573" s="4"/>
      <c r="GS1573" s="4"/>
      <c r="GT1573" s="4"/>
      <c r="GU1573" s="4"/>
      <c r="GV1573" s="4"/>
      <c r="GW1573" s="4"/>
      <c r="GX1573" s="4"/>
      <c r="GY1573" s="4"/>
      <c r="GZ1573" s="4"/>
      <c r="HA1573" s="4"/>
      <c r="HB1573" s="4"/>
      <c r="HC1573" s="4"/>
      <c r="HD1573" s="4"/>
      <c r="HE1573" s="4"/>
    </row>
    <row r="1574">
      <c r="A1574" s="2" t="s">
        <v>8000</v>
      </c>
      <c r="B1574" s="2" t="s">
        <v>299</v>
      </c>
      <c r="C1574" s="2" t="s">
        <v>4000</v>
      </c>
      <c r="D1574" s="2" t="s">
        <v>301</v>
      </c>
      <c r="E1574" s="2" t="s">
        <v>302</v>
      </c>
      <c r="F1574" s="2" t="s">
        <v>7951</v>
      </c>
      <c r="G1574" s="2" t="s">
        <v>7951</v>
      </c>
      <c r="H1574" s="2" t="s">
        <v>7951</v>
      </c>
      <c r="I1574" s="2" t="s">
        <v>347</v>
      </c>
      <c r="J1574" s="2" t="s">
        <v>312</v>
      </c>
      <c r="K1574" s="2" t="s">
        <v>556</v>
      </c>
      <c r="L1574" s="3">
        <v>31.85</v>
      </c>
      <c r="M1574" s="3">
        <v>33.44</v>
      </c>
      <c r="N1574" s="3">
        <v>64.99</v>
      </c>
      <c r="O1574" s="2" t="s">
        <v>240</v>
      </c>
      <c r="P1574" s="2" t="s">
        <v>266</v>
      </c>
      <c r="Q1574" s="2" t="s">
        <v>234</v>
      </c>
      <c r="R1574" s="2" t="s">
        <v>228</v>
      </c>
      <c r="S1574" s="2" t="s">
        <v>7991</v>
      </c>
      <c r="T1574" s="2" t="s">
        <v>675</v>
      </c>
      <c r="U1574" s="2" t="s">
        <v>308</v>
      </c>
      <c r="V1574" s="2" t="s">
        <v>236</v>
      </c>
      <c r="W1574" s="2" t="s">
        <v>269</v>
      </c>
      <c r="X1574" s="2" t="s">
        <v>417</v>
      </c>
      <c r="Y1574" s="2" t="s">
        <v>6021</v>
      </c>
      <c r="Z1574" s="4">
        <v>119</v>
      </c>
      <c r="AA1574" s="4">
        <f>=ROUNDDOWN(23.8,0)</f>
      </c>
      <c r="AB1574" s="5">
        <v>5</v>
      </c>
      <c r="AC1574" s="2" t="s">
        <v>1352</v>
      </c>
      <c r="AD1574" s="4">
        <v>30</v>
      </c>
      <c r="AE1574" s="4">
        <v>60</v>
      </c>
      <c r="AF1574" s="6">
        <v>65</v>
      </c>
      <c r="AG1574" s="6"/>
      <c r="AH1574" s="7">
        <v>1</v>
      </c>
      <c r="AI1574" s="4"/>
      <c r="AJ1574" s="4">
        <f>=ROUNDDOWN({0},0)</f>
      </c>
      <c r="AK1574" s="5"/>
      <c r="AL1574" s="2" t="s">
        <v>228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 t="s">
        <v>228</v>
      </c>
      <c r="AW1574" s="8" t="s">
        <v>228</v>
      </c>
      <c r="AX1574" s="4" t="s">
        <v>228</v>
      </c>
      <c r="AY1574" s="8" t="s">
        <v>228</v>
      </c>
      <c r="AZ1574" s="7" t="s">
        <v>228</v>
      </c>
      <c r="BA1574" s="7" t="s">
        <v>228</v>
      </c>
      <c r="BB1574" s="7"/>
      <c r="BC1574" s="4" t="s">
        <v>228</v>
      </c>
      <c r="BD1574" s="8" t="s">
        <v>228</v>
      </c>
      <c r="BE1574" s="4" t="s">
        <v>228</v>
      </c>
      <c r="BF1574" s="8" t="s">
        <v>228</v>
      </c>
      <c r="BG1574" s="7" t="s">
        <v>228</v>
      </c>
      <c r="BH1574" s="7" t="s">
        <v>228</v>
      </c>
      <c r="BI1574" s="7"/>
      <c r="BJ1574" s="4">
        <v>1</v>
      </c>
      <c r="BK1574" s="8">
        <v>35.04</v>
      </c>
      <c r="BL1574" s="2" t="s">
        <v>622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8001</v>
      </c>
      <c r="BV1574" s="2" t="s">
        <v>228</v>
      </c>
      <c r="BW1574" s="2" t="s">
        <v>228</v>
      </c>
      <c r="BX1574" s="2" t="s">
        <v>273</v>
      </c>
      <c r="BY1574" s="2" t="s">
        <v>274</v>
      </c>
      <c r="BZ1574" s="2" t="s">
        <v>240</v>
      </c>
      <c r="CA1574" s="2" t="s">
        <v>1978</v>
      </c>
      <c r="CB1574" s="2" t="s">
        <v>6312</v>
      </c>
      <c r="CC1574" s="2" t="s">
        <v>241</v>
      </c>
      <c r="CD1574" s="2" t="s">
        <v>228</v>
      </c>
      <c r="CE1574" s="4">
        <v>119</v>
      </c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>
        <v>30</v>
      </c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/>
      <c r="EX1574" s="4">
        <v>30</v>
      </c>
      <c r="EY1574" s="4"/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/>
      <c r="FV1574" s="4"/>
      <c r="FW1574" s="4"/>
      <c r="FX1574" s="4"/>
      <c r="FY1574" s="4"/>
      <c r="FZ1574" s="4"/>
      <c r="GA1574" s="4"/>
      <c r="GB1574" s="4"/>
      <c r="GC1574" s="4"/>
      <c r="GD1574" s="4"/>
      <c r="GE1574" s="4"/>
      <c r="GF1574" s="4"/>
      <c r="GG1574" s="4"/>
      <c r="GH1574" s="4"/>
      <c r="GI1574" s="4"/>
      <c r="GJ1574" s="4"/>
      <c r="GK1574" s="4"/>
      <c r="GL1574" s="4"/>
      <c r="GM1574" s="4"/>
      <c r="GN1574" s="4"/>
      <c r="GO1574" s="4"/>
      <c r="GP1574" s="4"/>
      <c r="GQ1574" s="4"/>
      <c r="GR1574" s="4"/>
      <c r="GS1574" s="4"/>
      <c r="GT1574" s="4"/>
      <c r="GU1574" s="4"/>
      <c r="GV1574" s="4"/>
      <c r="GW1574" s="4"/>
      <c r="GX1574" s="4"/>
      <c r="GY1574" s="4"/>
      <c r="GZ1574" s="4"/>
      <c r="HA1574" s="4"/>
      <c r="HB1574" s="4"/>
      <c r="HC1574" s="4"/>
      <c r="HD1574" s="4"/>
      <c r="HE1574" s="4"/>
    </row>
    <row r="1575">
      <c r="A1575" s="2" t="s">
        <v>8002</v>
      </c>
      <c r="B1575" s="2" t="s">
        <v>299</v>
      </c>
      <c r="C1575" s="2" t="s">
        <v>4000</v>
      </c>
      <c r="D1575" s="2" t="s">
        <v>301</v>
      </c>
      <c r="E1575" s="2" t="s">
        <v>302</v>
      </c>
      <c r="F1575" s="2" t="s">
        <v>7951</v>
      </c>
      <c r="G1575" s="2" t="s">
        <v>7951</v>
      </c>
      <c r="H1575" s="2" t="s">
        <v>7951</v>
      </c>
      <c r="I1575" s="2" t="s">
        <v>347</v>
      </c>
      <c r="J1575" s="2" t="s">
        <v>264</v>
      </c>
      <c r="K1575" s="2" t="s">
        <v>1421</v>
      </c>
      <c r="L1575" s="3">
        <v>21.62</v>
      </c>
      <c r="M1575" s="3">
        <v>22.7</v>
      </c>
      <c r="N1575" s="3">
        <v>46.99</v>
      </c>
      <c r="O1575" s="2" t="s">
        <v>240</v>
      </c>
      <c r="P1575" s="2" t="s">
        <v>266</v>
      </c>
      <c r="Q1575" s="2" t="s">
        <v>234</v>
      </c>
      <c r="R1575" s="2" t="s">
        <v>228</v>
      </c>
      <c r="S1575" s="2" t="s">
        <v>8003</v>
      </c>
      <c r="T1575" s="2" t="s">
        <v>675</v>
      </c>
      <c r="U1575" s="2" t="s">
        <v>500</v>
      </c>
      <c r="V1575" s="2" t="s">
        <v>236</v>
      </c>
      <c r="W1575" s="2" t="s">
        <v>269</v>
      </c>
      <c r="X1575" s="2" t="s">
        <v>417</v>
      </c>
      <c r="Y1575" s="2" t="s">
        <v>270</v>
      </c>
      <c r="Z1575" s="4">
        <v>127</v>
      </c>
      <c r="AA1575" s="4">
        <f>=ROUNDDOWN(21.1666666666667,0)</f>
      </c>
      <c r="AB1575" s="5">
        <v>6</v>
      </c>
      <c r="AC1575" s="2" t="s">
        <v>1352</v>
      </c>
      <c r="AD1575" s="4">
        <v>30</v>
      </c>
      <c r="AE1575" s="4">
        <v>80</v>
      </c>
      <c r="AF1575" s="6">
        <v>65</v>
      </c>
      <c r="AG1575" s="6"/>
      <c r="AH1575" s="7">
        <v>1</v>
      </c>
      <c r="AI1575" s="4"/>
      <c r="AJ1575" s="4">
        <f>=ROUNDDOWN({0},0)</f>
      </c>
      <c r="AK1575" s="5"/>
      <c r="AL1575" s="2" t="s">
        <v>228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228</v>
      </c>
      <c r="AW1575" s="8" t="s">
        <v>228</v>
      </c>
      <c r="AX1575" s="4" t="s">
        <v>228</v>
      </c>
      <c r="AY1575" s="8" t="s">
        <v>228</v>
      </c>
      <c r="AZ1575" s="7" t="s">
        <v>228</v>
      </c>
      <c r="BA1575" s="7" t="s">
        <v>228</v>
      </c>
      <c r="BB1575" s="7"/>
      <c r="BC1575" s="4" t="s">
        <v>228</v>
      </c>
      <c r="BD1575" s="8" t="s">
        <v>228</v>
      </c>
      <c r="BE1575" s="4" t="s">
        <v>228</v>
      </c>
      <c r="BF1575" s="8" t="s">
        <v>228</v>
      </c>
      <c r="BG1575" s="7" t="s">
        <v>228</v>
      </c>
      <c r="BH1575" s="7" t="s">
        <v>228</v>
      </c>
      <c r="BI1575" s="7"/>
      <c r="BJ1575" s="4">
        <v>12</v>
      </c>
      <c r="BK1575" s="8">
        <v>280.41</v>
      </c>
      <c r="BL1575" s="2" t="s">
        <v>4134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8004</v>
      </c>
      <c r="BV1575" s="2" t="s">
        <v>228</v>
      </c>
      <c r="BW1575" s="2" t="s">
        <v>228</v>
      </c>
      <c r="BX1575" s="2" t="s">
        <v>273</v>
      </c>
      <c r="BY1575" s="2" t="s">
        <v>274</v>
      </c>
      <c r="BZ1575" s="2" t="s">
        <v>240</v>
      </c>
      <c r="CA1575" s="2" t="s">
        <v>275</v>
      </c>
      <c r="CB1575" s="2" t="s">
        <v>609</v>
      </c>
      <c r="CC1575" s="2" t="s">
        <v>241</v>
      </c>
      <c r="CD1575" s="2" t="s">
        <v>228</v>
      </c>
      <c r="CE1575" s="4">
        <v>127</v>
      </c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>
        <v>30</v>
      </c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>
        <v>50</v>
      </c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/>
      <c r="FV1575" s="4"/>
      <c r="FW1575" s="4"/>
      <c r="FX1575" s="4"/>
      <c r="FY1575" s="4"/>
      <c r="FZ1575" s="4"/>
      <c r="GA1575" s="4"/>
      <c r="GB1575" s="4"/>
      <c r="GC1575" s="4"/>
      <c r="GD1575" s="4"/>
      <c r="GE1575" s="4"/>
      <c r="GF1575" s="4"/>
      <c r="GG1575" s="4"/>
      <c r="GH1575" s="4"/>
      <c r="GI1575" s="4"/>
      <c r="GJ1575" s="4"/>
      <c r="GK1575" s="4"/>
      <c r="GL1575" s="4"/>
      <c r="GM1575" s="4"/>
      <c r="GN1575" s="4"/>
      <c r="GO1575" s="4"/>
      <c r="GP1575" s="4"/>
      <c r="GQ1575" s="4"/>
      <c r="GR1575" s="4"/>
      <c r="GS1575" s="4"/>
      <c r="GT1575" s="4"/>
      <c r="GU1575" s="4"/>
      <c r="GV1575" s="4"/>
      <c r="GW1575" s="4"/>
      <c r="GX1575" s="4"/>
      <c r="GY1575" s="4"/>
      <c r="GZ1575" s="4"/>
      <c r="HA1575" s="4"/>
      <c r="HB1575" s="4"/>
      <c r="HC1575" s="4"/>
      <c r="HD1575" s="4"/>
      <c r="HE1575" s="4"/>
    </row>
    <row r="1576">
      <c r="A1576" s="2" t="s">
        <v>8005</v>
      </c>
      <c r="B1576" s="2" t="s">
        <v>299</v>
      </c>
      <c r="C1576" s="2" t="s">
        <v>4000</v>
      </c>
      <c r="D1576" s="2" t="s">
        <v>301</v>
      </c>
      <c r="E1576" s="2" t="s">
        <v>302</v>
      </c>
      <c r="F1576" s="2" t="s">
        <v>7951</v>
      </c>
      <c r="G1576" s="2" t="s">
        <v>7951</v>
      </c>
      <c r="H1576" s="2" t="s">
        <v>7951</v>
      </c>
      <c r="I1576" s="2" t="s">
        <v>347</v>
      </c>
      <c r="J1576" s="2" t="s">
        <v>284</v>
      </c>
      <c r="K1576" s="2" t="s">
        <v>1421</v>
      </c>
      <c r="L1576" s="3">
        <v>25.3</v>
      </c>
      <c r="M1576" s="3">
        <v>26.56</v>
      </c>
      <c r="N1576" s="3">
        <v>54.99</v>
      </c>
      <c r="O1576" s="2" t="s">
        <v>240</v>
      </c>
      <c r="P1576" s="2" t="s">
        <v>266</v>
      </c>
      <c r="Q1576" s="2" t="s">
        <v>234</v>
      </c>
      <c r="R1576" s="2" t="s">
        <v>228</v>
      </c>
      <c r="S1576" s="2" t="s">
        <v>8003</v>
      </c>
      <c r="T1576" s="2" t="s">
        <v>675</v>
      </c>
      <c r="U1576" s="2" t="s">
        <v>308</v>
      </c>
      <c r="V1576" s="2" t="s">
        <v>236</v>
      </c>
      <c r="W1576" s="2" t="s">
        <v>269</v>
      </c>
      <c r="X1576" s="2" t="s">
        <v>417</v>
      </c>
      <c r="Y1576" s="2" t="s">
        <v>270</v>
      </c>
      <c r="Z1576" s="4">
        <v>144</v>
      </c>
      <c r="AA1576" s="4">
        <f>=ROUNDDOWN(24,0)</f>
      </c>
      <c r="AB1576" s="5">
        <v>6</v>
      </c>
      <c r="AC1576" s="2" t="s">
        <v>1352</v>
      </c>
      <c r="AD1576" s="4">
        <v>40</v>
      </c>
      <c r="AE1576" s="4">
        <v>90</v>
      </c>
      <c r="AF1576" s="6">
        <v>65</v>
      </c>
      <c r="AG1576" s="6"/>
      <c r="AH1576" s="7">
        <v>1</v>
      </c>
      <c r="AI1576" s="4"/>
      <c r="AJ1576" s="4">
        <f>=ROUNDDOWN({0},0)</f>
      </c>
      <c r="AK1576" s="5"/>
      <c r="AL1576" s="2" t="s">
        <v>228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 t="s">
        <v>228</v>
      </c>
      <c r="AW1576" s="8" t="s">
        <v>228</v>
      </c>
      <c r="AX1576" s="4" t="s">
        <v>228</v>
      </c>
      <c r="AY1576" s="8" t="s">
        <v>228</v>
      </c>
      <c r="AZ1576" s="7" t="s">
        <v>228</v>
      </c>
      <c r="BA1576" s="7" t="s">
        <v>228</v>
      </c>
      <c r="BB1576" s="7"/>
      <c r="BC1576" s="4" t="s">
        <v>228</v>
      </c>
      <c r="BD1576" s="8" t="s">
        <v>228</v>
      </c>
      <c r="BE1576" s="4" t="s">
        <v>228</v>
      </c>
      <c r="BF1576" s="8" t="s">
        <v>228</v>
      </c>
      <c r="BG1576" s="7" t="s">
        <v>228</v>
      </c>
      <c r="BH1576" s="7" t="s">
        <v>228</v>
      </c>
      <c r="BI1576" s="7"/>
      <c r="BJ1576" s="4">
        <v>8</v>
      </c>
      <c r="BK1576" s="8">
        <v>218.01</v>
      </c>
      <c r="BL1576" s="2" t="s">
        <v>8006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8007</v>
      </c>
      <c r="BV1576" s="2" t="s">
        <v>228</v>
      </c>
      <c r="BW1576" s="2" t="s">
        <v>228</v>
      </c>
      <c r="BX1576" s="2" t="s">
        <v>273</v>
      </c>
      <c r="BY1576" s="2" t="s">
        <v>274</v>
      </c>
      <c r="BZ1576" s="2" t="s">
        <v>240</v>
      </c>
      <c r="CA1576" s="2" t="s">
        <v>275</v>
      </c>
      <c r="CB1576" s="2" t="s">
        <v>8008</v>
      </c>
      <c r="CC1576" s="2" t="s">
        <v>241</v>
      </c>
      <c r="CD1576" s="2" t="s">
        <v>228</v>
      </c>
      <c r="CE1576" s="4">
        <v>144</v>
      </c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>
        <v>40</v>
      </c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>
        <v>50</v>
      </c>
      <c r="EY1576" s="4"/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  <c r="FX1576" s="4"/>
      <c r="FY1576" s="4"/>
      <c r="FZ1576" s="4"/>
      <c r="GA1576" s="4"/>
      <c r="GB1576" s="4"/>
      <c r="GC1576" s="4"/>
      <c r="GD1576" s="4"/>
      <c r="GE1576" s="4"/>
      <c r="GF1576" s="4"/>
      <c r="GG1576" s="4"/>
      <c r="GH1576" s="4"/>
      <c r="GI1576" s="4"/>
      <c r="GJ1576" s="4"/>
      <c r="GK1576" s="4"/>
      <c r="GL1576" s="4"/>
      <c r="GM1576" s="4"/>
      <c r="GN1576" s="4"/>
      <c r="GO1576" s="4"/>
      <c r="GP1576" s="4"/>
      <c r="GQ1576" s="4"/>
      <c r="GR1576" s="4"/>
      <c r="GS1576" s="4"/>
      <c r="GT1576" s="4"/>
      <c r="GU1576" s="4"/>
      <c r="GV1576" s="4"/>
      <c r="GW1576" s="4"/>
      <c r="GX1576" s="4"/>
      <c r="GY1576" s="4"/>
      <c r="GZ1576" s="4"/>
      <c r="HA1576" s="4"/>
      <c r="HB1576" s="4"/>
      <c r="HC1576" s="4"/>
      <c r="HD1576" s="4"/>
      <c r="HE1576" s="4"/>
    </row>
    <row r="1577">
      <c r="A1577" s="2" t="s">
        <v>8009</v>
      </c>
      <c r="B1577" s="2" t="s">
        <v>299</v>
      </c>
      <c r="C1577" s="2" t="s">
        <v>4000</v>
      </c>
      <c r="D1577" s="2" t="s">
        <v>301</v>
      </c>
      <c r="E1577" s="2" t="s">
        <v>302</v>
      </c>
      <c r="F1577" s="2" t="s">
        <v>7951</v>
      </c>
      <c r="G1577" s="2" t="s">
        <v>7951</v>
      </c>
      <c r="H1577" s="2" t="s">
        <v>7951</v>
      </c>
      <c r="I1577" s="2" t="s">
        <v>347</v>
      </c>
      <c r="J1577" s="2" t="s">
        <v>289</v>
      </c>
      <c r="K1577" s="2" t="s">
        <v>1421</v>
      </c>
      <c r="L1577" s="3">
        <v>28.2</v>
      </c>
      <c r="M1577" s="3">
        <v>29.61</v>
      </c>
      <c r="N1577" s="3">
        <v>59.99</v>
      </c>
      <c r="O1577" s="2" t="s">
        <v>240</v>
      </c>
      <c r="P1577" s="2" t="s">
        <v>889</v>
      </c>
      <c r="Q1577" s="2" t="s">
        <v>234</v>
      </c>
      <c r="R1577" s="2" t="s">
        <v>228</v>
      </c>
      <c r="S1577" s="2" t="s">
        <v>8003</v>
      </c>
      <c r="T1577" s="2" t="s">
        <v>675</v>
      </c>
      <c r="U1577" s="2" t="s">
        <v>308</v>
      </c>
      <c r="V1577" s="2" t="s">
        <v>236</v>
      </c>
      <c r="W1577" s="2" t="s">
        <v>269</v>
      </c>
      <c r="X1577" s="2" t="s">
        <v>417</v>
      </c>
      <c r="Y1577" s="2" t="s">
        <v>270</v>
      </c>
      <c r="Z1577" s="4">
        <v>633</v>
      </c>
      <c r="AA1577" s="4">
        <f>=ROUNDDOWN(21.8275862068966,0)</f>
      </c>
      <c r="AB1577" s="5">
        <v>29</v>
      </c>
      <c r="AC1577" s="2" t="s">
        <v>3792</v>
      </c>
      <c r="AD1577" s="4">
        <v>240</v>
      </c>
      <c r="AE1577" s="4">
        <v>510</v>
      </c>
      <c r="AF1577" s="6">
        <v>65</v>
      </c>
      <c r="AG1577" s="6"/>
      <c r="AH1577" s="7">
        <v>1</v>
      </c>
      <c r="AI1577" s="4"/>
      <c r="AJ1577" s="4">
        <f>=ROUNDDOWN({0},0)</f>
      </c>
      <c r="AK1577" s="5"/>
      <c r="AL1577" s="2" t="s">
        <v>228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 t="s">
        <v>228</v>
      </c>
      <c r="AW1577" s="8" t="s">
        <v>228</v>
      </c>
      <c r="AX1577" s="4" t="s">
        <v>228</v>
      </c>
      <c r="AY1577" s="8" t="s">
        <v>228</v>
      </c>
      <c r="AZ1577" s="7" t="s">
        <v>228</v>
      </c>
      <c r="BA1577" s="7" t="s">
        <v>228</v>
      </c>
      <c r="BB1577" s="7"/>
      <c r="BC1577" s="4" t="s">
        <v>228</v>
      </c>
      <c r="BD1577" s="8" t="s">
        <v>228</v>
      </c>
      <c r="BE1577" s="4" t="s">
        <v>228</v>
      </c>
      <c r="BF1577" s="8" t="s">
        <v>228</v>
      </c>
      <c r="BG1577" s="7" t="s">
        <v>228</v>
      </c>
      <c r="BH1577" s="7" t="s">
        <v>228</v>
      </c>
      <c r="BI1577" s="7"/>
      <c r="BJ1577" s="4">
        <v>29</v>
      </c>
      <c r="BK1577" s="8">
        <v>892.49</v>
      </c>
      <c r="BL1577" s="2" t="s">
        <v>8010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8011</v>
      </c>
      <c r="BV1577" s="2" t="s">
        <v>228</v>
      </c>
      <c r="BW1577" s="2" t="s">
        <v>228</v>
      </c>
      <c r="BX1577" s="2" t="s">
        <v>273</v>
      </c>
      <c r="BY1577" s="2" t="s">
        <v>274</v>
      </c>
      <c r="BZ1577" s="2" t="s">
        <v>240</v>
      </c>
      <c r="CA1577" s="2" t="s">
        <v>275</v>
      </c>
      <c r="CB1577" s="2" t="s">
        <v>5137</v>
      </c>
      <c r="CC1577" s="2" t="s">
        <v>241</v>
      </c>
      <c r="CD1577" s="2" t="s">
        <v>228</v>
      </c>
      <c r="CE1577" s="4">
        <v>633</v>
      </c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>
        <v>240</v>
      </c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>
        <v>270</v>
      </c>
      <c r="EY1577" s="4"/>
      <c r="EZ1577" s="4"/>
      <c r="FA1577" s="4"/>
      <c r="FB1577" s="4"/>
      <c r="FC1577" s="4"/>
      <c r="FD1577" s="4"/>
      <c r="FE1577" s="4"/>
      <c r="FF1577" s="4"/>
      <c r="FG1577" s="4"/>
      <c r="FH1577" s="4"/>
      <c r="FI1577" s="4"/>
      <c r="FJ1577" s="4"/>
      <c r="FK1577" s="4"/>
      <c r="FL1577" s="4"/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  <c r="FX1577" s="4"/>
      <c r="FY1577" s="4"/>
      <c r="FZ1577" s="4"/>
      <c r="GA1577" s="4"/>
      <c r="GB1577" s="4"/>
      <c r="GC1577" s="4"/>
      <c r="GD1577" s="4"/>
      <c r="GE1577" s="4"/>
      <c r="GF1577" s="4"/>
      <c r="GG1577" s="4"/>
      <c r="GH1577" s="4"/>
      <c r="GI1577" s="4"/>
      <c r="GJ1577" s="4"/>
      <c r="GK1577" s="4"/>
      <c r="GL1577" s="4"/>
      <c r="GM1577" s="4"/>
      <c r="GN1577" s="4"/>
      <c r="GO1577" s="4"/>
      <c r="GP1577" s="4"/>
      <c r="GQ1577" s="4"/>
      <c r="GR1577" s="4"/>
      <c r="GS1577" s="4"/>
      <c r="GT1577" s="4"/>
      <c r="GU1577" s="4"/>
      <c r="GV1577" s="4"/>
      <c r="GW1577" s="4"/>
      <c r="GX1577" s="4"/>
      <c r="GY1577" s="4"/>
      <c r="GZ1577" s="4"/>
      <c r="HA1577" s="4"/>
      <c r="HB1577" s="4"/>
      <c r="HC1577" s="4"/>
      <c r="HD1577" s="4"/>
      <c r="HE1577" s="4"/>
    </row>
    <row r="1578">
      <c r="A1578" s="2" t="s">
        <v>8012</v>
      </c>
      <c r="B1578" s="2" t="s">
        <v>299</v>
      </c>
      <c r="C1578" s="2" t="s">
        <v>4000</v>
      </c>
      <c r="D1578" s="2" t="s">
        <v>301</v>
      </c>
      <c r="E1578" s="2" t="s">
        <v>302</v>
      </c>
      <c r="F1578" s="2" t="s">
        <v>7951</v>
      </c>
      <c r="G1578" s="2" t="s">
        <v>7951</v>
      </c>
      <c r="H1578" s="2" t="s">
        <v>7951</v>
      </c>
      <c r="I1578" s="2" t="s">
        <v>347</v>
      </c>
      <c r="J1578" s="2" t="s">
        <v>312</v>
      </c>
      <c r="K1578" s="2" t="s">
        <v>1421</v>
      </c>
      <c r="L1578" s="3">
        <v>31.85</v>
      </c>
      <c r="M1578" s="3">
        <v>33.44</v>
      </c>
      <c r="N1578" s="3">
        <v>64.99</v>
      </c>
      <c r="O1578" s="2" t="s">
        <v>240</v>
      </c>
      <c r="P1578" s="2" t="s">
        <v>266</v>
      </c>
      <c r="Q1578" s="2" t="s">
        <v>234</v>
      </c>
      <c r="R1578" s="2" t="s">
        <v>228</v>
      </c>
      <c r="S1578" s="2" t="s">
        <v>8003</v>
      </c>
      <c r="T1578" s="2" t="s">
        <v>675</v>
      </c>
      <c r="U1578" s="2" t="s">
        <v>308</v>
      </c>
      <c r="V1578" s="2" t="s">
        <v>236</v>
      </c>
      <c r="W1578" s="2" t="s">
        <v>269</v>
      </c>
      <c r="X1578" s="2" t="s">
        <v>417</v>
      </c>
      <c r="Y1578" s="2" t="s">
        <v>270</v>
      </c>
      <c r="Z1578" s="4">
        <v>289</v>
      </c>
      <c r="AA1578" s="4">
        <f>=ROUNDDOWN(22.2307692307692,0)</f>
      </c>
      <c r="AB1578" s="5">
        <v>13</v>
      </c>
      <c r="AC1578" s="2" t="s">
        <v>1352</v>
      </c>
      <c r="AD1578" s="4">
        <v>70</v>
      </c>
      <c r="AE1578" s="4">
        <v>150</v>
      </c>
      <c r="AF1578" s="6">
        <v>65</v>
      </c>
      <c r="AG1578" s="6"/>
      <c r="AH1578" s="7">
        <v>1</v>
      </c>
      <c r="AI1578" s="4"/>
      <c r="AJ1578" s="4">
        <f>=ROUNDDOWN({0},0)</f>
      </c>
      <c r="AK1578" s="5"/>
      <c r="AL1578" s="2" t="s">
        <v>228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228</v>
      </c>
      <c r="AW1578" s="8" t="s">
        <v>228</v>
      </c>
      <c r="AX1578" s="4" t="s">
        <v>228</v>
      </c>
      <c r="AY1578" s="8" t="s">
        <v>228</v>
      </c>
      <c r="AZ1578" s="7" t="s">
        <v>228</v>
      </c>
      <c r="BA1578" s="7" t="s">
        <v>228</v>
      </c>
      <c r="BB1578" s="7"/>
      <c r="BC1578" s="4" t="s">
        <v>228</v>
      </c>
      <c r="BD1578" s="8" t="s">
        <v>228</v>
      </c>
      <c r="BE1578" s="4" t="s">
        <v>228</v>
      </c>
      <c r="BF1578" s="8" t="s">
        <v>228</v>
      </c>
      <c r="BG1578" s="7" t="s">
        <v>228</v>
      </c>
      <c r="BH1578" s="7" t="s">
        <v>228</v>
      </c>
      <c r="BI1578" s="7"/>
      <c r="BJ1578" s="4">
        <v>6</v>
      </c>
      <c r="BK1578" s="8">
        <v>206.56</v>
      </c>
      <c r="BL1578" s="2" t="s">
        <v>8013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8014</v>
      </c>
      <c r="BV1578" s="2" t="s">
        <v>228</v>
      </c>
      <c r="BW1578" s="2" t="s">
        <v>228</v>
      </c>
      <c r="BX1578" s="2" t="s">
        <v>273</v>
      </c>
      <c r="BY1578" s="2" t="s">
        <v>274</v>
      </c>
      <c r="BZ1578" s="2" t="s">
        <v>240</v>
      </c>
      <c r="CA1578" s="2" t="s">
        <v>275</v>
      </c>
      <c r="CB1578" s="2" t="s">
        <v>8015</v>
      </c>
      <c r="CC1578" s="2" t="s">
        <v>241</v>
      </c>
      <c r="CD1578" s="2" t="s">
        <v>228</v>
      </c>
      <c r="CE1578" s="4">
        <v>289</v>
      </c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>
        <v>70</v>
      </c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>
        <v>80</v>
      </c>
      <c r="EY1578" s="4"/>
      <c r="EZ1578" s="4"/>
      <c r="FA1578" s="4"/>
      <c r="FB1578" s="4"/>
      <c r="FC1578" s="4"/>
      <c r="FD1578" s="4"/>
      <c r="FE1578" s="4"/>
      <c r="FF1578" s="4"/>
      <c r="FG1578" s="4"/>
      <c r="FH1578" s="4"/>
      <c r="FI1578" s="4"/>
      <c r="FJ1578" s="4"/>
      <c r="FK1578" s="4"/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  <c r="FX1578" s="4"/>
      <c r="FY1578" s="4"/>
      <c r="FZ1578" s="4"/>
      <c r="GA1578" s="4"/>
      <c r="GB1578" s="4"/>
      <c r="GC1578" s="4"/>
      <c r="GD1578" s="4"/>
      <c r="GE1578" s="4"/>
      <c r="GF1578" s="4"/>
      <c r="GG1578" s="4"/>
      <c r="GH1578" s="4"/>
      <c r="GI1578" s="4"/>
      <c r="GJ1578" s="4"/>
      <c r="GK1578" s="4"/>
      <c r="GL1578" s="4"/>
      <c r="GM1578" s="4"/>
      <c r="GN1578" s="4"/>
      <c r="GO1578" s="4"/>
      <c r="GP1578" s="4"/>
      <c r="GQ1578" s="4"/>
      <c r="GR1578" s="4"/>
      <c r="GS1578" s="4"/>
      <c r="GT1578" s="4"/>
      <c r="GU1578" s="4"/>
      <c r="GV1578" s="4"/>
      <c r="GW1578" s="4"/>
      <c r="GX1578" s="4"/>
      <c r="GY1578" s="4"/>
      <c r="GZ1578" s="4"/>
      <c r="HA1578" s="4"/>
      <c r="HB1578" s="4"/>
      <c r="HC1578" s="4"/>
      <c r="HD1578" s="4"/>
      <c r="HE1578" s="4"/>
    </row>
    <row r="1579">
      <c r="A1579" s="2" t="s">
        <v>8016</v>
      </c>
      <c r="B1579" s="2" t="s">
        <v>299</v>
      </c>
      <c r="C1579" s="2" t="s">
        <v>4000</v>
      </c>
      <c r="D1579" s="2" t="s">
        <v>301</v>
      </c>
      <c r="E1579" s="2" t="s">
        <v>302</v>
      </c>
      <c r="F1579" s="2" t="s">
        <v>7951</v>
      </c>
      <c r="G1579" s="2" t="s">
        <v>7951</v>
      </c>
      <c r="H1579" s="2" t="s">
        <v>7951</v>
      </c>
      <c r="I1579" s="2" t="s">
        <v>347</v>
      </c>
      <c r="J1579" s="2" t="s">
        <v>264</v>
      </c>
      <c r="K1579" s="2" t="s">
        <v>460</v>
      </c>
      <c r="L1579" s="3">
        <v>21.62</v>
      </c>
      <c r="M1579" s="3">
        <v>22.7</v>
      </c>
      <c r="N1579" s="3">
        <v>46.99</v>
      </c>
      <c r="O1579" s="2" t="s">
        <v>240</v>
      </c>
      <c r="P1579" s="2" t="s">
        <v>266</v>
      </c>
      <c r="Q1579" s="2" t="s">
        <v>234</v>
      </c>
      <c r="R1579" s="2" t="s">
        <v>228</v>
      </c>
      <c r="S1579" s="2" t="s">
        <v>8017</v>
      </c>
      <c r="T1579" s="2" t="s">
        <v>675</v>
      </c>
      <c r="U1579" s="2" t="s">
        <v>500</v>
      </c>
      <c r="V1579" s="2" t="s">
        <v>236</v>
      </c>
      <c r="W1579" s="2" t="s">
        <v>269</v>
      </c>
      <c r="X1579" s="2" t="s">
        <v>417</v>
      </c>
      <c r="Y1579" s="2" t="s">
        <v>270</v>
      </c>
      <c r="Z1579" s="4">
        <v>176</v>
      </c>
      <c r="AA1579" s="4">
        <f>=ROUNDDOWN(17.6,0)</f>
      </c>
      <c r="AB1579" s="5">
        <v>10</v>
      </c>
      <c r="AC1579" s="2" t="s">
        <v>1352</v>
      </c>
      <c r="AD1579" s="4">
        <v>50</v>
      </c>
      <c r="AE1579" s="4">
        <v>130</v>
      </c>
      <c r="AF1579" s="6">
        <v>65</v>
      </c>
      <c r="AG1579" s="6"/>
      <c r="AH1579" s="7">
        <v>1</v>
      </c>
      <c r="AI1579" s="4"/>
      <c r="AJ1579" s="4">
        <f>=ROUNDDOWN({0},0)</f>
      </c>
      <c r="AK1579" s="5"/>
      <c r="AL1579" s="2" t="s">
        <v>228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228</v>
      </c>
      <c r="AW1579" s="8" t="s">
        <v>228</v>
      </c>
      <c r="AX1579" s="4" t="s">
        <v>228</v>
      </c>
      <c r="AY1579" s="8" t="s">
        <v>228</v>
      </c>
      <c r="AZ1579" s="7" t="s">
        <v>228</v>
      </c>
      <c r="BA1579" s="7" t="s">
        <v>228</v>
      </c>
      <c r="BB1579" s="7"/>
      <c r="BC1579" s="4" t="s">
        <v>228</v>
      </c>
      <c r="BD1579" s="8" t="s">
        <v>228</v>
      </c>
      <c r="BE1579" s="4" t="s">
        <v>228</v>
      </c>
      <c r="BF1579" s="8" t="s">
        <v>228</v>
      </c>
      <c r="BG1579" s="7" t="s">
        <v>228</v>
      </c>
      <c r="BH1579" s="7" t="s">
        <v>228</v>
      </c>
      <c r="BI1579" s="7"/>
      <c r="BJ1579" s="4">
        <v>12</v>
      </c>
      <c r="BK1579" s="8">
        <v>283.48</v>
      </c>
      <c r="BL1579" s="2" t="s">
        <v>8018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8019</v>
      </c>
      <c r="BV1579" s="2" t="s">
        <v>228</v>
      </c>
      <c r="BW1579" s="2" t="s">
        <v>228</v>
      </c>
      <c r="BX1579" s="2" t="s">
        <v>273</v>
      </c>
      <c r="BY1579" s="2" t="s">
        <v>274</v>
      </c>
      <c r="BZ1579" s="2" t="s">
        <v>240</v>
      </c>
      <c r="CA1579" s="2" t="s">
        <v>275</v>
      </c>
      <c r="CB1579" s="2" t="s">
        <v>8020</v>
      </c>
      <c r="CC1579" s="2" t="s">
        <v>241</v>
      </c>
      <c r="CD1579" s="2" t="s">
        <v>228</v>
      </c>
      <c r="CE1579" s="4">
        <v>176</v>
      </c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>
        <v>50</v>
      </c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>
        <v>80</v>
      </c>
      <c r="EY1579" s="4"/>
      <c r="EZ1579" s="4"/>
      <c r="FA1579" s="4"/>
      <c r="FB1579" s="4"/>
      <c r="FC1579" s="4"/>
      <c r="FD1579" s="4"/>
      <c r="FE1579" s="4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/>
      <c r="FZ1579" s="4"/>
      <c r="GA1579" s="4"/>
      <c r="GB1579" s="4"/>
      <c r="GC1579" s="4"/>
      <c r="GD1579" s="4"/>
      <c r="GE1579" s="4"/>
      <c r="GF1579" s="4"/>
      <c r="GG1579" s="4"/>
      <c r="GH1579" s="4"/>
      <c r="GI1579" s="4"/>
      <c r="GJ1579" s="4"/>
      <c r="GK1579" s="4"/>
      <c r="GL1579" s="4"/>
      <c r="GM1579" s="4"/>
      <c r="GN1579" s="4"/>
      <c r="GO1579" s="4"/>
      <c r="GP1579" s="4"/>
      <c r="GQ1579" s="4"/>
      <c r="GR1579" s="4"/>
      <c r="GS1579" s="4"/>
      <c r="GT1579" s="4"/>
      <c r="GU1579" s="4"/>
      <c r="GV1579" s="4"/>
      <c r="GW1579" s="4"/>
      <c r="GX1579" s="4"/>
      <c r="GY1579" s="4"/>
      <c r="GZ1579" s="4"/>
      <c r="HA1579" s="4"/>
      <c r="HB1579" s="4"/>
      <c r="HC1579" s="4"/>
      <c r="HD1579" s="4"/>
      <c r="HE1579" s="4"/>
    </row>
    <row r="1580">
      <c r="A1580" s="2" t="s">
        <v>8021</v>
      </c>
      <c r="B1580" s="2" t="s">
        <v>299</v>
      </c>
      <c r="C1580" s="2" t="s">
        <v>4000</v>
      </c>
      <c r="D1580" s="2" t="s">
        <v>301</v>
      </c>
      <c r="E1580" s="2" t="s">
        <v>302</v>
      </c>
      <c r="F1580" s="2" t="s">
        <v>7951</v>
      </c>
      <c r="G1580" s="2" t="s">
        <v>7951</v>
      </c>
      <c r="H1580" s="2" t="s">
        <v>7951</v>
      </c>
      <c r="I1580" s="2" t="s">
        <v>347</v>
      </c>
      <c r="J1580" s="2" t="s">
        <v>278</v>
      </c>
      <c r="K1580" s="2" t="s">
        <v>460</v>
      </c>
      <c r="L1580" s="3">
        <v>23.04</v>
      </c>
      <c r="M1580" s="3">
        <v>24.19</v>
      </c>
      <c r="N1580" s="3">
        <v>47.99</v>
      </c>
      <c r="O1580" s="2" t="s">
        <v>240</v>
      </c>
      <c r="P1580" s="2" t="s">
        <v>266</v>
      </c>
      <c r="Q1580" s="2" t="s">
        <v>234</v>
      </c>
      <c r="R1580" s="2" t="s">
        <v>228</v>
      </c>
      <c r="S1580" s="2" t="s">
        <v>8017</v>
      </c>
      <c r="T1580" s="2" t="s">
        <v>675</v>
      </c>
      <c r="U1580" s="2" t="s">
        <v>500</v>
      </c>
      <c r="V1580" s="2" t="s">
        <v>236</v>
      </c>
      <c r="W1580" s="2" t="s">
        <v>269</v>
      </c>
      <c r="X1580" s="2" t="s">
        <v>417</v>
      </c>
      <c r="Y1580" s="2" t="s">
        <v>270</v>
      </c>
      <c r="Z1580" s="4">
        <v>190</v>
      </c>
      <c r="AA1580" s="4">
        <f>=ROUNDDOWN(14.6153846153846,0)</f>
      </c>
      <c r="AB1580" s="5">
        <v>13</v>
      </c>
      <c r="AC1580" s="2" t="s">
        <v>1352</v>
      </c>
      <c r="AD1580" s="4">
        <v>60</v>
      </c>
      <c r="AE1580" s="4">
        <v>150</v>
      </c>
      <c r="AF1580" s="6">
        <v>65</v>
      </c>
      <c r="AG1580" s="6"/>
      <c r="AH1580" s="7">
        <v>1</v>
      </c>
      <c r="AI1580" s="4"/>
      <c r="AJ1580" s="4">
        <f>=ROUNDDOWN({0},0)</f>
      </c>
      <c r="AK1580" s="5"/>
      <c r="AL1580" s="2" t="s">
        <v>228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 t="s">
        <v>228</v>
      </c>
      <c r="AW1580" s="8" t="s">
        <v>228</v>
      </c>
      <c r="AX1580" s="4" t="s">
        <v>228</v>
      </c>
      <c r="AY1580" s="8" t="s">
        <v>228</v>
      </c>
      <c r="AZ1580" s="7" t="s">
        <v>228</v>
      </c>
      <c r="BA1580" s="7" t="s">
        <v>228</v>
      </c>
      <c r="BB1580" s="7"/>
      <c r="BC1580" s="4" t="s">
        <v>228</v>
      </c>
      <c r="BD1580" s="8" t="s">
        <v>228</v>
      </c>
      <c r="BE1580" s="4" t="s">
        <v>228</v>
      </c>
      <c r="BF1580" s="8" t="s">
        <v>228</v>
      </c>
      <c r="BG1580" s="7" t="s">
        <v>228</v>
      </c>
      <c r="BH1580" s="7" t="s">
        <v>228</v>
      </c>
      <c r="BI1580" s="7"/>
      <c r="BJ1580" s="4">
        <v>31</v>
      </c>
      <c r="BK1580" s="8">
        <v>748.53</v>
      </c>
      <c r="BL1580" s="2" t="s">
        <v>4263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8022</v>
      </c>
      <c r="BV1580" s="2" t="s">
        <v>228</v>
      </c>
      <c r="BW1580" s="2" t="s">
        <v>228</v>
      </c>
      <c r="BX1580" s="2" t="s">
        <v>273</v>
      </c>
      <c r="BY1580" s="2" t="s">
        <v>274</v>
      </c>
      <c r="BZ1580" s="2" t="s">
        <v>240</v>
      </c>
      <c r="CA1580" s="2" t="s">
        <v>275</v>
      </c>
      <c r="CB1580" s="2" t="s">
        <v>1531</v>
      </c>
      <c r="CC1580" s="2" t="s">
        <v>241</v>
      </c>
      <c r="CD1580" s="2" t="s">
        <v>228</v>
      </c>
      <c r="CE1580" s="4">
        <v>190</v>
      </c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>
        <v>60</v>
      </c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>
        <v>90</v>
      </c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/>
      <c r="GE1580" s="4"/>
      <c r="GF1580" s="4"/>
      <c r="GG1580" s="4"/>
      <c r="GH1580" s="4"/>
      <c r="GI1580" s="4"/>
      <c r="GJ1580" s="4"/>
      <c r="GK1580" s="4"/>
      <c r="GL1580" s="4"/>
      <c r="GM1580" s="4"/>
      <c r="GN1580" s="4"/>
      <c r="GO1580" s="4"/>
      <c r="GP1580" s="4"/>
      <c r="GQ1580" s="4"/>
      <c r="GR1580" s="4"/>
      <c r="GS1580" s="4"/>
      <c r="GT1580" s="4"/>
      <c r="GU1580" s="4"/>
      <c r="GV1580" s="4"/>
      <c r="GW1580" s="4"/>
      <c r="GX1580" s="4"/>
      <c r="GY1580" s="4"/>
      <c r="GZ1580" s="4"/>
      <c r="HA1580" s="4"/>
      <c r="HB1580" s="4"/>
      <c r="HC1580" s="4"/>
      <c r="HD1580" s="4"/>
      <c r="HE1580" s="4"/>
    </row>
    <row r="1581">
      <c r="A1581" s="2" t="s">
        <v>8023</v>
      </c>
      <c r="B1581" s="2" t="s">
        <v>299</v>
      </c>
      <c r="C1581" s="2" t="s">
        <v>4000</v>
      </c>
      <c r="D1581" s="2" t="s">
        <v>301</v>
      </c>
      <c r="E1581" s="2" t="s">
        <v>302</v>
      </c>
      <c r="F1581" s="2" t="s">
        <v>7951</v>
      </c>
      <c r="G1581" s="2" t="s">
        <v>7951</v>
      </c>
      <c r="H1581" s="2" t="s">
        <v>7951</v>
      </c>
      <c r="I1581" s="2" t="s">
        <v>347</v>
      </c>
      <c r="J1581" s="2" t="s">
        <v>284</v>
      </c>
      <c r="K1581" s="2" t="s">
        <v>460</v>
      </c>
      <c r="L1581" s="3">
        <v>25.3</v>
      </c>
      <c r="M1581" s="3">
        <v>26.56</v>
      </c>
      <c r="N1581" s="3">
        <v>54.99</v>
      </c>
      <c r="O1581" s="2" t="s">
        <v>240</v>
      </c>
      <c r="P1581" s="2" t="s">
        <v>266</v>
      </c>
      <c r="Q1581" s="2" t="s">
        <v>234</v>
      </c>
      <c r="R1581" s="2" t="s">
        <v>228</v>
      </c>
      <c r="S1581" s="2" t="s">
        <v>8017</v>
      </c>
      <c r="T1581" s="2" t="s">
        <v>675</v>
      </c>
      <c r="U1581" s="2" t="s">
        <v>308</v>
      </c>
      <c r="V1581" s="2" t="s">
        <v>236</v>
      </c>
      <c r="W1581" s="2" t="s">
        <v>269</v>
      </c>
      <c r="X1581" s="2" t="s">
        <v>417</v>
      </c>
      <c r="Y1581" s="2" t="s">
        <v>270</v>
      </c>
      <c r="Z1581" s="4">
        <v>177</v>
      </c>
      <c r="AA1581" s="4">
        <f>=ROUNDDOWN(19.6666666666667,0)</f>
      </c>
      <c r="AB1581" s="5">
        <v>9</v>
      </c>
      <c r="AC1581" s="2" t="s">
        <v>3792</v>
      </c>
      <c r="AD1581" s="4">
        <v>60</v>
      </c>
      <c r="AE1581" s="4">
        <v>130</v>
      </c>
      <c r="AF1581" s="6">
        <v>65</v>
      </c>
      <c r="AG1581" s="6"/>
      <c r="AH1581" s="7">
        <v>1</v>
      </c>
      <c r="AI1581" s="4"/>
      <c r="AJ1581" s="4">
        <f>=ROUNDDOWN({0},0)</f>
      </c>
      <c r="AK1581" s="5"/>
      <c r="AL1581" s="2" t="s">
        <v>228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228</v>
      </c>
      <c r="AW1581" s="8" t="s">
        <v>228</v>
      </c>
      <c r="AX1581" s="4" t="s">
        <v>228</v>
      </c>
      <c r="AY1581" s="8" t="s">
        <v>228</v>
      </c>
      <c r="AZ1581" s="7" t="s">
        <v>228</v>
      </c>
      <c r="BA1581" s="7" t="s">
        <v>228</v>
      </c>
      <c r="BB1581" s="7"/>
      <c r="BC1581" s="4" t="s">
        <v>228</v>
      </c>
      <c r="BD1581" s="8" t="s">
        <v>228</v>
      </c>
      <c r="BE1581" s="4" t="s">
        <v>228</v>
      </c>
      <c r="BF1581" s="8" t="s">
        <v>228</v>
      </c>
      <c r="BG1581" s="7" t="s">
        <v>228</v>
      </c>
      <c r="BH1581" s="7" t="s">
        <v>228</v>
      </c>
      <c r="BI1581" s="7"/>
      <c r="BJ1581" s="4">
        <v>24</v>
      </c>
      <c r="BK1581" s="8">
        <v>663.93</v>
      </c>
      <c r="BL1581" s="2" t="s">
        <v>3474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8024</v>
      </c>
      <c r="BV1581" s="2" t="s">
        <v>228</v>
      </c>
      <c r="BW1581" s="2" t="s">
        <v>228</v>
      </c>
      <c r="BX1581" s="2" t="s">
        <v>273</v>
      </c>
      <c r="BY1581" s="2" t="s">
        <v>274</v>
      </c>
      <c r="BZ1581" s="2" t="s">
        <v>240</v>
      </c>
      <c r="CA1581" s="2" t="s">
        <v>275</v>
      </c>
      <c r="CB1581" s="2" t="s">
        <v>1365</v>
      </c>
      <c r="CC1581" s="2" t="s">
        <v>241</v>
      </c>
      <c r="CD1581" s="2" t="s">
        <v>228</v>
      </c>
      <c r="CE1581" s="4">
        <v>177</v>
      </c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>
        <v>60</v>
      </c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>
        <v>70</v>
      </c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/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/>
      <c r="FZ1581" s="4"/>
      <c r="GA1581" s="4"/>
      <c r="GB1581" s="4"/>
      <c r="GC1581" s="4"/>
      <c r="GD1581" s="4"/>
      <c r="GE1581" s="4"/>
      <c r="GF1581" s="4"/>
      <c r="GG1581" s="4"/>
      <c r="GH1581" s="4"/>
      <c r="GI1581" s="4"/>
      <c r="GJ1581" s="4"/>
      <c r="GK1581" s="4"/>
      <c r="GL1581" s="4"/>
      <c r="GM1581" s="4"/>
      <c r="GN1581" s="4"/>
      <c r="GO1581" s="4"/>
      <c r="GP1581" s="4"/>
      <c r="GQ1581" s="4"/>
      <c r="GR1581" s="4"/>
      <c r="GS1581" s="4"/>
      <c r="GT1581" s="4"/>
      <c r="GU1581" s="4"/>
      <c r="GV1581" s="4"/>
      <c r="GW1581" s="4"/>
      <c r="GX1581" s="4"/>
      <c r="GY1581" s="4"/>
      <c r="GZ1581" s="4"/>
      <c r="HA1581" s="4"/>
      <c r="HB1581" s="4"/>
      <c r="HC1581" s="4"/>
      <c r="HD1581" s="4"/>
      <c r="HE1581" s="4"/>
    </row>
    <row r="1582">
      <c r="A1582" s="2" t="s">
        <v>8025</v>
      </c>
      <c r="B1582" s="2" t="s">
        <v>299</v>
      </c>
      <c r="C1582" s="2" t="s">
        <v>4000</v>
      </c>
      <c r="D1582" s="2" t="s">
        <v>301</v>
      </c>
      <c r="E1582" s="2" t="s">
        <v>302</v>
      </c>
      <c r="F1582" s="2" t="s">
        <v>7951</v>
      </c>
      <c r="G1582" s="2" t="s">
        <v>7951</v>
      </c>
      <c r="H1582" s="2" t="s">
        <v>7951</v>
      </c>
      <c r="I1582" s="2" t="s">
        <v>347</v>
      </c>
      <c r="J1582" s="2" t="s">
        <v>312</v>
      </c>
      <c r="K1582" s="2" t="s">
        <v>460</v>
      </c>
      <c r="L1582" s="3">
        <v>31.85</v>
      </c>
      <c r="M1582" s="3">
        <v>33.44</v>
      </c>
      <c r="N1582" s="3">
        <v>64.99</v>
      </c>
      <c r="O1582" s="2" t="s">
        <v>240</v>
      </c>
      <c r="P1582" s="2" t="s">
        <v>266</v>
      </c>
      <c r="Q1582" s="2" t="s">
        <v>234</v>
      </c>
      <c r="R1582" s="2" t="s">
        <v>228</v>
      </c>
      <c r="S1582" s="2" t="s">
        <v>8017</v>
      </c>
      <c r="T1582" s="2" t="s">
        <v>675</v>
      </c>
      <c r="U1582" s="2" t="s">
        <v>308</v>
      </c>
      <c r="V1582" s="2" t="s">
        <v>236</v>
      </c>
      <c r="W1582" s="2" t="s">
        <v>269</v>
      </c>
      <c r="X1582" s="2" t="s">
        <v>417</v>
      </c>
      <c r="Y1582" s="2" t="s">
        <v>270</v>
      </c>
      <c r="Z1582" s="4">
        <v>137</v>
      </c>
      <c r="AA1582" s="4">
        <f>=ROUNDDOWN(22.8333333333333,0)</f>
      </c>
      <c r="AB1582" s="5">
        <v>6</v>
      </c>
      <c r="AC1582" s="2" t="s">
        <v>1352</v>
      </c>
      <c r="AD1582" s="4">
        <v>30</v>
      </c>
      <c r="AE1582" s="4">
        <v>80</v>
      </c>
      <c r="AF1582" s="6">
        <v>65</v>
      </c>
      <c r="AG1582" s="6"/>
      <c r="AH1582" s="7">
        <v>1</v>
      </c>
      <c r="AI1582" s="4"/>
      <c r="AJ1582" s="4">
        <f>=ROUNDDOWN({0},0)</f>
      </c>
      <c r="AK1582" s="5"/>
      <c r="AL1582" s="2" t="s">
        <v>228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 t="s">
        <v>228</v>
      </c>
      <c r="AW1582" s="8" t="s">
        <v>228</v>
      </c>
      <c r="AX1582" s="4" t="s">
        <v>228</v>
      </c>
      <c r="AY1582" s="8" t="s">
        <v>228</v>
      </c>
      <c r="AZ1582" s="7" t="s">
        <v>228</v>
      </c>
      <c r="BA1582" s="7" t="s">
        <v>228</v>
      </c>
      <c r="BB1582" s="7"/>
      <c r="BC1582" s="4" t="s">
        <v>228</v>
      </c>
      <c r="BD1582" s="8" t="s">
        <v>228</v>
      </c>
      <c r="BE1582" s="4" t="s">
        <v>228</v>
      </c>
      <c r="BF1582" s="8" t="s">
        <v>228</v>
      </c>
      <c r="BG1582" s="7" t="s">
        <v>228</v>
      </c>
      <c r="BH1582" s="7" t="s">
        <v>228</v>
      </c>
      <c r="BI1582" s="7"/>
      <c r="BJ1582" s="4">
        <v>3</v>
      </c>
      <c r="BK1582" s="8">
        <v>124.7</v>
      </c>
      <c r="BL1582" s="2" t="s">
        <v>8026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8027</v>
      </c>
      <c r="BV1582" s="2" t="s">
        <v>228</v>
      </c>
      <c r="BW1582" s="2" t="s">
        <v>228</v>
      </c>
      <c r="BX1582" s="2" t="s">
        <v>273</v>
      </c>
      <c r="BY1582" s="2" t="s">
        <v>274</v>
      </c>
      <c r="BZ1582" s="2" t="s">
        <v>240</v>
      </c>
      <c r="CA1582" s="2" t="s">
        <v>275</v>
      </c>
      <c r="CB1582" s="2" t="s">
        <v>8028</v>
      </c>
      <c r="CC1582" s="2" t="s">
        <v>241</v>
      </c>
      <c r="CD1582" s="2" t="s">
        <v>228</v>
      </c>
      <c r="CE1582" s="4">
        <v>137</v>
      </c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>
        <v>30</v>
      </c>
      <c r="EK1582" s="4"/>
      <c r="EL1582" s="4"/>
      <c r="EM1582" s="4"/>
      <c r="EN1582" s="4"/>
      <c r="EO1582" s="4"/>
      <c r="EP1582" s="4"/>
      <c r="EQ1582" s="4"/>
      <c r="ER1582" s="4"/>
      <c r="ES1582" s="4"/>
      <c r="ET1582" s="4"/>
      <c r="EU1582" s="4"/>
      <c r="EV1582" s="4"/>
      <c r="EW1582" s="4"/>
      <c r="EX1582" s="4">
        <v>50</v>
      </c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/>
      <c r="FR1582" s="4"/>
      <c r="FS1582" s="4"/>
      <c r="FT1582" s="4"/>
      <c r="FU1582" s="4"/>
      <c r="FV1582" s="4"/>
      <c r="FW1582" s="4"/>
      <c r="FX1582" s="4"/>
      <c r="FY1582" s="4"/>
      <c r="FZ1582" s="4"/>
      <c r="GA1582" s="4"/>
      <c r="GB1582" s="4"/>
      <c r="GC1582" s="4"/>
      <c r="GD1582" s="4"/>
      <c r="GE1582" s="4"/>
      <c r="GF1582" s="4"/>
      <c r="GG1582" s="4"/>
      <c r="GH1582" s="4"/>
      <c r="GI1582" s="4"/>
      <c r="GJ1582" s="4"/>
      <c r="GK1582" s="4"/>
      <c r="GL1582" s="4"/>
      <c r="GM1582" s="4"/>
      <c r="GN1582" s="4"/>
      <c r="GO1582" s="4"/>
      <c r="GP1582" s="4"/>
      <c r="GQ1582" s="4"/>
      <c r="GR1582" s="4"/>
      <c r="GS1582" s="4"/>
      <c r="GT1582" s="4"/>
      <c r="GU1582" s="4"/>
      <c r="GV1582" s="4"/>
      <c r="GW1582" s="4"/>
      <c r="GX1582" s="4"/>
      <c r="GY1582" s="4"/>
      <c r="GZ1582" s="4"/>
      <c r="HA1582" s="4"/>
      <c r="HB1582" s="4"/>
      <c r="HC1582" s="4"/>
      <c r="HD1582" s="4"/>
      <c r="HE1582" s="4"/>
    </row>
    <row r="1583">
      <c r="A1583" s="2" t="s">
        <v>8029</v>
      </c>
      <c r="B1583" s="2" t="s">
        <v>299</v>
      </c>
      <c r="C1583" s="2" t="s">
        <v>4000</v>
      </c>
      <c r="D1583" s="2" t="s">
        <v>301</v>
      </c>
      <c r="E1583" s="2" t="s">
        <v>302</v>
      </c>
      <c r="F1583" s="2" t="s">
        <v>7951</v>
      </c>
      <c r="G1583" s="2" t="s">
        <v>7951</v>
      </c>
      <c r="H1583" s="2" t="s">
        <v>7951</v>
      </c>
      <c r="I1583" s="2" t="s">
        <v>347</v>
      </c>
      <c r="J1583" s="2" t="s">
        <v>264</v>
      </c>
      <c r="K1583" s="2" t="s">
        <v>249</v>
      </c>
      <c r="L1583" s="3">
        <v>21.62</v>
      </c>
      <c r="M1583" s="3">
        <v>22.7</v>
      </c>
      <c r="N1583" s="3">
        <v>46.99</v>
      </c>
      <c r="O1583" s="2" t="s">
        <v>240</v>
      </c>
      <c r="P1583" s="2" t="s">
        <v>266</v>
      </c>
      <c r="Q1583" s="2" t="s">
        <v>234</v>
      </c>
      <c r="R1583" s="2" t="s">
        <v>228</v>
      </c>
      <c r="S1583" s="2" t="s">
        <v>8030</v>
      </c>
      <c r="T1583" s="2" t="s">
        <v>675</v>
      </c>
      <c r="U1583" s="2" t="s">
        <v>500</v>
      </c>
      <c r="V1583" s="2" t="s">
        <v>236</v>
      </c>
      <c r="W1583" s="2" t="s">
        <v>269</v>
      </c>
      <c r="X1583" s="2" t="s">
        <v>417</v>
      </c>
      <c r="Y1583" s="2" t="s">
        <v>270</v>
      </c>
      <c r="Z1583" s="4">
        <v>468</v>
      </c>
      <c r="AA1583" s="4">
        <f>=ROUNDDOWN(20.3478260869565,0)</f>
      </c>
      <c r="AB1583" s="5">
        <v>23</v>
      </c>
      <c r="AC1583" s="2" t="s">
        <v>1352</v>
      </c>
      <c r="AD1583" s="4">
        <v>110</v>
      </c>
      <c r="AE1583" s="4">
        <v>300</v>
      </c>
      <c r="AF1583" s="6">
        <v>65</v>
      </c>
      <c r="AG1583" s="6"/>
      <c r="AH1583" s="7">
        <v>1</v>
      </c>
      <c r="AI1583" s="4"/>
      <c r="AJ1583" s="4">
        <f>=ROUNDDOWN({0},0)</f>
      </c>
      <c r="AK1583" s="5"/>
      <c r="AL1583" s="2" t="s">
        <v>228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 t="s">
        <v>228</v>
      </c>
      <c r="AW1583" s="8" t="s">
        <v>228</v>
      </c>
      <c r="AX1583" s="4" t="s">
        <v>228</v>
      </c>
      <c r="AY1583" s="8" t="s">
        <v>228</v>
      </c>
      <c r="AZ1583" s="7" t="s">
        <v>228</v>
      </c>
      <c r="BA1583" s="7" t="s">
        <v>228</v>
      </c>
      <c r="BB1583" s="7"/>
      <c r="BC1583" s="4" t="s">
        <v>228</v>
      </c>
      <c r="BD1583" s="8" t="s">
        <v>228</v>
      </c>
      <c r="BE1583" s="4" t="s">
        <v>228</v>
      </c>
      <c r="BF1583" s="8" t="s">
        <v>228</v>
      </c>
      <c r="BG1583" s="7" t="s">
        <v>228</v>
      </c>
      <c r="BH1583" s="7" t="s">
        <v>228</v>
      </c>
      <c r="BI1583" s="7"/>
      <c r="BJ1583" s="4">
        <v>17</v>
      </c>
      <c r="BK1583" s="8">
        <v>402.4</v>
      </c>
      <c r="BL1583" s="2" t="s">
        <v>3909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8031</v>
      </c>
      <c r="BV1583" s="2" t="s">
        <v>228</v>
      </c>
      <c r="BW1583" s="2" t="s">
        <v>228</v>
      </c>
      <c r="BX1583" s="2" t="s">
        <v>273</v>
      </c>
      <c r="BY1583" s="2" t="s">
        <v>274</v>
      </c>
      <c r="BZ1583" s="2" t="s">
        <v>240</v>
      </c>
      <c r="CA1583" s="2" t="s">
        <v>275</v>
      </c>
      <c r="CB1583" s="2" t="s">
        <v>8032</v>
      </c>
      <c r="CC1583" s="2" t="s">
        <v>241</v>
      </c>
      <c r="CD1583" s="2" t="s">
        <v>228</v>
      </c>
      <c r="CE1583" s="4">
        <v>468</v>
      </c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>
        <v>110</v>
      </c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>
        <v>190</v>
      </c>
      <c r="EY1583" s="4"/>
      <c r="EZ1583" s="4"/>
      <c r="FA1583" s="4"/>
      <c r="FB1583" s="4"/>
      <c r="FC1583" s="4"/>
      <c r="FD1583" s="4"/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/>
      <c r="FT1583" s="4"/>
      <c r="FU1583" s="4"/>
      <c r="FV1583" s="4"/>
      <c r="FW1583" s="4"/>
      <c r="FX1583" s="4"/>
      <c r="FY1583" s="4"/>
      <c r="FZ1583" s="4"/>
      <c r="GA1583" s="4"/>
      <c r="GB1583" s="4"/>
      <c r="GC1583" s="4"/>
      <c r="GD1583" s="4"/>
      <c r="GE1583" s="4"/>
      <c r="GF1583" s="4"/>
      <c r="GG1583" s="4"/>
      <c r="GH1583" s="4"/>
      <c r="GI1583" s="4"/>
      <c r="GJ1583" s="4"/>
      <c r="GK1583" s="4"/>
      <c r="GL1583" s="4"/>
      <c r="GM1583" s="4"/>
      <c r="GN1583" s="4"/>
      <c r="GO1583" s="4"/>
      <c r="GP1583" s="4"/>
      <c r="GQ1583" s="4"/>
      <c r="GR1583" s="4"/>
      <c r="GS1583" s="4"/>
      <c r="GT1583" s="4"/>
      <c r="GU1583" s="4"/>
      <c r="GV1583" s="4"/>
      <c r="GW1583" s="4"/>
      <c r="GX1583" s="4"/>
      <c r="GY1583" s="4"/>
      <c r="GZ1583" s="4"/>
      <c r="HA1583" s="4"/>
      <c r="HB1583" s="4"/>
      <c r="HC1583" s="4"/>
      <c r="HD1583" s="4"/>
      <c r="HE1583" s="4"/>
    </row>
    <row r="1584">
      <c r="A1584" s="2" t="s">
        <v>8033</v>
      </c>
      <c r="B1584" s="2" t="s">
        <v>299</v>
      </c>
      <c r="C1584" s="2" t="s">
        <v>4000</v>
      </c>
      <c r="D1584" s="2" t="s">
        <v>301</v>
      </c>
      <c r="E1584" s="2" t="s">
        <v>302</v>
      </c>
      <c r="F1584" s="2" t="s">
        <v>7951</v>
      </c>
      <c r="G1584" s="2" t="s">
        <v>7951</v>
      </c>
      <c r="H1584" s="2" t="s">
        <v>7951</v>
      </c>
      <c r="I1584" s="2" t="s">
        <v>347</v>
      </c>
      <c r="J1584" s="2" t="s">
        <v>294</v>
      </c>
      <c r="K1584" s="2" t="s">
        <v>249</v>
      </c>
      <c r="L1584" s="3">
        <v>31.2</v>
      </c>
      <c r="M1584" s="3">
        <v>32.76</v>
      </c>
      <c r="N1584" s="3">
        <v>64.99</v>
      </c>
      <c r="O1584" s="2" t="s">
        <v>240</v>
      </c>
      <c r="P1584" s="2" t="s">
        <v>889</v>
      </c>
      <c r="Q1584" s="2" t="s">
        <v>234</v>
      </c>
      <c r="R1584" s="2" t="s">
        <v>228</v>
      </c>
      <c r="S1584" s="2" t="s">
        <v>8030</v>
      </c>
      <c r="T1584" s="2" t="s">
        <v>675</v>
      </c>
      <c r="U1584" s="2" t="s">
        <v>308</v>
      </c>
      <c r="V1584" s="2" t="s">
        <v>236</v>
      </c>
      <c r="W1584" s="2" t="s">
        <v>269</v>
      </c>
      <c r="X1584" s="2" t="s">
        <v>417</v>
      </c>
      <c r="Y1584" s="2" t="s">
        <v>270</v>
      </c>
      <c r="Z1584" s="4">
        <v>656</v>
      </c>
      <c r="AA1584" s="4">
        <f>=ROUNDDOWN(19.8787878787879,0)</f>
      </c>
      <c r="AB1584" s="5">
        <v>33</v>
      </c>
      <c r="AC1584" s="2" t="s">
        <v>1352</v>
      </c>
      <c r="AD1584" s="4">
        <v>200</v>
      </c>
      <c r="AE1584" s="4">
        <v>510</v>
      </c>
      <c r="AF1584" s="6">
        <v>65</v>
      </c>
      <c r="AG1584" s="6"/>
      <c r="AH1584" s="7">
        <v>1</v>
      </c>
      <c r="AI1584" s="4"/>
      <c r="AJ1584" s="4">
        <f>=ROUNDDOWN({0},0)</f>
      </c>
      <c r="AK1584" s="5"/>
      <c r="AL1584" s="2" t="s">
        <v>228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 t="s">
        <v>228</v>
      </c>
      <c r="AW1584" s="8" t="s">
        <v>228</v>
      </c>
      <c r="AX1584" s="4" t="s">
        <v>228</v>
      </c>
      <c r="AY1584" s="8" t="s">
        <v>228</v>
      </c>
      <c r="AZ1584" s="7" t="s">
        <v>228</v>
      </c>
      <c r="BA1584" s="7" t="s">
        <v>228</v>
      </c>
      <c r="BB1584" s="7"/>
      <c r="BC1584" s="4" t="s">
        <v>228</v>
      </c>
      <c r="BD1584" s="8" t="s">
        <v>228</v>
      </c>
      <c r="BE1584" s="4" t="s">
        <v>228</v>
      </c>
      <c r="BF1584" s="8" t="s">
        <v>228</v>
      </c>
      <c r="BG1584" s="7" t="s">
        <v>228</v>
      </c>
      <c r="BH1584" s="7" t="s">
        <v>228</v>
      </c>
      <c r="BI1584" s="7"/>
      <c r="BJ1584" s="4">
        <v>36</v>
      </c>
      <c r="BK1584" s="8">
        <v>1202.59</v>
      </c>
      <c r="BL1584" s="2" t="s">
        <v>8034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8035</v>
      </c>
      <c r="BV1584" s="2" t="s">
        <v>228</v>
      </c>
      <c r="BW1584" s="2" t="s">
        <v>228</v>
      </c>
      <c r="BX1584" s="2" t="s">
        <v>273</v>
      </c>
      <c r="BY1584" s="2" t="s">
        <v>274</v>
      </c>
      <c r="BZ1584" s="2" t="s">
        <v>240</v>
      </c>
      <c r="CA1584" s="2" t="s">
        <v>275</v>
      </c>
      <c r="CB1584" s="2" t="s">
        <v>692</v>
      </c>
      <c r="CC1584" s="2" t="s">
        <v>241</v>
      </c>
      <c r="CD1584" s="2" t="s">
        <v>228</v>
      </c>
      <c r="CE1584" s="4">
        <v>656</v>
      </c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>
        <v>200</v>
      </c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>
        <v>310</v>
      </c>
      <c r="EY1584" s="4"/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  <c r="FX1584" s="4"/>
      <c r="FY1584" s="4"/>
      <c r="FZ1584" s="4"/>
      <c r="GA1584" s="4"/>
      <c r="GB1584" s="4"/>
      <c r="GC1584" s="4"/>
      <c r="GD1584" s="4"/>
      <c r="GE1584" s="4"/>
      <c r="GF1584" s="4"/>
      <c r="GG1584" s="4"/>
      <c r="GH1584" s="4"/>
      <c r="GI1584" s="4"/>
      <c r="GJ1584" s="4"/>
      <c r="GK1584" s="4"/>
      <c r="GL1584" s="4"/>
      <c r="GM1584" s="4"/>
      <c r="GN1584" s="4"/>
      <c r="GO1584" s="4"/>
      <c r="GP1584" s="4"/>
      <c r="GQ1584" s="4"/>
      <c r="GR1584" s="4"/>
      <c r="GS1584" s="4"/>
      <c r="GT1584" s="4"/>
      <c r="GU1584" s="4"/>
      <c r="GV1584" s="4"/>
      <c r="GW1584" s="4"/>
      <c r="GX1584" s="4"/>
      <c r="GY1584" s="4"/>
      <c r="GZ1584" s="4"/>
      <c r="HA1584" s="4"/>
      <c r="HB1584" s="4"/>
      <c r="HC1584" s="4"/>
      <c r="HD1584" s="4"/>
      <c r="HE1584" s="4"/>
    </row>
    <row r="1585">
      <c r="A1585" s="2" t="s">
        <v>8036</v>
      </c>
      <c r="B1585" s="2" t="s">
        <v>299</v>
      </c>
      <c r="C1585" s="2" t="s">
        <v>4000</v>
      </c>
      <c r="D1585" s="2" t="s">
        <v>301</v>
      </c>
      <c r="E1585" s="2" t="s">
        <v>302</v>
      </c>
      <c r="F1585" s="2" t="s">
        <v>7951</v>
      </c>
      <c r="G1585" s="2" t="s">
        <v>7951</v>
      </c>
      <c r="H1585" s="2" t="s">
        <v>7951</v>
      </c>
      <c r="I1585" s="2" t="s">
        <v>347</v>
      </c>
      <c r="J1585" s="2" t="s">
        <v>312</v>
      </c>
      <c r="K1585" s="2" t="s">
        <v>249</v>
      </c>
      <c r="L1585" s="3">
        <v>31.85</v>
      </c>
      <c r="M1585" s="3">
        <v>33.44</v>
      </c>
      <c r="N1585" s="3">
        <v>64.99</v>
      </c>
      <c r="O1585" s="2" t="s">
        <v>240</v>
      </c>
      <c r="P1585" s="2" t="s">
        <v>715</v>
      </c>
      <c r="Q1585" s="2" t="s">
        <v>234</v>
      </c>
      <c r="R1585" s="2" t="s">
        <v>228</v>
      </c>
      <c r="S1585" s="2" t="s">
        <v>8030</v>
      </c>
      <c r="T1585" s="2" t="s">
        <v>675</v>
      </c>
      <c r="U1585" s="2" t="s">
        <v>308</v>
      </c>
      <c r="V1585" s="2" t="s">
        <v>236</v>
      </c>
      <c r="W1585" s="2" t="s">
        <v>269</v>
      </c>
      <c r="X1585" s="2" t="s">
        <v>417</v>
      </c>
      <c r="Y1585" s="2" t="s">
        <v>270</v>
      </c>
      <c r="Z1585" s="4">
        <v>410</v>
      </c>
      <c r="AA1585" s="4">
        <f>=ROUNDDOWN(20.5,0)</f>
      </c>
      <c r="AB1585" s="5">
        <v>20</v>
      </c>
      <c r="AC1585" s="2" t="s">
        <v>1352</v>
      </c>
      <c r="AD1585" s="4">
        <v>110</v>
      </c>
      <c r="AE1585" s="4">
        <v>260</v>
      </c>
      <c r="AF1585" s="6">
        <v>65</v>
      </c>
      <c r="AG1585" s="6"/>
      <c r="AH1585" s="7">
        <v>1</v>
      </c>
      <c r="AI1585" s="4"/>
      <c r="AJ1585" s="4">
        <f>=ROUNDDOWN({0},0)</f>
      </c>
      <c r="AK1585" s="5"/>
      <c r="AL1585" s="2" t="s">
        <v>228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228</v>
      </c>
      <c r="AW1585" s="8" t="s">
        <v>228</v>
      </c>
      <c r="AX1585" s="4" t="s">
        <v>228</v>
      </c>
      <c r="AY1585" s="8" t="s">
        <v>228</v>
      </c>
      <c r="AZ1585" s="7" t="s">
        <v>228</v>
      </c>
      <c r="BA1585" s="7" t="s">
        <v>228</v>
      </c>
      <c r="BB1585" s="7"/>
      <c r="BC1585" s="4" t="s">
        <v>228</v>
      </c>
      <c r="BD1585" s="8" t="s">
        <v>228</v>
      </c>
      <c r="BE1585" s="4" t="s">
        <v>228</v>
      </c>
      <c r="BF1585" s="8" t="s">
        <v>228</v>
      </c>
      <c r="BG1585" s="7" t="s">
        <v>228</v>
      </c>
      <c r="BH1585" s="7" t="s">
        <v>228</v>
      </c>
      <c r="BI1585" s="7"/>
      <c r="BJ1585" s="4">
        <v>10</v>
      </c>
      <c r="BK1585" s="8">
        <v>343.88</v>
      </c>
      <c r="BL1585" s="2" t="s">
        <v>3946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8037</v>
      </c>
      <c r="BV1585" s="2" t="s">
        <v>228</v>
      </c>
      <c r="BW1585" s="2" t="s">
        <v>228</v>
      </c>
      <c r="BX1585" s="2" t="s">
        <v>273</v>
      </c>
      <c r="BY1585" s="2" t="s">
        <v>274</v>
      </c>
      <c r="BZ1585" s="2" t="s">
        <v>240</v>
      </c>
      <c r="CA1585" s="2" t="s">
        <v>275</v>
      </c>
      <c r="CB1585" s="2" t="s">
        <v>8038</v>
      </c>
      <c r="CC1585" s="2" t="s">
        <v>241</v>
      </c>
      <c r="CD1585" s="2" t="s">
        <v>228</v>
      </c>
      <c r="CE1585" s="4">
        <v>410</v>
      </c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>
        <v>110</v>
      </c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>
        <v>150</v>
      </c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  <c r="FX1585" s="4"/>
      <c r="FY1585" s="4"/>
      <c r="FZ1585" s="4"/>
      <c r="GA1585" s="4"/>
      <c r="GB1585" s="4"/>
      <c r="GC1585" s="4"/>
      <c r="GD1585" s="4"/>
      <c r="GE1585" s="4"/>
      <c r="GF1585" s="4"/>
      <c r="GG1585" s="4"/>
      <c r="GH1585" s="4"/>
      <c r="GI1585" s="4"/>
      <c r="GJ1585" s="4"/>
      <c r="GK1585" s="4"/>
      <c r="GL1585" s="4"/>
      <c r="GM1585" s="4"/>
      <c r="GN1585" s="4"/>
      <c r="GO1585" s="4"/>
      <c r="GP1585" s="4"/>
      <c r="GQ1585" s="4"/>
      <c r="GR1585" s="4"/>
      <c r="GS1585" s="4"/>
      <c r="GT1585" s="4"/>
      <c r="GU1585" s="4"/>
      <c r="GV1585" s="4"/>
      <c r="GW1585" s="4"/>
      <c r="GX1585" s="4"/>
      <c r="GY1585" s="4"/>
      <c r="GZ1585" s="4"/>
      <c r="HA1585" s="4"/>
      <c r="HB1585" s="4"/>
      <c r="HC1585" s="4"/>
      <c r="HD1585" s="4"/>
      <c r="HE1585" s="4"/>
    </row>
    <row r="1586">
      <c r="A1586" s="2" t="s">
        <v>8039</v>
      </c>
      <c r="B1586" s="2" t="s">
        <v>299</v>
      </c>
      <c r="C1586" s="2" t="s">
        <v>4000</v>
      </c>
      <c r="D1586" s="2" t="s">
        <v>301</v>
      </c>
      <c r="E1586" s="2" t="s">
        <v>302</v>
      </c>
      <c r="F1586" s="2" t="s">
        <v>7951</v>
      </c>
      <c r="G1586" s="2" t="s">
        <v>7951</v>
      </c>
      <c r="H1586" s="2" t="s">
        <v>7951</v>
      </c>
      <c r="I1586" s="2" t="s">
        <v>347</v>
      </c>
      <c r="J1586" s="2" t="s">
        <v>264</v>
      </c>
      <c r="K1586" s="2" t="s">
        <v>1429</v>
      </c>
      <c r="L1586" s="3">
        <v>24</v>
      </c>
      <c r="M1586" s="3">
        <v>25.2</v>
      </c>
      <c r="N1586" s="3">
        <v>49.99</v>
      </c>
      <c r="O1586" s="2" t="s">
        <v>240</v>
      </c>
      <c r="P1586" s="2" t="s">
        <v>266</v>
      </c>
      <c r="Q1586" s="2" t="s">
        <v>234</v>
      </c>
      <c r="R1586" s="2" t="s">
        <v>228</v>
      </c>
      <c r="S1586" s="2" t="s">
        <v>8040</v>
      </c>
      <c r="T1586" s="2" t="s">
        <v>675</v>
      </c>
      <c r="U1586" s="2" t="s">
        <v>500</v>
      </c>
      <c r="V1586" s="2" t="s">
        <v>980</v>
      </c>
      <c r="W1586" s="2" t="s">
        <v>269</v>
      </c>
      <c r="X1586" s="2" t="s">
        <v>417</v>
      </c>
      <c r="Y1586" s="2" t="s">
        <v>2428</v>
      </c>
      <c r="Z1586" s="4">
        <v>142</v>
      </c>
      <c r="AA1586" s="4">
        <f>=ROUNDDOWN(28.4,0)</f>
      </c>
      <c r="AB1586" s="5">
        <v>5</v>
      </c>
      <c r="AC1586" s="2" t="s">
        <v>1352</v>
      </c>
      <c r="AD1586" s="4">
        <v>30</v>
      </c>
      <c r="AE1586" s="4">
        <v>80</v>
      </c>
      <c r="AF1586" s="6">
        <v>65</v>
      </c>
      <c r="AG1586" s="6"/>
      <c r="AH1586" s="7">
        <v>1</v>
      </c>
      <c r="AI1586" s="4"/>
      <c r="AJ1586" s="4">
        <f>=ROUNDDOWN({0},0)</f>
      </c>
      <c r="AK1586" s="5"/>
      <c r="AL1586" s="2" t="s">
        <v>228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 t="s">
        <v>228</v>
      </c>
      <c r="AW1586" s="8" t="s">
        <v>228</v>
      </c>
      <c r="AX1586" s="4" t="s">
        <v>228</v>
      </c>
      <c r="AY1586" s="8" t="s">
        <v>228</v>
      </c>
      <c r="AZ1586" s="7" t="s">
        <v>228</v>
      </c>
      <c r="BA1586" s="7" t="s">
        <v>228</v>
      </c>
      <c r="BB1586" s="7"/>
      <c r="BC1586" s="4" t="s">
        <v>228</v>
      </c>
      <c r="BD1586" s="8" t="s">
        <v>228</v>
      </c>
      <c r="BE1586" s="4" t="s">
        <v>228</v>
      </c>
      <c r="BF1586" s="8" t="s">
        <v>228</v>
      </c>
      <c r="BG1586" s="7" t="s">
        <v>228</v>
      </c>
      <c r="BH1586" s="7" t="s">
        <v>228</v>
      </c>
      <c r="BI1586" s="7"/>
      <c r="BJ1586" s="4">
        <v>1</v>
      </c>
      <c r="BK1586" s="8">
        <v>23.78</v>
      </c>
      <c r="BL1586" s="2" t="s">
        <v>622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8041</v>
      </c>
      <c r="BV1586" s="2" t="s">
        <v>228</v>
      </c>
      <c r="BW1586" s="2" t="s">
        <v>228</v>
      </c>
      <c r="BX1586" s="2" t="s">
        <v>273</v>
      </c>
      <c r="BY1586" s="2" t="s">
        <v>274</v>
      </c>
      <c r="BZ1586" s="2" t="s">
        <v>240</v>
      </c>
      <c r="CA1586" s="2" t="s">
        <v>1978</v>
      </c>
      <c r="CB1586" s="2" t="s">
        <v>228</v>
      </c>
      <c r="CC1586" s="2" t="s">
        <v>241</v>
      </c>
      <c r="CD1586" s="2" t="s">
        <v>228</v>
      </c>
      <c r="CE1586" s="4">
        <v>142</v>
      </c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>
        <v>30</v>
      </c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>
        <v>50</v>
      </c>
      <c r="EY1586" s="4"/>
      <c r="EZ1586" s="4"/>
      <c r="FA1586" s="4"/>
      <c r="FB1586" s="4"/>
      <c r="FC1586" s="4"/>
      <c r="FD1586" s="4"/>
      <c r="FE1586" s="4"/>
      <c r="FF1586" s="4"/>
      <c r="FG1586" s="4"/>
      <c r="FH1586" s="4"/>
      <c r="FI1586" s="4"/>
      <c r="FJ1586" s="4"/>
      <c r="FK1586" s="4"/>
      <c r="FL1586" s="4"/>
      <c r="FM1586" s="4"/>
      <c r="FN1586" s="4"/>
      <c r="FO1586" s="4"/>
      <c r="FP1586" s="4"/>
      <c r="FQ1586" s="4"/>
      <c r="FR1586" s="4"/>
      <c r="FS1586" s="4"/>
      <c r="FT1586" s="4"/>
      <c r="FU1586" s="4"/>
      <c r="FV1586" s="4"/>
      <c r="FW1586" s="4"/>
      <c r="FX1586" s="4"/>
      <c r="FY1586" s="4"/>
      <c r="FZ1586" s="4"/>
      <c r="GA1586" s="4"/>
      <c r="GB1586" s="4"/>
      <c r="GC1586" s="4"/>
      <c r="GD1586" s="4"/>
      <c r="GE1586" s="4"/>
      <c r="GF1586" s="4"/>
      <c r="GG1586" s="4"/>
      <c r="GH1586" s="4"/>
      <c r="GI1586" s="4"/>
      <c r="GJ1586" s="4"/>
      <c r="GK1586" s="4"/>
      <c r="GL1586" s="4"/>
      <c r="GM1586" s="4"/>
      <c r="GN1586" s="4"/>
      <c r="GO1586" s="4"/>
      <c r="GP1586" s="4"/>
      <c r="GQ1586" s="4"/>
      <c r="GR1586" s="4"/>
      <c r="GS1586" s="4"/>
      <c r="GT1586" s="4"/>
      <c r="GU1586" s="4"/>
      <c r="GV1586" s="4"/>
      <c r="GW1586" s="4"/>
      <c r="GX1586" s="4"/>
      <c r="GY1586" s="4"/>
      <c r="GZ1586" s="4"/>
      <c r="HA1586" s="4"/>
      <c r="HB1586" s="4"/>
      <c r="HC1586" s="4"/>
      <c r="HD1586" s="4"/>
      <c r="HE1586" s="4"/>
    </row>
    <row r="1587">
      <c r="A1587" s="2" t="s">
        <v>8042</v>
      </c>
      <c r="B1587" s="2" t="s">
        <v>299</v>
      </c>
      <c r="C1587" s="2" t="s">
        <v>4000</v>
      </c>
      <c r="D1587" s="2" t="s">
        <v>301</v>
      </c>
      <c r="E1587" s="2" t="s">
        <v>302</v>
      </c>
      <c r="F1587" s="2" t="s">
        <v>7951</v>
      </c>
      <c r="G1587" s="2" t="s">
        <v>7951</v>
      </c>
      <c r="H1587" s="2" t="s">
        <v>7951</v>
      </c>
      <c r="I1587" s="2" t="s">
        <v>347</v>
      </c>
      <c r="J1587" s="2" t="s">
        <v>284</v>
      </c>
      <c r="K1587" s="2" t="s">
        <v>1429</v>
      </c>
      <c r="L1587" s="3">
        <v>28.2</v>
      </c>
      <c r="M1587" s="3">
        <v>29.61</v>
      </c>
      <c r="N1587" s="3">
        <v>59.99</v>
      </c>
      <c r="O1587" s="2" t="s">
        <v>240</v>
      </c>
      <c r="P1587" s="2" t="s">
        <v>266</v>
      </c>
      <c r="Q1587" s="2" t="s">
        <v>234</v>
      </c>
      <c r="R1587" s="2" t="s">
        <v>228</v>
      </c>
      <c r="S1587" s="2" t="s">
        <v>8040</v>
      </c>
      <c r="T1587" s="2" t="s">
        <v>675</v>
      </c>
      <c r="U1587" s="2" t="s">
        <v>308</v>
      </c>
      <c r="V1587" s="2" t="s">
        <v>980</v>
      </c>
      <c r="W1587" s="2" t="s">
        <v>269</v>
      </c>
      <c r="X1587" s="2" t="s">
        <v>417</v>
      </c>
      <c r="Y1587" s="2" t="s">
        <v>2428</v>
      </c>
      <c r="Z1587" s="4">
        <v>204</v>
      </c>
      <c r="AA1587" s="4">
        <f>=ROUNDDOWN(29.1428571428571,0)</f>
      </c>
      <c r="AB1587" s="5">
        <v>7</v>
      </c>
      <c r="AC1587" s="2" t="s">
        <v>1352</v>
      </c>
      <c r="AD1587" s="4">
        <v>50</v>
      </c>
      <c r="AE1587" s="4">
        <v>120</v>
      </c>
      <c r="AF1587" s="6">
        <v>65</v>
      </c>
      <c r="AG1587" s="6"/>
      <c r="AH1587" s="7">
        <v>1</v>
      </c>
      <c r="AI1587" s="4"/>
      <c r="AJ1587" s="4">
        <f>=ROUNDDOWN({0},0)</f>
      </c>
      <c r="AK1587" s="5"/>
      <c r="AL1587" s="2" t="s">
        <v>228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 t="s">
        <v>228</v>
      </c>
      <c r="AW1587" s="8" t="s">
        <v>228</v>
      </c>
      <c r="AX1587" s="4" t="s">
        <v>228</v>
      </c>
      <c r="AY1587" s="8" t="s">
        <v>228</v>
      </c>
      <c r="AZ1587" s="7" t="s">
        <v>228</v>
      </c>
      <c r="BA1587" s="7" t="s">
        <v>228</v>
      </c>
      <c r="BB1587" s="7"/>
      <c r="BC1587" s="4" t="s">
        <v>228</v>
      </c>
      <c r="BD1587" s="8" t="s">
        <v>228</v>
      </c>
      <c r="BE1587" s="4" t="s">
        <v>228</v>
      </c>
      <c r="BF1587" s="8" t="s">
        <v>228</v>
      </c>
      <c r="BG1587" s="7" t="s">
        <v>228</v>
      </c>
      <c r="BH1587" s="7" t="s">
        <v>228</v>
      </c>
      <c r="BI1587" s="7"/>
      <c r="BJ1587" s="4">
        <v>7</v>
      </c>
      <c r="BK1587" s="8">
        <v>211.87</v>
      </c>
      <c r="BL1587" s="2" t="s">
        <v>2804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8043</v>
      </c>
      <c r="BV1587" s="2" t="s">
        <v>228</v>
      </c>
      <c r="BW1587" s="2" t="s">
        <v>228</v>
      </c>
      <c r="BX1587" s="2" t="s">
        <v>273</v>
      </c>
      <c r="BY1587" s="2" t="s">
        <v>274</v>
      </c>
      <c r="BZ1587" s="2" t="s">
        <v>240</v>
      </c>
      <c r="CA1587" s="2" t="s">
        <v>1978</v>
      </c>
      <c r="CB1587" s="2" t="s">
        <v>7545</v>
      </c>
      <c r="CC1587" s="2" t="s">
        <v>241</v>
      </c>
      <c r="CD1587" s="2" t="s">
        <v>228</v>
      </c>
      <c r="CE1587" s="4">
        <v>204</v>
      </c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>
        <v>50</v>
      </c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>
        <v>70</v>
      </c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/>
      <c r="FS1587" s="4"/>
      <c r="FT1587" s="4"/>
      <c r="FU1587" s="4"/>
      <c r="FV1587" s="4"/>
      <c r="FW1587" s="4"/>
      <c r="FX1587" s="4"/>
      <c r="FY1587" s="4"/>
      <c r="FZ1587" s="4"/>
      <c r="GA1587" s="4"/>
      <c r="GB1587" s="4"/>
      <c r="GC1587" s="4"/>
      <c r="GD1587" s="4"/>
      <c r="GE1587" s="4"/>
      <c r="GF1587" s="4"/>
      <c r="GG1587" s="4"/>
      <c r="GH1587" s="4"/>
      <c r="GI1587" s="4"/>
      <c r="GJ1587" s="4"/>
      <c r="GK1587" s="4"/>
      <c r="GL1587" s="4"/>
      <c r="GM1587" s="4"/>
      <c r="GN1587" s="4"/>
      <c r="GO1587" s="4"/>
      <c r="GP1587" s="4"/>
      <c r="GQ1587" s="4"/>
      <c r="GR1587" s="4"/>
      <c r="GS1587" s="4"/>
      <c r="GT1587" s="4"/>
      <c r="GU1587" s="4"/>
      <c r="GV1587" s="4"/>
      <c r="GW1587" s="4"/>
      <c r="GX1587" s="4"/>
      <c r="GY1587" s="4"/>
      <c r="GZ1587" s="4"/>
      <c r="HA1587" s="4"/>
      <c r="HB1587" s="4"/>
      <c r="HC1587" s="4"/>
      <c r="HD1587" s="4"/>
      <c r="HE1587" s="4"/>
    </row>
    <row r="1588">
      <c r="A1588" s="2" t="s">
        <v>8044</v>
      </c>
      <c r="B1588" s="2" t="s">
        <v>299</v>
      </c>
      <c r="C1588" s="2" t="s">
        <v>4000</v>
      </c>
      <c r="D1588" s="2" t="s">
        <v>301</v>
      </c>
      <c r="E1588" s="2" t="s">
        <v>302</v>
      </c>
      <c r="F1588" s="2" t="s">
        <v>7951</v>
      </c>
      <c r="G1588" s="2" t="s">
        <v>7951</v>
      </c>
      <c r="H1588" s="2" t="s">
        <v>7951</v>
      </c>
      <c r="I1588" s="2" t="s">
        <v>347</v>
      </c>
      <c r="J1588" s="2" t="s">
        <v>289</v>
      </c>
      <c r="K1588" s="2" t="s">
        <v>1429</v>
      </c>
      <c r="L1588" s="3">
        <v>31.85</v>
      </c>
      <c r="M1588" s="3">
        <v>33.44</v>
      </c>
      <c r="N1588" s="3">
        <v>64.99</v>
      </c>
      <c r="O1588" s="2" t="s">
        <v>240</v>
      </c>
      <c r="P1588" s="2" t="s">
        <v>266</v>
      </c>
      <c r="Q1588" s="2" t="s">
        <v>234</v>
      </c>
      <c r="R1588" s="2" t="s">
        <v>228</v>
      </c>
      <c r="S1588" s="2" t="s">
        <v>8040</v>
      </c>
      <c r="T1588" s="2" t="s">
        <v>675</v>
      </c>
      <c r="U1588" s="2" t="s">
        <v>308</v>
      </c>
      <c r="V1588" s="2" t="s">
        <v>980</v>
      </c>
      <c r="W1588" s="2" t="s">
        <v>269</v>
      </c>
      <c r="X1588" s="2" t="s">
        <v>417</v>
      </c>
      <c r="Y1588" s="2" t="s">
        <v>2428</v>
      </c>
      <c r="Z1588" s="4">
        <v>404</v>
      </c>
      <c r="AA1588" s="4">
        <f>=ROUNDDOWN(22.4444444444444,0)</f>
      </c>
      <c r="AB1588" s="5">
        <v>18</v>
      </c>
      <c r="AC1588" s="2" t="s">
        <v>1352</v>
      </c>
      <c r="AD1588" s="4">
        <v>150</v>
      </c>
      <c r="AE1588" s="4">
        <v>320</v>
      </c>
      <c r="AF1588" s="6">
        <v>65</v>
      </c>
      <c r="AG1588" s="6"/>
      <c r="AH1588" s="7">
        <v>1</v>
      </c>
      <c r="AI1588" s="4"/>
      <c r="AJ1588" s="4">
        <f>=ROUNDDOWN({0},0)</f>
      </c>
      <c r="AK1588" s="5"/>
      <c r="AL1588" s="2" t="s">
        <v>228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 t="s">
        <v>228</v>
      </c>
      <c r="AW1588" s="8" t="s">
        <v>228</v>
      </c>
      <c r="AX1588" s="4" t="s">
        <v>228</v>
      </c>
      <c r="AY1588" s="8" t="s">
        <v>228</v>
      </c>
      <c r="AZ1588" s="7" t="s">
        <v>228</v>
      </c>
      <c r="BA1588" s="7" t="s">
        <v>228</v>
      </c>
      <c r="BB1588" s="7"/>
      <c r="BC1588" s="4" t="s">
        <v>228</v>
      </c>
      <c r="BD1588" s="8" t="s">
        <v>228</v>
      </c>
      <c r="BE1588" s="4" t="s">
        <v>228</v>
      </c>
      <c r="BF1588" s="8" t="s">
        <v>228</v>
      </c>
      <c r="BG1588" s="7" t="s">
        <v>228</v>
      </c>
      <c r="BH1588" s="7" t="s">
        <v>228</v>
      </c>
      <c r="BI1588" s="7"/>
      <c r="BJ1588" s="4">
        <v>16</v>
      </c>
      <c r="BK1588" s="8">
        <v>542.83</v>
      </c>
      <c r="BL1588" s="2" t="s">
        <v>5070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8045</v>
      </c>
      <c r="BV1588" s="2" t="s">
        <v>228</v>
      </c>
      <c r="BW1588" s="2" t="s">
        <v>228</v>
      </c>
      <c r="BX1588" s="2" t="s">
        <v>273</v>
      </c>
      <c r="BY1588" s="2" t="s">
        <v>274</v>
      </c>
      <c r="BZ1588" s="2" t="s">
        <v>240</v>
      </c>
      <c r="CA1588" s="2" t="s">
        <v>1978</v>
      </c>
      <c r="CB1588" s="2" t="s">
        <v>400</v>
      </c>
      <c r="CC1588" s="2" t="s">
        <v>241</v>
      </c>
      <c r="CD1588" s="2" t="s">
        <v>228</v>
      </c>
      <c r="CE1588" s="4">
        <v>404</v>
      </c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>
        <v>150</v>
      </c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>
        <v>170</v>
      </c>
      <c r="EY1588" s="4"/>
      <c r="EZ1588" s="4"/>
      <c r="FA1588" s="4"/>
      <c r="FB1588" s="4"/>
      <c r="FC1588" s="4"/>
      <c r="FD1588" s="4"/>
      <c r="FE1588" s="4"/>
      <c r="FF1588" s="4"/>
      <c r="FG1588" s="4"/>
      <c r="FH1588" s="4"/>
      <c r="FI1588" s="4"/>
      <c r="FJ1588" s="4"/>
      <c r="FK1588" s="4"/>
      <c r="FL1588" s="4"/>
      <c r="FM1588" s="4"/>
      <c r="FN1588" s="4"/>
      <c r="FO1588" s="4"/>
      <c r="FP1588" s="4"/>
      <c r="FQ1588" s="4"/>
      <c r="FR1588" s="4"/>
      <c r="FS1588" s="4"/>
      <c r="FT1588" s="4"/>
      <c r="FU1588" s="4"/>
      <c r="FV1588" s="4"/>
      <c r="FW1588" s="4"/>
      <c r="FX1588" s="4"/>
      <c r="FY1588" s="4"/>
      <c r="FZ1588" s="4"/>
      <c r="GA1588" s="4"/>
      <c r="GB1588" s="4"/>
      <c r="GC1588" s="4"/>
      <c r="GD1588" s="4"/>
      <c r="GE1588" s="4"/>
      <c r="GF1588" s="4"/>
      <c r="GG1588" s="4"/>
      <c r="GH1588" s="4"/>
      <c r="GI1588" s="4"/>
      <c r="GJ1588" s="4"/>
      <c r="GK1588" s="4"/>
      <c r="GL1588" s="4"/>
      <c r="GM1588" s="4"/>
      <c r="GN1588" s="4"/>
      <c r="GO1588" s="4"/>
      <c r="GP1588" s="4"/>
      <c r="GQ1588" s="4"/>
      <c r="GR1588" s="4"/>
      <c r="GS1588" s="4"/>
      <c r="GT1588" s="4"/>
      <c r="GU1588" s="4"/>
      <c r="GV1588" s="4"/>
      <c r="GW1588" s="4"/>
      <c r="GX1588" s="4"/>
      <c r="GY1588" s="4"/>
      <c r="GZ1588" s="4"/>
      <c r="HA1588" s="4"/>
      <c r="HB1588" s="4"/>
      <c r="HC1588" s="4"/>
      <c r="HD1588" s="4"/>
      <c r="HE1588" s="4"/>
    </row>
    <row r="1589">
      <c r="A1589" s="2" t="s">
        <v>8046</v>
      </c>
      <c r="B1589" s="2" t="s">
        <v>299</v>
      </c>
      <c r="C1589" s="2" t="s">
        <v>4000</v>
      </c>
      <c r="D1589" s="2" t="s">
        <v>301</v>
      </c>
      <c r="E1589" s="2" t="s">
        <v>302</v>
      </c>
      <c r="F1589" s="2" t="s">
        <v>7951</v>
      </c>
      <c r="G1589" s="2" t="s">
        <v>7951</v>
      </c>
      <c r="H1589" s="2" t="s">
        <v>7951</v>
      </c>
      <c r="I1589" s="2" t="s">
        <v>347</v>
      </c>
      <c r="J1589" s="2" t="s">
        <v>294</v>
      </c>
      <c r="K1589" s="2" t="s">
        <v>1429</v>
      </c>
      <c r="L1589" s="3">
        <v>34.5</v>
      </c>
      <c r="M1589" s="3">
        <v>36.23</v>
      </c>
      <c r="N1589" s="3">
        <v>74.99</v>
      </c>
      <c r="O1589" s="2" t="s">
        <v>240</v>
      </c>
      <c r="P1589" s="2" t="s">
        <v>266</v>
      </c>
      <c r="Q1589" s="2" t="s">
        <v>234</v>
      </c>
      <c r="R1589" s="2" t="s">
        <v>228</v>
      </c>
      <c r="S1589" s="2" t="s">
        <v>8040</v>
      </c>
      <c r="T1589" s="2" t="s">
        <v>675</v>
      </c>
      <c r="U1589" s="2" t="s">
        <v>308</v>
      </c>
      <c r="V1589" s="2" t="s">
        <v>980</v>
      </c>
      <c r="W1589" s="2" t="s">
        <v>269</v>
      </c>
      <c r="X1589" s="2" t="s">
        <v>417</v>
      </c>
      <c r="Y1589" s="2" t="s">
        <v>2428</v>
      </c>
      <c r="Z1589" s="4">
        <v>261</v>
      </c>
      <c r="AA1589" s="4">
        <f>=ROUNDDOWN(26.1,0)</f>
      </c>
      <c r="AB1589" s="5">
        <v>10</v>
      </c>
      <c r="AC1589" s="2" t="s">
        <v>1352</v>
      </c>
      <c r="AD1589" s="4">
        <v>60</v>
      </c>
      <c r="AE1589" s="4">
        <v>150</v>
      </c>
      <c r="AF1589" s="6">
        <v>65</v>
      </c>
      <c r="AG1589" s="6"/>
      <c r="AH1589" s="7">
        <v>1</v>
      </c>
      <c r="AI1589" s="4"/>
      <c r="AJ1589" s="4">
        <f>=ROUNDDOWN({0},0)</f>
      </c>
      <c r="AK1589" s="5"/>
      <c r="AL1589" s="2" t="s">
        <v>228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 t="s">
        <v>228</v>
      </c>
      <c r="AW1589" s="8" t="s">
        <v>228</v>
      </c>
      <c r="AX1589" s="4" t="s">
        <v>228</v>
      </c>
      <c r="AY1589" s="8" t="s">
        <v>228</v>
      </c>
      <c r="AZ1589" s="7" t="s">
        <v>228</v>
      </c>
      <c r="BA1589" s="7" t="s">
        <v>228</v>
      </c>
      <c r="BB1589" s="7"/>
      <c r="BC1589" s="4" t="s">
        <v>228</v>
      </c>
      <c r="BD1589" s="8" t="s">
        <v>228</v>
      </c>
      <c r="BE1589" s="4" t="s">
        <v>228</v>
      </c>
      <c r="BF1589" s="8" t="s">
        <v>228</v>
      </c>
      <c r="BG1589" s="7" t="s">
        <v>228</v>
      </c>
      <c r="BH1589" s="7" t="s">
        <v>228</v>
      </c>
      <c r="BI1589" s="7"/>
      <c r="BJ1589" s="4">
        <v>2</v>
      </c>
      <c r="BK1589" s="8">
        <v>79.36</v>
      </c>
      <c r="BL1589" s="2" t="s">
        <v>727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8047</v>
      </c>
      <c r="BV1589" s="2" t="s">
        <v>228</v>
      </c>
      <c r="BW1589" s="2" t="s">
        <v>228</v>
      </c>
      <c r="BX1589" s="2" t="s">
        <v>273</v>
      </c>
      <c r="BY1589" s="2" t="s">
        <v>274</v>
      </c>
      <c r="BZ1589" s="2" t="s">
        <v>240</v>
      </c>
      <c r="CA1589" s="2" t="s">
        <v>1978</v>
      </c>
      <c r="CB1589" s="2" t="s">
        <v>2980</v>
      </c>
      <c r="CC1589" s="2" t="s">
        <v>241</v>
      </c>
      <c r="CD1589" s="2" t="s">
        <v>228</v>
      </c>
      <c r="CE1589" s="4">
        <v>261</v>
      </c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>
        <v>60</v>
      </c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>
        <v>90</v>
      </c>
      <c r="EY1589" s="4"/>
      <c r="EZ1589" s="4"/>
      <c r="FA1589" s="4"/>
      <c r="FB1589" s="4"/>
      <c r="FC1589" s="4"/>
      <c r="FD1589" s="4"/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/>
      <c r="FR1589" s="4"/>
      <c r="FS1589" s="4"/>
      <c r="FT1589" s="4"/>
      <c r="FU1589" s="4"/>
      <c r="FV1589" s="4"/>
      <c r="FW1589" s="4"/>
      <c r="FX1589" s="4"/>
      <c r="FY1589" s="4"/>
      <c r="FZ1589" s="4"/>
      <c r="GA1589" s="4"/>
      <c r="GB1589" s="4"/>
      <c r="GC1589" s="4"/>
      <c r="GD1589" s="4"/>
      <c r="GE1589" s="4"/>
      <c r="GF1589" s="4"/>
      <c r="GG1589" s="4"/>
      <c r="GH1589" s="4"/>
      <c r="GI1589" s="4"/>
      <c r="GJ1589" s="4"/>
      <c r="GK1589" s="4"/>
      <c r="GL1589" s="4"/>
      <c r="GM1589" s="4"/>
      <c r="GN1589" s="4"/>
      <c r="GO1589" s="4"/>
      <c r="GP1589" s="4"/>
      <c r="GQ1589" s="4"/>
      <c r="GR1589" s="4"/>
      <c r="GS1589" s="4"/>
      <c r="GT1589" s="4"/>
      <c r="GU1589" s="4"/>
      <c r="GV1589" s="4"/>
      <c r="GW1589" s="4"/>
      <c r="GX1589" s="4"/>
      <c r="GY1589" s="4"/>
      <c r="GZ1589" s="4"/>
      <c r="HA1589" s="4"/>
      <c r="HB1589" s="4"/>
      <c r="HC1589" s="4"/>
      <c r="HD1589" s="4"/>
      <c r="HE1589" s="4"/>
    </row>
    <row r="1590">
      <c r="A1590" s="2" t="s">
        <v>8048</v>
      </c>
      <c r="B1590" s="2" t="s">
        <v>299</v>
      </c>
      <c r="C1590" s="2" t="s">
        <v>4000</v>
      </c>
      <c r="D1590" s="2" t="s">
        <v>301</v>
      </c>
      <c r="E1590" s="2" t="s">
        <v>302</v>
      </c>
      <c r="F1590" s="2" t="s">
        <v>7951</v>
      </c>
      <c r="G1590" s="2" t="s">
        <v>7951</v>
      </c>
      <c r="H1590" s="2" t="s">
        <v>7951</v>
      </c>
      <c r="I1590" s="2" t="s">
        <v>347</v>
      </c>
      <c r="J1590" s="2" t="s">
        <v>284</v>
      </c>
      <c r="K1590" s="2" t="s">
        <v>3917</v>
      </c>
      <c r="L1590" s="3">
        <v>28.2</v>
      </c>
      <c r="M1590" s="3">
        <v>29.61</v>
      </c>
      <c r="N1590" s="3">
        <v>59.99</v>
      </c>
      <c r="O1590" s="2" t="s">
        <v>240</v>
      </c>
      <c r="P1590" s="2" t="s">
        <v>266</v>
      </c>
      <c r="Q1590" s="2" t="s">
        <v>234</v>
      </c>
      <c r="R1590" s="2" t="s">
        <v>228</v>
      </c>
      <c r="S1590" s="2" t="s">
        <v>8049</v>
      </c>
      <c r="T1590" s="2" t="s">
        <v>675</v>
      </c>
      <c r="U1590" s="2" t="s">
        <v>308</v>
      </c>
      <c r="V1590" s="2" t="s">
        <v>1438</v>
      </c>
      <c r="W1590" s="2" t="s">
        <v>269</v>
      </c>
      <c r="X1590" s="2" t="s">
        <v>417</v>
      </c>
      <c r="Y1590" s="2" t="s">
        <v>270</v>
      </c>
      <c r="Z1590" s="4">
        <v>196</v>
      </c>
      <c r="AA1590" s="4">
        <f>=ROUNDDOWN(21.7777777777778,0)</f>
      </c>
      <c r="AB1590" s="5">
        <v>9</v>
      </c>
      <c r="AC1590" s="2" t="s">
        <v>1352</v>
      </c>
      <c r="AD1590" s="4">
        <v>60</v>
      </c>
      <c r="AE1590" s="4">
        <v>130</v>
      </c>
      <c r="AF1590" s="6">
        <v>65</v>
      </c>
      <c r="AG1590" s="6"/>
      <c r="AH1590" s="7">
        <v>1</v>
      </c>
      <c r="AI1590" s="4"/>
      <c r="AJ1590" s="4">
        <f>=ROUNDDOWN({0},0)</f>
      </c>
      <c r="AK1590" s="5"/>
      <c r="AL1590" s="2" t="s">
        <v>228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 t="s">
        <v>228</v>
      </c>
      <c r="AW1590" s="8" t="s">
        <v>228</v>
      </c>
      <c r="AX1590" s="4" t="s">
        <v>228</v>
      </c>
      <c r="AY1590" s="8" t="s">
        <v>228</v>
      </c>
      <c r="AZ1590" s="7" t="s">
        <v>228</v>
      </c>
      <c r="BA1590" s="7" t="s">
        <v>228</v>
      </c>
      <c r="BB1590" s="7"/>
      <c r="BC1590" s="4" t="s">
        <v>228</v>
      </c>
      <c r="BD1590" s="8" t="s">
        <v>228</v>
      </c>
      <c r="BE1590" s="4" t="s">
        <v>228</v>
      </c>
      <c r="BF1590" s="8" t="s">
        <v>228</v>
      </c>
      <c r="BG1590" s="7" t="s">
        <v>228</v>
      </c>
      <c r="BH1590" s="7" t="s">
        <v>228</v>
      </c>
      <c r="BI1590" s="7"/>
      <c r="BJ1590" s="4">
        <v>21</v>
      </c>
      <c r="BK1590" s="8">
        <v>641.55</v>
      </c>
      <c r="BL1590" s="2" t="s">
        <v>3909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8050</v>
      </c>
      <c r="BV1590" s="2" t="s">
        <v>228</v>
      </c>
      <c r="BW1590" s="2" t="s">
        <v>228</v>
      </c>
      <c r="BX1590" s="2" t="s">
        <v>273</v>
      </c>
      <c r="BY1590" s="2" t="s">
        <v>274</v>
      </c>
      <c r="BZ1590" s="2" t="s">
        <v>240</v>
      </c>
      <c r="CA1590" s="2" t="s">
        <v>1951</v>
      </c>
      <c r="CB1590" s="2" t="s">
        <v>8051</v>
      </c>
      <c r="CC1590" s="2" t="s">
        <v>241</v>
      </c>
      <c r="CD1590" s="2" t="s">
        <v>228</v>
      </c>
      <c r="CE1590" s="4">
        <v>196</v>
      </c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>
        <v>60</v>
      </c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>
        <v>70</v>
      </c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  <c r="FX1590" s="4"/>
      <c r="FY1590" s="4"/>
      <c r="FZ1590" s="4"/>
      <c r="GA1590" s="4"/>
      <c r="GB1590" s="4"/>
      <c r="GC1590" s="4"/>
      <c r="GD1590" s="4"/>
      <c r="GE1590" s="4"/>
      <c r="GF1590" s="4"/>
      <c r="GG1590" s="4"/>
      <c r="GH1590" s="4"/>
      <c r="GI1590" s="4"/>
      <c r="GJ1590" s="4"/>
      <c r="GK1590" s="4"/>
      <c r="GL1590" s="4"/>
      <c r="GM1590" s="4"/>
      <c r="GN1590" s="4"/>
      <c r="GO1590" s="4"/>
      <c r="GP1590" s="4"/>
      <c r="GQ1590" s="4"/>
      <c r="GR1590" s="4"/>
      <c r="GS1590" s="4"/>
      <c r="GT1590" s="4"/>
      <c r="GU1590" s="4"/>
      <c r="GV1590" s="4"/>
      <c r="GW1590" s="4"/>
      <c r="GX1590" s="4"/>
      <c r="GY1590" s="4"/>
      <c r="GZ1590" s="4"/>
      <c r="HA1590" s="4"/>
      <c r="HB1590" s="4"/>
      <c r="HC1590" s="4"/>
      <c r="HD1590" s="4"/>
      <c r="HE1590" s="4"/>
    </row>
    <row r="1591">
      <c r="A1591" s="2" t="s">
        <v>8052</v>
      </c>
      <c r="B1591" s="2" t="s">
        <v>299</v>
      </c>
      <c r="C1591" s="2" t="s">
        <v>4000</v>
      </c>
      <c r="D1591" s="2" t="s">
        <v>301</v>
      </c>
      <c r="E1591" s="2" t="s">
        <v>302</v>
      </c>
      <c r="F1591" s="2" t="s">
        <v>7951</v>
      </c>
      <c r="G1591" s="2" t="s">
        <v>7951</v>
      </c>
      <c r="H1591" s="2" t="s">
        <v>7951</v>
      </c>
      <c r="I1591" s="2" t="s">
        <v>347</v>
      </c>
      <c r="J1591" s="2" t="s">
        <v>289</v>
      </c>
      <c r="K1591" s="2" t="s">
        <v>3917</v>
      </c>
      <c r="L1591" s="3">
        <v>31.85</v>
      </c>
      <c r="M1591" s="3">
        <v>33.44</v>
      </c>
      <c r="N1591" s="3">
        <v>64.99</v>
      </c>
      <c r="O1591" s="2" t="s">
        <v>240</v>
      </c>
      <c r="P1591" s="2" t="s">
        <v>889</v>
      </c>
      <c r="Q1591" s="2" t="s">
        <v>234</v>
      </c>
      <c r="R1591" s="2" t="s">
        <v>228</v>
      </c>
      <c r="S1591" s="2" t="s">
        <v>8049</v>
      </c>
      <c r="T1591" s="2" t="s">
        <v>675</v>
      </c>
      <c r="U1591" s="2" t="s">
        <v>308</v>
      </c>
      <c r="V1591" s="2" t="s">
        <v>1438</v>
      </c>
      <c r="W1591" s="2" t="s">
        <v>269</v>
      </c>
      <c r="X1591" s="2" t="s">
        <v>417</v>
      </c>
      <c r="Y1591" s="2" t="s">
        <v>270</v>
      </c>
      <c r="Z1591" s="4">
        <v>682</v>
      </c>
      <c r="AA1591" s="4">
        <f>=ROUNDDOWN(21.3125,0)</f>
      </c>
      <c r="AB1591" s="5">
        <v>32</v>
      </c>
      <c r="AC1591" s="2" t="s">
        <v>1352</v>
      </c>
      <c r="AD1591" s="4">
        <v>230</v>
      </c>
      <c r="AE1591" s="4">
        <v>490</v>
      </c>
      <c r="AF1591" s="6">
        <v>65</v>
      </c>
      <c r="AG1591" s="6"/>
      <c r="AH1591" s="7">
        <v>1</v>
      </c>
      <c r="AI1591" s="4"/>
      <c r="AJ1591" s="4">
        <f>=ROUNDDOWN({0},0)</f>
      </c>
      <c r="AK1591" s="5"/>
      <c r="AL1591" s="2" t="s">
        <v>228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228</v>
      </c>
      <c r="AW1591" s="8" t="s">
        <v>228</v>
      </c>
      <c r="AX1591" s="4" t="s">
        <v>228</v>
      </c>
      <c r="AY1591" s="8" t="s">
        <v>228</v>
      </c>
      <c r="AZ1591" s="7" t="s">
        <v>228</v>
      </c>
      <c r="BA1591" s="7" t="s">
        <v>228</v>
      </c>
      <c r="BB1591" s="7"/>
      <c r="BC1591" s="4" t="s">
        <v>228</v>
      </c>
      <c r="BD1591" s="8" t="s">
        <v>228</v>
      </c>
      <c r="BE1591" s="4" t="s">
        <v>228</v>
      </c>
      <c r="BF1591" s="8" t="s">
        <v>228</v>
      </c>
      <c r="BG1591" s="7" t="s">
        <v>228</v>
      </c>
      <c r="BH1591" s="7" t="s">
        <v>228</v>
      </c>
      <c r="BI1591" s="7"/>
      <c r="BJ1591" s="4">
        <v>54</v>
      </c>
      <c r="BK1591" s="8">
        <v>1749.72</v>
      </c>
      <c r="BL1591" s="2" t="s">
        <v>7979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8053</v>
      </c>
      <c r="BV1591" s="2" t="s">
        <v>228</v>
      </c>
      <c r="BW1591" s="2" t="s">
        <v>228</v>
      </c>
      <c r="BX1591" s="2" t="s">
        <v>273</v>
      </c>
      <c r="BY1591" s="2" t="s">
        <v>274</v>
      </c>
      <c r="BZ1591" s="2" t="s">
        <v>240</v>
      </c>
      <c r="CA1591" s="2" t="s">
        <v>1951</v>
      </c>
      <c r="CB1591" s="2" t="s">
        <v>1236</v>
      </c>
      <c r="CC1591" s="2" t="s">
        <v>241</v>
      </c>
      <c r="CD1591" s="2" t="s">
        <v>228</v>
      </c>
      <c r="CE1591" s="4">
        <v>682</v>
      </c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>
        <v>230</v>
      </c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>
        <v>260</v>
      </c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  <c r="FX1591" s="4"/>
      <c r="FY1591" s="4"/>
      <c r="FZ1591" s="4"/>
      <c r="GA1591" s="4"/>
      <c r="GB1591" s="4"/>
      <c r="GC1591" s="4"/>
      <c r="GD1591" s="4"/>
      <c r="GE1591" s="4"/>
      <c r="GF1591" s="4"/>
      <c r="GG1591" s="4"/>
      <c r="GH1591" s="4"/>
      <c r="GI1591" s="4"/>
      <c r="GJ1591" s="4"/>
      <c r="GK1591" s="4"/>
      <c r="GL1591" s="4"/>
      <c r="GM1591" s="4"/>
      <c r="GN1591" s="4"/>
      <c r="GO1591" s="4"/>
      <c r="GP1591" s="4"/>
      <c r="GQ1591" s="4"/>
      <c r="GR1591" s="4"/>
      <c r="GS1591" s="4"/>
      <c r="GT1591" s="4"/>
      <c r="GU1591" s="4"/>
      <c r="GV1591" s="4"/>
      <c r="GW1591" s="4"/>
      <c r="GX1591" s="4"/>
      <c r="GY1591" s="4"/>
      <c r="GZ1591" s="4"/>
      <c r="HA1591" s="4"/>
      <c r="HB1591" s="4"/>
      <c r="HC1591" s="4"/>
      <c r="HD1591" s="4"/>
      <c r="HE1591" s="4"/>
    </row>
    <row r="1592">
      <c r="A1592" s="2" t="s">
        <v>8054</v>
      </c>
      <c r="B1592" s="2" t="s">
        <v>299</v>
      </c>
      <c r="C1592" s="2" t="s">
        <v>4000</v>
      </c>
      <c r="D1592" s="2" t="s">
        <v>301</v>
      </c>
      <c r="E1592" s="2" t="s">
        <v>302</v>
      </c>
      <c r="F1592" s="2" t="s">
        <v>7951</v>
      </c>
      <c r="G1592" s="2" t="s">
        <v>7951</v>
      </c>
      <c r="H1592" s="2" t="s">
        <v>7951</v>
      </c>
      <c r="I1592" s="2" t="s">
        <v>347</v>
      </c>
      <c r="J1592" s="2" t="s">
        <v>294</v>
      </c>
      <c r="K1592" s="2" t="s">
        <v>3917</v>
      </c>
      <c r="L1592" s="3">
        <v>34.5</v>
      </c>
      <c r="M1592" s="3">
        <v>36.22</v>
      </c>
      <c r="N1592" s="3">
        <v>74.99</v>
      </c>
      <c r="O1592" s="2" t="s">
        <v>240</v>
      </c>
      <c r="P1592" s="2" t="s">
        <v>715</v>
      </c>
      <c r="Q1592" s="2" t="s">
        <v>234</v>
      </c>
      <c r="R1592" s="2" t="s">
        <v>228</v>
      </c>
      <c r="S1592" s="2" t="s">
        <v>8049</v>
      </c>
      <c r="T1592" s="2" t="s">
        <v>675</v>
      </c>
      <c r="U1592" s="2" t="s">
        <v>308</v>
      </c>
      <c r="V1592" s="2" t="s">
        <v>1438</v>
      </c>
      <c r="W1592" s="2" t="s">
        <v>269</v>
      </c>
      <c r="X1592" s="2" t="s">
        <v>417</v>
      </c>
      <c r="Y1592" s="2" t="s">
        <v>270</v>
      </c>
      <c r="Z1592" s="4">
        <v>461</v>
      </c>
      <c r="AA1592" s="4">
        <f>=ROUNDDOWN(19.2083333333333,0)</f>
      </c>
      <c r="AB1592" s="5">
        <v>24</v>
      </c>
      <c r="AC1592" s="2" t="s">
        <v>3792</v>
      </c>
      <c r="AD1592" s="4">
        <v>130</v>
      </c>
      <c r="AE1592" s="4">
        <v>310</v>
      </c>
      <c r="AF1592" s="6">
        <v>65</v>
      </c>
      <c r="AG1592" s="6"/>
      <c r="AH1592" s="7">
        <v>1</v>
      </c>
      <c r="AI1592" s="4"/>
      <c r="AJ1592" s="4">
        <f>=ROUNDDOWN({0},0)</f>
      </c>
      <c r="AK1592" s="5"/>
      <c r="AL1592" s="2" t="s">
        <v>228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228</v>
      </c>
      <c r="AW1592" s="8" t="s">
        <v>228</v>
      </c>
      <c r="AX1592" s="4" t="s">
        <v>228</v>
      </c>
      <c r="AY1592" s="8" t="s">
        <v>228</v>
      </c>
      <c r="AZ1592" s="7" t="s">
        <v>228</v>
      </c>
      <c r="BA1592" s="7" t="s">
        <v>228</v>
      </c>
      <c r="BB1592" s="7"/>
      <c r="BC1592" s="4" t="s">
        <v>228</v>
      </c>
      <c r="BD1592" s="8" t="s">
        <v>228</v>
      </c>
      <c r="BE1592" s="4" t="s">
        <v>228</v>
      </c>
      <c r="BF1592" s="8" t="s">
        <v>228</v>
      </c>
      <c r="BG1592" s="7" t="s">
        <v>228</v>
      </c>
      <c r="BH1592" s="7" t="s">
        <v>228</v>
      </c>
      <c r="BI1592" s="7"/>
      <c r="BJ1592" s="4">
        <v>40</v>
      </c>
      <c r="BK1592" s="8">
        <v>1492.92</v>
      </c>
      <c r="BL1592" s="2" t="s">
        <v>3886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8055</v>
      </c>
      <c r="BV1592" s="2" t="s">
        <v>228</v>
      </c>
      <c r="BW1592" s="2" t="s">
        <v>228</v>
      </c>
      <c r="BX1592" s="2" t="s">
        <v>273</v>
      </c>
      <c r="BY1592" s="2" t="s">
        <v>274</v>
      </c>
      <c r="BZ1592" s="2" t="s">
        <v>240</v>
      </c>
      <c r="CA1592" s="2" t="s">
        <v>1951</v>
      </c>
      <c r="CB1592" s="2" t="s">
        <v>8056</v>
      </c>
      <c r="CC1592" s="2" t="s">
        <v>241</v>
      </c>
      <c r="CD1592" s="2" t="s">
        <v>228</v>
      </c>
      <c r="CE1592" s="4">
        <v>437</v>
      </c>
      <c r="CF1592" s="4"/>
      <c r="CG1592" s="4"/>
      <c r="CH1592" s="4"/>
      <c r="CI1592" s="4"/>
      <c r="CJ1592" s="4"/>
      <c r="CK1592" s="4">
        <v>24</v>
      </c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>
        <v>130</v>
      </c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>
        <v>180</v>
      </c>
      <c r="EY1592" s="4"/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/>
      <c r="FS1592" s="4"/>
      <c r="FT1592" s="4"/>
      <c r="FU1592" s="4"/>
      <c r="FV1592" s="4"/>
      <c r="FW1592" s="4"/>
      <c r="FX1592" s="4"/>
      <c r="FY1592" s="4"/>
      <c r="FZ1592" s="4"/>
      <c r="GA1592" s="4"/>
      <c r="GB1592" s="4"/>
      <c r="GC1592" s="4"/>
      <c r="GD1592" s="4"/>
      <c r="GE1592" s="4"/>
      <c r="GF1592" s="4"/>
      <c r="GG1592" s="4"/>
      <c r="GH1592" s="4"/>
      <c r="GI1592" s="4"/>
      <c r="GJ1592" s="4"/>
      <c r="GK1592" s="4"/>
      <c r="GL1592" s="4"/>
      <c r="GM1592" s="4"/>
      <c r="GN1592" s="4"/>
      <c r="GO1592" s="4"/>
      <c r="GP1592" s="4"/>
      <c r="GQ1592" s="4"/>
      <c r="GR1592" s="4"/>
      <c r="GS1592" s="4"/>
      <c r="GT1592" s="4"/>
      <c r="GU1592" s="4"/>
      <c r="GV1592" s="4"/>
      <c r="GW1592" s="4"/>
      <c r="GX1592" s="4"/>
      <c r="GY1592" s="4"/>
      <c r="GZ1592" s="4"/>
      <c r="HA1592" s="4"/>
      <c r="HB1592" s="4"/>
      <c r="HC1592" s="4"/>
      <c r="HD1592" s="4"/>
      <c r="HE1592" s="4"/>
    </row>
    <row r="1593">
      <c r="A1593" s="2" t="s">
        <v>8057</v>
      </c>
      <c r="B1593" s="2" t="s">
        <v>299</v>
      </c>
      <c r="C1593" s="2" t="s">
        <v>4000</v>
      </c>
      <c r="D1593" s="2" t="s">
        <v>301</v>
      </c>
      <c r="E1593" s="2" t="s">
        <v>302</v>
      </c>
      <c r="F1593" s="2" t="s">
        <v>7951</v>
      </c>
      <c r="G1593" s="2" t="s">
        <v>7951</v>
      </c>
      <c r="H1593" s="2" t="s">
        <v>7951</v>
      </c>
      <c r="I1593" s="2" t="s">
        <v>347</v>
      </c>
      <c r="J1593" s="2" t="s">
        <v>264</v>
      </c>
      <c r="K1593" s="2" t="s">
        <v>8058</v>
      </c>
      <c r="L1593" s="3">
        <v>24</v>
      </c>
      <c r="M1593" s="3">
        <v>25.2</v>
      </c>
      <c r="N1593" s="3">
        <v>49.99</v>
      </c>
      <c r="O1593" s="2" t="s">
        <v>240</v>
      </c>
      <c r="P1593" s="2" t="s">
        <v>266</v>
      </c>
      <c r="Q1593" s="2" t="s">
        <v>234</v>
      </c>
      <c r="R1593" s="2" t="s">
        <v>228</v>
      </c>
      <c r="S1593" s="2" t="s">
        <v>8059</v>
      </c>
      <c r="T1593" s="2" t="s">
        <v>675</v>
      </c>
      <c r="U1593" s="2" t="s">
        <v>500</v>
      </c>
      <c r="V1593" s="2" t="s">
        <v>3717</v>
      </c>
      <c r="W1593" s="2" t="s">
        <v>269</v>
      </c>
      <c r="X1593" s="2" t="s">
        <v>417</v>
      </c>
      <c r="Y1593" s="2" t="s">
        <v>2428</v>
      </c>
      <c r="Z1593" s="4">
        <v>231</v>
      </c>
      <c r="AA1593" s="4">
        <f>=ROUNDDOWN(23.1,0)</f>
      </c>
      <c r="AB1593" s="5">
        <v>10</v>
      </c>
      <c r="AC1593" s="2" t="s">
        <v>1352</v>
      </c>
      <c r="AD1593" s="4">
        <v>50</v>
      </c>
      <c r="AE1593" s="4">
        <v>140</v>
      </c>
      <c r="AF1593" s="6">
        <v>65</v>
      </c>
      <c r="AG1593" s="6"/>
      <c r="AH1593" s="7">
        <v>1</v>
      </c>
      <c r="AI1593" s="4"/>
      <c r="AJ1593" s="4">
        <f>=ROUNDDOWN({0},0)</f>
      </c>
      <c r="AK1593" s="5"/>
      <c r="AL1593" s="2" t="s">
        <v>228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 t="s">
        <v>228</v>
      </c>
      <c r="AW1593" s="8" t="s">
        <v>228</v>
      </c>
      <c r="AX1593" s="4" t="s">
        <v>228</v>
      </c>
      <c r="AY1593" s="8" t="s">
        <v>228</v>
      </c>
      <c r="AZ1593" s="7" t="s">
        <v>228</v>
      </c>
      <c r="BA1593" s="7" t="s">
        <v>228</v>
      </c>
      <c r="BB1593" s="7"/>
      <c r="BC1593" s="4" t="s">
        <v>228</v>
      </c>
      <c r="BD1593" s="8" t="s">
        <v>228</v>
      </c>
      <c r="BE1593" s="4" t="s">
        <v>228</v>
      </c>
      <c r="BF1593" s="8" t="s">
        <v>228</v>
      </c>
      <c r="BG1593" s="7" t="s">
        <v>228</v>
      </c>
      <c r="BH1593" s="7" t="s">
        <v>228</v>
      </c>
      <c r="BI1593" s="7"/>
      <c r="BJ1593" s="4">
        <v>1</v>
      </c>
      <c r="BK1593" s="8">
        <v>23.78</v>
      </c>
      <c r="BL1593" s="2" t="s">
        <v>622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8060</v>
      </c>
      <c r="BV1593" s="2" t="s">
        <v>228</v>
      </c>
      <c r="BW1593" s="2" t="s">
        <v>228</v>
      </c>
      <c r="BX1593" s="2" t="s">
        <v>273</v>
      </c>
      <c r="BY1593" s="2" t="s">
        <v>274</v>
      </c>
      <c r="BZ1593" s="2" t="s">
        <v>240</v>
      </c>
      <c r="CA1593" s="2" t="s">
        <v>1978</v>
      </c>
      <c r="CB1593" s="2" t="s">
        <v>3296</v>
      </c>
      <c r="CC1593" s="2" t="s">
        <v>241</v>
      </c>
      <c r="CD1593" s="2" t="s">
        <v>228</v>
      </c>
      <c r="CE1593" s="4">
        <v>231</v>
      </c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>
        <v>50</v>
      </c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>
        <v>90</v>
      </c>
      <c r="EY1593" s="4"/>
      <c r="EZ1593" s="4"/>
      <c r="FA1593" s="4"/>
      <c r="FB1593" s="4"/>
      <c r="FC1593" s="4"/>
      <c r="FD1593" s="4"/>
      <c r="FE1593" s="4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/>
      <c r="FS1593" s="4"/>
      <c r="FT1593" s="4"/>
      <c r="FU1593" s="4"/>
      <c r="FV1593" s="4"/>
      <c r="FW1593" s="4"/>
      <c r="FX1593" s="4"/>
      <c r="FY1593" s="4"/>
      <c r="FZ1593" s="4"/>
      <c r="GA1593" s="4"/>
      <c r="GB1593" s="4"/>
      <c r="GC1593" s="4"/>
      <c r="GD1593" s="4"/>
      <c r="GE1593" s="4"/>
      <c r="GF1593" s="4"/>
      <c r="GG1593" s="4"/>
      <c r="GH1593" s="4"/>
      <c r="GI1593" s="4"/>
      <c r="GJ1593" s="4"/>
      <c r="GK1593" s="4"/>
      <c r="GL1593" s="4"/>
      <c r="GM1593" s="4"/>
      <c r="GN1593" s="4"/>
      <c r="GO1593" s="4"/>
      <c r="GP1593" s="4"/>
      <c r="GQ1593" s="4"/>
      <c r="GR1593" s="4"/>
      <c r="GS1593" s="4"/>
      <c r="GT1593" s="4"/>
      <c r="GU1593" s="4"/>
      <c r="GV1593" s="4"/>
      <c r="GW1593" s="4"/>
      <c r="GX1593" s="4"/>
      <c r="GY1593" s="4"/>
      <c r="GZ1593" s="4"/>
      <c r="HA1593" s="4"/>
      <c r="HB1593" s="4"/>
      <c r="HC1593" s="4"/>
      <c r="HD1593" s="4"/>
      <c r="HE1593" s="4"/>
    </row>
    <row r="1594">
      <c r="A1594" s="2" t="s">
        <v>8061</v>
      </c>
      <c r="B1594" s="2" t="s">
        <v>299</v>
      </c>
      <c r="C1594" s="2" t="s">
        <v>4000</v>
      </c>
      <c r="D1594" s="2" t="s">
        <v>301</v>
      </c>
      <c r="E1594" s="2" t="s">
        <v>302</v>
      </c>
      <c r="F1594" s="2" t="s">
        <v>7951</v>
      </c>
      <c r="G1594" s="2" t="s">
        <v>7951</v>
      </c>
      <c r="H1594" s="2" t="s">
        <v>7951</v>
      </c>
      <c r="I1594" s="2" t="s">
        <v>347</v>
      </c>
      <c r="J1594" s="2" t="s">
        <v>284</v>
      </c>
      <c r="K1594" s="2" t="s">
        <v>8058</v>
      </c>
      <c r="L1594" s="3">
        <v>28.2</v>
      </c>
      <c r="M1594" s="3">
        <v>29.61</v>
      </c>
      <c r="N1594" s="3">
        <v>59.99</v>
      </c>
      <c r="O1594" s="2" t="s">
        <v>240</v>
      </c>
      <c r="P1594" s="2" t="s">
        <v>266</v>
      </c>
      <c r="Q1594" s="2" t="s">
        <v>234</v>
      </c>
      <c r="R1594" s="2" t="s">
        <v>228</v>
      </c>
      <c r="S1594" s="2" t="s">
        <v>8059</v>
      </c>
      <c r="T1594" s="2" t="s">
        <v>675</v>
      </c>
      <c r="U1594" s="2" t="s">
        <v>308</v>
      </c>
      <c r="V1594" s="2" t="s">
        <v>3717</v>
      </c>
      <c r="W1594" s="2" t="s">
        <v>269</v>
      </c>
      <c r="X1594" s="2" t="s">
        <v>417</v>
      </c>
      <c r="Y1594" s="2" t="s">
        <v>2428</v>
      </c>
      <c r="Z1594" s="4">
        <v>257</v>
      </c>
      <c r="AA1594" s="4">
        <f>=ROUNDDOWN(28.5555555555556,0)</f>
      </c>
      <c r="AB1594" s="5">
        <v>9</v>
      </c>
      <c r="AC1594" s="2" t="s">
        <v>1352</v>
      </c>
      <c r="AD1594" s="4">
        <v>60</v>
      </c>
      <c r="AE1594" s="4">
        <v>140</v>
      </c>
      <c r="AF1594" s="6">
        <v>65</v>
      </c>
      <c r="AG1594" s="6"/>
      <c r="AH1594" s="7">
        <v>1</v>
      </c>
      <c r="AI1594" s="4"/>
      <c r="AJ1594" s="4">
        <f>=ROUNDDOWN({0},0)</f>
      </c>
      <c r="AK1594" s="5"/>
      <c r="AL1594" s="2" t="s">
        <v>228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228</v>
      </c>
      <c r="AW1594" s="8" t="s">
        <v>228</v>
      </c>
      <c r="AX1594" s="4" t="s">
        <v>228</v>
      </c>
      <c r="AY1594" s="8" t="s">
        <v>228</v>
      </c>
      <c r="AZ1594" s="7" t="s">
        <v>228</v>
      </c>
      <c r="BA1594" s="7" t="s">
        <v>228</v>
      </c>
      <c r="BB1594" s="7"/>
      <c r="BC1594" s="4" t="s">
        <v>228</v>
      </c>
      <c r="BD1594" s="8" t="s">
        <v>228</v>
      </c>
      <c r="BE1594" s="4" t="s">
        <v>228</v>
      </c>
      <c r="BF1594" s="8" t="s">
        <v>228</v>
      </c>
      <c r="BG1594" s="7" t="s">
        <v>228</v>
      </c>
      <c r="BH1594" s="7" t="s">
        <v>228</v>
      </c>
      <c r="BI1594" s="7"/>
      <c r="BJ1594" s="4">
        <v>1</v>
      </c>
      <c r="BK1594" s="8">
        <v>27.83</v>
      </c>
      <c r="BL1594" s="2" t="s">
        <v>622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8062</v>
      </c>
      <c r="BV1594" s="2" t="s">
        <v>228</v>
      </c>
      <c r="BW1594" s="2" t="s">
        <v>228</v>
      </c>
      <c r="BX1594" s="2" t="s">
        <v>273</v>
      </c>
      <c r="BY1594" s="2" t="s">
        <v>274</v>
      </c>
      <c r="BZ1594" s="2" t="s">
        <v>240</v>
      </c>
      <c r="CA1594" s="2" t="s">
        <v>1978</v>
      </c>
      <c r="CB1594" s="2" t="s">
        <v>2515</v>
      </c>
      <c r="CC1594" s="2" t="s">
        <v>241</v>
      </c>
      <c r="CD1594" s="2" t="s">
        <v>228</v>
      </c>
      <c r="CE1594" s="4">
        <v>257</v>
      </c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>
        <v>60</v>
      </c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>
        <v>80</v>
      </c>
      <c r="EY1594" s="4"/>
      <c r="EZ1594" s="4"/>
      <c r="FA1594" s="4"/>
      <c r="FB1594" s="4"/>
      <c r="FC1594" s="4"/>
      <c r="FD1594" s="4"/>
      <c r="FE1594" s="4"/>
      <c r="FF1594" s="4"/>
      <c r="FG1594" s="4"/>
      <c r="FH1594" s="4"/>
      <c r="FI1594" s="4"/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/>
      <c r="FX1594" s="4"/>
      <c r="FY1594" s="4"/>
      <c r="FZ1594" s="4"/>
      <c r="GA1594" s="4"/>
      <c r="GB1594" s="4"/>
      <c r="GC1594" s="4"/>
      <c r="GD1594" s="4"/>
      <c r="GE1594" s="4"/>
      <c r="GF1594" s="4"/>
      <c r="GG1594" s="4"/>
      <c r="GH1594" s="4"/>
      <c r="GI1594" s="4"/>
      <c r="GJ1594" s="4"/>
      <c r="GK1594" s="4"/>
      <c r="GL1594" s="4"/>
      <c r="GM1594" s="4"/>
      <c r="GN1594" s="4"/>
      <c r="GO1594" s="4"/>
      <c r="GP1594" s="4"/>
      <c r="GQ1594" s="4"/>
      <c r="GR1594" s="4"/>
      <c r="GS1594" s="4"/>
      <c r="GT1594" s="4"/>
      <c r="GU1594" s="4"/>
      <c r="GV1594" s="4"/>
      <c r="GW1594" s="4"/>
      <c r="GX1594" s="4"/>
      <c r="GY1594" s="4"/>
      <c r="GZ1594" s="4"/>
      <c r="HA1594" s="4"/>
      <c r="HB1594" s="4"/>
      <c r="HC1594" s="4"/>
      <c r="HD1594" s="4"/>
      <c r="HE1594" s="4"/>
    </row>
    <row r="1595">
      <c r="A1595" s="2" t="s">
        <v>8063</v>
      </c>
      <c r="B1595" s="2" t="s">
        <v>299</v>
      </c>
      <c r="C1595" s="2" t="s">
        <v>4000</v>
      </c>
      <c r="D1595" s="2" t="s">
        <v>301</v>
      </c>
      <c r="E1595" s="2" t="s">
        <v>302</v>
      </c>
      <c r="F1595" s="2" t="s">
        <v>7951</v>
      </c>
      <c r="G1595" s="2" t="s">
        <v>7951</v>
      </c>
      <c r="H1595" s="2" t="s">
        <v>7951</v>
      </c>
      <c r="I1595" s="2" t="s">
        <v>347</v>
      </c>
      <c r="J1595" s="2" t="s">
        <v>289</v>
      </c>
      <c r="K1595" s="2" t="s">
        <v>8058</v>
      </c>
      <c r="L1595" s="3">
        <v>31.85</v>
      </c>
      <c r="M1595" s="3">
        <v>33.44</v>
      </c>
      <c r="N1595" s="3">
        <v>64.99</v>
      </c>
      <c r="O1595" s="2" t="s">
        <v>240</v>
      </c>
      <c r="P1595" s="2" t="s">
        <v>266</v>
      </c>
      <c r="Q1595" s="2" t="s">
        <v>234</v>
      </c>
      <c r="R1595" s="2" t="s">
        <v>228</v>
      </c>
      <c r="S1595" s="2" t="s">
        <v>8059</v>
      </c>
      <c r="T1595" s="2" t="s">
        <v>675</v>
      </c>
      <c r="U1595" s="2" t="s">
        <v>308</v>
      </c>
      <c r="V1595" s="2" t="s">
        <v>3717</v>
      </c>
      <c r="W1595" s="2" t="s">
        <v>269</v>
      </c>
      <c r="X1595" s="2" t="s">
        <v>417</v>
      </c>
      <c r="Y1595" s="2" t="s">
        <v>2428</v>
      </c>
      <c r="Z1595" s="4">
        <v>484</v>
      </c>
      <c r="AA1595" s="4">
        <f>=ROUNDDOWN(19.36,0)</f>
      </c>
      <c r="AB1595" s="5">
        <v>25</v>
      </c>
      <c r="AC1595" s="2" t="s">
        <v>3792</v>
      </c>
      <c r="AD1595" s="4">
        <v>220</v>
      </c>
      <c r="AE1595" s="4">
        <v>480</v>
      </c>
      <c r="AF1595" s="6">
        <v>65</v>
      </c>
      <c r="AG1595" s="6"/>
      <c r="AH1595" s="7">
        <v>1</v>
      </c>
      <c r="AI1595" s="4"/>
      <c r="AJ1595" s="4">
        <f>=ROUNDDOWN({0},0)</f>
      </c>
      <c r="AK1595" s="5"/>
      <c r="AL1595" s="2" t="s">
        <v>228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228</v>
      </c>
      <c r="AW1595" s="8" t="s">
        <v>228</v>
      </c>
      <c r="AX1595" s="4" t="s">
        <v>228</v>
      </c>
      <c r="AY1595" s="8" t="s">
        <v>228</v>
      </c>
      <c r="AZ1595" s="7" t="s">
        <v>228</v>
      </c>
      <c r="BA1595" s="7" t="s">
        <v>228</v>
      </c>
      <c r="BB1595" s="7"/>
      <c r="BC1595" s="4" t="s">
        <v>228</v>
      </c>
      <c r="BD1595" s="8" t="s">
        <v>228</v>
      </c>
      <c r="BE1595" s="4" t="s">
        <v>228</v>
      </c>
      <c r="BF1595" s="8" t="s">
        <v>228</v>
      </c>
      <c r="BG1595" s="7" t="s">
        <v>228</v>
      </c>
      <c r="BH1595" s="7" t="s">
        <v>228</v>
      </c>
      <c r="BI1595" s="7"/>
      <c r="BJ1595" s="4">
        <v>25</v>
      </c>
      <c r="BK1595" s="8">
        <v>892.84</v>
      </c>
      <c r="BL1595" s="2" t="s">
        <v>3141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8064</v>
      </c>
      <c r="BV1595" s="2" t="s">
        <v>228</v>
      </c>
      <c r="BW1595" s="2" t="s">
        <v>228</v>
      </c>
      <c r="BX1595" s="2" t="s">
        <v>273</v>
      </c>
      <c r="BY1595" s="2" t="s">
        <v>274</v>
      </c>
      <c r="BZ1595" s="2" t="s">
        <v>240</v>
      </c>
      <c r="CA1595" s="2" t="s">
        <v>1978</v>
      </c>
      <c r="CB1595" s="2" t="s">
        <v>400</v>
      </c>
      <c r="CC1595" s="2" t="s">
        <v>241</v>
      </c>
      <c r="CD1595" s="2" t="s">
        <v>228</v>
      </c>
      <c r="CE1595" s="4">
        <v>483</v>
      </c>
      <c r="CF1595" s="4"/>
      <c r="CG1595" s="4"/>
      <c r="CH1595" s="4"/>
      <c r="CI1595" s="4"/>
      <c r="CJ1595" s="4"/>
      <c r="CK1595" s="4">
        <v>1</v>
      </c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>
        <v>220</v>
      </c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>
        <v>260</v>
      </c>
      <c r="EY1595" s="4"/>
      <c r="EZ1595" s="4"/>
      <c r="FA1595" s="4"/>
      <c r="FB1595" s="4"/>
      <c r="FC1595" s="4"/>
      <c r="FD1595" s="4"/>
      <c r="FE1595" s="4"/>
      <c r="FF1595" s="4"/>
      <c r="FG1595" s="4"/>
      <c r="FH1595" s="4"/>
      <c r="FI1595" s="4"/>
      <c r="FJ1595" s="4"/>
      <c r="FK1595" s="4"/>
      <c r="FL1595" s="4"/>
      <c r="FM1595" s="4"/>
      <c r="FN1595" s="4"/>
      <c r="FO1595" s="4"/>
      <c r="FP1595" s="4"/>
      <c r="FQ1595" s="4"/>
      <c r="FR1595" s="4"/>
      <c r="FS1595" s="4"/>
      <c r="FT1595" s="4"/>
      <c r="FU1595" s="4"/>
      <c r="FV1595" s="4"/>
      <c r="FW1595" s="4"/>
      <c r="FX1595" s="4"/>
      <c r="FY1595" s="4"/>
      <c r="FZ1595" s="4"/>
      <c r="GA1595" s="4"/>
      <c r="GB1595" s="4"/>
      <c r="GC1595" s="4"/>
      <c r="GD1595" s="4"/>
      <c r="GE1595" s="4"/>
      <c r="GF1595" s="4"/>
      <c r="GG1595" s="4"/>
      <c r="GH1595" s="4"/>
      <c r="GI1595" s="4"/>
      <c r="GJ1595" s="4"/>
      <c r="GK1595" s="4"/>
      <c r="GL1595" s="4"/>
      <c r="GM1595" s="4"/>
      <c r="GN1595" s="4"/>
      <c r="GO1595" s="4"/>
      <c r="GP1595" s="4"/>
      <c r="GQ1595" s="4"/>
      <c r="GR1595" s="4"/>
      <c r="GS1595" s="4"/>
      <c r="GT1595" s="4"/>
      <c r="GU1595" s="4"/>
      <c r="GV1595" s="4"/>
      <c r="GW1595" s="4"/>
      <c r="GX1595" s="4"/>
      <c r="GY1595" s="4"/>
      <c r="GZ1595" s="4"/>
      <c r="HA1595" s="4"/>
      <c r="HB1595" s="4"/>
      <c r="HC1595" s="4"/>
      <c r="HD1595" s="4"/>
      <c r="HE1595" s="4"/>
    </row>
    <row r="1596">
      <c r="A1596" s="2" t="s">
        <v>8065</v>
      </c>
      <c r="B1596" s="2" t="s">
        <v>299</v>
      </c>
      <c r="C1596" s="2" t="s">
        <v>4000</v>
      </c>
      <c r="D1596" s="2" t="s">
        <v>301</v>
      </c>
      <c r="E1596" s="2" t="s">
        <v>302</v>
      </c>
      <c r="F1596" s="2" t="s">
        <v>7951</v>
      </c>
      <c r="G1596" s="2" t="s">
        <v>7951</v>
      </c>
      <c r="H1596" s="2" t="s">
        <v>7951</v>
      </c>
      <c r="I1596" s="2" t="s">
        <v>347</v>
      </c>
      <c r="J1596" s="2" t="s">
        <v>294</v>
      </c>
      <c r="K1596" s="2" t="s">
        <v>8058</v>
      </c>
      <c r="L1596" s="3">
        <v>34.5</v>
      </c>
      <c r="M1596" s="3">
        <v>36.23</v>
      </c>
      <c r="N1596" s="3">
        <v>74.99</v>
      </c>
      <c r="O1596" s="2" t="s">
        <v>240</v>
      </c>
      <c r="P1596" s="2" t="s">
        <v>266</v>
      </c>
      <c r="Q1596" s="2" t="s">
        <v>234</v>
      </c>
      <c r="R1596" s="2" t="s">
        <v>228</v>
      </c>
      <c r="S1596" s="2" t="s">
        <v>8059</v>
      </c>
      <c r="T1596" s="2" t="s">
        <v>675</v>
      </c>
      <c r="U1596" s="2" t="s">
        <v>308</v>
      </c>
      <c r="V1596" s="2" t="s">
        <v>3717</v>
      </c>
      <c r="W1596" s="2" t="s">
        <v>269</v>
      </c>
      <c r="X1596" s="2" t="s">
        <v>417</v>
      </c>
      <c r="Y1596" s="2" t="s">
        <v>2428</v>
      </c>
      <c r="Z1596" s="4">
        <v>189</v>
      </c>
      <c r="AA1596" s="4">
        <f>=ROUNDDOWN(12.6,0)</f>
      </c>
      <c r="AB1596" s="5">
        <v>15</v>
      </c>
      <c r="AC1596" s="2" t="s">
        <v>1352</v>
      </c>
      <c r="AD1596" s="4">
        <v>100</v>
      </c>
      <c r="AE1596" s="4">
        <v>260</v>
      </c>
      <c r="AF1596" s="6">
        <v>65</v>
      </c>
      <c r="AG1596" s="6"/>
      <c r="AH1596" s="7">
        <v>1</v>
      </c>
      <c r="AI1596" s="4"/>
      <c r="AJ1596" s="4">
        <f>=ROUNDDOWN({0},0)</f>
      </c>
      <c r="AK1596" s="5"/>
      <c r="AL1596" s="2" t="s">
        <v>228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 t="s">
        <v>228</v>
      </c>
      <c r="AW1596" s="8" t="s">
        <v>228</v>
      </c>
      <c r="AX1596" s="4" t="s">
        <v>228</v>
      </c>
      <c r="AY1596" s="8" t="s">
        <v>228</v>
      </c>
      <c r="AZ1596" s="7" t="s">
        <v>228</v>
      </c>
      <c r="BA1596" s="7" t="s">
        <v>228</v>
      </c>
      <c r="BB1596" s="7"/>
      <c r="BC1596" s="4" t="s">
        <v>228</v>
      </c>
      <c r="BD1596" s="8" t="s">
        <v>228</v>
      </c>
      <c r="BE1596" s="4" t="s">
        <v>228</v>
      </c>
      <c r="BF1596" s="8" t="s">
        <v>228</v>
      </c>
      <c r="BG1596" s="7" t="s">
        <v>228</v>
      </c>
      <c r="BH1596" s="7" t="s">
        <v>228</v>
      </c>
      <c r="BI1596" s="7"/>
      <c r="BJ1596" s="4">
        <v>4</v>
      </c>
      <c r="BK1596" s="8">
        <v>153.36</v>
      </c>
      <c r="BL1596" s="2" t="s">
        <v>3169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8066</v>
      </c>
      <c r="BV1596" s="2" t="s">
        <v>228</v>
      </c>
      <c r="BW1596" s="2" t="s">
        <v>228</v>
      </c>
      <c r="BX1596" s="2" t="s">
        <v>273</v>
      </c>
      <c r="BY1596" s="2" t="s">
        <v>274</v>
      </c>
      <c r="BZ1596" s="2" t="s">
        <v>240</v>
      </c>
      <c r="CA1596" s="2" t="s">
        <v>1978</v>
      </c>
      <c r="CB1596" s="2" t="s">
        <v>4750</v>
      </c>
      <c r="CC1596" s="2" t="s">
        <v>241</v>
      </c>
      <c r="CD1596" s="2" t="s">
        <v>228</v>
      </c>
      <c r="CE1596" s="4">
        <v>189</v>
      </c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>
        <v>100</v>
      </c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>
        <v>160</v>
      </c>
      <c r="EY1596" s="4"/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  <c r="FX1596" s="4"/>
      <c r="FY1596" s="4"/>
      <c r="FZ1596" s="4"/>
      <c r="GA1596" s="4"/>
      <c r="GB1596" s="4"/>
      <c r="GC1596" s="4"/>
      <c r="GD1596" s="4"/>
      <c r="GE1596" s="4"/>
      <c r="GF1596" s="4"/>
      <c r="GG1596" s="4"/>
      <c r="GH1596" s="4"/>
      <c r="GI1596" s="4"/>
      <c r="GJ1596" s="4"/>
      <c r="GK1596" s="4"/>
      <c r="GL1596" s="4"/>
      <c r="GM1596" s="4"/>
      <c r="GN1596" s="4"/>
      <c r="GO1596" s="4"/>
      <c r="GP1596" s="4"/>
      <c r="GQ1596" s="4"/>
      <c r="GR1596" s="4"/>
      <c r="GS1596" s="4"/>
      <c r="GT1596" s="4"/>
      <c r="GU1596" s="4"/>
      <c r="GV1596" s="4"/>
      <c r="GW1596" s="4"/>
      <c r="GX1596" s="4"/>
      <c r="GY1596" s="4"/>
      <c r="GZ1596" s="4"/>
      <c r="HA1596" s="4"/>
      <c r="HB1596" s="4"/>
      <c r="HC1596" s="4"/>
      <c r="HD1596" s="4"/>
      <c r="HE1596" s="4"/>
    </row>
    <row r="1597">
      <c r="A1597" s="2" t="s">
        <v>8067</v>
      </c>
      <c r="B1597" s="2" t="s">
        <v>299</v>
      </c>
      <c r="C1597" s="2" t="s">
        <v>4000</v>
      </c>
      <c r="D1597" s="2" t="s">
        <v>301</v>
      </c>
      <c r="E1597" s="2" t="s">
        <v>302</v>
      </c>
      <c r="F1597" s="2" t="s">
        <v>7951</v>
      </c>
      <c r="G1597" s="2" t="s">
        <v>7951</v>
      </c>
      <c r="H1597" s="2" t="s">
        <v>7951</v>
      </c>
      <c r="I1597" s="2" t="s">
        <v>347</v>
      </c>
      <c r="J1597" s="2" t="s">
        <v>278</v>
      </c>
      <c r="K1597" s="2" t="s">
        <v>480</v>
      </c>
      <c r="L1597" s="3">
        <v>23.04</v>
      </c>
      <c r="M1597" s="3">
        <v>24.19</v>
      </c>
      <c r="N1597" s="3">
        <v>47.99</v>
      </c>
      <c r="O1597" s="2" t="s">
        <v>240</v>
      </c>
      <c r="P1597" s="2" t="s">
        <v>266</v>
      </c>
      <c r="Q1597" s="2" t="s">
        <v>234</v>
      </c>
      <c r="R1597" s="2" t="s">
        <v>228</v>
      </c>
      <c r="S1597" s="2" t="s">
        <v>8068</v>
      </c>
      <c r="T1597" s="2" t="s">
        <v>675</v>
      </c>
      <c r="U1597" s="2" t="s">
        <v>500</v>
      </c>
      <c r="V1597" s="2" t="s">
        <v>236</v>
      </c>
      <c r="W1597" s="2" t="s">
        <v>269</v>
      </c>
      <c r="X1597" s="2" t="s">
        <v>417</v>
      </c>
      <c r="Y1597" s="2" t="s">
        <v>270</v>
      </c>
      <c r="Z1597" s="4">
        <v>141</v>
      </c>
      <c r="AA1597" s="4">
        <f>=ROUNDDOWN(20.1428571428571,0)</f>
      </c>
      <c r="AB1597" s="5">
        <v>7</v>
      </c>
      <c r="AC1597" s="2" t="s">
        <v>1352</v>
      </c>
      <c r="AD1597" s="4">
        <v>40</v>
      </c>
      <c r="AE1597" s="4">
        <v>90</v>
      </c>
      <c r="AF1597" s="6">
        <v>65</v>
      </c>
      <c r="AG1597" s="6"/>
      <c r="AH1597" s="7">
        <v>1</v>
      </c>
      <c r="AI1597" s="4"/>
      <c r="AJ1597" s="4">
        <f>=ROUNDDOWN({0},0)</f>
      </c>
      <c r="AK1597" s="5"/>
      <c r="AL1597" s="2" t="s">
        <v>228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228</v>
      </c>
      <c r="AW1597" s="8" t="s">
        <v>228</v>
      </c>
      <c r="AX1597" s="4" t="s">
        <v>228</v>
      </c>
      <c r="AY1597" s="8" t="s">
        <v>228</v>
      </c>
      <c r="AZ1597" s="7" t="s">
        <v>228</v>
      </c>
      <c r="BA1597" s="7" t="s">
        <v>228</v>
      </c>
      <c r="BB1597" s="7"/>
      <c r="BC1597" s="4" t="s">
        <v>228</v>
      </c>
      <c r="BD1597" s="8" t="s">
        <v>228</v>
      </c>
      <c r="BE1597" s="4" t="s">
        <v>228</v>
      </c>
      <c r="BF1597" s="8" t="s">
        <v>228</v>
      </c>
      <c r="BG1597" s="7" t="s">
        <v>228</v>
      </c>
      <c r="BH1597" s="7" t="s">
        <v>228</v>
      </c>
      <c r="BI1597" s="7"/>
      <c r="BJ1597" s="4">
        <v>19</v>
      </c>
      <c r="BK1597" s="8">
        <v>468.42</v>
      </c>
      <c r="BL1597" s="2" t="s">
        <v>8069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8070</v>
      </c>
      <c r="BV1597" s="2" t="s">
        <v>228</v>
      </c>
      <c r="BW1597" s="2" t="s">
        <v>228</v>
      </c>
      <c r="BX1597" s="2" t="s">
        <v>273</v>
      </c>
      <c r="BY1597" s="2" t="s">
        <v>274</v>
      </c>
      <c r="BZ1597" s="2" t="s">
        <v>240</v>
      </c>
      <c r="CA1597" s="2" t="s">
        <v>275</v>
      </c>
      <c r="CB1597" s="2" t="s">
        <v>8071</v>
      </c>
      <c r="CC1597" s="2" t="s">
        <v>241</v>
      </c>
      <c r="CD1597" s="2" t="s">
        <v>228</v>
      </c>
      <c r="CE1597" s="4">
        <v>141</v>
      </c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>
        <v>40</v>
      </c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>
        <v>50</v>
      </c>
      <c r="EY1597" s="4"/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/>
      <c r="FT1597" s="4"/>
      <c r="FU1597" s="4"/>
      <c r="FV1597" s="4"/>
      <c r="FW1597" s="4"/>
      <c r="FX1597" s="4"/>
      <c r="FY1597" s="4"/>
      <c r="FZ1597" s="4"/>
      <c r="GA1597" s="4"/>
      <c r="GB1597" s="4"/>
      <c r="GC1597" s="4"/>
      <c r="GD1597" s="4"/>
      <c r="GE1597" s="4"/>
      <c r="GF1597" s="4"/>
      <c r="GG1597" s="4"/>
      <c r="GH1597" s="4"/>
      <c r="GI1597" s="4"/>
      <c r="GJ1597" s="4"/>
      <c r="GK1597" s="4"/>
      <c r="GL1597" s="4"/>
      <c r="GM1597" s="4"/>
      <c r="GN1597" s="4"/>
      <c r="GO1597" s="4"/>
      <c r="GP1597" s="4"/>
      <c r="GQ1597" s="4"/>
      <c r="GR1597" s="4"/>
      <c r="GS1597" s="4"/>
      <c r="GT1597" s="4"/>
      <c r="GU1597" s="4"/>
      <c r="GV1597" s="4"/>
      <c r="GW1597" s="4"/>
      <c r="GX1597" s="4"/>
      <c r="GY1597" s="4"/>
      <c r="GZ1597" s="4"/>
      <c r="HA1597" s="4"/>
      <c r="HB1597" s="4"/>
      <c r="HC1597" s="4"/>
      <c r="HD1597" s="4"/>
      <c r="HE1597" s="4"/>
    </row>
    <row r="1598">
      <c r="A1598" s="2" t="s">
        <v>8072</v>
      </c>
      <c r="B1598" s="2" t="s">
        <v>299</v>
      </c>
      <c r="C1598" s="2" t="s">
        <v>4000</v>
      </c>
      <c r="D1598" s="2" t="s">
        <v>301</v>
      </c>
      <c r="E1598" s="2" t="s">
        <v>302</v>
      </c>
      <c r="F1598" s="2" t="s">
        <v>7951</v>
      </c>
      <c r="G1598" s="2" t="s">
        <v>7951</v>
      </c>
      <c r="H1598" s="2" t="s">
        <v>7951</v>
      </c>
      <c r="I1598" s="2" t="s">
        <v>347</v>
      </c>
      <c r="J1598" s="2" t="s">
        <v>284</v>
      </c>
      <c r="K1598" s="2" t="s">
        <v>480</v>
      </c>
      <c r="L1598" s="3">
        <v>25.3</v>
      </c>
      <c r="M1598" s="3">
        <v>26.56</v>
      </c>
      <c r="N1598" s="3">
        <v>54.99</v>
      </c>
      <c r="O1598" s="2" t="s">
        <v>240</v>
      </c>
      <c r="P1598" s="2" t="s">
        <v>266</v>
      </c>
      <c r="Q1598" s="2" t="s">
        <v>234</v>
      </c>
      <c r="R1598" s="2" t="s">
        <v>228</v>
      </c>
      <c r="S1598" s="2" t="s">
        <v>8068</v>
      </c>
      <c r="T1598" s="2" t="s">
        <v>675</v>
      </c>
      <c r="U1598" s="2" t="s">
        <v>308</v>
      </c>
      <c r="V1598" s="2" t="s">
        <v>236</v>
      </c>
      <c r="W1598" s="2" t="s">
        <v>269</v>
      </c>
      <c r="X1598" s="2" t="s">
        <v>417</v>
      </c>
      <c r="Y1598" s="2" t="s">
        <v>270</v>
      </c>
      <c r="Z1598" s="4">
        <v>269</v>
      </c>
      <c r="AA1598" s="4">
        <f>=ROUNDDOWN(22.4166666666667,0)</f>
      </c>
      <c r="AB1598" s="5">
        <v>12</v>
      </c>
      <c r="AC1598" s="2" t="s">
        <v>1352</v>
      </c>
      <c r="AD1598" s="4">
        <v>70</v>
      </c>
      <c r="AE1598" s="4">
        <v>170</v>
      </c>
      <c r="AF1598" s="6">
        <v>65</v>
      </c>
      <c r="AG1598" s="6"/>
      <c r="AH1598" s="7">
        <v>1</v>
      </c>
      <c r="AI1598" s="4"/>
      <c r="AJ1598" s="4">
        <f>=ROUNDDOWN({0},0)</f>
      </c>
      <c r="AK1598" s="5"/>
      <c r="AL1598" s="2" t="s">
        <v>228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 t="s">
        <v>228</v>
      </c>
      <c r="AW1598" s="8" t="s">
        <v>228</v>
      </c>
      <c r="AX1598" s="4" t="s">
        <v>228</v>
      </c>
      <c r="AY1598" s="8" t="s">
        <v>228</v>
      </c>
      <c r="AZ1598" s="7" t="s">
        <v>228</v>
      </c>
      <c r="BA1598" s="7" t="s">
        <v>228</v>
      </c>
      <c r="BB1598" s="7"/>
      <c r="BC1598" s="4" t="s">
        <v>228</v>
      </c>
      <c r="BD1598" s="8" t="s">
        <v>228</v>
      </c>
      <c r="BE1598" s="4" t="s">
        <v>228</v>
      </c>
      <c r="BF1598" s="8" t="s">
        <v>228</v>
      </c>
      <c r="BG1598" s="7" t="s">
        <v>228</v>
      </c>
      <c r="BH1598" s="7" t="s">
        <v>228</v>
      </c>
      <c r="BI1598" s="7"/>
      <c r="BJ1598" s="4">
        <v>18</v>
      </c>
      <c r="BK1598" s="8">
        <v>500.55</v>
      </c>
      <c r="BL1598" s="2" t="s">
        <v>8073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8074</v>
      </c>
      <c r="BV1598" s="2" t="s">
        <v>228</v>
      </c>
      <c r="BW1598" s="2" t="s">
        <v>228</v>
      </c>
      <c r="BX1598" s="2" t="s">
        <v>273</v>
      </c>
      <c r="BY1598" s="2" t="s">
        <v>274</v>
      </c>
      <c r="BZ1598" s="2" t="s">
        <v>240</v>
      </c>
      <c r="CA1598" s="2" t="s">
        <v>275</v>
      </c>
      <c r="CB1598" s="2" t="s">
        <v>609</v>
      </c>
      <c r="CC1598" s="2" t="s">
        <v>241</v>
      </c>
      <c r="CD1598" s="2" t="s">
        <v>228</v>
      </c>
      <c r="CE1598" s="4">
        <v>269</v>
      </c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>
        <v>70</v>
      </c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>
        <v>100</v>
      </c>
      <c r="EY1598" s="4"/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/>
      <c r="FQ1598" s="4"/>
      <c r="FR1598" s="4"/>
      <c r="FS1598" s="4"/>
      <c r="FT1598" s="4"/>
      <c r="FU1598" s="4"/>
      <c r="FV1598" s="4"/>
      <c r="FW1598" s="4"/>
      <c r="FX1598" s="4"/>
      <c r="FY1598" s="4"/>
      <c r="FZ1598" s="4"/>
      <c r="GA1598" s="4"/>
      <c r="GB1598" s="4"/>
      <c r="GC1598" s="4"/>
      <c r="GD1598" s="4"/>
      <c r="GE1598" s="4"/>
      <c r="GF1598" s="4"/>
      <c r="GG1598" s="4"/>
      <c r="GH1598" s="4"/>
      <c r="GI1598" s="4"/>
      <c r="GJ1598" s="4"/>
      <c r="GK1598" s="4"/>
      <c r="GL1598" s="4"/>
      <c r="GM1598" s="4"/>
      <c r="GN1598" s="4"/>
      <c r="GO1598" s="4"/>
      <c r="GP1598" s="4"/>
      <c r="GQ1598" s="4"/>
      <c r="GR1598" s="4"/>
      <c r="GS1598" s="4"/>
      <c r="GT1598" s="4"/>
      <c r="GU1598" s="4"/>
      <c r="GV1598" s="4"/>
      <c r="GW1598" s="4"/>
      <c r="GX1598" s="4"/>
      <c r="GY1598" s="4"/>
      <c r="GZ1598" s="4"/>
      <c r="HA1598" s="4"/>
      <c r="HB1598" s="4"/>
      <c r="HC1598" s="4"/>
      <c r="HD1598" s="4"/>
      <c r="HE1598" s="4"/>
    </row>
    <row r="1599">
      <c r="A1599" s="2" t="s">
        <v>8075</v>
      </c>
      <c r="B1599" s="2" t="s">
        <v>299</v>
      </c>
      <c r="C1599" s="2" t="s">
        <v>4000</v>
      </c>
      <c r="D1599" s="2" t="s">
        <v>301</v>
      </c>
      <c r="E1599" s="2" t="s">
        <v>302</v>
      </c>
      <c r="F1599" s="2" t="s">
        <v>7951</v>
      </c>
      <c r="G1599" s="2" t="s">
        <v>7951</v>
      </c>
      <c r="H1599" s="2" t="s">
        <v>7951</v>
      </c>
      <c r="I1599" s="2" t="s">
        <v>347</v>
      </c>
      <c r="J1599" s="2" t="s">
        <v>312</v>
      </c>
      <c r="K1599" s="2" t="s">
        <v>480</v>
      </c>
      <c r="L1599" s="3">
        <v>31.85</v>
      </c>
      <c r="M1599" s="3">
        <v>33.44</v>
      </c>
      <c r="N1599" s="3">
        <v>64.99</v>
      </c>
      <c r="O1599" s="2" t="s">
        <v>240</v>
      </c>
      <c r="P1599" s="2" t="s">
        <v>266</v>
      </c>
      <c r="Q1599" s="2" t="s">
        <v>234</v>
      </c>
      <c r="R1599" s="2" t="s">
        <v>228</v>
      </c>
      <c r="S1599" s="2" t="s">
        <v>8068</v>
      </c>
      <c r="T1599" s="2" t="s">
        <v>675</v>
      </c>
      <c r="U1599" s="2" t="s">
        <v>308</v>
      </c>
      <c r="V1599" s="2" t="s">
        <v>236</v>
      </c>
      <c r="W1599" s="2" t="s">
        <v>269</v>
      </c>
      <c r="X1599" s="2" t="s">
        <v>417</v>
      </c>
      <c r="Y1599" s="2" t="s">
        <v>270</v>
      </c>
      <c r="Z1599" s="4">
        <v>184</v>
      </c>
      <c r="AA1599" s="4">
        <f>=ROUNDDOWN(16.7272727272727,0)</f>
      </c>
      <c r="AB1599" s="5">
        <v>11</v>
      </c>
      <c r="AC1599" s="2" t="s">
        <v>1352</v>
      </c>
      <c r="AD1599" s="4">
        <v>60</v>
      </c>
      <c r="AE1599" s="4">
        <v>140</v>
      </c>
      <c r="AF1599" s="6">
        <v>65</v>
      </c>
      <c r="AG1599" s="6"/>
      <c r="AH1599" s="7">
        <v>1</v>
      </c>
      <c r="AI1599" s="4"/>
      <c r="AJ1599" s="4">
        <f>=ROUNDDOWN({0},0)</f>
      </c>
      <c r="AK1599" s="5"/>
      <c r="AL1599" s="2" t="s">
        <v>228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228</v>
      </c>
      <c r="AW1599" s="8" t="s">
        <v>228</v>
      </c>
      <c r="AX1599" s="4" t="s">
        <v>228</v>
      </c>
      <c r="AY1599" s="8" t="s">
        <v>228</v>
      </c>
      <c r="AZ1599" s="7" t="s">
        <v>228</v>
      </c>
      <c r="BA1599" s="7" t="s">
        <v>228</v>
      </c>
      <c r="BB1599" s="7"/>
      <c r="BC1599" s="4" t="s">
        <v>228</v>
      </c>
      <c r="BD1599" s="8" t="s">
        <v>228</v>
      </c>
      <c r="BE1599" s="4" t="s">
        <v>228</v>
      </c>
      <c r="BF1599" s="8" t="s">
        <v>228</v>
      </c>
      <c r="BG1599" s="7" t="s">
        <v>228</v>
      </c>
      <c r="BH1599" s="7" t="s">
        <v>228</v>
      </c>
      <c r="BI1599" s="7"/>
      <c r="BJ1599" s="4">
        <v>5</v>
      </c>
      <c r="BK1599" s="8">
        <v>172.82</v>
      </c>
      <c r="BL1599" s="2" t="s">
        <v>3909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8076</v>
      </c>
      <c r="BV1599" s="2" t="s">
        <v>228</v>
      </c>
      <c r="BW1599" s="2" t="s">
        <v>228</v>
      </c>
      <c r="BX1599" s="2" t="s">
        <v>273</v>
      </c>
      <c r="BY1599" s="2" t="s">
        <v>274</v>
      </c>
      <c r="BZ1599" s="2" t="s">
        <v>240</v>
      </c>
      <c r="CA1599" s="2" t="s">
        <v>275</v>
      </c>
      <c r="CB1599" s="2" t="s">
        <v>8077</v>
      </c>
      <c r="CC1599" s="2" t="s">
        <v>241</v>
      </c>
      <c r="CD1599" s="2" t="s">
        <v>228</v>
      </c>
      <c r="CE1599" s="4">
        <v>184</v>
      </c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>
        <v>60</v>
      </c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>
        <v>80</v>
      </c>
      <c r="EY1599" s="4"/>
      <c r="EZ1599" s="4"/>
      <c r="FA1599" s="4"/>
      <c r="FB1599" s="4"/>
      <c r="FC1599" s="4"/>
      <c r="FD1599" s="4"/>
      <c r="FE1599" s="4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/>
      <c r="FT1599" s="4"/>
      <c r="FU1599" s="4"/>
      <c r="FV1599" s="4"/>
      <c r="FW1599" s="4"/>
      <c r="FX1599" s="4"/>
      <c r="FY1599" s="4"/>
      <c r="FZ1599" s="4"/>
      <c r="GA1599" s="4"/>
      <c r="GB1599" s="4"/>
      <c r="GC1599" s="4"/>
      <c r="GD1599" s="4"/>
      <c r="GE1599" s="4"/>
      <c r="GF1599" s="4"/>
      <c r="GG1599" s="4"/>
      <c r="GH1599" s="4"/>
      <c r="GI1599" s="4"/>
      <c r="GJ1599" s="4"/>
      <c r="GK1599" s="4"/>
      <c r="GL1599" s="4"/>
      <c r="GM1599" s="4"/>
      <c r="GN1599" s="4"/>
      <c r="GO1599" s="4"/>
      <c r="GP1599" s="4"/>
      <c r="GQ1599" s="4"/>
      <c r="GR1599" s="4"/>
      <c r="GS1599" s="4"/>
      <c r="GT1599" s="4"/>
      <c r="GU1599" s="4"/>
      <c r="GV1599" s="4"/>
      <c r="GW1599" s="4"/>
      <c r="GX1599" s="4"/>
      <c r="GY1599" s="4"/>
      <c r="GZ1599" s="4"/>
      <c r="HA1599" s="4"/>
      <c r="HB1599" s="4"/>
      <c r="HC1599" s="4"/>
      <c r="HD1599" s="4"/>
      <c r="HE1599" s="4"/>
    </row>
    <row r="1600">
      <c r="A1600" s="2" t="s">
        <v>8078</v>
      </c>
      <c r="B1600" s="2" t="s">
        <v>299</v>
      </c>
      <c r="C1600" s="2" t="s">
        <v>4000</v>
      </c>
      <c r="D1600" s="2" t="s">
        <v>301</v>
      </c>
      <c r="E1600" s="2" t="s">
        <v>302</v>
      </c>
      <c r="F1600" s="2" t="s">
        <v>7951</v>
      </c>
      <c r="G1600" s="2" t="s">
        <v>7951</v>
      </c>
      <c r="H1600" s="2" t="s">
        <v>7951</v>
      </c>
      <c r="I1600" s="2" t="s">
        <v>347</v>
      </c>
      <c r="J1600" s="2" t="s">
        <v>264</v>
      </c>
      <c r="K1600" s="2" t="s">
        <v>598</v>
      </c>
      <c r="L1600" s="3">
        <v>21.62</v>
      </c>
      <c r="M1600" s="3">
        <v>22.7</v>
      </c>
      <c r="N1600" s="3">
        <v>46.99</v>
      </c>
      <c r="O1600" s="2" t="s">
        <v>240</v>
      </c>
      <c r="P1600" s="2" t="s">
        <v>266</v>
      </c>
      <c r="Q1600" s="2" t="s">
        <v>234</v>
      </c>
      <c r="R1600" s="2" t="s">
        <v>228</v>
      </c>
      <c r="S1600" s="2" t="s">
        <v>8079</v>
      </c>
      <c r="T1600" s="2" t="s">
        <v>675</v>
      </c>
      <c r="U1600" s="2" t="s">
        <v>500</v>
      </c>
      <c r="V1600" s="2" t="s">
        <v>236</v>
      </c>
      <c r="W1600" s="2" t="s">
        <v>269</v>
      </c>
      <c r="X1600" s="2" t="s">
        <v>417</v>
      </c>
      <c r="Y1600" s="2" t="s">
        <v>270</v>
      </c>
      <c r="Z1600" s="4">
        <v>135</v>
      </c>
      <c r="AA1600" s="4">
        <f>=ROUNDDOWN(19.2857142857143,0)</f>
      </c>
      <c r="AB1600" s="5">
        <v>7</v>
      </c>
      <c r="AC1600" s="2" t="s">
        <v>1352</v>
      </c>
      <c r="AD1600" s="4">
        <v>30</v>
      </c>
      <c r="AE1600" s="4">
        <v>80</v>
      </c>
      <c r="AF1600" s="6">
        <v>65</v>
      </c>
      <c r="AG1600" s="6"/>
      <c r="AH1600" s="7">
        <v>1</v>
      </c>
      <c r="AI1600" s="4"/>
      <c r="AJ1600" s="4">
        <f>=ROUNDDOWN({0},0)</f>
      </c>
      <c r="AK1600" s="5"/>
      <c r="AL1600" s="2" t="s">
        <v>228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228</v>
      </c>
      <c r="AW1600" s="8" t="s">
        <v>228</v>
      </c>
      <c r="AX1600" s="4" t="s">
        <v>228</v>
      </c>
      <c r="AY1600" s="8" t="s">
        <v>228</v>
      </c>
      <c r="AZ1600" s="7" t="s">
        <v>228</v>
      </c>
      <c r="BA1600" s="7" t="s">
        <v>228</v>
      </c>
      <c r="BB1600" s="7"/>
      <c r="BC1600" s="4" t="s">
        <v>228</v>
      </c>
      <c r="BD1600" s="8" t="s">
        <v>228</v>
      </c>
      <c r="BE1600" s="4" t="s">
        <v>228</v>
      </c>
      <c r="BF1600" s="8" t="s">
        <v>228</v>
      </c>
      <c r="BG1600" s="7" t="s">
        <v>228</v>
      </c>
      <c r="BH1600" s="7" t="s">
        <v>228</v>
      </c>
      <c r="BI1600" s="7"/>
      <c r="BJ1600" s="4">
        <v>13</v>
      </c>
      <c r="BK1600" s="8">
        <v>306.61</v>
      </c>
      <c r="BL1600" s="2" t="s">
        <v>4134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8080</v>
      </c>
      <c r="BV1600" s="2" t="s">
        <v>228</v>
      </c>
      <c r="BW1600" s="2" t="s">
        <v>228</v>
      </c>
      <c r="BX1600" s="2" t="s">
        <v>273</v>
      </c>
      <c r="BY1600" s="2" t="s">
        <v>274</v>
      </c>
      <c r="BZ1600" s="2" t="s">
        <v>240</v>
      </c>
      <c r="CA1600" s="2" t="s">
        <v>275</v>
      </c>
      <c r="CB1600" s="2" t="s">
        <v>8081</v>
      </c>
      <c r="CC1600" s="2" t="s">
        <v>241</v>
      </c>
      <c r="CD1600" s="2" t="s">
        <v>228</v>
      </c>
      <c r="CE1600" s="4">
        <v>135</v>
      </c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>
        <v>30</v>
      </c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>
        <v>50</v>
      </c>
      <c r="EY1600" s="4"/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  <c r="FX1600" s="4"/>
      <c r="FY1600" s="4"/>
      <c r="FZ1600" s="4"/>
      <c r="GA1600" s="4"/>
      <c r="GB1600" s="4"/>
      <c r="GC1600" s="4"/>
      <c r="GD1600" s="4"/>
      <c r="GE1600" s="4"/>
      <c r="GF1600" s="4"/>
      <c r="GG1600" s="4"/>
      <c r="GH1600" s="4"/>
      <c r="GI1600" s="4"/>
      <c r="GJ1600" s="4"/>
      <c r="GK1600" s="4"/>
      <c r="GL1600" s="4"/>
      <c r="GM1600" s="4"/>
      <c r="GN1600" s="4"/>
      <c r="GO1600" s="4"/>
      <c r="GP1600" s="4"/>
      <c r="GQ1600" s="4"/>
      <c r="GR1600" s="4"/>
      <c r="GS1600" s="4"/>
      <c r="GT1600" s="4"/>
      <c r="GU1600" s="4"/>
      <c r="GV1600" s="4"/>
      <c r="GW1600" s="4"/>
      <c r="GX1600" s="4"/>
      <c r="GY1600" s="4"/>
      <c r="GZ1600" s="4"/>
      <c r="HA1600" s="4"/>
      <c r="HB1600" s="4"/>
      <c r="HC1600" s="4"/>
      <c r="HD1600" s="4"/>
      <c r="HE1600" s="4"/>
    </row>
    <row r="1601">
      <c r="A1601" s="2" t="s">
        <v>8082</v>
      </c>
      <c r="B1601" s="2" t="s">
        <v>299</v>
      </c>
      <c r="C1601" s="2" t="s">
        <v>4000</v>
      </c>
      <c r="D1601" s="2" t="s">
        <v>301</v>
      </c>
      <c r="E1601" s="2" t="s">
        <v>302</v>
      </c>
      <c r="F1601" s="2" t="s">
        <v>7951</v>
      </c>
      <c r="G1601" s="2" t="s">
        <v>7951</v>
      </c>
      <c r="H1601" s="2" t="s">
        <v>7951</v>
      </c>
      <c r="I1601" s="2" t="s">
        <v>347</v>
      </c>
      <c r="J1601" s="2" t="s">
        <v>284</v>
      </c>
      <c r="K1601" s="2" t="s">
        <v>598</v>
      </c>
      <c r="L1601" s="3">
        <v>25.3</v>
      </c>
      <c r="M1601" s="3">
        <v>26.56</v>
      </c>
      <c r="N1601" s="3">
        <v>54.99</v>
      </c>
      <c r="O1601" s="2" t="s">
        <v>240</v>
      </c>
      <c r="P1601" s="2" t="s">
        <v>266</v>
      </c>
      <c r="Q1601" s="2" t="s">
        <v>234</v>
      </c>
      <c r="R1601" s="2" t="s">
        <v>228</v>
      </c>
      <c r="S1601" s="2" t="s">
        <v>8079</v>
      </c>
      <c r="T1601" s="2" t="s">
        <v>675</v>
      </c>
      <c r="U1601" s="2" t="s">
        <v>308</v>
      </c>
      <c r="V1601" s="2" t="s">
        <v>236</v>
      </c>
      <c r="W1601" s="2" t="s">
        <v>269</v>
      </c>
      <c r="X1601" s="2" t="s">
        <v>417</v>
      </c>
      <c r="Y1601" s="2" t="s">
        <v>270</v>
      </c>
      <c r="Z1601" s="4">
        <v>174</v>
      </c>
      <c r="AA1601" s="4">
        <f>=ROUNDDOWN(21.75,0)</f>
      </c>
      <c r="AB1601" s="5">
        <v>8</v>
      </c>
      <c r="AC1601" s="2" t="s">
        <v>1352</v>
      </c>
      <c r="AD1601" s="4">
        <v>50</v>
      </c>
      <c r="AE1601" s="4">
        <v>120</v>
      </c>
      <c r="AF1601" s="6">
        <v>65</v>
      </c>
      <c r="AG1601" s="6"/>
      <c r="AH1601" s="7">
        <v>1</v>
      </c>
      <c r="AI1601" s="4"/>
      <c r="AJ1601" s="4">
        <f>=ROUNDDOWN({0},0)</f>
      </c>
      <c r="AK1601" s="5"/>
      <c r="AL1601" s="2" t="s">
        <v>228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228</v>
      </c>
      <c r="AW1601" s="8" t="s">
        <v>228</v>
      </c>
      <c r="AX1601" s="4" t="s">
        <v>228</v>
      </c>
      <c r="AY1601" s="8" t="s">
        <v>228</v>
      </c>
      <c r="AZ1601" s="7" t="s">
        <v>228</v>
      </c>
      <c r="BA1601" s="7" t="s">
        <v>228</v>
      </c>
      <c r="BB1601" s="7"/>
      <c r="BC1601" s="4" t="s">
        <v>228</v>
      </c>
      <c r="BD1601" s="8" t="s">
        <v>228</v>
      </c>
      <c r="BE1601" s="4" t="s">
        <v>228</v>
      </c>
      <c r="BF1601" s="8" t="s">
        <v>228</v>
      </c>
      <c r="BG1601" s="7" t="s">
        <v>228</v>
      </c>
      <c r="BH1601" s="7" t="s">
        <v>228</v>
      </c>
      <c r="BI1601" s="7"/>
      <c r="BJ1601" s="4">
        <v>19</v>
      </c>
      <c r="BK1601" s="8">
        <v>525.68</v>
      </c>
      <c r="BL1601" s="2" t="s">
        <v>2783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8083</v>
      </c>
      <c r="BV1601" s="2" t="s">
        <v>228</v>
      </c>
      <c r="BW1601" s="2" t="s">
        <v>228</v>
      </c>
      <c r="BX1601" s="2" t="s">
        <v>273</v>
      </c>
      <c r="BY1601" s="2" t="s">
        <v>274</v>
      </c>
      <c r="BZ1601" s="2" t="s">
        <v>240</v>
      </c>
      <c r="CA1601" s="2" t="s">
        <v>275</v>
      </c>
      <c r="CB1601" s="2" t="s">
        <v>8084</v>
      </c>
      <c r="CC1601" s="2" t="s">
        <v>241</v>
      </c>
      <c r="CD1601" s="2" t="s">
        <v>228</v>
      </c>
      <c r="CE1601" s="4">
        <v>174</v>
      </c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>
        <v>50</v>
      </c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>
        <v>70</v>
      </c>
      <c r="EY1601" s="4"/>
      <c r="EZ1601" s="4"/>
      <c r="FA1601" s="4"/>
      <c r="FB1601" s="4"/>
      <c r="FC1601" s="4"/>
      <c r="FD1601" s="4"/>
      <c r="FE1601" s="4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  <c r="FX1601" s="4"/>
      <c r="FY1601" s="4"/>
      <c r="FZ1601" s="4"/>
      <c r="GA1601" s="4"/>
      <c r="GB1601" s="4"/>
      <c r="GC1601" s="4"/>
      <c r="GD1601" s="4"/>
      <c r="GE1601" s="4"/>
      <c r="GF1601" s="4"/>
      <c r="GG1601" s="4"/>
      <c r="GH1601" s="4"/>
      <c r="GI1601" s="4"/>
      <c r="GJ1601" s="4"/>
      <c r="GK1601" s="4"/>
      <c r="GL1601" s="4"/>
      <c r="GM1601" s="4"/>
      <c r="GN1601" s="4"/>
      <c r="GO1601" s="4"/>
      <c r="GP1601" s="4"/>
      <c r="GQ1601" s="4"/>
      <c r="GR1601" s="4"/>
      <c r="GS1601" s="4"/>
      <c r="GT1601" s="4"/>
      <c r="GU1601" s="4"/>
      <c r="GV1601" s="4"/>
      <c r="GW1601" s="4"/>
      <c r="GX1601" s="4"/>
      <c r="GY1601" s="4"/>
      <c r="GZ1601" s="4"/>
      <c r="HA1601" s="4"/>
      <c r="HB1601" s="4"/>
      <c r="HC1601" s="4"/>
      <c r="HD1601" s="4"/>
      <c r="HE1601" s="4"/>
    </row>
    <row r="1602">
      <c r="A1602" s="2" t="s">
        <v>8085</v>
      </c>
      <c r="B1602" s="2" t="s">
        <v>299</v>
      </c>
      <c r="C1602" s="2" t="s">
        <v>4000</v>
      </c>
      <c r="D1602" s="2" t="s">
        <v>301</v>
      </c>
      <c r="E1602" s="2" t="s">
        <v>302</v>
      </c>
      <c r="F1602" s="2" t="s">
        <v>7951</v>
      </c>
      <c r="G1602" s="2" t="s">
        <v>7951</v>
      </c>
      <c r="H1602" s="2" t="s">
        <v>7951</v>
      </c>
      <c r="I1602" s="2" t="s">
        <v>347</v>
      </c>
      <c r="J1602" s="2" t="s">
        <v>289</v>
      </c>
      <c r="K1602" s="2" t="s">
        <v>598</v>
      </c>
      <c r="L1602" s="3">
        <v>28.2</v>
      </c>
      <c r="M1602" s="3">
        <v>29.61</v>
      </c>
      <c r="N1602" s="3">
        <v>59.99</v>
      </c>
      <c r="O1602" s="2" t="s">
        <v>240</v>
      </c>
      <c r="P1602" s="2" t="s">
        <v>889</v>
      </c>
      <c r="Q1602" s="2" t="s">
        <v>234</v>
      </c>
      <c r="R1602" s="2" t="s">
        <v>228</v>
      </c>
      <c r="S1602" s="2" t="s">
        <v>8079</v>
      </c>
      <c r="T1602" s="2" t="s">
        <v>675</v>
      </c>
      <c r="U1602" s="2" t="s">
        <v>308</v>
      </c>
      <c r="V1602" s="2" t="s">
        <v>236</v>
      </c>
      <c r="W1602" s="2" t="s">
        <v>269</v>
      </c>
      <c r="X1602" s="2" t="s">
        <v>417</v>
      </c>
      <c r="Y1602" s="2" t="s">
        <v>270</v>
      </c>
      <c r="Z1602" s="4">
        <v>558</v>
      </c>
      <c r="AA1602" s="4">
        <f>=ROUNDDOWN(20.6666666666667,0)</f>
      </c>
      <c r="AB1602" s="5">
        <v>27</v>
      </c>
      <c r="AC1602" s="2" t="s">
        <v>1352</v>
      </c>
      <c r="AD1602" s="4">
        <v>220</v>
      </c>
      <c r="AE1602" s="4">
        <v>460</v>
      </c>
      <c r="AF1602" s="6">
        <v>65</v>
      </c>
      <c r="AG1602" s="6"/>
      <c r="AH1602" s="7">
        <v>1</v>
      </c>
      <c r="AI1602" s="4"/>
      <c r="AJ1602" s="4">
        <f>=ROUNDDOWN({0},0)</f>
      </c>
      <c r="AK1602" s="5"/>
      <c r="AL1602" s="2" t="s">
        <v>228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 t="s">
        <v>228</v>
      </c>
      <c r="AW1602" s="8" t="s">
        <v>228</v>
      </c>
      <c r="AX1602" s="4" t="s">
        <v>228</v>
      </c>
      <c r="AY1602" s="8" t="s">
        <v>228</v>
      </c>
      <c r="AZ1602" s="7" t="s">
        <v>228</v>
      </c>
      <c r="BA1602" s="7" t="s">
        <v>228</v>
      </c>
      <c r="BB1602" s="7"/>
      <c r="BC1602" s="4" t="s">
        <v>228</v>
      </c>
      <c r="BD1602" s="8" t="s">
        <v>228</v>
      </c>
      <c r="BE1602" s="4" t="s">
        <v>228</v>
      </c>
      <c r="BF1602" s="8" t="s">
        <v>228</v>
      </c>
      <c r="BG1602" s="7" t="s">
        <v>228</v>
      </c>
      <c r="BH1602" s="7" t="s">
        <v>228</v>
      </c>
      <c r="BI1602" s="7"/>
      <c r="BJ1602" s="4">
        <v>33</v>
      </c>
      <c r="BK1602" s="8">
        <v>1014.38</v>
      </c>
      <c r="BL1602" s="2" t="s">
        <v>8086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8087</v>
      </c>
      <c r="BV1602" s="2" t="s">
        <v>228</v>
      </c>
      <c r="BW1602" s="2" t="s">
        <v>228</v>
      </c>
      <c r="BX1602" s="2" t="s">
        <v>273</v>
      </c>
      <c r="BY1602" s="2" t="s">
        <v>274</v>
      </c>
      <c r="BZ1602" s="2" t="s">
        <v>240</v>
      </c>
      <c r="CA1602" s="2" t="s">
        <v>275</v>
      </c>
      <c r="CB1602" s="2" t="s">
        <v>8088</v>
      </c>
      <c r="CC1602" s="2" t="s">
        <v>241</v>
      </c>
      <c r="CD1602" s="2" t="s">
        <v>228</v>
      </c>
      <c r="CE1602" s="4">
        <v>462</v>
      </c>
      <c r="CF1602" s="4"/>
      <c r="CG1602" s="4"/>
      <c r="CH1602" s="4"/>
      <c r="CI1602" s="4"/>
      <c r="CJ1602" s="4"/>
      <c r="CK1602" s="4">
        <v>96</v>
      </c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>
        <v>220</v>
      </c>
      <c r="EK1602" s="4"/>
      <c r="EL1602" s="4"/>
      <c r="EM1602" s="4"/>
      <c r="EN1602" s="4"/>
      <c r="EO1602" s="4"/>
      <c r="EP1602" s="4"/>
      <c r="EQ1602" s="4"/>
      <c r="ER1602" s="4"/>
      <c r="ES1602" s="4"/>
      <c r="ET1602" s="4"/>
      <c r="EU1602" s="4"/>
      <c r="EV1602" s="4"/>
      <c r="EW1602" s="4"/>
      <c r="EX1602" s="4">
        <v>240</v>
      </c>
      <c r="EY1602" s="4"/>
      <c r="EZ1602" s="4"/>
      <c r="FA1602" s="4"/>
      <c r="FB1602" s="4"/>
      <c r="FC1602" s="4"/>
      <c r="FD1602" s="4"/>
      <c r="FE1602" s="4"/>
      <c r="FF1602" s="4"/>
      <c r="FG1602" s="4"/>
      <c r="FH1602" s="4"/>
      <c r="FI1602" s="4"/>
      <c r="FJ1602" s="4"/>
      <c r="FK1602" s="4"/>
      <c r="FL1602" s="4"/>
      <c r="FM1602" s="4"/>
      <c r="FN1602" s="4"/>
      <c r="FO1602" s="4"/>
      <c r="FP1602" s="4"/>
      <c r="FQ1602" s="4"/>
      <c r="FR1602" s="4"/>
      <c r="FS1602" s="4"/>
      <c r="FT1602" s="4"/>
      <c r="FU1602" s="4"/>
      <c r="FV1602" s="4"/>
      <c r="FW1602" s="4"/>
      <c r="FX1602" s="4"/>
      <c r="FY1602" s="4"/>
      <c r="FZ1602" s="4"/>
      <c r="GA1602" s="4"/>
      <c r="GB1602" s="4"/>
      <c r="GC1602" s="4"/>
      <c r="GD1602" s="4"/>
      <c r="GE1602" s="4"/>
      <c r="GF1602" s="4"/>
      <c r="GG1602" s="4"/>
      <c r="GH1602" s="4"/>
      <c r="GI1602" s="4"/>
      <c r="GJ1602" s="4"/>
      <c r="GK1602" s="4"/>
      <c r="GL1602" s="4"/>
      <c r="GM1602" s="4"/>
      <c r="GN1602" s="4"/>
      <c r="GO1602" s="4"/>
      <c r="GP1602" s="4"/>
      <c r="GQ1602" s="4"/>
      <c r="GR1602" s="4"/>
      <c r="GS1602" s="4"/>
      <c r="GT1602" s="4"/>
      <c r="GU1602" s="4"/>
      <c r="GV1602" s="4"/>
      <c r="GW1602" s="4"/>
      <c r="GX1602" s="4"/>
      <c r="GY1602" s="4"/>
      <c r="GZ1602" s="4"/>
      <c r="HA1602" s="4"/>
      <c r="HB1602" s="4"/>
      <c r="HC1602" s="4"/>
      <c r="HD1602" s="4"/>
      <c r="HE1602" s="4"/>
    </row>
    <row r="1603">
      <c r="A1603" s="2" t="s">
        <v>8089</v>
      </c>
      <c r="B1603" s="2" t="s">
        <v>299</v>
      </c>
      <c r="C1603" s="2" t="s">
        <v>4000</v>
      </c>
      <c r="D1603" s="2" t="s">
        <v>301</v>
      </c>
      <c r="E1603" s="2" t="s">
        <v>302</v>
      </c>
      <c r="F1603" s="2" t="s">
        <v>7951</v>
      </c>
      <c r="G1603" s="2" t="s">
        <v>7951</v>
      </c>
      <c r="H1603" s="2" t="s">
        <v>7951</v>
      </c>
      <c r="I1603" s="2" t="s">
        <v>347</v>
      </c>
      <c r="J1603" s="2" t="s">
        <v>294</v>
      </c>
      <c r="K1603" s="2" t="s">
        <v>598</v>
      </c>
      <c r="L1603" s="3">
        <v>31.2</v>
      </c>
      <c r="M1603" s="3">
        <v>32.76</v>
      </c>
      <c r="N1603" s="3">
        <v>64.99</v>
      </c>
      <c r="O1603" s="2" t="s">
        <v>240</v>
      </c>
      <c r="P1603" s="2" t="s">
        <v>715</v>
      </c>
      <c r="Q1603" s="2" t="s">
        <v>234</v>
      </c>
      <c r="R1603" s="2" t="s">
        <v>228</v>
      </c>
      <c r="S1603" s="2" t="s">
        <v>8079</v>
      </c>
      <c r="T1603" s="2" t="s">
        <v>675</v>
      </c>
      <c r="U1603" s="2" t="s">
        <v>308</v>
      </c>
      <c r="V1603" s="2" t="s">
        <v>236</v>
      </c>
      <c r="W1603" s="2" t="s">
        <v>269</v>
      </c>
      <c r="X1603" s="2" t="s">
        <v>417</v>
      </c>
      <c r="Y1603" s="2" t="s">
        <v>270</v>
      </c>
      <c r="Z1603" s="4">
        <v>364</v>
      </c>
      <c r="AA1603" s="4">
        <f>=ROUNDDOWN(18.2,0)</f>
      </c>
      <c r="AB1603" s="5">
        <v>20</v>
      </c>
      <c r="AC1603" s="2" t="s">
        <v>1352</v>
      </c>
      <c r="AD1603" s="4">
        <v>120</v>
      </c>
      <c r="AE1603" s="4">
        <v>290</v>
      </c>
      <c r="AF1603" s="6">
        <v>65</v>
      </c>
      <c r="AG1603" s="6"/>
      <c r="AH1603" s="7">
        <v>1</v>
      </c>
      <c r="AI1603" s="4"/>
      <c r="AJ1603" s="4">
        <f>=ROUNDDOWN({0},0)</f>
      </c>
      <c r="AK1603" s="5"/>
      <c r="AL1603" s="2" t="s">
        <v>228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 t="s">
        <v>228</v>
      </c>
      <c r="AW1603" s="8" t="s">
        <v>228</v>
      </c>
      <c r="AX1603" s="4" t="s">
        <v>228</v>
      </c>
      <c r="AY1603" s="8" t="s">
        <v>228</v>
      </c>
      <c r="AZ1603" s="7" t="s">
        <v>228</v>
      </c>
      <c r="BA1603" s="7" t="s">
        <v>228</v>
      </c>
      <c r="BB1603" s="7"/>
      <c r="BC1603" s="4" t="s">
        <v>228</v>
      </c>
      <c r="BD1603" s="8" t="s">
        <v>228</v>
      </c>
      <c r="BE1603" s="4" t="s">
        <v>228</v>
      </c>
      <c r="BF1603" s="8" t="s">
        <v>228</v>
      </c>
      <c r="BG1603" s="7" t="s">
        <v>228</v>
      </c>
      <c r="BH1603" s="7" t="s">
        <v>228</v>
      </c>
      <c r="BI1603" s="7"/>
      <c r="BJ1603" s="4">
        <v>48</v>
      </c>
      <c r="BK1603" s="8">
        <v>1618.61</v>
      </c>
      <c r="BL1603" s="2" t="s">
        <v>3816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8090</v>
      </c>
      <c r="BV1603" s="2" t="s">
        <v>228</v>
      </c>
      <c r="BW1603" s="2" t="s">
        <v>228</v>
      </c>
      <c r="BX1603" s="2" t="s">
        <v>273</v>
      </c>
      <c r="BY1603" s="2" t="s">
        <v>274</v>
      </c>
      <c r="BZ1603" s="2" t="s">
        <v>240</v>
      </c>
      <c r="CA1603" s="2" t="s">
        <v>275</v>
      </c>
      <c r="CB1603" s="2" t="s">
        <v>8091</v>
      </c>
      <c r="CC1603" s="2" t="s">
        <v>241</v>
      </c>
      <c r="CD1603" s="2" t="s">
        <v>228</v>
      </c>
      <c r="CE1603" s="4">
        <v>364</v>
      </c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>
        <v>120</v>
      </c>
      <c r="EK1603" s="4"/>
      <c r="EL1603" s="4"/>
      <c r="EM1603" s="4"/>
      <c r="EN1603" s="4"/>
      <c r="EO1603" s="4"/>
      <c r="EP1603" s="4"/>
      <c r="EQ1603" s="4"/>
      <c r="ER1603" s="4"/>
      <c r="ES1603" s="4"/>
      <c r="ET1603" s="4"/>
      <c r="EU1603" s="4"/>
      <c r="EV1603" s="4"/>
      <c r="EW1603" s="4"/>
      <c r="EX1603" s="4">
        <v>170</v>
      </c>
      <c r="EY1603" s="4"/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/>
      <c r="FR1603" s="4"/>
      <c r="FS1603" s="4"/>
      <c r="FT1603" s="4"/>
      <c r="FU1603" s="4"/>
      <c r="FV1603" s="4"/>
      <c r="FW1603" s="4"/>
      <c r="FX1603" s="4"/>
      <c r="FY1603" s="4"/>
      <c r="FZ1603" s="4"/>
      <c r="GA1603" s="4"/>
      <c r="GB1603" s="4"/>
      <c r="GC1603" s="4"/>
      <c r="GD1603" s="4"/>
      <c r="GE1603" s="4"/>
      <c r="GF1603" s="4"/>
      <c r="GG1603" s="4"/>
      <c r="GH1603" s="4"/>
      <c r="GI1603" s="4"/>
      <c r="GJ1603" s="4"/>
      <c r="GK1603" s="4"/>
      <c r="GL1603" s="4"/>
      <c r="GM1603" s="4"/>
      <c r="GN1603" s="4"/>
      <c r="GO1603" s="4"/>
      <c r="GP1603" s="4"/>
      <c r="GQ1603" s="4"/>
      <c r="GR1603" s="4"/>
      <c r="GS1603" s="4"/>
      <c r="GT1603" s="4"/>
      <c r="GU1603" s="4"/>
      <c r="GV1603" s="4"/>
      <c r="GW1603" s="4"/>
      <c r="GX1603" s="4"/>
      <c r="GY1603" s="4"/>
      <c r="GZ1603" s="4"/>
      <c r="HA1603" s="4"/>
      <c r="HB1603" s="4"/>
      <c r="HC1603" s="4"/>
      <c r="HD1603" s="4"/>
      <c r="HE1603" s="4"/>
    </row>
    <row r="1604">
      <c r="A1604" s="2" t="s">
        <v>8092</v>
      </c>
      <c r="B1604" s="2" t="s">
        <v>299</v>
      </c>
      <c r="C1604" s="2" t="s">
        <v>4000</v>
      </c>
      <c r="D1604" s="2" t="s">
        <v>301</v>
      </c>
      <c r="E1604" s="2" t="s">
        <v>302</v>
      </c>
      <c r="F1604" s="2" t="s">
        <v>7951</v>
      </c>
      <c r="G1604" s="2" t="s">
        <v>7951</v>
      </c>
      <c r="H1604" s="2" t="s">
        <v>7951</v>
      </c>
      <c r="I1604" s="2" t="s">
        <v>347</v>
      </c>
      <c r="J1604" s="2" t="s">
        <v>312</v>
      </c>
      <c r="K1604" s="2" t="s">
        <v>598</v>
      </c>
      <c r="L1604" s="3">
        <v>31.85</v>
      </c>
      <c r="M1604" s="3">
        <v>33.44</v>
      </c>
      <c r="N1604" s="3">
        <v>64.99</v>
      </c>
      <c r="O1604" s="2" t="s">
        <v>240</v>
      </c>
      <c r="P1604" s="2" t="s">
        <v>266</v>
      </c>
      <c r="Q1604" s="2" t="s">
        <v>234</v>
      </c>
      <c r="R1604" s="2" t="s">
        <v>228</v>
      </c>
      <c r="S1604" s="2" t="s">
        <v>8079</v>
      </c>
      <c r="T1604" s="2" t="s">
        <v>675</v>
      </c>
      <c r="U1604" s="2" t="s">
        <v>308</v>
      </c>
      <c r="V1604" s="2" t="s">
        <v>236</v>
      </c>
      <c r="W1604" s="2" t="s">
        <v>269</v>
      </c>
      <c r="X1604" s="2" t="s">
        <v>417</v>
      </c>
      <c r="Y1604" s="2" t="s">
        <v>270</v>
      </c>
      <c r="Z1604" s="4">
        <v>174</v>
      </c>
      <c r="AA1604" s="4">
        <f>=ROUNDDOWN(19.3333333333333,0)</f>
      </c>
      <c r="AB1604" s="5">
        <v>9</v>
      </c>
      <c r="AC1604" s="2" t="s">
        <v>1352</v>
      </c>
      <c r="AD1604" s="4">
        <v>60</v>
      </c>
      <c r="AE1604" s="4">
        <v>120</v>
      </c>
      <c r="AF1604" s="6">
        <v>65</v>
      </c>
      <c r="AG1604" s="6"/>
      <c r="AH1604" s="7">
        <v>1</v>
      </c>
      <c r="AI1604" s="4"/>
      <c r="AJ1604" s="4">
        <f>=ROUNDDOWN({0},0)</f>
      </c>
      <c r="AK1604" s="5"/>
      <c r="AL1604" s="2" t="s">
        <v>228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228</v>
      </c>
      <c r="AW1604" s="8" t="s">
        <v>228</v>
      </c>
      <c r="AX1604" s="4" t="s">
        <v>228</v>
      </c>
      <c r="AY1604" s="8" t="s">
        <v>228</v>
      </c>
      <c r="AZ1604" s="7" t="s">
        <v>228</v>
      </c>
      <c r="BA1604" s="7" t="s">
        <v>228</v>
      </c>
      <c r="BB1604" s="7"/>
      <c r="BC1604" s="4" t="s">
        <v>228</v>
      </c>
      <c r="BD1604" s="8" t="s">
        <v>228</v>
      </c>
      <c r="BE1604" s="4" t="s">
        <v>228</v>
      </c>
      <c r="BF1604" s="8" t="s">
        <v>228</v>
      </c>
      <c r="BG1604" s="7" t="s">
        <v>228</v>
      </c>
      <c r="BH1604" s="7" t="s">
        <v>228</v>
      </c>
      <c r="BI1604" s="7"/>
      <c r="BJ1604" s="4">
        <v>15</v>
      </c>
      <c r="BK1604" s="8">
        <v>507.5</v>
      </c>
      <c r="BL1604" s="2" t="s">
        <v>8018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8093</v>
      </c>
      <c r="BV1604" s="2" t="s">
        <v>228</v>
      </c>
      <c r="BW1604" s="2" t="s">
        <v>228</v>
      </c>
      <c r="BX1604" s="2" t="s">
        <v>273</v>
      </c>
      <c r="BY1604" s="2" t="s">
        <v>274</v>
      </c>
      <c r="BZ1604" s="2" t="s">
        <v>240</v>
      </c>
      <c r="CA1604" s="2" t="s">
        <v>275</v>
      </c>
      <c r="CB1604" s="2" t="s">
        <v>8094</v>
      </c>
      <c r="CC1604" s="2" t="s">
        <v>241</v>
      </c>
      <c r="CD1604" s="2" t="s">
        <v>228</v>
      </c>
      <c r="CE1604" s="4">
        <v>174</v>
      </c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>
        <v>60</v>
      </c>
      <c r="EK1604" s="4"/>
      <c r="EL1604" s="4"/>
      <c r="EM1604" s="4"/>
      <c r="EN1604" s="4"/>
      <c r="EO1604" s="4"/>
      <c r="EP1604" s="4"/>
      <c r="EQ1604" s="4"/>
      <c r="ER1604" s="4"/>
      <c r="ES1604" s="4"/>
      <c r="ET1604" s="4"/>
      <c r="EU1604" s="4"/>
      <c r="EV1604" s="4"/>
      <c r="EW1604" s="4"/>
      <c r="EX1604" s="4">
        <v>60</v>
      </c>
      <c r="EY1604" s="4"/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/>
      <c r="FR1604" s="4"/>
      <c r="FS1604" s="4"/>
      <c r="FT1604" s="4"/>
      <c r="FU1604" s="4"/>
      <c r="FV1604" s="4"/>
      <c r="FW1604" s="4"/>
      <c r="FX1604" s="4"/>
      <c r="FY1604" s="4"/>
      <c r="FZ1604" s="4"/>
      <c r="GA1604" s="4"/>
      <c r="GB1604" s="4"/>
      <c r="GC1604" s="4"/>
      <c r="GD1604" s="4"/>
      <c r="GE1604" s="4"/>
      <c r="GF1604" s="4"/>
      <c r="GG1604" s="4"/>
      <c r="GH1604" s="4"/>
      <c r="GI1604" s="4"/>
      <c r="GJ1604" s="4"/>
      <c r="GK1604" s="4"/>
      <c r="GL1604" s="4"/>
      <c r="GM1604" s="4"/>
      <c r="GN1604" s="4"/>
      <c r="GO1604" s="4"/>
      <c r="GP1604" s="4"/>
      <c r="GQ1604" s="4"/>
      <c r="GR1604" s="4"/>
      <c r="GS1604" s="4"/>
      <c r="GT1604" s="4"/>
      <c r="GU1604" s="4"/>
      <c r="GV1604" s="4"/>
      <c r="GW1604" s="4"/>
      <c r="GX1604" s="4"/>
      <c r="GY1604" s="4"/>
      <c r="GZ1604" s="4"/>
      <c r="HA1604" s="4"/>
      <c r="HB1604" s="4"/>
      <c r="HC1604" s="4"/>
      <c r="HD1604" s="4"/>
      <c r="HE1604" s="4"/>
    </row>
    <row r="1605">
      <c r="A1605" s="2" t="s">
        <v>8095</v>
      </c>
      <c r="B1605" s="2" t="s">
        <v>299</v>
      </c>
      <c r="C1605" s="2" t="s">
        <v>4000</v>
      </c>
      <c r="D1605" s="2" t="s">
        <v>301</v>
      </c>
      <c r="E1605" s="2" t="s">
        <v>302</v>
      </c>
      <c r="F1605" s="2" t="s">
        <v>7951</v>
      </c>
      <c r="G1605" s="2" t="s">
        <v>7951</v>
      </c>
      <c r="H1605" s="2" t="s">
        <v>7951</v>
      </c>
      <c r="I1605" s="2" t="s">
        <v>347</v>
      </c>
      <c r="J1605" s="2" t="s">
        <v>264</v>
      </c>
      <c r="K1605" s="2" t="s">
        <v>251</v>
      </c>
      <c r="L1605" s="3">
        <v>21.62</v>
      </c>
      <c r="M1605" s="3">
        <v>22.7</v>
      </c>
      <c r="N1605" s="3">
        <v>46.99</v>
      </c>
      <c r="O1605" s="2" t="s">
        <v>240</v>
      </c>
      <c r="P1605" s="2" t="s">
        <v>266</v>
      </c>
      <c r="Q1605" s="2" t="s">
        <v>234</v>
      </c>
      <c r="R1605" s="2" t="s">
        <v>228</v>
      </c>
      <c r="S1605" s="2" t="s">
        <v>8096</v>
      </c>
      <c r="T1605" s="2" t="s">
        <v>675</v>
      </c>
      <c r="U1605" s="2" t="s">
        <v>500</v>
      </c>
      <c r="V1605" s="2" t="s">
        <v>236</v>
      </c>
      <c r="W1605" s="2" t="s">
        <v>269</v>
      </c>
      <c r="X1605" s="2" t="s">
        <v>417</v>
      </c>
      <c r="Y1605" s="2" t="s">
        <v>7961</v>
      </c>
      <c r="Z1605" s="4">
        <v>346</v>
      </c>
      <c r="AA1605" s="4">
        <f>=ROUNDDOWN(21.625,0)</f>
      </c>
      <c r="AB1605" s="5">
        <v>16</v>
      </c>
      <c r="AC1605" s="2" t="s">
        <v>1352</v>
      </c>
      <c r="AD1605" s="4">
        <v>70</v>
      </c>
      <c r="AE1605" s="4">
        <v>170</v>
      </c>
      <c r="AF1605" s="6">
        <v>65</v>
      </c>
      <c r="AG1605" s="6"/>
      <c r="AH1605" s="7">
        <v>1</v>
      </c>
      <c r="AI1605" s="4"/>
      <c r="AJ1605" s="4">
        <f>=ROUNDDOWN({0},0)</f>
      </c>
      <c r="AK1605" s="5"/>
      <c r="AL1605" s="2" t="s">
        <v>228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 t="s">
        <v>228</v>
      </c>
      <c r="AW1605" s="8" t="s">
        <v>228</v>
      </c>
      <c r="AX1605" s="4" t="s">
        <v>228</v>
      </c>
      <c r="AY1605" s="8" t="s">
        <v>228</v>
      </c>
      <c r="AZ1605" s="7" t="s">
        <v>228</v>
      </c>
      <c r="BA1605" s="7" t="s">
        <v>228</v>
      </c>
      <c r="BB1605" s="7"/>
      <c r="BC1605" s="4" t="s">
        <v>228</v>
      </c>
      <c r="BD1605" s="8" t="s">
        <v>228</v>
      </c>
      <c r="BE1605" s="4" t="s">
        <v>228</v>
      </c>
      <c r="BF1605" s="8" t="s">
        <v>228</v>
      </c>
      <c r="BG1605" s="7" t="s">
        <v>228</v>
      </c>
      <c r="BH1605" s="7" t="s">
        <v>228</v>
      </c>
      <c r="BI1605" s="7"/>
      <c r="BJ1605" s="4">
        <v>9</v>
      </c>
      <c r="BK1605" s="8">
        <v>214.88</v>
      </c>
      <c r="BL1605" s="2" t="s">
        <v>3816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8097</v>
      </c>
      <c r="BV1605" s="2" t="s">
        <v>228</v>
      </c>
      <c r="BW1605" s="2" t="s">
        <v>228</v>
      </c>
      <c r="BX1605" s="2" t="s">
        <v>273</v>
      </c>
      <c r="BY1605" s="2" t="s">
        <v>274</v>
      </c>
      <c r="BZ1605" s="2" t="s">
        <v>240</v>
      </c>
      <c r="CA1605" s="2" t="s">
        <v>7963</v>
      </c>
      <c r="CB1605" s="2" t="s">
        <v>8098</v>
      </c>
      <c r="CC1605" s="2" t="s">
        <v>241</v>
      </c>
      <c r="CD1605" s="2" t="s">
        <v>228</v>
      </c>
      <c r="CE1605" s="4">
        <v>346</v>
      </c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>
        <v>70</v>
      </c>
      <c r="EK1605" s="4"/>
      <c r="EL1605" s="4"/>
      <c r="EM1605" s="4"/>
      <c r="EN1605" s="4"/>
      <c r="EO1605" s="4"/>
      <c r="EP1605" s="4"/>
      <c r="EQ1605" s="4"/>
      <c r="ER1605" s="4"/>
      <c r="ES1605" s="4"/>
      <c r="ET1605" s="4"/>
      <c r="EU1605" s="4"/>
      <c r="EV1605" s="4"/>
      <c r="EW1605" s="4"/>
      <c r="EX1605" s="4">
        <v>100</v>
      </c>
      <c r="EY1605" s="4"/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/>
      <c r="FR1605" s="4"/>
      <c r="FS1605" s="4"/>
      <c r="FT1605" s="4"/>
      <c r="FU1605" s="4"/>
      <c r="FV1605" s="4"/>
      <c r="FW1605" s="4"/>
      <c r="FX1605" s="4"/>
      <c r="FY1605" s="4"/>
      <c r="FZ1605" s="4"/>
      <c r="GA1605" s="4"/>
      <c r="GB1605" s="4"/>
      <c r="GC1605" s="4"/>
      <c r="GD1605" s="4"/>
      <c r="GE1605" s="4"/>
      <c r="GF1605" s="4"/>
      <c r="GG1605" s="4"/>
      <c r="GH1605" s="4"/>
      <c r="GI1605" s="4"/>
      <c r="GJ1605" s="4"/>
      <c r="GK1605" s="4"/>
      <c r="GL1605" s="4"/>
      <c r="GM1605" s="4"/>
      <c r="GN1605" s="4"/>
      <c r="GO1605" s="4"/>
      <c r="GP1605" s="4"/>
      <c r="GQ1605" s="4"/>
      <c r="GR1605" s="4"/>
      <c r="GS1605" s="4"/>
      <c r="GT1605" s="4"/>
      <c r="GU1605" s="4"/>
      <c r="GV1605" s="4"/>
      <c r="GW1605" s="4"/>
      <c r="GX1605" s="4"/>
      <c r="GY1605" s="4"/>
      <c r="GZ1605" s="4"/>
      <c r="HA1605" s="4"/>
      <c r="HB1605" s="4"/>
      <c r="HC1605" s="4"/>
      <c r="HD1605" s="4"/>
      <c r="HE1605" s="4"/>
    </row>
    <row r="1606">
      <c r="A1606" s="2" t="s">
        <v>8099</v>
      </c>
      <c r="B1606" s="2" t="s">
        <v>299</v>
      </c>
      <c r="C1606" s="2" t="s">
        <v>4000</v>
      </c>
      <c r="D1606" s="2" t="s">
        <v>301</v>
      </c>
      <c r="E1606" s="2" t="s">
        <v>302</v>
      </c>
      <c r="F1606" s="2" t="s">
        <v>7951</v>
      </c>
      <c r="G1606" s="2" t="s">
        <v>7951</v>
      </c>
      <c r="H1606" s="2" t="s">
        <v>7951</v>
      </c>
      <c r="I1606" s="2" t="s">
        <v>347</v>
      </c>
      <c r="J1606" s="2" t="s">
        <v>284</v>
      </c>
      <c r="K1606" s="2" t="s">
        <v>251</v>
      </c>
      <c r="L1606" s="3">
        <v>25.3</v>
      </c>
      <c r="M1606" s="3">
        <v>26.56</v>
      </c>
      <c r="N1606" s="3">
        <v>54.99</v>
      </c>
      <c r="O1606" s="2" t="s">
        <v>240</v>
      </c>
      <c r="P1606" s="2" t="s">
        <v>715</v>
      </c>
      <c r="Q1606" s="2" t="s">
        <v>234</v>
      </c>
      <c r="R1606" s="2" t="s">
        <v>228</v>
      </c>
      <c r="S1606" s="2" t="s">
        <v>8096</v>
      </c>
      <c r="T1606" s="2" t="s">
        <v>675</v>
      </c>
      <c r="U1606" s="2" t="s">
        <v>308</v>
      </c>
      <c r="V1606" s="2" t="s">
        <v>236</v>
      </c>
      <c r="W1606" s="2" t="s">
        <v>269</v>
      </c>
      <c r="X1606" s="2" t="s">
        <v>417</v>
      </c>
      <c r="Y1606" s="2" t="s">
        <v>6064</v>
      </c>
      <c r="Z1606" s="4">
        <v>311</v>
      </c>
      <c r="AA1606" s="4">
        <f>=ROUNDDOWN(19.4375,0)</f>
      </c>
      <c r="AB1606" s="5">
        <v>16</v>
      </c>
      <c r="AC1606" s="2" t="s">
        <v>1352</v>
      </c>
      <c r="AD1606" s="4">
        <v>90</v>
      </c>
      <c r="AE1606" s="4">
        <v>210</v>
      </c>
      <c r="AF1606" s="6">
        <v>65</v>
      </c>
      <c r="AG1606" s="6"/>
      <c r="AH1606" s="7">
        <v>1</v>
      </c>
      <c r="AI1606" s="4"/>
      <c r="AJ1606" s="4">
        <f>=ROUNDDOWN({0},0)</f>
      </c>
      <c r="AK1606" s="5"/>
      <c r="AL1606" s="2" t="s">
        <v>228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 t="s">
        <v>228</v>
      </c>
      <c r="AW1606" s="8" t="s">
        <v>228</v>
      </c>
      <c r="AX1606" s="4" t="s">
        <v>228</v>
      </c>
      <c r="AY1606" s="8" t="s">
        <v>228</v>
      </c>
      <c r="AZ1606" s="7" t="s">
        <v>228</v>
      </c>
      <c r="BA1606" s="7" t="s">
        <v>228</v>
      </c>
      <c r="BB1606" s="7"/>
      <c r="BC1606" s="4" t="s">
        <v>228</v>
      </c>
      <c r="BD1606" s="8" t="s">
        <v>228</v>
      </c>
      <c r="BE1606" s="4" t="s">
        <v>228</v>
      </c>
      <c r="BF1606" s="8" t="s">
        <v>228</v>
      </c>
      <c r="BG1606" s="7" t="s">
        <v>228</v>
      </c>
      <c r="BH1606" s="7" t="s">
        <v>228</v>
      </c>
      <c r="BI1606" s="7"/>
      <c r="BJ1606" s="4">
        <v>39</v>
      </c>
      <c r="BK1606" s="8">
        <v>1086.41</v>
      </c>
      <c r="BL1606" s="2" t="s">
        <v>3138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8100</v>
      </c>
      <c r="BV1606" s="2" t="s">
        <v>228</v>
      </c>
      <c r="BW1606" s="2" t="s">
        <v>228</v>
      </c>
      <c r="BX1606" s="2" t="s">
        <v>273</v>
      </c>
      <c r="BY1606" s="2" t="s">
        <v>274</v>
      </c>
      <c r="BZ1606" s="2" t="s">
        <v>240</v>
      </c>
      <c r="CA1606" s="2" t="s">
        <v>8101</v>
      </c>
      <c r="CB1606" s="2" t="s">
        <v>3061</v>
      </c>
      <c r="CC1606" s="2" t="s">
        <v>241</v>
      </c>
      <c r="CD1606" s="2" t="s">
        <v>228</v>
      </c>
      <c r="CE1606" s="4">
        <v>311</v>
      </c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>
        <v>90</v>
      </c>
      <c r="EK1606" s="4"/>
      <c r="EL1606" s="4"/>
      <c r="EM1606" s="4"/>
      <c r="EN1606" s="4"/>
      <c r="EO1606" s="4"/>
      <c r="EP1606" s="4"/>
      <c r="EQ1606" s="4"/>
      <c r="ER1606" s="4"/>
      <c r="ES1606" s="4"/>
      <c r="ET1606" s="4"/>
      <c r="EU1606" s="4"/>
      <c r="EV1606" s="4"/>
      <c r="EW1606" s="4"/>
      <c r="EX1606" s="4">
        <v>120</v>
      </c>
      <c r="EY1606" s="4"/>
      <c r="EZ1606" s="4"/>
      <c r="FA1606" s="4"/>
      <c r="FB1606" s="4"/>
      <c r="FC1606" s="4"/>
      <c r="FD1606" s="4"/>
      <c r="FE1606" s="4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/>
      <c r="FR1606" s="4"/>
      <c r="FS1606" s="4"/>
      <c r="FT1606" s="4"/>
      <c r="FU1606" s="4"/>
      <c r="FV1606" s="4"/>
      <c r="FW1606" s="4"/>
      <c r="FX1606" s="4"/>
      <c r="FY1606" s="4"/>
      <c r="FZ1606" s="4"/>
      <c r="GA1606" s="4"/>
      <c r="GB1606" s="4"/>
      <c r="GC1606" s="4"/>
      <c r="GD1606" s="4"/>
      <c r="GE1606" s="4"/>
      <c r="GF1606" s="4"/>
      <c r="GG1606" s="4"/>
      <c r="GH1606" s="4"/>
      <c r="GI1606" s="4"/>
      <c r="GJ1606" s="4"/>
      <c r="GK1606" s="4"/>
      <c r="GL1606" s="4"/>
      <c r="GM1606" s="4"/>
      <c r="GN1606" s="4"/>
      <c r="GO1606" s="4"/>
      <c r="GP1606" s="4"/>
      <c r="GQ1606" s="4"/>
      <c r="GR1606" s="4"/>
      <c r="GS1606" s="4"/>
      <c r="GT1606" s="4"/>
      <c r="GU1606" s="4"/>
      <c r="GV1606" s="4"/>
      <c r="GW1606" s="4"/>
      <c r="GX1606" s="4"/>
      <c r="GY1606" s="4"/>
      <c r="GZ1606" s="4"/>
      <c r="HA1606" s="4"/>
      <c r="HB1606" s="4"/>
      <c r="HC1606" s="4"/>
      <c r="HD1606" s="4"/>
      <c r="HE1606" s="4"/>
    </row>
    <row r="1607">
      <c r="A1607" s="2" t="s">
        <v>8102</v>
      </c>
      <c r="B1607" s="2" t="s">
        <v>299</v>
      </c>
      <c r="C1607" s="2" t="s">
        <v>4000</v>
      </c>
      <c r="D1607" s="2" t="s">
        <v>301</v>
      </c>
      <c r="E1607" s="2" t="s">
        <v>302</v>
      </c>
      <c r="F1607" s="2" t="s">
        <v>7951</v>
      </c>
      <c r="G1607" s="2" t="s">
        <v>7951</v>
      </c>
      <c r="H1607" s="2" t="s">
        <v>7951</v>
      </c>
      <c r="I1607" s="2" t="s">
        <v>347</v>
      </c>
      <c r="J1607" s="2" t="s">
        <v>289</v>
      </c>
      <c r="K1607" s="2" t="s">
        <v>251</v>
      </c>
      <c r="L1607" s="3">
        <v>28.2</v>
      </c>
      <c r="M1607" s="3">
        <v>29.61</v>
      </c>
      <c r="N1607" s="3">
        <v>59.99</v>
      </c>
      <c r="O1607" s="2" t="s">
        <v>240</v>
      </c>
      <c r="P1607" s="2" t="s">
        <v>889</v>
      </c>
      <c r="Q1607" s="2" t="s">
        <v>234</v>
      </c>
      <c r="R1607" s="2" t="s">
        <v>228</v>
      </c>
      <c r="S1607" s="2" t="s">
        <v>8096</v>
      </c>
      <c r="T1607" s="2" t="s">
        <v>675</v>
      </c>
      <c r="U1607" s="2" t="s">
        <v>308</v>
      </c>
      <c r="V1607" s="2" t="s">
        <v>236</v>
      </c>
      <c r="W1607" s="2" t="s">
        <v>269</v>
      </c>
      <c r="X1607" s="2" t="s">
        <v>417</v>
      </c>
      <c r="Y1607" s="2" t="s">
        <v>6064</v>
      </c>
      <c r="Z1607" s="4">
        <v>585</v>
      </c>
      <c r="AA1607" s="4">
        <f>=ROUNDDOWN(15.3947368421053,0)</f>
      </c>
      <c r="AB1607" s="5">
        <v>38</v>
      </c>
      <c r="AC1607" s="2" t="s">
        <v>1352</v>
      </c>
      <c r="AD1607" s="4">
        <v>230</v>
      </c>
      <c r="AE1607" s="4">
        <v>490</v>
      </c>
      <c r="AF1607" s="6">
        <v>65</v>
      </c>
      <c r="AG1607" s="6"/>
      <c r="AH1607" s="7">
        <v>1</v>
      </c>
      <c r="AI1607" s="4"/>
      <c r="AJ1607" s="4">
        <f>=ROUNDDOWN({0},0)</f>
      </c>
      <c r="AK1607" s="5"/>
      <c r="AL1607" s="2" t="s">
        <v>228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 t="s">
        <v>228</v>
      </c>
      <c r="AW1607" s="8" t="s">
        <v>228</v>
      </c>
      <c r="AX1607" s="4" t="s">
        <v>228</v>
      </c>
      <c r="AY1607" s="8" t="s">
        <v>228</v>
      </c>
      <c r="AZ1607" s="7" t="s">
        <v>228</v>
      </c>
      <c r="BA1607" s="7" t="s">
        <v>228</v>
      </c>
      <c r="BB1607" s="7"/>
      <c r="BC1607" s="4" t="s">
        <v>228</v>
      </c>
      <c r="BD1607" s="8" t="s">
        <v>228</v>
      </c>
      <c r="BE1607" s="4" t="s">
        <v>228</v>
      </c>
      <c r="BF1607" s="8" t="s">
        <v>228</v>
      </c>
      <c r="BG1607" s="7" t="s">
        <v>228</v>
      </c>
      <c r="BH1607" s="7" t="s">
        <v>228</v>
      </c>
      <c r="BI1607" s="7"/>
      <c r="BJ1607" s="4">
        <v>34</v>
      </c>
      <c r="BK1607" s="8">
        <v>1053.58</v>
      </c>
      <c r="BL1607" s="2" t="s">
        <v>7979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8103</v>
      </c>
      <c r="BV1607" s="2" t="s">
        <v>228</v>
      </c>
      <c r="BW1607" s="2" t="s">
        <v>228</v>
      </c>
      <c r="BX1607" s="2" t="s">
        <v>273</v>
      </c>
      <c r="BY1607" s="2" t="s">
        <v>274</v>
      </c>
      <c r="BZ1607" s="2" t="s">
        <v>240</v>
      </c>
      <c r="CA1607" s="2" t="s">
        <v>6064</v>
      </c>
      <c r="CB1607" s="2" t="s">
        <v>8104</v>
      </c>
      <c r="CC1607" s="2" t="s">
        <v>241</v>
      </c>
      <c r="CD1607" s="2" t="s">
        <v>228</v>
      </c>
      <c r="CE1607" s="4">
        <v>585</v>
      </c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>
        <v>230</v>
      </c>
      <c r="EK1607" s="4"/>
      <c r="EL1607" s="4"/>
      <c r="EM1607" s="4"/>
      <c r="EN1607" s="4"/>
      <c r="EO1607" s="4"/>
      <c r="EP1607" s="4"/>
      <c r="EQ1607" s="4"/>
      <c r="ER1607" s="4"/>
      <c r="ES1607" s="4"/>
      <c r="ET1607" s="4"/>
      <c r="EU1607" s="4"/>
      <c r="EV1607" s="4"/>
      <c r="EW1607" s="4"/>
      <c r="EX1607" s="4">
        <v>260</v>
      </c>
      <c r="EY1607" s="4"/>
      <c r="EZ1607" s="4"/>
      <c r="FA1607" s="4"/>
      <c r="FB1607" s="4"/>
      <c r="FC1607" s="4"/>
      <c r="FD1607" s="4"/>
      <c r="FE1607" s="4"/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/>
      <c r="FQ1607" s="4"/>
      <c r="FR1607" s="4"/>
      <c r="FS1607" s="4"/>
      <c r="FT1607" s="4"/>
      <c r="FU1607" s="4"/>
      <c r="FV1607" s="4"/>
      <c r="FW1607" s="4"/>
      <c r="FX1607" s="4"/>
      <c r="FY1607" s="4"/>
      <c r="FZ1607" s="4"/>
      <c r="GA1607" s="4"/>
      <c r="GB1607" s="4"/>
      <c r="GC1607" s="4"/>
      <c r="GD1607" s="4"/>
      <c r="GE1607" s="4"/>
      <c r="GF1607" s="4"/>
      <c r="GG1607" s="4"/>
      <c r="GH1607" s="4"/>
      <c r="GI1607" s="4"/>
      <c r="GJ1607" s="4"/>
      <c r="GK1607" s="4"/>
      <c r="GL1607" s="4"/>
      <c r="GM1607" s="4"/>
      <c r="GN1607" s="4"/>
      <c r="GO1607" s="4"/>
      <c r="GP1607" s="4"/>
      <c r="GQ1607" s="4"/>
      <c r="GR1607" s="4"/>
      <c r="GS1607" s="4"/>
      <c r="GT1607" s="4"/>
      <c r="GU1607" s="4"/>
      <c r="GV1607" s="4"/>
      <c r="GW1607" s="4"/>
      <c r="GX1607" s="4"/>
      <c r="GY1607" s="4"/>
      <c r="GZ1607" s="4"/>
      <c r="HA1607" s="4"/>
      <c r="HB1607" s="4"/>
      <c r="HC1607" s="4"/>
      <c r="HD1607" s="4"/>
      <c r="HE1607" s="4"/>
    </row>
    <row r="1608">
      <c r="A1608" s="2" t="s">
        <v>8105</v>
      </c>
      <c r="B1608" s="2" t="s">
        <v>299</v>
      </c>
      <c r="C1608" s="2" t="s">
        <v>4000</v>
      </c>
      <c r="D1608" s="2" t="s">
        <v>301</v>
      </c>
      <c r="E1608" s="2" t="s">
        <v>302</v>
      </c>
      <c r="F1608" s="2" t="s">
        <v>7951</v>
      </c>
      <c r="G1608" s="2" t="s">
        <v>7951</v>
      </c>
      <c r="H1608" s="2" t="s">
        <v>7951</v>
      </c>
      <c r="I1608" s="2" t="s">
        <v>347</v>
      </c>
      <c r="J1608" s="2" t="s">
        <v>312</v>
      </c>
      <c r="K1608" s="2" t="s">
        <v>251</v>
      </c>
      <c r="L1608" s="3">
        <v>31.85</v>
      </c>
      <c r="M1608" s="3">
        <v>33.44</v>
      </c>
      <c r="N1608" s="3">
        <v>64.99</v>
      </c>
      <c r="O1608" s="2" t="s">
        <v>240</v>
      </c>
      <c r="P1608" s="2" t="s">
        <v>266</v>
      </c>
      <c r="Q1608" s="2" t="s">
        <v>234</v>
      </c>
      <c r="R1608" s="2" t="s">
        <v>228</v>
      </c>
      <c r="S1608" s="2" t="s">
        <v>8096</v>
      </c>
      <c r="T1608" s="2" t="s">
        <v>675</v>
      </c>
      <c r="U1608" s="2" t="s">
        <v>308</v>
      </c>
      <c r="V1608" s="2" t="s">
        <v>236</v>
      </c>
      <c r="W1608" s="2" t="s">
        <v>269</v>
      </c>
      <c r="X1608" s="2" t="s">
        <v>417</v>
      </c>
      <c r="Y1608" s="2" t="s">
        <v>7961</v>
      </c>
      <c r="Z1608" s="4">
        <v>159</v>
      </c>
      <c r="AA1608" s="4">
        <f>=ROUNDDOWN(22.7142857142857,0)</f>
      </c>
      <c r="AB1608" s="5">
        <v>7</v>
      </c>
      <c r="AC1608" s="2" t="s">
        <v>1352</v>
      </c>
      <c r="AD1608" s="4">
        <v>40</v>
      </c>
      <c r="AE1608" s="4">
        <v>90</v>
      </c>
      <c r="AF1608" s="6">
        <v>65</v>
      </c>
      <c r="AG1608" s="6"/>
      <c r="AH1608" s="7">
        <v>1</v>
      </c>
      <c r="AI1608" s="4"/>
      <c r="AJ1608" s="4">
        <f>=ROUNDDOWN({0},0)</f>
      </c>
      <c r="AK1608" s="5"/>
      <c r="AL1608" s="2" t="s">
        <v>228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 t="s">
        <v>228</v>
      </c>
      <c r="AW1608" s="8" t="s">
        <v>228</v>
      </c>
      <c r="AX1608" s="4" t="s">
        <v>228</v>
      </c>
      <c r="AY1608" s="8" t="s">
        <v>228</v>
      </c>
      <c r="AZ1608" s="7" t="s">
        <v>228</v>
      </c>
      <c r="BA1608" s="7" t="s">
        <v>228</v>
      </c>
      <c r="BB1608" s="7"/>
      <c r="BC1608" s="4" t="s">
        <v>228</v>
      </c>
      <c r="BD1608" s="8" t="s">
        <v>228</v>
      </c>
      <c r="BE1608" s="4" t="s">
        <v>228</v>
      </c>
      <c r="BF1608" s="8" t="s">
        <v>228</v>
      </c>
      <c r="BG1608" s="7" t="s">
        <v>228</v>
      </c>
      <c r="BH1608" s="7" t="s">
        <v>228</v>
      </c>
      <c r="BI1608" s="7"/>
      <c r="BJ1608" s="4">
        <v>13</v>
      </c>
      <c r="BK1608" s="8">
        <v>451.08</v>
      </c>
      <c r="BL1608" s="2" t="s">
        <v>381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8106</v>
      </c>
      <c r="BV1608" s="2" t="s">
        <v>228</v>
      </c>
      <c r="BW1608" s="2" t="s">
        <v>228</v>
      </c>
      <c r="BX1608" s="2" t="s">
        <v>273</v>
      </c>
      <c r="BY1608" s="2" t="s">
        <v>274</v>
      </c>
      <c r="BZ1608" s="2" t="s">
        <v>240</v>
      </c>
      <c r="CA1608" s="2" t="s">
        <v>7963</v>
      </c>
      <c r="CB1608" s="2" t="s">
        <v>8107</v>
      </c>
      <c r="CC1608" s="2" t="s">
        <v>241</v>
      </c>
      <c r="CD1608" s="2" t="s">
        <v>228</v>
      </c>
      <c r="CE1608" s="4">
        <v>159</v>
      </c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>
        <v>40</v>
      </c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>
        <v>50</v>
      </c>
      <c r="EY1608" s="4"/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/>
      <c r="FT1608" s="4"/>
      <c r="FU1608" s="4"/>
      <c r="FV1608" s="4"/>
      <c r="FW1608" s="4"/>
      <c r="FX1608" s="4"/>
      <c r="FY1608" s="4"/>
      <c r="FZ1608" s="4"/>
      <c r="GA1608" s="4"/>
      <c r="GB1608" s="4"/>
      <c r="GC1608" s="4"/>
      <c r="GD1608" s="4"/>
      <c r="GE1608" s="4"/>
      <c r="GF1608" s="4"/>
      <c r="GG1608" s="4"/>
      <c r="GH1608" s="4"/>
      <c r="GI1608" s="4"/>
      <c r="GJ1608" s="4"/>
      <c r="GK1608" s="4"/>
      <c r="GL1608" s="4"/>
      <c r="GM1608" s="4"/>
      <c r="GN1608" s="4"/>
      <c r="GO1608" s="4"/>
      <c r="GP1608" s="4"/>
      <c r="GQ1608" s="4"/>
      <c r="GR1608" s="4"/>
      <c r="GS1608" s="4"/>
      <c r="GT1608" s="4"/>
      <c r="GU1608" s="4"/>
      <c r="GV1608" s="4"/>
      <c r="GW1608" s="4"/>
      <c r="GX1608" s="4"/>
      <c r="GY1608" s="4"/>
      <c r="GZ1608" s="4"/>
      <c r="HA1608" s="4"/>
      <c r="HB1608" s="4"/>
      <c r="HC1608" s="4"/>
      <c r="HD1608" s="4"/>
      <c r="HE1608" s="4"/>
    </row>
    <row r="1609">
      <c r="A1609" s="2" t="s">
        <v>8108</v>
      </c>
      <c r="B1609" s="2" t="s">
        <v>299</v>
      </c>
      <c r="C1609" s="2" t="s">
        <v>4000</v>
      </c>
      <c r="D1609" s="2" t="s">
        <v>301</v>
      </c>
      <c r="E1609" s="2" t="s">
        <v>302</v>
      </c>
      <c r="F1609" s="2" t="s">
        <v>7951</v>
      </c>
      <c r="G1609" s="2" t="s">
        <v>7951</v>
      </c>
      <c r="H1609" s="2" t="s">
        <v>7951</v>
      </c>
      <c r="I1609" s="2" t="s">
        <v>347</v>
      </c>
      <c r="J1609" s="2" t="s">
        <v>264</v>
      </c>
      <c r="K1609" s="2" t="s">
        <v>1390</v>
      </c>
      <c r="L1609" s="3">
        <v>21.62</v>
      </c>
      <c r="M1609" s="3">
        <v>22.7</v>
      </c>
      <c r="N1609" s="3">
        <v>46.99</v>
      </c>
      <c r="O1609" s="2" t="s">
        <v>240</v>
      </c>
      <c r="P1609" s="2" t="s">
        <v>266</v>
      </c>
      <c r="Q1609" s="2" t="s">
        <v>234</v>
      </c>
      <c r="R1609" s="2" t="s">
        <v>228</v>
      </c>
      <c r="S1609" s="2" t="s">
        <v>8109</v>
      </c>
      <c r="T1609" s="2" t="s">
        <v>675</v>
      </c>
      <c r="U1609" s="2" t="s">
        <v>500</v>
      </c>
      <c r="V1609" s="2" t="s">
        <v>236</v>
      </c>
      <c r="W1609" s="2" t="s">
        <v>269</v>
      </c>
      <c r="X1609" s="2" t="s">
        <v>417</v>
      </c>
      <c r="Y1609" s="2" t="s">
        <v>270</v>
      </c>
      <c r="Z1609" s="4">
        <v>247</v>
      </c>
      <c r="AA1609" s="4">
        <f>=ROUNDDOWN(19,0)</f>
      </c>
      <c r="AB1609" s="5">
        <v>13</v>
      </c>
      <c r="AC1609" s="2" t="s">
        <v>1352</v>
      </c>
      <c r="AD1609" s="4">
        <v>60</v>
      </c>
      <c r="AE1609" s="4">
        <v>140</v>
      </c>
      <c r="AF1609" s="6">
        <v>65</v>
      </c>
      <c r="AG1609" s="6"/>
      <c r="AH1609" s="7">
        <v>1</v>
      </c>
      <c r="AI1609" s="4"/>
      <c r="AJ1609" s="4">
        <f>=ROUNDDOWN({0},0)</f>
      </c>
      <c r="AK1609" s="5"/>
      <c r="AL1609" s="2" t="s">
        <v>228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228</v>
      </c>
      <c r="AW1609" s="8" t="s">
        <v>228</v>
      </c>
      <c r="AX1609" s="4" t="s">
        <v>228</v>
      </c>
      <c r="AY1609" s="8" t="s">
        <v>228</v>
      </c>
      <c r="AZ1609" s="7" t="s">
        <v>228</v>
      </c>
      <c r="BA1609" s="7" t="s">
        <v>228</v>
      </c>
      <c r="BB1609" s="7"/>
      <c r="BC1609" s="4" t="s">
        <v>228</v>
      </c>
      <c r="BD1609" s="8" t="s">
        <v>228</v>
      </c>
      <c r="BE1609" s="4" t="s">
        <v>228</v>
      </c>
      <c r="BF1609" s="8" t="s">
        <v>228</v>
      </c>
      <c r="BG1609" s="7" t="s">
        <v>228</v>
      </c>
      <c r="BH1609" s="7" t="s">
        <v>228</v>
      </c>
      <c r="BI1609" s="7"/>
      <c r="BJ1609" s="4">
        <v>18</v>
      </c>
      <c r="BK1609" s="8">
        <v>424.73</v>
      </c>
      <c r="BL1609" s="2" t="s">
        <v>8110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8111</v>
      </c>
      <c r="BV1609" s="2" t="s">
        <v>228</v>
      </c>
      <c r="BW1609" s="2" t="s">
        <v>228</v>
      </c>
      <c r="BX1609" s="2" t="s">
        <v>273</v>
      </c>
      <c r="BY1609" s="2" t="s">
        <v>274</v>
      </c>
      <c r="BZ1609" s="2" t="s">
        <v>240</v>
      </c>
      <c r="CA1609" s="2" t="s">
        <v>275</v>
      </c>
      <c r="CB1609" s="2" t="s">
        <v>8112</v>
      </c>
      <c r="CC1609" s="2" t="s">
        <v>241</v>
      </c>
      <c r="CD1609" s="2" t="s">
        <v>228</v>
      </c>
      <c r="CE1609" s="4">
        <v>247</v>
      </c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>
        <v>60</v>
      </c>
      <c r="EK1609" s="4"/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>
        <v>80</v>
      </c>
      <c r="EY1609" s="4"/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  <c r="FX1609" s="4"/>
      <c r="FY1609" s="4"/>
      <c r="FZ1609" s="4"/>
      <c r="GA1609" s="4"/>
      <c r="GB1609" s="4"/>
      <c r="GC1609" s="4"/>
      <c r="GD1609" s="4"/>
      <c r="GE1609" s="4"/>
      <c r="GF1609" s="4"/>
      <c r="GG1609" s="4"/>
      <c r="GH1609" s="4"/>
      <c r="GI1609" s="4"/>
      <c r="GJ1609" s="4"/>
      <c r="GK1609" s="4"/>
      <c r="GL1609" s="4"/>
      <c r="GM1609" s="4"/>
      <c r="GN1609" s="4"/>
      <c r="GO1609" s="4"/>
      <c r="GP1609" s="4"/>
      <c r="GQ1609" s="4"/>
      <c r="GR1609" s="4"/>
      <c r="GS1609" s="4"/>
      <c r="GT1609" s="4"/>
      <c r="GU1609" s="4"/>
      <c r="GV1609" s="4"/>
      <c r="GW1609" s="4"/>
      <c r="GX1609" s="4"/>
      <c r="GY1609" s="4"/>
      <c r="GZ1609" s="4"/>
      <c r="HA1609" s="4"/>
      <c r="HB1609" s="4"/>
      <c r="HC1609" s="4"/>
      <c r="HD1609" s="4"/>
      <c r="HE1609" s="4"/>
    </row>
    <row r="1610">
      <c r="A1610" s="2" t="s">
        <v>8113</v>
      </c>
      <c r="B1610" s="2" t="s">
        <v>299</v>
      </c>
      <c r="C1610" s="2" t="s">
        <v>4000</v>
      </c>
      <c r="D1610" s="2" t="s">
        <v>301</v>
      </c>
      <c r="E1610" s="2" t="s">
        <v>302</v>
      </c>
      <c r="F1610" s="2" t="s">
        <v>7951</v>
      </c>
      <c r="G1610" s="2" t="s">
        <v>7951</v>
      </c>
      <c r="H1610" s="2" t="s">
        <v>7951</v>
      </c>
      <c r="I1610" s="2" t="s">
        <v>347</v>
      </c>
      <c r="J1610" s="2" t="s">
        <v>278</v>
      </c>
      <c r="K1610" s="2" t="s">
        <v>1390</v>
      </c>
      <c r="L1610" s="3">
        <v>23.04</v>
      </c>
      <c r="M1610" s="3">
        <v>24.19</v>
      </c>
      <c r="N1610" s="3">
        <v>47.99</v>
      </c>
      <c r="O1610" s="2" t="s">
        <v>240</v>
      </c>
      <c r="P1610" s="2" t="s">
        <v>266</v>
      </c>
      <c r="Q1610" s="2" t="s">
        <v>234</v>
      </c>
      <c r="R1610" s="2" t="s">
        <v>228</v>
      </c>
      <c r="S1610" s="2" t="s">
        <v>8109</v>
      </c>
      <c r="T1610" s="2" t="s">
        <v>675</v>
      </c>
      <c r="U1610" s="2" t="s">
        <v>500</v>
      </c>
      <c r="V1610" s="2" t="s">
        <v>236</v>
      </c>
      <c r="W1610" s="2" t="s">
        <v>269</v>
      </c>
      <c r="X1610" s="2" t="s">
        <v>417</v>
      </c>
      <c r="Y1610" s="2" t="s">
        <v>270</v>
      </c>
      <c r="Z1610" s="4">
        <v>103</v>
      </c>
      <c r="AA1610" s="4">
        <f>=ROUNDDOWN(25.75,0)</f>
      </c>
      <c r="AB1610" s="5">
        <v>4</v>
      </c>
      <c r="AC1610" s="2" t="s">
        <v>1352</v>
      </c>
      <c r="AD1610" s="4">
        <v>20</v>
      </c>
      <c r="AE1610" s="4">
        <v>50</v>
      </c>
      <c r="AF1610" s="6">
        <v>65</v>
      </c>
      <c r="AG1610" s="6"/>
      <c r="AH1610" s="7">
        <v>1</v>
      </c>
      <c r="AI1610" s="4"/>
      <c r="AJ1610" s="4">
        <f>=ROUNDDOWN({0},0)</f>
      </c>
      <c r="AK1610" s="5"/>
      <c r="AL1610" s="2" t="s">
        <v>228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228</v>
      </c>
      <c r="AW1610" s="8" t="s">
        <v>228</v>
      </c>
      <c r="AX1610" s="4" t="s">
        <v>228</v>
      </c>
      <c r="AY1610" s="8" t="s">
        <v>228</v>
      </c>
      <c r="AZ1610" s="7" t="s">
        <v>228</v>
      </c>
      <c r="BA1610" s="7" t="s">
        <v>228</v>
      </c>
      <c r="BB1610" s="7"/>
      <c r="BC1610" s="4" t="s">
        <v>228</v>
      </c>
      <c r="BD1610" s="8" t="s">
        <v>228</v>
      </c>
      <c r="BE1610" s="4" t="s">
        <v>228</v>
      </c>
      <c r="BF1610" s="8" t="s">
        <v>228</v>
      </c>
      <c r="BG1610" s="7" t="s">
        <v>228</v>
      </c>
      <c r="BH1610" s="7" t="s">
        <v>228</v>
      </c>
      <c r="BI1610" s="7"/>
      <c r="BJ1610" s="4">
        <v>4</v>
      </c>
      <c r="BK1610" s="8">
        <v>101.6</v>
      </c>
      <c r="BL1610" s="2" t="s">
        <v>647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8114</v>
      </c>
      <c r="BV1610" s="2" t="s">
        <v>228</v>
      </c>
      <c r="BW1610" s="2" t="s">
        <v>228</v>
      </c>
      <c r="BX1610" s="2" t="s">
        <v>273</v>
      </c>
      <c r="BY1610" s="2" t="s">
        <v>274</v>
      </c>
      <c r="BZ1610" s="2" t="s">
        <v>240</v>
      </c>
      <c r="CA1610" s="2" t="s">
        <v>275</v>
      </c>
      <c r="CB1610" s="2" t="s">
        <v>8115</v>
      </c>
      <c r="CC1610" s="2" t="s">
        <v>241</v>
      </c>
      <c r="CD1610" s="2" t="s">
        <v>228</v>
      </c>
      <c r="CE1610" s="4">
        <v>103</v>
      </c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>
        <v>20</v>
      </c>
      <c r="EK1610" s="4"/>
      <c r="EL1610" s="4"/>
      <c r="EM1610" s="4"/>
      <c r="EN1610" s="4"/>
      <c r="EO1610" s="4"/>
      <c r="EP1610" s="4"/>
      <c r="EQ1610" s="4"/>
      <c r="ER1610" s="4"/>
      <c r="ES1610" s="4"/>
      <c r="ET1610" s="4"/>
      <c r="EU1610" s="4"/>
      <c r="EV1610" s="4"/>
      <c r="EW1610" s="4"/>
      <c r="EX1610" s="4">
        <v>30</v>
      </c>
      <c r="EY1610" s="4"/>
      <c r="EZ1610" s="4"/>
      <c r="FA1610" s="4"/>
      <c r="FB1610" s="4"/>
      <c r="FC1610" s="4"/>
      <c r="FD1610" s="4"/>
      <c r="FE1610" s="4"/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  <c r="FX1610" s="4"/>
      <c r="FY1610" s="4"/>
      <c r="FZ1610" s="4"/>
      <c r="GA1610" s="4"/>
      <c r="GB1610" s="4"/>
      <c r="GC1610" s="4"/>
      <c r="GD1610" s="4"/>
      <c r="GE1610" s="4"/>
      <c r="GF1610" s="4"/>
      <c r="GG1610" s="4"/>
      <c r="GH1610" s="4"/>
      <c r="GI1610" s="4"/>
      <c r="GJ1610" s="4"/>
      <c r="GK1610" s="4"/>
      <c r="GL1610" s="4"/>
      <c r="GM1610" s="4"/>
      <c r="GN1610" s="4"/>
      <c r="GO1610" s="4"/>
      <c r="GP1610" s="4"/>
      <c r="GQ1610" s="4"/>
      <c r="GR1610" s="4"/>
      <c r="GS1610" s="4"/>
      <c r="GT1610" s="4"/>
      <c r="GU1610" s="4"/>
      <c r="GV1610" s="4"/>
      <c r="GW1610" s="4"/>
      <c r="GX1610" s="4"/>
      <c r="GY1610" s="4"/>
      <c r="GZ1610" s="4"/>
      <c r="HA1610" s="4"/>
      <c r="HB1610" s="4"/>
      <c r="HC1610" s="4"/>
      <c r="HD1610" s="4"/>
      <c r="HE1610" s="4"/>
    </row>
    <row r="1611">
      <c r="A1611" s="2" t="s">
        <v>8116</v>
      </c>
      <c r="B1611" s="2" t="s">
        <v>299</v>
      </c>
      <c r="C1611" s="2" t="s">
        <v>4000</v>
      </c>
      <c r="D1611" s="2" t="s">
        <v>301</v>
      </c>
      <c r="E1611" s="2" t="s">
        <v>302</v>
      </c>
      <c r="F1611" s="2" t="s">
        <v>7951</v>
      </c>
      <c r="G1611" s="2" t="s">
        <v>7951</v>
      </c>
      <c r="H1611" s="2" t="s">
        <v>7951</v>
      </c>
      <c r="I1611" s="2" t="s">
        <v>347</v>
      </c>
      <c r="J1611" s="2" t="s">
        <v>284</v>
      </c>
      <c r="K1611" s="2" t="s">
        <v>1390</v>
      </c>
      <c r="L1611" s="3">
        <v>25.3</v>
      </c>
      <c r="M1611" s="3">
        <v>26.56</v>
      </c>
      <c r="N1611" s="3">
        <v>54.99</v>
      </c>
      <c r="O1611" s="2" t="s">
        <v>240</v>
      </c>
      <c r="P1611" s="2" t="s">
        <v>266</v>
      </c>
      <c r="Q1611" s="2" t="s">
        <v>234</v>
      </c>
      <c r="R1611" s="2" t="s">
        <v>228</v>
      </c>
      <c r="S1611" s="2" t="s">
        <v>8109</v>
      </c>
      <c r="T1611" s="2" t="s">
        <v>675</v>
      </c>
      <c r="U1611" s="2" t="s">
        <v>308</v>
      </c>
      <c r="V1611" s="2" t="s">
        <v>236</v>
      </c>
      <c r="W1611" s="2" t="s">
        <v>269</v>
      </c>
      <c r="X1611" s="2" t="s">
        <v>417</v>
      </c>
      <c r="Y1611" s="2" t="s">
        <v>270</v>
      </c>
      <c r="Z1611" s="4">
        <v>163</v>
      </c>
      <c r="AA1611" s="4">
        <f>=ROUNDDOWN(27.1666666666667,0)</f>
      </c>
      <c r="AB1611" s="5">
        <v>6</v>
      </c>
      <c r="AC1611" s="2" t="s">
        <v>1352</v>
      </c>
      <c r="AD1611" s="4">
        <v>40</v>
      </c>
      <c r="AE1611" s="4">
        <v>90</v>
      </c>
      <c r="AF1611" s="6">
        <v>65</v>
      </c>
      <c r="AG1611" s="6"/>
      <c r="AH1611" s="7">
        <v>1</v>
      </c>
      <c r="AI1611" s="4"/>
      <c r="AJ1611" s="4">
        <f>=ROUNDDOWN({0},0)</f>
      </c>
      <c r="AK1611" s="5"/>
      <c r="AL1611" s="2" t="s">
        <v>228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 t="s">
        <v>228</v>
      </c>
      <c r="AW1611" s="8" t="s">
        <v>228</v>
      </c>
      <c r="AX1611" s="4" t="s">
        <v>228</v>
      </c>
      <c r="AY1611" s="8" t="s">
        <v>228</v>
      </c>
      <c r="AZ1611" s="7" t="s">
        <v>228</v>
      </c>
      <c r="BA1611" s="7" t="s">
        <v>228</v>
      </c>
      <c r="BB1611" s="7"/>
      <c r="BC1611" s="4" t="s">
        <v>228</v>
      </c>
      <c r="BD1611" s="8" t="s">
        <v>228</v>
      </c>
      <c r="BE1611" s="4" t="s">
        <v>228</v>
      </c>
      <c r="BF1611" s="8" t="s">
        <v>228</v>
      </c>
      <c r="BG1611" s="7" t="s">
        <v>228</v>
      </c>
      <c r="BH1611" s="7" t="s">
        <v>228</v>
      </c>
      <c r="BI1611" s="7"/>
      <c r="BJ1611" s="4">
        <v>3</v>
      </c>
      <c r="BK1611" s="8">
        <v>85.77</v>
      </c>
      <c r="BL1611" s="2" t="s">
        <v>4134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8117</v>
      </c>
      <c r="BV1611" s="2" t="s">
        <v>228</v>
      </c>
      <c r="BW1611" s="2" t="s">
        <v>228</v>
      </c>
      <c r="BX1611" s="2" t="s">
        <v>273</v>
      </c>
      <c r="BY1611" s="2" t="s">
        <v>274</v>
      </c>
      <c r="BZ1611" s="2" t="s">
        <v>240</v>
      </c>
      <c r="CA1611" s="2" t="s">
        <v>275</v>
      </c>
      <c r="CB1611" s="2" t="s">
        <v>1365</v>
      </c>
      <c r="CC1611" s="2" t="s">
        <v>241</v>
      </c>
      <c r="CD1611" s="2" t="s">
        <v>228</v>
      </c>
      <c r="CE1611" s="4">
        <v>163</v>
      </c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>
        <v>40</v>
      </c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>
        <v>50</v>
      </c>
      <c r="EY1611" s="4"/>
      <c r="EZ1611" s="4"/>
      <c r="FA1611" s="4"/>
      <c r="FB1611" s="4"/>
      <c r="FC1611" s="4"/>
      <c r="FD1611" s="4"/>
      <c r="FE1611" s="4"/>
      <c r="FF1611" s="4"/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/>
      <c r="FX1611" s="4"/>
      <c r="FY1611" s="4"/>
      <c r="FZ1611" s="4"/>
      <c r="GA1611" s="4"/>
      <c r="GB1611" s="4"/>
      <c r="GC1611" s="4"/>
      <c r="GD1611" s="4"/>
      <c r="GE1611" s="4"/>
      <c r="GF1611" s="4"/>
      <c r="GG1611" s="4"/>
      <c r="GH1611" s="4"/>
      <c r="GI1611" s="4"/>
      <c r="GJ1611" s="4"/>
      <c r="GK1611" s="4"/>
      <c r="GL1611" s="4"/>
      <c r="GM1611" s="4"/>
      <c r="GN1611" s="4"/>
      <c r="GO1611" s="4"/>
      <c r="GP1611" s="4"/>
      <c r="GQ1611" s="4"/>
      <c r="GR1611" s="4"/>
      <c r="GS1611" s="4"/>
      <c r="GT1611" s="4"/>
      <c r="GU1611" s="4"/>
      <c r="GV1611" s="4"/>
      <c r="GW1611" s="4"/>
      <c r="GX1611" s="4"/>
      <c r="GY1611" s="4"/>
      <c r="GZ1611" s="4"/>
      <c r="HA1611" s="4"/>
      <c r="HB1611" s="4"/>
      <c r="HC1611" s="4"/>
      <c r="HD1611" s="4"/>
      <c r="HE1611" s="4"/>
    </row>
    <row r="1612">
      <c r="A1612" s="2" t="s">
        <v>8118</v>
      </c>
      <c r="B1612" s="2" t="s">
        <v>299</v>
      </c>
      <c r="C1612" s="2" t="s">
        <v>4000</v>
      </c>
      <c r="D1612" s="2" t="s">
        <v>301</v>
      </c>
      <c r="E1612" s="2" t="s">
        <v>302</v>
      </c>
      <c r="F1612" s="2" t="s">
        <v>7951</v>
      </c>
      <c r="G1612" s="2" t="s">
        <v>7951</v>
      </c>
      <c r="H1612" s="2" t="s">
        <v>7951</v>
      </c>
      <c r="I1612" s="2" t="s">
        <v>347</v>
      </c>
      <c r="J1612" s="2" t="s">
        <v>294</v>
      </c>
      <c r="K1612" s="2" t="s">
        <v>1390</v>
      </c>
      <c r="L1612" s="3">
        <v>31.2</v>
      </c>
      <c r="M1612" s="3">
        <v>32.76</v>
      </c>
      <c r="N1612" s="3">
        <v>64.99</v>
      </c>
      <c r="O1612" s="2" t="s">
        <v>240</v>
      </c>
      <c r="P1612" s="2" t="s">
        <v>266</v>
      </c>
      <c r="Q1612" s="2" t="s">
        <v>234</v>
      </c>
      <c r="R1612" s="2" t="s">
        <v>228</v>
      </c>
      <c r="S1612" s="2" t="s">
        <v>8109</v>
      </c>
      <c r="T1612" s="2" t="s">
        <v>675</v>
      </c>
      <c r="U1612" s="2" t="s">
        <v>308</v>
      </c>
      <c r="V1612" s="2" t="s">
        <v>236</v>
      </c>
      <c r="W1612" s="2" t="s">
        <v>269</v>
      </c>
      <c r="X1612" s="2" t="s">
        <v>417</v>
      </c>
      <c r="Y1612" s="2" t="s">
        <v>270</v>
      </c>
      <c r="Z1612" s="4">
        <v>293</v>
      </c>
      <c r="AA1612" s="4">
        <f>=ROUNDDOWN(26.6363636363636,0)</f>
      </c>
      <c r="AB1612" s="5">
        <v>11</v>
      </c>
      <c r="AC1612" s="2" t="s">
        <v>3792</v>
      </c>
      <c r="AD1612" s="4">
        <v>70</v>
      </c>
      <c r="AE1612" s="4">
        <v>180</v>
      </c>
      <c r="AF1612" s="6">
        <v>65</v>
      </c>
      <c r="AG1612" s="6"/>
      <c r="AH1612" s="7">
        <v>1</v>
      </c>
      <c r="AI1612" s="4"/>
      <c r="AJ1612" s="4">
        <f>=ROUNDDOWN({0},0)</f>
      </c>
      <c r="AK1612" s="5"/>
      <c r="AL1612" s="2" t="s">
        <v>228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 t="s">
        <v>228</v>
      </c>
      <c r="AW1612" s="8" t="s">
        <v>228</v>
      </c>
      <c r="AX1612" s="4" t="s">
        <v>228</v>
      </c>
      <c r="AY1612" s="8" t="s">
        <v>228</v>
      </c>
      <c r="AZ1612" s="7" t="s">
        <v>228</v>
      </c>
      <c r="BA1612" s="7" t="s">
        <v>228</v>
      </c>
      <c r="BB1612" s="7"/>
      <c r="BC1612" s="4" t="s">
        <v>228</v>
      </c>
      <c r="BD1612" s="8" t="s">
        <v>228</v>
      </c>
      <c r="BE1612" s="4" t="s">
        <v>228</v>
      </c>
      <c r="BF1612" s="8" t="s">
        <v>228</v>
      </c>
      <c r="BG1612" s="7" t="s">
        <v>228</v>
      </c>
      <c r="BH1612" s="7" t="s">
        <v>228</v>
      </c>
      <c r="BI1612" s="7"/>
      <c r="BJ1612" s="4">
        <v>7</v>
      </c>
      <c r="BK1612" s="8">
        <v>238.62</v>
      </c>
      <c r="BL1612" s="2" t="s">
        <v>4134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8119</v>
      </c>
      <c r="BV1612" s="2" t="s">
        <v>228</v>
      </c>
      <c r="BW1612" s="2" t="s">
        <v>228</v>
      </c>
      <c r="BX1612" s="2" t="s">
        <v>273</v>
      </c>
      <c r="BY1612" s="2" t="s">
        <v>274</v>
      </c>
      <c r="BZ1612" s="2" t="s">
        <v>240</v>
      </c>
      <c r="CA1612" s="2" t="s">
        <v>275</v>
      </c>
      <c r="CB1612" s="2" t="s">
        <v>8120</v>
      </c>
      <c r="CC1612" s="2" t="s">
        <v>241</v>
      </c>
      <c r="CD1612" s="2" t="s">
        <v>228</v>
      </c>
      <c r="CE1612" s="4">
        <v>293</v>
      </c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>
        <v>70</v>
      </c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  <c r="ES1612" s="4"/>
      <c r="ET1612" s="4"/>
      <c r="EU1612" s="4"/>
      <c r="EV1612" s="4"/>
      <c r="EW1612" s="4"/>
      <c r="EX1612" s="4">
        <v>110</v>
      </c>
      <c r="EY1612" s="4"/>
      <c r="EZ1612" s="4"/>
      <c r="FA1612" s="4"/>
      <c r="FB1612" s="4"/>
      <c r="FC1612" s="4"/>
      <c r="FD1612" s="4"/>
      <c r="FE1612" s="4"/>
      <c r="FF1612" s="4"/>
      <c r="FG1612" s="4"/>
      <c r="FH1612" s="4"/>
      <c r="FI1612" s="4"/>
      <c r="FJ1612" s="4"/>
      <c r="FK1612" s="4"/>
      <c r="FL1612" s="4"/>
      <c r="FM1612" s="4"/>
      <c r="FN1612" s="4"/>
      <c r="FO1612" s="4"/>
      <c r="FP1612" s="4"/>
      <c r="FQ1612" s="4"/>
      <c r="FR1612" s="4"/>
      <c r="FS1612" s="4"/>
      <c r="FT1612" s="4"/>
      <c r="FU1612" s="4"/>
      <c r="FV1612" s="4"/>
      <c r="FW1612" s="4"/>
      <c r="FX1612" s="4"/>
      <c r="FY1612" s="4"/>
      <c r="FZ1612" s="4"/>
      <c r="GA1612" s="4"/>
      <c r="GB1612" s="4"/>
      <c r="GC1612" s="4"/>
      <c r="GD1612" s="4"/>
      <c r="GE1612" s="4"/>
      <c r="GF1612" s="4"/>
      <c r="GG1612" s="4"/>
      <c r="GH1612" s="4"/>
      <c r="GI1612" s="4"/>
      <c r="GJ1612" s="4"/>
      <c r="GK1612" s="4"/>
      <c r="GL1612" s="4"/>
      <c r="GM1612" s="4"/>
      <c r="GN1612" s="4"/>
      <c r="GO1612" s="4"/>
      <c r="GP1612" s="4"/>
      <c r="GQ1612" s="4"/>
      <c r="GR1612" s="4"/>
      <c r="GS1612" s="4"/>
      <c r="GT1612" s="4"/>
      <c r="GU1612" s="4"/>
      <c r="GV1612" s="4"/>
      <c r="GW1612" s="4"/>
      <c r="GX1612" s="4"/>
      <c r="GY1612" s="4"/>
      <c r="GZ1612" s="4"/>
      <c r="HA1612" s="4"/>
      <c r="HB1612" s="4"/>
      <c r="HC1612" s="4"/>
      <c r="HD1612" s="4"/>
      <c r="HE1612" s="4"/>
    </row>
    <row r="1613">
      <c r="A1613" s="2" t="s">
        <v>8121</v>
      </c>
      <c r="B1613" s="2" t="s">
        <v>299</v>
      </c>
      <c r="C1613" s="2" t="s">
        <v>4000</v>
      </c>
      <c r="D1613" s="2" t="s">
        <v>301</v>
      </c>
      <c r="E1613" s="2" t="s">
        <v>302</v>
      </c>
      <c r="F1613" s="2" t="s">
        <v>7951</v>
      </c>
      <c r="G1613" s="2" t="s">
        <v>7951</v>
      </c>
      <c r="H1613" s="2" t="s">
        <v>7951</v>
      </c>
      <c r="I1613" s="2" t="s">
        <v>347</v>
      </c>
      <c r="J1613" s="2" t="s">
        <v>312</v>
      </c>
      <c r="K1613" s="2" t="s">
        <v>1390</v>
      </c>
      <c r="L1613" s="3">
        <v>31.85</v>
      </c>
      <c r="M1613" s="3">
        <v>33.44</v>
      </c>
      <c r="N1613" s="3">
        <v>64.99</v>
      </c>
      <c r="O1613" s="2" t="s">
        <v>240</v>
      </c>
      <c r="P1613" s="2" t="s">
        <v>266</v>
      </c>
      <c r="Q1613" s="2" t="s">
        <v>234</v>
      </c>
      <c r="R1613" s="2" t="s">
        <v>228</v>
      </c>
      <c r="S1613" s="2" t="s">
        <v>8109</v>
      </c>
      <c r="T1613" s="2" t="s">
        <v>675</v>
      </c>
      <c r="U1613" s="2" t="s">
        <v>308</v>
      </c>
      <c r="V1613" s="2" t="s">
        <v>236</v>
      </c>
      <c r="W1613" s="2" t="s">
        <v>269</v>
      </c>
      <c r="X1613" s="2" t="s">
        <v>417</v>
      </c>
      <c r="Y1613" s="2" t="s">
        <v>270</v>
      </c>
      <c r="Z1613" s="4">
        <v>133</v>
      </c>
      <c r="AA1613" s="4">
        <f>=ROUNDDOWN(26.6,0)</f>
      </c>
      <c r="AB1613" s="5">
        <v>5</v>
      </c>
      <c r="AC1613" s="2" t="s">
        <v>1352</v>
      </c>
      <c r="AD1613" s="4">
        <v>30</v>
      </c>
      <c r="AE1613" s="4">
        <v>70</v>
      </c>
      <c r="AF1613" s="6">
        <v>65</v>
      </c>
      <c r="AG1613" s="6"/>
      <c r="AH1613" s="7">
        <v>1</v>
      </c>
      <c r="AI1613" s="4"/>
      <c r="AJ1613" s="4">
        <f>=ROUNDDOWN({0},0)</f>
      </c>
      <c r="AK1613" s="5"/>
      <c r="AL1613" s="2" t="s">
        <v>228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 t="s">
        <v>228</v>
      </c>
      <c r="AW1613" s="8" t="s">
        <v>228</v>
      </c>
      <c r="AX1613" s="4" t="s">
        <v>228</v>
      </c>
      <c r="AY1613" s="8" t="s">
        <v>228</v>
      </c>
      <c r="AZ1613" s="7" t="s">
        <v>228</v>
      </c>
      <c r="BA1613" s="7" t="s">
        <v>228</v>
      </c>
      <c r="BB1613" s="7"/>
      <c r="BC1613" s="4" t="s">
        <v>228</v>
      </c>
      <c r="BD1613" s="8" t="s">
        <v>228</v>
      </c>
      <c r="BE1613" s="4" t="s">
        <v>228</v>
      </c>
      <c r="BF1613" s="8" t="s">
        <v>228</v>
      </c>
      <c r="BG1613" s="7" t="s">
        <v>228</v>
      </c>
      <c r="BH1613" s="7" t="s">
        <v>228</v>
      </c>
      <c r="BI1613" s="7"/>
      <c r="BJ1613" s="4">
        <v>9</v>
      </c>
      <c r="BK1613" s="8">
        <v>308.6</v>
      </c>
      <c r="BL1613" s="2" t="s">
        <v>4127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8122</v>
      </c>
      <c r="BV1613" s="2" t="s">
        <v>228</v>
      </c>
      <c r="BW1613" s="2" t="s">
        <v>228</v>
      </c>
      <c r="BX1613" s="2" t="s">
        <v>273</v>
      </c>
      <c r="BY1613" s="2" t="s">
        <v>274</v>
      </c>
      <c r="BZ1613" s="2" t="s">
        <v>240</v>
      </c>
      <c r="CA1613" s="2" t="s">
        <v>275</v>
      </c>
      <c r="CB1613" s="2" t="s">
        <v>8123</v>
      </c>
      <c r="CC1613" s="2" t="s">
        <v>241</v>
      </c>
      <c r="CD1613" s="2" t="s">
        <v>228</v>
      </c>
      <c r="CE1613" s="4">
        <v>133</v>
      </c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>
        <v>30</v>
      </c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>
        <v>40</v>
      </c>
      <c r="EY1613" s="4"/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/>
      <c r="GE1613" s="4"/>
      <c r="GF1613" s="4"/>
      <c r="GG1613" s="4"/>
      <c r="GH1613" s="4"/>
      <c r="GI1613" s="4"/>
      <c r="GJ1613" s="4"/>
      <c r="GK1613" s="4"/>
      <c r="GL1613" s="4"/>
      <c r="GM1613" s="4"/>
      <c r="GN1613" s="4"/>
      <c r="GO1613" s="4"/>
      <c r="GP1613" s="4"/>
      <c r="GQ1613" s="4"/>
      <c r="GR1613" s="4"/>
      <c r="GS1613" s="4"/>
      <c r="GT1613" s="4"/>
      <c r="GU1613" s="4"/>
      <c r="GV1613" s="4"/>
      <c r="GW1613" s="4"/>
      <c r="GX1613" s="4"/>
      <c r="GY1613" s="4"/>
      <c r="GZ1613" s="4"/>
      <c r="HA1613" s="4"/>
      <c r="HB1613" s="4"/>
      <c r="HC1613" s="4"/>
      <c r="HD1613" s="4"/>
      <c r="HE1613" s="4"/>
    </row>
    <row r="1614">
      <c r="A1614" s="2" t="s">
        <v>8124</v>
      </c>
      <c r="B1614" s="2" t="s">
        <v>299</v>
      </c>
      <c r="C1614" s="2" t="s">
        <v>849</v>
      </c>
      <c r="D1614" s="2" t="s">
        <v>301</v>
      </c>
      <c r="E1614" s="2" t="s">
        <v>302</v>
      </c>
      <c r="F1614" s="2" t="s">
        <v>415</v>
      </c>
      <c r="G1614" s="2" t="s">
        <v>415</v>
      </c>
      <c r="H1614" s="2" t="s">
        <v>415</v>
      </c>
      <c r="I1614" s="2" t="s">
        <v>8125</v>
      </c>
      <c r="J1614" s="2" t="s">
        <v>264</v>
      </c>
      <c r="K1614" s="2" t="s">
        <v>265</v>
      </c>
      <c r="L1614" s="3">
        <v>11.18</v>
      </c>
      <c r="M1614" s="3">
        <v>11.74</v>
      </c>
      <c r="N1614" s="3">
        <v>27.99</v>
      </c>
      <c r="O1614" s="2" t="s">
        <v>240</v>
      </c>
      <c r="P1614" s="2" t="s">
        <v>266</v>
      </c>
      <c r="Q1614" s="2" t="s">
        <v>234</v>
      </c>
      <c r="R1614" s="2" t="s">
        <v>228</v>
      </c>
      <c r="S1614" s="2" t="s">
        <v>8126</v>
      </c>
      <c r="T1614" s="2" t="s">
        <v>415</v>
      </c>
      <c r="U1614" s="2" t="s">
        <v>500</v>
      </c>
      <c r="V1614" s="2" t="s">
        <v>236</v>
      </c>
      <c r="W1614" s="2" t="s">
        <v>269</v>
      </c>
      <c r="X1614" s="2" t="s">
        <v>228</v>
      </c>
      <c r="Y1614" s="2" t="s">
        <v>8127</v>
      </c>
      <c r="Z1614" s="4">
        <v>69</v>
      </c>
      <c r="AA1614" s="4">
        <f>=ROUNDDOWN(17.25,0)</f>
      </c>
      <c r="AB1614" s="5">
        <v>4</v>
      </c>
      <c r="AC1614" s="2" t="s">
        <v>564</v>
      </c>
      <c r="AD1614" s="4">
        <v>30</v>
      </c>
      <c r="AE1614" s="4">
        <v>30</v>
      </c>
      <c r="AF1614" s="6">
        <v>65</v>
      </c>
      <c r="AG1614" s="6"/>
      <c r="AH1614" s="7">
        <v>1</v>
      </c>
      <c r="AI1614" s="4"/>
      <c r="AJ1614" s="4">
        <f>=ROUNDDOWN({0},0)</f>
      </c>
      <c r="AK1614" s="5"/>
      <c r="AL1614" s="2" t="s">
        <v>228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 t="s">
        <v>228</v>
      </c>
      <c r="AW1614" s="8" t="s">
        <v>228</v>
      </c>
      <c r="AX1614" s="4" t="s">
        <v>228</v>
      </c>
      <c r="AY1614" s="8" t="s">
        <v>228</v>
      </c>
      <c r="AZ1614" s="7" t="s">
        <v>228</v>
      </c>
      <c r="BA1614" s="7" t="s">
        <v>228</v>
      </c>
      <c r="BB1614" s="7"/>
      <c r="BC1614" s="4" t="s">
        <v>228</v>
      </c>
      <c r="BD1614" s="8" t="s">
        <v>228</v>
      </c>
      <c r="BE1614" s="4" t="s">
        <v>228</v>
      </c>
      <c r="BF1614" s="8" t="s">
        <v>228</v>
      </c>
      <c r="BG1614" s="7" t="s">
        <v>228</v>
      </c>
      <c r="BH1614" s="7" t="s">
        <v>228</v>
      </c>
      <c r="BI1614" s="7"/>
      <c r="BJ1614" s="4">
        <v>11</v>
      </c>
      <c r="BK1614" s="8">
        <v>138.16</v>
      </c>
      <c r="BL1614" s="2" t="s">
        <v>8128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8129</v>
      </c>
      <c r="BV1614" s="2" t="s">
        <v>228</v>
      </c>
      <c r="BW1614" s="2" t="s">
        <v>228</v>
      </c>
      <c r="BX1614" s="2" t="s">
        <v>273</v>
      </c>
      <c r="BY1614" s="2" t="s">
        <v>274</v>
      </c>
      <c r="BZ1614" s="2" t="s">
        <v>240</v>
      </c>
      <c r="CA1614" s="2" t="s">
        <v>378</v>
      </c>
      <c r="CB1614" s="2" t="s">
        <v>1874</v>
      </c>
      <c r="CC1614" s="2" t="s">
        <v>241</v>
      </c>
      <c r="CD1614" s="2" t="s">
        <v>228</v>
      </c>
      <c r="CE1614" s="4">
        <v>69</v>
      </c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>
        <v>30</v>
      </c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4"/>
      <c r="FF1614" s="4"/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/>
      <c r="FR1614" s="4"/>
      <c r="FS1614" s="4"/>
      <c r="FT1614" s="4"/>
      <c r="FU1614" s="4"/>
      <c r="FV1614" s="4"/>
      <c r="FW1614" s="4"/>
      <c r="FX1614" s="4"/>
      <c r="FY1614" s="4"/>
      <c r="FZ1614" s="4"/>
      <c r="GA1614" s="4"/>
      <c r="GB1614" s="4"/>
      <c r="GC1614" s="4"/>
      <c r="GD1614" s="4"/>
      <c r="GE1614" s="4"/>
      <c r="GF1614" s="4"/>
      <c r="GG1614" s="4"/>
      <c r="GH1614" s="4"/>
      <c r="GI1614" s="4"/>
      <c r="GJ1614" s="4"/>
      <c r="GK1614" s="4"/>
      <c r="GL1614" s="4"/>
      <c r="GM1614" s="4"/>
      <c r="GN1614" s="4"/>
      <c r="GO1614" s="4"/>
      <c r="GP1614" s="4"/>
      <c r="GQ1614" s="4"/>
      <c r="GR1614" s="4"/>
      <c r="GS1614" s="4"/>
      <c r="GT1614" s="4"/>
      <c r="GU1614" s="4"/>
      <c r="GV1614" s="4"/>
      <c r="GW1614" s="4"/>
      <c r="GX1614" s="4"/>
      <c r="GY1614" s="4"/>
      <c r="GZ1614" s="4"/>
      <c r="HA1614" s="4"/>
      <c r="HB1614" s="4"/>
      <c r="HC1614" s="4"/>
      <c r="HD1614" s="4"/>
      <c r="HE1614" s="4"/>
    </row>
    <row r="1615">
      <c r="A1615" s="2" t="s">
        <v>8130</v>
      </c>
      <c r="B1615" s="2" t="s">
        <v>299</v>
      </c>
      <c r="C1615" s="2" t="s">
        <v>849</v>
      </c>
      <c r="D1615" s="2" t="s">
        <v>301</v>
      </c>
      <c r="E1615" s="2" t="s">
        <v>302</v>
      </c>
      <c r="F1615" s="2" t="s">
        <v>415</v>
      </c>
      <c r="G1615" s="2" t="s">
        <v>415</v>
      </c>
      <c r="H1615" s="2" t="s">
        <v>415</v>
      </c>
      <c r="I1615" s="2" t="s">
        <v>8125</v>
      </c>
      <c r="J1615" s="2" t="s">
        <v>294</v>
      </c>
      <c r="K1615" s="2" t="s">
        <v>265</v>
      </c>
      <c r="L1615" s="3">
        <v>16.75</v>
      </c>
      <c r="M1615" s="3">
        <v>17.59</v>
      </c>
      <c r="N1615" s="3">
        <v>37.99</v>
      </c>
      <c r="O1615" s="2" t="s">
        <v>240</v>
      </c>
      <c r="P1615" s="2" t="s">
        <v>266</v>
      </c>
      <c r="Q1615" s="2" t="s">
        <v>234</v>
      </c>
      <c r="R1615" s="2" t="s">
        <v>228</v>
      </c>
      <c r="S1615" s="2" t="s">
        <v>8126</v>
      </c>
      <c r="T1615" s="2" t="s">
        <v>415</v>
      </c>
      <c r="U1615" s="2" t="s">
        <v>308</v>
      </c>
      <c r="V1615" s="2" t="s">
        <v>236</v>
      </c>
      <c r="W1615" s="2" t="s">
        <v>269</v>
      </c>
      <c r="X1615" s="2" t="s">
        <v>228</v>
      </c>
      <c r="Y1615" s="2" t="s">
        <v>8127</v>
      </c>
      <c r="Z1615" s="4">
        <v>113</v>
      </c>
      <c r="AA1615" s="4">
        <f>=ROUNDDOWN(37.6666666666667,0)</f>
      </c>
      <c r="AB1615" s="5">
        <v>3</v>
      </c>
      <c r="AC1615" s="2" t="s">
        <v>564</v>
      </c>
      <c r="AD1615" s="4">
        <v>90</v>
      </c>
      <c r="AE1615" s="4">
        <v>90</v>
      </c>
      <c r="AF1615" s="6">
        <v>65</v>
      </c>
      <c r="AG1615" s="6"/>
      <c r="AH1615" s="7">
        <v>0.9032</v>
      </c>
      <c r="AI1615" s="4"/>
      <c r="AJ1615" s="4">
        <f>=ROUNDDOWN({0},0)</f>
      </c>
      <c r="AK1615" s="5"/>
      <c r="AL1615" s="2" t="s">
        <v>228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 t="s">
        <v>228</v>
      </c>
      <c r="AW1615" s="8" t="s">
        <v>228</v>
      </c>
      <c r="AX1615" s="4" t="s">
        <v>228</v>
      </c>
      <c r="AY1615" s="8" t="s">
        <v>228</v>
      </c>
      <c r="AZ1615" s="7" t="s">
        <v>228</v>
      </c>
      <c r="BA1615" s="7" t="s">
        <v>228</v>
      </c>
      <c r="BB1615" s="7"/>
      <c r="BC1615" s="4" t="s">
        <v>228</v>
      </c>
      <c r="BD1615" s="8" t="s">
        <v>228</v>
      </c>
      <c r="BE1615" s="4" t="s">
        <v>228</v>
      </c>
      <c r="BF1615" s="8" t="s">
        <v>228</v>
      </c>
      <c r="BG1615" s="7" t="s">
        <v>228</v>
      </c>
      <c r="BH1615" s="7" t="s">
        <v>228</v>
      </c>
      <c r="BI1615" s="7"/>
      <c r="BJ1615" s="4">
        <v>12</v>
      </c>
      <c r="BK1615" s="8">
        <v>231.12</v>
      </c>
      <c r="BL1615" s="2" t="s">
        <v>3169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8131</v>
      </c>
      <c r="BV1615" s="2" t="s">
        <v>228</v>
      </c>
      <c r="BW1615" s="2" t="s">
        <v>228</v>
      </c>
      <c r="BX1615" s="2" t="s">
        <v>273</v>
      </c>
      <c r="BY1615" s="2" t="s">
        <v>274</v>
      </c>
      <c r="BZ1615" s="2" t="s">
        <v>240</v>
      </c>
      <c r="CA1615" s="2" t="s">
        <v>378</v>
      </c>
      <c r="CB1615" s="2" t="s">
        <v>228</v>
      </c>
      <c r="CC1615" s="2" t="s">
        <v>241</v>
      </c>
      <c r="CD1615" s="2" t="s">
        <v>228</v>
      </c>
      <c r="CE1615" s="4">
        <v>113</v>
      </c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>
        <v>90</v>
      </c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/>
      <c r="FA1615" s="4"/>
      <c r="FB1615" s="4"/>
      <c r="FC1615" s="4"/>
      <c r="FD1615" s="4"/>
      <c r="FE1615" s="4"/>
      <c r="FF1615" s="4"/>
      <c r="FG1615" s="4"/>
      <c r="FH1615" s="4"/>
      <c r="FI1615" s="4"/>
      <c r="FJ1615" s="4"/>
      <c r="FK1615" s="4"/>
      <c r="FL1615" s="4"/>
      <c r="FM1615" s="4"/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  <c r="FX1615" s="4"/>
      <c r="FY1615" s="4"/>
      <c r="FZ1615" s="4"/>
      <c r="GA1615" s="4"/>
      <c r="GB1615" s="4"/>
      <c r="GC1615" s="4"/>
      <c r="GD1615" s="4"/>
      <c r="GE1615" s="4"/>
      <c r="GF1615" s="4"/>
      <c r="GG1615" s="4"/>
      <c r="GH1615" s="4"/>
      <c r="GI1615" s="4"/>
      <c r="GJ1615" s="4"/>
      <c r="GK1615" s="4"/>
      <c r="GL1615" s="4"/>
      <c r="GM1615" s="4"/>
      <c r="GN1615" s="4"/>
      <c r="GO1615" s="4"/>
      <c r="GP1615" s="4"/>
      <c r="GQ1615" s="4"/>
      <c r="GR1615" s="4"/>
      <c r="GS1615" s="4"/>
      <c r="GT1615" s="4"/>
      <c r="GU1615" s="4"/>
      <c r="GV1615" s="4"/>
      <c r="GW1615" s="4"/>
      <c r="GX1615" s="4"/>
      <c r="GY1615" s="4"/>
      <c r="GZ1615" s="4"/>
      <c r="HA1615" s="4"/>
      <c r="HB1615" s="4"/>
      <c r="HC1615" s="4"/>
      <c r="HD1615" s="4"/>
      <c r="HE1615" s="4"/>
    </row>
    <row r="1616">
      <c r="A1616" s="2" t="s">
        <v>8132</v>
      </c>
      <c r="B1616" s="2" t="s">
        <v>299</v>
      </c>
      <c r="C1616" s="2" t="s">
        <v>849</v>
      </c>
      <c r="D1616" s="2" t="s">
        <v>301</v>
      </c>
      <c r="E1616" s="2" t="s">
        <v>302</v>
      </c>
      <c r="F1616" s="2" t="s">
        <v>415</v>
      </c>
      <c r="G1616" s="2" t="s">
        <v>415</v>
      </c>
      <c r="H1616" s="2" t="s">
        <v>415</v>
      </c>
      <c r="I1616" s="2" t="s">
        <v>8125</v>
      </c>
      <c r="J1616" s="2" t="s">
        <v>278</v>
      </c>
      <c r="K1616" s="2" t="s">
        <v>556</v>
      </c>
      <c r="L1616" s="3">
        <v>11.18</v>
      </c>
      <c r="M1616" s="3">
        <v>11.74</v>
      </c>
      <c r="N1616" s="3">
        <v>27.99</v>
      </c>
      <c r="O1616" s="2" t="s">
        <v>240</v>
      </c>
      <c r="P1616" s="2" t="s">
        <v>266</v>
      </c>
      <c r="Q1616" s="2" t="s">
        <v>234</v>
      </c>
      <c r="R1616" s="2" t="s">
        <v>228</v>
      </c>
      <c r="S1616" s="2" t="s">
        <v>8133</v>
      </c>
      <c r="T1616" s="2" t="s">
        <v>415</v>
      </c>
      <c r="U1616" s="2" t="s">
        <v>500</v>
      </c>
      <c r="V1616" s="2" t="s">
        <v>236</v>
      </c>
      <c r="W1616" s="2" t="s">
        <v>269</v>
      </c>
      <c r="X1616" s="2" t="s">
        <v>228</v>
      </c>
      <c r="Y1616" s="2" t="s">
        <v>8127</v>
      </c>
      <c r="Z1616" s="4">
        <v>194</v>
      </c>
      <c r="AA1616" s="4">
        <f>=ROUNDDOWN(97,0)</f>
      </c>
      <c r="AB1616" s="5">
        <v>2</v>
      </c>
      <c r="AC1616" s="2" t="s">
        <v>228</v>
      </c>
      <c r="AD1616" s="4"/>
      <c r="AE1616" s="4"/>
      <c r="AF1616" s="6">
        <v>65</v>
      </c>
      <c r="AG1616" s="6"/>
      <c r="AH1616" s="7">
        <v>1</v>
      </c>
      <c r="AI1616" s="4"/>
      <c r="AJ1616" s="4">
        <f>=ROUNDDOWN({0},0)</f>
      </c>
      <c r="AK1616" s="5"/>
      <c r="AL1616" s="2" t="s">
        <v>228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 t="s">
        <v>228</v>
      </c>
      <c r="AW1616" s="8" t="s">
        <v>228</v>
      </c>
      <c r="AX1616" s="4" t="s">
        <v>228</v>
      </c>
      <c r="AY1616" s="8" t="s">
        <v>228</v>
      </c>
      <c r="AZ1616" s="7" t="s">
        <v>228</v>
      </c>
      <c r="BA1616" s="7" t="s">
        <v>228</v>
      </c>
      <c r="BB1616" s="7"/>
      <c r="BC1616" s="4" t="s">
        <v>228</v>
      </c>
      <c r="BD1616" s="8" t="s">
        <v>228</v>
      </c>
      <c r="BE1616" s="4" t="s">
        <v>228</v>
      </c>
      <c r="BF1616" s="8" t="s">
        <v>228</v>
      </c>
      <c r="BG1616" s="7" t="s">
        <v>228</v>
      </c>
      <c r="BH1616" s="7" t="s">
        <v>228</v>
      </c>
      <c r="BI1616" s="7"/>
      <c r="BJ1616" s="4">
        <v>37</v>
      </c>
      <c r="BK1616" s="8">
        <v>473.91</v>
      </c>
      <c r="BL1616" s="2" t="s">
        <v>8128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8134</v>
      </c>
      <c r="BV1616" s="2" t="s">
        <v>228</v>
      </c>
      <c r="BW1616" s="2" t="s">
        <v>228</v>
      </c>
      <c r="BX1616" s="2" t="s">
        <v>273</v>
      </c>
      <c r="BY1616" s="2" t="s">
        <v>274</v>
      </c>
      <c r="BZ1616" s="2" t="s">
        <v>240</v>
      </c>
      <c r="CA1616" s="2" t="s">
        <v>378</v>
      </c>
      <c r="CB1616" s="2" t="s">
        <v>3438</v>
      </c>
      <c r="CC1616" s="2" t="s">
        <v>241</v>
      </c>
      <c r="CD1616" s="2" t="s">
        <v>228</v>
      </c>
      <c r="CE1616" s="4">
        <v>194</v>
      </c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4"/>
      <c r="FF1616" s="4"/>
      <c r="FG1616" s="4"/>
      <c r="FH1616" s="4"/>
      <c r="FI1616" s="4"/>
      <c r="FJ1616" s="4"/>
      <c r="FK1616" s="4"/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/>
      <c r="GE1616" s="4"/>
      <c r="GF1616" s="4"/>
      <c r="GG1616" s="4"/>
      <c r="GH1616" s="4"/>
      <c r="GI1616" s="4"/>
      <c r="GJ1616" s="4"/>
      <c r="GK1616" s="4"/>
      <c r="GL1616" s="4"/>
      <c r="GM1616" s="4"/>
      <c r="GN1616" s="4"/>
      <c r="GO1616" s="4"/>
      <c r="GP1616" s="4"/>
      <c r="GQ1616" s="4"/>
      <c r="GR1616" s="4"/>
      <c r="GS1616" s="4"/>
      <c r="GT1616" s="4"/>
      <c r="GU1616" s="4"/>
      <c r="GV1616" s="4"/>
      <c r="GW1616" s="4"/>
      <c r="GX1616" s="4"/>
      <c r="GY1616" s="4"/>
      <c r="GZ1616" s="4"/>
      <c r="HA1616" s="4"/>
      <c r="HB1616" s="4"/>
      <c r="HC1616" s="4"/>
      <c r="HD1616" s="4"/>
      <c r="HE1616" s="4"/>
    </row>
    <row r="1617">
      <c r="A1617" s="2" t="s">
        <v>8135</v>
      </c>
      <c r="B1617" s="2" t="s">
        <v>299</v>
      </c>
      <c r="C1617" s="2" t="s">
        <v>849</v>
      </c>
      <c r="D1617" s="2" t="s">
        <v>301</v>
      </c>
      <c r="E1617" s="2" t="s">
        <v>302</v>
      </c>
      <c r="F1617" s="2" t="s">
        <v>415</v>
      </c>
      <c r="G1617" s="2" t="s">
        <v>415</v>
      </c>
      <c r="H1617" s="2" t="s">
        <v>415</v>
      </c>
      <c r="I1617" s="2" t="s">
        <v>8125</v>
      </c>
      <c r="J1617" s="2" t="s">
        <v>289</v>
      </c>
      <c r="K1617" s="2" t="s">
        <v>556</v>
      </c>
      <c r="L1617" s="3">
        <v>14.21</v>
      </c>
      <c r="M1617" s="3">
        <v>14.92</v>
      </c>
      <c r="N1617" s="3">
        <v>32.99</v>
      </c>
      <c r="O1617" s="2" t="s">
        <v>240</v>
      </c>
      <c r="P1617" s="2" t="s">
        <v>266</v>
      </c>
      <c r="Q1617" s="2" t="s">
        <v>234</v>
      </c>
      <c r="R1617" s="2" t="s">
        <v>228</v>
      </c>
      <c r="S1617" s="2" t="s">
        <v>8133</v>
      </c>
      <c r="T1617" s="2" t="s">
        <v>415</v>
      </c>
      <c r="U1617" s="2" t="s">
        <v>308</v>
      </c>
      <c r="V1617" s="2" t="s">
        <v>236</v>
      </c>
      <c r="W1617" s="2" t="s">
        <v>269</v>
      </c>
      <c r="X1617" s="2" t="s">
        <v>228</v>
      </c>
      <c r="Y1617" s="2" t="s">
        <v>8127</v>
      </c>
      <c r="Z1617" s="4">
        <v>199</v>
      </c>
      <c r="AA1617" s="4">
        <f>=ROUNDDOWN(33.1666666666667,0)</f>
      </c>
      <c r="AB1617" s="5">
        <v>6</v>
      </c>
      <c r="AC1617" s="2" t="s">
        <v>3531</v>
      </c>
      <c r="AD1617" s="4">
        <v>120</v>
      </c>
      <c r="AE1617" s="4">
        <v>120</v>
      </c>
      <c r="AF1617" s="6">
        <v>65</v>
      </c>
      <c r="AG1617" s="6"/>
      <c r="AH1617" s="7">
        <v>1</v>
      </c>
      <c r="AI1617" s="4"/>
      <c r="AJ1617" s="4">
        <f>=ROUNDDOWN({0},0)</f>
      </c>
      <c r="AK1617" s="5"/>
      <c r="AL1617" s="2" t="s">
        <v>228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 t="s">
        <v>228</v>
      </c>
      <c r="AW1617" s="8" t="s">
        <v>228</v>
      </c>
      <c r="AX1617" s="4" t="s">
        <v>228</v>
      </c>
      <c r="AY1617" s="8" t="s">
        <v>228</v>
      </c>
      <c r="AZ1617" s="7" t="s">
        <v>228</v>
      </c>
      <c r="BA1617" s="7" t="s">
        <v>228</v>
      </c>
      <c r="BB1617" s="7"/>
      <c r="BC1617" s="4" t="s">
        <v>228</v>
      </c>
      <c r="BD1617" s="8" t="s">
        <v>228</v>
      </c>
      <c r="BE1617" s="4" t="s">
        <v>228</v>
      </c>
      <c r="BF1617" s="8" t="s">
        <v>228</v>
      </c>
      <c r="BG1617" s="7" t="s">
        <v>228</v>
      </c>
      <c r="BH1617" s="7" t="s">
        <v>228</v>
      </c>
      <c r="BI1617" s="7"/>
      <c r="BJ1617" s="4">
        <v>23</v>
      </c>
      <c r="BK1617" s="8">
        <v>370.94</v>
      </c>
      <c r="BL1617" s="2" t="s">
        <v>8136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8137</v>
      </c>
      <c r="BV1617" s="2" t="s">
        <v>228</v>
      </c>
      <c r="BW1617" s="2" t="s">
        <v>228</v>
      </c>
      <c r="BX1617" s="2" t="s">
        <v>273</v>
      </c>
      <c r="BY1617" s="2" t="s">
        <v>274</v>
      </c>
      <c r="BZ1617" s="2" t="s">
        <v>240</v>
      </c>
      <c r="CA1617" s="2" t="s">
        <v>378</v>
      </c>
      <c r="CB1617" s="2" t="s">
        <v>8138</v>
      </c>
      <c r="CC1617" s="2" t="s">
        <v>241</v>
      </c>
      <c r="CD1617" s="2" t="s">
        <v>228</v>
      </c>
      <c r="CE1617" s="4">
        <v>199</v>
      </c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/>
      <c r="GE1617" s="4"/>
      <c r="GF1617" s="4"/>
      <c r="GG1617" s="4"/>
      <c r="GH1617" s="4"/>
      <c r="GI1617" s="4"/>
      <c r="GJ1617" s="4"/>
      <c r="GK1617" s="4"/>
      <c r="GL1617" s="4"/>
      <c r="GM1617" s="4"/>
      <c r="GN1617" s="4"/>
      <c r="GO1617" s="4"/>
      <c r="GP1617" s="4"/>
      <c r="GQ1617" s="4"/>
      <c r="GR1617" s="4"/>
      <c r="GS1617" s="4"/>
      <c r="GT1617" s="4"/>
      <c r="GU1617" s="4"/>
      <c r="GV1617" s="4"/>
      <c r="GW1617" s="4"/>
      <c r="GX1617" s="4"/>
      <c r="GY1617" s="4"/>
      <c r="GZ1617" s="4"/>
      <c r="HA1617" s="4"/>
      <c r="HB1617" s="4"/>
      <c r="HC1617" s="4"/>
      <c r="HD1617" s="4"/>
      <c r="HE1617" s="4">
        <v>120</v>
      </c>
    </row>
    <row r="1618">
      <c r="A1618" s="2" t="s">
        <v>8139</v>
      </c>
      <c r="B1618" s="2" t="s">
        <v>299</v>
      </c>
      <c r="C1618" s="2" t="s">
        <v>849</v>
      </c>
      <c r="D1618" s="2" t="s">
        <v>301</v>
      </c>
      <c r="E1618" s="2" t="s">
        <v>302</v>
      </c>
      <c r="F1618" s="2" t="s">
        <v>415</v>
      </c>
      <c r="G1618" s="2" t="s">
        <v>415</v>
      </c>
      <c r="H1618" s="2" t="s">
        <v>415</v>
      </c>
      <c r="I1618" s="2" t="s">
        <v>8140</v>
      </c>
      <c r="J1618" s="2" t="s">
        <v>264</v>
      </c>
      <c r="K1618" s="2" t="s">
        <v>1466</v>
      </c>
      <c r="L1618" s="3">
        <v>12.15</v>
      </c>
      <c r="M1618" s="3">
        <v>12.76</v>
      </c>
      <c r="N1618" s="3">
        <v>26.99</v>
      </c>
      <c r="O1618" s="2" t="s">
        <v>240</v>
      </c>
      <c r="P1618" s="2" t="s">
        <v>266</v>
      </c>
      <c r="Q1618" s="2" t="s">
        <v>234</v>
      </c>
      <c r="R1618" s="2" t="s">
        <v>228</v>
      </c>
      <c r="S1618" s="2" t="s">
        <v>8141</v>
      </c>
      <c r="T1618" s="2" t="s">
        <v>415</v>
      </c>
      <c r="U1618" s="2" t="s">
        <v>308</v>
      </c>
      <c r="V1618" s="2" t="s">
        <v>236</v>
      </c>
      <c r="W1618" s="2" t="s">
        <v>269</v>
      </c>
      <c r="X1618" s="2" t="s">
        <v>417</v>
      </c>
      <c r="Y1618" s="2" t="s">
        <v>8142</v>
      </c>
      <c r="Z1618" s="4">
        <v>278</v>
      </c>
      <c r="AA1618" s="4">
        <f>=ROUNDDOWN(92.6666666666667,0)</f>
      </c>
      <c r="AB1618" s="5">
        <v>3</v>
      </c>
      <c r="AC1618" s="2" t="s">
        <v>228</v>
      </c>
      <c r="AD1618" s="4"/>
      <c r="AE1618" s="4"/>
      <c r="AF1618" s="6">
        <v>65</v>
      </c>
      <c r="AG1618" s="6"/>
      <c r="AH1618" s="7">
        <v>1</v>
      </c>
      <c r="AI1618" s="4"/>
      <c r="AJ1618" s="4">
        <f>=ROUNDDOWN({0},0)</f>
      </c>
      <c r="AK1618" s="5"/>
      <c r="AL1618" s="2" t="s">
        <v>228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 t="s">
        <v>228</v>
      </c>
      <c r="AW1618" s="8" t="s">
        <v>228</v>
      </c>
      <c r="AX1618" s="4" t="s">
        <v>228</v>
      </c>
      <c r="AY1618" s="8" t="s">
        <v>228</v>
      </c>
      <c r="AZ1618" s="7" t="s">
        <v>228</v>
      </c>
      <c r="BA1618" s="7" t="s">
        <v>228</v>
      </c>
      <c r="BB1618" s="7"/>
      <c r="BC1618" s="4" t="s">
        <v>228</v>
      </c>
      <c r="BD1618" s="8" t="s">
        <v>228</v>
      </c>
      <c r="BE1618" s="4" t="s">
        <v>228</v>
      </c>
      <c r="BF1618" s="8" t="s">
        <v>228</v>
      </c>
      <c r="BG1618" s="7" t="s">
        <v>228</v>
      </c>
      <c r="BH1618" s="7" t="s">
        <v>228</v>
      </c>
      <c r="BI1618" s="7"/>
      <c r="BJ1618" s="4">
        <v>11</v>
      </c>
      <c r="BK1618" s="8">
        <v>140.89</v>
      </c>
      <c r="BL1618" s="2" t="s">
        <v>7730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8143</v>
      </c>
      <c r="BV1618" s="2" t="s">
        <v>228</v>
      </c>
      <c r="BW1618" s="2" t="s">
        <v>228</v>
      </c>
      <c r="BX1618" s="2" t="s">
        <v>273</v>
      </c>
      <c r="BY1618" s="2" t="s">
        <v>274</v>
      </c>
      <c r="BZ1618" s="2" t="s">
        <v>240</v>
      </c>
      <c r="CA1618" s="2" t="s">
        <v>8144</v>
      </c>
      <c r="CB1618" s="2" t="s">
        <v>5690</v>
      </c>
      <c r="CC1618" s="2" t="s">
        <v>241</v>
      </c>
      <c r="CD1618" s="2" t="s">
        <v>228</v>
      </c>
      <c r="CE1618" s="4">
        <v>278</v>
      </c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4"/>
      <c r="FF1618" s="4"/>
      <c r="FG1618" s="4"/>
      <c r="FH1618" s="4"/>
      <c r="FI1618" s="4"/>
      <c r="FJ1618" s="4"/>
      <c r="FK1618" s="4"/>
      <c r="FL1618" s="4"/>
      <c r="FM1618" s="4"/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  <c r="FX1618" s="4"/>
      <c r="FY1618" s="4"/>
      <c r="FZ1618" s="4"/>
      <c r="GA1618" s="4"/>
      <c r="GB1618" s="4"/>
      <c r="GC1618" s="4"/>
      <c r="GD1618" s="4"/>
      <c r="GE1618" s="4"/>
      <c r="GF1618" s="4"/>
      <c r="GG1618" s="4"/>
      <c r="GH1618" s="4"/>
      <c r="GI1618" s="4"/>
      <c r="GJ1618" s="4"/>
      <c r="GK1618" s="4"/>
      <c r="GL1618" s="4"/>
      <c r="GM1618" s="4"/>
      <c r="GN1618" s="4"/>
      <c r="GO1618" s="4"/>
      <c r="GP1618" s="4"/>
      <c r="GQ1618" s="4"/>
      <c r="GR1618" s="4"/>
      <c r="GS1618" s="4"/>
      <c r="GT1618" s="4"/>
      <c r="GU1618" s="4"/>
      <c r="GV1618" s="4"/>
      <c r="GW1618" s="4"/>
      <c r="GX1618" s="4"/>
      <c r="GY1618" s="4"/>
      <c r="GZ1618" s="4"/>
      <c r="HA1618" s="4"/>
      <c r="HB1618" s="4"/>
      <c r="HC1618" s="4"/>
      <c r="HD1618" s="4"/>
      <c r="HE1618" s="4"/>
    </row>
    <row r="1619">
      <c r="A1619" s="2" t="s">
        <v>8145</v>
      </c>
      <c r="B1619" s="2" t="s">
        <v>299</v>
      </c>
      <c r="C1619" s="2" t="s">
        <v>849</v>
      </c>
      <c r="D1619" s="2" t="s">
        <v>301</v>
      </c>
      <c r="E1619" s="2" t="s">
        <v>302</v>
      </c>
      <c r="F1619" s="2" t="s">
        <v>415</v>
      </c>
      <c r="G1619" s="2" t="s">
        <v>415</v>
      </c>
      <c r="H1619" s="2" t="s">
        <v>415</v>
      </c>
      <c r="I1619" s="2" t="s">
        <v>8140</v>
      </c>
      <c r="J1619" s="2" t="s">
        <v>278</v>
      </c>
      <c r="K1619" s="2" t="s">
        <v>1466</v>
      </c>
      <c r="L1619" s="3">
        <v>12.15</v>
      </c>
      <c r="M1619" s="3">
        <v>12.76</v>
      </c>
      <c r="N1619" s="3">
        <v>26.99</v>
      </c>
      <c r="O1619" s="2" t="s">
        <v>240</v>
      </c>
      <c r="P1619" s="2" t="s">
        <v>266</v>
      </c>
      <c r="Q1619" s="2" t="s">
        <v>234</v>
      </c>
      <c r="R1619" s="2" t="s">
        <v>228</v>
      </c>
      <c r="S1619" s="2" t="s">
        <v>8141</v>
      </c>
      <c r="T1619" s="2" t="s">
        <v>415</v>
      </c>
      <c r="U1619" s="2" t="s">
        <v>308</v>
      </c>
      <c r="V1619" s="2" t="s">
        <v>236</v>
      </c>
      <c r="W1619" s="2" t="s">
        <v>269</v>
      </c>
      <c r="X1619" s="2" t="s">
        <v>417</v>
      </c>
      <c r="Y1619" s="2" t="s">
        <v>8142</v>
      </c>
      <c r="Z1619" s="4">
        <v>632</v>
      </c>
      <c r="AA1619" s="4">
        <f>=ROUNDDOWN(90.2857142857143,0)</f>
      </c>
      <c r="AB1619" s="5">
        <v>7</v>
      </c>
      <c r="AC1619" s="2" t="s">
        <v>228</v>
      </c>
      <c r="AD1619" s="4"/>
      <c r="AE1619" s="4"/>
      <c r="AF1619" s="6">
        <v>65</v>
      </c>
      <c r="AG1619" s="6"/>
      <c r="AH1619" s="7">
        <v>1</v>
      </c>
      <c r="AI1619" s="4"/>
      <c r="AJ1619" s="4">
        <f>=ROUNDDOWN({0},0)</f>
      </c>
      <c r="AK1619" s="5"/>
      <c r="AL1619" s="2" t="s">
        <v>228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228</v>
      </c>
      <c r="AW1619" s="8" t="s">
        <v>228</v>
      </c>
      <c r="AX1619" s="4" t="s">
        <v>228</v>
      </c>
      <c r="AY1619" s="8" t="s">
        <v>228</v>
      </c>
      <c r="AZ1619" s="7" t="s">
        <v>228</v>
      </c>
      <c r="BA1619" s="7" t="s">
        <v>228</v>
      </c>
      <c r="BB1619" s="7"/>
      <c r="BC1619" s="4" t="s">
        <v>228</v>
      </c>
      <c r="BD1619" s="8" t="s">
        <v>228</v>
      </c>
      <c r="BE1619" s="4" t="s">
        <v>228</v>
      </c>
      <c r="BF1619" s="8" t="s">
        <v>228</v>
      </c>
      <c r="BG1619" s="7" t="s">
        <v>228</v>
      </c>
      <c r="BH1619" s="7" t="s">
        <v>228</v>
      </c>
      <c r="BI1619" s="7"/>
      <c r="BJ1619" s="4">
        <v>127</v>
      </c>
      <c r="BK1619" s="8">
        <v>1642.58</v>
      </c>
      <c r="BL1619" s="2" t="s">
        <v>8146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8147</v>
      </c>
      <c r="BV1619" s="2" t="s">
        <v>228</v>
      </c>
      <c r="BW1619" s="2" t="s">
        <v>228</v>
      </c>
      <c r="BX1619" s="2" t="s">
        <v>273</v>
      </c>
      <c r="BY1619" s="2" t="s">
        <v>274</v>
      </c>
      <c r="BZ1619" s="2" t="s">
        <v>240</v>
      </c>
      <c r="CA1619" s="2" t="s">
        <v>8144</v>
      </c>
      <c r="CB1619" s="2" t="s">
        <v>8148</v>
      </c>
      <c r="CC1619" s="2" t="s">
        <v>241</v>
      </c>
      <c r="CD1619" s="2" t="s">
        <v>228</v>
      </c>
      <c r="CE1619" s="4">
        <v>632</v>
      </c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/>
      <c r="FF1619" s="4"/>
      <c r="FG1619" s="4"/>
      <c r="FH1619" s="4"/>
      <c r="FI1619" s="4"/>
      <c r="FJ1619" s="4"/>
      <c r="FK1619" s="4"/>
      <c r="FL1619" s="4"/>
      <c r="FM1619" s="4"/>
      <c r="FN1619" s="4"/>
      <c r="FO1619" s="4"/>
      <c r="FP1619" s="4"/>
      <c r="FQ1619" s="4"/>
      <c r="FR1619" s="4"/>
      <c r="FS1619" s="4"/>
      <c r="FT1619" s="4"/>
      <c r="FU1619" s="4"/>
      <c r="FV1619" s="4"/>
      <c r="FW1619" s="4"/>
      <c r="FX1619" s="4"/>
      <c r="FY1619" s="4"/>
      <c r="FZ1619" s="4"/>
      <c r="GA1619" s="4"/>
      <c r="GB1619" s="4"/>
      <c r="GC1619" s="4"/>
      <c r="GD1619" s="4"/>
      <c r="GE1619" s="4"/>
      <c r="GF1619" s="4"/>
      <c r="GG1619" s="4"/>
      <c r="GH1619" s="4"/>
      <c r="GI1619" s="4"/>
      <c r="GJ1619" s="4"/>
      <c r="GK1619" s="4"/>
      <c r="GL1619" s="4"/>
      <c r="GM1619" s="4"/>
      <c r="GN1619" s="4"/>
      <c r="GO1619" s="4"/>
      <c r="GP1619" s="4"/>
      <c r="GQ1619" s="4"/>
      <c r="GR1619" s="4"/>
      <c r="GS1619" s="4"/>
      <c r="GT1619" s="4"/>
      <c r="GU1619" s="4"/>
      <c r="GV1619" s="4"/>
      <c r="GW1619" s="4"/>
      <c r="GX1619" s="4"/>
      <c r="GY1619" s="4"/>
      <c r="GZ1619" s="4"/>
      <c r="HA1619" s="4"/>
      <c r="HB1619" s="4"/>
      <c r="HC1619" s="4"/>
      <c r="HD1619" s="4"/>
      <c r="HE1619" s="4"/>
    </row>
    <row r="1620">
      <c r="A1620" s="2" t="s">
        <v>8149</v>
      </c>
      <c r="B1620" s="2" t="s">
        <v>299</v>
      </c>
      <c r="C1620" s="2" t="s">
        <v>849</v>
      </c>
      <c r="D1620" s="2" t="s">
        <v>301</v>
      </c>
      <c r="E1620" s="2" t="s">
        <v>302</v>
      </c>
      <c r="F1620" s="2" t="s">
        <v>415</v>
      </c>
      <c r="G1620" s="2" t="s">
        <v>415</v>
      </c>
      <c r="H1620" s="2" t="s">
        <v>415</v>
      </c>
      <c r="I1620" s="2" t="s">
        <v>8125</v>
      </c>
      <c r="J1620" s="2" t="s">
        <v>284</v>
      </c>
      <c r="K1620" s="2" t="s">
        <v>1466</v>
      </c>
      <c r="L1620" s="3">
        <v>12.92</v>
      </c>
      <c r="M1620" s="3">
        <v>13.57</v>
      </c>
      <c r="N1620" s="3">
        <v>30.99</v>
      </c>
      <c r="O1620" s="2" t="s">
        <v>240</v>
      </c>
      <c r="P1620" s="2" t="s">
        <v>266</v>
      </c>
      <c r="Q1620" s="2" t="s">
        <v>234</v>
      </c>
      <c r="R1620" s="2" t="s">
        <v>228</v>
      </c>
      <c r="S1620" s="2" t="s">
        <v>8141</v>
      </c>
      <c r="T1620" s="2" t="s">
        <v>415</v>
      </c>
      <c r="U1620" s="2" t="s">
        <v>228</v>
      </c>
      <c r="V1620" s="2" t="s">
        <v>236</v>
      </c>
      <c r="W1620" s="2" t="s">
        <v>269</v>
      </c>
      <c r="X1620" s="2" t="s">
        <v>228</v>
      </c>
      <c r="Y1620" s="2" t="s">
        <v>270</v>
      </c>
      <c r="Z1620" s="4">
        <v>84</v>
      </c>
      <c r="AA1620" s="4">
        <f>=ROUNDDOWN(10.5,0)</f>
      </c>
      <c r="AB1620" s="5">
        <v>8</v>
      </c>
      <c r="AC1620" s="2" t="s">
        <v>187</v>
      </c>
      <c r="AD1620" s="4">
        <v>100</v>
      </c>
      <c r="AE1620" s="4">
        <v>180</v>
      </c>
      <c r="AF1620" s="6">
        <v>65</v>
      </c>
      <c r="AG1620" s="6"/>
      <c r="AH1620" s="7">
        <v>1</v>
      </c>
      <c r="AI1620" s="4"/>
      <c r="AJ1620" s="4">
        <f>=ROUNDDOWN({0},0)</f>
      </c>
      <c r="AK1620" s="5"/>
      <c r="AL1620" s="2" t="s">
        <v>228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 t="s">
        <v>228</v>
      </c>
      <c r="AW1620" s="8" t="s">
        <v>228</v>
      </c>
      <c r="AX1620" s="4" t="s">
        <v>228</v>
      </c>
      <c r="AY1620" s="8" t="s">
        <v>228</v>
      </c>
      <c r="AZ1620" s="7" t="s">
        <v>228</v>
      </c>
      <c r="BA1620" s="7" t="s">
        <v>228</v>
      </c>
      <c r="BB1620" s="7" t="s">
        <v>228</v>
      </c>
      <c r="BC1620" s="4" t="s">
        <v>228</v>
      </c>
      <c r="BD1620" s="8" t="s">
        <v>228</v>
      </c>
      <c r="BE1620" s="4" t="s">
        <v>228</v>
      </c>
      <c r="BF1620" s="8" t="s">
        <v>228</v>
      </c>
      <c r="BG1620" s="7" t="s">
        <v>228</v>
      </c>
      <c r="BH1620" s="7" t="s">
        <v>228</v>
      </c>
      <c r="BI1620" s="7"/>
      <c r="BJ1620" s="4">
        <v>36</v>
      </c>
      <c r="BK1620" s="8">
        <v>527.04</v>
      </c>
      <c r="BL1620" s="2" t="s">
        <v>8150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8151</v>
      </c>
      <c r="BV1620" s="2" t="s">
        <v>228</v>
      </c>
      <c r="BW1620" s="2" t="s">
        <v>228</v>
      </c>
      <c r="BX1620" s="2" t="s">
        <v>273</v>
      </c>
      <c r="BY1620" s="2" t="s">
        <v>274</v>
      </c>
      <c r="BZ1620" s="2" t="s">
        <v>240</v>
      </c>
      <c r="CA1620" s="2" t="s">
        <v>2110</v>
      </c>
      <c r="CB1620" s="2" t="s">
        <v>8152</v>
      </c>
      <c r="CC1620" s="2" t="s">
        <v>241</v>
      </c>
      <c r="CD1620" s="2" t="s">
        <v>228</v>
      </c>
      <c r="CE1620" s="4">
        <v>84</v>
      </c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/>
      <c r="FG1620" s="4"/>
      <c r="FH1620" s="4"/>
      <c r="FI1620" s="4"/>
      <c r="FJ1620" s="4"/>
      <c r="FK1620" s="4"/>
      <c r="FL1620" s="4"/>
      <c r="FM1620" s="4"/>
      <c r="FN1620" s="4"/>
      <c r="FO1620" s="4"/>
      <c r="FP1620" s="4"/>
      <c r="FQ1620" s="4"/>
      <c r="FR1620" s="4"/>
      <c r="FS1620" s="4"/>
      <c r="FT1620" s="4"/>
      <c r="FU1620" s="4"/>
      <c r="FV1620" s="4"/>
      <c r="FW1620" s="4">
        <v>100</v>
      </c>
      <c r="FX1620" s="4"/>
      <c r="FY1620" s="4"/>
      <c r="FZ1620" s="4"/>
      <c r="GA1620" s="4"/>
      <c r="GB1620" s="4">
        <v>30</v>
      </c>
      <c r="GC1620" s="4"/>
      <c r="GD1620" s="4"/>
      <c r="GE1620" s="4"/>
      <c r="GF1620" s="4"/>
      <c r="GG1620" s="4"/>
      <c r="GH1620" s="4"/>
      <c r="GI1620" s="4"/>
      <c r="GJ1620" s="4"/>
      <c r="GK1620" s="4"/>
      <c r="GL1620" s="4"/>
      <c r="GM1620" s="4"/>
      <c r="GN1620" s="4"/>
      <c r="GO1620" s="4"/>
      <c r="GP1620" s="4"/>
      <c r="GQ1620" s="4"/>
      <c r="GR1620" s="4"/>
      <c r="GS1620" s="4">
        <v>30</v>
      </c>
      <c r="GT1620" s="4"/>
      <c r="GU1620" s="4"/>
      <c r="GV1620" s="4"/>
      <c r="GW1620" s="4"/>
      <c r="GX1620" s="4"/>
      <c r="GY1620" s="4"/>
      <c r="GZ1620" s="4"/>
      <c r="HA1620" s="4"/>
      <c r="HB1620" s="4"/>
      <c r="HC1620" s="4"/>
      <c r="HD1620" s="4"/>
      <c r="HE1620" s="4">
        <v>20</v>
      </c>
    </row>
    <row r="1621">
      <c r="A1621" s="2" t="s">
        <v>8153</v>
      </c>
      <c r="B1621" s="2" t="s">
        <v>299</v>
      </c>
      <c r="C1621" s="2" t="s">
        <v>849</v>
      </c>
      <c r="D1621" s="2" t="s">
        <v>301</v>
      </c>
      <c r="E1621" s="2" t="s">
        <v>302</v>
      </c>
      <c r="F1621" s="2" t="s">
        <v>415</v>
      </c>
      <c r="G1621" s="2" t="s">
        <v>415</v>
      </c>
      <c r="H1621" s="2" t="s">
        <v>415</v>
      </c>
      <c r="I1621" s="2" t="s">
        <v>8140</v>
      </c>
      <c r="J1621" s="2" t="s">
        <v>284</v>
      </c>
      <c r="K1621" s="2" t="s">
        <v>1466</v>
      </c>
      <c r="L1621" s="3">
        <v>14.85</v>
      </c>
      <c r="M1621" s="3">
        <v>15.59</v>
      </c>
      <c r="N1621" s="3">
        <v>32.99</v>
      </c>
      <c r="O1621" s="2" t="s">
        <v>240</v>
      </c>
      <c r="P1621" s="2" t="s">
        <v>266</v>
      </c>
      <c r="Q1621" s="2" t="s">
        <v>234</v>
      </c>
      <c r="R1621" s="2" t="s">
        <v>228</v>
      </c>
      <c r="S1621" s="2" t="s">
        <v>8141</v>
      </c>
      <c r="T1621" s="2" t="s">
        <v>415</v>
      </c>
      <c r="U1621" s="2" t="s">
        <v>1054</v>
      </c>
      <c r="V1621" s="2" t="s">
        <v>236</v>
      </c>
      <c r="W1621" s="2" t="s">
        <v>269</v>
      </c>
      <c r="X1621" s="2" t="s">
        <v>417</v>
      </c>
      <c r="Y1621" s="2" t="s">
        <v>8142</v>
      </c>
      <c r="Z1621" s="4">
        <v>70</v>
      </c>
      <c r="AA1621" s="4">
        <f>=ROUNDDOWN(28,0)</f>
      </c>
      <c r="AB1621" s="5">
        <v>2.5</v>
      </c>
      <c r="AC1621" s="2" t="s">
        <v>564</v>
      </c>
      <c r="AD1621" s="4">
        <v>20</v>
      </c>
      <c r="AE1621" s="4">
        <v>100</v>
      </c>
      <c r="AF1621" s="6">
        <v>65</v>
      </c>
      <c r="AG1621" s="6"/>
      <c r="AH1621" s="7">
        <v>1</v>
      </c>
      <c r="AI1621" s="4"/>
      <c r="AJ1621" s="4">
        <f>=ROUNDDOWN({0},0)</f>
      </c>
      <c r="AK1621" s="5"/>
      <c r="AL1621" s="2" t="s">
        <v>228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 t="s">
        <v>228</v>
      </c>
      <c r="AW1621" s="8" t="s">
        <v>228</v>
      </c>
      <c r="AX1621" s="4" t="s">
        <v>228</v>
      </c>
      <c r="AY1621" s="8" t="s">
        <v>228</v>
      </c>
      <c r="AZ1621" s="7" t="s">
        <v>228</v>
      </c>
      <c r="BA1621" s="7" t="s">
        <v>228</v>
      </c>
      <c r="BB1621" s="7" t="s">
        <v>228</v>
      </c>
      <c r="BC1621" s="4" t="s">
        <v>228</v>
      </c>
      <c r="BD1621" s="8" t="s">
        <v>228</v>
      </c>
      <c r="BE1621" s="4" t="s">
        <v>228</v>
      </c>
      <c r="BF1621" s="8" t="s">
        <v>228</v>
      </c>
      <c r="BG1621" s="7" t="s">
        <v>228</v>
      </c>
      <c r="BH1621" s="7" t="s">
        <v>228</v>
      </c>
      <c r="BI1621" s="7"/>
      <c r="BJ1621" s="4">
        <v>10</v>
      </c>
      <c r="BK1621" s="8">
        <v>158.17</v>
      </c>
      <c r="BL1621" s="2" t="s">
        <v>8154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8155</v>
      </c>
      <c r="BV1621" s="2" t="s">
        <v>228</v>
      </c>
      <c r="BW1621" s="2" t="s">
        <v>228</v>
      </c>
      <c r="BX1621" s="2" t="s">
        <v>273</v>
      </c>
      <c r="BY1621" s="2" t="s">
        <v>274</v>
      </c>
      <c r="BZ1621" s="2" t="s">
        <v>240</v>
      </c>
      <c r="CA1621" s="2" t="s">
        <v>8144</v>
      </c>
      <c r="CB1621" s="2" t="s">
        <v>8156</v>
      </c>
      <c r="CC1621" s="2" t="s">
        <v>241</v>
      </c>
      <c r="CD1621" s="2" t="s">
        <v>228</v>
      </c>
      <c r="CE1621" s="4">
        <v>70</v>
      </c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>
        <v>20</v>
      </c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4"/>
      <c r="FF1621" s="4"/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/>
      <c r="FW1621" s="4">
        <v>80</v>
      </c>
      <c r="FX1621" s="4"/>
      <c r="FY1621" s="4"/>
      <c r="FZ1621" s="4"/>
      <c r="GA1621" s="4"/>
      <c r="GB1621" s="4"/>
      <c r="GC1621" s="4"/>
      <c r="GD1621" s="4"/>
      <c r="GE1621" s="4"/>
      <c r="GF1621" s="4"/>
      <c r="GG1621" s="4"/>
      <c r="GH1621" s="4"/>
      <c r="GI1621" s="4"/>
      <c r="GJ1621" s="4"/>
      <c r="GK1621" s="4"/>
      <c r="GL1621" s="4"/>
      <c r="GM1621" s="4"/>
      <c r="GN1621" s="4"/>
      <c r="GO1621" s="4"/>
      <c r="GP1621" s="4"/>
      <c r="GQ1621" s="4"/>
      <c r="GR1621" s="4"/>
      <c r="GS1621" s="4"/>
      <c r="GT1621" s="4"/>
      <c r="GU1621" s="4"/>
      <c r="GV1621" s="4"/>
      <c r="GW1621" s="4"/>
      <c r="GX1621" s="4"/>
      <c r="GY1621" s="4"/>
      <c r="GZ1621" s="4"/>
      <c r="HA1621" s="4"/>
      <c r="HB1621" s="4"/>
      <c r="HC1621" s="4"/>
      <c r="HD1621" s="4"/>
      <c r="HE1621" s="4"/>
    </row>
    <row r="1622">
      <c r="A1622" s="2" t="s">
        <v>8157</v>
      </c>
      <c r="B1622" s="2" t="s">
        <v>299</v>
      </c>
      <c r="C1622" s="2" t="s">
        <v>849</v>
      </c>
      <c r="D1622" s="2" t="s">
        <v>301</v>
      </c>
      <c r="E1622" s="2" t="s">
        <v>302</v>
      </c>
      <c r="F1622" s="2" t="s">
        <v>415</v>
      </c>
      <c r="G1622" s="2" t="s">
        <v>415</v>
      </c>
      <c r="H1622" s="2" t="s">
        <v>415</v>
      </c>
      <c r="I1622" s="2" t="s">
        <v>8125</v>
      </c>
      <c r="J1622" s="2" t="s">
        <v>289</v>
      </c>
      <c r="K1622" s="2" t="s">
        <v>1466</v>
      </c>
      <c r="L1622" s="3">
        <v>14.21</v>
      </c>
      <c r="M1622" s="3">
        <v>14.92</v>
      </c>
      <c r="N1622" s="3">
        <v>32.99</v>
      </c>
      <c r="O1622" s="2" t="s">
        <v>240</v>
      </c>
      <c r="P1622" s="2" t="s">
        <v>266</v>
      </c>
      <c r="Q1622" s="2" t="s">
        <v>234</v>
      </c>
      <c r="R1622" s="2" t="s">
        <v>228</v>
      </c>
      <c r="S1622" s="2" t="s">
        <v>8141</v>
      </c>
      <c r="T1622" s="2" t="s">
        <v>415</v>
      </c>
      <c r="U1622" s="2" t="s">
        <v>228</v>
      </c>
      <c r="V1622" s="2" t="s">
        <v>236</v>
      </c>
      <c r="W1622" s="2" t="s">
        <v>269</v>
      </c>
      <c r="X1622" s="2" t="s">
        <v>228</v>
      </c>
      <c r="Y1622" s="2" t="s">
        <v>270</v>
      </c>
      <c r="Z1622" s="4">
        <v>574</v>
      </c>
      <c r="AA1622" s="4">
        <f>=ROUNDDOWN(15.0656167979003,0)</f>
      </c>
      <c r="AB1622" s="5">
        <v>38.1</v>
      </c>
      <c r="AC1622" s="2" t="s">
        <v>564</v>
      </c>
      <c r="AD1622" s="4">
        <v>100</v>
      </c>
      <c r="AE1622" s="4">
        <v>770</v>
      </c>
      <c r="AF1622" s="6">
        <v>65</v>
      </c>
      <c r="AG1622" s="6"/>
      <c r="AH1622" s="7">
        <v>1</v>
      </c>
      <c r="AI1622" s="4"/>
      <c r="AJ1622" s="4">
        <f>=ROUNDDOWN({0},0)</f>
      </c>
      <c r="AK1622" s="5"/>
      <c r="AL1622" s="2" t="s">
        <v>228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 t="s">
        <v>228</v>
      </c>
      <c r="AW1622" s="8" t="s">
        <v>228</v>
      </c>
      <c r="AX1622" s="4" t="s">
        <v>228</v>
      </c>
      <c r="AY1622" s="8" t="s">
        <v>228</v>
      </c>
      <c r="AZ1622" s="7" t="s">
        <v>228</v>
      </c>
      <c r="BA1622" s="7" t="s">
        <v>228</v>
      </c>
      <c r="BB1622" s="7"/>
      <c r="BC1622" s="4" t="s">
        <v>228</v>
      </c>
      <c r="BD1622" s="8" t="s">
        <v>228</v>
      </c>
      <c r="BE1622" s="4" t="s">
        <v>228</v>
      </c>
      <c r="BF1622" s="8" t="s">
        <v>228</v>
      </c>
      <c r="BG1622" s="7" t="s">
        <v>228</v>
      </c>
      <c r="BH1622" s="7" t="s">
        <v>228</v>
      </c>
      <c r="BI1622" s="7"/>
      <c r="BJ1622" s="4">
        <v>169</v>
      </c>
      <c r="BK1622" s="8">
        <v>2396.02</v>
      </c>
      <c r="BL1622" s="2" t="s">
        <v>8158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8159</v>
      </c>
      <c r="BV1622" s="2" t="s">
        <v>228</v>
      </c>
      <c r="BW1622" s="2" t="s">
        <v>228</v>
      </c>
      <c r="BX1622" s="2" t="s">
        <v>273</v>
      </c>
      <c r="BY1622" s="2" t="s">
        <v>274</v>
      </c>
      <c r="BZ1622" s="2" t="s">
        <v>240</v>
      </c>
      <c r="CA1622" s="2" t="s">
        <v>2110</v>
      </c>
      <c r="CB1622" s="2" t="s">
        <v>8160</v>
      </c>
      <c r="CC1622" s="2" t="s">
        <v>241</v>
      </c>
      <c r="CD1622" s="2" t="s">
        <v>228</v>
      </c>
      <c r="CE1622" s="4">
        <v>574</v>
      </c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>
        <v>100</v>
      </c>
      <c r="EJ1622" s="4"/>
      <c r="EK1622" s="4"/>
      <c r="EL1622" s="4"/>
      <c r="EM1622" s="4"/>
      <c r="EN1622" s="4"/>
      <c r="EO1622" s="4"/>
      <c r="EP1622" s="4"/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4"/>
      <c r="FF1622" s="4"/>
      <c r="FG1622" s="4"/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  <c r="FX1622" s="4"/>
      <c r="FY1622" s="4"/>
      <c r="FZ1622" s="4"/>
      <c r="GA1622" s="4"/>
      <c r="GB1622" s="4">
        <v>120</v>
      </c>
      <c r="GC1622" s="4"/>
      <c r="GD1622" s="4"/>
      <c r="GE1622" s="4"/>
      <c r="GF1622" s="4"/>
      <c r="GG1622" s="4"/>
      <c r="GH1622" s="4"/>
      <c r="GI1622" s="4"/>
      <c r="GJ1622" s="4"/>
      <c r="GK1622" s="4"/>
      <c r="GL1622" s="4"/>
      <c r="GM1622" s="4"/>
      <c r="GN1622" s="4"/>
      <c r="GO1622" s="4"/>
      <c r="GP1622" s="4"/>
      <c r="GQ1622" s="4"/>
      <c r="GR1622" s="4"/>
      <c r="GS1622" s="4">
        <v>270</v>
      </c>
      <c r="GT1622" s="4"/>
      <c r="GU1622" s="4"/>
      <c r="GV1622" s="4"/>
      <c r="GW1622" s="4"/>
      <c r="GX1622" s="4"/>
      <c r="GY1622" s="4"/>
      <c r="GZ1622" s="4"/>
      <c r="HA1622" s="4"/>
      <c r="HB1622" s="4"/>
      <c r="HC1622" s="4"/>
      <c r="HD1622" s="4"/>
      <c r="HE1622" s="4">
        <v>280</v>
      </c>
    </row>
    <row r="1623">
      <c r="A1623" s="2" t="s">
        <v>8161</v>
      </c>
      <c r="B1623" s="2" t="s">
        <v>299</v>
      </c>
      <c r="C1623" s="2" t="s">
        <v>849</v>
      </c>
      <c r="D1623" s="2" t="s">
        <v>301</v>
      </c>
      <c r="E1623" s="2" t="s">
        <v>302</v>
      </c>
      <c r="F1623" s="2" t="s">
        <v>415</v>
      </c>
      <c r="G1623" s="2" t="s">
        <v>415</v>
      </c>
      <c r="H1623" s="2" t="s">
        <v>415</v>
      </c>
      <c r="I1623" s="2" t="s">
        <v>8140</v>
      </c>
      <c r="J1623" s="2" t="s">
        <v>264</v>
      </c>
      <c r="K1623" s="2" t="s">
        <v>249</v>
      </c>
      <c r="L1623" s="3">
        <v>12.15</v>
      </c>
      <c r="M1623" s="3">
        <v>12.76</v>
      </c>
      <c r="N1623" s="3">
        <v>26.99</v>
      </c>
      <c r="O1623" s="2" t="s">
        <v>240</v>
      </c>
      <c r="P1623" s="2" t="s">
        <v>266</v>
      </c>
      <c r="Q1623" s="2" t="s">
        <v>234</v>
      </c>
      <c r="R1623" s="2" t="s">
        <v>228</v>
      </c>
      <c r="S1623" s="2" t="s">
        <v>8162</v>
      </c>
      <c r="T1623" s="2" t="s">
        <v>415</v>
      </c>
      <c r="U1623" s="2" t="s">
        <v>308</v>
      </c>
      <c r="V1623" s="2" t="s">
        <v>236</v>
      </c>
      <c r="W1623" s="2" t="s">
        <v>417</v>
      </c>
      <c r="X1623" s="2" t="s">
        <v>228</v>
      </c>
      <c r="Y1623" s="2" t="s">
        <v>7149</v>
      </c>
      <c r="Z1623" s="4">
        <v>147</v>
      </c>
      <c r="AA1623" s="4">
        <f>=ROUNDDOWN(36.75,0)</f>
      </c>
      <c r="AB1623" s="5">
        <v>4</v>
      </c>
      <c r="AC1623" s="2" t="s">
        <v>209</v>
      </c>
      <c r="AD1623" s="4">
        <v>40</v>
      </c>
      <c r="AE1623" s="4">
        <v>40</v>
      </c>
      <c r="AF1623" s="6">
        <v>65</v>
      </c>
      <c r="AG1623" s="6"/>
      <c r="AH1623" s="7">
        <v>1</v>
      </c>
      <c r="AI1623" s="4"/>
      <c r="AJ1623" s="4">
        <f>=ROUNDDOWN({0},0)</f>
      </c>
      <c r="AK1623" s="5"/>
      <c r="AL1623" s="2" t="s">
        <v>228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228</v>
      </c>
      <c r="AW1623" s="8" t="s">
        <v>228</v>
      </c>
      <c r="AX1623" s="4" t="s">
        <v>228</v>
      </c>
      <c r="AY1623" s="8" t="s">
        <v>228</v>
      </c>
      <c r="AZ1623" s="7" t="s">
        <v>228</v>
      </c>
      <c r="BA1623" s="7" t="s">
        <v>228</v>
      </c>
      <c r="BB1623" s="7"/>
      <c r="BC1623" s="4" t="s">
        <v>228</v>
      </c>
      <c r="BD1623" s="8" t="s">
        <v>228</v>
      </c>
      <c r="BE1623" s="4" t="s">
        <v>228</v>
      </c>
      <c r="BF1623" s="8" t="s">
        <v>228</v>
      </c>
      <c r="BG1623" s="7" t="s">
        <v>228</v>
      </c>
      <c r="BH1623" s="7" t="s">
        <v>228</v>
      </c>
      <c r="BI1623" s="7"/>
      <c r="BJ1623" s="4">
        <v>14</v>
      </c>
      <c r="BK1623" s="8">
        <v>177.06</v>
      </c>
      <c r="BL1623" s="2" t="s">
        <v>4805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8163</v>
      </c>
      <c r="BV1623" s="2" t="s">
        <v>228</v>
      </c>
      <c r="BW1623" s="2" t="s">
        <v>228</v>
      </c>
      <c r="BX1623" s="2" t="s">
        <v>273</v>
      </c>
      <c r="BY1623" s="2" t="s">
        <v>274</v>
      </c>
      <c r="BZ1623" s="2" t="s">
        <v>240</v>
      </c>
      <c r="CA1623" s="2" t="s">
        <v>4312</v>
      </c>
      <c r="CB1623" s="2" t="s">
        <v>8164</v>
      </c>
      <c r="CC1623" s="2" t="s">
        <v>241</v>
      </c>
      <c r="CD1623" s="2" t="s">
        <v>228</v>
      </c>
      <c r="CE1623" s="4">
        <v>147</v>
      </c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4"/>
      <c r="FE1623" s="4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/>
      <c r="FZ1623" s="4"/>
      <c r="GA1623" s="4"/>
      <c r="GB1623" s="4"/>
      <c r="GC1623" s="4"/>
      <c r="GD1623" s="4"/>
      <c r="GE1623" s="4"/>
      <c r="GF1623" s="4"/>
      <c r="GG1623" s="4"/>
      <c r="GH1623" s="4"/>
      <c r="GI1623" s="4"/>
      <c r="GJ1623" s="4"/>
      <c r="GK1623" s="4"/>
      <c r="GL1623" s="4"/>
      <c r="GM1623" s="4"/>
      <c r="GN1623" s="4"/>
      <c r="GO1623" s="4"/>
      <c r="GP1623" s="4"/>
      <c r="GQ1623" s="4"/>
      <c r="GR1623" s="4"/>
      <c r="GS1623" s="4">
        <v>40</v>
      </c>
      <c r="GT1623" s="4"/>
      <c r="GU1623" s="4"/>
      <c r="GV1623" s="4"/>
      <c r="GW1623" s="4"/>
      <c r="GX1623" s="4"/>
      <c r="GY1623" s="4"/>
      <c r="GZ1623" s="4"/>
      <c r="HA1623" s="4"/>
      <c r="HB1623" s="4"/>
      <c r="HC1623" s="4"/>
      <c r="HD1623" s="4"/>
      <c r="HE1623" s="4"/>
    </row>
    <row r="1624">
      <c r="A1624" s="2" t="s">
        <v>8165</v>
      </c>
      <c r="B1624" s="2" t="s">
        <v>299</v>
      </c>
      <c r="C1624" s="2" t="s">
        <v>849</v>
      </c>
      <c r="D1624" s="2" t="s">
        <v>301</v>
      </c>
      <c r="E1624" s="2" t="s">
        <v>302</v>
      </c>
      <c r="F1624" s="2" t="s">
        <v>415</v>
      </c>
      <c r="G1624" s="2" t="s">
        <v>415</v>
      </c>
      <c r="H1624" s="2" t="s">
        <v>415</v>
      </c>
      <c r="I1624" s="2" t="s">
        <v>8125</v>
      </c>
      <c r="J1624" s="2" t="s">
        <v>278</v>
      </c>
      <c r="K1624" s="2" t="s">
        <v>249</v>
      </c>
      <c r="L1624" s="3">
        <v>11.18</v>
      </c>
      <c r="M1624" s="3">
        <v>11.74</v>
      </c>
      <c r="N1624" s="3">
        <v>27.99</v>
      </c>
      <c r="O1624" s="2" t="s">
        <v>240</v>
      </c>
      <c r="P1624" s="2" t="s">
        <v>266</v>
      </c>
      <c r="Q1624" s="2" t="s">
        <v>234</v>
      </c>
      <c r="R1624" s="2" t="s">
        <v>228</v>
      </c>
      <c r="S1624" s="2" t="s">
        <v>8162</v>
      </c>
      <c r="T1624" s="2" t="s">
        <v>415</v>
      </c>
      <c r="U1624" s="2" t="s">
        <v>228</v>
      </c>
      <c r="V1624" s="2" t="s">
        <v>236</v>
      </c>
      <c r="W1624" s="2" t="s">
        <v>269</v>
      </c>
      <c r="X1624" s="2" t="s">
        <v>228</v>
      </c>
      <c r="Y1624" s="2" t="s">
        <v>270</v>
      </c>
      <c r="Z1624" s="4">
        <v>423</v>
      </c>
      <c r="AA1624" s="4">
        <f>=ROUNDDOWN(105.75,0)</f>
      </c>
      <c r="AB1624" s="5">
        <v>4</v>
      </c>
      <c r="AC1624" s="2" t="s">
        <v>228</v>
      </c>
      <c r="AD1624" s="4"/>
      <c r="AE1624" s="4"/>
      <c r="AF1624" s="6">
        <v>65</v>
      </c>
      <c r="AG1624" s="6"/>
      <c r="AH1624" s="7">
        <v>1</v>
      </c>
      <c r="AI1624" s="4"/>
      <c r="AJ1624" s="4">
        <f>=ROUNDDOWN({0},0)</f>
      </c>
      <c r="AK1624" s="5"/>
      <c r="AL1624" s="2" t="s">
        <v>228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 t="s">
        <v>228</v>
      </c>
      <c r="AW1624" s="8" t="s">
        <v>228</v>
      </c>
      <c r="AX1624" s="4" t="s">
        <v>228</v>
      </c>
      <c r="AY1624" s="8" t="s">
        <v>228</v>
      </c>
      <c r="AZ1624" s="7" t="s">
        <v>228</v>
      </c>
      <c r="BA1624" s="7" t="s">
        <v>228</v>
      </c>
      <c r="BB1624" s="7" t="s">
        <v>228</v>
      </c>
      <c r="BC1624" s="4" t="s">
        <v>228</v>
      </c>
      <c r="BD1624" s="8" t="s">
        <v>228</v>
      </c>
      <c r="BE1624" s="4" t="s">
        <v>228</v>
      </c>
      <c r="BF1624" s="8" t="s">
        <v>228</v>
      </c>
      <c r="BG1624" s="7" t="s">
        <v>228</v>
      </c>
      <c r="BH1624" s="7" t="s">
        <v>228</v>
      </c>
      <c r="BI1624" s="7"/>
      <c r="BJ1624" s="4">
        <v>51</v>
      </c>
      <c r="BK1624" s="8">
        <v>580.52</v>
      </c>
      <c r="BL1624" s="2" t="s">
        <v>8166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8167</v>
      </c>
      <c r="BV1624" s="2" t="s">
        <v>228</v>
      </c>
      <c r="BW1624" s="2" t="s">
        <v>228</v>
      </c>
      <c r="BX1624" s="2" t="s">
        <v>273</v>
      </c>
      <c r="BY1624" s="2" t="s">
        <v>274</v>
      </c>
      <c r="BZ1624" s="2" t="s">
        <v>240</v>
      </c>
      <c r="CA1624" s="2" t="s">
        <v>275</v>
      </c>
      <c r="CB1624" s="2" t="s">
        <v>609</v>
      </c>
      <c r="CC1624" s="2" t="s">
        <v>241</v>
      </c>
      <c r="CD1624" s="2" t="s">
        <v>228</v>
      </c>
      <c r="CE1624" s="4">
        <v>423</v>
      </c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/>
      <c r="FE1624" s="4"/>
      <c r="FF1624" s="4"/>
      <c r="FG1624" s="4"/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  <c r="FX1624" s="4"/>
      <c r="FY1624" s="4"/>
      <c r="FZ1624" s="4"/>
      <c r="GA1624" s="4"/>
      <c r="GB1624" s="4"/>
      <c r="GC1624" s="4"/>
      <c r="GD1624" s="4"/>
      <c r="GE1624" s="4"/>
      <c r="GF1624" s="4"/>
      <c r="GG1624" s="4"/>
      <c r="GH1624" s="4"/>
      <c r="GI1624" s="4"/>
      <c r="GJ1624" s="4"/>
      <c r="GK1624" s="4"/>
      <c r="GL1624" s="4"/>
      <c r="GM1624" s="4"/>
      <c r="GN1624" s="4"/>
      <c r="GO1624" s="4"/>
      <c r="GP1624" s="4"/>
      <c r="GQ1624" s="4"/>
      <c r="GR1624" s="4"/>
      <c r="GS1624" s="4"/>
      <c r="GT1624" s="4"/>
      <c r="GU1624" s="4"/>
      <c r="GV1624" s="4"/>
      <c r="GW1624" s="4"/>
      <c r="GX1624" s="4"/>
      <c r="GY1624" s="4"/>
      <c r="GZ1624" s="4"/>
      <c r="HA1624" s="4"/>
      <c r="HB1624" s="4"/>
      <c r="HC1624" s="4"/>
      <c r="HD1624" s="4"/>
      <c r="HE1624" s="4"/>
    </row>
    <row r="1625">
      <c r="A1625" s="2" t="s">
        <v>8168</v>
      </c>
      <c r="B1625" s="2" t="s">
        <v>299</v>
      </c>
      <c r="C1625" s="2" t="s">
        <v>849</v>
      </c>
      <c r="D1625" s="2" t="s">
        <v>301</v>
      </c>
      <c r="E1625" s="2" t="s">
        <v>302</v>
      </c>
      <c r="F1625" s="2" t="s">
        <v>415</v>
      </c>
      <c r="G1625" s="2" t="s">
        <v>415</v>
      </c>
      <c r="H1625" s="2" t="s">
        <v>415</v>
      </c>
      <c r="I1625" s="2" t="s">
        <v>8140</v>
      </c>
      <c r="J1625" s="2" t="s">
        <v>278</v>
      </c>
      <c r="K1625" s="2" t="s">
        <v>249</v>
      </c>
      <c r="L1625" s="3">
        <v>12.15</v>
      </c>
      <c r="M1625" s="3">
        <v>12.76</v>
      </c>
      <c r="N1625" s="3">
        <v>26.99</v>
      </c>
      <c r="O1625" s="2" t="s">
        <v>240</v>
      </c>
      <c r="P1625" s="2" t="s">
        <v>266</v>
      </c>
      <c r="Q1625" s="2" t="s">
        <v>234</v>
      </c>
      <c r="R1625" s="2" t="s">
        <v>228</v>
      </c>
      <c r="S1625" s="2" t="s">
        <v>8162</v>
      </c>
      <c r="T1625" s="2" t="s">
        <v>415</v>
      </c>
      <c r="U1625" s="2" t="s">
        <v>308</v>
      </c>
      <c r="V1625" s="2" t="s">
        <v>236</v>
      </c>
      <c r="W1625" s="2" t="s">
        <v>417</v>
      </c>
      <c r="X1625" s="2" t="s">
        <v>228</v>
      </c>
      <c r="Y1625" s="2" t="s">
        <v>7149</v>
      </c>
      <c r="Z1625" s="4">
        <v>598</v>
      </c>
      <c r="AA1625" s="4">
        <f>=ROUNDDOWN(85.4285714285714,0)</f>
      </c>
      <c r="AB1625" s="5">
        <v>7</v>
      </c>
      <c r="AC1625" s="2" t="s">
        <v>228</v>
      </c>
      <c r="AD1625" s="4"/>
      <c r="AE1625" s="4"/>
      <c r="AF1625" s="6">
        <v>65</v>
      </c>
      <c r="AG1625" s="6"/>
      <c r="AH1625" s="7">
        <v>1</v>
      </c>
      <c r="AI1625" s="4"/>
      <c r="AJ1625" s="4">
        <f>=ROUNDDOWN({0},0)</f>
      </c>
      <c r="AK1625" s="5"/>
      <c r="AL1625" s="2" t="s">
        <v>228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 t="s">
        <v>228</v>
      </c>
      <c r="AW1625" s="8" t="s">
        <v>228</v>
      </c>
      <c r="AX1625" s="4" t="s">
        <v>228</v>
      </c>
      <c r="AY1625" s="8" t="s">
        <v>228</v>
      </c>
      <c r="AZ1625" s="7" t="s">
        <v>228</v>
      </c>
      <c r="BA1625" s="7" t="s">
        <v>228</v>
      </c>
      <c r="BB1625" s="7" t="s">
        <v>228</v>
      </c>
      <c r="BC1625" s="4" t="s">
        <v>228</v>
      </c>
      <c r="BD1625" s="8" t="s">
        <v>228</v>
      </c>
      <c r="BE1625" s="4" t="s">
        <v>228</v>
      </c>
      <c r="BF1625" s="8" t="s">
        <v>228</v>
      </c>
      <c r="BG1625" s="7" t="s">
        <v>228</v>
      </c>
      <c r="BH1625" s="7" t="s">
        <v>228</v>
      </c>
      <c r="BI1625" s="7"/>
      <c r="BJ1625" s="4">
        <v>154</v>
      </c>
      <c r="BK1625" s="8">
        <v>1912.17</v>
      </c>
      <c r="BL1625" s="2" t="s">
        <v>8169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8170</v>
      </c>
      <c r="BV1625" s="2" t="s">
        <v>228</v>
      </c>
      <c r="BW1625" s="2" t="s">
        <v>228</v>
      </c>
      <c r="BX1625" s="2" t="s">
        <v>273</v>
      </c>
      <c r="BY1625" s="2" t="s">
        <v>274</v>
      </c>
      <c r="BZ1625" s="2" t="s">
        <v>240</v>
      </c>
      <c r="CA1625" s="2" t="s">
        <v>4312</v>
      </c>
      <c r="CB1625" s="2" t="s">
        <v>3427</v>
      </c>
      <c r="CC1625" s="2" t="s">
        <v>241</v>
      </c>
      <c r="CD1625" s="2" t="s">
        <v>228</v>
      </c>
      <c r="CE1625" s="4">
        <v>598</v>
      </c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4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/>
      <c r="GG1625" s="4"/>
      <c r="GH1625" s="4"/>
      <c r="GI1625" s="4"/>
      <c r="GJ1625" s="4"/>
      <c r="GK1625" s="4"/>
      <c r="GL1625" s="4"/>
      <c r="GM1625" s="4"/>
      <c r="GN1625" s="4"/>
      <c r="GO1625" s="4"/>
      <c r="GP1625" s="4"/>
      <c r="GQ1625" s="4"/>
      <c r="GR1625" s="4"/>
      <c r="GS1625" s="4"/>
      <c r="GT1625" s="4"/>
      <c r="GU1625" s="4"/>
      <c r="GV1625" s="4"/>
      <c r="GW1625" s="4"/>
      <c r="GX1625" s="4"/>
      <c r="GY1625" s="4"/>
      <c r="GZ1625" s="4"/>
      <c r="HA1625" s="4"/>
      <c r="HB1625" s="4"/>
      <c r="HC1625" s="4"/>
      <c r="HD1625" s="4"/>
      <c r="HE1625" s="4"/>
    </row>
    <row r="1626">
      <c r="A1626" s="2" t="s">
        <v>8171</v>
      </c>
      <c r="B1626" s="2" t="s">
        <v>299</v>
      </c>
      <c r="C1626" s="2" t="s">
        <v>849</v>
      </c>
      <c r="D1626" s="2" t="s">
        <v>301</v>
      </c>
      <c r="E1626" s="2" t="s">
        <v>302</v>
      </c>
      <c r="F1626" s="2" t="s">
        <v>415</v>
      </c>
      <c r="G1626" s="2" t="s">
        <v>415</v>
      </c>
      <c r="H1626" s="2" t="s">
        <v>415</v>
      </c>
      <c r="I1626" s="2" t="s">
        <v>8125</v>
      </c>
      <c r="J1626" s="2" t="s">
        <v>284</v>
      </c>
      <c r="K1626" s="2" t="s">
        <v>249</v>
      </c>
      <c r="L1626" s="3">
        <v>12.92</v>
      </c>
      <c r="M1626" s="3">
        <v>13.57</v>
      </c>
      <c r="N1626" s="3">
        <v>30.99</v>
      </c>
      <c r="O1626" s="2" t="s">
        <v>240</v>
      </c>
      <c r="P1626" s="2" t="s">
        <v>266</v>
      </c>
      <c r="Q1626" s="2" t="s">
        <v>234</v>
      </c>
      <c r="R1626" s="2" t="s">
        <v>228</v>
      </c>
      <c r="S1626" s="2" t="s">
        <v>8162</v>
      </c>
      <c r="T1626" s="2" t="s">
        <v>415</v>
      </c>
      <c r="U1626" s="2" t="s">
        <v>228</v>
      </c>
      <c r="V1626" s="2" t="s">
        <v>236</v>
      </c>
      <c r="W1626" s="2" t="s">
        <v>269</v>
      </c>
      <c r="X1626" s="2" t="s">
        <v>228</v>
      </c>
      <c r="Y1626" s="2" t="s">
        <v>270</v>
      </c>
      <c r="Z1626" s="4">
        <v>327</v>
      </c>
      <c r="AA1626" s="4">
        <f>=ROUNDDOWN(54.5,0)</f>
      </c>
      <c r="AB1626" s="5">
        <v>6</v>
      </c>
      <c r="AC1626" s="2" t="s">
        <v>228</v>
      </c>
      <c r="AD1626" s="4"/>
      <c r="AE1626" s="4"/>
      <c r="AF1626" s="6">
        <v>65</v>
      </c>
      <c r="AG1626" s="6"/>
      <c r="AH1626" s="7">
        <v>1</v>
      </c>
      <c r="AI1626" s="4"/>
      <c r="AJ1626" s="4">
        <f>=ROUNDDOWN({0},0)</f>
      </c>
      <c r="AK1626" s="5"/>
      <c r="AL1626" s="2" t="s">
        <v>228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 t="s">
        <v>228</v>
      </c>
      <c r="AW1626" s="8" t="s">
        <v>228</v>
      </c>
      <c r="AX1626" s="4" t="s">
        <v>228</v>
      </c>
      <c r="AY1626" s="8" t="s">
        <v>228</v>
      </c>
      <c r="AZ1626" s="7" t="s">
        <v>228</v>
      </c>
      <c r="BA1626" s="7" t="s">
        <v>228</v>
      </c>
      <c r="BB1626" s="7"/>
      <c r="BC1626" s="4" t="s">
        <v>228</v>
      </c>
      <c r="BD1626" s="8" t="s">
        <v>228</v>
      </c>
      <c r="BE1626" s="4" t="s">
        <v>228</v>
      </c>
      <c r="BF1626" s="8" t="s">
        <v>228</v>
      </c>
      <c r="BG1626" s="7" t="s">
        <v>228</v>
      </c>
      <c r="BH1626" s="7" t="s">
        <v>228</v>
      </c>
      <c r="BI1626" s="7"/>
      <c r="BJ1626" s="4">
        <v>19</v>
      </c>
      <c r="BK1626" s="8">
        <v>269.99</v>
      </c>
      <c r="BL1626" s="2" t="s">
        <v>8172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8173</v>
      </c>
      <c r="BV1626" s="2" t="s">
        <v>228</v>
      </c>
      <c r="BW1626" s="2" t="s">
        <v>228</v>
      </c>
      <c r="BX1626" s="2" t="s">
        <v>273</v>
      </c>
      <c r="BY1626" s="2" t="s">
        <v>274</v>
      </c>
      <c r="BZ1626" s="2" t="s">
        <v>240</v>
      </c>
      <c r="CA1626" s="2" t="s">
        <v>275</v>
      </c>
      <c r="CB1626" s="2" t="s">
        <v>8174</v>
      </c>
      <c r="CC1626" s="2" t="s">
        <v>241</v>
      </c>
      <c r="CD1626" s="2" t="s">
        <v>228</v>
      </c>
      <c r="CE1626" s="4">
        <v>327</v>
      </c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  <c r="ES1626" s="4"/>
      <c r="ET1626" s="4"/>
      <c r="EU1626" s="4"/>
      <c r="EV1626" s="4"/>
      <c r="EW1626" s="4"/>
      <c r="EX1626" s="4"/>
      <c r="EY1626" s="4"/>
      <c r="EZ1626" s="4"/>
      <c r="FA1626" s="4"/>
      <c r="FB1626" s="4"/>
      <c r="FC1626" s="4"/>
      <c r="FD1626" s="4"/>
      <c r="FE1626" s="4"/>
      <c r="FF1626" s="4"/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/>
      <c r="GE1626" s="4"/>
      <c r="GF1626" s="4"/>
      <c r="GG1626" s="4"/>
      <c r="GH1626" s="4"/>
      <c r="GI1626" s="4"/>
      <c r="GJ1626" s="4"/>
      <c r="GK1626" s="4"/>
      <c r="GL1626" s="4"/>
      <c r="GM1626" s="4"/>
      <c r="GN1626" s="4"/>
      <c r="GO1626" s="4"/>
      <c r="GP1626" s="4"/>
      <c r="GQ1626" s="4"/>
      <c r="GR1626" s="4"/>
      <c r="GS1626" s="4"/>
      <c r="GT1626" s="4"/>
      <c r="GU1626" s="4"/>
      <c r="GV1626" s="4"/>
      <c r="GW1626" s="4"/>
      <c r="GX1626" s="4"/>
      <c r="GY1626" s="4"/>
      <c r="GZ1626" s="4"/>
      <c r="HA1626" s="4"/>
      <c r="HB1626" s="4"/>
      <c r="HC1626" s="4"/>
      <c r="HD1626" s="4"/>
      <c r="HE1626" s="4"/>
    </row>
    <row r="1627">
      <c r="A1627" s="2" t="s">
        <v>8175</v>
      </c>
      <c r="B1627" s="2" t="s">
        <v>299</v>
      </c>
      <c r="C1627" s="2" t="s">
        <v>849</v>
      </c>
      <c r="D1627" s="2" t="s">
        <v>301</v>
      </c>
      <c r="E1627" s="2" t="s">
        <v>302</v>
      </c>
      <c r="F1627" s="2" t="s">
        <v>415</v>
      </c>
      <c r="G1627" s="2" t="s">
        <v>415</v>
      </c>
      <c r="H1627" s="2" t="s">
        <v>415</v>
      </c>
      <c r="I1627" s="2" t="s">
        <v>8125</v>
      </c>
      <c r="J1627" s="2" t="s">
        <v>264</v>
      </c>
      <c r="K1627" s="2" t="s">
        <v>3174</v>
      </c>
      <c r="L1627" s="3">
        <v>11.18</v>
      </c>
      <c r="M1627" s="3">
        <v>11.74</v>
      </c>
      <c r="N1627" s="3">
        <v>27.99</v>
      </c>
      <c r="O1627" s="2" t="s">
        <v>240</v>
      </c>
      <c r="P1627" s="2" t="s">
        <v>266</v>
      </c>
      <c r="Q1627" s="2" t="s">
        <v>234</v>
      </c>
      <c r="R1627" s="2" t="s">
        <v>228</v>
      </c>
      <c r="S1627" s="2" t="s">
        <v>8176</v>
      </c>
      <c r="T1627" s="2" t="s">
        <v>415</v>
      </c>
      <c r="U1627" s="2" t="s">
        <v>500</v>
      </c>
      <c r="V1627" s="2" t="s">
        <v>236</v>
      </c>
      <c r="W1627" s="2" t="s">
        <v>269</v>
      </c>
      <c r="X1627" s="2" t="s">
        <v>228</v>
      </c>
      <c r="Y1627" s="2" t="s">
        <v>8127</v>
      </c>
      <c r="Z1627" s="4">
        <v>112</v>
      </c>
      <c r="AA1627" s="4">
        <f>=ROUNDDOWN(27.3170731707317,0)</f>
      </c>
      <c r="AB1627" s="5">
        <v>4.1</v>
      </c>
      <c r="AC1627" s="2" t="s">
        <v>209</v>
      </c>
      <c r="AD1627" s="4">
        <v>40</v>
      </c>
      <c r="AE1627" s="4">
        <v>100</v>
      </c>
      <c r="AF1627" s="6">
        <v>65</v>
      </c>
      <c r="AG1627" s="6"/>
      <c r="AH1627" s="7">
        <v>1</v>
      </c>
      <c r="AI1627" s="4"/>
      <c r="AJ1627" s="4">
        <f>=ROUNDDOWN({0},0)</f>
      </c>
      <c r="AK1627" s="5"/>
      <c r="AL1627" s="2" t="s">
        <v>228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228</v>
      </c>
      <c r="AW1627" s="8" t="s">
        <v>228</v>
      </c>
      <c r="AX1627" s="4" t="s">
        <v>228</v>
      </c>
      <c r="AY1627" s="8" t="s">
        <v>228</v>
      </c>
      <c r="AZ1627" s="7" t="s">
        <v>228</v>
      </c>
      <c r="BA1627" s="7" t="s">
        <v>228</v>
      </c>
      <c r="BB1627" s="7"/>
      <c r="BC1627" s="4" t="s">
        <v>228</v>
      </c>
      <c r="BD1627" s="8" t="s">
        <v>228</v>
      </c>
      <c r="BE1627" s="4" t="s">
        <v>228</v>
      </c>
      <c r="BF1627" s="8" t="s">
        <v>228</v>
      </c>
      <c r="BG1627" s="7" t="s">
        <v>228</v>
      </c>
      <c r="BH1627" s="7" t="s">
        <v>228</v>
      </c>
      <c r="BI1627" s="7"/>
      <c r="BJ1627" s="4">
        <v>19</v>
      </c>
      <c r="BK1627" s="8">
        <v>232.66</v>
      </c>
      <c r="BL1627" s="2" t="s">
        <v>360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8177</v>
      </c>
      <c r="BV1627" s="2" t="s">
        <v>228</v>
      </c>
      <c r="BW1627" s="2" t="s">
        <v>228</v>
      </c>
      <c r="BX1627" s="2" t="s">
        <v>273</v>
      </c>
      <c r="BY1627" s="2" t="s">
        <v>274</v>
      </c>
      <c r="BZ1627" s="2" t="s">
        <v>240</v>
      </c>
      <c r="CA1627" s="2" t="s">
        <v>378</v>
      </c>
      <c r="CB1627" s="2" t="s">
        <v>1001</v>
      </c>
      <c r="CC1627" s="2" t="s">
        <v>241</v>
      </c>
      <c r="CD1627" s="2" t="s">
        <v>228</v>
      </c>
      <c r="CE1627" s="4">
        <v>112</v>
      </c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  <c r="FX1627" s="4"/>
      <c r="FY1627" s="4"/>
      <c r="FZ1627" s="4"/>
      <c r="GA1627" s="4"/>
      <c r="GB1627" s="4"/>
      <c r="GC1627" s="4"/>
      <c r="GD1627" s="4"/>
      <c r="GE1627" s="4"/>
      <c r="GF1627" s="4"/>
      <c r="GG1627" s="4"/>
      <c r="GH1627" s="4"/>
      <c r="GI1627" s="4"/>
      <c r="GJ1627" s="4"/>
      <c r="GK1627" s="4"/>
      <c r="GL1627" s="4"/>
      <c r="GM1627" s="4"/>
      <c r="GN1627" s="4"/>
      <c r="GO1627" s="4"/>
      <c r="GP1627" s="4"/>
      <c r="GQ1627" s="4"/>
      <c r="GR1627" s="4"/>
      <c r="GS1627" s="4">
        <v>40</v>
      </c>
      <c r="GT1627" s="4"/>
      <c r="GU1627" s="4"/>
      <c r="GV1627" s="4"/>
      <c r="GW1627" s="4"/>
      <c r="GX1627" s="4"/>
      <c r="GY1627" s="4"/>
      <c r="GZ1627" s="4"/>
      <c r="HA1627" s="4"/>
      <c r="HB1627" s="4"/>
      <c r="HC1627" s="4"/>
      <c r="HD1627" s="4"/>
      <c r="HE1627" s="4">
        <v>60</v>
      </c>
    </row>
    <row r="1628">
      <c r="A1628" s="2" t="s">
        <v>8178</v>
      </c>
      <c r="B1628" s="2" t="s">
        <v>299</v>
      </c>
      <c r="C1628" s="2" t="s">
        <v>849</v>
      </c>
      <c r="D1628" s="2" t="s">
        <v>301</v>
      </c>
      <c r="E1628" s="2" t="s">
        <v>302</v>
      </c>
      <c r="F1628" s="2" t="s">
        <v>415</v>
      </c>
      <c r="G1628" s="2" t="s">
        <v>415</v>
      </c>
      <c r="H1628" s="2" t="s">
        <v>415</v>
      </c>
      <c r="I1628" s="2" t="s">
        <v>8125</v>
      </c>
      <c r="J1628" s="2" t="s">
        <v>278</v>
      </c>
      <c r="K1628" s="2" t="s">
        <v>3174</v>
      </c>
      <c r="L1628" s="3">
        <v>11.18</v>
      </c>
      <c r="M1628" s="3">
        <v>11.74</v>
      </c>
      <c r="N1628" s="3">
        <v>27.99</v>
      </c>
      <c r="O1628" s="2" t="s">
        <v>240</v>
      </c>
      <c r="P1628" s="2" t="s">
        <v>266</v>
      </c>
      <c r="Q1628" s="2" t="s">
        <v>234</v>
      </c>
      <c r="R1628" s="2" t="s">
        <v>228</v>
      </c>
      <c r="S1628" s="2" t="s">
        <v>8176</v>
      </c>
      <c r="T1628" s="2" t="s">
        <v>415</v>
      </c>
      <c r="U1628" s="2" t="s">
        <v>500</v>
      </c>
      <c r="V1628" s="2" t="s">
        <v>236</v>
      </c>
      <c r="W1628" s="2" t="s">
        <v>269</v>
      </c>
      <c r="X1628" s="2" t="s">
        <v>228</v>
      </c>
      <c r="Y1628" s="2" t="s">
        <v>8127</v>
      </c>
      <c r="Z1628" s="4">
        <v>439</v>
      </c>
      <c r="AA1628" s="4">
        <f>=ROUNDDOWN(146.333333333333,0)</f>
      </c>
      <c r="AB1628" s="5">
        <v>3</v>
      </c>
      <c r="AC1628" s="2" t="s">
        <v>228</v>
      </c>
      <c r="AD1628" s="4"/>
      <c r="AE1628" s="4"/>
      <c r="AF1628" s="6">
        <v>65</v>
      </c>
      <c r="AG1628" s="6"/>
      <c r="AH1628" s="7">
        <v>1</v>
      </c>
      <c r="AI1628" s="4"/>
      <c r="AJ1628" s="4">
        <f>=ROUNDDOWN({0},0)</f>
      </c>
      <c r="AK1628" s="5"/>
      <c r="AL1628" s="2" t="s">
        <v>228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 t="s">
        <v>228</v>
      </c>
      <c r="AW1628" s="8" t="s">
        <v>228</v>
      </c>
      <c r="AX1628" s="4" t="s">
        <v>228</v>
      </c>
      <c r="AY1628" s="8" t="s">
        <v>228</v>
      </c>
      <c r="AZ1628" s="7" t="s">
        <v>228</v>
      </c>
      <c r="BA1628" s="7" t="s">
        <v>228</v>
      </c>
      <c r="BB1628" s="7"/>
      <c r="BC1628" s="4" t="s">
        <v>228</v>
      </c>
      <c r="BD1628" s="8" t="s">
        <v>228</v>
      </c>
      <c r="BE1628" s="4" t="s">
        <v>228</v>
      </c>
      <c r="BF1628" s="8" t="s">
        <v>228</v>
      </c>
      <c r="BG1628" s="7" t="s">
        <v>228</v>
      </c>
      <c r="BH1628" s="7" t="s">
        <v>228</v>
      </c>
      <c r="BI1628" s="7"/>
      <c r="BJ1628" s="4">
        <v>8</v>
      </c>
      <c r="BK1628" s="8">
        <v>97.56</v>
      </c>
      <c r="BL1628" s="2" t="s">
        <v>861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8179</v>
      </c>
      <c r="BV1628" s="2" t="s">
        <v>228</v>
      </c>
      <c r="BW1628" s="2" t="s">
        <v>228</v>
      </c>
      <c r="BX1628" s="2" t="s">
        <v>273</v>
      </c>
      <c r="BY1628" s="2" t="s">
        <v>274</v>
      </c>
      <c r="BZ1628" s="2" t="s">
        <v>240</v>
      </c>
      <c r="CA1628" s="2" t="s">
        <v>378</v>
      </c>
      <c r="CB1628" s="2" t="s">
        <v>228</v>
      </c>
      <c r="CC1628" s="2" t="s">
        <v>241</v>
      </c>
      <c r="CD1628" s="2" t="s">
        <v>228</v>
      </c>
      <c r="CE1628" s="4">
        <v>439</v>
      </c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4"/>
      <c r="FF1628" s="4"/>
      <c r="FG1628" s="4"/>
      <c r="FH1628" s="4"/>
      <c r="FI1628" s="4"/>
      <c r="FJ1628" s="4"/>
      <c r="FK1628" s="4"/>
      <c r="FL1628" s="4"/>
      <c r="FM1628" s="4"/>
      <c r="FN1628" s="4"/>
      <c r="FO1628" s="4"/>
      <c r="FP1628" s="4"/>
      <c r="FQ1628" s="4"/>
      <c r="FR1628" s="4"/>
      <c r="FS1628" s="4"/>
      <c r="FT1628" s="4"/>
      <c r="FU1628" s="4"/>
      <c r="FV1628" s="4"/>
      <c r="FW1628" s="4"/>
      <c r="FX1628" s="4"/>
      <c r="FY1628" s="4"/>
      <c r="FZ1628" s="4"/>
      <c r="GA1628" s="4"/>
      <c r="GB1628" s="4"/>
      <c r="GC1628" s="4"/>
      <c r="GD1628" s="4"/>
      <c r="GE1628" s="4"/>
      <c r="GF1628" s="4"/>
      <c r="GG1628" s="4"/>
      <c r="GH1628" s="4"/>
      <c r="GI1628" s="4"/>
      <c r="GJ1628" s="4"/>
      <c r="GK1628" s="4"/>
      <c r="GL1628" s="4"/>
      <c r="GM1628" s="4"/>
      <c r="GN1628" s="4"/>
      <c r="GO1628" s="4"/>
      <c r="GP1628" s="4"/>
      <c r="GQ1628" s="4"/>
      <c r="GR1628" s="4"/>
      <c r="GS1628" s="4"/>
      <c r="GT1628" s="4"/>
      <c r="GU1628" s="4"/>
      <c r="GV1628" s="4"/>
      <c r="GW1628" s="4"/>
      <c r="GX1628" s="4"/>
      <c r="GY1628" s="4"/>
      <c r="GZ1628" s="4"/>
      <c r="HA1628" s="4"/>
      <c r="HB1628" s="4"/>
      <c r="HC1628" s="4"/>
      <c r="HD1628" s="4"/>
      <c r="HE1628" s="4"/>
    </row>
    <row r="1629">
      <c r="A1629" s="2" t="s">
        <v>8180</v>
      </c>
      <c r="B1629" s="2" t="s">
        <v>299</v>
      </c>
      <c r="C1629" s="2" t="s">
        <v>849</v>
      </c>
      <c r="D1629" s="2" t="s">
        <v>301</v>
      </c>
      <c r="E1629" s="2" t="s">
        <v>302</v>
      </c>
      <c r="F1629" s="2" t="s">
        <v>415</v>
      </c>
      <c r="G1629" s="2" t="s">
        <v>415</v>
      </c>
      <c r="H1629" s="2" t="s">
        <v>415</v>
      </c>
      <c r="I1629" s="2" t="s">
        <v>8125</v>
      </c>
      <c r="J1629" s="2" t="s">
        <v>289</v>
      </c>
      <c r="K1629" s="2" t="s">
        <v>3174</v>
      </c>
      <c r="L1629" s="3">
        <v>14.21</v>
      </c>
      <c r="M1629" s="3">
        <v>14.92</v>
      </c>
      <c r="N1629" s="3">
        <v>32.99</v>
      </c>
      <c r="O1629" s="2" t="s">
        <v>240</v>
      </c>
      <c r="P1629" s="2" t="s">
        <v>266</v>
      </c>
      <c r="Q1629" s="2" t="s">
        <v>234</v>
      </c>
      <c r="R1629" s="2" t="s">
        <v>228</v>
      </c>
      <c r="S1629" s="2" t="s">
        <v>8176</v>
      </c>
      <c r="T1629" s="2" t="s">
        <v>415</v>
      </c>
      <c r="U1629" s="2" t="s">
        <v>308</v>
      </c>
      <c r="V1629" s="2" t="s">
        <v>236</v>
      </c>
      <c r="W1629" s="2" t="s">
        <v>269</v>
      </c>
      <c r="X1629" s="2" t="s">
        <v>228</v>
      </c>
      <c r="Y1629" s="2" t="s">
        <v>8127</v>
      </c>
      <c r="Z1629" s="4">
        <v>272</v>
      </c>
      <c r="AA1629" s="4">
        <f>=ROUNDDOWN(66.3414634146341,0)</f>
      </c>
      <c r="AB1629" s="5">
        <v>4.1</v>
      </c>
      <c r="AC1629" s="2" t="s">
        <v>3531</v>
      </c>
      <c r="AD1629" s="4">
        <v>140</v>
      </c>
      <c r="AE1629" s="4">
        <v>140</v>
      </c>
      <c r="AF1629" s="6">
        <v>65</v>
      </c>
      <c r="AG1629" s="6"/>
      <c r="AH1629" s="7">
        <v>1</v>
      </c>
      <c r="AI1629" s="4"/>
      <c r="AJ1629" s="4">
        <f>=ROUNDDOWN({0},0)</f>
      </c>
      <c r="AK1629" s="5"/>
      <c r="AL1629" s="2" t="s">
        <v>228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228</v>
      </c>
      <c r="AW1629" s="8" t="s">
        <v>228</v>
      </c>
      <c r="AX1629" s="4" t="s">
        <v>228</v>
      </c>
      <c r="AY1629" s="8" t="s">
        <v>228</v>
      </c>
      <c r="AZ1629" s="7" t="s">
        <v>228</v>
      </c>
      <c r="BA1629" s="7" t="s">
        <v>228</v>
      </c>
      <c r="BB1629" s="7"/>
      <c r="BC1629" s="4" t="s">
        <v>228</v>
      </c>
      <c r="BD1629" s="8" t="s">
        <v>228</v>
      </c>
      <c r="BE1629" s="4" t="s">
        <v>228</v>
      </c>
      <c r="BF1629" s="8" t="s">
        <v>228</v>
      </c>
      <c r="BG1629" s="7" t="s">
        <v>228</v>
      </c>
      <c r="BH1629" s="7" t="s">
        <v>228</v>
      </c>
      <c r="BI1629" s="7"/>
      <c r="BJ1629" s="4">
        <v>24</v>
      </c>
      <c r="BK1629" s="8">
        <v>362.67</v>
      </c>
      <c r="BL1629" s="2" t="s">
        <v>8181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8182</v>
      </c>
      <c r="BV1629" s="2" t="s">
        <v>228</v>
      </c>
      <c r="BW1629" s="2" t="s">
        <v>228</v>
      </c>
      <c r="BX1629" s="2" t="s">
        <v>273</v>
      </c>
      <c r="BY1629" s="2" t="s">
        <v>274</v>
      </c>
      <c r="BZ1629" s="2" t="s">
        <v>240</v>
      </c>
      <c r="CA1629" s="2" t="s">
        <v>378</v>
      </c>
      <c r="CB1629" s="2" t="s">
        <v>3233</v>
      </c>
      <c r="CC1629" s="2" t="s">
        <v>241</v>
      </c>
      <c r="CD1629" s="2" t="s">
        <v>228</v>
      </c>
      <c r="CE1629" s="4">
        <v>272</v>
      </c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4"/>
      <c r="FF1629" s="4"/>
      <c r="FG1629" s="4"/>
      <c r="FH1629" s="4"/>
      <c r="FI1629" s="4"/>
      <c r="FJ1629" s="4"/>
      <c r="FK1629" s="4"/>
      <c r="FL1629" s="4"/>
      <c r="FM1629" s="4"/>
      <c r="FN1629" s="4"/>
      <c r="FO1629" s="4"/>
      <c r="FP1629" s="4"/>
      <c r="FQ1629" s="4"/>
      <c r="FR1629" s="4"/>
      <c r="FS1629" s="4"/>
      <c r="FT1629" s="4"/>
      <c r="FU1629" s="4"/>
      <c r="FV1629" s="4"/>
      <c r="FW1629" s="4"/>
      <c r="FX1629" s="4"/>
      <c r="FY1629" s="4"/>
      <c r="FZ1629" s="4"/>
      <c r="GA1629" s="4"/>
      <c r="GB1629" s="4"/>
      <c r="GC1629" s="4"/>
      <c r="GD1629" s="4"/>
      <c r="GE1629" s="4"/>
      <c r="GF1629" s="4"/>
      <c r="GG1629" s="4"/>
      <c r="GH1629" s="4"/>
      <c r="GI1629" s="4"/>
      <c r="GJ1629" s="4"/>
      <c r="GK1629" s="4"/>
      <c r="GL1629" s="4"/>
      <c r="GM1629" s="4"/>
      <c r="GN1629" s="4"/>
      <c r="GO1629" s="4"/>
      <c r="GP1629" s="4"/>
      <c r="GQ1629" s="4"/>
      <c r="GR1629" s="4"/>
      <c r="GS1629" s="4"/>
      <c r="GT1629" s="4"/>
      <c r="GU1629" s="4"/>
      <c r="GV1629" s="4"/>
      <c r="GW1629" s="4"/>
      <c r="GX1629" s="4"/>
      <c r="GY1629" s="4"/>
      <c r="GZ1629" s="4"/>
      <c r="HA1629" s="4"/>
      <c r="HB1629" s="4"/>
      <c r="HC1629" s="4"/>
      <c r="HD1629" s="4"/>
      <c r="HE1629" s="4">
        <v>140</v>
      </c>
    </row>
    <row r="1630">
      <c r="A1630" s="2" t="s">
        <v>8183</v>
      </c>
      <c r="B1630" s="2" t="s">
        <v>299</v>
      </c>
      <c r="C1630" s="2" t="s">
        <v>849</v>
      </c>
      <c r="D1630" s="2" t="s">
        <v>301</v>
      </c>
      <c r="E1630" s="2" t="s">
        <v>302</v>
      </c>
      <c r="F1630" s="2" t="s">
        <v>415</v>
      </c>
      <c r="G1630" s="2" t="s">
        <v>415</v>
      </c>
      <c r="H1630" s="2" t="s">
        <v>415</v>
      </c>
      <c r="I1630" s="2" t="s">
        <v>8125</v>
      </c>
      <c r="J1630" s="2" t="s">
        <v>264</v>
      </c>
      <c r="K1630" s="2" t="s">
        <v>2780</v>
      </c>
      <c r="L1630" s="3">
        <v>11.18</v>
      </c>
      <c r="M1630" s="3">
        <v>11.74</v>
      </c>
      <c r="N1630" s="3">
        <v>27.99</v>
      </c>
      <c r="O1630" s="2" t="s">
        <v>240</v>
      </c>
      <c r="P1630" s="2" t="s">
        <v>266</v>
      </c>
      <c r="Q1630" s="2" t="s">
        <v>234</v>
      </c>
      <c r="R1630" s="2" t="s">
        <v>228</v>
      </c>
      <c r="S1630" s="2" t="s">
        <v>8184</v>
      </c>
      <c r="T1630" s="2" t="s">
        <v>415</v>
      </c>
      <c r="U1630" s="2" t="s">
        <v>228</v>
      </c>
      <c r="V1630" s="2" t="s">
        <v>236</v>
      </c>
      <c r="W1630" s="2" t="s">
        <v>269</v>
      </c>
      <c r="X1630" s="2" t="s">
        <v>228</v>
      </c>
      <c r="Y1630" s="2" t="s">
        <v>270</v>
      </c>
      <c r="Z1630" s="4">
        <v>257</v>
      </c>
      <c r="AA1630" s="4">
        <f>=ROUNDDOWN(33.8157894736842,0)</f>
      </c>
      <c r="AB1630" s="5">
        <v>7.6</v>
      </c>
      <c r="AC1630" s="2" t="s">
        <v>187</v>
      </c>
      <c r="AD1630" s="4">
        <v>40</v>
      </c>
      <c r="AE1630" s="4">
        <v>70</v>
      </c>
      <c r="AF1630" s="6">
        <v>65</v>
      </c>
      <c r="AG1630" s="6"/>
      <c r="AH1630" s="7">
        <v>1</v>
      </c>
      <c r="AI1630" s="4"/>
      <c r="AJ1630" s="4">
        <f>=ROUNDDOWN({0},0)</f>
      </c>
      <c r="AK1630" s="5"/>
      <c r="AL1630" s="2" t="s">
        <v>228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/>
      <c r="AW1630" s="8"/>
      <c r="AX1630" s="4"/>
      <c r="AY1630" s="8"/>
      <c r="AZ1630" s="7"/>
      <c r="BA1630" s="7"/>
      <c r="BB1630" s="7"/>
      <c r="BC1630" s="4" t="s">
        <v>228</v>
      </c>
      <c r="BD1630" s="8" t="s">
        <v>228</v>
      </c>
      <c r="BE1630" s="4" t="s">
        <v>228</v>
      </c>
      <c r="BF1630" s="8" t="s">
        <v>228</v>
      </c>
      <c r="BG1630" s="7" t="s">
        <v>228</v>
      </c>
      <c r="BH1630" s="7" t="s">
        <v>228</v>
      </c>
      <c r="BI1630" s="7"/>
      <c r="BJ1630" s="4">
        <v>34</v>
      </c>
      <c r="BK1630" s="8">
        <v>379.43</v>
      </c>
      <c r="BL1630" s="2" t="s">
        <v>8185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8186</v>
      </c>
      <c r="BV1630" s="2" t="s">
        <v>228</v>
      </c>
      <c r="BW1630" s="2" t="s">
        <v>228</v>
      </c>
      <c r="BX1630" s="2" t="s">
        <v>273</v>
      </c>
      <c r="BY1630" s="2" t="s">
        <v>274</v>
      </c>
      <c r="BZ1630" s="2" t="s">
        <v>240</v>
      </c>
      <c r="CA1630" s="2" t="s">
        <v>275</v>
      </c>
      <c r="CB1630" s="2" t="s">
        <v>7333</v>
      </c>
      <c r="CC1630" s="2" t="s">
        <v>241</v>
      </c>
      <c r="CD1630" s="2" t="s">
        <v>228</v>
      </c>
      <c r="CE1630" s="4">
        <v>257</v>
      </c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/>
      <c r="FG1630" s="4"/>
      <c r="FH1630" s="4"/>
      <c r="FI1630" s="4"/>
      <c r="FJ1630" s="4"/>
      <c r="FK1630" s="4"/>
      <c r="FL1630" s="4"/>
      <c r="FM1630" s="4"/>
      <c r="FN1630" s="4"/>
      <c r="FO1630" s="4"/>
      <c r="FP1630" s="4"/>
      <c r="FQ1630" s="4"/>
      <c r="FR1630" s="4"/>
      <c r="FS1630" s="4"/>
      <c r="FT1630" s="4"/>
      <c r="FU1630" s="4"/>
      <c r="FV1630" s="4"/>
      <c r="FW1630" s="4">
        <v>40</v>
      </c>
      <c r="FX1630" s="4"/>
      <c r="FY1630" s="4"/>
      <c r="FZ1630" s="4"/>
      <c r="GA1630" s="4"/>
      <c r="GB1630" s="4">
        <v>30</v>
      </c>
      <c r="GC1630" s="4"/>
      <c r="GD1630" s="4"/>
      <c r="GE1630" s="4"/>
      <c r="GF1630" s="4"/>
      <c r="GG1630" s="4"/>
      <c r="GH1630" s="4"/>
      <c r="GI1630" s="4"/>
      <c r="GJ1630" s="4"/>
      <c r="GK1630" s="4"/>
      <c r="GL1630" s="4"/>
      <c r="GM1630" s="4"/>
      <c r="GN1630" s="4"/>
      <c r="GO1630" s="4"/>
      <c r="GP1630" s="4"/>
      <c r="GQ1630" s="4"/>
      <c r="GR1630" s="4"/>
      <c r="GS1630" s="4"/>
      <c r="GT1630" s="4"/>
      <c r="GU1630" s="4"/>
      <c r="GV1630" s="4"/>
      <c r="GW1630" s="4"/>
      <c r="GX1630" s="4"/>
      <c r="GY1630" s="4"/>
      <c r="GZ1630" s="4"/>
      <c r="HA1630" s="4"/>
      <c r="HB1630" s="4"/>
      <c r="HC1630" s="4"/>
      <c r="HD1630" s="4"/>
      <c r="HE1630" s="4"/>
    </row>
    <row r="1631">
      <c r="A1631" s="2" t="s">
        <v>8187</v>
      </c>
      <c r="B1631" s="2" t="s">
        <v>299</v>
      </c>
      <c r="C1631" s="2" t="s">
        <v>849</v>
      </c>
      <c r="D1631" s="2" t="s">
        <v>301</v>
      </c>
      <c r="E1631" s="2" t="s">
        <v>302</v>
      </c>
      <c r="F1631" s="2" t="s">
        <v>415</v>
      </c>
      <c r="G1631" s="2" t="s">
        <v>415</v>
      </c>
      <c r="H1631" s="2" t="s">
        <v>415</v>
      </c>
      <c r="I1631" s="2" t="s">
        <v>8125</v>
      </c>
      <c r="J1631" s="2" t="s">
        <v>289</v>
      </c>
      <c r="K1631" s="2" t="s">
        <v>650</v>
      </c>
      <c r="L1631" s="3">
        <v>14.21</v>
      </c>
      <c r="M1631" s="3">
        <v>14.92</v>
      </c>
      <c r="N1631" s="3">
        <v>32.99</v>
      </c>
      <c r="O1631" s="2" t="s">
        <v>240</v>
      </c>
      <c r="P1631" s="2" t="s">
        <v>266</v>
      </c>
      <c r="Q1631" s="2" t="s">
        <v>234</v>
      </c>
      <c r="R1631" s="2" t="s">
        <v>228</v>
      </c>
      <c r="S1631" s="2" t="s">
        <v>8188</v>
      </c>
      <c r="T1631" s="2" t="s">
        <v>415</v>
      </c>
      <c r="U1631" s="2" t="s">
        <v>228</v>
      </c>
      <c r="V1631" s="2" t="s">
        <v>236</v>
      </c>
      <c r="W1631" s="2" t="s">
        <v>269</v>
      </c>
      <c r="X1631" s="2" t="s">
        <v>228</v>
      </c>
      <c r="Y1631" s="2" t="s">
        <v>270</v>
      </c>
      <c r="Z1631" s="4">
        <v>522</v>
      </c>
      <c r="AA1631" s="4">
        <f>=ROUNDDOWN(11.3478260869565,0)</f>
      </c>
      <c r="AB1631" s="5">
        <v>46</v>
      </c>
      <c r="AC1631" s="2" t="s">
        <v>564</v>
      </c>
      <c r="AD1631" s="4">
        <v>260</v>
      </c>
      <c r="AE1631" s="4">
        <v>1690</v>
      </c>
      <c r="AF1631" s="6">
        <v>65</v>
      </c>
      <c r="AG1631" s="6"/>
      <c r="AH1631" s="7">
        <v>1</v>
      </c>
      <c r="AI1631" s="4"/>
      <c r="AJ1631" s="4">
        <f>=ROUNDDOWN({0},0)</f>
      </c>
      <c r="AK1631" s="5"/>
      <c r="AL1631" s="2" t="s">
        <v>228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 t="s">
        <v>228</v>
      </c>
      <c r="AW1631" s="8" t="s">
        <v>228</v>
      </c>
      <c r="AX1631" s="4" t="s">
        <v>228</v>
      </c>
      <c r="AY1631" s="8" t="s">
        <v>228</v>
      </c>
      <c r="AZ1631" s="7" t="s">
        <v>228</v>
      </c>
      <c r="BA1631" s="7" t="s">
        <v>228</v>
      </c>
      <c r="BB1631" s="7"/>
      <c r="BC1631" s="4" t="s">
        <v>228</v>
      </c>
      <c r="BD1631" s="8" t="s">
        <v>228</v>
      </c>
      <c r="BE1631" s="4" t="s">
        <v>228</v>
      </c>
      <c r="BF1631" s="8" t="s">
        <v>228</v>
      </c>
      <c r="BG1631" s="7" t="s">
        <v>228</v>
      </c>
      <c r="BH1631" s="7" t="s">
        <v>228</v>
      </c>
      <c r="BI1631" s="7"/>
      <c r="BJ1631" s="4">
        <v>214</v>
      </c>
      <c r="BK1631" s="8">
        <v>3049.41</v>
      </c>
      <c r="BL1631" s="2" t="s">
        <v>8189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8190</v>
      </c>
      <c r="BV1631" s="2" t="s">
        <v>228</v>
      </c>
      <c r="BW1631" s="2" t="s">
        <v>228</v>
      </c>
      <c r="BX1631" s="2" t="s">
        <v>273</v>
      </c>
      <c r="BY1631" s="2" t="s">
        <v>274</v>
      </c>
      <c r="BZ1631" s="2" t="s">
        <v>240</v>
      </c>
      <c r="CA1631" s="2" t="s">
        <v>2110</v>
      </c>
      <c r="CB1631" s="2" t="s">
        <v>4181</v>
      </c>
      <c r="CC1631" s="2" t="s">
        <v>241</v>
      </c>
      <c r="CD1631" s="2" t="s">
        <v>228</v>
      </c>
      <c r="CE1631" s="4">
        <v>522</v>
      </c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>
        <v>260</v>
      </c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/>
      <c r="FE1631" s="4"/>
      <c r="FF1631" s="4"/>
      <c r="FG1631" s="4"/>
      <c r="FH1631" s="4"/>
      <c r="FI1631" s="4"/>
      <c r="FJ1631" s="4"/>
      <c r="FK1631" s="4"/>
      <c r="FL1631" s="4"/>
      <c r="FM1631" s="4"/>
      <c r="FN1631" s="4"/>
      <c r="FO1631" s="4"/>
      <c r="FP1631" s="4"/>
      <c r="FQ1631" s="4"/>
      <c r="FR1631" s="4"/>
      <c r="FS1631" s="4"/>
      <c r="FT1631" s="4"/>
      <c r="FU1631" s="4"/>
      <c r="FV1631" s="4"/>
      <c r="FW1631" s="4">
        <v>150</v>
      </c>
      <c r="FX1631" s="4"/>
      <c r="FY1631" s="4"/>
      <c r="FZ1631" s="4"/>
      <c r="GA1631" s="4"/>
      <c r="GB1631" s="4">
        <v>230</v>
      </c>
      <c r="GC1631" s="4"/>
      <c r="GD1631" s="4"/>
      <c r="GE1631" s="4"/>
      <c r="GF1631" s="4"/>
      <c r="GG1631" s="4"/>
      <c r="GH1631" s="4"/>
      <c r="GI1631" s="4"/>
      <c r="GJ1631" s="4"/>
      <c r="GK1631" s="4"/>
      <c r="GL1631" s="4"/>
      <c r="GM1631" s="4"/>
      <c r="GN1631" s="4"/>
      <c r="GO1631" s="4"/>
      <c r="GP1631" s="4"/>
      <c r="GQ1631" s="4"/>
      <c r="GR1631" s="4"/>
      <c r="GS1631" s="4">
        <v>520</v>
      </c>
      <c r="GT1631" s="4"/>
      <c r="GU1631" s="4"/>
      <c r="GV1631" s="4"/>
      <c r="GW1631" s="4"/>
      <c r="GX1631" s="4"/>
      <c r="GY1631" s="4"/>
      <c r="GZ1631" s="4"/>
      <c r="HA1631" s="4"/>
      <c r="HB1631" s="4"/>
      <c r="HC1631" s="4"/>
      <c r="HD1631" s="4"/>
      <c r="HE1631" s="4">
        <v>530</v>
      </c>
    </row>
    <row r="1632">
      <c r="A1632" s="2" t="s">
        <v>8191</v>
      </c>
      <c r="B1632" s="2" t="s">
        <v>299</v>
      </c>
      <c r="C1632" s="2" t="s">
        <v>849</v>
      </c>
      <c r="D1632" s="2" t="s">
        <v>301</v>
      </c>
      <c r="E1632" s="2" t="s">
        <v>302</v>
      </c>
      <c r="F1632" s="2" t="s">
        <v>415</v>
      </c>
      <c r="G1632" s="2" t="s">
        <v>415</v>
      </c>
      <c r="H1632" s="2" t="s">
        <v>415</v>
      </c>
      <c r="I1632" s="2" t="s">
        <v>8125</v>
      </c>
      <c r="J1632" s="2" t="s">
        <v>294</v>
      </c>
      <c r="K1632" s="2" t="s">
        <v>650</v>
      </c>
      <c r="L1632" s="3">
        <v>16.75</v>
      </c>
      <c r="M1632" s="3">
        <v>17.59</v>
      </c>
      <c r="N1632" s="3">
        <v>37.99</v>
      </c>
      <c r="O1632" s="2" t="s">
        <v>240</v>
      </c>
      <c r="P1632" s="2" t="s">
        <v>266</v>
      </c>
      <c r="Q1632" s="2" t="s">
        <v>234</v>
      </c>
      <c r="R1632" s="2" t="s">
        <v>228</v>
      </c>
      <c r="S1632" s="2" t="s">
        <v>8188</v>
      </c>
      <c r="T1632" s="2" t="s">
        <v>415</v>
      </c>
      <c r="U1632" s="2" t="s">
        <v>228</v>
      </c>
      <c r="V1632" s="2" t="s">
        <v>236</v>
      </c>
      <c r="W1632" s="2" t="s">
        <v>269</v>
      </c>
      <c r="X1632" s="2" t="s">
        <v>228</v>
      </c>
      <c r="Y1632" s="2" t="s">
        <v>270</v>
      </c>
      <c r="Z1632" s="4">
        <v>197</v>
      </c>
      <c r="AA1632" s="4">
        <f>=ROUNDDOWN(21.8888888888889,0)</f>
      </c>
      <c r="AB1632" s="5">
        <v>9</v>
      </c>
      <c r="AC1632" s="2" t="s">
        <v>564</v>
      </c>
      <c r="AD1632" s="4">
        <v>70</v>
      </c>
      <c r="AE1632" s="4">
        <v>100</v>
      </c>
      <c r="AF1632" s="6">
        <v>65</v>
      </c>
      <c r="AG1632" s="6"/>
      <c r="AH1632" s="7">
        <v>1</v>
      </c>
      <c r="AI1632" s="4"/>
      <c r="AJ1632" s="4">
        <f>=ROUNDDOWN({0},0)</f>
      </c>
      <c r="AK1632" s="5"/>
      <c r="AL1632" s="2" t="s">
        <v>228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 t="s">
        <v>228</v>
      </c>
      <c r="AW1632" s="8" t="s">
        <v>228</v>
      </c>
      <c r="AX1632" s="4" t="s">
        <v>228</v>
      </c>
      <c r="AY1632" s="8" t="s">
        <v>228</v>
      </c>
      <c r="AZ1632" s="7" t="s">
        <v>228</v>
      </c>
      <c r="BA1632" s="7" t="s">
        <v>228</v>
      </c>
      <c r="BB1632" s="7"/>
      <c r="BC1632" s="4" t="s">
        <v>228</v>
      </c>
      <c r="BD1632" s="8" t="s">
        <v>228</v>
      </c>
      <c r="BE1632" s="4" t="s">
        <v>228</v>
      </c>
      <c r="BF1632" s="8" t="s">
        <v>228</v>
      </c>
      <c r="BG1632" s="7" t="s">
        <v>228</v>
      </c>
      <c r="BH1632" s="7" t="s">
        <v>228</v>
      </c>
      <c r="BI1632" s="7"/>
      <c r="BJ1632" s="4">
        <v>37</v>
      </c>
      <c r="BK1632" s="8">
        <v>665.81</v>
      </c>
      <c r="BL1632" s="2" t="s">
        <v>8192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8193</v>
      </c>
      <c r="BV1632" s="2" t="s">
        <v>228</v>
      </c>
      <c r="BW1632" s="2" t="s">
        <v>228</v>
      </c>
      <c r="BX1632" s="2" t="s">
        <v>273</v>
      </c>
      <c r="BY1632" s="2" t="s">
        <v>274</v>
      </c>
      <c r="BZ1632" s="2" t="s">
        <v>240</v>
      </c>
      <c r="CA1632" s="2" t="s">
        <v>2110</v>
      </c>
      <c r="CB1632" s="2" t="s">
        <v>8194</v>
      </c>
      <c r="CC1632" s="2" t="s">
        <v>241</v>
      </c>
      <c r="CD1632" s="2" t="s">
        <v>228</v>
      </c>
      <c r="CE1632" s="4">
        <v>197</v>
      </c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>
        <v>70</v>
      </c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/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/>
      <c r="FK1632" s="4"/>
      <c r="FL1632" s="4"/>
      <c r="FM1632" s="4"/>
      <c r="FN1632" s="4"/>
      <c r="FO1632" s="4"/>
      <c r="FP1632" s="4"/>
      <c r="FQ1632" s="4"/>
      <c r="FR1632" s="4"/>
      <c r="FS1632" s="4"/>
      <c r="FT1632" s="4"/>
      <c r="FU1632" s="4"/>
      <c r="FV1632" s="4"/>
      <c r="FW1632" s="4"/>
      <c r="FX1632" s="4"/>
      <c r="FY1632" s="4"/>
      <c r="FZ1632" s="4"/>
      <c r="GA1632" s="4"/>
      <c r="GB1632" s="4">
        <v>30</v>
      </c>
      <c r="GC1632" s="4"/>
      <c r="GD1632" s="4"/>
      <c r="GE1632" s="4"/>
      <c r="GF1632" s="4"/>
      <c r="GG1632" s="4"/>
      <c r="GH1632" s="4"/>
      <c r="GI1632" s="4"/>
      <c r="GJ1632" s="4"/>
      <c r="GK1632" s="4"/>
      <c r="GL1632" s="4"/>
      <c r="GM1632" s="4"/>
      <c r="GN1632" s="4"/>
      <c r="GO1632" s="4"/>
      <c r="GP1632" s="4"/>
      <c r="GQ1632" s="4"/>
      <c r="GR1632" s="4"/>
      <c r="GS1632" s="4"/>
      <c r="GT1632" s="4"/>
      <c r="GU1632" s="4"/>
      <c r="GV1632" s="4"/>
      <c r="GW1632" s="4"/>
      <c r="GX1632" s="4"/>
      <c r="GY1632" s="4"/>
      <c r="GZ1632" s="4"/>
      <c r="HA1632" s="4"/>
      <c r="HB1632" s="4"/>
      <c r="HC1632" s="4"/>
      <c r="HD1632" s="4"/>
      <c r="HE1632" s="4"/>
    </row>
    <row r="1633">
      <c r="A1633" s="2" t="s">
        <v>8195</v>
      </c>
      <c r="B1633" s="2" t="s">
        <v>299</v>
      </c>
      <c r="C1633" s="2" t="s">
        <v>849</v>
      </c>
      <c r="D1633" s="2" t="s">
        <v>301</v>
      </c>
      <c r="E1633" s="2" t="s">
        <v>302</v>
      </c>
      <c r="F1633" s="2" t="s">
        <v>415</v>
      </c>
      <c r="G1633" s="2" t="s">
        <v>415</v>
      </c>
      <c r="H1633" s="2" t="s">
        <v>415</v>
      </c>
      <c r="I1633" s="2" t="s">
        <v>8125</v>
      </c>
      <c r="J1633" s="2" t="s">
        <v>264</v>
      </c>
      <c r="K1633" s="2" t="s">
        <v>316</v>
      </c>
      <c r="L1633" s="3">
        <v>11.18</v>
      </c>
      <c r="M1633" s="3">
        <v>11.74</v>
      </c>
      <c r="N1633" s="3">
        <v>27.99</v>
      </c>
      <c r="O1633" s="2" t="s">
        <v>240</v>
      </c>
      <c r="P1633" s="2" t="s">
        <v>266</v>
      </c>
      <c r="Q1633" s="2" t="s">
        <v>234</v>
      </c>
      <c r="R1633" s="2" t="s">
        <v>228</v>
      </c>
      <c r="S1633" s="2" t="s">
        <v>8196</v>
      </c>
      <c r="T1633" s="2" t="s">
        <v>415</v>
      </c>
      <c r="U1633" s="2" t="s">
        <v>228</v>
      </c>
      <c r="V1633" s="2" t="s">
        <v>236</v>
      </c>
      <c r="W1633" s="2" t="s">
        <v>269</v>
      </c>
      <c r="X1633" s="2" t="s">
        <v>228</v>
      </c>
      <c r="Y1633" s="2" t="s">
        <v>561</v>
      </c>
      <c r="Z1633" s="4">
        <v>151</v>
      </c>
      <c r="AA1633" s="4">
        <f>=ROUNDDOWN(15.1,0)</f>
      </c>
      <c r="AB1633" s="5">
        <v>10</v>
      </c>
      <c r="AC1633" s="2" t="s">
        <v>564</v>
      </c>
      <c r="AD1633" s="4">
        <v>110</v>
      </c>
      <c r="AE1633" s="4">
        <v>390</v>
      </c>
      <c r="AF1633" s="6">
        <v>65</v>
      </c>
      <c r="AG1633" s="6"/>
      <c r="AH1633" s="7">
        <v>1</v>
      </c>
      <c r="AI1633" s="4"/>
      <c r="AJ1633" s="4">
        <f>=ROUNDDOWN({0},0)</f>
      </c>
      <c r="AK1633" s="5"/>
      <c r="AL1633" s="2" t="s">
        <v>228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 t="s">
        <v>228</v>
      </c>
      <c r="AW1633" s="8" t="s">
        <v>228</v>
      </c>
      <c r="AX1633" s="4" t="s">
        <v>228</v>
      </c>
      <c r="AY1633" s="8" t="s">
        <v>228</v>
      </c>
      <c r="AZ1633" s="7" t="s">
        <v>228</v>
      </c>
      <c r="BA1633" s="7" t="s">
        <v>228</v>
      </c>
      <c r="BB1633" s="7" t="s">
        <v>228</v>
      </c>
      <c r="BC1633" s="4" t="s">
        <v>228</v>
      </c>
      <c r="BD1633" s="8" t="s">
        <v>228</v>
      </c>
      <c r="BE1633" s="4" t="s">
        <v>228</v>
      </c>
      <c r="BF1633" s="8" t="s">
        <v>228</v>
      </c>
      <c r="BG1633" s="7" t="s">
        <v>228</v>
      </c>
      <c r="BH1633" s="7" t="s">
        <v>228</v>
      </c>
      <c r="BI1633" s="7"/>
      <c r="BJ1633" s="4">
        <v>61</v>
      </c>
      <c r="BK1633" s="8">
        <v>778.44</v>
      </c>
      <c r="BL1633" s="2" t="s">
        <v>5590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8197</v>
      </c>
      <c r="BV1633" s="2" t="s">
        <v>228</v>
      </c>
      <c r="BW1633" s="2" t="s">
        <v>228</v>
      </c>
      <c r="BX1633" s="2" t="s">
        <v>273</v>
      </c>
      <c r="BY1633" s="2" t="s">
        <v>274</v>
      </c>
      <c r="BZ1633" s="2" t="s">
        <v>240</v>
      </c>
      <c r="CA1633" s="2" t="s">
        <v>275</v>
      </c>
      <c r="CB1633" s="2" t="s">
        <v>5760</v>
      </c>
      <c r="CC1633" s="2" t="s">
        <v>241</v>
      </c>
      <c r="CD1633" s="2" t="s">
        <v>228</v>
      </c>
      <c r="CE1633" s="4">
        <v>151</v>
      </c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>
        <v>110</v>
      </c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4"/>
      <c r="FF1633" s="4"/>
      <c r="FG1633" s="4"/>
      <c r="FH1633" s="4"/>
      <c r="FI1633" s="4"/>
      <c r="FJ1633" s="4"/>
      <c r="FK1633" s="4"/>
      <c r="FL1633" s="4"/>
      <c r="FM1633" s="4"/>
      <c r="FN1633" s="4"/>
      <c r="FO1633" s="4"/>
      <c r="FP1633" s="4"/>
      <c r="FQ1633" s="4"/>
      <c r="FR1633" s="4"/>
      <c r="FS1633" s="4"/>
      <c r="FT1633" s="4"/>
      <c r="FU1633" s="4"/>
      <c r="FV1633" s="4"/>
      <c r="FW1633" s="4">
        <v>140</v>
      </c>
      <c r="FX1633" s="4"/>
      <c r="FY1633" s="4"/>
      <c r="FZ1633" s="4"/>
      <c r="GA1633" s="4"/>
      <c r="GB1633" s="4">
        <v>100</v>
      </c>
      <c r="GC1633" s="4"/>
      <c r="GD1633" s="4"/>
      <c r="GE1633" s="4"/>
      <c r="GF1633" s="4"/>
      <c r="GG1633" s="4"/>
      <c r="GH1633" s="4"/>
      <c r="GI1633" s="4"/>
      <c r="GJ1633" s="4"/>
      <c r="GK1633" s="4"/>
      <c r="GL1633" s="4"/>
      <c r="GM1633" s="4"/>
      <c r="GN1633" s="4"/>
      <c r="GO1633" s="4"/>
      <c r="GP1633" s="4"/>
      <c r="GQ1633" s="4"/>
      <c r="GR1633" s="4"/>
      <c r="GS1633" s="4"/>
      <c r="GT1633" s="4"/>
      <c r="GU1633" s="4"/>
      <c r="GV1633" s="4"/>
      <c r="GW1633" s="4"/>
      <c r="GX1633" s="4"/>
      <c r="GY1633" s="4"/>
      <c r="GZ1633" s="4"/>
      <c r="HA1633" s="4"/>
      <c r="HB1633" s="4"/>
      <c r="HC1633" s="4"/>
      <c r="HD1633" s="4"/>
      <c r="HE1633" s="4">
        <v>40</v>
      </c>
    </row>
    <row r="1634">
      <c r="A1634" s="2" t="s">
        <v>8198</v>
      </c>
      <c r="B1634" s="2" t="s">
        <v>299</v>
      </c>
      <c r="C1634" s="2" t="s">
        <v>849</v>
      </c>
      <c r="D1634" s="2" t="s">
        <v>301</v>
      </c>
      <c r="E1634" s="2" t="s">
        <v>302</v>
      </c>
      <c r="F1634" s="2" t="s">
        <v>415</v>
      </c>
      <c r="G1634" s="2" t="s">
        <v>415</v>
      </c>
      <c r="H1634" s="2" t="s">
        <v>415</v>
      </c>
      <c r="I1634" s="2" t="s">
        <v>8140</v>
      </c>
      <c r="J1634" s="2" t="s">
        <v>264</v>
      </c>
      <c r="K1634" s="2" t="s">
        <v>316</v>
      </c>
      <c r="L1634" s="3">
        <v>12.15</v>
      </c>
      <c r="M1634" s="3">
        <v>12.76</v>
      </c>
      <c r="N1634" s="3">
        <v>26.99</v>
      </c>
      <c r="O1634" s="2" t="s">
        <v>240</v>
      </c>
      <c r="P1634" s="2" t="s">
        <v>266</v>
      </c>
      <c r="Q1634" s="2" t="s">
        <v>234</v>
      </c>
      <c r="R1634" s="2" t="s">
        <v>228</v>
      </c>
      <c r="S1634" s="2" t="s">
        <v>8196</v>
      </c>
      <c r="T1634" s="2" t="s">
        <v>415</v>
      </c>
      <c r="U1634" s="2" t="s">
        <v>308</v>
      </c>
      <c r="V1634" s="2" t="s">
        <v>236</v>
      </c>
      <c r="W1634" s="2" t="s">
        <v>269</v>
      </c>
      <c r="X1634" s="2" t="s">
        <v>417</v>
      </c>
      <c r="Y1634" s="2" t="s">
        <v>8142</v>
      </c>
      <c r="Z1634" s="4">
        <v>91</v>
      </c>
      <c r="AA1634" s="4">
        <f>=ROUNDDOWN(15.1666666666667,0)</f>
      </c>
      <c r="AB1634" s="5">
        <v>6</v>
      </c>
      <c r="AC1634" s="2" t="s">
        <v>187</v>
      </c>
      <c r="AD1634" s="4">
        <v>20</v>
      </c>
      <c r="AE1634" s="4">
        <v>160</v>
      </c>
      <c r="AF1634" s="6">
        <v>65</v>
      </c>
      <c r="AG1634" s="6"/>
      <c r="AH1634" s="7">
        <v>1</v>
      </c>
      <c r="AI1634" s="4"/>
      <c r="AJ1634" s="4">
        <f>=ROUNDDOWN({0},0)</f>
      </c>
      <c r="AK1634" s="5"/>
      <c r="AL1634" s="2" t="s">
        <v>228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 t="s">
        <v>228</v>
      </c>
      <c r="AW1634" s="8" t="s">
        <v>228</v>
      </c>
      <c r="AX1634" s="4" t="s">
        <v>228</v>
      </c>
      <c r="AY1634" s="8" t="s">
        <v>228</v>
      </c>
      <c r="AZ1634" s="7" t="s">
        <v>228</v>
      </c>
      <c r="BA1634" s="7" t="s">
        <v>228</v>
      </c>
      <c r="BB1634" s="7" t="s">
        <v>228</v>
      </c>
      <c r="BC1634" s="4" t="s">
        <v>228</v>
      </c>
      <c r="BD1634" s="8" t="s">
        <v>228</v>
      </c>
      <c r="BE1634" s="4" t="s">
        <v>228</v>
      </c>
      <c r="BF1634" s="8" t="s">
        <v>228</v>
      </c>
      <c r="BG1634" s="7" t="s">
        <v>228</v>
      </c>
      <c r="BH1634" s="7" t="s">
        <v>228</v>
      </c>
      <c r="BI1634" s="7"/>
      <c r="BJ1634" s="4">
        <v>29</v>
      </c>
      <c r="BK1634" s="8">
        <v>377.19</v>
      </c>
      <c r="BL1634" s="2" t="s">
        <v>8199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8200</v>
      </c>
      <c r="BV1634" s="2" t="s">
        <v>228</v>
      </c>
      <c r="BW1634" s="2" t="s">
        <v>228</v>
      </c>
      <c r="BX1634" s="2" t="s">
        <v>273</v>
      </c>
      <c r="BY1634" s="2" t="s">
        <v>274</v>
      </c>
      <c r="BZ1634" s="2" t="s">
        <v>240</v>
      </c>
      <c r="CA1634" s="2" t="s">
        <v>8144</v>
      </c>
      <c r="CB1634" s="2" t="s">
        <v>8201</v>
      </c>
      <c r="CC1634" s="2" t="s">
        <v>241</v>
      </c>
      <c r="CD1634" s="2" t="s">
        <v>228</v>
      </c>
      <c r="CE1634" s="4">
        <v>91</v>
      </c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4"/>
      <c r="FF1634" s="4"/>
      <c r="FG1634" s="4"/>
      <c r="FH1634" s="4"/>
      <c r="FI1634" s="4"/>
      <c r="FJ1634" s="4"/>
      <c r="FK1634" s="4"/>
      <c r="FL1634" s="4"/>
      <c r="FM1634" s="4"/>
      <c r="FN1634" s="4"/>
      <c r="FO1634" s="4"/>
      <c r="FP1634" s="4"/>
      <c r="FQ1634" s="4"/>
      <c r="FR1634" s="4"/>
      <c r="FS1634" s="4"/>
      <c r="FT1634" s="4"/>
      <c r="FU1634" s="4"/>
      <c r="FV1634" s="4"/>
      <c r="FW1634" s="4">
        <v>20</v>
      </c>
      <c r="FX1634" s="4"/>
      <c r="FY1634" s="4"/>
      <c r="FZ1634" s="4"/>
      <c r="GA1634" s="4"/>
      <c r="GB1634" s="4">
        <v>20</v>
      </c>
      <c r="GC1634" s="4"/>
      <c r="GD1634" s="4"/>
      <c r="GE1634" s="4"/>
      <c r="GF1634" s="4"/>
      <c r="GG1634" s="4"/>
      <c r="GH1634" s="4"/>
      <c r="GI1634" s="4"/>
      <c r="GJ1634" s="4"/>
      <c r="GK1634" s="4"/>
      <c r="GL1634" s="4"/>
      <c r="GM1634" s="4"/>
      <c r="GN1634" s="4"/>
      <c r="GO1634" s="4"/>
      <c r="GP1634" s="4"/>
      <c r="GQ1634" s="4"/>
      <c r="GR1634" s="4"/>
      <c r="GS1634" s="4">
        <v>50</v>
      </c>
      <c r="GT1634" s="4"/>
      <c r="GU1634" s="4"/>
      <c r="GV1634" s="4"/>
      <c r="GW1634" s="4"/>
      <c r="GX1634" s="4"/>
      <c r="GY1634" s="4"/>
      <c r="GZ1634" s="4"/>
      <c r="HA1634" s="4"/>
      <c r="HB1634" s="4"/>
      <c r="HC1634" s="4"/>
      <c r="HD1634" s="4"/>
      <c r="HE1634" s="4">
        <v>70</v>
      </c>
    </row>
    <row r="1635">
      <c r="A1635" s="2" t="s">
        <v>8202</v>
      </c>
      <c r="B1635" s="2" t="s">
        <v>299</v>
      </c>
      <c r="C1635" s="2" t="s">
        <v>849</v>
      </c>
      <c r="D1635" s="2" t="s">
        <v>301</v>
      </c>
      <c r="E1635" s="2" t="s">
        <v>302</v>
      </c>
      <c r="F1635" s="2" t="s">
        <v>415</v>
      </c>
      <c r="G1635" s="2" t="s">
        <v>415</v>
      </c>
      <c r="H1635" s="2" t="s">
        <v>415</v>
      </c>
      <c r="I1635" s="2" t="s">
        <v>8125</v>
      </c>
      <c r="J1635" s="2" t="s">
        <v>278</v>
      </c>
      <c r="K1635" s="2" t="s">
        <v>316</v>
      </c>
      <c r="L1635" s="3">
        <v>11.18</v>
      </c>
      <c r="M1635" s="3">
        <v>11.74</v>
      </c>
      <c r="N1635" s="3">
        <v>27.99</v>
      </c>
      <c r="O1635" s="2" t="s">
        <v>240</v>
      </c>
      <c r="P1635" s="2" t="s">
        <v>266</v>
      </c>
      <c r="Q1635" s="2" t="s">
        <v>234</v>
      </c>
      <c r="R1635" s="2" t="s">
        <v>228</v>
      </c>
      <c r="S1635" s="2" t="s">
        <v>8196</v>
      </c>
      <c r="T1635" s="2" t="s">
        <v>415</v>
      </c>
      <c r="U1635" s="2" t="s">
        <v>228</v>
      </c>
      <c r="V1635" s="2" t="s">
        <v>236</v>
      </c>
      <c r="W1635" s="2" t="s">
        <v>269</v>
      </c>
      <c r="X1635" s="2" t="s">
        <v>228</v>
      </c>
      <c r="Y1635" s="2" t="s">
        <v>270</v>
      </c>
      <c r="Z1635" s="4">
        <v>497</v>
      </c>
      <c r="AA1635" s="4">
        <f>=ROUNDDOWN(124.25,0)</f>
      </c>
      <c r="AB1635" s="5">
        <v>4</v>
      </c>
      <c r="AC1635" s="2" t="s">
        <v>228</v>
      </c>
      <c r="AD1635" s="4"/>
      <c r="AE1635" s="4"/>
      <c r="AF1635" s="6">
        <v>65</v>
      </c>
      <c r="AG1635" s="6"/>
      <c r="AH1635" s="7">
        <v>1</v>
      </c>
      <c r="AI1635" s="4"/>
      <c r="AJ1635" s="4">
        <f>=ROUNDDOWN({0},0)</f>
      </c>
      <c r="AK1635" s="5"/>
      <c r="AL1635" s="2" t="s">
        <v>228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 t="s">
        <v>228</v>
      </c>
      <c r="AW1635" s="8" t="s">
        <v>228</v>
      </c>
      <c r="AX1635" s="4" t="s">
        <v>228</v>
      </c>
      <c r="AY1635" s="8" t="s">
        <v>228</v>
      </c>
      <c r="AZ1635" s="7" t="s">
        <v>228</v>
      </c>
      <c r="BA1635" s="7" t="s">
        <v>228</v>
      </c>
      <c r="BB1635" s="7" t="s">
        <v>228</v>
      </c>
      <c r="BC1635" s="4" t="s">
        <v>228</v>
      </c>
      <c r="BD1635" s="8" t="s">
        <v>228</v>
      </c>
      <c r="BE1635" s="4" t="s">
        <v>228</v>
      </c>
      <c r="BF1635" s="8" t="s">
        <v>228</v>
      </c>
      <c r="BG1635" s="7" t="s">
        <v>228</v>
      </c>
      <c r="BH1635" s="7" t="s">
        <v>228</v>
      </c>
      <c r="BI1635" s="7"/>
      <c r="BJ1635" s="4">
        <v>49</v>
      </c>
      <c r="BK1635" s="8">
        <v>592.92</v>
      </c>
      <c r="BL1635" s="2" t="s">
        <v>8203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8204</v>
      </c>
      <c r="BV1635" s="2" t="s">
        <v>228</v>
      </c>
      <c r="BW1635" s="2" t="s">
        <v>228</v>
      </c>
      <c r="BX1635" s="2" t="s">
        <v>273</v>
      </c>
      <c r="BY1635" s="2" t="s">
        <v>274</v>
      </c>
      <c r="BZ1635" s="2" t="s">
        <v>240</v>
      </c>
      <c r="CA1635" s="2" t="s">
        <v>275</v>
      </c>
      <c r="CB1635" s="2" t="s">
        <v>8008</v>
      </c>
      <c r="CC1635" s="2" t="s">
        <v>241</v>
      </c>
      <c r="CD1635" s="2" t="s">
        <v>228</v>
      </c>
      <c r="CE1635" s="4">
        <v>497</v>
      </c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/>
      <c r="FG1635" s="4"/>
      <c r="FH1635" s="4"/>
      <c r="FI1635" s="4"/>
      <c r="FJ1635" s="4"/>
      <c r="FK1635" s="4"/>
      <c r="FL1635" s="4"/>
      <c r="FM1635" s="4"/>
      <c r="FN1635" s="4"/>
      <c r="FO1635" s="4"/>
      <c r="FP1635" s="4"/>
      <c r="FQ1635" s="4"/>
      <c r="FR1635" s="4"/>
      <c r="FS1635" s="4"/>
      <c r="FT1635" s="4"/>
      <c r="FU1635" s="4"/>
      <c r="FV1635" s="4"/>
      <c r="FW1635" s="4"/>
      <c r="FX1635" s="4"/>
      <c r="FY1635" s="4"/>
      <c r="FZ1635" s="4"/>
      <c r="GA1635" s="4"/>
      <c r="GB1635" s="4"/>
      <c r="GC1635" s="4"/>
      <c r="GD1635" s="4"/>
      <c r="GE1635" s="4"/>
      <c r="GF1635" s="4"/>
      <c r="GG1635" s="4"/>
      <c r="GH1635" s="4"/>
      <c r="GI1635" s="4"/>
      <c r="GJ1635" s="4"/>
      <c r="GK1635" s="4"/>
      <c r="GL1635" s="4"/>
      <c r="GM1635" s="4"/>
      <c r="GN1635" s="4"/>
      <c r="GO1635" s="4"/>
      <c r="GP1635" s="4"/>
      <c r="GQ1635" s="4"/>
      <c r="GR1635" s="4"/>
      <c r="GS1635" s="4"/>
      <c r="GT1635" s="4"/>
      <c r="GU1635" s="4"/>
      <c r="GV1635" s="4"/>
      <c r="GW1635" s="4"/>
      <c r="GX1635" s="4"/>
      <c r="GY1635" s="4"/>
      <c r="GZ1635" s="4"/>
      <c r="HA1635" s="4"/>
      <c r="HB1635" s="4"/>
      <c r="HC1635" s="4"/>
      <c r="HD1635" s="4"/>
      <c r="HE1635" s="4"/>
    </row>
    <row r="1636">
      <c r="A1636" s="2" t="s">
        <v>8205</v>
      </c>
      <c r="B1636" s="2" t="s">
        <v>299</v>
      </c>
      <c r="C1636" s="2" t="s">
        <v>849</v>
      </c>
      <c r="D1636" s="2" t="s">
        <v>301</v>
      </c>
      <c r="E1636" s="2" t="s">
        <v>302</v>
      </c>
      <c r="F1636" s="2" t="s">
        <v>415</v>
      </c>
      <c r="G1636" s="2" t="s">
        <v>415</v>
      </c>
      <c r="H1636" s="2" t="s">
        <v>415</v>
      </c>
      <c r="I1636" s="2" t="s">
        <v>8140</v>
      </c>
      <c r="J1636" s="2" t="s">
        <v>278</v>
      </c>
      <c r="K1636" s="2" t="s">
        <v>316</v>
      </c>
      <c r="L1636" s="3">
        <v>12.15</v>
      </c>
      <c r="M1636" s="3">
        <v>12.76</v>
      </c>
      <c r="N1636" s="3">
        <v>26.99</v>
      </c>
      <c r="O1636" s="2" t="s">
        <v>240</v>
      </c>
      <c r="P1636" s="2" t="s">
        <v>266</v>
      </c>
      <c r="Q1636" s="2" t="s">
        <v>234</v>
      </c>
      <c r="R1636" s="2" t="s">
        <v>228</v>
      </c>
      <c r="S1636" s="2" t="s">
        <v>8196</v>
      </c>
      <c r="T1636" s="2" t="s">
        <v>415</v>
      </c>
      <c r="U1636" s="2" t="s">
        <v>308</v>
      </c>
      <c r="V1636" s="2" t="s">
        <v>236</v>
      </c>
      <c r="W1636" s="2" t="s">
        <v>269</v>
      </c>
      <c r="X1636" s="2" t="s">
        <v>417</v>
      </c>
      <c r="Y1636" s="2" t="s">
        <v>8142</v>
      </c>
      <c r="Z1636" s="4">
        <v>387</v>
      </c>
      <c r="AA1636" s="4">
        <f>=ROUNDDOWN(71.6666666666667,0)</f>
      </c>
      <c r="AB1636" s="5">
        <v>5.4</v>
      </c>
      <c r="AC1636" s="2" t="s">
        <v>228</v>
      </c>
      <c r="AD1636" s="4"/>
      <c r="AE1636" s="4"/>
      <c r="AF1636" s="6">
        <v>65</v>
      </c>
      <c r="AG1636" s="6"/>
      <c r="AH1636" s="7">
        <v>1</v>
      </c>
      <c r="AI1636" s="4"/>
      <c r="AJ1636" s="4">
        <f>=ROUNDDOWN({0},0)</f>
      </c>
      <c r="AK1636" s="5"/>
      <c r="AL1636" s="2" t="s">
        <v>228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228</v>
      </c>
      <c r="AW1636" s="8" t="s">
        <v>228</v>
      </c>
      <c r="AX1636" s="4" t="s">
        <v>228</v>
      </c>
      <c r="AY1636" s="8" t="s">
        <v>228</v>
      </c>
      <c r="AZ1636" s="7" t="s">
        <v>228</v>
      </c>
      <c r="BA1636" s="7" t="s">
        <v>228</v>
      </c>
      <c r="BB1636" s="7" t="s">
        <v>228</v>
      </c>
      <c r="BC1636" s="4" t="s">
        <v>228</v>
      </c>
      <c r="BD1636" s="8" t="s">
        <v>228</v>
      </c>
      <c r="BE1636" s="4" t="s">
        <v>228</v>
      </c>
      <c r="BF1636" s="8" t="s">
        <v>228</v>
      </c>
      <c r="BG1636" s="7" t="s">
        <v>228</v>
      </c>
      <c r="BH1636" s="7" t="s">
        <v>228</v>
      </c>
      <c r="BI1636" s="7"/>
      <c r="BJ1636" s="4">
        <v>124</v>
      </c>
      <c r="BK1636" s="8">
        <v>1639.27</v>
      </c>
      <c r="BL1636" s="2" t="s">
        <v>8199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8206</v>
      </c>
      <c r="BV1636" s="2" t="s">
        <v>228</v>
      </c>
      <c r="BW1636" s="2" t="s">
        <v>228</v>
      </c>
      <c r="BX1636" s="2" t="s">
        <v>273</v>
      </c>
      <c r="BY1636" s="2" t="s">
        <v>274</v>
      </c>
      <c r="BZ1636" s="2" t="s">
        <v>240</v>
      </c>
      <c r="CA1636" s="2" t="s">
        <v>8144</v>
      </c>
      <c r="CB1636" s="2" t="s">
        <v>8148</v>
      </c>
      <c r="CC1636" s="2" t="s">
        <v>241</v>
      </c>
      <c r="CD1636" s="2" t="s">
        <v>228</v>
      </c>
      <c r="CE1636" s="4">
        <v>387</v>
      </c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/>
      <c r="EZ1636" s="4"/>
      <c r="FA1636" s="4"/>
      <c r="FB1636" s="4"/>
      <c r="FC1636" s="4"/>
      <c r="FD1636" s="4"/>
      <c r="FE1636" s="4"/>
      <c r="FF1636" s="4"/>
      <c r="FG1636" s="4"/>
      <c r="FH1636" s="4"/>
      <c r="FI1636" s="4"/>
      <c r="FJ1636" s="4"/>
      <c r="FK1636" s="4"/>
      <c r="FL1636" s="4"/>
      <c r="FM1636" s="4"/>
      <c r="FN1636" s="4"/>
      <c r="FO1636" s="4"/>
      <c r="FP1636" s="4"/>
      <c r="FQ1636" s="4"/>
      <c r="FR1636" s="4"/>
      <c r="FS1636" s="4"/>
      <c r="FT1636" s="4"/>
      <c r="FU1636" s="4"/>
      <c r="FV1636" s="4"/>
      <c r="FW1636" s="4"/>
      <c r="FX1636" s="4"/>
      <c r="FY1636" s="4"/>
      <c r="FZ1636" s="4"/>
      <c r="GA1636" s="4"/>
      <c r="GB1636" s="4"/>
      <c r="GC1636" s="4"/>
      <c r="GD1636" s="4"/>
      <c r="GE1636" s="4"/>
      <c r="GF1636" s="4"/>
      <c r="GG1636" s="4"/>
      <c r="GH1636" s="4"/>
      <c r="GI1636" s="4"/>
      <c r="GJ1636" s="4"/>
      <c r="GK1636" s="4"/>
      <c r="GL1636" s="4"/>
      <c r="GM1636" s="4"/>
      <c r="GN1636" s="4"/>
      <c r="GO1636" s="4"/>
      <c r="GP1636" s="4"/>
      <c r="GQ1636" s="4"/>
      <c r="GR1636" s="4"/>
      <c r="GS1636" s="4"/>
      <c r="GT1636" s="4"/>
      <c r="GU1636" s="4"/>
      <c r="GV1636" s="4"/>
      <c r="GW1636" s="4"/>
      <c r="GX1636" s="4"/>
      <c r="GY1636" s="4"/>
      <c r="GZ1636" s="4"/>
      <c r="HA1636" s="4"/>
      <c r="HB1636" s="4"/>
      <c r="HC1636" s="4"/>
      <c r="HD1636" s="4"/>
      <c r="HE1636" s="4"/>
    </row>
    <row r="1637">
      <c r="A1637" s="2" t="s">
        <v>8207</v>
      </c>
      <c r="B1637" s="2" t="s">
        <v>299</v>
      </c>
      <c r="C1637" s="2" t="s">
        <v>849</v>
      </c>
      <c r="D1637" s="2" t="s">
        <v>301</v>
      </c>
      <c r="E1637" s="2" t="s">
        <v>302</v>
      </c>
      <c r="F1637" s="2" t="s">
        <v>415</v>
      </c>
      <c r="G1637" s="2" t="s">
        <v>415</v>
      </c>
      <c r="H1637" s="2" t="s">
        <v>415</v>
      </c>
      <c r="I1637" s="2" t="s">
        <v>8125</v>
      </c>
      <c r="J1637" s="2" t="s">
        <v>284</v>
      </c>
      <c r="K1637" s="2" t="s">
        <v>316</v>
      </c>
      <c r="L1637" s="3">
        <v>12.92</v>
      </c>
      <c r="M1637" s="3">
        <v>13.57</v>
      </c>
      <c r="N1637" s="3">
        <v>30.99</v>
      </c>
      <c r="O1637" s="2" t="s">
        <v>240</v>
      </c>
      <c r="P1637" s="2" t="s">
        <v>266</v>
      </c>
      <c r="Q1637" s="2" t="s">
        <v>234</v>
      </c>
      <c r="R1637" s="2" t="s">
        <v>228</v>
      </c>
      <c r="S1637" s="2" t="s">
        <v>8196</v>
      </c>
      <c r="T1637" s="2" t="s">
        <v>415</v>
      </c>
      <c r="U1637" s="2" t="s">
        <v>228</v>
      </c>
      <c r="V1637" s="2" t="s">
        <v>236</v>
      </c>
      <c r="W1637" s="2" t="s">
        <v>269</v>
      </c>
      <c r="X1637" s="2" t="s">
        <v>228</v>
      </c>
      <c r="Y1637" s="2" t="s">
        <v>270</v>
      </c>
      <c r="Z1637" s="4">
        <v>201</v>
      </c>
      <c r="AA1637" s="4">
        <f>=ROUNDDOWN(18.6111111111111,0)</f>
      </c>
      <c r="AB1637" s="5">
        <v>10.8</v>
      </c>
      <c r="AC1637" s="2" t="s">
        <v>564</v>
      </c>
      <c r="AD1637" s="4">
        <v>30</v>
      </c>
      <c r="AE1637" s="4">
        <v>200</v>
      </c>
      <c r="AF1637" s="6">
        <v>65</v>
      </c>
      <c r="AG1637" s="6"/>
      <c r="AH1637" s="7">
        <v>1</v>
      </c>
      <c r="AI1637" s="4"/>
      <c r="AJ1637" s="4">
        <f>=ROUNDDOWN({0},0)</f>
      </c>
      <c r="AK1637" s="5"/>
      <c r="AL1637" s="2" t="s">
        <v>228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228</v>
      </c>
      <c r="AW1637" s="8" t="s">
        <v>228</v>
      </c>
      <c r="AX1637" s="4" t="s">
        <v>228</v>
      </c>
      <c r="AY1637" s="8" t="s">
        <v>228</v>
      </c>
      <c r="AZ1637" s="7" t="s">
        <v>228</v>
      </c>
      <c r="BA1637" s="7" t="s">
        <v>228</v>
      </c>
      <c r="BB1637" s="7"/>
      <c r="BC1637" s="4" t="s">
        <v>228</v>
      </c>
      <c r="BD1637" s="8" t="s">
        <v>228</v>
      </c>
      <c r="BE1637" s="4" t="s">
        <v>228</v>
      </c>
      <c r="BF1637" s="8" t="s">
        <v>228</v>
      </c>
      <c r="BG1637" s="7" t="s">
        <v>228</v>
      </c>
      <c r="BH1637" s="7" t="s">
        <v>228</v>
      </c>
      <c r="BI1637" s="7"/>
      <c r="BJ1637" s="4">
        <v>56</v>
      </c>
      <c r="BK1637" s="8">
        <v>836.21</v>
      </c>
      <c r="BL1637" s="2" t="s">
        <v>8208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8209</v>
      </c>
      <c r="BV1637" s="2" t="s">
        <v>228</v>
      </c>
      <c r="BW1637" s="2" t="s">
        <v>228</v>
      </c>
      <c r="BX1637" s="2" t="s">
        <v>273</v>
      </c>
      <c r="BY1637" s="2" t="s">
        <v>274</v>
      </c>
      <c r="BZ1637" s="2" t="s">
        <v>240</v>
      </c>
      <c r="CA1637" s="2" t="s">
        <v>275</v>
      </c>
      <c r="CB1637" s="2" t="s">
        <v>609</v>
      </c>
      <c r="CC1637" s="2" t="s">
        <v>241</v>
      </c>
      <c r="CD1637" s="2" t="s">
        <v>228</v>
      </c>
      <c r="CE1637" s="4">
        <v>201</v>
      </c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>
        <v>30</v>
      </c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/>
      <c r="FG1637" s="4"/>
      <c r="FH1637" s="4"/>
      <c r="FI1637" s="4"/>
      <c r="FJ1637" s="4"/>
      <c r="FK1637" s="4"/>
      <c r="FL1637" s="4"/>
      <c r="FM1637" s="4"/>
      <c r="FN1637" s="4"/>
      <c r="FO1637" s="4"/>
      <c r="FP1637" s="4"/>
      <c r="FQ1637" s="4"/>
      <c r="FR1637" s="4"/>
      <c r="FS1637" s="4"/>
      <c r="FT1637" s="4"/>
      <c r="FU1637" s="4"/>
      <c r="FV1637" s="4"/>
      <c r="FW1637" s="4">
        <v>30</v>
      </c>
      <c r="FX1637" s="4"/>
      <c r="FY1637" s="4"/>
      <c r="FZ1637" s="4"/>
      <c r="GA1637" s="4"/>
      <c r="GB1637" s="4">
        <v>60</v>
      </c>
      <c r="GC1637" s="4"/>
      <c r="GD1637" s="4"/>
      <c r="GE1637" s="4"/>
      <c r="GF1637" s="4"/>
      <c r="GG1637" s="4"/>
      <c r="GH1637" s="4"/>
      <c r="GI1637" s="4"/>
      <c r="GJ1637" s="4"/>
      <c r="GK1637" s="4"/>
      <c r="GL1637" s="4"/>
      <c r="GM1637" s="4"/>
      <c r="GN1637" s="4"/>
      <c r="GO1637" s="4"/>
      <c r="GP1637" s="4"/>
      <c r="GQ1637" s="4"/>
      <c r="GR1637" s="4"/>
      <c r="GS1637" s="4">
        <v>60</v>
      </c>
      <c r="GT1637" s="4"/>
      <c r="GU1637" s="4"/>
      <c r="GV1637" s="4"/>
      <c r="GW1637" s="4"/>
      <c r="GX1637" s="4"/>
      <c r="GY1637" s="4"/>
      <c r="GZ1637" s="4"/>
      <c r="HA1637" s="4"/>
      <c r="HB1637" s="4"/>
      <c r="HC1637" s="4"/>
      <c r="HD1637" s="4"/>
      <c r="HE1637" s="4">
        <v>20</v>
      </c>
    </row>
    <row r="1638">
      <c r="A1638" s="2" t="s">
        <v>8210</v>
      </c>
      <c r="B1638" s="2" t="s">
        <v>299</v>
      </c>
      <c r="C1638" s="2" t="s">
        <v>849</v>
      </c>
      <c r="D1638" s="2" t="s">
        <v>301</v>
      </c>
      <c r="E1638" s="2" t="s">
        <v>302</v>
      </c>
      <c r="F1638" s="2" t="s">
        <v>415</v>
      </c>
      <c r="G1638" s="2" t="s">
        <v>415</v>
      </c>
      <c r="H1638" s="2" t="s">
        <v>415</v>
      </c>
      <c r="I1638" s="2" t="s">
        <v>8125</v>
      </c>
      <c r="J1638" s="2" t="s">
        <v>294</v>
      </c>
      <c r="K1638" s="2" t="s">
        <v>316</v>
      </c>
      <c r="L1638" s="3">
        <v>16.75</v>
      </c>
      <c r="M1638" s="3">
        <v>17.59</v>
      </c>
      <c r="N1638" s="3">
        <v>37.99</v>
      </c>
      <c r="O1638" s="2" t="s">
        <v>240</v>
      </c>
      <c r="P1638" s="2" t="s">
        <v>266</v>
      </c>
      <c r="Q1638" s="2" t="s">
        <v>234</v>
      </c>
      <c r="R1638" s="2" t="s">
        <v>228</v>
      </c>
      <c r="S1638" s="2" t="s">
        <v>8196</v>
      </c>
      <c r="T1638" s="2" t="s">
        <v>415</v>
      </c>
      <c r="U1638" s="2" t="s">
        <v>228</v>
      </c>
      <c r="V1638" s="2" t="s">
        <v>236</v>
      </c>
      <c r="W1638" s="2" t="s">
        <v>269</v>
      </c>
      <c r="X1638" s="2" t="s">
        <v>228</v>
      </c>
      <c r="Y1638" s="2" t="s">
        <v>270</v>
      </c>
      <c r="Z1638" s="4">
        <v>190</v>
      </c>
      <c r="AA1638" s="4">
        <f>=ROUNDDOWN(15.5737704918033,0)</f>
      </c>
      <c r="AB1638" s="5">
        <v>12.2</v>
      </c>
      <c r="AC1638" s="2" t="s">
        <v>564</v>
      </c>
      <c r="AD1638" s="4">
        <v>140</v>
      </c>
      <c r="AE1638" s="4">
        <v>360</v>
      </c>
      <c r="AF1638" s="6">
        <v>65</v>
      </c>
      <c r="AG1638" s="6"/>
      <c r="AH1638" s="7">
        <v>1</v>
      </c>
      <c r="AI1638" s="4"/>
      <c r="AJ1638" s="4">
        <f>=ROUNDDOWN({0},0)</f>
      </c>
      <c r="AK1638" s="5"/>
      <c r="AL1638" s="2" t="s">
        <v>228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228</v>
      </c>
      <c r="AW1638" s="8" t="s">
        <v>228</v>
      </c>
      <c r="AX1638" s="4" t="s">
        <v>228</v>
      </c>
      <c r="AY1638" s="8" t="s">
        <v>228</v>
      </c>
      <c r="AZ1638" s="7" t="s">
        <v>228</v>
      </c>
      <c r="BA1638" s="7" t="s">
        <v>228</v>
      </c>
      <c r="BB1638" s="7"/>
      <c r="BC1638" s="4" t="s">
        <v>228</v>
      </c>
      <c r="BD1638" s="8" t="s">
        <v>228</v>
      </c>
      <c r="BE1638" s="4" t="s">
        <v>228</v>
      </c>
      <c r="BF1638" s="8" t="s">
        <v>228</v>
      </c>
      <c r="BG1638" s="7" t="s">
        <v>228</v>
      </c>
      <c r="BH1638" s="7" t="s">
        <v>228</v>
      </c>
      <c r="BI1638" s="7"/>
      <c r="BJ1638" s="4">
        <v>52</v>
      </c>
      <c r="BK1638" s="8">
        <v>945.11</v>
      </c>
      <c r="BL1638" s="2" t="s">
        <v>8211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8212</v>
      </c>
      <c r="BV1638" s="2" t="s">
        <v>228</v>
      </c>
      <c r="BW1638" s="2" t="s">
        <v>228</v>
      </c>
      <c r="BX1638" s="2" t="s">
        <v>273</v>
      </c>
      <c r="BY1638" s="2" t="s">
        <v>274</v>
      </c>
      <c r="BZ1638" s="2" t="s">
        <v>240</v>
      </c>
      <c r="CA1638" s="2" t="s">
        <v>275</v>
      </c>
      <c r="CB1638" s="2" t="s">
        <v>609</v>
      </c>
      <c r="CC1638" s="2" t="s">
        <v>241</v>
      </c>
      <c r="CD1638" s="2" t="s">
        <v>228</v>
      </c>
      <c r="CE1638" s="4">
        <v>190</v>
      </c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>
        <v>140</v>
      </c>
      <c r="EJ1638" s="4"/>
      <c r="EK1638" s="4"/>
      <c r="EL1638" s="4"/>
      <c r="EM1638" s="4"/>
      <c r="EN1638" s="4"/>
      <c r="EO1638" s="4"/>
      <c r="EP1638" s="4"/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/>
      <c r="FH1638" s="4"/>
      <c r="FI1638" s="4"/>
      <c r="FJ1638" s="4"/>
      <c r="FK1638" s="4"/>
      <c r="FL1638" s="4"/>
      <c r="FM1638" s="4"/>
      <c r="FN1638" s="4"/>
      <c r="FO1638" s="4"/>
      <c r="FP1638" s="4"/>
      <c r="FQ1638" s="4"/>
      <c r="FR1638" s="4"/>
      <c r="FS1638" s="4"/>
      <c r="FT1638" s="4"/>
      <c r="FU1638" s="4"/>
      <c r="FV1638" s="4"/>
      <c r="FW1638" s="4">
        <v>120</v>
      </c>
      <c r="FX1638" s="4"/>
      <c r="FY1638" s="4"/>
      <c r="FZ1638" s="4"/>
      <c r="GA1638" s="4"/>
      <c r="GB1638" s="4">
        <v>100</v>
      </c>
      <c r="GC1638" s="4"/>
      <c r="GD1638" s="4"/>
      <c r="GE1638" s="4"/>
      <c r="GF1638" s="4"/>
      <c r="GG1638" s="4"/>
      <c r="GH1638" s="4"/>
      <c r="GI1638" s="4"/>
      <c r="GJ1638" s="4"/>
      <c r="GK1638" s="4"/>
      <c r="GL1638" s="4"/>
      <c r="GM1638" s="4"/>
      <c r="GN1638" s="4"/>
      <c r="GO1638" s="4"/>
      <c r="GP1638" s="4"/>
      <c r="GQ1638" s="4"/>
      <c r="GR1638" s="4"/>
      <c r="GS1638" s="4"/>
      <c r="GT1638" s="4"/>
      <c r="GU1638" s="4"/>
      <c r="GV1638" s="4"/>
      <c r="GW1638" s="4"/>
      <c r="GX1638" s="4"/>
      <c r="GY1638" s="4"/>
      <c r="GZ1638" s="4"/>
      <c r="HA1638" s="4"/>
      <c r="HB1638" s="4"/>
      <c r="HC1638" s="4"/>
      <c r="HD1638" s="4"/>
      <c r="HE1638" s="4"/>
    </row>
    <row r="1639">
      <c r="A1639" s="2" t="s">
        <v>8213</v>
      </c>
      <c r="B1639" s="2" t="s">
        <v>299</v>
      </c>
      <c r="C1639" s="2" t="s">
        <v>1111</v>
      </c>
      <c r="D1639" s="2" t="s">
        <v>301</v>
      </c>
      <c r="E1639" s="2" t="s">
        <v>302</v>
      </c>
      <c r="F1639" s="2" t="s">
        <v>8214</v>
      </c>
      <c r="G1639" s="2" t="s">
        <v>8214</v>
      </c>
      <c r="H1639" s="2" t="s">
        <v>8214</v>
      </c>
      <c r="I1639" s="2" t="s">
        <v>8215</v>
      </c>
      <c r="J1639" s="2" t="s">
        <v>278</v>
      </c>
      <c r="K1639" s="2" t="s">
        <v>316</v>
      </c>
      <c r="L1639" s="3">
        <v>12.14</v>
      </c>
      <c r="M1639" s="3">
        <v>12.75</v>
      </c>
      <c r="N1639" s="3">
        <v>19.99</v>
      </c>
      <c r="O1639" s="2" t="s">
        <v>461</v>
      </c>
      <c r="P1639" s="2" t="s">
        <v>1116</v>
      </c>
      <c r="Q1639" s="2" t="s">
        <v>234</v>
      </c>
      <c r="R1639" s="2" t="s">
        <v>727</v>
      </c>
      <c r="S1639" s="2" t="s">
        <v>228</v>
      </c>
      <c r="T1639" s="2" t="s">
        <v>415</v>
      </c>
      <c r="U1639" s="2" t="s">
        <v>228</v>
      </c>
      <c r="V1639" s="2" t="s">
        <v>236</v>
      </c>
      <c r="W1639" s="2" t="s">
        <v>228</v>
      </c>
      <c r="X1639" s="2" t="s">
        <v>228</v>
      </c>
      <c r="Y1639" s="2" t="s">
        <v>4342</v>
      </c>
      <c r="Z1639" s="4">
        <v>15</v>
      </c>
      <c r="AA1639" s="4">
        <f>=ROUNDDOWN(25,0)</f>
      </c>
      <c r="AB1639" s="5">
        <v>0.6</v>
      </c>
      <c r="AC1639" s="2" t="s">
        <v>228</v>
      </c>
      <c r="AD1639" s="4"/>
      <c r="AE1639" s="4"/>
      <c r="AF1639" s="6">
        <v>64</v>
      </c>
      <c r="AG1639" s="6"/>
      <c r="AH1639" s="7">
        <v>0.9355</v>
      </c>
      <c r="AI1639" s="4"/>
      <c r="AJ1639" s="4">
        <f>=ROUNDDOWN({0},0)</f>
      </c>
      <c r="AK1639" s="5"/>
      <c r="AL1639" s="2" t="s">
        <v>228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/>
      <c r="AW1639" s="8"/>
      <c r="AX1639" s="4"/>
      <c r="AY1639" s="8"/>
      <c r="AZ1639" s="7"/>
      <c r="BA1639" s="7"/>
      <c r="BB1639" s="7"/>
      <c r="BC1639" s="4"/>
      <c r="BD1639" s="8"/>
      <c r="BE1639" s="4"/>
      <c r="BF1639" s="8"/>
      <c r="BG1639" s="7"/>
      <c r="BH1639" s="7"/>
      <c r="BI1639" s="7"/>
      <c r="BJ1639" s="4">
        <v>4</v>
      </c>
      <c r="BK1639" s="8">
        <v>26.64</v>
      </c>
      <c r="BL1639" s="2" t="s">
        <v>699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8216</v>
      </c>
      <c r="BV1639" s="2" t="s">
        <v>228</v>
      </c>
      <c r="BW1639" s="2" t="s">
        <v>228</v>
      </c>
      <c r="BX1639" s="2" t="s">
        <v>273</v>
      </c>
      <c r="BY1639" s="2" t="s">
        <v>274</v>
      </c>
      <c r="BZ1639" s="2" t="s">
        <v>240</v>
      </c>
      <c r="CA1639" s="2" t="s">
        <v>3720</v>
      </c>
      <c r="CB1639" s="2" t="s">
        <v>228</v>
      </c>
      <c r="CC1639" s="2" t="s">
        <v>241</v>
      </c>
      <c r="CD1639" s="2" t="s">
        <v>228</v>
      </c>
      <c r="CE1639" s="4">
        <v>15</v>
      </c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/>
      <c r="FK1639" s="4"/>
      <c r="FL1639" s="4"/>
      <c r="FM1639" s="4"/>
      <c r="FN1639" s="4"/>
      <c r="FO1639" s="4"/>
      <c r="FP1639" s="4"/>
      <c r="FQ1639" s="4"/>
      <c r="FR1639" s="4"/>
      <c r="FS1639" s="4"/>
      <c r="FT1639" s="4"/>
      <c r="FU1639" s="4"/>
      <c r="FV1639" s="4"/>
      <c r="FW1639" s="4"/>
      <c r="FX1639" s="4"/>
      <c r="FY1639" s="4"/>
      <c r="FZ1639" s="4"/>
      <c r="GA1639" s="4"/>
      <c r="GB1639" s="4"/>
      <c r="GC1639" s="4"/>
      <c r="GD1639" s="4"/>
      <c r="GE1639" s="4"/>
      <c r="GF1639" s="4"/>
      <c r="GG1639" s="4"/>
      <c r="GH1639" s="4"/>
      <c r="GI1639" s="4"/>
      <c r="GJ1639" s="4"/>
      <c r="GK1639" s="4"/>
      <c r="GL1639" s="4"/>
      <c r="GM1639" s="4"/>
      <c r="GN1639" s="4"/>
      <c r="GO1639" s="4"/>
      <c r="GP1639" s="4"/>
      <c r="GQ1639" s="4"/>
      <c r="GR1639" s="4"/>
      <c r="GS1639" s="4"/>
      <c r="GT1639" s="4"/>
      <c r="GU1639" s="4"/>
      <c r="GV1639" s="4"/>
      <c r="GW1639" s="4"/>
      <c r="GX1639" s="4"/>
      <c r="GY1639" s="4"/>
      <c r="GZ1639" s="4"/>
      <c r="HA1639" s="4"/>
      <c r="HB1639" s="4"/>
      <c r="HC1639" s="4"/>
      <c r="HD1639" s="4"/>
      <c r="HE1639" s="4"/>
    </row>
    <row r="1640">
      <c r="A1640" s="2" t="s">
        <v>8217</v>
      </c>
      <c r="B1640" s="2" t="s">
        <v>223</v>
      </c>
      <c r="C1640" s="2" t="s">
        <v>3635</v>
      </c>
      <c r="D1640" s="2" t="s">
        <v>3559</v>
      </c>
      <c r="E1640" s="2" t="s">
        <v>3560</v>
      </c>
      <c r="F1640" s="2" t="s">
        <v>8218</v>
      </c>
      <c r="G1640" s="2" t="s">
        <v>8218</v>
      </c>
      <c r="H1640" s="2" t="s">
        <v>8218</v>
      </c>
      <c r="I1640" s="2" t="s">
        <v>411</v>
      </c>
      <c r="J1640" s="2" t="s">
        <v>264</v>
      </c>
      <c r="K1640" s="2" t="s">
        <v>316</v>
      </c>
      <c r="L1640" s="3">
        <v>35.71</v>
      </c>
      <c r="M1640" s="3">
        <v>37.5</v>
      </c>
      <c r="N1640" s="3">
        <v>74.99</v>
      </c>
      <c r="O1640" s="2" t="s">
        <v>240</v>
      </c>
      <c r="P1640" s="2" t="s">
        <v>266</v>
      </c>
      <c r="Q1640" s="2" t="s">
        <v>234</v>
      </c>
      <c r="R1640" s="2" t="s">
        <v>228</v>
      </c>
      <c r="S1640" s="2" t="s">
        <v>8219</v>
      </c>
      <c r="T1640" s="2" t="s">
        <v>415</v>
      </c>
      <c r="U1640" s="2" t="s">
        <v>416</v>
      </c>
      <c r="V1640" s="2" t="s">
        <v>236</v>
      </c>
      <c r="W1640" s="2" t="s">
        <v>269</v>
      </c>
      <c r="X1640" s="2" t="s">
        <v>228</v>
      </c>
      <c r="Y1640" s="2" t="s">
        <v>2334</v>
      </c>
      <c r="Z1640" s="4">
        <v>322</v>
      </c>
      <c r="AA1640" s="4">
        <f>=ROUNDDOWN(32.2,0)</f>
      </c>
      <c r="AB1640" s="5">
        <v>10</v>
      </c>
      <c r="AC1640" s="2" t="s">
        <v>228</v>
      </c>
      <c r="AD1640" s="4"/>
      <c r="AE1640" s="4"/>
      <c r="AF1640" s="6">
        <v>65</v>
      </c>
      <c r="AG1640" s="6"/>
      <c r="AH1640" s="7">
        <v>1</v>
      </c>
      <c r="AI1640" s="4"/>
      <c r="AJ1640" s="4">
        <f>=ROUNDDOWN({0},0)</f>
      </c>
      <c r="AK1640" s="5"/>
      <c r="AL1640" s="2" t="s">
        <v>228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/>
      <c r="AW1640" s="8"/>
      <c r="AX1640" s="4"/>
      <c r="AY1640" s="8"/>
      <c r="AZ1640" s="7"/>
      <c r="BA1640" s="7"/>
      <c r="BB1640" s="7"/>
      <c r="BC1640" s="4"/>
      <c r="BD1640" s="8"/>
      <c r="BE1640" s="4"/>
      <c r="BF1640" s="8"/>
      <c r="BG1640" s="7"/>
      <c r="BH1640" s="7"/>
      <c r="BI1640" s="7"/>
      <c r="BJ1640" s="4">
        <v>1</v>
      </c>
      <c r="BK1640" s="8">
        <v>39.37</v>
      </c>
      <c r="BL1640" s="2" t="s">
        <v>8220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8221</v>
      </c>
      <c r="BV1640" s="2" t="s">
        <v>228</v>
      </c>
      <c r="BW1640" s="2" t="s">
        <v>228</v>
      </c>
      <c r="BX1640" s="2" t="s">
        <v>273</v>
      </c>
      <c r="BY1640" s="2" t="s">
        <v>274</v>
      </c>
      <c r="BZ1640" s="2" t="s">
        <v>240</v>
      </c>
      <c r="CA1640" s="2" t="s">
        <v>2723</v>
      </c>
      <c r="CB1640" s="2" t="s">
        <v>8222</v>
      </c>
      <c r="CC1640" s="2" t="s">
        <v>241</v>
      </c>
      <c r="CD1640" s="2" t="s">
        <v>228</v>
      </c>
      <c r="CE1640" s="4">
        <v>322</v>
      </c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/>
      <c r="FR1640" s="4"/>
      <c r="FS1640" s="4"/>
      <c r="FT1640" s="4"/>
      <c r="FU1640" s="4"/>
      <c r="FV1640" s="4"/>
      <c r="FW1640" s="4"/>
      <c r="FX1640" s="4"/>
      <c r="FY1640" s="4"/>
      <c r="FZ1640" s="4"/>
      <c r="GA1640" s="4"/>
      <c r="GB1640" s="4"/>
      <c r="GC1640" s="4"/>
      <c r="GD1640" s="4"/>
      <c r="GE1640" s="4"/>
      <c r="GF1640" s="4"/>
      <c r="GG1640" s="4"/>
      <c r="GH1640" s="4"/>
      <c r="GI1640" s="4"/>
      <c r="GJ1640" s="4"/>
      <c r="GK1640" s="4"/>
      <c r="GL1640" s="4"/>
      <c r="GM1640" s="4"/>
      <c r="GN1640" s="4"/>
      <c r="GO1640" s="4"/>
      <c r="GP1640" s="4"/>
      <c r="GQ1640" s="4"/>
      <c r="GR1640" s="4"/>
      <c r="GS1640" s="4"/>
      <c r="GT1640" s="4"/>
      <c r="GU1640" s="4"/>
      <c r="GV1640" s="4"/>
      <c r="GW1640" s="4"/>
      <c r="GX1640" s="4"/>
      <c r="GY1640" s="4"/>
      <c r="GZ1640" s="4"/>
      <c r="HA1640" s="4"/>
      <c r="HB1640" s="4"/>
      <c r="HC1640" s="4"/>
      <c r="HD1640" s="4"/>
      <c r="HE1640" s="4"/>
    </row>
    <row r="1641">
      <c r="A1641" s="2" t="s">
        <v>8223</v>
      </c>
      <c r="B1641" s="2" t="s">
        <v>223</v>
      </c>
      <c r="C1641" s="2" t="s">
        <v>4000</v>
      </c>
      <c r="D1641" s="2" t="s">
        <v>225</v>
      </c>
      <c r="E1641" s="2" t="s">
        <v>226</v>
      </c>
      <c r="F1641" s="2" t="s">
        <v>8224</v>
      </c>
      <c r="G1641" s="2" t="s">
        <v>8224</v>
      </c>
      <c r="H1641" s="2" t="s">
        <v>8224</v>
      </c>
      <c r="I1641" s="2" t="s">
        <v>226</v>
      </c>
      <c r="J1641" s="2" t="s">
        <v>264</v>
      </c>
      <c r="K1641" s="2" t="s">
        <v>265</v>
      </c>
      <c r="L1641" s="3">
        <v>10.71</v>
      </c>
      <c r="M1641" s="3">
        <v>11.25</v>
      </c>
      <c r="N1641" s="3">
        <v>24.99</v>
      </c>
      <c r="O1641" s="2" t="s">
        <v>240</v>
      </c>
      <c r="P1641" s="2" t="s">
        <v>233</v>
      </c>
      <c r="Q1641" s="2" t="s">
        <v>234</v>
      </c>
      <c r="R1641" s="2" t="s">
        <v>228</v>
      </c>
      <c r="S1641" s="2" t="s">
        <v>8225</v>
      </c>
      <c r="T1641" s="2" t="s">
        <v>675</v>
      </c>
      <c r="U1641" s="2" t="s">
        <v>416</v>
      </c>
      <c r="V1641" s="2" t="s">
        <v>980</v>
      </c>
      <c r="W1641" s="2" t="s">
        <v>269</v>
      </c>
      <c r="X1641" s="2" t="s">
        <v>228</v>
      </c>
      <c r="Y1641" s="2" t="s">
        <v>1109</v>
      </c>
      <c r="Z1641" s="4">
        <v>209</v>
      </c>
      <c r="AA1641" s="4">
        <f>=ROUNDDOWN(34.8333333333333,0)</f>
      </c>
      <c r="AB1641" s="5">
        <v>6</v>
      </c>
      <c r="AC1641" s="2" t="s">
        <v>228</v>
      </c>
      <c r="AD1641" s="4"/>
      <c r="AE1641" s="4"/>
      <c r="AF1641" s="6">
        <v>65</v>
      </c>
      <c r="AG1641" s="6"/>
      <c r="AH1641" s="7">
        <v>1</v>
      </c>
      <c r="AI1641" s="4"/>
      <c r="AJ1641" s="4">
        <f>=ROUNDDOWN({0},0)</f>
      </c>
      <c r="AK1641" s="5"/>
      <c r="AL1641" s="2" t="s">
        <v>228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228</v>
      </c>
      <c r="AW1641" s="8" t="s">
        <v>228</v>
      </c>
      <c r="AX1641" s="4" t="s">
        <v>228</v>
      </c>
      <c r="AY1641" s="8" t="s">
        <v>228</v>
      </c>
      <c r="AZ1641" s="7" t="s">
        <v>228</v>
      </c>
      <c r="BA1641" s="7" t="s">
        <v>228</v>
      </c>
      <c r="BB1641" s="7"/>
      <c r="BC1641" s="4" t="s">
        <v>228</v>
      </c>
      <c r="BD1641" s="8" t="s">
        <v>228</v>
      </c>
      <c r="BE1641" s="4" t="s">
        <v>228</v>
      </c>
      <c r="BF1641" s="8" t="s">
        <v>228</v>
      </c>
      <c r="BG1641" s="7" t="s">
        <v>228</v>
      </c>
      <c r="BH1641" s="7" t="s">
        <v>228</v>
      </c>
      <c r="BI1641" s="7"/>
      <c r="BJ1641" s="4">
        <v>28</v>
      </c>
      <c r="BK1641" s="8">
        <v>343.43</v>
      </c>
      <c r="BL1641" s="2" t="s">
        <v>2894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8226</v>
      </c>
      <c r="BV1641" s="2" t="s">
        <v>228</v>
      </c>
      <c r="BW1641" s="2" t="s">
        <v>228</v>
      </c>
      <c r="BX1641" s="2" t="s">
        <v>273</v>
      </c>
      <c r="BY1641" s="2" t="s">
        <v>274</v>
      </c>
      <c r="BZ1641" s="2" t="s">
        <v>240</v>
      </c>
      <c r="CA1641" s="2" t="s">
        <v>8227</v>
      </c>
      <c r="CB1641" s="2" t="s">
        <v>228</v>
      </c>
      <c r="CC1641" s="2" t="s">
        <v>241</v>
      </c>
      <c r="CD1641" s="2" t="s">
        <v>228</v>
      </c>
      <c r="CE1641" s="4">
        <v>209</v>
      </c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4"/>
      <c r="FF1641" s="4"/>
      <c r="FG1641" s="4"/>
      <c r="FH1641" s="4"/>
      <c r="FI1641" s="4"/>
      <c r="FJ1641" s="4"/>
      <c r="FK1641" s="4"/>
      <c r="FL1641" s="4"/>
      <c r="FM1641" s="4"/>
      <c r="FN1641" s="4"/>
      <c r="FO1641" s="4"/>
      <c r="FP1641" s="4"/>
      <c r="FQ1641" s="4"/>
      <c r="FR1641" s="4"/>
      <c r="FS1641" s="4"/>
      <c r="FT1641" s="4"/>
      <c r="FU1641" s="4"/>
      <c r="FV1641" s="4"/>
      <c r="FW1641" s="4"/>
      <c r="FX1641" s="4"/>
      <c r="FY1641" s="4"/>
      <c r="FZ1641" s="4"/>
      <c r="GA1641" s="4"/>
      <c r="GB1641" s="4"/>
      <c r="GC1641" s="4"/>
      <c r="GD1641" s="4"/>
      <c r="GE1641" s="4"/>
      <c r="GF1641" s="4"/>
      <c r="GG1641" s="4"/>
      <c r="GH1641" s="4"/>
      <c r="GI1641" s="4"/>
      <c r="GJ1641" s="4"/>
      <c r="GK1641" s="4"/>
      <c r="GL1641" s="4"/>
      <c r="GM1641" s="4"/>
      <c r="GN1641" s="4"/>
      <c r="GO1641" s="4"/>
      <c r="GP1641" s="4"/>
      <c r="GQ1641" s="4"/>
      <c r="GR1641" s="4"/>
      <c r="GS1641" s="4"/>
      <c r="GT1641" s="4"/>
      <c r="GU1641" s="4"/>
      <c r="GV1641" s="4"/>
      <c r="GW1641" s="4"/>
      <c r="GX1641" s="4"/>
      <c r="GY1641" s="4"/>
      <c r="GZ1641" s="4"/>
      <c r="HA1641" s="4"/>
      <c r="HB1641" s="4"/>
      <c r="HC1641" s="4"/>
      <c r="HD1641" s="4"/>
      <c r="HE1641" s="4"/>
    </row>
    <row r="1642">
      <c r="A1642" s="2" t="s">
        <v>8228</v>
      </c>
      <c r="B1642" s="2" t="s">
        <v>223</v>
      </c>
      <c r="C1642" s="2" t="s">
        <v>4000</v>
      </c>
      <c r="D1642" s="2" t="s">
        <v>225</v>
      </c>
      <c r="E1642" s="2" t="s">
        <v>226</v>
      </c>
      <c r="F1642" s="2" t="s">
        <v>8224</v>
      </c>
      <c r="G1642" s="2" t="s">
        <v>8224</v>
      </c>
      <c r="H1642" s="2" t="s">
        <v>8224</v>
      </c>
      <c r="I1642" s="2" t="s">
        <v>226</v>
      </c>
      <c r="J1642" s="2" t="s">
        <v>1189</v>
      </c>
      <c r="K1642" s="2" t="s">
        <v>265</v>
      </c>
      <c r="L1642" s="3">
        <v>12.7</v>
      </c>
      <c r="M1642" s="3">
        <v>13.34</v>
      </c>
      <c r="N1642" s="3">
        <v>28.99</v>
      </c>
      <c r="O1642" s="2" t="s">
        <v>240</v>
      </c>
      <c r="P1642" s="2" t="s">
        <v>233</v>
      </c>
      <c r="Q1642" s="2" t="s">
        <v>234</v>
      </c>
      <c r="R1642" s="2" t="s">
        <v>228</v>
      </c>
      <c r="S1642" s="2" t="s">
        <v>8225</v>
      </c>
      <c r="T1642" s="2" t="s">
        <v>675</v>
      </c>
      <c r="U1642" s="2" t="s">
        <v>416</v>
      </c>
      <c r="V1642" s="2" t="s">
        <v>980</v>
      </c>
      <c r="W1642" s="2" t="s">
        <v>269</v>
      </c>
      <c r="X1642" s="2" t="s">
        <v>228</v>
      </c>
      <c r="Y1642" s="2" t="s">
        <v>8229</v>
      </c>
      <c r="Z1642" s="4">
        <v>618</v>
      </c>
      <c r="AA1642" s="4">
        <f>=ROUNDDOWN(38.625,0)</f>
      </c>
      <c r="AB1642" s="5">
        <v>16</v>
      </c>
      <c r="AC1642" s="2" t="s">
        <v>228</v>
      </c>
      <c r="AD1642" s="4"/>
      <c r="AE1642" s="4"/>
      <c r="AF1642" s="6">
        <v>65</v>
      </c>
      <c r="AG1642" s="6"/>
      <c r="AH1642" s="7">
        <v>1</v>
      </c>
      <c r="AI1642" s="4"/>
      <c r="AJ1642" s="4">
        <f>=ROUNDDOWN({0},0)</f>
      </c>
      <c r="AK1642" s="5"/>
      <c r="AL1642" s="2" t="s">
        <v>228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228</v>
      </c>
      <c r="AW1642" s="8" t="s">
        <v>228</v>
      </c>
      <c r="AX1642" s="4" t="s">
        <v>228</v>
      </c>
      <c r="AY1642" s="8" t="s">
        <v>228</v>
      </c>
      <c r="AZ1642" s="7" t="s">
        <v>228</v>
      </c>
      <c r="BA1642" s="7" t="s">
        <v>228</v>
      </c>
      <c r="BB1642" s="7"/>
      <c r="BC1642" s="4" t="s">
        <v>228</v>
      </c>
      <c r="BD1642" s="8" t="s">
        <v>228</v>
      </c>
      <c r="BE1642" s="4" t="s">
        <v>228</v>
      </c>
      <c r="BF1642" s="8" t="s">
        <v>228</v>
      </c>
      <c r="BG1642" s="7" t="s">
        <v>228</v>
      </c>
      <c r="BH1642" s="7" t="s">
        <v>228</v>
      </c>
      <c r="BI1642" s="7"/>
      <c r="BJ1642" s="4">
        <v>17</v>
      </c>
      <c r="BK1642" s="8">
        <v>247.6</v>
      </c>
      <c r="BL1642" s="2" t="s">
        <v>8230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8231</v>
      </c>
      <c r="BV1642" s="2" t="s">
        <v>228</v>
      </c>
      <c r="BW1642" s="2" t="s">
        <v>228</v>
      </c>
      <c r="BX1642" s="2" t="s">
        <v>273</v>
      </c>
      <c r="BY1642" s="2" t="s">
        <v>274</v>
      </c>
      <c r="BZ1642" s="2" t="s">
        <v>240</v>
      </c>
      <c r="CA1642" s="2" t="s">
        <v>8227</v>
      </c>
      <c r="CB1642" s="2" t="s">
        <v>228</v>
      </c>
      <c r="CC1642" s="2" t="s">
        <v>241</v>
      </c>
      <c r="CD1642" s="2" t="s">
        <v>228</v>
      </c>
      <c r="CE1642" s="4">
        <v>618</v>
      </c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/>
      <c r="FG1642" s="4"/>
      <c r="FH1642" s="4"/>
      <c r="FI1642" s="4"/>
      <c r="FJ1642" s="4"/>
      <c r="FK1642" s="4"/>
      <c r="FL1642" s="4"/>
      <c r="FM1642" s="4"/>
      <c r="FN1642" s="4"/>
      <c r="FO1642" s="4"/>
      <c r="FP1642" s="4"/>
      <c r="FQ1642" s="4"/>
      <c r="FR1642" s="4"/>
      <c r="FS1642" s="4"/>
      <c r="FT1642" s="4"/>
      <c r="FU1642" s="4"/>
      <c r="FV1642" s="4"/>
      <c r="FW1642" s="4"/>
      <c r="FX1642" s="4"/>
      <c r="FY1642" s="4"/>
      <c r="FZ1642" s="4"/>
      <c r="GA1642" s="4"/>
      <c r="GB1642" s="4"/>
      <c r="GC1642" s="4"/>
      <c r="GD1642" s="4"/>
      <c r="GE1642" s="4"/>
      <c r="GF1642" s="4"/>
      <c r="GG1642" s="4"/>
      <c r="GH1642" s="4"/>
      <c r="GI1642" s="4"/>
      <c r="GJ1642" s="4"/>
      <c r="GK1642" s="4"/>
      <c r="GL1642" s="4"/>
      <c r="GM1642" s="4"/>
      <c r="GN1642" s="4"/>
      <c r="GO1642" s="4"/>
      <c r="GP1642" s="4"/>
      <c r="GQ1642" s="4"/>
      <c r="GR1642" s="4"/>
      <c r="GS1642" s="4"/>
      <c r="GT1642" s="4"/>
      <c r="GU1642" s="4"/>
      <c r="GV1642" s="4"/>
      <c r="GW1642" s="4"/>
      <c r="GX1642" s="4"/>
      <c r="GY1642" s="4"/>
      <c r="GZ1642" s="4"/>
      <c r="HA1642" s="4"/>
      <c r="HB1642" s="4"/>
      <c r="HC1642" s="4"/>
      <c r="HD1642" s="4"/>
      <c r="HE1642" s="4"/>
    </row>
    <row r="1643">
      <c r="A1643" s="2" t="s">
        <v>8232</v>
      </c>
      <c r="B1643" s="2" t="s">
        <v>223</v>
      </c>
      <c r="C1643" s="2" t="s">
        <v>4000</v>
      </c>
      <c r="D1643" s="2" t="s">
        <v>225</v>
      </c>
      <c r="E1643" s="2" t="s">
        <v>226</v>
      </c>
      <c r="F1643" s="2" t="s">
        <v>8224</v>
      </c>
      <c r="G1643" s="2" t="s">
        <v>8224</v>
      </c>
      <c r="H1643" s="2" t="s">
        <v>8224</v>
      </c>
      <c r="I1643" s="2" t="s">
        <v>226</v>
      </c>
      <c r="J1643" s="2" t="s">
        <v>294</v>
      </c>
      <c r="K1643" s="2" t="s">
        <v>265</v>
      </c>
      <c r="L1643" s="3">
        <v>14.45</v>
      </c>
      <c r="M1643" s="3">
        <v>15.17</v>
      </c>
      <c r="N1643" s="3">
        <v>32.99</v>
      </c>
      <c r="O1643" s="2" t="s">
        <v>240</v>
      </c>
      <c r="P1643" s="2" t="s">
        <v>233</v>
      </c>
      <c r="Q1643" s="2" t="s">
        <v>234</v>
      </c>
      <c r="R1643" s="2" t="s">
        <v>228</v>
      </c>
      <c r="S1643" s="2" t="s">
        <v>8225</v>
      </c>
      <c r="T1643" s="2" t="s">
        <v>675</v>
      </c>
      <c r="U1643" s="2" t="s">
        <v>416</v>
      </c>
      <c r="V1643" s="2" t="s">
        <v>980</v>
      </c>
      <c r="W1643" s="2" t="s">
        <v>269</v>
      </c>
      <c r="X1643" s="2" t="s">
        <v>228</v>
      </c>
      <c r="Y1643" s="2" t="s">
        <v>1109</v>
      </c>
      <c r="Z1643" s="4">
        <v>301</v>
      </c>
      <c r="AA1643" s="4">
        <f>=ROUNDDOWN(43,0)</f>
      </c>
      <c r="AB1643" s="5">
        <v>7</v>
      </c>
      <c r="AC1643" s="2" t="s">
        <v>228</v>
      </c>
      <c r="AD1643" s="4"/>
      <c r="AE1643" s="4"/>
      <c r="AF1643" s="6">
        <v>65</v>
      </c>
      <c r="AG1643" s="6"/>
      <c r="AH1643" s="7">
        <v>1</v>
      </c>
      <c r="AI1643" s="4"/>
      <c r="AJ1643" s="4">
        <f>=ROUNDDOWN({0},0)</f>
      </c>
      <c r="AK1643" s="5"/>
      <c r="AL1643" s="2" t="s">
        <v>228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 t="s">
        <v>228</v>
      </c>
      <c r="AW1643" s="8" t="s">
        <v>228</v>
      </c>
      <c r="AX1643" s="4" t="s">
        <v>228</v>
      </c>
      <c r="AY1643" s="8" t="s">
        <v>228</v>
      </c>
      <c r="AZ1643" s="7" t="s">
        <v>228</v>
      </c>
      <c r="BA1643" s="7" t="s">
        <v>228</v>
      </c>
      <c r="BB1643" s="7"/>
      <c r="BC1643" s="4" t="s">
        <v>228</v>
      </c>
      <c r="BD1643" s="8" t="s">
        <v>228</v>
      </c>
      <c r="BE1643" s="4" t="s">
        <v>228</v>
      </c>
      <c r="BF1643" s="8" t="s">
        <v>228</v>
      </c>
      <c r="BG1643" s="7" t="s">
        <v>228</v>
      </c>
      <c r="BH1643" s="7" t="s">
        <v>228</v>
      </c>
      <c r="BI1643" s="7"/>
      <c r="BJ1643" s="4">
        <v>18</v>
      </c>
      <c r="BK1643" s="8">
        <v>299.16</v>
      </c>
      <c r="BL1643" s="2" t="s">
        <v>1222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8233</v>
      </c>
      <c r="BV1643" s="2" t="s">
        <v>228</v>
      </c>
      <c r="BW1643" s="2" t="s">
        <v>228</v>
      </c>
      <c r="BX1643" s="2" t="s">
        <v>273</v>
      </c>
      <c r="BY1643" s="2" t="s">
        <v>274</v>
      </c>
      <c r="BZ1643" s="2" t="s">
        <v>240</v>
      </c>
      <c r="CA1643" s="2" t="s">
        <v>8227</v>
      </c>
      <c r="CB1643" s="2" t="s">
        <v>228</v>
      </c>
      <c r="CC1643" s="2" t="s">
        <v>241</v>
      </c>
      <c r="CD1643" s="2" t="s">
        <v>228</v>
      </c>
      <c r="CE1643" s="4">
        <v>301</v>
      </c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/>
      <c r="FR1643" s="4"/>
      <c r="FS1643" s="4"/>
      <c r="FT1643" s="4"/>
      <c r="FU1643" s="4"/>
      <c r="FV1643" s="4"/>
      <c r="FW1643" s="4"/>
      <c r="FX1643" s="4"/>
      <c r="FY1643" s="4"/>
      <c r="FZ1643" s="4"/>
      <c r="GA1643" s="4"/>
      <c r="GB1643" s="4"/>
      <c r="GC1643" s="4"/>
      <c r="GD1643" s="4"/>
      <c r="GE1643" s="4"/>
      <c r="GF1643" s="4"/>
      <c r="GG1643" s="4"/>
      <c r="GH1643" s="4"/>
      <c r="GI1643" s="4"/>
      <c r="GJ1643" s="4"/>
      <c r="GK1643" s="4"/>
      <c r="GL1643" s="4"/>
      <c r="GM1643" s="4"/>
      <c r="GN1643" s="4"/>
      <c r="GO1643" s="4"/>
      <c r="GP1643" s="4"/>
      <c r="GQ1643" s="4"/>
      <c r="GR1643" s="4"/>
      <c r="GS1643" s="4"/>
      <c r="GT1643" s="4"/>
      <c r="GU1643" s="4"/>
      <c r="GV1643" s="4"/>
      <c r="GW1643" s="4"/>
      <c r="GX1643" s="4"/>
      <c r="GY1643" s="4"/>
      <c r="GZ1643" s="4"/>
      <c r="HA1643" s="4"/>
      <c r="HB1643" s="4"/>
      <c r="HC1643" s="4"/>
      <c r="HD1643" s="4"/>
      <c r="HE1643" s="4"/>
    </row>
    <row r="1644">
      <c r="A1644" s="2" t="s">
        <v>8234</v>
      </c>
      <c r="B1644" s="2" t="s">
        <v>223</v>
      </c>
      <c r="C1644" s="2" t="s">
        <v>4000</v>
      </c>
      <c r="D1644" s="2" t="s">
        <v>225</v>
      </c>
      <c r="E1644" s="2" t="s">
        <v>226</v>
      </c>
      <c r="F1644" s="2" t="s">
        <v>8224</v>
      </c>
      <c r="G1644" s="2" t="s">
        <v>8224</v>
      </c>
      <c r="H1644" s="2" t="s">
        <v>8224</v>
      </c>
      <c r="I1644" s="2" t="s">
        <v>226</v>
      </c>
      <c r="J1644" s="2" t="s">
        <v>264</v>
      </c>
      <c r="K1644" s="2" t="s">
        <v>249</v>
      </c>
      <c r="L1644" s="3">
        <v>10.71</v>
      </c>
      <c r="M1644" s="3">
        <v>11.25</v>
      </c>
      <c r="N1644" s="3">
        <v>24.99</v>
      </c>
      <c r="O1644" s="2" t="s">
        <v>240</v>
      </c>
      <c r="P1644" s="2" t="s">
        <v>233</v>
      </c>
      <c r="Q1644" s="2" t="s">
        <v>234</v>
      </c>
      <c r="R1644" s="2" t="s">
        <v>228</v>
      </c>
      <c r="S1644" s="2" t="s">
        <v>8235</v>
      </c>
      <c r="T1644" s="2" t="s">
        <v>675</v>
      </c>
      <c r="U1644" s="2" t="s">
        <v>416</v>
      </c>
      <c r="V1644" s="2" t="s">
        <v>980</v>
      </c>
      <c r="W1644" s="2" t="s">
        <v>269</v>
      </c>
      <c r="X1644" s="2" t="s">
        <v>228</v>
      </c>
      <c r="Y1644" s="2" t="s">
        <v>8229</v>
      </c>
      <c r="Z1644" s="4">
        <v>188</v>
      </c>
      <c r="AA1644" s="4">
        <f>=ROUNDDOWN(268.571428571429,0)</f>
      </c>
      <c r="AB1644" s="5">
        <v>0.7</v>
      </c>
      <c r="AC1644" s="2" t="s">
        <v>228</v>
      </c>
      <c r="AD1644" s="4"/>
      <c r="AE1644" s="4"/>
      <c r="AF1644" s="6">
        <v>65</v>
      </c>
      <c r="AG1644" s="6"/>
      <c r="AH1644" s="7">
        <v>1</v>
      </c>
      <c r="AI1644" s="4"/>
      <c r="AJ1644" s="4">
        <f>=ROUNDDOWN({0},0)</f>
      </c>
      <c r="AK1644" s="5"/>
      <c r="AL1644" s="2" t="s">
        <v>228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 t="s">
        <v>228</v>
      </c>
      <c r="AW1644" s="8" t="s">
        <v>228</v>
      </c>
      <c r="AX1644" s="4" t="s">
        <v>228</v>
      </c>
      <c r="AY1644" s="8" t="s">
        <v>228</v>
      </c>
      <c r="AZ1644" s="7" t="s">
        <v>228</v>
      </c>
      <c r="BA1644" s="7" t="s">
        <v>228</v>
      </c>
      <c r="BB1644" s="7"/>
      <c r="BC1644" s="4" t="s">
        <v>228</v>
      </c>
      <c r="BD1644" s="8" t="s">
        <v>228</v>
      </c>
      <c r="BE1644" s="4" t="s">
        <v>228</v>
      </c>
      <c r="BF1644" s="8" t="s">
        <v>228</v>
      </c>
      <c r="BG1644" s="7" t="s">
        <v>228</v>
      </c>
      <c r="BH1644" s="7" t="s">
        <v>228</v>
      </c>
      <c r="BI1644" s="7"/>
      <c r="BJ1644" s="4">
        <v>11</v>
      </c>
      <c r="BK1644" s="8">
        <v>134.5</v>
      </c>
      <c r="BL1644" s="2" t="s">
        <v>8230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8236</v>
      </c>
      <c r="BV1644" s="2" t="s">
        <v>228</v>
      </c>
      <c r="BW1644" s="2" t="s">
        <v>228</v>
      </c>
      <c r="BX1644" s="2" t="s">
        <v>273</v>
      </c>
      <c r="BY1644" s="2" t="s">
        <v>274</v>
      </c>
      <c r="BZ1644" s="2" t="s">
        <v>240</v>
      </c>
      <c r="CA1644" s="2" t="s">
        <v>8227</v>
      </c>
      <c r="CB1644" s="2" t="s">
        <v>228</v>
      </c>
      <c r="CC1644" s="2" t="s">
        <v>241</v>
      </c>
      <c r="CD1644" s="2" t="s">
        <v>228</v>
      </c>
      <c r="CE1644" s="4">
        <v>188</v>
      </c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4"/>
      <c r="FF1644" s="4"/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/>
      <c r="FR1644" s="4"/>
      <c r="FS1644" s="4"/>
      <c r="FT1644" s="4"/>
      <c r="FU1644" s="4"/>
      <c r="FV1644" s="4"/>
      <c r="FW1644" s="4"/>
      <c r="FX1644" s="4"/>
      <c r="FY1644" s="4"/>
      <c r="FZ1644" s="4"/>
      <c r="GA1644" s="4"/>
      <c r="GB1644" s="4"/>
      <c r="GC1644" s="4"/>
      <c r="GD1644" s="4"/>
      <c r="GE1644" s="4"/>
      <c r="GF1644" s="4"/>
      <c r="GG1644" s="4"/>
      <c r="GH1644" s="4"/>
      <c r="GI1644" s="4"/>
      <c r="GJ1644" s="4"/>
      <c r="GK1644" s="4"/>
      <c r="GL1644" s="4"/>
      <c r="GM1644" s="4"/>
      <c r="GN1644" s="4"/>
      <c r="GO1644" s="4"/>
      <c r="GP1644" s="4"/>
      <c r="GQ1644" s="4"/>
      <c r="GR1644" s="4"/>
      <c r="GS1644" s="4"/>
      <c r="GT1644" s="4"/>
      <c r="GU1644" s="4"/>
      <c r="GV1644" s="4"/>
      <c r="GW1644" s="4"/>
      <c r="GX1644" s="4"/>
      <c r="GY1644" s="4"/>
      <c r="GZ1644" s="4"/>
      <c r="HA1644" s="4"/>
      <c r="HB1644" s="4"/>
      <c r="HC1644" s="4"/>
      <c r="HD1644" s="4"/>
      <c r="HE1644" s="4"/>
    </row>
    <row r="1645">
      <c r="A1645" s="2" t="s">
        <v>8237</v>
      </c>
      <c r="B1645" s="2" t="s">
        <v>223</v>
      </c>
      <c r="C1645" s="2" t="s">
        <v>4000</v>
      </c>
      <c r="D1645" s="2" t="s">
        <v>225</v>
      </c>
      <c r="E1645" s="2" t="s">
        <v>226</v>
      </c>
      <c r="F1645" s="2" t="s">
        <v>8224</v>
      </c>
      <c r="G1645" s="2" t="s">
        <v>8224</v>
      </c>
      <c r="H1645" s="2" t="s">
        <v>8224</v>
      </c>
      <c r="I1645" s="2" t="s">
        <v>226</v>
      </c>
      <c r="J1645" s="2" t="s">
        <v>1189</v>
      </c>
      <c r="K1645" s="2" t="s">
        <v>249</v>
      </c>
      <c r="L1645" s="3">
        <v>12.7</v>
      </c>
      <c r="M1645" s="3">
        <v>13.34</v>
      </c>
      <c r="N1645" s="3">
        <v>28.99</v>
      </c>
      <c r="O1645" s="2" t="s">
        <v>240</v>
      </c>
      <c r="P1645" s="2" t="s">
        <v>233</v>
      </c>
      <c r="Q1645" s="2" t="s">
        <v>234</v>
      </c>
      <c r="R1645" s="2" t="s">
        <v>228</v>
      </c>
      <c r="S1645" s="2" t="s">
        <v>8235</v>
      </c>
      <c r="T1645" s="2" t="s">
        <v>675</v>
      </c>
      <c r="U1645" s="2" t="s">
        <v>416</v>
      </c>
      <c r="V1645" s="2" t="s">
        <v>980</v>
      </c>
      <c r="W1645" s="2" t="s">
        <v>269</v>
      </c>
      <c r="X1645" s="2" t="s">
        <v>228</v>
      </c>
      <c r="Y1645" s="2" t="s">
        <v>8229</v>
      </c>
      <c r="Z1645" s="4">
        <v>471</v>
      </c>
      <c r="AA1645" s="4">
        <f>=ROUNDDOWN(27.7058823529412,0)</f>
      </c>
      <c r="AB1645" s="5">
        <v>17</v>
      </c>
      <c r="AC1645" s="2" t="s">
        <v>228</v>
      </c>
      <c r="AD1645" s="4"/>
      <c r="AE1645" s="4"/>
      <c r="AF1645" s="6">
        <v>65</v>
      </c>
      <c r="AG1645" s="6"/>
      <c r="AH1645" s="7">
        <v>1</v>
      </c>
      <c r="AI1645" s="4"/>
      <c r="AJ1645" s="4">
        <f>=ROUNDDOWN({0},0)</f>
      </c>
      <c r="AK1645" s="5"/>
      <c r="AL1645" s="2" t="s">
        <v>228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228</v>
      </c>
      <c r="AW1645" s="8" t="s">
        <v>228</v>
      </c>
      <c r="AX1645" s="4" t="s">
        <v>228</v>
      </c>
      <c r="AY1645" s="8" t="s">
        <v>228</v>
      </c>
      <c r="AZ1645" s="7" t="s">
        <v>228</v>
      </c>
      <c r="BA1645" s="7" t="s">
        <v>228</v>
      </c>
      <c r="BB1645" s="7"/>
      <c r="BC1645" s="4" t="s">
        <v>228</v>
      </c>
      <c r="BD1645" s="8" t="s">
        <v>228</v>
      </c>
      <c r="BE1645" s="4" t="s">
        <v>228</v>
      </c>
      <c r="BF1645" s="8" t="s">
        <v>228</v>
      </c>
      <c r="BG1645" s="7" t="s">
        <v>228</v>
      </c>
      <c r="BH1645" s="7" t="s">
        <v>228</v>
      </c>
      <c r="BI1645" s="7"/>
      <c r="BJ1645" s="4">
        <v>14</v>
      </c>
      <c r="BK1645" s="8">
        <v>202.6</v>
      </c>
      <c r="BL1645" s="2" t="s">
        <v>8230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8238</v>
      </c>
      <c r="BV1645" s="2" t="s">
        <v>228</v>
      </c>
      <c r="BW1645" s="2" t="s">
        <v>228</v>
      </c>
      <c r="BX1645" s="2" t="s">
        <v>273</v>
      </c>
      <c r="BY1645" s="2" t="s">
        <v>274</v>
      </c>
      <c r="BZ1645" s="2" t="s">
        <v>240</v>
      </c>
      <c r="CA1645" s="2" t="s">
        <v>8227</v>
      </c>
      <c r="CB1645" s="2" t="s">
        <v>228</v>
      </c>
      <c r="CC1645" s="2" t="s">
        <v>241</v>
      </c>
      <c r="CD1645" s="2" t="s">
        <v>228</v>
      </c>
      <c r="CE1645" s="4">
        <v>471</v>
      </c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/>
      <c r="FR1645" s="4"/>
      <c r="FS1645" s="4"/>
      <c r="FT1645" s="4"/>
      <c r="FU1645" s="4"/>
      <c r="FV1645" s="4"/>
      <c r="FW1645" s="4"/>
      <c r="FX1645" s="4"/>
      <c r="FY1645" s="4"/>
      <c r="FZ1645" s="4"/>
      <c r="GA1645" s="4"/>
      <c r="GB1645" s="4"/>
      <c r="GC1645" s="4"/>
      <c r="GD1645" s="4"/>
      <c r="GE1645" s="4"/>
      <c r="GF1645" s="4"/>
      <c r="GG1645" s="4"/>
      <c r="GH1645" s="4"/>
      <c r="GI1645" s="4"/>
      <c r="GJ1645" s="4"/>
      <c r="GK1645" s="4"/>
      <c r="GL1645" s="4"/>
      <c r="GM1645" s="4"/>
      <c r="GN1645" s="4"/>
      <c r="GO1645" s="4"/>
      <c r="GP1645" s="4"/>
      <c r="GQ1645" s="4"/>
      <c r="GR1645" s="4"/>
      <c r="GS1645" s="4"/>
      <c r="GT1645" s="4"/>
      <c r="GU1645" s="4"/>
      <c r="GV1645" s="4"/>
      <c r="GW1645" s="4"/>
      <c r="GX1645" s="4"/>
      <c r="GY1645" s="4"/>
      <c r="GZ1645" s="4"/>
      <c r="HA1645" s="4"/>
      <c r="HB1645" s="4"/>
      <c r="HC1645" s="4"/>
      <c r="HD1645" s="4"/>
      <c r="HE1645" s="4"/>
    </row>
    <row r="1646">
      <c r="A1646" s="2" t="s">
        <v>8239</v>
      </c>
      <c r="B1646" s="2" t="s">
        <v>223</v>
      </c>
      <c r="C1646" s="2" t="s">
        <v>4000</v>
      </c>
      <c r="D1646" s="2" t="s">
        <v>225</v>
      </c>
      <c r="E1646" s="2" t="s">
        <v>226</v>
      </c>
      <c r="F1646" s="2" t="s">
        <v>8224</v>
      </c>
      <c r="G1646" s="2" t="s">
        <v>8224</v>
      </c>
      <c r="H1646" s="2" t="s">
        <v>8224</v>
      </c>
      <c r="I1646" s="2" t="s">
        <v>226</v>
      </c>
      <c r="J1646" s="2" t="s">
        <v>294</v>
      </c>
      <c r="K1646" s="2" t="s">
        <v>249</v>
      </c>
      <c r="L1646" s="3">
        <v>14.45</v>
      </c>
      <c r="M1646" s="3">
        <v>15.17</v>
      </c>
      <c r="N1646" s="3">
        <v>32.99</v>
      </c>
      <c r="O1646" s="2" t="s">
        <v>240</v>
      </c>
      <c r="P1646" s="2" t="s">
        <v>233</v>
      </c>
      <c r="Q1646" s="2" t="s">
        <v>234</v>
      </c>
      <c r="R1646" s="2" t="s">
        <v>228</v>
      </c>
      <c r="S1646" s="2" t="s">
        <v>8235</v>
      </c>
      <c r="T1646" s="2" t="s">
        <v>675</v>
      </c>
      <c r="U1646" s="2" t="s">
        <v>416</v>
      </c>
      <c r="V1646" s="2" t="s">
        <v>980</v>
      </c>
      <c r="W1646" s="2" t="s">
        <v>269</v>
      </c>
      <c r="X1646" s="2" t="s">
        <v>228</v>
      </c>
      <c r="Y1646" s="2" t="s">
        <v>8229</v>
      </c>
      <c r="Z1646" s="4">
        <v>219</v>
      </c>
      <c r="AA1646" s="4">
        <f>=ROUNDDOWN(121.666666666667,0)</f>
      </c>
      <c r="AB1646" s="5">
        <v>1.8</v>
      </c>
      <c r="AC1646" s="2" t="s">
        <v>228</v>
      </c>
      <c r="AD1646" s="4"/>
      <c r="AE1646" s="4"/>
      <c r="AF1646" s="6">
        <v>65</v>
      </c>
      <c r="AG1646" s="6"/>
      <c r="AH1646" s="7">
        <v>1</v>
      </c>
      <c r="AI1646" s="4"/>
      <c r="AJ1646" s="4">
        <f>=ROUNDDOWN({0},0)</f>
      </c>
      <c r="AK1646" s="5"/>
      <c r="AL1646" s="2" t="s">
        <v>228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 t="s">
        <v>228</v>
      </c>
      <c r="AW1646" s="8" t="s">
        <v>228</v>
      </c>
      <c r="AX1646" s="4" t="s">
        <v>228</v>
      </c>
      <c r="AY1646" s="8" t="s">
        <v>228</v>
      </c>
      <c r="AZ1646" s="7" t="s">
        <v>228</v>
      </c>
      <c r="BA1646" s="7" t="s">
        <v>228</v>
      </c>
      <c r="BB1646" s="7"/>
      <c r="BC1646" s="4" t="s">
        <v>228</v>
      </c>
      <c r="BD1646" s="8" t="s">
        <v>228</v>
      </c>
      <c r="BE1646" s="4" t="s">
        <v>228</v>
      </c>
      <c r="BF1646" s="8" t="s">
        <v>228</v>
      </c>
      <c r="BG1646" s="7" t="s">
        <v>228</v>
      </c>
      <c r="BH1646" s="7" t="s">
        <v>228</v>
      </c>
      <c r="BI1646" s="7"/>
      <c r="BJ1646" s="4">
        <v>34</v>
      </c>
      <c r="BK1646" s="8">
        <v>565.08</v>
      </c>
      <c r="BL1646" s="2" t="s">
        <v>1222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8240</v>
      </c>
      <c r="BV1646" s="2" t="s">
        <v>228</v>
      </c>
      <c r="BW1646" s="2" t="s">
        <v>228</v>
      </c>
      <c r="BX1646" s="2" t="s">
        <v>273</v>
      </c>
      <c r="BY1646" s="2" t="s">
        <v>274</v>
      </c>
      <c r="BZ1646" s="2" t="s">
        <v>240</v>
      </c>
      <c r="CA1646" s="2" t="s">
        <v>8227</v>
      </c>
      <c r="CB1646" s="2" t="s">
        <v>228</v>
      </c>
      <c r="CC1646" s="2" t="s">
        <v>241</v>
      </c>
      <c r="CD1646" s="2" t="s">
        <v>228</v>
      </c>
      <c r="CE1646" s="4">
        <v>219</v>
      </c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/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/>
      <c r="FR1646" s="4"/>
      <c r="FS1646" s="4"/>
      <c r="FT1646" s="4"/>
      <c r="FU1646" s="4"/>
      <c r="FV1646" s="4"/>
      <c r="FW1646" s="4"/>
      <c r="FX1646" s="4"/>
      <c r="FY1646" s="4"/>
      <c r="FZ1646" s="4"/>
      <c r="GA1646" s="4"/>
      <c r="GB1646" s="4"/>
      <c r="GC1646" s="4"/>
      <c r="GD1646" s="4"/>
      <c r="GE1646" s="4"/>
      <c r="GF1646" s="4"/>
      <c r="GG1646" s="4"/>
      <c r="GH1646" s="4"/>
      <c r="GI1646" s="4"/>
      <c r="GJ1646" s="4"/>
      <c r="GK1646" s="4"/>
      <c r="GL1646" s="4"/>
      <c r="GM1646" s="4"/>
      <c r="GN1646" s="4"/>
      <c r="GO1646" s="4"/>
      <c r="GP1646" s="4"/>
      <c r="GQ1646" s="4"/>
      <c r="GR1646" s="4"/>
      <c r="GS1646" s="4"/>
      <c r="GT1646" s="4"/>
      <c r="GU1646" s="4"/>
      <c r="GV1646" s="4"/>
      <c r="GW1646" s="4"/>
      <c r="GX1646" s="4"/>
      <c r="GY1646" s="4"/>
      <c r="GZ1646" s="4"/>
      <c r="HA1646" s="4"/>
      <c r="HB1646" s="4"/>
      <c r="HC1646" s="4"/>
      <c r="HD1646" s="4"/>
      <c r="HE1646" s="4"/>
    </row>
    <row r="1647">
      <c r="A1647" s="2" t="s">
        <v>8241</v>
      </c>
      <c r="B1647" s="2" t="s">
        <v>223</v>
      </c>
      <c r="C1647" s="2" t="s">
        <v>4000</v>
      </c>
      <c r="D1647" s="2" t="s">
        <v>225</v>
      </c>
      <c r="E1647" s="2" t="s">
        <v>226</v>
      </c>
      <c r="F1647" s="2" t="s">
        <v>8224</v>
      </c>
      <c r="G1647" s="2" t="s">
        <v>8224</v>
      </c>
      <c r="H1647" s="2" t="s">
        <v>8224</v>
      </c>
      <c r="I1647" s="2" t="s">
        <v>226</v>
      </c>
      <c r="J1647" s="2" t="s">
        <v>264</v>
      </c>
      <c r="K1647" s="2" t="s">
        <v>480</v>
      </c>
      <c r="L1647" s="3">
        <v>10.71</v>
      </c>
      <c r="M1647" s="3">
        <v>11.25</v>
      </c>
      <c r="N1647" s="3">
        <v>24.99</v>
      </c>
      <c r="O1647" s="2" t="s">
        <v>240</v>
      </c>
      <c r="P1647" s="2" t="s">
        <v>233</v>
      </c>
      <c r="Q1647" s="2" t="s">
        <v>234</v>
      </c>
      <c r="R1647" s="2" t="s">
        <v>228</v>
      </c>
      <c r="S1647" s="2" t="s">
        <v>8242</v>
      </c>
      <c r="T1647" s="2" t="s">
        <v>675</v>
      </c>
      <c r="U1647" s="2" t="s">
        <v>416</v>
      </c>
      <c r="V1647" s="2" t="s">
        <v>980</v>
      </c>
      <c r="W1647" s="2" t="s">
        <v>269</v>
      </c>
      <c r="X1647" s="2" t="s">
        <v>228</v>
      </c>
      <c r="Y1647" s="2" t="s">
        <v>1109</v>
      </c>
      <c r="Z1647" s="4">
        <v>315</v>
      </c>
      <c r="AA1647" s="4">
        <f>=ROUNDDOWN(35,0)</f>
      </c>
      <c r="AB1647" s="5">
        <v>9</v>
      </c>
      <c r="AC1647" s="2" t="s">
        <v>228</v>
      </c>
      <c r="AD1647" s="4"/>
      <c r="AE1647" s="4"/>
      <c r="AF1647" s="6">
        <v>65</v>
      </c>
      <c r="AG1647" s="6"/>
      <c r="AH1647" s="7">
        <v>1</v>
      </c>
      <c r="AI1647" s="4"/>
      <c r="AJ1647" s="4">
        <f>=ROUNDDOWN({0},0)</f>
      </c>
      <c r="AK1647" s="5"/>
      <c r="AL1647" s="2" t="s">
        <v>228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/>
      <c r="AW1647" s="8"/>
      <c r="AX1647" s="4"/>
      <c r="AY1647" s="8"/>
      <c r="AZ1647" s="7"/>
      <c r="BA1647" s="7"/>
      <c r="BB1647" s="7"/>
      <c r="BC1647" s="4" t="s">
        <v>228</v>
      </c>
      <c r="BD1647" s="8" t="s">
        <v>228</v>
      </c>
      <c r="BE1647" s="4" t="s">
        <v>228</v>
      </c>
      <c r="BF1647" s="8" t="s">
        <v>228</v>
      </c>
      <c r="BG1647" s="7" t="s">
        <v>228</v>
      </c>
      <c r="BH1647" s="7" t="s">
        <v>228</v>
      </c>
      <c r="BI1647" s="7"/>
      <c r="BJ1647" s="4">
        <v>11</v>
      </c>
      <c r="BK1647" s="8">
        <v>133.99</v>
      </c>
      <c r="BL1647" s="2" t="s">
        <v>8230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8243</v>
      </c>
      <c r="BV1647" s="2" t="s">
        <v>228</v>
      </c>
      <c r="BW1647" s="2" t="s">
        <v>228</v>
      </c>
      <c r="BX1647" s="2" t="s">
        <v>273</v>
      </c>
      <c r="BY1647" s="2" t="s">
        <v>274</v>
      </c>
      <c r="BZ1647" s="2" t="s">
        <v>240</v>
      </c>
      <c r="CA1647" s="2" t="s">
        <v>8227</v>
      </c>
      <c r="CB1647" s="2" t="s">
        <v>812</v>
      </c>
      <c r="CC1647" s="2" t="s">
        <v>241</v>
      </c>
      <c r="CD1647" s="2" t="s">
        <v>228</v>
      </c>
      <c r="CE1647" s="4">
        <v>315</v>
      </c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4"/>
      <c r="FF1647" s="4"/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/>
      <c r="FR1647" s="4"/>
      <c r="FS1647" s="4"/>
      <c r="FT1647" s="4"/>
      <c r="FU1647" s="4"/>
      <c r="FV1647" s="4"/>
      <c r="FW1647" s="4"/>
      <c r="FX1647" s="4"/>
      <c r="FY1647" s="4"/>
      <c r="FZ1647" s="4"/>
      <c r="GA1647" s="4"/>
      <c r="GB1647" s="4"/>
      <c r="GC1647" s="4"/>
      <c r="GD1647" s="4"/>
      <c r="GE1647" s="4"/>
      <c r="GF1647" s="4"/>
      <c r="GG1647" s="4"/>
      <c r="GH1647" s="4"/>
      <c r="GI1647" s="4"/>
      <c r="GJ1647" s="4"/>
      <c r="GK1647" s="4"/>
      <c r="GL1647" s="4"/>
      <c r="GM1647" s="4"/>
      <c r="GN1647" s="4"/>
      <c r="GO1647" s="4"/>
      <c r="GP1647" s="4"/>
      <c r="GQ1647" s="4"/>
      <c r="GR1647" s="4"/>
      <c r="GS1647" s="4"/>
      <c r="GT1647" s="4"/>
      <c r="GU1647" s="4"/>
      <c r="GV1647" s="4"/>
      <c r="GW1647" s="4"/>
      <c r="GX1647" s="4"/>
      <c r="GY1647" s="4"/>
      <c r="GZ1647" s="4"/>
      <c r="HA1647" s="4"/>
      <c r="HB1647" s="4"/>
      <c r="HC1647" s="4"/>
      <c r="HD1647" s="4"/>
      <c r="HE1647" s="4"/>
    </row>
    <row r="1648">
      <c r="A1648" s="2" t="s">
        <v>8244</v>
      </c>
      <c r="B1648" s="2" t="s">
        <v>223</v>
      </c>
      <c r="C1648" s="2" t="s">
        <v>4000</v>
      </c>
      <c r="D1648" s="2" t="s">
        <v>225</v>
      </c>
      <c r="E1648" s="2" t="s">
        <v>226</v>
      </c>
      <c r="F1648" s="2" t="s">
        <v>8224</v>
      </c>
      <c r="G1648" s="2" t="s">
        <v>8224</v>
      </c>
      <c r="H1648" s="2" t="s">
        <v>8224</v>
      </c>
      <c r="I1648" s="2" t="s">
        <v>226</v>
      </c>
      <c r="J1648" s="2" t="s">
        <v>1189</v>
      </c>
      <c r="K1648" s="2" t="s">
        <v>829</v>
      </c>
      <c r="L1648" s="3">
        <v>12.7</v>
      </c>
      <c r="M1648" s="3">
        <v>13.34</v>
      </c>
      <c r="N1648" s="3">
        <v>28.99</v>
      </c>
      <c r="O1648" s="2" t="s">
        <v>240</v>
      </c>
      <c r="P1648" s="2" t="s">
        <v>233</v>
      </c>
      <c r="Q1648" s="2" t="s">
        <v>234</v>
      </c>
      <c r="R1648" s="2" t="s">
        <v>228</v>
      </c>
      <c r="S1648" s="2" t="s">
        <v>8245</v>
      </c>
      <c r="T1648" s="2" t="s">
        <v>675</v>
      </c>
      <c r="U1648" s="2" t="s">
        <v>416</v>
      </c>
      <c r="V1648" s="2" t="s">
        <v>980</v>
      </c>
      <c r="W1648" s="2" t="s">
        <v>269</v>
      </c>
      <c r="X1648" s="2" t="s">
        <v>228</v>
      </c>
      <c r="Y1648" s="2" t="s">
        <v>8229</v>
      </c>
      <c r="Z1648" s="4">
        <v>746</v>
      </c>
      <c r="AA1648" s="4">
        <f>=ROUNDDOWN(41.4444444444444,0)</f>
      </c>
      <c r="AB1648" s="5">
        <v>18</v>
      </c>
      <c r="AC1648" s="2" t="s">
        <v>228</v>
      </c>
      <c r="AD1648" s="4"/>
      <c r="AE1648" s="4"/>
      <c r="AF1648" s="6">
        <v>65</v>
      </c>
      <c r="AG1648" s="6"/>
      <c r="AH1648" s="7">
        <v>1</v>
      </c>
      <c r="AI1648" s="4"/>
      <c r="AJ1648" s="4">
        <f>=ROUNDDOWN({0},0)</f>
      </c>
      <c r="AK1648" s="5"/>
      <c r="AL1648" s="2" t="s">
        <v>228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 t="s">
        <v>228</v>
      </c>
      <c r="AW1648" s="8" t="s">
        <v>228</v>
      </c>
      <c r="AX1648" s="4" t="s">
        <v>228</v>
      </c>
      <c r="AY1648" s="8" t="s">
        <v>228</v>
      </c>
      <c r="AZ1648" s="7" t="s">
        <v>228</v>
      </c>
      <c r="BA1648" s="7" t="s">
        <v>228</v>
      </c>
      <c r="BB1648" s="7"/>
      <c r="BC1648" s="4" t="s">
        <v>228</v>
      </c>
      <c r="BD1648" s="8" t="s">
        <v>228</v>
      </c>
      <c r="BE1648" s="4" t="s">
        <v>228</v>
      </c>
      <c r="BF1648" s="8" t="s">
        <v>228</v>
      </c>
      <c r="BG1648" s="7" t="s">
        <v>228</v>
      </c>
      <c r="BH1648" s="7" t="s">
        <v>228</v>
      </c>
      <c r="BI1648" s="7"/>
      <c r="BJ1648" s="4">
        <v>8</v>
      </c>
      <c r="BK1648" s="8">
        <v>113.8</v>
      </c>
      <c r="BL1648" s="2" t="s">
        <v>2894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8246</v>
      </c>
      <c r="BV1648" s="2" t="s">
        <v>228</v>
      </c>
      <c r="BW1648" s="2" t="s">
        <v>228</v>
      </c>
      <c r="BX1648" s="2" t="s">
        <v>273</v>
      </c>
      <c r="BY1648" s="2" t="s">
        <v>274</v>
      </c>
      <c r="BZ1648" s="2" t="s">
        <v>240</v>
      </c>
      <c r="CA1648" s="2" t="s">
        <v>8227</v>
      </c>
      <c r="CB1648" s="2" t="s">
        <v>228</v>
      </c>
      <c r="CC1648" s="2" t="s">
        <v>241</v>
      </c>
      <c r="CD1648" s="2" t="s">
        <v>228</v>
      </c>
      <c r="CE1648" s="4">
        <v>746</v>
      </c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  <c r="ES1648" s="4"/>
      <c r="ET1648" s="4"/>
      <c r="EU1648" s="4"/>
      <c r="EV1648" s="4"/>
      <c r="EW1648" s="4"/>
      <c r="EX1648" s="4"/>
      <c r="EY1648" s="4"/>
      <c r="EZ1648" s="4"/>
      <c r="FA1648" s="4"/>
      <c r="FB1648" s="4"/>
      <c r="FC1648" s="4"/>
      <c r="FD1648" s="4"/>
      <c r="FE1648" s="4"/>
      <c r="FF1648" s="4"/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/>
      <c r="FR1648" s="4"/>
      <c r="FS1648" s="4"/>
      <c r="FT1648" s="4"/>
      <c r="FU1648" s="4"/>
      <c r="FV1648" s="4"/>
      <c r="FW1648" s="4"/>
      <c r="FX1648" s="4"/>
      <c r="FY1648" s="4"/>
      <c r="FZ1648" s="4"/>
      <c r="GA1648" s="4"/>
      <c r="GB1648" s="4"/>
      <c r="GC1648" s="4"/>
      <c r="GD1648" s="4"/>
      <c r="GE1648" s="4"/>
      <c r="GF1648" s="4"/>
      <c r="GG1648" s="4"/>
      <c r="GH1648" s="4"/>
      <c r="GI1648" s="4"/>
      <c r="GJ1648" s="4"/>
      <c r="GK1648" s="4"/>
      <c r="GL1648" s="4"/>
      <c r="GM1648" s="4"/>
      <c r="GN1648" s="4"/>
      <c r="GO1648" s="4"/>
      <c r="GP1648" s="4"/>
      <c r="GQ1648" s="4"/>
      <c r="GR1648" s="4"/>
      <c r="GS1648" s="4"/>
      <c r="GT1648" s="4"/>
      <c r="GU1648" s="4"/>
      <c r="GV1648" s="4"/>
      <c r="GW1648" s="4"/>
      <c r="GX1648" s="4"/>
      <c r="GY1648" s="4"/>
      <c r="GZ1648" s="4"/>
      <c r="HA1648" s="4"/>
      <c r="HB1648" s="4"/>
      <c r="HC1648" s="4"/>
      <c r="HD1648" s="4"/>
      <c r="HE1648" s="4"/>
    </row>
    <row r="1649">
      <c r="A1649" s="2" t="s">
        <v>8247</v>
      </c>
      <c r="B1649" s="2" t="s">
        <v>223</v>
      </c>
      <c r="C1649" s="2" t="s">
        <v>4000</v>
      </c>
      <c r="D1649" s="2" t="s">
        <v>225</v>
      </c>
      <c r="E1649" s="2" t="s">
        <v>226</v>
      </c>
      <c r="F1649" s="2" t="s">
        <v>8224</v>
      </c>
      <c r="G1649" s="2" t="s">
        <v>8224</v>
      </c>
      <c r="H1649" s="2" t="s">
        <v>8224</v>
      </c>
      <c r="I1649" s="2" t="s">
        <v>226</v>
      </c>
      <c r="J1649" s="2" t="s">
        <v>294</v>
      </c>
      <c r="K1649" s="2" t="s">
        <v>829</v>
      </c>
      <c r="L1649" s="3">
        <v>14.45</v>
      </c>
      <c r="M1649" s="3">
        <v>15.17</v>
      </c>
      <c r="N1649" s="3">
        <v>32.99</v>
      </c>
      <c r="O1649" s="2" t="s">
        <v>240</v>
      </c>
      <c r="P1649" s="2" t="s">
        <v>233</v>
      </c>
      <c r="Q1649" s="2" t="s">
        <v>234</v>
      </c>
      <c r="R1649" s="2" t="s">
        <v>228</v>
      </c>
      <c r="S1649" s="2" t="s">
        <v>8245</v>
      </c>
      <c r="T1649" s="2" t="s">
        <v>675</v>
      </c>
      <c r="U1649" s="2" t="s">
        <v>416</v>
      </c>
      <c r="V1649" s="2" t="s">
        <v>980</v>
      </c>
      <c r="W1649" s="2" t="s">
        <v>269</v>
      </c>
      <c r="X1649" s="2" t="s">
        <v>228</v>
      </c>
      <c r="Y1649" s="2" t="s">
        <v>8229</v>
      </c>
      <c r="Z1649" s="4">
        <v>424</v>
      </c>
      <c r="AA1649" s="4">
        <f>=ROUNDDOWN(47.1111111111111,0)</f>
      </c>
      <c r="AB1649" s="5">
        <v>9</v>
      </c>
      <c r="AC1649" s="2" t="s">
        <v>228</v>
      </c>
      <c r="AD1649" s="4"/>
      <c r="AE1649" s="4"/>
      <c r="AF1649" s="6">
        <v>65</v>
      </c>
      <c r="AG1649" s="6"/>
      <c r="AH1649" s="7">
        <v>1</v>
      </c>
      <c r="AI1649" s="4"/>
      <c r="AJ1649" s="4">
        <f>=ROUNDDOWN({0},0)</f>
      </c>
      <c r="AK1649" s="5"/>
      <c r="AL1649" s="2" t="s">
        <v>228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 t="s">
        <v>228</v>
      </c>
      <c r="AW1649" s="8" t="s">
        <v>228</v>
      </c>
      <c r="AX1649" s="4" t="s">
        <v>228</v>
      </c>
      <c r="AY1649" s="8" t="s">
        <v>228</v>
      </c>
      <c r="AZ1649" s="7" t="s">
        <v>228</v>
      </c>
      <c r="BA1649" s="7" t="s">
        <v>228</v>
      </c>
      <c r="BB1649" s="7"/>
      <c r="BC1649" s="4" t="s">
        <v>228</v>
      </c>
      <c r="BD1649" s="8" t="s">
        <v>228</v>
      </c>
      <c r="BE1649" s="4" t="s">
        <v>228</v>
      </c>
      <c r="BF1649" s="8" t="s">
        <v>228</v>
      </c>
      <c r="BG1649" s="7" t="s">
        <v>228</v>
      </c>
      <c r="BH1649" s="7" t="s">
        <v>228</v>
      </c>
      <c r="BI1649" s="7"/>
      <c r="BJ1649" s="4">
        <v>5</v>
      </c>
      <c r="BK1649" s="8">
        <v>82.41</v>
      </c>
      <c r="BL1649" s="2" t="s">
        <v>8230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8248</v>
      </c>
      <c r="BV1649" s="2" t="s">
        <v>228</v>
      </c>
      <c r="BW1649" s="2" t="s">
        <v>228</v>
      </c>
      <c r="BX1649" s="2" t="s">
        <v>273</v>
      </c>
      <c r="BY1649" s="2" t="s">
        <v>274</v>
      </c>
      <c r="BZ1649" s="2" t="s">
        <v>240</v>
      </c>
      <c r="CA1649" s="2" t="s">
        <v>8227</v>
      </c>
      <c r="CB1649" s="2" t="s">
        <v>228</v>
      </c>
      <c r="CC1649" s="2" t="s">
        <v>241</v>
      </c>
      <c r="CD1649" s="2" t="s">
        <v>228</v>
      </c>
      <c r="CE1649" s="4">
        <v>424</v>
      </c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  <c r="ES1649" s="4"/>
      <c r="ET1649" s="4"/>
      <c r="EU1649" s="4"/>
      <c r="EV1649" s="4"/>
      <c r="EW1649" s="4"/>
      <c r="EX1649" s="4"/>
      <c r="EY1649" s="4"/>
      <c r="EZ1649" s="4"/>
      <c r="FA1649" s="4"/>
      <c r="FB1649" s="4"/>
      <c r="FC1649" s="4"/>
      <c r="FD1649" s="4"/>
      <c r="FE1649" s="4"/>
      <c r="FF1649" s="4"/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/>
      <c r="FR1649" s="4"/>
      <c r="FS1649" s="4"/>
      <c r="FT1649" s="4"/>
      <c r="FU1649" s="4"/>
      <c r="FV1649" s="4"/>
      <c r="FW1649" s="4"/>
      <c r="FX1649" s="4"/>
      <c r="FY1649" s="4"/>
      <c r="FZ1649" s="4"/>
      <c r="GA1649" s="4"/>
      <c r="GB1649" s="4"/>
      <c r="GC1649" s="4"/>
      <c r="GD1649" s="4"/>
      <c r="GE1649" s="4"/>
      <c r="GF1649" s="4"/>
      <c r="GG1649" s="4"/>
      <c r="GH1649" s="4"/>
      <c r="GI1649" s="4"/>
      <c r="GJ1649" s="4"/>
      <c r="GK1649" s="4"/>
      <c r="GL1649" s="4"/>
      <c r="GM1649" s="4"/>
      <c r="GN1649" s="4"/>
      <c r="GO1649" s="4"/>
      <c r="GP1649" s="4"/>
      <c r="GQ1649" s="4"/>
      <c r="GR1649" s="4"/>
      <c r="GS1649" s="4"/>
      <c r="GT1649" s="4"/>
      <c r="GU1649" s="4"/>
      <c r="GV1649" s="4"/>
      <c r="GW1649" s="4"/>
      <c r="GX1649" s="4"/>
      <c r="GY1649" s="4"/>
      <c r="GZ1649" s="4"/>
      <c r="HA1649" s="4"/>
      <c r="HB1649" s="4"/>
      <c r="HC1649" s="4"/>
      <c r="HD1649" s="4"/>
      <c r="HE1649" s="4"/>
    </row>
    <row r="1650">
      <c r="A1650" s="2" t="s">
        <v>8249</v>
      </c>
      <c r="B1650" s="2" t="s">
        <v>223</v>
      </c>
      <c r="C1650" s="2" t="s">
        <v>849</v>
      </c>
      <c r="D1650" s="2" t="s">
        <v>1601</v>
      </c>
      <c r="E1650" s="2" t="s">
        <v>2421</v>
      </c>
      <c r="F1650" s="2" t="s">
        <v>8250</v>
      </c>
      <c r="G1650" s="2" t="s">
        <v>8250</v>
      </c>
      <c r="H1650" s="2" t="s">
        <v>8250</v>
      </c>
      <c r="I1650" s="2" t="s">
        <v>8251</v>
      </c>
      <c r="J1650" s="2" t="s">
        <v>4972</v>
      </c>
      <c r="K1650" s="2" t="s">
        <v>249</v>
      </c>
      <c r="L1650" s="3">
        <v>10.79</v>
      </c>
      <c r="M1650" s="3">
        <v>11.33</v>
      </c>
      <c r="N1650" s="3">
        <v>19.99</v>
      </c>
      <c r="O1650" s="2" t="s">
        <v>461</v>
      </c>
      <c r="P1650" s="2" t="s">
        <v>333</v>
      </c>
      <c r="Q1650" s="2" t="s">
        <v>234</v>
      </c>
      <c r="R1650" s="2" t="s">
        <v>228</v>
      </c>
      <c r="S1650" s="2" t="s">
        <v>8252</v>
      </c>
      <c r="T1650" s="2" t="s">
        <v>3112</v>
      </c>
      <c r="U1650" s="2" t="s">
        <v>228</v>
      </c>
      <c r="V1650" s="2" t="s">
        <v>236</v>
      </c>
      <c r="W1650" s="2" t="s">
        <v>269</v>
      </c>
      <c r="X1650" s="2" t="s">
        <v>228</v>
      </c>
      <c r="Y1650" s="2" t="s">
        <v>270</v>
      </c>
      <c r="Z1650" s="4">
        <v>439</v>
      </c>
      <c r="AA1650" s="4">
        <f>=ROUNDDOWN(29.2666666666667,0)</f>
      </c>
      <c r="AB1650" s="5">
        <v>15</v>
      </c>
      <c r="AC1650" s="2" t="s">
        <v>228</v>
      </c>
      <c r="AD1650" s="4"/>
      <c r="AE1650" s="4"/>
      <c r="AF1650" s="6">
        <v>64</v>
      </c>
      <c r="AG1650" s="6"/>
      <c r="AH1650" s="7">
        <v>1</v>
      </c>
      <c r="AI1650" s="4"/>
      <c r="AJ1650" s="4">
        <f>=ROUNDDOWN({0},0)</f>
      </c>
      <c r="AK1650" s="5"/>
      <c r="AL1650" s="2" t="s">
        <v>228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/>
      <c r="AW1650" s="8"/>
      <c r="AX1650" s="4"/>
      <c r="AY1650" s="8"/>
      <c r="AZ1650" s="7"/>
      <c r="BA1650" s="7"/>
      <c r="BB1650" s="7"/>
      <c r="BC1650" s="4" t="s">
        <v>228</v>
      </c>
      <c r="BD1650" s="8" t="s">
        <v>228</v>
      </c>
      <c r="BE1650" s="4" t="s">
        <v>228</v>
      </c>
      <c r="BF1650" s="8" t="s">
        <v>228</v>
      </c>
      <c r="BG1650" s="7" t="s">
        <v>228</v>
      </c>
      <c r="BH1650" s="7" t="s">
        <v>228</v>
      </c>
      <c r="BI1650" s="7"/>
      <c r="BJ1650" s="4">
        <v>52</v>
      </c>
      <c r="BK1650" s="8">
        <v>423.48</v>
      </c>
      <c r="BL1650" s="2" t="s">
        <v>8253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8254</v>
      </c>
      <c r="BV1650" s="2" t="s">
        <v>228</v>
      </c>
      <c r="BW1650" s="2" t="s">
        <v>228</v>
      </c>
      <c r="BX1650" s="2" t="s">
        <v>337</v>
      </c>
      <c r="BY1650" s="2" t="s">
        <v>274</v>
      </c>
      <c r="BZ1650" s="2" t="s">
        <v>240</v>
      </c>
      <c r="CA1650" s="2" t="s">
        <v>275</v>
      </c>
      <c r="CB1650" s="2" t="s">
        <v>8255</v>
      </c>
      <c r="CC1650" s="2" t="s">
        <v>241</v>
      </c>
      <c r="CD1650" s="2" t="s">
        <v>228</v>
      </c>
      <c r="CE1650" s="4">
        <v>439</v>
      </c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/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  <c r="FX1650" s="4"/>
      <c r="FY1650" s="4"/>
      <c r="FZ1650" s="4"/>
      <c r="GA1650" s="4"/>
      <c r="GB1650" s="4"/>
      <c r="GC1650" s="4"/>
      <c r="GD1650" s="4"/>
      <c r="GE1650" s="4"/>
      <c r="GF1650" s="4"/>
      <c r="GG1650" s="4"/>
      <c r="GH1650" s="4"/>
      <c r="GI1650" s="4"/>
      <c r="GJ1650" s="4"/>
      <c r="GK1650" s="4"/>
      <c r="GL1650" s="4"/>
      <c r="GM1650" s="4"/>
      <c r="GN1650" s="4"/>
      <c r="GO1650" s="4"/>
      <c r="GP1650" s="4"/>
      <c r="GQ1650" s="4"/>
      <c r="GR1650" s="4"/>
      <c r="GS1650" s="4"/>
      <c r="GT1650" s="4"/>
      <c r="GU1650" s="4"/>
      <c r="GV1650" s="4"/>
      <c r="GW1650" s="4"/>
      <c r="GX1650" s="4"/>
      <c r="GY1650" s="4"/>
      <c r="GZ1650" s="4"/>
      <c r="HA1650" s="4"/>
      <c r="HB1650" s="4"/>
      <c r="HC1650" s="4"/>
      <c r="HD1650" s="4"/>
      <c r="HE1650" s="4"/>
    </row>
    <row r="1651">
      <c r="A1651" s="2" t="s">
        <v>8256</v>
      </c>
      <c r="B1651" s="2" t="s">
        <v>223</v>
      </c>
      <c r="C1651" s="2" t="s">
        <v>849</v>
      </c>
      <c r="D1651" s="2" t="s">
        <v>225</v>
      </c>
      <c r="E1651" s="2" t="s">
        <v>226</v>
      </c>
      <c r="F1651" s="2" t="s">
        <v>8250</v>
      </c>
      <c r="G1651" s="2" t="s">
        <v>8250</v>
      </c>
      <c r="H1651" s="2" t="s">
        <v>8250</v>
      </c>
      <c r="I1651" s="2" t="s">
        <v>8257</v>
      </c>
      <c r="J1651" s="2" t="s">
        <v>294</v>
      </c>
      <c r="K1651" s="2" t="s">
        <v>614</v>
      </c>
      <c r="L1651" s="3">
        <v>18.42</v>
      </c>
      <c r="M1651" s="3">
        <v>19.34</v>
      </c>
      <c r="N1651" s="3">
        <v>40.99</v>
      </c>
      <c r="O1651" s="2" t="s">
        <v>240</v>
      </c>
      <c r="P1651" s="2" t="s">
        <v>333</v>
      </c>
      <c r="Q1651" s="2" t="s">
        <v>234</v>
      </c>
      <c r="R1651" s="2" t="s">
        <v>228</v>
      </c>
      <c r="S1651" s="2" t="s">
        <v>8258</v>
      </c>
      <c r="T1651" s="2" t="s">
        <v>3112</v>
      </c>
      <c r="U1651" s="2" t="s">
        <v>228</v>
      </c>
      <c r="V1651" s="2" t="s">
        <v>236</v>
      </c>
      <c r="W1651" s="2" t="s">
        <v>269</v>
      </c>
      <c r="X1651" s="2" t="s">
        <v>228</v>
      </c>
      <c r="Y1651" s="2" t="s">
        <v>270</v>
      </c>
      <c r="Z1651" s="4">
        <v>88</v>
      </c>
      <c r="AA1651" s="4">
        <f>=ROUNDDOWN(8,0)</f>
      </c>
      <c r="AB1651" s="5">
        <v>11</v>
      </c>
      <c r="AC1651" s="2" t="s">
        <v>228</v>
      </c>
      <c r="AD1651" s="4"/>
      <c r="AE1651" s="4"/>
      <c r="AF1651" s="6">
        <v>64</v>
      </c>
      <c r="AG1651" s="6"/>
      <c r="AH1651" s="7">
        <v>1</v>
      </c>
      <c r="AI1651" s="4"/>
      <c r="AJ1651" s="4">
        <f>=ROUNDDOWN({0},0)</f>
      </c>
      <c r="AK1651" s="5"/>
      <c r="AL1651" s="2" t="s">
        <v>228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/>
      <c r="AW1651" s="8"/>
      <c r="AX1651" s="4"/>
      <c r="AY1651" s="8"/>
      <c r="AZ1651" s="7"/>
      <c r="BA1651" s="7"/>
      <c r="BB1651" s="7"/>
      <c r="BC1651" s="4" t="s">
        <v>228</v>
      </c>
      <c r="BD1651" s="8" t="s">
        <v>228</v>
      </c>
      <c r="BE1651" s="4" t="s">
        <v>228</v>
      </c>
      <c r="BF1651" s="8" t="s">
        <v>228</v>
      </c>
      <c r="BG1651" s="7" t="s">
        <v>228</v>
      </c>
      <c r="BH1651" s="7" t="s">
        <v>228</v>
      </c>
      <c r="BI1651" s="7"/>
      <c r="BJ1651" s="4">
        <v>56</v>
      </c>
      <c r="BK1651" s="8">
        <v>923.13</v>
      </c>
      <c r="BL1651" s="2" t="s">
        <v>8259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8260</v>
      </c>
      <c r="BV1651" s="2" t="s">
        <v>228</v>
      </c>
      <c r="BW1651" s="2" t="s">
        <v>228</v>
      </c>
      <c r="BX1651" s="2" t="s">
        <v>337</v>
      </c>
      <c r="BY1651" s="2" t="s">
        <v>274</v>
      </c>
      <c r="BZ1651" s="2" t="s">
        <v>240</v>
      </c>
      <c r="CA1651" s="2" t="s">
        <v>5558</v>
      </c>
      <c r="CB1651" s="2" t="s">
        <v>8261</v>
      </c>
      <c r="CC1651" s="2" t="s">
        <v>241</v>
      </c>
      <c r="CD1651" s="2" t="s">
        <v>228</v>
      </c>
      <c r="CE1651" s="4">
        <v>88</v>
      </c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4"/>
      <c r="FF1651" s="4"/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/>
      <c r="FR1651" s="4"/>
      <c r="FS1651" s="4"/>
      <c r="FT1651" s="4"/>
      <c r="FU1651" s="4"/>
      <c r="FV1651" s="4"/>
      <c r="FW1651" s="4"/>
      <c r="FX1651" s="4"/>
      <c r="FY1651" s="4"/>
      <c r="FZ1651" s="4"/>
      <c r="GA1651" s="4"/>
      <c r="GB1651" s="4"/>
      <c r="GC1651" s="4"/>
      <c r="GD1651" s="4"/>
      <c r="GE1651" s="4"/>
      <c r="GF1651" s="4"/>
      <c r="GG1651" s="4"/>
      <c r="GH1651" s="4"/>
      <c r="GI1651" s="4"/>
      <c r="GJ1651" s="4"/>
      <c r="GK1651" s="4"/>
      <c r="GL1651" s="4"/>
      <c r="GM1651" s="4"/>
      <c r="GN1651" s="4"/>
      <c r="GO1651" s="4"/>
      <c r="GP1651" s="4"/>
      <c r="GQ1651" s="4"/>
      <c r="GR1651" s="4"/>
      <c r="GS1651" s="4"/>
      <c r="GT1651" s="4"/>
      <c r="GU1651" s="4"/>
      <c r="GV1651" s="4"/>
      <c r="GW1651" s="4"/>
      <c r="GX1651" s="4"/>
      <c r="GY1651" s="4"/>
      <c r="GZ1651" s="4"/>
      <c r="HA1651" s="4"/>
      <c r="HB1651" s="4"/>
      <c r="HC1651" s="4"/>
      <c r="HD1651" s="4"/>
      <c r="HE1651" s="4"/>
    </row>
    <row r="1652">
      <c r="A1652" s="2" t="s">
        <v>8262</v>
      </c>
      <c r="B1652" s="2" t="s">
        <v>223</v>
      </c>
      <c r="C1652" s="2" t="s">
        <v>731</v>
      </c>
      <c r="D1652" s="2" t="s">
        <v>1407</v>
      </c>
      <c r="E1652" s="2" t="s">
        <v>3636</v>
      </c>
      <c r="F1652" s="2" t="s">
        <v>8263</v>
      </c>
      <c r="G1652" s="2" t="s">
        <v>8263</v>
      </c>
      <c r="H1652" s="2" t="s">
        <v>8263</v>
      </c>
      <c r="I1652" s="2" t="s">
        <v>8264</v>
      </c>
      <c r="J1652" s="2" t="s">
        <v>289</v>
      </c>
      <c r="K1652" s="2" t="s">
        <v>231</v>
      </c>
      <c r="L1652" s="3">
        <v>95.23</v>
      </c>
      <c r="M1652" s="3">
        <v>99.99</v>
      </c>
      <c r="N1652" s="3">
        <v>199.99</v>
      </c>
      <c r="O1652" s="2" t="s">
        <v>240</v>
      </c>
      <c r="P1652" s="2" t="s">
        <v>266</v>
      </c>
      <c r="Q1652" s="2" t="s">
        <v>234</v>
      </c>
      <c r="R1652" s="2" t="s">
        <v>228</v>
      </c>
      <c r="S1652" s="2" t="s">
        <v>8265</v>
      </c>
      <c r="T1652" s="2" t="s">
        <v>3112</v>
      </c>
      <c r="U1652" s="2" t="s">
        <v>416</v>
      </c>
      <c r="V1652" s="2" t="s">
        <v>236</v>
      </c>
      <c r="W1652" s="2" t="s">
        <v>269</v>
      </c>
      <c r="X1652" s="2" t="s">
        <v>228</v>
      </c>
      <c r="Y1652" s="2" t="s">
        <v>7683</v>
      </c>
      <c r="Z1652" s="4">
        <v>52</v>
      </c>
      <c r="AA1652" s="4">
        <f>=ROUNDDOWN(3.46666666666667,0)</f>
      </c>
      <c r="AB1652" s="5">
        <v>15</v>
      </c>
      <c r="AC1652" s="2" t="s">
        <v>155</v>
      </c>
      <c r="AD1652" s="4">
        <v>150</v>
      </c>
      <c r="AE1652" s="4">
        <v>400</v>
      </c>
      <c r="AF1652" s="6">
        <v>65</v>
      </c>
      <c r="AG1652" s="6"/>
      <c r="AH1652" s="7">
        <v>1</v>
      </c>
      <c r="AI1652" s="4"/>
      <c r="AJ1652" s="4">
        <f>=ROUNDDOWN({0},0)</f>
      </c>
      <c r="AK1652" s="5"/>
      <c r="AL1652" s="2" t="s">
        <v>228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 t="s">
        <v>228</v>
      </c>
      <c r="AW1652" s="8" t="s">
        <v>228</v>
      </c>
      <c r="AX1652" s="4" t="s">
        <v>228</v>
      </c>
      <c r="AY1652" s="8" t="s">
        <v>228</v>
      </c>
      <c r="AZ1652" s="7" t="s">
        <v>228</v>
      </c>
      <c r="BA1652" s="7" t="s">
        <v>228</v>
      </c>
      <c r="BB1652" s="7"/>
      <c r="BC1652" s="4" t="s">
        <v>228</v>
      </c>
      <c r="BD1652" s="8" t="s">
        <v>228</v>
      </c>
      <c r="BE1652" s="4" t="s">
        <v>228</v>
      </c>
      <c r="BF1652" s="8" t="s">
        <v>228</v>
      </c>
      <c r="BG1652" s="7" t="s">
        <v>228</v>
      </c>
      <c r="BH1652" s="7" t="s">
        <v>228</v>
      </c>
      <c r="BI1652" s="7"/>
      <c r="BJ1652" s="4">
        <v>4</v>
      </c>
      <c r="BK1652" s="8">
        <v>422.96</v>
      </c>
      <c r="BL1652" s="2" t="s">
        <v>1471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8266</v>
      </c>
      <c r="BV1652" s="2" t="s">
        <v>228</v>
      </c>
      <c r="BW1652" s="2" t="s">
        <v>228</v>
      </c>
      <c r="BX1652" s="2" t="s">
        <v>273</v>
      </c>
      <c r="BY1652" s="2" t="s">
        <v>274</v>
      </c>
      <c r="BZ1652" s="2" t="s">
        <v>240</v>
      </c>
      <c r="CA1652" s="2" t="s">
        <v>3414</v>
      </c>
      <c r="CB1652" s="2" t="s">
        <v>1443</v>
      </c>
      <c r="CC1652" s="2" t="s">
        <v>241</v>
      </c>
      <c r="CD1652" s="2" t="s">
        <v>228</v>
      </c>
      <c r="CE1652" s="4">
        <v>52</v>
      </c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>
        <v>150</v>
      </c>
      <c r="ER1652" s="4"/>
      <c r="ES1652" s="4"/>
      <c r="ET1652" s="4"/>
      <c r="EU1652" s="4"/>
      <c r="EV1652" s="4">
        <v>150</v>
      </c>
      <c r="EW1652" s="4"/>
      <c r="EX1652" s="4"/>
      <c r="EY1652" s="4"/>
      <c r="EZ1652" s="4"/>
      <c r="FA1652" s="4"/>
      <c r="FB1652" s="4"/>
      <c r="FC1652" s="4"/>
      <c r="FD1652" s="4"/>
      <c r="FE1652" s="4"/>
      <c r="FF1652" s="4"/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/>
      <c r="FR1652" s="4"/>
      <c r="FS1652" s="4"/>
      <c r="FT1652" s="4"/>
      <c r="FU1652" s="4"/>
      <c r="FV1652" s="4"/>
      <c r="FW1652" s="4">
        <v>100</v>
      </c>
      <c r="FX1652" s="4"/>
      <c r="FY1652" s="4"/>
      <c r="FZ1652" s="4"/>
      <c r="GA1652" s="4"/>
      <c r="GB1652" s="4"/>
      <c r="GC1652" s="4"/>
      <c r="GD1652" s="4"/>
      <c r="GE1652" s="4"/>
      <c r="GF1652" s="4"/>
      <c r="GG1652" s="4"/>
      <c r="GH1652" s="4"/>
      <c r="GI1652" s="4"/>
      <c r="GJ1652" s="4"/>
      <c r="GK1652" s="4"/>
      <c r="GL1652" s="4"/>
      <c r="GM1652" s="4"/>
      <c r="GN1652" s="4"/>
      <c r="GO1652" s="4"/>
      <c r="GP1652" s="4"/>
      <c r="GQ1652" s="4"/>
      <c r="GR1652" s="4"/>
      <c r="GS1652" s="4"/>
      <c r="GT1652" s="4"/>
      <c r="GU1652" s="4"/>
      <c r="GV1652" s="4"/>
      <c r="GW1652" s="4"/>
      <c r="GX1652" s="4"/>
      <c r="GY1652" s="4"/>
      <c r="GZ1652" s="4"/>
      <c r="HA1652" s="4"/>
      <c r="HB1652" s="4"/>
      <c r="HC1652" s="4"/>
      <c r="HD1652" s="4"/>
      <c r="HE1652" s="4"/>
    </row>
    <row r="1653">
      <c r="A1653" s="2" t="s">
        <v>8267</v>
      </c>
      <c r="B1653" s="2" t="s">
        <v>223</v>
      </c>
      <c r="C1653" s="2" t="s">
        <v>731</v>
      </c>
      <c r="D1653" s="2" t="s">
        <v>1407</v>
      </c>
      <c r="E1653" s="2" t="s">
        <v>3636</v>
      </c>
      <c r="F1653" s="2" t="s">
        <v>8263</v>
      </c>
      <c r="G1653" s="2" t="s">
        <v>8263</v>
      </c>
      <c r="H1653" s="2" t="s">
        <v>8263</v>
      </c>
      <c r="I1653" s="2" t="s">
        <v>8264</v>
      </c>
      <c r="J1653" s="2" t="s">
        <v>294</v>
      </c>
      <c r="K1653" s="2" t="s">
        <v>231</v>
      </c>
      <c r="L1653" s="3">
        <v>100</v>
      </c>
      <c r="M1653" s="3">
        <v>105</v>
      </c>
      <c r="N1653" s="3">
        <v>209.99</v>
      </c>
      <c r="O1653" s="2" t="s">
        <v>240</v>
      </c>
      <c r="P1653" s="2" t="s">
        <v>266</v>
      </c>
      <c r="Q1653" s="2" t="s">
        <v>234</v>
      </c>
      <c r="R1653" s="2" t="s">
        <v>228</v>
      </c>
      <c r="S1653" s="2" t="s">
        <v>8265</v>
      </c>
      <c r="T1653" s="2" t="s">
        <v>3112</v>
      </c>
      <c r="U1653" s="2" t="s">
        <v>416</v>
      </c>
      <c r="V1653" s="2" t="s">
        <v>236</v>
      </c>
      <c r="W1653" s="2" t="s">
        <v>269</v>
      </c>
      <c r="X1653" s="2" t="s">
        <v>228</v>
      </c>
      <c r="Y1653" s="2" t="s">
        <v>7683</v>
      </c>
      <c r="Z1653" s="4"/>
      <c r="AA1653" s="4">
        <f>=ROUNDDOWN({0},0)</f>
      </c>
      <c r="AB1653" s="5">
        <v>31</v>
      </c>
      <c r="AC1653" s="2" t="s">
        <v>155</v>
      </c>
      <c r="AD1653" s="4">
        <v>200</v>
      </c>
      <c r="AE1653" s="4">
        <v>930</v>
      </c>
      <c r="AF1653" s="6">
        <v>65</v>
      </c>
      <c r="AG1653" s="6"/>
      <c r="AH1653" s="7">
        <v>0</v>
      </c>
      <c r="AI1653" s="4"/>
      <c r="AJ1653" s="4">
        <f>=ROUNDDOWN({0},0)</f>
      </c>
      <c r="AK1653" s="5"/>
      <c r="AL1653" s="2" t="s">
        <v>228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228</v>
      </c>
      <c r="AW1653" s="8" t="s">
        <v>228</v>
      </c>
      <c r="AX1653" s="4" t="s">
        <v>228</v>
      </c>
      <c r="AY1653" s="8" t="s">
        <v>228</v>
      </c>
      <c r="AZ1653" s="7" t="s">
        <v>228</v>
      </c>
      <c r="BA1653" s="7" t="s">
        <v>228</v>
      </c>
      <c r="BB1653" s="7"/>
      <c r="BC1653" s="4" t="s">
        <v>228</v>
      </c>
      <c r="BD1653" s="8" t="s">
        <v>228</v>
      </c>
      <c r="BE1653" s="4" t="s">
        <v>228</v>
      </c>
      <c r="BF1653" s="8" t="s">
        <v>228</v>
      </c>
      <c r="BG1653" s="7" t="s">
        <v>228</v>
      </c>
      <c r="BH1653" s="7" t="s">
        <v>228</v>
      </c>
      <c r="BI1653" s="7"/>
      <c r="BJ1653" s="4"/>
      <c r="BK1653" s="8"/>
      <c r="BL1653" s="2" t="s">
        <v>228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8268</v>
      </c>
      <c r="BV1653" s="2" t="s">
        <v>228</v>
      </c>
      <c r="BW1653" s="2" t="s">
        <v>228</v>
      </c>
      <c r="BX1653" s="2" t="s">
        <v>273</v>
      </c>
      <c r="BY1653" s="2" t="s">
        <v>274</v>
      </c>
      <c r="BZ1653" s="2" t="s">
        <v>240</v>
      </c>
      <c r="CA1653" s="2" t="s">
        <v>3414</v>
      </c>
      <c r="CB1653" s="2" t="s">
        <v>5527</v>
      </c>
      <c r="CC1653" s="2" t="s">
        <v>241</v>
      </c>
      <c r="CD1653" s="2" t="s">
        <v>228</v>
      </c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>
        <v>200</v>
      </c>
      <c r="ER1653" s="4"/>
      <c r="ES1653" s="4"/>
      <c r="ET1653" s="4"/>
      <c r="EU1653" s="4"/>
      <c r="EV1653" s="4">
        <v>280</v>
      </c>
      <c r="EW1653" s="4"/>
      <c r="EX1653" s="4"/>
      <c r="EY1653" s="4"/>
      <c r="EZ1653" s="4"/>
      <c r="FA1653" s="4"/>
      <c r="FB1653" s="4"/>
      <c r="FC1653" s="4"/>
      <c r="FD1653" s="4"/>
      <c r="FE1653" s="4"/>
      <c r="FF1653" s="4"/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>
        <v>230</v>
      </c>
      <c r="FR1653" s="4"/>
      <c r="FS1653" s="4"/>
      <c r="FT1653" s="4"/>
      <c r="FU1653" s="4"/>
      <c r="FV1653" s="4"/>
      <c r="FW1653" s="4">
        <v>150</v>
      </c>
      <c r="FX1653" s="4"/>
      <c r="FY1653" s="4"/>
      <c r="FZ1653" s="4"/>
      <c r="GA1653" s="4"/>
      <c r="GB1653" s="4"/>
      <c r="GC1653" s="4"/>
      <c r="GD1653" s="4"/>
      <c r="GE1653" s="4"/>
      <c r="GF1653" s="4"/>
      <c r="GG1653" s="4"/>
      <c r="GH1653" s="4"/>
      <c r="GI1653" s="4"/>
      <c r="GJ1653" s="4"/>
      <c r="GK1653" s="4"/>
      <c r="GL1653" s="4"/>
      <c r="GM1653" s="4"/>
      <c r="GN1653" s="4"/>
      <c r="GO1653" s="4"/>
      <c r="GP1653" s="4"/>
      <c r="GQ1653" s="4"/>
      <c r="GR1653" s="4"/>
      <c r="GS1653" s="4">
        <v>70</v>
      </c>
      <c r="GT1653" s="4"/>
      <c r="GU1653" s="4"/>
      <c r="GV1653" s="4"/>
      <c r="GW1653" s="4"/>
      <c r="GX1653" s="4"/>
      <c r="GY1653" s="4"/>
      <c r="GZ1653" s="4"/>
      <c r="HA1653" s="4"/>
      <c r="HB1653" s="4"/>
      <c r="HC1653" s="4"/>
      <c r="HD1653" s="4"/>
      <c r="HE1653" s="4"/>
    </row>
    <row r="1654">
      <c r="A1654" s="2" t="s">
        <v>8269</v>
      </c>
      <c r="B1654" s="2" t="s">
        <v>223</v>
      </c>
      <c r="C1654" s="2" t="s">
        <v>731</v>
      </c>
      <c r="D1654" s="2" t="s">
        <v>1407</v>
      </c>
      <c r="E1654" s="2" t="s">
        <v>3636</v>
      </c>
      <c r="F1654" s="2" t="s">
        <v>8263</v>
      </c>
      <c r="G1654" s="2" t="s">
        <v>8263</v>
      </c>
      <c r="H1654" s="2" t="s">
        <v>8263</v>
      </c>
      <c r="I1654" s="2" t="s">
        <v>8264</v>
      </c>
      <c r="J1654" s="2" t="s">
        <v>294</v>
      </c>
      <c r="K1654" s="2" t="s">
        <v>480</v>
      </c>
      <c r="L1654" s="3">
        <v>100</v>
      </c>
      <c r="M1654" s="3">
        <v>105</v>
      </c>
      <c r="N1654" s="3">
        <v>209.99</v>
      </c>
      <c r="O1654" s="2" t="s">
        <v>240</v>
      </c>
      <c r="P1654" s="2" t="s">
        <v>266</v>
      </c>
      <c r="Q1654" s="2" t="s">
        <v>234</v>
      </c>
      <c r="R1654" s="2" t="s">
        <v>228</v>
      </c>
      <c r="S1654" s="2" t="s">
        <v>8270</v>
      </c>
      <c r="T1654" s="2" t="s">
        <v>3112</v>
      </c>
      <c r="U1654" s="2" t="s">
        <v>416</v>
      </c>
      <c r="V1654" s="2" t="s">
        <v>236</v>
      </c>
      <c r="W1654" s="2" t="s">
        <v>269</v>
      </c>
      <c r="X1654" s="2" t="s">
        <v>228</v>
      </c>
      <c r="Y1654" s="2" t="s">
        <v>7683</v>
      </c>
      <c r="Z1654" s="4"/>
      <c r="AA1654" s="4">
        <f>=ROUNDDOWN({0},0)</f>
      </c>
      <c r="AB1654" s="5">
        <v>22</v>
      </c>
      <c r="AC1654" s="2" t="s">
        <v>155</v>
      </c>
      <c r="AD1654" s="4">
        <v>340</v>
      </c>
      <c r="AE1654" s="4">
        <v>670</v>
      </c>
      <c r="AF1654" s="6">
        <v>65</v>
      </c>
      <c r="AG1654" s="6"/>
      <c r="AH1654" s="7">
        <v>0</v>
      </c>
      <c r="AI1654" s="4"/>
      <c r="AJ1654" s="4">
        <f>=ROUNDDOWN({0},0)</f>
      </c>
      <c r="AK1654" s="5"/>
      <c r="AL1654" s="2" t="s">
        <v>228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/>
      <c r="AW1654" s="8"/>
      <c r="AX1654" s="4"/>
      <c r="AY1654" s="8"/>
      <c r="AZ1654" s="7"/>
      <c r="BA1654" s="7"/>
      <c r="BB1654" s="7"/>
      <c r="BC1654" s="4" t="s">
        <v>228</v>
      </c>
      <c r="BD1654" s="8" t="s">
        <v>228</v>
      </c>
      <c r="BE1654" s="4" t="s">
        <v>228</v>
      </c>
      <c r="BF1654" s="8" t="s">
        <v>228</v>
      </c>
      <c r="BG1654" s="7" t="s">
        <v>228</v>
      </c>
      <c r="BH1654" s="7" t="s">
        <v>228</v>
      </c>
      <c r="BI1654" s="7"/>
      <c r="BJ1654" s="4"/>
      <c r="BK1654" s="8"/>
      <c r="BL1654" s="2" t="s">
        <v>228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8271</v>
      </c>
      <c r="BV1654" s="2" t="s">
        <v>228</v>
      </c>
      <c r="BW1654" s="2" t="s">
        <v>228</v>
      </c>
      <c r="BX1654" s="2" t="s">
        <v>273</v>
      </c>
      <c r="BY1654" s="2" t="s">
        <v>274</v>
      </c>
      <c r="BZ1654" s="2" t="s">
        <v>240</v>
      </c>
      <c r="CA1654" s="2" t="s">
        <v>3414</v>
      </c>
      <c r="CB1654" s="2" t="s">
        <v>487</v>
      </c>
      <c r="CC1654" s="2" t="s">
        <v>241</v>
      </c>
      <c r="CD1654" s="2" t="s">
        <v>228</v>
      </c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>
        <v>340</v>
      </c>
      <c r="ER1654" s="4"/>
      <c r="ES1654" s="4"/>
      <c r="ET1654" s="4"/>
      <c r="EU1654" s="4"/>
      <c r="EV1654" s="4"/>
      <c r="EW1654" s="4"/>
      <c r="EX1654" s="4"/>
      <c r="EY1654" s="4"/>
      <c r="EZ1654" s="4"/>
      <c r="FA1654" s="4"/>
      <c r="FB1654" s="4"/>
      <c r="FC1654" s="4"/>
      <c r="FD1654" s="4"/>
      <c r="FE1654" s="4"/>
      <c r="FF1654" s="4"/>
      <c r="FG1654" s="4"/>
      <c r="FH1654" s="4"/>
      <c r="FI1654" s="4"/>
      <c r="FJ1654" s="4"/>
      <c r="FK1654" s="4"/>
      <c r="FL1654" s="4"/>
      <c r="FM1654" s="4"/>
      <c r="FN1654" s="4"/>
      <c r="FO1654" s="4"/>
      <c r="FP1654" s="4"/>
      <c r="FQ1654" s="4">
        <v>170</v>
      </c>
      <c r="FR1654" s="4"/>
      <c r="FS1654" s="4"/>
      <c r="FT1654" s="4"/>
      <c r="FU1654" s="4"/>
      <c r="FV1654" s="4"/>
      <c r="FW1654" s="4">
        <v>160</v>
      </c>
      <c r="FX1654" s="4"/>
      <c r="FY1654" s="4"/>
      <c r="FZ1654" s="4"/>
      <c r="GA1654" s="4"/>
      <c r="GB1654" s="4"/>
      <c r="GC1654" s="4"/>
      <c r="GD1654" s="4"/>
      <c r="GE1654" s="4"/>
      <c r="GF1654" s="4"/>
      <c r="GG1654" s="4"/>
      <c r="GH1654" s="4"/>
      <c r="GI1654" s="4"/>
      <c r="GJ1654" s="4"/>
      <c r="GK1654" s="4"/>
      <c r="GL1654" s="4"/>
      <c r="GM1654" s="4"/>
      <c r="GN1654" s="4"/>
      <c r="GO1654" s="4"/>
      <c r="GP1654" s="4"/>
      <c r="GQ1654" s="4"/>
      <c r="GR1654" s="4"/>
      <c r="GS1654" s="4"/>
      <c r="GT1654" s="4"/>
      <c r="GU1654" s="4"/>
      <c r="GV1654" s="4"/>
      <c r="GW1654" s="4"/>
      <c r="GX1654" s="4"/>
      <c r="GY1654" s="4"/>
      <c r="GZ1654" s="4"/>
      <c r="HA1654" s="4"/>
      <c r="HB1654" s="4"/>
      <c r="HC1654" s="4"/>
      <c r="HD1654" s="4"/>
      <c r="HE1654" s="4"/>
    </row>
    <row r="1655">
      <c r="A1655" s="2" t="s">
        <v>8272</v>
      </c>
      <c r="B1655" s="2" t="s">
        <v>223</v>
      </c>
      <c r="C1655" s="2" t="s">
        <v>731</v>
      </c>
      <c r="D1655" s="2" t="s">
        <v>1407</v>
      </c>
      <c r="E1655" s="2" t="s">
        <v>3636</v>
      </c>
      <c r="F1655" s="2" t="s">
        <v>8263</v>
      </c>
      <c r="G1655" s="2" t="s">
        <v>8263</v>
      </c>
      <c r="H1655" s="2" t="s">
        <v>8263</v>
      </c>
      <c r="I1655" s="2" t="s">
        <v>8264</v>
      </c>
      <c r="J1655" s="2" t="s">
        <v>289</v>
      </c>
      <c r="K1655" s="2" t="s">
        <v>829</v>
      </c>
      <c r="L1655" s="3">
        <v>95.23</v>
      </c>
      <c r="M1655" s="3">
        <v>99.99</v>
      </c>
      <c r="N1655" s="3">
        <v>199.99</v>
      </c>
      <c r="O1655" s="2" t="s">
        <v>240</v>
      </c>
      <c r="P1655" s="2" t="s">
        <v>266</v>
      </c>
      <c r="Q1655" s="2" t="s">
        <v>234</v>
      </c>
      <c r="R1655" s="2" t="s">
        <v>228</v>
      </c>
      <c r="S1655" s="2" t="s">
        <v>8273</v>
      </c>
      <c r="T1655" s="2" t="s">
        <v>3112</v>
      </c>
      <c r="U1655" s="2" t="s">
        <v>416</v>
      </c>
      <c r="V1655" s="2" t="s">
        <v>236</v>
      </c>
      <c r="W1655" s="2" t="s">
        <v>269</v>
      </c>
      <c r="X1655" s="2" t="s">
        <v>228</v>
      </c>
      <c r="Y1655" s="2" t="s">
        <v>7683</v>
      </c>
      <c r="Z1655" s="4">
        <v>253</v>
      </c>
      <c r="AA1655" s="4">
        <f>=ROUNDDOWN(25.3,0)</f>
      </c>
      <c r="AB1655" s="5">
        <v>10</v>
      </c>
      <c r="AC1655" s="2" t="s">
        <v>155</v>
      </c>
      <c r="AD1655" s="4">
        <v>150</v>
      </c>
      <c r="AE1655" s="4">
        <v>300</v>
      </c>
      <c r="AF1655" s="6">
        <v>65</v>
      </c>
      <c r="AG1655" s="6"/>
      <c r="AH1655" s="7">
        <v>1</v>
      </c>
      <c r="AI1655" s="4"/>
      <c r="AJ1655" s="4">
        <f>=ROUNDDOWN({0},0)</f>
      </c>
      <c r="AK1655" s="5"/>
      <c r="AL1655" s="2" t="s">
        <v>228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 t="s">
        <v>228</v>
      </c>
      <c r="AW1655" s="8" t="s">
        <v>228</v>
      </c>
      <c r="AX1655" s="4" t="s">
        <v>228</v>
      </c>
      <c r="AY1655" s="8" t="s">
        <v>228</v>
      </c>
      <c r="AZ1655" s="7" t="s">
        <v>228</v>
      </c>
      <c r="BA1655" s="7" t="s">
        <v>228</v>
      </c>
      <c r="BB1655" s="7"/>
      <c r="BC1655" s="4" t="s">
        <v>228</v>
      </c>
      <c r="BD1655" s="8" t="s">
        <v>228</v>
      </c>
      <c r="BE1655" s="4" t="s">
        <v>228</v>
      </c>
      <c r="BF1655" s="8" t="s">
        <v>228</v>
      </c>
      <c r="BG1655" s="7" t="s">
        <v>228</v>
      </c>
      <c r="BH1655" s="7" t="s">
        <v>228</v>
      </c>
      <c r="BI1655" s="7"/>
      <c r="BJ1655" s="4">
        <v>4</v>
      </c>
      <c r="BK1655" s="8">
        <v>412.96</v>
      </c>
      <c r="BL1655" s="2" t="s">
        <v>2160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8274</v>
      </c>
      <c r="BV1655" s="2" t="s">
        <v>228</v>
      </c>
      <c r="BW1655" s="2" t="s">
        <v>228</v>
      </c>
      <c r="BX1655" s="2" t="s">
        <v>273</v>
      </c>
      <c r="BY1655" s="2" t="s">
        <v>274</v>
      </c>
      <c r="BZ1655" s="2" t="s">
        <v>240</v>
      </c>
      <c r="CA1655" s="2" t="s">
        <v>3414</v>
      </c>
      <c r="CB1655" s="2" t="s">
        <v>8222</v>
      </c>
      <c r="CC1655" s="2" t="s">
        <v>241</v>
      </c>
      <c r="CD1655" s="2" t="s">
        <v>228</v>
      </c>
      <c r="CE1655" s="4">
        <v>253</v>
      </c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>
        <v>150</v>
      </c>
      <c r="ER1655" s="4"/>
      <c r="ES1655" s="4"/>
      <c r="ET1655" s="4"/>
      <c r="EU1655" s="4"/>
      <c r="EV1655" s="4"/>
      <c r="EW1655" s="4"/>
      <c r="EX1655" s="4"/>
      <c r="EY1655" s="4"/>
      <c r="EZ1655" s="4"/>
      <c r="FA1655" s="4"/>
      <c r="FB1655" s="4"/>
      <c r="FC1655" s="4"/>
      <c r="FD1655" s="4"/>
      <c r="FE1655" s="4"/>
      <c r="FF1655" s="4"/>
      <c r="FG1655" s="4"/>
      <c r="FH1655" s="4"/>
      <c r="FI1655" s="4"/>
      <c r="FJ1655" s="4"/>
      <c r="FK1655" s="4"/>
      <c r="FL1655" s="4"/>
      <c r="FM1655" s="4"/>
      <c r="FN1655" s="4"/>
      <c r="FO1655" s="4"/>
      <c r="FP1655" s="4"/>
      <c r="FQ1655" s="4">
        <v>150</v>
      </c>
      <c r="FR1655" s="4"/>
      <c r="FS1655" s="4"/>
      <c r="FT1655" s="4"/>
      <c r="FU1655" s="4"/>
      <c r="FV1655" s="4"/>
      <c r="FW1655" s="4"/>
      <c r="FX1655" s="4"/>
      <c r="FY1655" s="4"/>
      <c r="FZ1655" s="4"/>
      <c r="GA1655" s="4"/>
      <c r="GB1655" s="4"/>
      <c r="GC1655" s="4"/>
      <c r="GD1655" s="4"/>
      <c r="GE1655" s="4"/>
      <c r="GF1655" s="4"/>
      <c r="GG1655" s="4"/>
      <c r="GH1655" s="4"/>
      <c r="GI1655" s="4"/>
      <c r="GJ1655" s="4"/>
      <c r="GK1655" s="4"/>
      <c r="GL1655" s="4"/>
      <c r="GM1655" s="4"/>
      <c r="GN1655" s="4"/>
      <c r="GO1655" s="4"/>
      <c r="GP1655" s="4"/>
      <c r="GQ1655" s="4"/>
      <c r="GR1655" s="4"/>
      <c r="GS1655" s="4"/>
      <c r="GT1655" s="4"/>
      <c r="GU1655" s="4"/>
      <c r="GV1655" s="4"/>
      <c r="GW1655" s="4"/>
      <c r="GX1655" s="4"/>
      <c r="GY1655" s="4"/>
      <c r="GZ1655" s="4"/>
      <c r="HA1655" s="4"/>
      <c r="HB1655" s="4"/>
      <c r="HC1655" s="4"/>
      <c r="HD1655" s="4"/>
      <c r="HE1655" s="4"/>
    </row>
    <row r="1656">
      <c r="A1656" s="2" t="s">
        <v>8275</v>
      </c>
      <c r="B1656" s="2" t="s">
        <v>223</v>
      </c>
      <c r="C1656" s="2" t="s">
        <v>731</v>
      </c>
      <c r="D1656" s="2" t="s">
        <v>1407</v>
      </c>
      <c r="E1656" s="2" t="s">
        <v>3636</v>
      </c>
      <c r="F1656" s="2" t="s">
        <v>8263</v>
      </c>
      <c r="G1656" s="2" t="s">
        <v>8263</v>
      </c>
      <c r="H1656" s="2" t="s">
        <v>8263</v>
      </c>
      <c r="I1656" s="2" t="s">
        <v>8264</v>
      </c>
      <c r="J1656" s="2" t="s">
        <v>294</v>
      </c>
      <c r="K1656" s="2" t="s">
        <v>829</v>
      </c>
      <c r="L1656" s="3">
        <v>100</v>
      </c>
      <c r="M1656" s="3">
        <v>105</v>
      </c>
      <c r="N1656" s="3">
        <v>209.99</v>
      </c>
      <c r="O1656" s="2" t="s">
        <v>240</v>
      </c>
      <c r="P1656" s="2" t="s">
        <v>266</v>
      </c>
      <c r="Q1656" s="2" t="s">
        <v>234</v>
      </c>
      <c r="R1656" s="2" t="s">
        <v>228</v>
      </c>
      <c r="S1656" s="2" t="s">
        <v>8273</v>
      </c>
      <c r="T1656" s="2" t="s">
        <v>3112</v>
      </c>
      <c r="U1656" s="2" t="s">
        <v>416</v>
      </c>
      <c r="V1656" s="2" t="s">
        <v>236</v>
      </c>
      <c r="W1656" s="2" t="s">
        <v>269</v>
      </c>
      <c r="X1656" s="2" t="s">
        <v>228</v>
      </c>
      <c r="Y1656" s="2" t="s">
        <v>7683</v>
      </c>
      <c r="Z1656" s="4"/>
      <c r="AA1656" s="4">
        <f>=ROUNDDOWN({0},0)</f>
      </c>
      <c r="AB1656" s="5">
        <v>18</v>
      </c>
      <c r="AC1656" s="2" t="s">
        <v>155</v>
      </c>
      <c r="AD1656" s="4">
        <v>150</v>
      </c>
      <c r="AE1656" s="4">
        <v>550</v>
      </c>
      <c r="AF1656" s="6">
        <v>65</v>
      </c>
      <c r="AG1656" s="6"/>
      <c r="AH1656" s="7">
        <v>0</v>
      </c>
      <c r="AI1656" s="4"/>
      <c r="AJ1656" s="4">
        <f>=ROUNDDOWN({0},0)</f>
      </c>
      <c r="AK1656" s="5"/>
      <c r="AL1656" s="2" t="s">
        <v>228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228</v>
      </c>
      <c r="AW1656" s="8" t="s">
        <v>228</v>
      </c>
      <c r="AX1656" s="4" t="s">
        <v>228</v>
      </c>
      <c r="AY1656" s="8" t="s">
        <v>228</v>
      </c>
      <c r="AZ1656" s="7" t="s">
        <v>228</v>
      </c>
      <c r="BA1656" s="7" t="s">
        <v>228</v>
      </c>
      <c r="BB1656" s="7"/>
      <c r="BC1656" s="4" t="s">
        <v>228</v>
      </c>
      <c r="BD1656" s="8" t="s">
        <v>228</v>
      </c>
      <c r="BE1656" s="4" t="s">
        <v>228</v>
      </c>
      <c r="BF1656" s="8" t="s">
        <v>228</v>
      </c>
      <c r="BG1656" s="7" t="s">
        <v>228</v>
      </c>
      <c r="BH1656" s="7" t="s">
        <v>228</v>
      </c>
      <c r="BI1656" s="7"/>
      <c r="BJ1656" s="4"/>
      <c r="BK1656" s="8"/>
      <c r="BL1656" s="2" t="s">
        <v>228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8276</v>
      </c>
      <c r="BV1656" s="2" t="s">
        <v>228</v>
      </c>
      <c r="BW1656" s="2" t="s">
        <v>228</v>
      </c>
      <c r="BX1656" s="2" t="s">
        <v>273</v>
      </c>
      <c r="BY1656" s="2" t="s">
        <v>274</v>
      </c>
      <c r="BZ1656" s="2" t="s">
        <v>240</v>
      </c>
      <c r="CA1656" s="2" t="s">
        <v>3414</v>
      </c>
      <c r="CB1656" s="2" t="s">
        <v>3567</v>
      </c>
      <c r="CC1656" s="2" t="s">
        <v>241</v>
      </c>
      <c r="CD1656" s="2" t="s">
        <v>228</v>
      </c>
      <c r="CE1656" s="4"/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>
        <v>150</v>
      </c>
      <c r="ER1656" s="4"/>
      <c r="ES1656" s="4"/>
      <c r="ET1656" s="4"/>
      <c r="EU1656" s="4"/>
      <c r="EV1656" s="4">
        <v>150</v>
      </c>
      <c r="EW1656" s="4"/>
      <c r="EX1656" s="4"/>
      <c r="EY1656" s="4"/>
      <c r="EZ1656" s="4"/>
      <c r="FA1656" s="4"/>
      <c r="FB1656" s="4"/>
      <c r="FC1656" s="4"/>
      <c r="FD1656" s="4"/>
      <c r="FE1656" s="4"/>
      <c r="FF1656" s="4"/>
      <c r="FG1656" s="4"/>
      <c r="FH1656" s="4"/>
      <c r="FI1656" s="4"/>
      <c r="FJ1656" s="4"/>
      <c r="FK1656" s="4"/>
      <c r="FL1656" s="4"/>
      <c r="FM1656" s="4"/>
      <c r="FN1656" s="4"/>
      <c r="FO1656" s="4"/>
      <c r="FP1656" s="4"/>
      <c r="FQ1656" s="4">
        <v>150</v>
      </c>
      <c r="FR1656" s="4"/>
      <c r="FS1656" s="4"/>
      <c r="FT1656" s="4"/>
      <c r="FU1656" s="4"/>
      <c r="FV1656" s="4"/>
      <c r="FW1656" s="4">
        <v>100</v>
      </c>
      <c r="FX1656" s="4"/>
      <c r="FY1656" s="4"/>
      <c r="FZ1656" s="4"/>
      <c r="GA1656" s="4"/>
      <c r="GB1656" s="4"/>
      <c r="GC1656" s="4"/>
      <c r="GD1656" s="4"/>
      <c r="GE1656" s="4"/>
      <c r="GF1656" s="4"/>
      <c r="GG1656" s="4"/>
      <c r="GH1656" s="4"/>
      <c r="GI1656" s="4"/>
      <c r="GJ1656" s="4"/>
      <c r="GK1656" s="4"/>
      <c r="GL1656" s="4"/>
      <c r="GM1656" s="4"/>
      <c r="GN1656" s="4"/>
      <c r="GO1656" s="4"/>
      <c r="GP1656" s="4"/>
      <c r="GQ1656" s="4"/>
      <c r="GR1656" s="4"/>
      <c r="GS1656" s="4"/>
      <c r="GT1656" s="4"/>
      <c r="GU1656" s="4"/>
      <c r="GV1656" s="4"/>
      <c r="GW1656" s="4"/>
      <c r="GX1656" s="4"/>
      <c r="GY1656" s="4"/>
      <c r="GZ1656" s="4"/>
      <c r="HA1656" s="4"/>
      <c r="HB1656" s="4"/>
      <c r="HC1656" s="4"/>
      <c r="HD1656" s="4"/>
      <c r="HE1656" s="4"/>
    </row>
    <row r="1657">
      <c r="A1657" s="2" t="s">
        <v>8277</v>
      </c>
      <c r="B1657" s="2" t="s">
        <v>866</v>
      </c>
      <c r="C1657" s="2" t="s">
        <v>300</v>
      </c>
      <c r="D1657" s="2" t="s">
        <v>899</v>
      </c>
      <c r="E1657" s="2" t="s">
        <v>1891</v>
      </c>
      <c r="F1657" s="2" t="s">
        <v>8278</v>
      </c>
      <c r="G1657" s="2" t="s">
        <v>8278</v>
      </c>
      <c r="H1657" s="2" t="s">
        <v>8278</v>
      </c>
      <c r="I1657" s="2" t="s">
        <v>8279</v>
      </c>
      <c r="J1657" s="2" t="s">
        <v>840</v>
      </c>
      <c r="K1657" s="2" t="s">
        <v>316</v>
      </c>
      <c r="L1657" s="3">
        <v>31.35</v>
      </c>
      <c r="M1657" s="3">
        <v>32.92</v>
      </c>
      <c r="N1657" s="3">
        <v>69.99</v>
      </c>
      <c r="O1657" s="2" t="s">
        <v>491</v>
      </c>
      <c r="P1657" s="2" t="s">
        <v>333</v>
      </c>
      <c r="Q1657" s="2" t="s">
        <v>234</v>
      </c>
      <c r="R1657" s="2" t="s">
        <v>228</v>
      </c>
      <c r="S1657" s="2" t="s">
        <v>8280</v>
      </c>
      <c r="T1657" s="2" t="s">
        <v>228</v>
      </c>
      <c r="U1657" s="2" t="s">
        <v>416</v>
      </c>
      <c r="V1657" s="2" t="s">
        <v>1156</v>
      </c>
      <c r="W1657" s="2" t="s">
        <v>463</v>
      </c>
      <c r="X1657" s="2" t="s">
        <v>228</v>
      </c>
      <c r="Y1657" s="2" t="s">
        <v>562</v>
      </c>
      <c r="Z1657" s="4">
        <v>20</v>
      </c>
      <c r="AA1657" s="4">
        <f>=ROUNDDOWN(8.69565217391304,0)</f>
      </c>
      <c r="AB1657" s="5">
        <v>2.3</v>
      </c>
      <c r="AC1657" s="2" t="s">
        <v>228</v>
      </c>
      <c r="AD1657" s="4"/>
      <c r="AE1657" s="4"/>
      <c r="AF1657" s="6">
        <v>63</v>
      </c>
      <c r="AG1657" s="6"/>
      <c r="AH1657" s="7">
        <v>0.7742</v>
      </c>
      <c r="AI1657" s="4"/>
      <c r="AJ1657" s="4">
        <f>=ROUNDDOWN({0},0)</f>
      </c>
      <c r="AK1657" s="5"/>
      <c r="AL1657" s="2" t="s">
        <v>228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/>
      <c r="AW1657" s="8"/>
      <c r="AX1657" s="4"/>
      <c r="AY1657" s="8"/>
      <c r="AZ1657" s="7"/>
      <c r="BA1657" s="7"/>
      <c r="BB1657" s="7"/>
      <c r="BC1657" s="4"/>
      <c r="BD1657" s="8"/>
      <c r="BE1657" s="4"/>
      <c r="BF1657" s="8"/>
      <c r="BG1657" s="7"/>
      <c r="BH1657" s="7"/>
      <c r="BI1657" s="7"/>
      <c r="BJ1657" s="4">
        <v>2</v>
      </c>
      <c r="BK1657" s="8">
        <v>64</v>
      </c>
      <c r="BL1657" s="2" t="s">
        <v>8281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8282</v>
      </c>
      <c r="BV1657" s="2" t="s">
        <v>228</v>
      </c>
      <c r="BW1657" s="2" t="s">
        <v>228</v>
      </c>
      <c r="BX1657" s="2" t="s">
        <v>337</v>
      </c>
      <c r="BY1657" s="2" t="s">
        <v>274</v>
      </c>
      <c r="BZ1657" s="2" t="s">
        <v>240</v>
      </c>
      <c r="CA1657" s="2" t="s">
        <v>562</v>
      </c>
      <c r="CB1657" s="2" t="s">
        <v>320</v>
      </c>
      <c r="CC1657" s="2" t="s">
        <v>241</v>
      </c>
      <c r="CD1657" s="2" t="s">
        <v>228</v>
      </c>
      <c r="CE1657" s="4"/>
      <c r="CF1657" s="4">
        <v>20</v>
      </c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/>
      <c r="FD1657" s="4"/>
      <c r="FE1657" s="4"/>
      <c r="FF1657" s="4"/>
      <c r="FG1657" s="4"/>
      <c r="FH1657" s="4"/>
      <c r="FI1657" s="4"/>
      <c r="FJ1657" s="4"/>
      <c r="FK1657" s="4"/>
      <c r="FL1657" s="4"/>
      <c r="FM1657" s="4"/>
      <c r="FN1657" s="4"/>
      <c r="FO1657" s="4"/>
      <c r="FP1657" s="4"/>
      <c r="FQ1657" s="4"/>
      <c r="FR1657" s="4"/>
      <c r="FS1657" s="4"/>
      <c r="FT1657" s="4"/>
      <c r="FU1657" s="4"/>
      <c r="FV1657" s="4"/>
      <c r="FW1657" s="4"/>
      <c r="FX1657" s="4"/>
      <c r="FY1657" s="4"/>
      <c r="FZ1657" s="4"/>
      <c r="GA1657" s="4"/>
      <c r="GB1657" s="4"/>
      <c r="GC1657" s="4"/>
      <c r="GD1657" s="4"/>
      <c r="GE1657" s="4"/>
      <c r="GF1657" s="4"/>
      <c r="GG1657" s="4"/>
      <c r="GH1657" s="4"/>
      <c r="GI1657" s="4"/>
      <c r="GJ1657" s="4"/>
      <c r="GK1657" s="4"/>
      <c r="GL1657" s="4"/>
      <c r="GM1657" s="4"/>
      <c r="GN1657" s="4"/>
      <c r="GO1657" s="4"/>
      <c r="GP1657" s="4"/>
      <c r="GQ1657" s="4"/>
      <c r="GR1657" s="4"/>
      <c r="GS1657" s="4"/>
      <c r="GT1657" s="4"/>
      <c r="GU1657" s="4"/>
      <c r="GV1657" s="4"/>
      <c r="GW1657" s="4"/>
      <c r="GX1657" s="4"/>
      <c r="GY1657" s="4"/>
      <c r="GZ1657" s="4"/>
      <c r="HA1657" s="4"/>
      <c r="HB1657" s="4"/>
      <c r="HC1657" s="4"/>
      <c r="HD1657" s="4"/>
      <c r="HE1657" s="4"/>
    </row>
    <row r="1658">
      <c r="A1658" s="2" t="s">
        <v>8283</v>
      </c>
      <c r="B1658" s="2" t="s">
        <v>1150</v>
      </c>
      <c r="C1658" s="2" t="s">
        <v>835</v>
      </c>
      <c r="D1658" s="2" t="s">
        <v>1112</v>
      </c>
      <c r="E1658" s="2" t="s">
        <v>1113</v>
      </c>
      <c r="F1658" s="2" t="s">
        <v>4449</v>
      </c>
      <c r="G1658" s="2" t="s">
        <v>4449</v>
      </c>
      <c r="H1658" s="2" t="s">
        <v>4449</v>
      </c>
      <c r="I1658" s="2" t="s">
        <v>8284</v>
      </c>
      <c r="J1658" s="2" t="s">
        <v>1189</v>
      </c>
      <c r="K1658" s="2" t="s">
        <v>1827</v>
      </c>
      <c r="L1658" s="3">
        <v>59.85</v>
      </c>
      <c r="M1658" s="3">
        <v>62.84</v>
      </c>
      <c r="N1658" s="3">
        <v>129.99</v>
      </c>
      <c r="O1658" s="2" t="s">
        <v>240</v>
      </c>
      <c r="P1658" s="2" t="s">
        <v>333</v>
      </c>
      <c r="Q1658" s="2" t="s">
        <v>234</v>
      </c>
      <c r="R1658" s="2" t="s">
        <v>228</v>
      </c>
      <c r="S1658" s="2" t="s">
        <v>8285</v>
      </c>
      <c r="T1658" s="2" t="s">
        <v>350</v>
      </c>
      <c r="U1658" s="2" t="s">
        <v>500</v>
      </c>
      <c r="V1658" s="2" t="s">
        <v>3007</v>
      </c>
      <c r="W1658" s="2" t="s">
        <v>2472</v>
      </c>
      <c r="X1658" s="2" t="s">
        <v>1761</v>
      </c>
      <c r="Y1658" s="2" t="s">
        <v>6080</v>
      </c>
      <c r="Z1658" s="4">
        <v>199</v>
      </c>
      <c r="AA1658" s="4">
        <f>=ROUNDDOWN(39.8,0)</f>
      </c>
      <c r="AB1658" s="5">
        <v>5</v>
      </c>
      <c r="AC1658" s="2" t="s">
        <v>228</v>
      </c>
      <c r="AD1658" s="4"/>
      <c r="AE1658" s="4"/>
      <c r="AF1658" s="6">
        <v>66</v>
      </c>
      <c r="AG1658" s="6"/>
      <c r="AH1658" s="7">
        <v>1</v>
      </c>
      <c r="AI1658" s="4"/>
      <c r="AJ1658" s="4">
        <f>=ROUNDDOWN({0},0)</f>
      </c>
      <c r="AK1658" s="5"/>
      <c r="AL1658" s="2" t="s">
        <v>228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 t="s">
        <v>228</v>
      </c>
      <c r="AW1658" s="8" t="s">
        <v>228</v>
      </c>
      <c r="AX1658" s="4" t="s">
        <v>228</v>
      </c>
      <c r="AY1658" s="8" t="s">
        <v>228</v>
      </c>
      <c r="AZ1658" s="7" t="s">
        <v>228</v>
      </c>
      <c r="BA1658" s="7" t="s">
        <v>228</v>
      </c>
      <c r="BB1658" s="7" t="s">
        <v>228</v>
      </c>
      <c r="BC1658" s="4" t="s">
        <v>228</v>
      </c>
      <c r="BD1658" s="8" t="s">
        <v>228</v>
      </c>
      <c r="BE1658" s="4" t="s">
        <v>228</v>
      </c>
      <c r="BF1658" s="8" t="s">
        <v>228</v>
      </c>
      <c r="BG1658" s="7" t="s">
        <v>228</v>
      </c>
      <c r="BH1658" s="7" t="s">
        <v>228</v>
      </c>
      <c r="BI1658" s="7"/>
      <c r="BJ1658" s="4">
        <v>2</v>
      </c>
      <c r="BK1658" s="8">
        <v>100.58</v>
      </c>
      <c r="BL1658" s="2" t="s">
        <v>690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8286</v>
      </c>
      <c r="BV1658" s="2" t="s">
        <v>228</v>
      </c>
      <c r="BW1658" s="2" t="s">
        <v>228</v>
      </c>
      <c r="BX1658" s="2" t="s">
        <v>337</v>
      </c>
      <c r="BY1658" s="2" t="s">
        <v>274</v>
      </c>
      <c r="BZ1658" s="2" t="s">
        <v>240</v>
      </c>
      <c r="CA1658" s="2" t="s">
        <v>8287</v>
      </c>
      <c r="CB1658" s="2" t="s">
        <v>2540</v>
      </c>
      <c r="CC1658" s="2" t="s">
        <v>241</v>
      </c>
      <c r="CD1658" s="2" t="s">
        <v>228</v>
      </c>
      <c r="CE1658" s="4">
        <v>199</v>
      </c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/>
      <c r="EU1658" s="4"/>
      <c r="EV1658" s="4"/>
      <c r="EW1658" s="4"/>
      <c r="EX1658" s="4"/>
      <c r="EY1658" s="4"/>
      <c r="EZ1658" s="4"/>
      <c r="FA1658" s="4"/>
      <c r="FB1658" s="4"/>
      <c r="FC1658" s="4"/>
      <c r="FD1658" s="4"/>
      <c r="FE1658" s="4"/>
      <c r="FF1658" s="4"/>
      <c r="FG1658" s="4"/>
      <c r="FH1658" s="4"/>
      <c r="FI1658" s="4"/>
      <c r="FJ1658" s="4"/>
      <c r="FK1658" s="4"/>
      <c r="FL1658" s="4"/>
      <c r="FM1658" s="4"/>
      <c r="FN1658" s="4"/>
      <c r="FO1658" s="4"/>
      <c r="FP1658" s="4"/>
      <c r="FQ1658" s="4"/>
      <c r="FR1658" s="4"/>
      <c r="FS1658" s="4"/>
      <c r="FT1658" s="4"/>
      <c r="FU1658" s="4"/>
      <c r="FV1658" s="4"/>
      <c r="FW1658" s="4"/>
      <c r="FX1658" s="4"/>
      <c r="FY1658" s="4"/>
      <c r="FZ1658" s="4"/>
      <c r="GA1658" s="4"/>
      <c r="GB1658" s="4"/>
      <c r="GC1658" s="4"/>
      <c r="GD1658" s="4"/>
      <c r="GE1658" s="4"/>
      <c r="GF1658" s="4"/>
      <c r="GG1658" s="4"/>
      <c r="GH1658" s="4"/>
      <c r="GI1658" s="4"/>
      <c r="GJ1658" s="4"/>
      <c r="GK1658" s="4"/>
      <c r="GL1658" s="4"/>
      <c r="GM1658" s="4"/>
      <c r="GN1658" s="4"/>
      <c r="GO1658" s="4"/>
      <c r="GP1658" s="4"/>
      <c r="GQ1658" s="4"/>
      <c r="GR1658" s="4"/>
      <c r="GS1658" s="4"/>
      <c r="GT1658" s="4"/>
      <c r="GU1658" s="4"/>
      <c r="GV1658" s="4"/>
      <c r="GW1658" s="4"/>
      <c r="GX1658" s="4"/>
      <c r="GY1658" s="4"/>
      <c r="GZ1658" s="4"/>
      <c r="HA1658" s="4"/>
      <c r="HB1658" s="4"/>
      <c r="HC1658" s="4"/>
      <c r="HD1658" s="4"/>
      <c r="HE1658" s="4"/>
    </row>
    <row r="1659">
      <c r="A1659" s="2" t="s">
        <v>8288</v>
      </c>
      <c r="B1659" s="2" t="s">
        <v>1150</v>
      </c>
      <c r="C1659" s="2" t="s">
        <v>835</v>
      </c>
      <c r="D1659" s="2" t="s">
        <v>850</v>
      </c>
      <c r="E1659" s="2" t="s">
        <v>1038</v>
      </c>
      <c r="F1659" s="2" t="s">
        <v>4449</v>
      </c>
      <c r="G1659" s="2" t="s">
        <v>4449</v>
      </c>
      <c r="H1659" s="2" t="s">
        <v>4449</v>
      </c>
      <c r="I1659" s="2" t="s">
        <v>8289</v>
      </c>
      <c r="J1659" s="2" t="s">
        <v>1189</v>
      </c>
      <c r="K1659" s="2" t="s">
        <v>1827</v>
      </c>
      <c r="L1659" s="3">
        <v>51.3</v>
      </c>
      <c r="M1659" s="3">
        <v>53.86</v>
      </c>
      <c r="N1659" s="3">
        <v>109.99</v>
      </c>
      <c r="O1659" s="2" t="s">
        <v>240</v>
      </c>
      <c r="P1659" s="2" t="s">
        <v>333</v>
      </c>
      <c r="Q1659" s="2" t="s">
        <v>234</v>
      </c>
      <c r="R1659" s="2" t="s">
        <v>228</v>
      </c>
      <c r="S1659" s="2" t="s">
        <v>8285</v>
      </c>
      <c r="T1659" s="2" t="s">
        <v>350</v>
      </c>
      <c r="U1659" s="2" t="s">
        <v>500</v>
      </c>
      <c r="V1659" s="2" t="s">
        <v>3007</v>
      </c>
      <c r="W1659" s="2" t="s">
        <v>2472</v>
      </c>
      <c r="X1659" s="2" t="s">
        <v>1761</v>
      </c>
      <c r="Y1659" s="2" t="s">
        <v>6080</v>
      </c>
      <c r="Z1659" s="4">
        <v>101</v>
      </c>
      <c r="AA1659" s="4">
        <f>=ROUNDDOWN(33.6666666666667,0)</f>
      </c>
      <c r="AB1659" s="5">
        <v>3</v>
      </c>
      <c r="AC1659" s="2" t="s">
        <v>228</v>
      </c>
      <c r="AD1659" s="4"/>
      <c r="AE1659" s="4"/>
      <c r="AF1659" s="6">
        <v>66</v>
      </c>
      <c r="AG1659" s="6"/>
      <c r="AH1659" s="7">
        <v>1</v>
      </c>
      <c r="AI1659" s="4"/>
      <c r="AJ1659" s="4">
        <f>=ROUNDDOWN({0},0)</f>
      </c>
      <c r="AK1659" s="5"/>
      <c r="AL1659" s="2" t="s">
        <v>228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 t="s">
        <v>228</v>
      </c>
      <c r="AW1659" s="8" t="s">
        <v>228</v>
      </c>
      <c r="AX1659" s="4" t="s">
        <v>228</v>
      </c>
      <c r="AY1659" s="8" t="s">
        <v>228</v>
      </c>
      <c r="AZ1659" s="7" t="s">
        <v>228</v>
      </c>
      <c r="BA1659" s="7" t="s">
        <v>228</v>
      </c>
      <c r="BB1659" s="7" t="s">
        <v>228</v>
      </c>
      <c r="BC1659" s="4" t="s">
        <v>228</v>
      </c>
      <c r="BD1659" s="8" t="s">
        <v>228</v>
      </c>
      <c r="BE1659" s="4" t="s">
        <v>228</v>
      </c>
      <c r="BF1659" s="8" t="s">
        <v>228</v>
      </c>
      <c r="BG1659" s="7" t="s">
        <v>228</v>
      </c>
      <c r="BH1659" s="7" t="s">
        <v>228</v>
      </c>
      <c r="BI1659" s="7"/>
      <c r="BJ1659" s="4">
        <v>2</v>
      </c>
      <c r="BK1659" s="8">
        <v>118</v>
      </c>
      <c r="BL1659" s="2" t="s">
        <v>727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8290</v>
      </c>
      <c r="BV1659" s="2" t="s">
        <v>228</v>
      </c>
      <c r="BW1659" s="2" t="s">
        <v>228</v>
      </c>
      <c r="BX1659" s="2" t="s">
        <v>337</v>
      </c>
      <c r="BY1659" s="2" t="s">
        <v>274</v>
      </c>
      <c r="BZ1659" s="2" t="s">
        <v>240</v>
      </c>
      <c r="CA1659" s="2" t="s">
        <v>511</v>
      </c>
      <c r="CB1659" s="2" t="s">
        <v>1542</v>
      </c>
      <c r="CC1659" s="2" t="s">
        <v>241</v>
      </c>
      <c r="CD1659" s="2" t="s">
        <v>228</v>
      </c>
      <c r="CE1659" s="4">
        <v>101</v>
      </c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/>
      <c r="FB1659" s="4"/>
      <c r="FC1659" s="4"/>
      <c r="FD1659" s="4"/>
      <c r="FE1659" s="4"/>
      <c r="FF1659" s="4"/>
      <c r="FG1659" s="4"/>
      <c r="FH1659" s="4"/>
      <c r="FI1659" s="4"/>
      <c r="FJ1659" s="4"/>
      <c r="FK1659" s="4"/>
      <c r="FL1659" s="4"/>
      <c r="FM1659" s="4"/>
      <c r="FN1659" s="4"/>
      <c r="FO1659" s="4"/>
      <c r="FP1659" s="4"/>
      <c r="FQ1659" s="4"/>
      <c r="FR1659" s="4"/>
      <c r="FS1659" s="4"/>
      <c r="FT1659" s="4"/>
      <c r="FU1659" s="4"/>
      <c r="FV1659" s="4"/>
      <c r="FW1659" s="4"/>
      <c r="FX1659" s="4"/>
      <c r="FY1659" s="4"/>
      <c r="FZ1659" s="4"/>
      <c r="GA1659" s="4"/>
      <c r="GB1659" s="4"/>
      <c r="GC1659" s="4"/>
      <c r="GD1659" s="4"/>
      <c r="GE1659" s="4"/>
      <c r="GF1659" s="4"/>
      <c r="GG1659" s="4"/>
      <c r="GH1659" s="4"/>
      <c r="GI1659" s="4"/>
      <c r="GJ1659" s="4"/>
      <c r="GK1659" s="4"/>
      <c r="GL1659" s="4"/>
      <c r="GM1659" s="4"/>
      <c r="GN1659" s="4"/>
      <c r="GO1659" s="4"/>
      <c r="GP1659" s="4"/>
      <c r="GQ1659" s="4"/>
      <c r="GR1659" s="4"/>
      <c r="GS1659" s="4"/>
      <c r="GT1659" s="4"/>
      <c r="GU1659" s="4"/>
      <c r="GV1659" s="4"/>
      <c r="GW1659" s="4"/>
      <c r="GX1659" s="4"/>
      <c r="GY1659" s="4"/>
      <c r="GZ1659" s="4"/>
      <c r="HA1659" s="4"/>
      <c r="HB1659" s="4"/>
      <c r="HC1659" s="4"/>
      <c r="HD1659" s="4"/>
      <c r="HE1659" s="4"/>
    </row>
    <row r="1660">
      <c r="A1660" s="2" t="s">
        <v>8291</v>
      </c>
      <c r="B1660" s="2" t="s">
        <v>1150</v>
      </c>
      <c r="C1660" s="2" t="s">
        <v>835</v>
      </c>
      <c r="D1660" s="2" t="s">
        <v>850</v>
      </c>
      <c r="E1660" s="2" t="s">
        <v>1038</v>
      </c>
      <c r="F1660" s="2" t="s">
        <v>4449</v>
      </c>
      <c r="G1660" s="2" t="s">
        <v>4449</v>
      </c>
      <c r="H1660" s="2" t="s">
        <v>4449</v>
      </c>
      <c r="I1660" s="2" t="s">
        <v>8289</v>
      </c>
      <c r="J1660" s="2" t="s">
        <v>1043</v>
      </c>
      <c r="K1660" s="2" t="s">
        <v>1827</v>
      </c>
      <c r="L1660" s="3">
        <v>65.55</v>
      </c>
      <c r="M1660" s="3">
        <v>68.83</v>
      </c>
      <c r="N1660" s="3">
        <v>139.99</v>
      </c>
      <c r="O1660" s="2" t="s">
        <v>240</v>
      </c>
      <c r="P1660" s="2" t="s">
        <v>333</v>
      </c>
      <c r="Q1660" s="2" t="s">
        <v>234</v>
      </c>
      <c r="R1660" s="2" t="s">
        <v>228</v>
      </c>
      <c r="S1660" s="2" t="s">
        <v>8285</v>
      </c>
      <c r="T1660" s="2" t="s">
        <v>350</v>
      </c>
      <c r="U1660" s="2" t="s">
        <v>500</v>
      </c>
      <c r="V1660" s="2" t="s">
        <v>3007</v>
      </c>
      <c r="W1660" s="2" t="s">
        <v>2472</v>
      </c>
      <c r="X1660" s="2" t="s">
        <v>1761</v>
      </c>
      <c r="Y1660" s="2" t="s">
        <v>6080</v>
      </c>
      <c r="Z1660" s="4">
        <v>159</v>
      </c>
      <c r="AA1660" s="4">
        <f>=ROUNDDOWN(159,0)</f>
      </c>
      <c r="AB1660" s="5">
        <v>1</v>
      </c>
      <c r="AC1660" s="2" t="s">
        <v>228</v>
      </c>
      <c r="AD1660" s="4"/>
      <c r="AE1660" s="4"/>
      <c r="AF1660" s="6">
        <v>66</v>
      </c>
      <c r="AG1660" s="6"/>
      <c r="AH1660" s="7">
        <v>1</v>
      </c>
      <c r="AI1660" s="4"/>
      <c r="AJ1660" s="4">
        <f>=ROUNDDOWN({0},0)</f>
      </c>
      <c r="AK1660" s="5"/>
      <c r="AL1660" s="2" t="s">
        <v>228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 t="s">
        <v>228</v>
      </c>
      <c r="AW1660" s="8" t="s">
        <v>228</v>
      </c>
      <c r="AX1660" s="4" t="s">
        <v>228</v>
      </c>
      <c r="AY1660" s="8" t="s">
        <v>228</v>
      </c>
      <c r="AZ1660" s="7" t="s">
        <v>228</v>
      </c>
      <c r="BA1660" s="7" t="s">
        <v>228</v>
      </c>
      <c r="BB1660" s="7"/>
      <c r="BC1660" s="4" t="s">
        <v>228</v>
      </c>
      <c r="BD1660" s="8" t="s">
        <v>228</v>
      </c>
      <c r="BE1660" s="4" t="s">
        <v>228</v>
      </c>
      <c r="BF1660" s="8" t="s">
        <v>228</v>
      </c>
      <c r="BG1660" s="7" t="s">
        <v>228</v>
      </c>
      <c r="BH1660" s="7" t="s">
        <v>228</v>
      </c>
      <c r="BI1660" s="7"/>
      <c r="BJ1660" s="4">
        <v>2</v>
      </c>
      <c r="BK1660" s="8">
        <v>150.76</v>
      </c>
      <c r="BL1660" s="2" t="s">
        <v>727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8292</v>
      </c>
      <c r="BV1660" s="2" t="s">
        <v>228</v>
      </c>
      <c r="BW1660" s="2" t="s">
        <v>228</v>
      </c>
      <c r="BX1660" s="2" t="s">
        <v>337</v>
      </c>
      <c r="BY1660" s="2" t="s">
        <v>274</v>
      </c>
      <c r="BZ1660" s="2" t="s">
        <v>240</v>
      </c>
      <c r="CA1660" s="2" t="s">
        <v>511</v>
      </c>
      <c r="CB1660" s="2" t="s">
        <v>228</v>
      </c>
      <c r="CC1660" s="2" t="s">
        <v>241</v>
      </c>
      <c r="CD1660" s="2" t="s">
        <v>228</v>
      </c>
      <c r="CE1660" s="4">
        <v>159</v>
      </c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4"/>
      <c r="FF1660" s="4"/>
      <c r="FG1660" s="4"/>
      <c r="FH1660" s="4"/>
      <c r="FI1660" s="4"/>
      <c r="FJ1660" s="4"/>
      <c r="FK1660" s="4"/>
      <c r="FL1660" s="4"/>
      <c r="FM1660" s="4"/>
      <c r="FN1660" s="4"/>
      <c r="FO1660" s="4"/>
      <c r="FP1660" s="4"/>
      <c r="FQ1660" s="4"/>
      <c r="FR1660" s="4"/>
      <c r="FS1660" s="4"/>
      <c r="FT1660" s="4"/>
      <c r="FU1660" s="4"/>
      <c r="FV1660" s="4"/>
      <c r="FW1660" s="4"/>
      <c r="FX1660" s="4"/>
      <c r="FY1660" s="4"/>
      <c r="FZ1660" s="4"/>
      <c r="GA1660" s="4"/>
      <c r="GB1660" s="4"/>
      <c r="GC1660" s="4"/>
      <c r="GD1660" s="4"/>
      <c r="GE1660" s="4"/>
      <c r="GF1660" s="4"/>
      <c r="GG1660" s="4"/>
      <c r="GH1660" s="4"/>
      <c r="GI1660" s="4"/>
      <c r="GJ1660" s="4"/>
      <c r="GK1660" s="4"/>
      <c r="GL1660" s="4"/>
      <c r="GM1660" s="4"/>
      <c r="GN1660" s="4"/>
      <c r="GO1660" s="4"/>
      <c r="GP1660" s="4"/>
      <c r="GQ1660" s="4"/>
      <c r="GR1660" s="4"/>
      <c r="GS1660" s="4"/>
      <c r="GT1660" s="4"/>
      <c r="GU1660" s="4"/>
      <c r="GV1660" s="4"/>
      <c r="GW1660" s="4"/>
      <c r="GX1660" s="4"/>
      <c r="GY1660" s="4"/>
      <c r="GZ1660" s="4"/>
      <c r="HA1660" s="4"/>
      <c r="HB1660" s="4"/>
      <c r="HC1660" s="4"/>
      <c r="HD1660" s="4"/>
      <c r="HE1660" s="4"/>
    </row>
    <row r="1661">
      <c r="A1661" s="2" t="s">
        <v>8293</v>
      </c>
      <c r="B1661" s="2" t="s">
        <v>834</v>
      </c>
      <c r="C1661" s="2" t="s">
        <v>835</v>
      </c>
      <c r="D1661" s="2" t="s">
        <v>8294</v>
      </c>
      <c r="E1661" s="2" t="s">
        <v>8295</v>
      </c>
      <c r="F1661" s="2" t="s">
        <v>8296</v>
      </c>
      <c r="G1661" s="2" t="s">
        <v>8296</v>
      </c>
      <c r="H1661" s="2" t="s">
        <v>8296</v>
      </c>
      <c r="I1661" s="2" t="s">
        <v>8297</v>
      </c>
      <c r="J1661" s="2" t="s">
        <v>840</v>
      </c>
      <c r="K1661" s="2" t="s">
        <v>1357</v>
      </c>
      <c r="L1661" s="3">
        <v>68.4</v>
      </c>
      <c r="M1661" s="3">
        <v>71.82</v>
      </c>
      <c r="N1661" s="3">
        <v>149.99</v>
      </c>
      <c r="O1661" s="2" t="s">
        <v>240</v>
      </c>
      <c r="P1661" s="2" t="s">
        <v>266</v>
      </c>
      <c r="Q1661" s="2" t="s">
        <v>234</v>
      </c>
      <c r="R1661" s="2" t="s">
        <v>228</v>
      </c>
      <c r="S1661" s="2" t="s">
        <v>228</v>
      </c>
      <c r="T1661" s="2" t="s">
        <v>228</v>
      </c>
      <c r="U1661" s="2" t="s">
        <v>416</v>
      </c>
      <c r="V1661" s="2" t="s">
        <v>842</v>
      </c>
      <c r="W1661" s="2" t="s">
        <v>351</v>
      </c>
      <c r="X1661" s="2" t="s">
        <v>269</v>
      </c>
      <c r="Y1661" s="2" t="s">
        <v>1291</v>
      </c>
      <c r="Z1661" s="4">
        <v>108</v>
      </c>
      <c r="AA1661" s="4">
        <f>=ROUNDDOWN(13.5,0)</f>
      </c>
      <c r="AB1661" s="5">
        <v>8</v>
      </c>
      <c r="AC1661" s="2" t="s">
        <v>190</v>
      </c>
      <c r="AD1661" s="4">
        <v>100</v>
      </c>
      <c r="AE1661" s="4">
        <v>100</v>
      </c>
      <c r="AF1661" s="6">
        <v>63</v>
      </c>
      <c r="AG1661" s="6"/>
      <c r="AH1661" s="7">
        <v>0.4839</v>
      </c>
      <c r="AI1661" s="4"/>
      <c r="AJ1661" s="4">
        <f>=ROUNDDOWN({0},0)</f>
      </c>
      <c r="AK1661" s="5"/>
      <c r="AL1661" s="2" t="s">
        <v>228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/>
      <c r="AW1661" s="8"/>
      <c r="AX1661" s="4"/>
      <c r="AY1661" s="8"/>
      <c r="AZ1661" s="7"/>
      <c r="BA1661" s="7"/>
      <c r="BB1661" s="7"/>
      <c r="BC1661" s="4"/>
      <c r="BD1661" s="8"/>
      <c r="BE1661" s="4"/>
      <c r="BF1661" s="8"/>
      <c r="BG1661" s="7"/>
      <c r="BH1661" s="7"/>
      <c r="BI1661" s="7"/>
      <c r="BJ1661" s="4">
        <v>8</v>
      </c>
      <c r="BK1661" s="8">
        <v>565.39</v>
      </c>
      <c r="BL1661" s="2" t="s">
        <v>1482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8298</v>
      </c>
      <c r="BV1661" s="2" t="s">
        <v>228</v>
      </c>
      <c r="BW1661" s="2" t="s">
        <v>228</v>
      </c>
      <c r="BX1661" s="2" t="s">
        <v>273</v>
      </c>
      <c r="BY1661" s="2" t="s">
        <v>274</v>
      </c>
      <c r="BZ1661" s="2" t="s">
        <v>240</v>
      </c>
      <c r="CA1661" s="2" t="s">
        <v>1293</v>
      </c>
      <c r="CB1661" s="2" t="s">
        <v>8299</v>
      </c>
      <c r="CC1661" s="2" t="s">
        <v>241</v>
      </c>
      <c r="CD1661" s="2" t="s">
        <v>228</v>
      </c>
      <c r="CE1661" s="4"/>
      <c r="CF1661" s="4">
        <v>108</v>
      </c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/>
      <c r="EZ1661" s="4"/>
      <c r="FA1661" s="4"/>
      <c r="FB1661" s="4"/>
      <c r="FC1661" s="4"/>
      <c r="FD1661" s="4"/>
      <c r="FE1661" s="4"/>
      <c r="FF1661" s="4"/>
      <c r="FG1661" s="4"/>
      <c r="FH1661" s="4"/>
      <c r="FI1661" s="4"/>
      <c r="FJ1661" s="4"/>
      <c r="FK1661" s="4"/>
      <c r="FL1661" s="4"/>
      <c r="FM1661" s="4"/>
      <c r="FN1661" s="4"/>
      <c r="FO1661" s="4"/>
      <c r="FP1661" s="4"/>
      <c r="FQ1661" s="4"/>
      <c r="FR1661" s="4"/>
      <c r="FS1661" s="4"/>
      <c r="FT1661" s="4"/>
      <c r="FU1661" s="4"/>
      <c r="FV1661" s="4"/>
      <c r="FW1661" s="4"/>
      <c r="FX1661" s="4"/>
      <c r="FY1661" s="4"/>
      <c r="FZ1661" s="4">
        <v>100</v>
      </c>
      <c r="GA1661" s="4"/>
      <c r="GB1661" s="4"/>
      <c r="GC1661" s="4"/>
      <c r="GD1661" s="4"/>
      <c r="GE1661" s="4"/>
      <c r="GF1661" s="4"/>
      <c r="GG1661" s="4"/>
      <c r="GH1661" s="4"/>
      <c r="GI1661" s="4"/>
      <c r="GJ1661" s="4"/>
      <c r="GK1661" s="4"/>
      <c r="GL1661" s="4"/>
      <c r="GM1661" s="4"/>
      <c r="GN1661" s="4"/>
      <c r="GO1661" s="4"/>
      <c r="GP1661" s="4"/>
      <c r="GQ1661" s="4"/>
      <c r="GR1661" s="4"/>
      <c r="GS1661" s="4"/>
      <c r="GT1661" s="4"/>
      <c r="GU1661" s="4"/>
      <c r="GV1661" s="4"/>
      <c r="GW1661" s="4"/>
      <c r="GX1661" s="4"/>
      <c r="GY1661" s="4"/>
      <c r="GZ1661" s="4"/>
      <c r="HA1661" s="4"/>
      <c r="HB1661" s="4"/>
      <c r="HC1661" s="4"/>
      <c r="HD1661" s="4"/>
      <c r="HE1661" s="4"/>
    </row>
    <row r="1662">
      <c r="A1662" s="2" t="s">
        <v>8300</v>
      </c>
      <c r="B1662" s="2" t="s">
        <v>1150</v>
      </c>
      <c r="C1662" s="2" t="s">
        <v>835</v>
      </c>
      <c r="D1662" s="2" t="s">
        <v>850</v>
      </c>
      <c r="E1662" s="2" t="s">
        <v>1038</v>
      </c>
      <c r="F1662" s="2" t="s">
        <v>8301</v>
      </c>
      <c r="G1662" s="2" t="s">
        <v>8301</v>
      </c>
      <c r="H1662" s="2" t="s">
        <v>8301</v>
      </c>
      <c r="I1662" s="2" t="s">
        <v>8302</v>
      </c>
      <c r="J1662" s="2" t="s">
        <v>1189</v>
      </c>
      <c r="K1662" s="2" t="s">
        <v>231</v>
      </c>
      <c r="L1662" s="3">
        <v>49.35</v>
      </c>
      <c r="M1662" s="3">
        <v>51.81</v>
      </c>
      <c r="N1662" s="3">
        <v>104.99</v>
      </c>
      <c r="O1662" s="2" t="s">
        <v>491</v>
      </c>
      <c r="P1662" s="2" t="s">
        <v>333</v>
      </c>
      <c r="Q1662" s="2" t="s">
        <v>234</v>
      </c>
      <c r="R1662" s="2" t="s">
        <v>228</v>
      </c>
      <c r="S1662" s="2" t="s">
        <v>8303</v>
      </c>
      <c r="T1662" s="2" t="s">
        <v>350</v>
      </c>
      <c r="U1662" s="2" t="s">
        <v>500</v>
      </c>
      <c r="V1662" s="2" t="s">
        <v>5029</v>
      </c>
      <c r="W1662" s="2" t="s">
        <v>2512</v>
      </c>
      <c r="X1662" s="2" t="s">
        <v>1761</v>
      </c>
      <c r="Y1662" s="2" t="s">
        <v>237</v>
      </c>
      <c r="Z1662" s="4">
        <v>117</v>
      </c>
      <c r="AA1662" s="4">
        <f>=ROUNDDOWN(234,0)</f>
      </c>
      <c r="AB1662" s="5">
        <v>0.5</v>
      </c>
      <c r="AC1662" s="2" t="s">
        <v>228</v>
      </c>
      <c r="AD1662" s="4"/>
      <c r="AE1662" s="4"/>
      <c r="AF1662" s="6">
        <v>67</v>
      </c>
      <c r="AG1662" s="6"/>
      <c r="AH1662" s="7">
        <v>0.6452</v>
      </c>
      <c r="AI1662" s="4"/>
      <c r="AJ1662" s="4">
        <f>=ROUNDDOWN({0},0)</f>
      </c>
      <c r="AK1662" s="5"/>
      <c r="AL1662" s="2" t="s">
        <v>228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 t="s">
        <v>228</v>
      </c>
      <c r="AW1662" s="8" t="s">
        <v>228</v>
      </c>
      <c r="AX1662" s="4" t="s">
        <v>228</v>
      </c>
      <c r="AY1662" s="8" t="s">
        <v>228</v>
      </c>
      <c r="AZ1662" s="7" t="s">
        <v>228</v>
      </c>
      <c r="BA1662" s="7" t="s">
        <v>228</v>
      </c>
      <c r="BB1662" s="7"/>
      <c r="BC1662" s="4" t="s">
        <v>228</v>
      </c>
      <c r="BD1662" s="8" t="s">
        <v>228</v>
      </c>
      <c r="BE1662" s="4" t="s">
        <v>228</v>
      </c>
      <c r="BF1662" s="8" t="s">
        <v>228</v>
      </c>
      <c r="BG1662" s="7" t="s">
        <v>228</v>
      </c>
      <c r="BH1662" s="7" t="s">
        <v>228</v>
      </c>
      <c r="BI1662" s="7"/>
      <c r="BJ1662" s="4">
        <v>1</v>
      </c>
      <c r="BK1662" s="8">
        <v>26.25</v>
      </c>
      <c r="BL1662" s="2" t="s">
        <v>8304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8305</v>
      </c>
      <c r="BV1662" s="2" t="s">
        <v>228</v>
      </c>
      <c r="BW1662" s="2" t="s">
        <v>228</v>
      </c>
      <c r="BX1662" s="2" t="s">
        <v>337</v>
      </c>
      <c r="BY1662" s="2" t="s">
        <v>274</v>
      </c>
      <c r="BZ1662" s="2" t="s">
        <v>240</v>
      </c>
      <c r="CA1662" s="2" t="s">
        <v>5642</v>
      </c>
      <c r="CB1662" s="2" t="s">
        <v>5794</v>
      </c>
      <c r="CC1662" s="2" t="s">
        <v>241</v>
      </c>
      <c r="CD1662" s="2" t="s">
        <v>228</v>
      </c>
      <c r="CE1662" s="4">
        <v>117</v>
      </c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/>
      <c r="EW1662" s="4"/>
      <c r="EX1662" s="4"/>
      <c r="EY1662" s="4"/>
      <c r="EZ1662" s="4"/>
      <c r="FA1662" s="4"/>
      <c r="FB1662" s="4"/>
      <c r="FC1662" s="4"/>
      <c r="FD1662" s="4"/>
      <c r="FE1662" s="4"/>
      <c r="FF1662" s="4"/>
      <c r="FG1662" s="4"/>
      <c r="FH1662" s="4"/>
      <c r="FI1662" s="4"/>
      <c r="FJ1662" s="4"/>
      <c r="FK1662" s="4"/>
      <c r="FL1662" s="4"/>
      <c r="FM1662" s="4"/>
      <c r="FN1662" s="4"/>
      <c r="FO1662" s="4"/>
      <c r="FP1662" s="4"/>
      <c r="FQ1662" s="4"/>
      <c r="FR1662" s="4"/>
      <c r="FS1662" s="4"/>
      <c r="FT1662" s="4"/>
      <c r="FU1662" s="4"/>
      <c r="FV1662" s="4"/>
      <c r="FW1662" s="4"/>
      <c r="FX1662" s="4"/>
      <c r="FY1662" s="4"/>
      <c r="FZ1662" s="4"/>
      <c r="GA1662" s="4"/>
      <c r="GB1662" s="4"/>
      <c r="GC1662" s="4"/>
      <c r="GD1662" s="4"/>
      <c r="GE1662" s="4"/>
      <c r="GF1662" s="4"/>
      <c r="GG1662" s="4"/>
      <c r="GH1662" s="4"/>
      <c r="GI1662" s="4"/>
      <c r="GJ1662" s="4"/>
      <c r="GK1662" s="4"/>
      <c r="GL1662" s="4"/>
      <c r="GM1662" s="4"/>
      <c r="GN1662" s="4"/>
      <c r="GO1662" s="4"/>
      <c r="GP1662" s="4"/>
      <c r="GQ1662" s="4"/>
      <c r="GR1662" s="4"/>
      <c r="GS1662" s="4"/>
      <c r="GT1662" s="4"/>
      <c r="GU1662" s="4"/>
      <c r="GV1662" s="4"/>
      <c r="GW1662" s="4"/>
      <c r="GX1662" s="4"/>
      <c r="GY1662" s="4"/>
      <c r="GZ1662" s="4"/>
      <c r="HA1662" s="4"/>
      <c r="HB1662" s="4"/>
      <c r="HC1662" s="4"/>
      <c r="HD1662" s="4"/>
      <c r="HE1662" s="4"/>
    </row>
    <row r="1663">
      <c r="A1663" s="2" t="s">
        <v>8306</v>
      </c>
      <c r="B1663" s="2" t="s">
        <v>1150</v>
      </c>
      <c r="C1663" s="2" t="s">
        <v>835</v>
      </c>
      <c r="D1663" s="2" t="s">
        <v>850</v>
      </c>
      <c r="E1663" s="2" t="s">
        <v>1038</v>
      </c>
      <c r="F1663" s="2" t="s">
        <v>8301</v>
      </c>
      <c r="G1663" s="2" t="s">
        <v>8301</v>
      </c>
      <c r="H1663" s="2" t="s">
        <v>8301</v>
      </c>
      <c r="I1663" s="2" t="s">
        <v>8302</v>
      </c>
      <c r="J1663" s="2" t="s">
        <v>1043</v>
      </c>
      <c r="K1663" s="2" t="s">
        <v>231</v>
      </c>
      <c r="L1663" s="3">
        <v>66.15</v>
      </c>
      <c r="M1663" s="3">
        <v>69.45</v>
      </c>
      <c r="N1663" s="3">
        <v>134.99</v>
      </c>
      <c r="O1663" s="2" t="s">
        <v>491</v>
      </c>
      <c r="P1663" s="2" t="s">
        <v>333</v>
      </c>
      <c r="Q1663" s="2" t="s">
        <v>234</v>
      </c>
      <c r="R1663" s="2" t="s">
        <v>228</v>
      </c>
      <c r="S1663" s="2" t="s">
        <v>8303</v>
      </c>
      <c r="T1663" s="2" t="s">
        <v>350</v>
      </c>
      <c r="U1663" s="2" t="s">
        <v>500</v>
      </c>
      <c r="V1663" s="2" t="s">
        <v>5029</v>
      </c>
      <c r="W1663" s="2" t="s">
        <v>2512</v>
      </c>
      <c r="X1663" s="2" t="s">
        <v>1761</v>
      </c>
      <c r="Y1663" s="2" t="s">
        <v>237</v>
      </c>
      <c r="Z1663" s="4">
        <v>109</v>
      </c>
      <c r="AA1663" s="4">
        <f>=ROUNDDOWN({0},0)</f>
      </c>
      <c r="AB1663" s="5"/>
      <c r="AC1663" s="2" t="s">
        <v>228</v>
      </c>
      <c r="AD1663" s="4"/>
      <c r="AE1663" s="4"/>
      <c r="AF1663" s="6">
        <v>67</v>
      </c>
      <c r="AG1663" s="6"/>
      <c r="AH1663" s="7">
        <v>0.6452</v>
      </c>
      <c r="AI1663" s="4"/>
      <c r="AJ1663" s="4">
        <f>=ROUNDDOWN({0},0)</f>
      </c>
      <c r="AK1663" s="5"/>
      <c r="AL1663" s="2" t="s">
        <v>228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 t="s">
        <v>228</v>
      </c>
      <c r="AW1663" s="8" t="s">
        <v>228</v>
      </c>
      <c r="AX1663" s="4" t="s">
        <v>228</v>
      </c>
      <c r="AY1663" s="8" t="s">
        <v>228</v>
      </c>
      <c r="AZ1663" s="7" t="s">
        <v>228</v>
      </c>
      <c r="BA1663" s="7" t="s">
        <v>228</v>
      </c>
      <c r="BB1663" s="7"/>
      <c r="BC1663" s="4" t="s">
        <v>228</v>
      </c>
      <c r="BD1663" s="8" t="s">
        <v>228</v>
      </c>
      <c r="BE1663" s="4" t="s">
        <v>228</v>
      </c>
      <c r="BF1663" s="8" t="s">
        <v>228</v>
      </c>
      <c r="BG1663" s="7" t="s">
        <v>228</v>
      </c>
      <c r="BH1663" s="7" t="s">
        <v>228</v>
      </c>
      <c r="BI1663" s="7"/>
      <c r="BJ1663" s="4"/>
      <c r="BK1663" s="8"/>
      <c r="BL1663" s="2" t="s">
        <v>8307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8308</v>
      </c>
      <c r="BV1663" s="2" t="s">
        <v>228</v>
      </c>
      <c r="BW1663" s="2" t="s">
        <v>228</v>
      </c>
      <c r="BX1663" s="2" t="s">
        <v>337</v>
      </c>
      <c r="BY1663" s="2" t="s">
        <v>274</v>
      </c>
      <c r="BZ1663" s="2" t="s">
        <v>240</v>
      </c>
      <c r="CA1663" s="2" t="s">
        <v>5642</v>
      </c>
      <c r="CB1663" s="2" t="s">
        <v>8309</v>
      </c>
      <c r="CC1663" s="2" t="s">
        <v>241</v>
      </c>
      <c r="CD1663" s="2" t="s">
        <v>228</v>
      </c>
      <c r="CE1663" s="4">
        <v>109</v>
      </c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/>
      <c r="EZ1663" s="4"/>
      <c r="FA1663" s="4"/>
      <c r="FB1663" s="4"/>
      <c r="FC1663" s="4"/>
      <c r="FD1663" s="4"/>
      <c r="FE1663" s="4"/>
      <c r="FF1663" s="4"/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/>
      <c r="FR1663" s="4"/>
      <c r="FS1663" s="4"/>
      <c r="FT1663" s="4"/>
      <c r="FU1663" s="4"/>
      <c r="FV1663" s="4"/>
      <c r="FW1663" s="4"/>
      <c r="FX1663" s="4"/>
      <c r="FY1663" s="4"/>
      <c r="FZ1663" s="4"/>
      <c r="GA1663" s="4"/>
      <c r="GB1663" s="4"/>
      <c r="GC1663" s="4"/>
      <c r="GD1663" s="4"/>
      <c r="GE1663" s="4"/>
      <c r="GF1663" s="4"/>
      <c r="GG1663" s="4"/>
      <c r="GH1663" s="4"/>
      <c r="GI1663" s="4"/>
      <c r="GJ1663" s="4"/>
      <c r="GK1663" s="4"/>
      <c r="GL1663" s="4"/>
      <c r="GM1663" s="4"/>
      <c r="GN1663" s="4"/>
      <c r="GO1663" s="4"/>
      <c r="GP1663" s="4"/>
      <c r="GQ1663" s="4"/>
      <c r="GR1663" s="4"/>
      <c r="GS1663" s="4"/>
      <c r="GT1663" s="4"/>
      <c r="GU1663" s="4"/>
      <c r="GV1663" s="4"/>
      <c r="GW1663" s="4"/>
      <c r="GX1663" s="4"/>
      <c r="GY1663" s="4"/>
      <c r="GZ1663" s="4"/>
      <c r="HA1663" s="4"/>
      <c r="HB1663" s="4"/>
      <c r="HC1663" s="4"/>
      <c r="HD1663" s="4"/>
      <c r="HE1663" s="4"/>
    </row>
    <row r="1664">
      <c r="A1664" s="2" t="s">
        <v>8310</v>
      </c>
      <c r="B1664" s="2" t="s">
        <v>958</v>
      </c>
      <c r="C1664" s="2" t="s">
        <v>835</v>
      </c>
      <c r="D1664" s="2" t="s">
        <v>2144</v>
      </c>
      <c r="E1664" s="2" t="s">
        <v>3272</v>
      </c>
      <c r="F1664" s="2" t="s">
        <v>8311</v>
      </c>
      <c r="G1664" s="2" t="s">
        <v>228</v>
      </c>
      <c r="H1664" s="2" t="s">
        <v>228</v>
      </c>
      <c r="I1664" s="2" t="s">
        <v>3272</v>
      </c>
      <c r="J1664" s="2" t="s">
        <v>840</v>
      </c>
      <c r="K1664" s="2" t="s">
        <v>316</v>
      </c>
      <c r="L1664" s="3">
        <v>99.75</v>
      </c>
      <c r="M1664" s="3">
        <v>104.74</v>
      </c>
      <c r="N1664" s="3">
        <v>199.99</v>
      </c>
      <c r="O1664" s="2" t="s">
        <v>461</v>
      </c>
      <c r="P1664" s="2" t="s">
        <v>333</v>
      </c>
      <c r="Q1664" s="2" t="s">
        <v>234</v>
      </c>
      <c r="R1664" s="2" t="s">
        <v>228</v>
      </c>
      <c r="S1664" s="2" t="s">
        <v>8312</v>
      </c>
      <c r="T1664" s="2" t="s">
        <v>228</v>
      </c>
      <c r="U1664" s="2" t="s">
        <v>228</v>
      </c>
      <c r="V1664" s="2" t="s">
        <v>236</v>
      </c>
      <c r="W1664" s="2" t="s">
        <v>417</v>
      </c>
      <c r="X1664" s="2" t="s">
        <v>228</v>
      </c>
      <c r="Y1664" s="2" t="s">
        <v>270</v>
      </c>
      <c r="Z1664" s="4">
        <v>69</v>
      </c>
      <c r="AA1664" s="4">
        <f>=ROUNDDOWN(138,0)</f>
      </c>
      <c r="AB1664" s="5">
        <v>0.5</v>
      </c>
      <c r="AC1664" s="2" t="s">
        <v>228</v>
      </c>
      <c r="AD1664" s="4"/>
      <c r="AE1664" s="4"/>
      <c r="AF1664" s="6">
        <v>65</v>
      </c>
      <c r="AG1664" s="6"/>
      <c r="AH1664" s="7">
        <v>1</v>
      </c>
      <c r="AI1664" s="4"/>
      <c r="AJ1664" s="4">
        <f>=ROUNDDOWN({0},0)</f>
      </c>
      <c r="AK1664" s="5"/>
      <c r="AL1664" s="2" t="s">
        <v>228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/>
      <c r="AW1664" s="8"/>
      <c r="AX1664" s="4"/>
      <c r="AY1664" s="8"/>
      <c r="AZ1664" s="7"/>
      <c r="BA1664" s="7"/>
      <c r="BB1664" s="7"/>
      <c r="BC1664" s="4"/>
      <c r="BD1664" s="8"/>
      <c r="BE1664" s="4"/>
      <c r="BF1664" s="8"/>
      <c r="BG1664" s="7"/>
      <c r="BH1664" s="7"/>
      <c r="BI1664" s="7"/>
      <c r="BJ1664" s="4">
        <v>2</v>
      </c>
      <c r="BK1664" s="8">
        <v>209.48</v>
      </c>
      <c r="BL1664" s="2" t="s">
        <v>995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8313</v>
      </c>
      <c r="BV1664" s="2" t="s">
        <v>228</v>
      </c>
      <c r="BW1664" s="2" t="s">
        <v>228</v>
      </c>
      <c r="BX1664" s="2" t="s">
        <v>337</v>
      </c>
      <c r="BY1664" s="2" t="s">
        <v>274</v>
      </c>
      <c r="BZ1664" s="2" t="s">
        <v>240</v>
      </c>
      <c r="CA1664" s="2" t="s">
        <v>7102</v>
      </c>
      <c r="CB1664" s="2" t="s">
        <v>324</v>
      </c>
      <c r="CC1664" s="2" t="s">
        <v>241</v>
      </c>
      <c r="CD1664" s="2" t="s">
        <v>228</v>
      </c>
      <c r="CE1664" s="4"/>
      <c r="CF1664" s="4">
        <v>69</v>
      </c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/>
      <c r="EU1664" s="4"/>
      <c r="EV1664" s="4"/>
      <c r="EW1664" s="4"/>
      <c r="EX1664" s="4"/>
      <c r="EY1664" s="4"/>
      <c r="EZ1664" s="4"/>
      <c r="FA1664" s="4"/>
      <c r="FB1664" s="4"/>
      <c r="FC1664" s="4"/>
      <c r="FD1664" s="4"/>
      <c r="FE1664" s="4"/>
      <c r="FF1664" s="4"/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/>
      <c r="FR1664" s="4"/>
      <c r="FS1664" s="4"/>
      <c r="FT1664" s="4"/>
      <c r="FU1664" s="4"/>
      <c r="FV1664" s="4"/>
      <c r="FW1664" s="4"/>
      <c r="FX1664" s="4"/>
      <c r="FY1664" s="4"/>
      <c r="FZ1664" s="4"/>
      <c r="GA1664" s="4"/>
      <c r="GB1664" s="4"/>
      <c r="GC1664" s="4"/>
      <c r="GD1664" s="4"/>
      <c r="GE1664" s="4"/>
      <c r="GF1664" s="4"/>
      <c r="GG1664" s="4"/>
      <c r="GH1664" s="4"/>
      <c r="GI1664" s="4"/>
      <c r="GJ1664" s="4"/>
      <c r="GK1664" s="4"/>
      <c r="GL1664" s="4"/>
      <c r="GM1664" s="4"/>
      <c r="GN1664" s="4"/>
      <c r="GO1664" s="4"/>
      <c r="GP1664" s="4"/>
      <c r="GQ1664" s="4"/>
      <c r="GR1664" s="4"/>
      <c r="GS1664" s="4"/>
      <c r="GT1664" s="4"/>
      <c r="GU1664" s="4"/>
      <c r="GV1664" s="4"/>
      <c r="GW1664" s="4"/>
      <c r="GX1664" s="4"/>
      <c r="GY1664" s="4"/>
      <c r="GZ1664" s="4"/>
      <c r="HA1664" s="4"/>
      <c r="HB1664" s="4"/>
      <c r="HC1664" s="4"/>
      <c r="HD1664" s="4"/>
      <c r="HE1664" s="4"/>
    </row>
    <row r="1665">
      <c r="A1665" s="2" t="s">
        <v>8314</v>
      </c>
      <c r="B1665" s="2" t="s">
        <v>848</v>
      </c>
      <c r="C1665" s="2" t="s">
        <v>849</v>
      </c>
      <c r="D1665" s="2" t="s">
        <v>1112</v>
      </c>
      <c r="E1665" s="2" t="s">
        <v>1113</v>
      </c>
      <c r="F1665" s="2" t="s">
        <v>8315</v>
      </c>
      <c r="G1665" s="2" t="s">
        <v>5749</v>
      </c>
      <c r="H1665" s="2" t="s">
        <v>8316</v>
      </c>
      <c r="I1665" s="2" t="s">
        <v>8317</v>
      </c>
      <c r="J1665" s="2" t="s">
        <v>856</v>
      </c>
      <c r="K1665" s="2" t="s">
        <v>978</v>
      </c>
      <c r="L1665" s="3">
        <v>33.33</v>
      </c>
      <c r="M1665" s="3">
        <v>35</v>
      </c>
      <c r="N1665" s="3">
        <v>69.99</v>
      </c>
      <c r="O1665" s="2" t="s">
        <v>240</v>
      </c>
      <c r="P1665" s="2" t="s">
        <v>233</v>
      </c>
      <c r="Q1665" s="2" t="s">
        <v>234</v>
      </c>
      <c r="R1665" s="2" t="s">
        <v>228</v>
      </c>
      <c r="S1665" s="2" t="s">
        <v>8318</v>
      </c>
      <c r="T1665" s="2" t="s">
        <v>3400</v>
      </c>
      <c r="U1665" s="2" t="s">
        <v>520</v>
      </c>
      <c r="V1665" s="2" t="s">
        <v>236</v>
      </c>
      <c r="W1665" s="2" t="s">
        <v>309</v>
      </c>
      <c r="X1665" s="2" t="s">
        <v>269</v>
      </c>
      <c r="Y1665" s="2" t="s">
        <v>2162</v>
      </c>
      <c r="Z1665" s="4">
        <v>133</v>
      </c>
      <c r="AA1665" s="4">
        <f>=ROUNDDOWN(665,0)</f>
      </c>
      <c r="AB1665" s="5">
        <v>0.2</v>
      </c>
      <c r="AC1665" s="2" t="s">
        <v>228</v>
      </c>
      <c r="AD1665" s="4"/>
      <c r="AE1665" s="4"/>
      <c r="AF1665" s="6">
        <v>66</v>
      </c>
      <c r="AG1665" s="6"/>
      <c r="AH1665" s="7">
        <v>1</v>
      </c>
      <c r="AI1665" s="4"/>
      <c r="AJ1665" s="4">
        <f>=ROUNDDOWN({0},0)</f>
      </c>
      <c r="AK1665" s="5"/>
      <c r="AL1665" s="2" t="s">
        <v>228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228</v>
      </c>
      <c r="AW1665" s="8" t="s">
        <v>228</v>
      </c>
      <c r="AX1665" s="4" t="s">
        <v>228</v>
      </c>
      <c r="AY1665" s="8" t="s">
        <v>228</v>
      </c>
      <c r="AZ1665" s="7" t="s">
        <v>228</v>
      </c>
      <c r="BA1665" s="7" t="s">
        <v>228</v>
      </c>
      <c r="BB1665" s="7"/>
      <c r="BC1665" s="4" t="s">
        <v>228</v>
      </c>
      <c r="BD1665" s="8" t="s">
        <v>228</v>
      </c>
      <c r="BE1665" s="4" t="s">
        <v>228</v>
      </c>
      <c r="BF1665" s="8" t="s">
        <v>228</v>
      </c>
      <c r="BG1665" s="7" t="s">
        <v>228</v>
      </c>
      <c r="BH1665" s="7" t="s">
        <v>228</v>
      </c>
      <c r="BI1665" s="7"/>
      <c r="BJ1665" s="4">
        <v>5</v>
      </c>
      <c r="BK1665" s="8">
        <v>189</v>
      </c>
      <c r="BL1665" s="2" t="s">
        <v>484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8319</v>
      </c>
      <c r="BV1665" s="2" t="s">
        <v>228</v>
      </c>
      <c r="BW1665" s="2" t="s">
        <v>228</v>
      </c>
      <c r="BX1665" s="2" t="s">
        <v>273</v>
      </c>
      <c r="BY1665" s="2" t="s">
        <v>274</v>
      </c>
      <c r="BZ1665" s="2" t="s">
        <v>240</v>
      </c>
      <c r="CA1665" s="2" t="s">
        <v>3163</v>
      </c>
      <c r="CB1665" s="2" t="s">
        <v>228</v>
      </c>
      <c r="CC1665" s="2" t="s">
        <v>241</v>
      </c>
      <c r="CD1665" s="2" t="s">
        <v>228</v>
      </c>
      <c r="CE1665" s="4">
        <v>133</v>
      </c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/>
      <c r="EX1665" s="4"/>
      <c r="EY1665" s="4"/>
      <c r="EZ1665" s="4"/>
      <c r="FA1665" s="4"/>
      <c r="FB1665" s="4"/>
      <c r="FC1665" s="4"/>
      <c r="FD1665" s="4"/>
      <c r="FE1665" s="4"/>
      <c r="FF1665" s="4"/>
      <c r="FG1665" s="4"/>
      <c r="FH1665" s="4"/>
      <c r="FI1665" s="4"/>
      <c r="FJ1665" s="4"/>
      <c r="FK1665" s="4"/>
      <c r="FL1665" s="4"/>
      <c r="FM1665" s="4"/>
      <c r="FN1665" s="4"/>
      <c r="FO1665" s="4"/>
      <c r="FP1665" s="4"/>
      <c r="FQ1665" s="4"/>
      <c r="FR1665" s="4"/>
      <c r="FS1665" s="4"/>
      <c r="FT1665" s="4"/>
      <c r="FU1665" s="4"/>
      <c r="FV1665" s="4"/>
      <c r="FW1665" s="4"/>
      <c r="FX1665" s="4"/>
      <c r="FY1665" s="4"/>
      <c r="FZ1665" s="4"/>
      <c r="GA1665" s="4"/>
      <c r="GB1665" s="4"/>
      <c r="GC1665" s="4"/>
      <c r="GD1665" s="4"/>
      <c r="GE1665" s="4"/>
      <c r="GF1665" s="4"/>
      <c r="GG1665" s="4"/>
      <c r="GH1665" s="4"/>
      <c r="GI1665" s="4"/>
      <c r="GJ1665" s="4"/>
      <c r="GK1665" s="4"/>
      <c r="GL1665" s="4"/>
      <c r="GM1665" s="4"/>
      <c r="GN1665" s="4"/>
      <c r="GO1665" s="4"/>
      <c r="GP1665" s="4"/>
      <c r="GQ1665" s="4"/>
      <c r="GR1665" s="4"/>
      <c r="GS1665" s="4"/>
      <c r="GT1665" s="4"/>
      <c r="GU1665" s="4"/>
      <c r="GV1665" s="4"/>
      <c r="GW1665" s="4"/>
      <c r="GX1665" s="4"/>
      <c r="GY1665" s="4"/>
      <c r="GZ1665" s="4"/>
      <c r="HA1665" s="4"/>
      <c r="HB1665" s="4"/>
      <c r="HC1665" s="4"/>
      <c r="HD1665" s="4"/>
      <c r="HE1665" s="4"/>
    </row>
    <row r="1666">
      <c r="A1666" s="2" t="s">
        <v>8320</v>
      </c>
      <c r="B1666" s="2" t="s">
        <v>848</v>
      </c>
      <c r="C1666" s="2" t="s">
        <v>849</v>
      </c>
      <c r="D1666" s="2" t="s">
        <v>1112</v>
      </c>
      <c r="E1666" s="2" t="s">
        <v>1113</v>
      </c>
      <c r="F1666" s="2" t="s">
        <v>8315</v>
      </c>
      <c r="G1666" s="2" t="s">
        <v>5749</v>
      </c>
      <c r="H1666" s="2" t="s">
        <v>8316</v>
      </c>
      <c r="I1666" s="2" t="s">
        <v>8317</v>
      </c>
      <c r="J1666" s="2" t="s">
        <v>1189</v>
      </c>
      <c r="K1666" s="2" t="s">
        <v>978</v>
      </c>
      <c r="L1666" s="3">
        <v>42.85</v>
      </c>
      <c r="M1666" s="3">
        <v>44.99</v>
      </c>
      <c r="N1666" s="3">
        <v>89.99</v>
      </c>
      <c r="O1666" s="2" t="s">
        <v>240</v>
      </c>
      <c r="P1666" s="2" t="s">
        <v>233</v>
      </c>
      <c r="Q1666" s="2" t="s">
        <v>234</v>
      </c>
      <c r="R1666" s="2" t="s">
        <v>228</v>
      </c>
      <c r="S1666" s="2" t="s">
        <v>8318</v>
      </c>
      <c r="T1666" s="2" t="s">
        <v>3400</v>
      </c>
      <c r="U1666" s="2" t="s">
        <v>500</v>
      </c>
      <c r="V1666" s="2" t="s">
        <v>236</v>
      </c>
      <c r="W1666" s="2" t="s">
        <v>309</v>
      </c>
      <c r="X1666" s="2" t="s">
        <v>269</v>
      </c>
      <c r="Y1666" s="2" t="s">
        <v>2162</v>
      </c>
      <c r="Z1666" s="4">
        <v>371</v>
      </c>
      <c r="AA1666" s="4">
        <f>=ROUNDDOWN(46.375,0)</f>
      </c>
      <c r="AB1666" s="5">
        <v>8</v>
      </c>
      <c r="AC1666" s="2" t="s">
        <v>228</v>
      </c>
      <c r="AD1666" s="4"/>
      <c r="AE1666" s="4"/>
      <c r="AF1666" s="6">
        <v>66</v>
      </c>
      <c r="AG1666" s="6"/>
      <c r="AH1666" s="7">
        <v>1</v>
      </c>
      <c r="AI1666" s="4"/>
      <c r="AJ1666" s="4">
        <f>=ROUNDDOWN({0},0)</f>
      </c>
      <c r="AK1666" s="5"/>
      <c r="AL1666" s="2" t="s">
        <v>228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228</v>
      </c>
      <c r="AW1666" s="8" t="s">
        <v>228</v>
      </c>
      <c r="AX1666" s="4" t="s">
        <v>228</v>
      </c>
      <c r="AY1666" s="8" t="s">
        <v>228</v>
      </c>
      <c r="AZ1666" s="7" t="s">
        <v>228</v>
      </c>
      <c r="BA1666" s="7" t="s">
        <v>228</v>
      </c>
      <c r="BB1666" s="7"/>
      <c r="BC1666" s="4" t="s">
        <v>228</v>
      </c>
      <c r="BD1666" s="8" t="s">
        <v>228</v>
      </c>
      <c r="BE1666" s="4" t="s">
        <v>228</v>
      </c>
      <c r="BF1666" s="8" t="s">
        <v>228</v>
      </c>
      <c r="BG1666" s="7" t="s">
        <v>228</v>
      </c>
      <c r="BH1666" s="7" t="s">
        <v>228</v>
      </c>
      <c r="BI1666" s="7"/>
      <c r="BJ1666" s="4">
        <v>8</v>
      </c>
      <c r="BK1666" s="8">
        <v>385.12</v>
      </c>
      <c r="BL1666" s="2" t="s">
        <v>318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8321</v>
      </c>
      <c r="BV1666" s="2" t="s">
        <v>228</v>
      </c>
      <c r="BW1666" s="2" t="s">
        <v>228</v>
      </c>
      <c r="BX1666" s="2" t="s">
        <v>273</v>
      </c>
      <c r="BY1666" s="2" t="s">
        <v>274</v>
      </c>
      <c r="BZ1666" s="2" t="s">
        <v>240</v>
      </c>
      <c r="CA1666" s="2" t="s">
        <v>3163</v>
      </c>
      <c r="CB1666" s="2" t="s">
        <v>228</v>
      </c>
      <c r="CC1666" s="2" t="s">
        <v>241</v>
      </c>
      <c r="CD1666" s="2" t="s">
        <v>228</v>
      </c>
      <c r="CE1666" s="4">
        <v>371</v>
      </c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/>
      <c r="EW1666" s="4"/>
      <c r="EX1666" s="4"/>
      <c r="EY1666" s="4"/>
      <c r="EZ1666" s="4"/>
      <c r="FA1666" s="4"/>
      <c r="FB1666" s="4"/>
      <c r="FC1666" s="4"/>
      <c r="FD1666" s="4"/>
      <c r="FE1666" s="4"/>
      <c r="FF1666" s="4"/>
      <c r="FG1666" s="4"/>
      <c r="FH1666" s="4"/>
      <c r="FI1666" s="4"/>
      <c r="FJ1666" s="4"/>
      <c r="FK1666" s="4"/>
      <c r="FL1666" s="4"/>
      <c r="FM1666" s="4"/>
      <c r="FN1666" s="4"/>
      <c r="FO1666" s="4"/>
      <c r="FP1666" s="4"/>
      <c r="FQ1666" s="4"/>
      <c r="FR1666" s="4"/>
      <c r="FS1666" s="4"/>
      <c r="FT1666" s="4"/>
      <c r="FU1666" s="4"/>
      <c r="FV1666" s="4"/>
      <c r="FW1666" s="4"/>
      <c r="FX1666" s="4"/>
      <c r="FY1666" s="4"/>
      <c r="FZ1666" s="4"/>
      <c r="GA1666" s="4"/>
      <c r="GB1666" s="4"/>
      <c r="GC1666" s="4"/>
      <c r="GD1666" s="4"/>
      <c r="GE1666" s="4"/>
      <c r="GF1666" s="4"/>
      <c r="GG1666" s="4"/>
      <c r="GH1666" s="4"/>
      <c r="GI1666" s="4"/>
      <c r="GJ1666" s="4"/>
      <c r="GK1666" s="4"/>
      <c r="GL1666" s="4"/>
      <c r="GM1666" s="4"/>
      <c r="GN1666" s="4"/>
      <c r="GO1666" s="4"/>
      <c r="GP1666" s="4"/>
      <c r="GQ1666" s="4"/>
      <c r="GR1666" s="4"/>
      <c r="GS1666" s="4"/>
      <c r="GT1666" s="4"/>
      <c r="GU1666" s="4"/>
      <c r="GV1666" s="4"/>
      <c r="GW1666" s="4"/>
      <c r="GX1666" s="4"/>
      <c r="GY1666" s="4"/>
      <c r="GZ1666" s="4"/>
      <c r="HA1666" s="4"/>
      <c r="HB1666" s="4"/>
      <c r="HC1666" s="4"/>
      <c r="HD1666" s="4"/>
      <c r="HE1666" s="4"/>
    </row>
    <row r="1667">
      <c r="A1667" s="2" t="s">
        <v>8322</v>
      </c>
      <c r="B1667" s="2" t="s">
        <v>848</v>
      </c>
      <c r="C1667" s="2" t="s">
        <v>849</v>
      </c>
      <c r="D1667" s="2" t="s">
        <v>1112</v>
      </c>
      <c r="E1667" s="2" t="s">
        <v>1113</v>
      </c>
      <c r="F1667" s="2" t="s">
        <v>8315</v>
      </c>
      <c r="G1667" s="2" t="s">
        <v>5749</v>
      </c>
      <c r="H1667" s="2" t="s">
        <v>8316</v>
      </c>
      <c r="I1667" s="2" t="s">
        <v>8317</v>
      </c>
      <c r="J1667" s="2" t="s">
        <v>1043</v>
      </c>
      <c r="K1667" s="2" t="s">
        <v>978</v>
      </c>
      <c r="L1667" s="3">
        <v>47.61</v>
      </c>
      <c r="M1667" s="3">
        <v>49.99</v>
      </c>
      <c r="N1667" s="3">
        <v>99.99</v>
      </c>
      <c r="O1667" s="2" t="s">
        <v>240</v>
      </c>
      <c r="P1667" s="2" t="s">
        <v>233</v>
      </c>
      <c r="Q1667" s="2" t="s">
        <v>234</v>
      </c>
      <c r="R1667" s="2" t="s">
        <v>228</v>
      </c>
      <c r="S1667" s="2" t="s">
        <v>8318</v>
      </c>
      <c r="T1667" s="2" t="s">
        <v>3400</v>
      </c>
      <c r="U1667" s="2" t="s">
        <v>500</v>
      </c>
      <c r="V1667" s="2" t="s">
        <v>236</v>
      </c>
      <c r="W1667" s="2" t="s">
        <v>309</v>
      </c>
      <c r="X1667" s="2" t="s">
        <v>269</v>
      </c>
      <c r="Y1667" s="2" t="s">
        <v>2162</v>
      </c>
      <c r="Z1667" s="4">
        <v>277</v>
      </c>
      <c r="AA1667" s="4">
        <f>=ROUNDDOWN(1385,0)</f>
      </c>
      <c r="AB1667" s="5">
        <v>0.2</v>
      </c>
      <c r="AC1667" s="2" t="s">
        <v>228</v>
      </c>
      <c r="AD1667" s="4"/>
      <c r="AE1667" s="4"/>
      <c r="AF1667" s="6">
        <v>66</v>
      </c>
      <c r="AG1667" s="6"/>
      <c r="AH1667" s="7">
        <v>1</v>
      </c>
      <c r="AI1667" s="4"/>
      <c r="AJ1667" s="4">
        <f>=ROUNDDOWN({0},0)</f>
      </c>
      <c r="AK1667" s="5"/>
      <c r="AL1667" s="2" t="s">
        <v>228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228</v>
      </c>
      <c r="AW1667" s="8" t="s">
        <v>228</v>
      </c>
      <c r="AX1667" s="4" t="s">
        <v>228</v>
      </c>
      <c r="AY1667" s="8" t="s">
        <v>228</v>
      </c>
      <c r="AZ1667" s="7" t="s">
        <v>228</v>
      </c>
      <c r="BA1667" s="7" t="s">
        <v>228</v>
      </c>
      <c r="BB1667" s="7"/>
      <c r="BC1667" s="4" t="s">
        <v>228</v>
      </c>
      <c r="BD1667" s="8" t="s">
        <v>228</v>
      </c>
      <c r="BE1667" s="4" t="s">
        <v>228</v>
      </c>
      <c r="BF1667" s="8" t="s">
        <v>228</v>
      </c>
      <c r="BG1667" s="7" t="s">
        <v>228</v>
      </c>
      <c r="BH1667" s="7" t="s">
        <v>228</v>
      </c>
      <c r="BI1667" s="7"/>
      <c r="BJ1667" s="4">
        <v>1</v>
      </c>
      <c r="BK1667" s="8">
        <v>54.75</v>
      </c>
      <c r="BL1667" s="2" t="s">
        <v>727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8323</v>
      </c>
      <c r="BV1667" s="2" t="s">
        <v>228</v>
      </c>
      <c r="BW1667" s="2" t="s">
        <v>228</v>
      </c>
      <c r="BX1667" s="2" t="s">
        <v>273</v>
      </c>
      <c r="BY1667" s="2" t="s">
        <v>274</v>
      </c>
      <c r="BZ1667" s="2" t="s">
        <v>240</v>
      </c>
      <c r="CA1667" s="2" t="s">
        <v>3163</v>
      </c>
      <c r="CB1667" s="2" t="s">
        <v>228</v>
      </c>
      <c r="CC1667" s="2" t="s">
        <v>241</v>
      </c>
      <c r="CD1667" s="2" t="s">
        <v>228</v>
      </c>
      <c r="CE1667" s="4">
        <v>277</v>
      </c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/>
      <c r="EU1667" s="4"/>
      <c r="EV1667" s="4"/>
      <c r="EW1667" s="4"/>
      <c r="EX1667" s="4"/>
      <c r="EY1667" s="4"/>
      <c r="EZ1667" s="4"/>
      <c r="FA1667" s="4"/>
      <c r="FB1667" s="4"/>
      <c r="FC1667" s="4"/>
      <c r="FD1667" s="4"/>
      <c r="FE1667" s="4"/>
      <c r="FF1667" s="4"/>
      <c r="FG1667" s="4"/>
      <c r="FH1667" s="4"/>
      <c r="FI1667" s="4"/>
      <c r="FJ1667" s="4"/>
      <c r="FK1667" s="4"/>
      <c r="FL1667" s="4"/>
      <c r="FM1667" s="4"/>
      <c r="FN1667" s="4"/>
      <c r="FO1667" s="4"/>
      <c r="FP1667" s="4"/>
      <c r="FQ1667" s="4"/>
      <c r="FR1667" s="4"/>
      <c r="FS1667" s="4"/>
      <c r="FT1667" s="4"/>
      <c r="FU1667" s="4"/>
      <c r="FV1667" s="4"/>
      <c r="FW1667" s="4"/>
      <c r="FX1667" s="4"/>
      <c r="FY1667" s="4"/>
      <c r="FZ1667" s="4"/>
      <c r="GA1667" s="4"/>
      <c r="GB1667" s="4"/>
      <c r="GC1667" s="4"/>
      <c r="GD1667" s="4"/>
      <c r="GE1667" s="4"/>
      <c r="GF1667" s="4"/>
      <c r="GG1667" s="4"/>
      <c r="GH1667" s="4"/>
      <c r="GI1667" s="4"/>
      <c r="GJ1667" s="4"/>
      <c r="GK1667" s="4"/>
      <c r="GL1667" s="4"/>
      <c r="GM1667" s="4"/>
      <c r="GN1667" s="4"/>
      <c r="GO1667" s="4"/>
      <c r="GP1667" s="4"/>
      <c r="GQ1667" s="4"/>
      <c r="GR1667" s="4"/>
      <c r="GS1667" s="4"/>
      <c r="GT1667" s="4"/>
      <c r="GU1667" s="4"/>
      <c r="GV1667" s="4"/>
      <c r="GW1667" s="4"/>
      <c r="GX1667" s="4"/>
      <c r="GY1667" s="4"/>
      <c r="GZ1667" s="4"/>
      <c r="HA1667" s="4"/>
      <c r="HB1667" s="4"/>
      <c r="HC1667" s="4"/>
      <c r="HD1667" s="4"/>
      <c r="HE1667" s="4"/>
    </row>
    <row r="1668">
      <c r="A1668" s="2" t="s">
        <v>8324</v>
      </c>
      <c r="B1668" s="2" t="s">
        <v>848</v>
      </c>
      <c r="C1668" s="2" t="s">
        <v>849</v>
      </c>
      <c r="D1668" s="2" t="s">
        <v>1112</v>
      </c>
      <c r="E1668" s="2" t="s">
        <v>1113</v>
      </c>
      <c r="F1668" s="2" t="s">
        <v>8315</v>
      </c>
      <c r="G1668" s="2" t="s">
        <v>5749</v>
      </c>
      <c r="H1668" s="2" t="s">
        <v>8316</v>
      </c>
      <c r="I1668" s="2" t="s">
        <v>8317</v>
      </c>
      <c r="J1668" s="2" t="s">
        <v>1189</v>
      </c>
      <c r="K1668" s="2" t="s">
        <v>556</v>
      </c>
      <c r="L1668" s="3">
        <v>42.85</v>
      </c>
      <c r="M1668" s="3">
        <v>44.99</v>
      </c>
      <c r="N1668" s="3">
        <v>89.99</v>
      </c>
      <c r="O1668" s="2" t="s">
        <v>240</v>
      </c>
      <c r="P1668" s="2" t="s">
        <v>266</v>
      </c>
      <c r="Q1668" s="2" t="s">
        <v>234</v>
      </c>
      <c r="R1668" s="2" t="s">
        <v>228</v>
      </c>
      <c r="S1668" s="2" t="s">
        <v>8325</v>
      </c>
      <c r="T1668" s="2" t="s">
        <v>3400</v>
      </c>
      <c r="U1668" s="2" t="s">
        <v>500</v>
      </c>
      <c r="V1668" s="2" t="s">
        <v>236</v>
      </c>
      <c r="W1668" s="2" t="s">
        <v>309</v>
      </c>
      <c r="X1668" s="2" t="s">
        <v>269</v>
      </c>
      <c r="Y1668" s="2" t="s">
        <v>927</v>
      </c>
      <c r="Z1668" s="4">
        <v>566</v>
      </c>
      <c r="AA1668" s="4">
        <f>=ROUNDDOWN(56.6,0)</f>
      </c>
      <c r="AB1668" s="5">
        <v>10</v>
      </c>
      <c r="AC1668" s="2" t="s">
        <v>7548</v>
      </c>
      <c r="AD1668" s="4">
        <v>270</v>
      </c>
      <c r="AE1668" s="4">
        <v>270</v>
      </c>
      <c r="AF1668" s="6">
        <v>64</v>
      </c>
      <c r="AG1668" s="6"/>
      <c r="AH1668" s="7">
        <v>1</v>
      </c>
      <c r="AI1668" s="4"/>
      <c r="AJ1668" s="4">
        <f>=ROUNDDOWN({0},0)</f>
      </c>
      <c r="AK1668" s="5"/>
      <c r="AL1668" s="2" t="s">
        <v>228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228</v>
      </c>
      <c r="AW1668" s="8" t="s">
        <v>228</v>
      </c>
      <c r="AX1668" s="4" t="s">
        <v>228</v>
      </c>
      <c r="AY1668" s="8" t="s">
        <v>228</v>
      </c>
      <c r="AZ1668" s="7" t="s">
        <v>228</v>
      </c>
      <c r="BA1668" s="7" t="s">
        <v>228</v>
      </c>
      <c r="BB1668" s="7"/>
      <c r="BC1668" s="4" t="s">
        <v>228</v>
      </c>
      <c r="BD1668" s="8" t="s">
        <v>228</v>
      </c>
      <c r="BE1668" s="4" t="s">
        <v>228</v>
      </c>
      <c r="BF1668" s="8" t="s">
        <v>228</v>
      </c>
      <c r="BG1668" s="7" t="s">
        <v>228</v>
      </c>
      <c r="BH1668" s="7" t="s">
        <v>228</v>
      </c>
      <c r="BI1668" s="7"/>
      <c r="BJ1668" s="4">
        <v>12</v>
      </c>
      <c r="BK1668" s="8">
        <v>564.87</v>
      </c>
      <c r="BL1668" s="2" t="s">
        <v>381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8326</v>
      </c>
      <c r="BV1668" s="2" t="s">
        <v>228</v>
      </c>
      <c r="BW1668" s="2" t="s">
        <v>228</v>
      </c>
      <c r="BX1668" s="2" t="s">
        <v>273</v>
      </c>
      <c r="BY1668" s="2" t="s">
        <v>274</v>
      </c>
      <c r="BZ1668" s="2" t="s">
        <v>240</v>
      </c>
      <c r="CA1668" s="2" t="s">
        <v>2192</v>
      </c>
      <c r="CB1668" s="2" t="s">
        <v>2980</v>
      </c>
      <c r="CC1668" s="2" t="s">
        <v>241</v>
      </c>
      <c r="CD1668" s="2" t="s">
        <v>228</v>
      </c>
      <c r="CE1668" s="4">
        <v>566</v>
      </c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/>
      <c r="EU1668" s="4"/>
      <c r="EV1668" s="4"/>
      <c r="EW1668" s="4"/>
      <c r="EX1668" s="4"/>
      <c r="EY1668" s="4"/>
      <c r="EZ1668" s="4"/>
      <c r="FA1668" s="4"/>
      <c r="FB1668" s="4"/>
      <c r="FC1668" s="4"/>
      <c r="FD1668" s="4"/>
      <c r="FE1668" s="4"/>
      <c r="FF1668" s="4"/>
      <c r="FG1668" s="4"/>
      <c r="FH1668" s="4"/>
      <c r="FI1668" s="4"/>
      <c r="FJ1668" s="4"/>
      <c r="FK1668" s="4"/>
      <c r="FL1668" s="4"/>
      <c r="FM1668" s="4"/>
      <c r="FN1668" s="4"/>
      <c r="FO1668" s="4"/>
      <c r="FP1668" s="4"/>
      <c r="FQ1668" s="4"/>
      <c r="FR1668" s="4"/>
      <c r="FS1668" s="4"/>
      <c r="FT1668" s="4"/>
      <c r="FU1668" s="4"/>
      <c r="FV1668" s="4"/>
      <c r="FW1668" s="4"/>
      <c r="FX1668" s="4"/>
      <c r="FY1668" s="4"/>
      <c r="FZ1668" s="4"/>
      <c r="GA1668" s="4"/>
      <c r="GB1668" s="4"/>
      <c r="GC1668" s="4"/>
      <c r="GD1668" s="4"/>
      <c r="GE1668" s="4"/>
      <c r="GF1668" s="4"/>
      <c r="GG1668" s="4"/>
      <c r="GH1668" s="4"/>
      <c r="GI1668" s="4"/>
      <c r="GJ1668" s="4"/>
      <c r="GK1668" s="4"/>
      <c r="GL1668" s="4"/>
      <c r="GM1668" s="4"/>
      <c r="GN1668" s="4"/>
      <c r="GO1668" s="4"/>
      <c r="GP1668" s="4"/>
      <c r="GQ1668" s="4"/>
      <c r="GR1668" s="4"/>
      <c r="GS1668" s="4"/>
      <c r="GT1668" s="4"/>
      <c r="GU1668" s="4"/>
      <c r="GV1668" s="4"/>
      <c r="GW1668" s="4"/>
      <c r="GX1668" s="4"/>
      <c r="GY1668" s="4"/>
      <c r="GZ1668" s="4"/>
      <c r="HA1668" s="4"/>
      <c r="HB1668" s="4"/>
      <c r="HC1668" s="4">
        <v>270</v>
      </c>
      <c r="HD1668" s="4"/>
      <c r="HE1668" s="4"/>
    </row>
    <row r="1669">
      <c r="A1669" s="2" t="s">
        <v>8327</v>
      </c>
      <c r="B1669" s="2" t="s">
        <v>848</v>
      </c>
      <c r="C1669" s="2" t="s">
        <v>849</v>
      </c>
      <c r="D1669" s="2" t="s">
        <v>1112</v>
      </c>
      <c r="E1669" s="2" t="s">
        <v>1113</v>
      </c>
      <c r="F1669" s="2" t="s">
        <v>8315</v>
      </c>
      <c r="G1669" s="2" t="s">
        <v>5749</v>
      </c>
      <c r="H1669" s="2" t="s">
        <v>8316</v>
      </c>
      <c r="I1669" s="2" t="s">
        <v>8317</v>
      </c>
      <c r="J1669" s="2" t="s">
        <v>1043</v>
      </c>
      <c r="K1669" s="2" t="s">
        <v>556</v>
      </c>
      <c r="L1669" s="3">
        <v>47.61</v>
      </c>
      <c r="M1669" s="3">
        <v>49.99</v>
      </c>
      <c r="N1669" s="3">
        <v>99.99</v>
      </c>
      <c r="O1669" s="2" t="s">
        <v>240</v>
      </c>
      <c r="P1669" s="2" t="s">
        <v>266</v>
      </c>
      <c r="Q1669" s="2" t="s">
        <v>234</v>
      </c>
      <c r="R1669" s="2" t="s">
        <v>228</v>
      </c>
      <c r="S1669" s="2" t="s">
        <v>8325</v>
      </c>
      <c r="T1669" s="2" t="s">
        <v>3400</v>
      </c>
      <c r="U1669" s="2" t="s">
        <v>500</v>
      </c>
      <c r="V1669" s="2" t="s">
        <v>236</v>
      </c>
      <c r="W1669" s="2" t="s">
        <v>309</v>
      </c>
      <c r="X1669" s="2" t="s">
        <v>269</v>
      </c>
      <c r="Y1669" s="2" t="s">
        <v>927</v>
      </c>
      <c r="Z1669" s="4">
        <v>256</v>
      </c>
      <c r="AA1669" s="4">
        <f>=ROUNDDOWN(64,0)</f>
      </c>
      <c r="AB1669" s="5">
        <v>4</v>
      </c>
      <c r="AC1669" s="2" t="s">
        <v>7548</v>
      </c>
      <c r="AD1669" s="4">
        <v>220</v>
      </c>
      <c r="AE1669" s="4">
        <v>220</v>
      </c>
      <c r="AF1669" s="6">
        <v>64</v>
      </c>
      <c r="AG1669" s="6"/>
      <c r="AH1669" s="7">
        <v>1</v>
      </c>
      <c r="AI1669" s="4"/>
      <c r="AJ1669" s="4">
        <f>=ROUNDDOWN({0},0)</f>
      </c>
      <c r="AK1669" s="5"/>
      <c r="AL1669" s="2" t="s">
        <v>228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228</v>
      </c>
      <c r="AW1669" s="8" t="s">
        <v>228</v>
      </c>
      <c r="AX1669" s="4" t="s">
        <v>228</v>
      </c>
      <c r="AY1669" s="8" t="s">
        <v>228</v>
      </c>
      <c r="AZ1669" s="7" t="s">
        <v>228</v>
      </c>
      <c r="BA1669" s="7" t="s">
        <v>228</v>
      </c>
      <c r="BB1669" s="7"/>
      <c r="BC1669" s="4" t="s">
        <v>228</v>
      </c>
      <c r="BD1669" s="8" t="s">
        <v>228</v>
      </c>
      <c r="BE1669" s="4" t="s">
        <v>228</v>
      </c>
      <c r="BF1669" s="8" t="s">
        <v>228</v>
      </c>
      <c r="BG1669" s="7" t="s">
        <v>228</v>
      </c>
      <c r="BH1669" s="7" t="s">
        <v>228</v>
      </c>
      <c r="BI1669" s="7"/>
      <c r="BJ1669" s="4">
        <v>2</v>
      </c>
      <c r="BK1669" s="8">
        <v>120.98</v>
      </c>
      <c r="BL1669" s="2" t="s">
        <v>8328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8329</v>
      </c>
      <c r="BV1669" s="2" t="s">
        <v>228</v>
      </c>
      <c r="BW1669" s="2" t="s">
        <v>228</v>
      </c>
      <c r="BX1669" s="2" t="s">
        <v>273</v>
      </c>
      <c r="BY1669" s="2" t="s">
        <v>274</v>
      </c>
      <c r="BZ1669" s="2" t="s">
        <v>240</v>
      </c>
      <c r="CA1669" s="2" t="s">
        <v>2192</v>
      </c>
      <c r="CB1669" s="2" t="s">
        <v>7685</v>
      </c>
      <c r="CC1669" s="2" t="s">
        <v>241</v>
      </c>
      <c r="CD1669" s="2" t="s">
        <v>228</v>
      </c>
      <c r="CE1669" s="4">
        <v>256</v>
      </c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4"/>
      <c r="FE1669" s="4"/>
      <c r="FF1669" s="4"/>
      <c r="FG1669" s="4"/>
      <c r="FH1669" s="4"/>
      <c r="FI1669" s="4"/>
      <c r="FJ1669" s="4"/>
      <c r="FK1669" s="4"/>
      <c r="FL1669" s="4"/>
      <c r="FM1669" s="4"/>
      <c r="FN1669" s="4"/>
      <c r="FO1669" s="4"/>
      <c r="FP1669" s="4"/>
      <c r="FQ1669" s="4"/>
      <c r="FR1669" s="4"/>
      <c r="FS1669" s="4"/>
      <c r="FT1669" s="4"/>
      <c r="FU1669" s="4"/>
      <c r="FV1669" s="4"/>
      <c r="FW1669" s="4"/>
      <c r="FX1669" s="4"/>
      <c r="FY1669" s="4"/>
      <c r="FZ1669" s="4"/>
      <c r="GA1669" s="4"/>
      <c r="GB1669" s="4"/>
      <c r="GC1669" s="4"/>
      <c r="GD1669" s="4"/>
      <c r="GE1669" s="4"/>
      <c r="GF1669" s="4"/>
      <c r="GG1669" s="4"/>
      <c r="GH1669" s="4"/>
      <c r="GI1669" s="4"/>
      <c r="GJ1669" s="4"/>
      <c r="GK1669" s="4"/>
      <c r="GL1669" s="4"/>
      <c r="GM1669" s="4"/>
      <c r="GN1669" s="4"/>
      <c r="GO1669" s="4"/>
      <c r="GP1669" s="4"/>
      <c r="GQ1669" s="4"/>
      <c r="GR1669" s="4"/>
      <c r="GS1669" s="4"/>
      <c r="GT1669" s="4"/>
      <c r="GU1669" s="4"/>
      <c r="GV1669" s="4"/>
      <c r="GW1669" s="4"/>
      <c r="GX1669" s="4"/>
      <c r="GY1669" s="4"/>
      <c r="GZ1669" s="4"/>
      <c r="HA1669" s="4"/>
      <c r="HB1669" s="4"/>
      <c r="HC1669" s="4">
        <v>220</v>
      </c>
      <c r="HD1669" s="4"/>
      <c r="HE1669" s="4"/>
    </row>
    <row r="1670">
      <c r="A1670" s="2" t="s">
        <v>8330</v>
      </c>
      <c r="B1670" s="2" t="s">
        <v>848</v>
      </c>
      <c r="C1670" s="2" t="s">
        <v>849</v>
      </c>
      <c r="D1670" s="2" t="s">
        <v>1112</v>
      </c>
      <c r="E1670" s="2" t="s">
        <v>1113</v>
      </c>
      <c r="F1670" s="2" t="s">
        <v>8315</v>
      </c>
      <c r="G1670" s="2" t="s">
        <v>5749</v>
      </c>
      <c r="H1670" s="2" t="s">
        <v>8316</v>
      </c>
      <c r="I1670" s="2" t="s">
        <v>8317</v>
      </c>
      <c r="J1670" s="2" t="s">
        <v>1043</v>
      </c>
      <c r="K1670" s="2" t="s">
        <v>1466</v>
      </c>
      <c r="L1670" s="3">
        <v>47.61</v>
      </c>
      <c r="M1670" s="3">
        <v>49.99</v>
      </c>
      <c r="N1670" s="3">
        <v>99.99</v>
      </c>
      <c r="O1670" s="2" t="s">
        <v>240</v>
      </c>
      <c r="P1670" s="2" t="s">
        <v>233</v>
      </c>
      <c r="Q1670" s="2" t="s">
        <v>234</v>
      </c>
      <c r="R1670" s="2" t="s">
        <v>228</v>
      </c>
      <c r="S1670" s="2" t="s">
        <v>8331</v>
      </c>
      <c r="T1670" s="2" t="s">
        <v>3400</v>
      </c>
      <c r="U1670" s="2" t="s">
        <v>500</v>
      </c>
      <c r="V1670" s="2" t="s">
        <v>236</v>
      </c>
      <c r="W1670" s="2" t="s">
        <v>309</v>
      </c>
      <c r="X1670" s="2" t="s">
        <v>269</v>
      </c>
      <c r="Y1670" s="2" t="s">
        <v>2162</v>
      </c>
      <c r="Z1670" s="4">
        <v>257</v>
      </c>
      <c r="AA1670" s="4">
        <f>=ROUNDDOWN(367.142857142857,0)</f>
      </c>
      <c r="AB1670" s="5">
        <v>0.7</v>
      </c>
      <c r="AC1670" s="2" t="s">
        <v>228</v>
      </c>
      <c r="AD1670" s="4"/>
      <c r="AE1670" s="4"/>
      <c r="AF1670" s="6">
        <v>66</v>
      </c>
      <c r="AG1670" s="6"/>
      <c r="AH1670" s="7">
        <v>1</v>
      </c>
      <c r="AI1670" s="4"/>
      <c r="AJ1670" s="4">
        <f>=ROUNDDOWN({0},0)</f>
      </c>
      <c r="AK1670" s="5"/>
      <c r="AL1670" s="2" t="s">
        <v>228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/>
      <c r="AW1670" s="8"/>
      <c r="AX1670" s="4"/>
      <c r="AY1670" s="8"/>
      <c r="AZ1670" s="7"/>
      <c r="BA1670" s="7"/>
      <c r="BB1670" s="7"/>
      <c r="BC1670" s="4" t="s">
        <v>228</v>
      </c>
      <c r="BD1670" s="8" t="s">
        <v>228</v>
      </c>
      <c r="BE1670" s="4" t="s">
        <v>228</v>
      </c>
      <c r="BF1670" s="8" t="s">
        <v>228</v>
      </c>
      <c r="BG1670" s="7" t="s">
        <v>228</v>
      </c>
      <c r="BH1670" s="7" t="s">
        <v>228</v>
      </c>
      <c r="BI1670" s="7"/>
      <c r="BJ1670" s="4">
        <v>3</v>
      </c>
      <c r="BK1670" s="8">
        <v>162.73</v>
      </c>
      <c r="BL1670" s="2" t="s">
        <v>2804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8332</v>
      </c>
      <c r="BV1670" s="2" t="s">
        <v>228</v>
      </c>
      <c r="BW1670" s="2" t="s">
        <v>228</v>
      </c>
      <c r="BX1670" s="2" t="s">
        <v>273</v>
      </c>
      <c r="BY1670" s="2" t="s">
        <v>274</v>
      </c>
      <c r="BZ1670" s="2" t="s">
        <v>240</v>
      </c>
      <c r="CA1670" s="2" t="s">
        <v>3163</v>
      </c>
      <c r="CB1670" s="2" t="s">
        <v>228</v>
      </c>
      <c r="CC1670" s="2" t="s">
        <v>241</v>
      </c>
      <c r="CD1670" s="2" t="s">
        <v>228</v>
      </c>
      <c r="CE1670" s="4">
        <v>257</v>
      </c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/>
      <c r="EU1670" s="4"/>
      <c r="EV1670" s="4"/>
      <c r="EW1670" s="4"/>
      <c r="EX1670" s="4"/>
      <c r="EY1670" s="4"/>
      <c r="EZ1670" s="4"/>
      <c r="FA1670" s="4"/>
      <c r="FB1670" s="4"/>
      <c r="FC1670" s="4"/>
      <c r="FD1670" s="4"/>
      <c r="FE1670" s="4"/>
      <c r="FF1670" s="4"/>
      <c r="FG1670" s="4"/>
      <c r="FH1670" s="4"/>
      <c r="FI1670" s="4"/>
      <c r="FJ1670" s="4"/>
      <c r="FK1670" s="4"/>
      <c r="FL1670" s="4"/>
      <c r="FM1670" s="4"/>
      <c r="FN1670" s="4"/>
      <c r="FO1670" s="4"/>
      <c r="FP1670" s="4"/>
      <c r="FQ1670" s="4"/>
      <c r="FR1670" s="4"/>
      <c r="FS1670" s="4"/>
      <c r="FT1670" s="4"/>
      <c r="FU1670" s="4"/>
      <c r="FV1670" s="4"/>
      <c r="FW1670" s="4"/>
      <c r="FX1670" s="4"/>
      <c r="FY1670" s="4"/>
      <c r="FZ1670" s="4"/>
      <c r="GA1670" s="4"/>
      <c r="GB1670" s="4"/>
      <c r="GC1670" s="4"/>
      <c r="GD1670" s="4"/>
      <c r="GE1670" s="4"/>
      <c r="GF1670" s="4"/>
      <c r="GG1670" s="4"/>
      <c r="GH1670" s="4"/>
      <c r="GI1670" s="4"/>
      <c r="GJ1670" s="4"/>
      <c r="GK1670" s="4"/>
      <c r="GL1670" s="4"/>
      <c r="GM1670" s="4"/>
      <c r="GN1670" s="4"/>
      <c r="GO1670" s="4"/>
      <c r="GP1670" s="4"/>
      <c r="GQ1670" s="4"/>
      <c r="GR1670" s="4"/>
      <c r="GS1670" s="4"/>
      <c r="GT1670" s="4"/>
      <c r="GU1670" s="4"/>
      <c r="GV1670" s="4"/>
      <c r="GW1670" s="4"/>
      <c r="GX1670" s="4"/>
      <c r="GY1670" s="4"/>
      <c r="GZ1670" s="4"/>
      <c r="HA1670" s="4"/>
      <c r="HB1670" s="4"/>
      <c r="HC1670" s="4"/>
      <c r="HD1670" s="4"/>
      <c r="HE1670" s="4"/>
    </row>
    <row r="1671">
      <c r="A1671" s="2" t="s">
        <v>8333</v>
      </c>
      <c r="B1671" s="2" t="s">
        <v>848</v>
      </c>
      <c r="C1671" s="2" t="s">
        <v>849</v>
      </c>
      <c r="D1671" s="2" t="s">
        <v>1112</v>
      </c>
      <c r="E1671" s="2" t="s">
        <v>1113</v>
      </c>
      <c r="F1671" s="2" t="s">
        <v>8315</v>
      </c>
      <c r="G1671" s="2" t="s">
        <v>5749</v>
      </c>
      <c r="H1671" s="2" t="s">
        <v>8316</v>
      </c>
      <c r="I1671" s="2" t="s">
        <v>8317</v>
      </c>
      <c r="J1671" s="2" t="s">
        <v>856</v>
      </c>
      <c r="K1671" s="2" t="s">
        <v>3174</v>
      </c>
      <c r="L1671" s="3">
        <v>33.33</v>
      </c>
      <c r="M1671" s="3">
        <v>35</v>
      </c>
      <c r="N1671" s="3">
        <v>69.99</v>
      </c>
      <c r="O1671" s="2" t="s">
        <v>240</v>
      </c>
      <c r="P1671" s="2" t="s">
        <v>266</v>
      </c>
      <c r="Q1671" s="2" t="s">
        <v>234</v>
      </c>
      <c r="R1671" s="2" t="s">
        <v>228</v>
      </c>
      <c r="S1671" s="2" t="s">
        <v>8334</v>
      </c>
      <c r="T1671" s="2" t="s">
        <v>3400</v>
      </c>
      <c r="U1671" s="2" t="s">
        <v>520</v>
      </c>
      <c r="V1671" s="2" t="s">
        <v>236</v>
      </c>
      <c r="W1671" s="2" t="s">
        <v>309</v>
      </c>
      <c r="X1671" s="2" t="s">
        <v>269</v>
      </c>
      <c r="Y1671" s="2" t="s">
        <v>927</v>
      </c>
      <c r="Z1671" s="4">
        <v>285</v>
      </c>
      <c r="AA1671" s="4">
        <f>=ROUNDDOWN(57,0)</f>
      </c>
      <c r="AB1671" s="5">
        <v>5</v>
      </c>
      <c r="AC1671" s="2" t="s">
        <v>7548</v>
      </c>
      <c r="AD1671" s="4">
        <v>110</v>
      </c>
      <c r="AE1671" s="4">
        <v>110</v>
      </c>
      <c r="AF1671" s="6">
        <v>64</v>
      </c>
      <c r="AG1671" s="6"/>
      <c r="AH1671" s="7">
        <v>1</v>
      </c>
      <c r="AI1671" s="4"/>
      <c r="AJ1671" s="4">
        <f>=ROUNDDOWN({0},0)</f>
      </c>
      <c r="AK1671" s="5"/>
      <c r="AL1671" s="2" t="s">
        <v>228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228</v>
      </c>
      <c r="AW1671" s="8" t="s">
        <v>228</v>
      </c>
      <c r="AX1671" s="4" t="s">
        <v>228</v>
      </c>
      <c r="AY1671" s="8" t="s">
        <v>228</v>
      </c>
      <c r="AZ1671" s="7" t="s">
        <v>228</v>
      </c>
      <c r="BA1671" s="7" t="s">
        <v>228</v>
      </c>
      <c r="BB1671" s="7"/>
      <c r="BC1671" s="4" t="s">
        <v>228</v>
      </c>
      <c r="BD1671" s="8" t="s">
        <v>228</v>
      </c>
      <c r="BE1671" s="4" t="s">
        <v>228</v>
      </c>
      <c r="BF1671" s="8" t="s">
        <v>228</v>
      </c>
      <c r="BG1671" s="7" t="s">
        <v>228</v>
      </c>
      <c r="BH1671" s="7" t="s">
        <v>228</v>
      </c>
      <c r="BI1671" s="7"/>
      <c r="BJ1671" s="4">
        <v>11</v>
      </c>
      <c r="BK1671" s="8">
        <v>434.22</v>
      </c>
      <c r="BL1671" s="2" t="s">
        <v>8335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8336</v>
      </c>
      <c r="BV1671" s="2" t="s">
        <v>228</v>
      </c>
      <c r="BW1671" s="2" t="s">
        <v>228</v>
      </c>
      <c r="BX1671" s="2" t="s">
        <v>273</v>
      </c>
      <c r="BY1671" s="2" t="s">
        <v>274</v>
      </c>
      <c r="BZ1671" s="2" t="s">
        <v>240</v>
      </c>
      <c r="CA1671" s="2" t="s">
        <v>2192</v>
      </c>
      <c r="CB1671" s="2" t="s">
        <v>6394</v>
      </c>
      <c r="CC1671" s="2" t="s">
        <v>241</v>
      </c>
      <c r="CD1671" s="2" t="s">
        <v>228</v>
      </c>
      <c r="CE1671" s="4">
        <v>285</v>
      </c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/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4"/>
      <c r="FF1671" s="4"/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/>
      <c r="FR1671" s="4"/>
      <c r="FS1671" s="4"/>
      <c r="FT1671" s="4"/>
      <c r="FU1671" s="4"/>
      <c r="FV1671" s="4"/>
      <c r="FW1671" s="4"/>
      <c r="FX1671" s="4"/>
      <c r="FY1671" s="4"/>
      <c r="FZ1671" s="4"/>
      <c r="GA1671" s="4"/>
      <c r="GB1671" s="4"/>
      <c r="GC1671" s="4"/>
      <c r="GD1671" s="4"/>
      <c r="GE1671" s="4"/>
      <c r="GF1671" s="4"/>
      <c r="GG1671" s="4"/>
      <c r="GH1671" s="4"/>
      <c r="GI1671" s="4"/>
      <c r="GJ1671" s="4"/>
      <c r="GK1671" s="4"/>
      <c r="GL1671" s="4"/>
      <c r="GM1671" s="4"/>
      <c r="GN1671" s="4"/>
      <c r="GO1671" s="4"/>
      <c r="GP1671" s="4"/>
      <c r="GQ1671" s="4"/>
      <c r="GR1671" s="4"/>
      <c r="GS1671" s="4"/>
      <c r="GT1671" s="4"/>
      <c r="GU1671" s="4"/>
      <c r="GV1671" s="4"/>
      <c r="GW1671" s="4"/>
      <c r="GX1671" s="4"/>
      <c r="GY1671" s="4"/>
      <c r="GZ1671" s="4"/>
      <c r="HA1671" s="4"/>
      <c r="HB1671" s="4"/>
      <c r="HC1671" s="4">
        <v>110</v>
      </c>
      <c r="HD1671" s="4"/>
      <c r="HE1671" s="4"/>
    </row>
    <row r="1672">
      <c r="A1672" s="2" t="s">
        <v>8337</v>
      </c>
      <c r="B1672" s="2" t="s">
        <v>848</v>
      </c>
      <c r="C1672" s="2" t="s">
        <v>849</v>
      </c>
      <c r="D1672" s="2" t="s">
        <v>1112</v>
      </c>
      <c r="E1672" s="2" t="s">
        <v>1113</v>
      </c>
      <c r="F1672" s="2" t="s">
        <v>8315</v>
      </c>
      <c r="G1672" s="2" t="s">
        <v>5749</v>
      </c>
      <c r="H1672" s="2" t="s">
        <v>8316</v>
      </c>
      <c r="I1672" s="2" t="s">
        <v>8317</v>
      </c>
      <c r="J1672" s="2" t="s">
        <v>1189</v>
      </c>
      <c r="K1672" s="2" t="s">
        <v>3174</v>
      </c>
      <c r="L1672" s="3">
        <v>42.85</v>
      </c>
      <c r="M1672" s="3">
        <v>44.99</v>
      </c>
      <c r="N1672" s="3">
        <v>89.99</v>
      </c>
      <c r="O1672" s="2" t="s">
        <v>240</v>
      </c>
      <c r="P1672" s="2" t="s">
        <v>266</v>
      </c>
      <c r="Q1672" s="2" t="s">
        <v>234</v>
      </c>
      <c r="R1672" s="2" t="s">
        <v>228</v>
      </c>
      <c r="S1672" s="2" t="s">
        <v>8334</v>
      </c>
      <c r="T1672" s="2" t="s">
        <v>3400</v>
      </c>
      <c r="U1672" s="2" t="s">
        <v>500</v>
      </c>
      <c r="V1672" s="2" t="s">
        <v>236</v>
      </c>
      <c r="W1672" s="2" t="s">
        <v>309</v>
      </c>
      <c r="X1672" s="2" t="s">
        <v>269</v>
      </c>
      <c r="Y1672" s="2" t="s">
        <v>927</v>
      </c>
      <c r="Z1672" s="4">
        <v>543</v>
      </c>
      <c r="AA1672" s="4">
        <f>=ROUNDDOWN(67.875,0)</f>
      </c>
      <c r="AB1672" s="5">
        <v>8</v>
      </c>
      <c r="AC1672" s="2" t="s">
        <v>7548</v>
      </c>
      <c r="AD1672" s="4">
        <v>240</v>
      </c>
      <c r="AE1672" s="4">
        <v>240</v>
      </c>
      <c r="AF1672" s="6">
        <v>64</v>
      </c>
      <c r="AG1672" s="6"/>
      <c r="AH1672" s="7">
        <v>1</v>
      </c>
      <c r="AI1672" s="4"/>
      <c r="AJ1672" s="4">
        <f>=ROUNDDOWN({0},0)</f>
      </c>
      <c r="AK1672" s="5"/>
      <c r="AL1672" s="2" t="s">
        <v>228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228</v>
      </c>
      <c r="AW1672" s="8" t="s">
        <v>228</v>
      </c>
      <c r="AX1672" s="4" t="s">
        <v>228</v>
      </c>
      <c r="AY1672" s="8" t="s">
        <v>228</v>
      </c>
      <c r="AZ1672" s="7" t="s">
        <v>228</v>
      </c>
      <c r="BA1672" s="7" t="s">
        <v>228</v>
      </c>
      <c r="BB1672" s="7"/>
      <c r="BC1672" s="4" t="s">
        <v>228</v>
      </c>
      <c r="BD1672" s="8" t="s">
        <v>228</v>
      </c>
      <c r="BE1672" s="4" t="s">
        <v>228</v>
      </c>
      <c r="BF1672" s="8" t="s">
        <v>228</v>
      </c>
      <c r="BG1672" s="7" t="s">
        <v>228</v>
      </c>
      <c r="BH1672" s="7" t="s">
        <v>228</v>
      </c>
      <c r="BI1672" s="7"/>
      <c r="BJ1672" s="4">
        <v>16</v>
      </c>
      <c r="BK1672" s="8">
        <v>771.14</v>
      </c>
      <c r="BL1672" s="2" t="s">
        <v>2678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8338</v>
      </c>
      <c r="BV1672" s="2" t="s">
        <v>228</v>
      </c>
      <c r="BW1672" s="2" t="s">
        <v>228</v>
      </c>
      <c r="BX1672" s="2" t="s">
        <v>273</v>
      </c>
      <c r="BY1672" s="2" t="s">
        <v>274</v>
      </c>
      <c r="BZ1672" s="2" t="s">
        <v>240</v>
      </c>
      <c r="CA1672" s="2" t="s">
        <v>2192</v>
      </c>
      <c r="CB1672" s="2" t="s">
        <v>1004</v>
      </c>
      <c r="CC1672" s="2" t="s">
        <v>241</v>
      </c>
      <c r="CD1672" s="2" t="s">
        <v>228</v>
      </c>
      <c r="CE1672" s="4">
        <v>543</v>
      </c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/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4"/>
      <c r="FF1672" s="4"/>
      <c r="FG1672" s="4"/>
      <c r="FH1672" s="4"/>
      <c r="FI1672" s="4"/>
      <c r="FJ1672" s="4"/>
      <c r="FK1672" s="4"/>
      <c r="FL1672" s="4"/>
      <c r="FM1672" s="4"/>
      <c r="FN1672" s="4"/>
      <c r="FO1672" s="4"/>
      <c r="FP1672" s="4"/>
      <c r="FQ1672" s="4"/>
      <c r="FR1672" s="4"/>
      <c r="FS1672" s="4"/>
      <c r="FT1672" s="4"/>
      <c r="FU1672" s="4"/>
      <c r="FV1672" s="4"/>
      <c r="FW1672" s="4"/>
      <c r="FX1672" s="4"/>
      <c r="FY1672" s="4"/>
      <c r="FZ1672" s="4"/>
      <c r="GA1672" s="4"/>
      <c r="GB1672" s="4"/>
      <c r="GC1672" s="4"/>
      <c r="GD1672" s="4"/>
      <c r="GE1672" s="4"/>
      <c r="GF1672" s="4"/>
      <c r="GG1672" s="4"/>
      <c r="GH1672" s="4"/>
      <c r="GI1672" s="4"/>
      <c r="GJ1672" s="4"/>
      <c r="GK1672" s="4"/>
      <c r="GL1672" s="4"/>
      <c r="GM1672" s="4"/>
      <c r="GN1672" s="4"/>
      <c r="GO1672" s="4"/>
      <c r="GP1672" s="4"/>
      <c r="GQ1672" s="4"/>
      <c r="GR1672" s="4"/>
      <c r="GS1672" s="4"/>
      <c r="GT1672" s="4"/>
      <c r="GU1672" s="4"/>
      <c r="GV1672" s="4"/>
      <c r="GW1672" s="4"/>
      <c r="GX1672" s="4"/>
      <c r="GY1672" s="4"/>
      <c r="GZ1672" s="4"/>
      <c r="HA1672" s="4"/>
      <c r="HB1672" s="4"/>
      <c r="HC1672" s="4">
        <v>240</v>
      </c>
      <c r="HD1672" s="4"/>
      <c r="HE1672" s="4"/>
    </row>
    <row r="1673">
      <c r="A1673" s="2" t="s">
        <v>8339</v>
      </c>
      <c r="B1673" s="2" t="s">
        <v>848</v>
      </c>
      <c r="C1673" s="2" t="s">
        <v>849</v>
      </c>
      <c r="D1673" s="2" t="s">
        <v>1112</v>
      </c>
      <c r="E1673" s="2" t="s">
        <v>1113</v>
      </c>
      <c r="F1673" s="2" t="s">
        <v>8315</v>
      </c>
      <c r="G1673" s="2" t="s">
        <v>5749</v>
      </c>
      <c r="H1673" s="2" t="s">
        <v>8316</v>
      </c>
      <c r="I1673" s="2" t="s">
        <v>8317</v>
      </c>
      <c r="J1673" s="2" t="s">
        <v>1043</v>
      </c>
      <c r="K1673" s="2" t="s">
        <v>3174</v>
      </c>
      <c r="L1673" s="3">
        <v>47.61</v>
      </c>
      <c r="M1673" s="3">
        <v>49.99</v>
      </c>
      <c r="N1673" s="3">
        <v>99.99</v>
      </c>
      <c r="O1673" s="2" t="s">
        <v>240</v>
      </c>
      <c r="P1673" s="2" t="s">
        <v>266</v>
      </c>
      <c r="Q1673" s="2" t="s">
        <v>234</v>
      </c>
      <c r="R1673" s="2" t="s">
        <v>228</v>
      </c>
      <c r="S1673" s="2" t="s">
        <v>8334</v>
      </c>
      <c r="T1673" s="2" t="s">
        <v>3400</v>
      </c>
      <c r="U1673" s="2" t="s">
        <v>500</v>
      </c>
      <c r="V1673" s="2" t="s">
        <v>236</v>
      </c>
      <c r="W1673" s="2" t="s">
        <v>309</v>
      </c>
      <c r="X1673" s="2" t="s">
        <v>269</v>
      </c>
      <c r="Y1673" s="2" t="s">
        <v>927</v>
      </c>
      <c r="Z1673" s="4">
        <v>300</v>
      </c>
      <c r="AA1673" s="4">
        <f>=ROUNDDOWN(50,0)</f>
      </c>
      <c r="AB1673" s="5">
        <v>6</v>
      </c>
      <c r="AC1673" s="2" t="s">
        <v>7548</v>
      </c>
      <c r="AD1673" s="4">
        <v>110</v>
      </c>
      <c r="AE1673" s="4">
        <v>110</v>
      </c>
      <c r="AF1673" s="6">
        <v>64</v>
      </c>
      <c r="AG1673" s="6"/>
      <c r="AH1673" s="7">
        <v>1</v>
      </c>
      <c r="AI1673" s="4"/>
      <c r="AJ1673" s="4">
        <f>=ROUNDDOWN({0},0)</f>
      </c>
      <c r="AK1673" s="5"/>
      <c r="AL1673" s="2" t="s">
        <v>228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228</v>
      </c>
      <c r="AW1673" s="8" t="s">
        <v>228</v>
      </c>
      <c r="AX1673" s="4" t="s">
        <v>228</v>
      </c>
      <c r="AY1673" s="8" t="s">
        <v>228</v>
      </c>
      <c r="AZ1673" s="7" t="s">
        <v>228</v>
      </c>
      <c r="BA1673" s="7" t="s">
        <v>228</v>
      </c>
      <c r="BB1673" s="7"/>
      <c r="BC1673" s="4" t="s">
        <v>228</v>
      </c>
      <c r="BD1673" s="8" t="s">
        <v>228</v>
      </c>
      <c r="BE1673" s="4" t="s">
        <v>228</v>
      </c>
      <c r="BF1673" s="8" t="s">
        <v>228</v>
      </c>
      <c r="BG1673" s="7" t="s">
        <v>228</v>
      </c>
      <c r="BH1673" s="7" t="s">
        <v>228</v>
      </c>
      <c r="BI1673" s="7"/>
      <c r="BJ1673" s="4">
        <v>7</v>
      </c>
      <c r="BK1673" s="8">
        <v>384.91</v>
      </c>
      <c r="BL1673" s="2" t="s">
        <v>8340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8341</v>
      </c>
      <c r="BV1673" s="2" t="s">
        <v>228</v>
      </c>
      <c r="BW1673" s="2" t="s">
        <v>228</v>
      </c>
      <c r="BX1673" s="2" t="s">
        <v>273</v>
      </c>
      <c r="BY1673" s="2" t="s">
        <v>274</v>
      </c>
      <c r="BZ1673" s="2" t="s">
        <v>240</v>
      </c>
      <c r="CA1673" s="2" t="s">
        <v>2192</v>
      </c>
      <c r="CB1673" s="2" t="s">
        <v>3522</v>
      </c>
      <c r="CC1673" s="2" t="s">
        <v>241</v>
      </c>
      <c r="CD1673" s="2" t="s">
        <v>228</v>
      </c>
      <c r="CE1673" s="4">
        <v>300</v>
      </c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/>
      <c r="EU1673" s="4"/>
      <c r="EV1673" s="4"/>
      <c r="EW1673" s="4"/>
      <c r="EX1673" s="4"/>
      <c r="EY1673" s="4"/>
      <c r="EZ1673" s="4"/>
      <c r="FA1673" s="4"/>
      <c r="FB1673" s="4"/>
      <c r="FC1673" s="4"/>
      <c r="FD1673" s="4"/>
      <c r="FE1673" s="4"/>
      <c r="FF1673" s="4"/>
      <c r="FG1673" s="4"/>
      <c r="FH1673" s="4"/>
      <c r="FI1673" s="4"/>
      <c r="FJ1673" s="4"/>
      <c r="FK1673" s="4"/>
      <c r="FL1673" s="4"/>
      <c r="FM1673" s="4"/>
      <c r="FN1673" s="4"/>
      <c r="FO1673" s="4"/>
      <c r="FP1673" s="4"/>
      <c r="FQ1673" s="4"/>
      <c r="FR1673" s="4"/>
      <c r="FS1673" s="4"/>
      <c r="FT1673" s="4"/>
      <c r="FU1673" s="4"/>
      <c r="FV1673" s="4"/>
      <c r="FW1673" s="4"/>
      <c r="FX1673" s="4"/>
      <c r="FY1673" s="4"/>
      <c r="FZ1673" s="4"/>
      <c r="GA1673" s="4"/>
      <c r="GB1673" s="4"/>
      <c r="GC1673" s="4"/>
      <c r="GD1673" s="4"/>
      <c r="GE1673" s="4"/>
      <c r="GF1673" s="4"/>
      <c r="GG1673" s="4"/>
      <c r="GH1673" s="4"/>
      <c r="GI1673" s="4"/>
      <c r="GJ1673" s="4"/>
      <c r="GK1673" s="4"/>
      <c r="GL1673" s="4"/>
      <c r="GM1673" s="4"/>
      <c r="GN1673" s="4"/>
      <c r="GO1673" s="4"/>
      <c r="GP1673" s="4"/>
      <c r="GQ1673" s="4"/>
      <c r="GR1673" s="4"/>
      <c r="GS1673" s="4"/>
      <c r="GT1673" s="4"/>
      <c r="GU1673" s="4"/>
      <c r="GV1673" s="4"/>
      <c r="GW1673" s="4"/>
      <c r="GX1673" s="4"/>
      <c r="GY1673" s="4"/>
      <c r="GZ1673" s="4"/>
      <c r="HA1673" s="4"/>
      <c r="HB1673" s="4"/>
      <c r="HC1673" s="4">
        <v>110</v>
      </c>
      <c r="HD1673" s="4"/>
      <c r="HE1673" s="4"/>
    </row>
    <row r="1674">
      <c r="A1674" s="2" t="s">
        <v>8342</v>
      </c>
      <c r="B1674" s="2" t="s">
        <v>848</v>
      </c>
      <c r="C1674" s="2" t="s">
        <v>849</v>
      </c>
      <c r="D1674" s="2" t="s">
        <v>1112</v>
      </c>
      <c r="E1674" s="2" t="s">
        <v>1113</v>
      </c>
      <c r="F1674" s="2" t="s">
        <v>8315</v>
      </c>
      <c r="G1674" s="2" t="s">
        <v>5749</v>
      </c>
      <c r="H1674" s="2" t="s">
        <v>8316</v>
      </c>
      <c r="I1674" s="2" t="s">
        <v>8317</v>
      </c>
      <c r="J1674" s="2" t="s">
        <v>856</v>
      </c>
      <c r="K1674" s="2" t="s">
        <v>823</v>
      </c>
      <c r="L1674" s="3">
        <v>33.33</v>
      </c>
      <c r="M1674" s="3">
        <v>35</v>
      </c>
      <c r="N1674" s="3">
        <v>69.99</v>
      </c>
      <c r="O1674" s="2" t="s">
        <v>240</v>
      </c>
      <c r="P1674" s="2" t="s">
        <v>266</v>
      </c>
      <c r="Q1674" s="2" t="s">
        <v>234</v>
      </c>
      <c r="R1674" s="2" t="s">
        <v>228</v>
      </c>
      <c r="S1674" s="2" t="s">
        <v>8343</v>
      </c>
      <c r="T1674" s="2" t="s">
        <v>3400</v>
      </c>
      <c r="U1674" s="2" t="s">
        <v>520</v>
      </c>
      <c r="V1674" s="2" t="s">
        <v>236</v>
      </c>
      <c r="W1674" s="2" t="s">
        <v>309</v>
      </c>
      <c r="X1674" s="2" t="s">
        <v>269</v>
      </c>
      <c r="Y1674" s="2" t="s">
        <v>927</v>
      </c>
      <c r="Z1674" s="4">
        <v>261</v>
      </c>
      <c r="AA1674" s="4">
        <f>=ROUNDDOWN(65.25,0)</f>
      </c>
      <c r="AB1674" s="5">
        <v>4</v>
      </c>
      <c r="AC1674" s="2" t="s">
        <v>7548</v>
      </c>
      <c r="AD1674" s="4">
        <v>40</v>
      </c>
      <c r="AE1674" s="4">
        <v>40</v>
      </c>
      <c r="AF1674" s="6">
        <v>64</v>
      </c>
      <c r="AG1674" s="6"/>
      <c r="AH1674" s="7">
        <v>1</v>
      </c>
      <c r="AI1674" s="4"/>
      <c r="AJ1674" s="4">
        <f>=ROUNDDOWN({0},0)</f>
      </c>
      <c r="AK1674" s="5"/>
      <c r="AL1674" s="2" t="s">
        <v>228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228</v>
      </c>
      <c r="AW1674" s="8" t="s">
        <v>228</v>
      </c>
      <c r="AX1674" s="4" t="s">
        <v>228</v>
      </c>
      <c r="AY1674" s="8" t="s">
        <v>228</v>
      </c>
      <c r="AZ1674" s="7" t="s">
        <v>228</v>
      </c>
      <c r="BA1674" s="7" t="s">
        <v>228</v>
      </c>
      <c r="BB1674" s="7"/>
      <c r="BC1674" s="4" t="s">
        <v>228</v>
      </c>
      <c r="BD1674" s="8" t="s">
        <v>228</v>
      </c>
      <c r="BE1674" s="4" t="s">
        <v>228</v>
      </c>
      <c r="BF1674" s="8" t="s">
        <v>228</v>
      </c>
      <c r="BG1674" s="7" t="s">
        <v>228</v>
      </c>
      <c r="BH1674" s="7" t="s">
        <v>228</v>
      </c>
      <c r="BI1674" s="7"/>
      <c r="BJ1674" s="4">
        <v>6</v>
      </c>
      <c r="BK1674" s="8">
        <v>214.73</v>
      </c>
      <c r="BL1674" s="2" t="s">
        <v>8344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8345</v>
      </c>
      <c r="BV1674" s="2" t="s">
        <v>228</v>
      </c>
      <c r="BW1674" s="2" t="s">
        <v>228</v>
      </c>
      <c r="BX1674" s="2" t="s">
        <v>273</v>
      </c>
      <c r="BY1674" s="2" t="s">
        <v>274</v>
      </c>
      <c r="BZ1674" s="2" t="s">
        <v>240</v>
      </c>
      <c r="CA1674" s="2" t="s">
        <v>2192</v>
      </c>
      <c r="CB1674" s="2" t="s">
        <v>3687</v>
      </c>
      <c r="CC1674" s="2" t="s">
        <v>241</v>
      </c>
      <c r="CD1674" s="2" t="s">
        <v>228</v>
      </c>
      <c r="CE1674" s="4">
        <v>261</v>
      </c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/>
      <c r="EU1674" s="4"/>
      <c r="EV1674" s="4"/>
      <c r="EW1674" s="4"/>
      <c r="EX1674" s="4"/>
      <c r="EY1674" s="4"/>
      <c r="EZ1674" s="4"/>
      <c r="FA1674" s="4"/>
      <c r="FB1674" s="4"/>
      <c r="FC1674" s="4"/>
      <c r="FD1674" s="4"/>
      <c r="FE1674" s="4"/>
      <c r="FF1674" s="4"/>
      <c r="FG1674" s="4"/>
      <c r="FH1674" s="4"/>
      <c r="FI1674" s="4"/>
      <c r="FJ1674" s="4"/>
      <c r="FK1674" s="4"/>
      <c r="FL1674" s="4"/>
      <c r="FM1674" s="4"/>
      <c r="FN1674" s="4"/>
      <c r="FO1674" s="4"/>
      <c r="FP1674" s="4"/>
      <c r="FQ1674" s="4"/>
      <c r="FR1674" s="4"/>
      <c r="FS1674" s="4"/>
      <c r="FT1674" s="4"/>
      <c r="FU1674" s="4"/>
      <c r="FV1674" s="4"/>
      <c r="FW1674" s="4"/>
      <c r="FX1674" s="4"/>
      <c r="FY1674" s="4"/>
      <c r="FZ1674" s="4"/>
      <c r="GA1674" s="4"/>
      <c r="GB1674" s="4"/>
      <c r="GC1674" s="4"/>
      <c r="GD1674" s="4"/>
      <c r="GE1674" s="4"/>
      <c r="GF1674" s="4"/>
      <c r="GG1674" s="4"/>
      <c r="GH1674" s="4"/>
      <c r="GI1674" s="4"/>
      <c r="GJ1674" s="4"/>
      <c r="GK1674" s="4"/>
      <c r="GL1674" s="4"/>
      <c r="GM1674" s="4"/>
      <c r="GN1674" s="4"/>
      <c r="GO1674" s="4"/>
      <c r="GP1674" s="4"/>
      <c r="GQ1674" s="4"/>
      <c r="GR1674" s="4"/>
      <c r="GS1674" s="4"/>
      <c r="GT1674" s="4"/>
      <c r="GU1674" s="4"/>
      <c r="GV1674" s="4"/>
      <c r="GW1674" s="4"/>
      <c r="GX1674" s="4"/>
      <c r="GY1674" s="4"/>
      <c r="GZ1674" s="4"/>
      <c r="HA1674" s="4"/>
      <c r="HB1674" s="4"/>
      <c r="HC1674" s="4">
        <v>40</v>
      </c>
      <c r="HD1674" s="4"/>
      <c r="HE1674" s="4"/>
    </row>
    <row r="1675">
      <c r="A1675" s="2" t="s">
        <v>8346</v>
      </c>
      <c r="B1675" s="2" t="s">
        <v>848</v>
      </c>
      <c r="C1675" s="2" t="s">
        <v>849</v>
      </c>
      <c r="D1675" s="2" t="s">
        <v>1112</v>
      </c>
      <c r="E1675" s="2" t="s">
        <v>1113</v>
      </c>
      <c r="F1675" s="2" t="s">
        <v>8315</v>
      </c>
      <c r="G1675" s="2" t="s">
        <v>5749</v>
      </c>
      <c r="H1675" s="2" t="s">
        <v>8316</v>
      </c>
      <c r="I1675" s="2" t="s">
        <v>8317</v>
      </c>
      <c r="J1675" s="2" t="s">
        <v>1043</v>
      </c>
      <c r="K1675" s="2" t="s">
        <v>823</v>
      </c>
      <c r="L1675" s="3">
        <v>47.61</v>
      </c>
      <c r="M1675" s="3">
        <v>49.99</v>
      </c>
      <c r="N1675" s="3">
        <v>99.99</v>
      </c>
      <c r="O1675" s="2" t="s">
        <v>240</v>
      </c>
      <c r="P1675" s="2" t="s">
        <v>266</v>
      </c>
      <c r="Q1675" s="2" t="s">
        <v>234</v>
      </c>
      <c r="R1675" s="2" t="s">
        <v>228</v>
      </c>
      <c r="S1675" s="2" t="s">
        <v>8343</v>
      </c>
      <c r="T1675" s="2" t="s">
        <v>3400</v>
      </c>
      <c r="U1675" s="2" t="s">
        <v>500</v>
      </c>
      <c r="V1675" s="2" t="s">
        <v>236</v>
      </c>
      <c r="W1675" s="2" t="s">
        <v>309</v>
      </c>
      <c r="X1675" s="2" t="s">
        <v>269</v>
      </c>
      <c r="Y1675" s="2" t="s">
        <v>927</v>
      </c>
      <c r="Z1675" s="4">
        <v>292</v>
      </c>
      <c r="AA1675" s="4">
        <f>=ROUNDDOWN(58.4,0)</f>
      </c>
      <c r="AB1675" s="5">
        <v>5</v>
      </c>
      <c r="AC1675" s="2" t="s">
        <v>7548</v>
      </c>
      <c r="AD1675" s="4">
        <v>210</v>
      </c>
      <c r="AE1675" s="4">
        <v>210</v>
      </c>
      <c r="AF1675" s="6">
        <v>64</v>
      </c>
      <c r="AG1675" s="6"/>
      <c r="AH1675" s="7">
        <v>1</v>
      </c>
      <c r="AI1675" s="4"/>
      <c r="AJ1675" s="4">
        <f>=ROUNDDOWN({0},0)</f>
      </c>
      <c r="AK1675" s="5"/>
      <c r="AL1675" s="2" t="s">
        <v>228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228</v>
      </c>
      <c r="AW1675" s="8" t="s">
        <v>228</v>
      </c>
      <c r="AX1675" s="4" t="s">
        <v>228</v>
      </c>
      <c r="AY1675" s="8" t="s">
        <v>228</v>
      </c>
      <c r="AZ1675" s="7" t="s">
        <v>228</v>
      </c>
      <c r="BA1675" s="7" t="s">
        <v>228</v>
      </c>
      <c r="BB1675" s="7"/>
      <c r="BC1675" s="4" t="s">
        <v>228</v>
      </c>
      <c r="BD1675" s="8" t="s">
        <v>228</v>
      </c>
      <c r="BE1675" s="4" t="s">
        <v>228</v>
      </c>
      <c r="BF1675" s="8" t="s">
        <v>228</v>
      </c>
      <c r="BG1675" s="7" t="s">
        <v>228</v>
      </c>
      <c r="BH1675" s="7" t="s">
        <v>228</v>
      </c>
      <c r="BI1675" s="7"/>
      <c r="BJ1675" s="4">
        <v>8</v>
      </c>
      <c r="BK1675" s="8">
        <v>440.16</v>
      </c>
      <c r="BL1675" s="2" t="s">
        <v>8347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8348</v>
      </c>
      <c r="BV1675" s="2" t="s">
        <v>228</v>
      </c>
      <c r="BW1675" s="2" t="s">
        <v>228</v>
      </c>
      <c r="BX1675" s="2" t="s">
        <v>273</v>
      </c>
      <c r="BY1675" s="2" t="s">
        <v>274</v>
      </c>
      <c r="BZ1675" s="2" t="s">
        <v>240</v>
      </c>
      <c r="CA1675" s="2" t="s">
        <v>2192</v>
      </c>
      <c r="CB1675" s="2" t="s">
        <v>846</v>
      </c>
      <c r="CC1675" s="2" t="s">
        <v>241</v>
      </c>
      <c r="CD1675" s="2" t="s">
        <v>228</v>
      </c>
      <c r="CE1675" s="4">
        <v>292</v>
      </c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/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/>
      <c r="FT1675" s="4"/>
      <c r="FU1675" s="4"/>
      <c r="FV1675" s="4"/>
      <c r="FW1675" s="4"/>
      <c r="FX1675" s="4"/>
      <c r="FY1675" s="4"/>
      <c r="FZ1675" s="4"/>
      <c r="GA1675" s="4"/>
      <c r="GB1675" s="4"/>
      <c r="GC1675" s="4"/>
      <c r="GD1675" s="4"/>
      <c r="GE1675" s="4"/>
      <c r="GF1675" s="4"/>
      <c r="GG1675" s="4"/>
      <c r="GH1675" s="4"/>
      <c r="GI1675" s="4"/>
      <c r="GJ1675" s="4"/>
      <c r="GK1675" s="4"/>
      <c r="GL1675" s="4"/>
      <c r="GM1675" s="4"/>
      <c r="GN1675" s="4"/>
      <c r="GO1675" s="4"/>
      <c r="GP1675" s="4"/>
      <c r="GQ1675" s="4"/>
      <c r="GR1675" s="4"/>
      <c r="GS1675" s="4"/>
      <c r="GT1675" s="4"/>
      <c r="GU1675" s="4"/>
      <c r="GV1675" s="4"/>
      <c r="GW1675" s="4"/>
      <c r="GX1675" s="4"/>
      <c r="GY1675" s="4"/>
      <c r="GZ1675" s="4"/>
      <c r="HA1675" s="4"/>
      <c r="HB1675" s="4"/>
      <c r="HC1675" s="4">
        <v>210</v>
      </c>
      <c r="HD1675" s="4"/>
      <c r="HE1675" s="4"/>
    </row>
    <row r="1676">
      <c r="A1676" s="2" t="s">
        <v>8349</v>
      </c>
      <c r="B1676" s="2" t="s">
        <v>970</v>
      </c>
      <c r="C1676" s="2" t="s">
        <v>1296</v>
      </c>
      <c r="D1676" s="2" t="s">
        <v>971</v>
      </c>
      <c r="E1676" s="2" t="s">
        <v>972</v>
      </c>
      <c r="F1676" s="2" t="s">
        <v>8350</v>
      </c>
      <c r="G1676" s="2" t="s">
        <v>8351</v>
      </c>
      <c r="H1676" s="2" t="s">
        <v>8352</v>
      </c>
      <c r="I1676" s="2" t="s">
        <v>8353</v>
      </c>
      <c r="J1676" s="2" t="s">
        <v>1309</v>
      </c>
      <c r="K1676" s="2" t="s">
        <v>1466</v>
      </c>
      <c r="L1676" s="3">
        <v>21</v>
      </c>
      <c r="M1676" s="3">
        <v>22.05</v>
      </c>
      <c r="N1676" s="3">
        <v>49.99</v>
      </c>
      <c r="O1676" s="2" t="s">
        <v>240</v>
      </c>
      <c r="P1676" s="2" t="s">
        <v>266</v>
      </c>
      <c r="Q1676" s="2" t="s">
        <v>234</v>
      </c>
      <c r="R1676" s="2" t="s">
        <v>228</v>
      </c>
      <c r="S1676" s="2" t="s">
        <v>8354</v>
      </c>
      <c r="T1676" s="2" t="s">
        <v>228</v>
      </c>
      <c r="U1676" s="2" t="s">
        <v>228</v>
      </c>
      <c r="V1676" s="2" t="s">
        <v>1302</v>
      </c>
      <c r="W1676" s="2" t="s">
        <v>792</v>
      </c>
      <c r="X1676" s="2" t="s">
        <v>981</v>
      </c>
      <c r="Y1676" s="2" t="s">
        <v>3939</v>
      </c>
      <c r="Z1676" s="4">
        <v>333</v>
      </c>
      <c r="AA1676" s="4">
        <f>=ROUNDDOWN(37,0)</f>
      </c>
      <c r="AB1676" s="5">
        <v>9</v>
      </c>
      <c r="AC1676" s="2" t="s">
        <v>228</v>
      </c>
      <c r="AD1676" s="4"/>
      <c r="AE1676" s="4"/>
      <c r="AF1676" s="6">
        <v>68</v>
      </c>
      <c r="AG1676" s="6"/>
      <c r="AH1676" s="7">
        <v>1</v>
      </c>
      <c r="AI1676" s="4"/>
      <c r="AJ1676" s="4">
        <f>=ROUNDDOWN({0},0)</f>
      </c>
      <c r="AK1676" s="5"/>
      <c r="AL1676" s="2" t="s">
        <v>228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/>
      <c r="AW1676" s="8"/>
      <c r="AX1676" s="4"/>
      <c r="AY1676" s="8"/>
      <c r="AZ1676" s="7"/>
      <c r="BA1676" s="7"/>
      <c r="BB1676" s="7"/>
      <c r="BC1676" s="4" t="s">
        <v>228</v>
      </c>
      <c r="BD1676" s="8" t="s">
        <v>228</v>
      </c>
      <c r="BE1676" s="4" t="s">
        <v>228</v>
      </c>
      <c r="BF1676" s="8" t="s">
        <v>228</v>
      </c>
      <c r="BG1676" s="7" t="s">
        <v>228</v>
      </c>
      <c r="BH1676" s="7" t="s">
        <v>228</v>
      </c>
      <c r="BI1676" s="7"/>
      <c r="BJ1676" s="4">
        <v>31</v>
      </c>
      <c r="BK1676" s="8">
        <v>663.59</v>
      </c>
      <c r="BL1676" s="2" t="s">
        <v>8355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8356</v>
      </c>
      <c r="BV1676" s="2" t="s">
        <v>228</v>
      </c>
      <c r="BW1676" s="2" t="s">
        <v>228</v>
      </c>
      <c r="BX1676" s="2" t="s">
        <v>273</v>
      </c>
      <c r="BY1676" s="2" t="s">
        <v>274</v>
      </c>
      <c r="BZ1676" s="2" t="s">
        <v>240</v>
      </c>
      <c r="CA1676" s="2" t="s">
        <v>7158</v>
      </c>
      <c r="CB1676" s="2" t="s">
        <v>4014</v>
      </c>
      <c r="CC1676" s="2" t="s">
        <v>241</v>
      </c>
      <c r="CD1676" s="2" t="s">
        <v>228</v>
      </c>
      <c r="CE1676" s="4">
        <v>333</v>
      </c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/>
      <c r="FR1676" s="4"/>
      <c r="FS1676" s="4"/>
      <c r="FT1676" s="4"/>
      <c r="FU1676" s="4"/>
      <c r="FV1676" s="4"/>
      <c r="FW1676" s="4"/>
      <c r="FX1676" s="4"/>
      <c r="FY1676" s="4"/>
      <c r="FZ1676" s="4"/>
      <c r="GA1676" s="4"/>
      <c r="GB1676" s="4"/>
      <c r="GC1676" s="4"/>
      <c r="GD1676" s="4"/>
      <c r="GE1676" s="4"/>
      <c r="GF1676" s="4"/>
      <c r="GG1676" s="4"/>
      <c r="GH1676" s="4"/>
      <c r="GI1676" s="4"/>
      <c r="GJ1676" s="4"/>
      <c r="GK1676" s="4"/>
      <c r="GL1676" s="4"/>
      <c r="GM1676" s="4"/>
      <c r="GN1676" s="4"/>
      <c r="GO1676" s="4"/>
      <c r="GP1676" s="4"/>
      <c r="GQ1676" s="4"/>
      <c r="GR1676" s="4"/>
      <c r="GS1676" s="4"/>
      <c r="GT1676" s="4"/>
      <c r="GU1676" s="4"/>
      <c r="GV1676" s="4"/>
      <c r="GW1676" s="4"/>
      <c r="GX1676" s="4"/>
      <c r="GY1676" s="4"/>
      <c r="GZ1676" s="4"/>
      <c r="HA1676" s="4"/>
      <c r="HB1676" s="4"/>
      <c r="HC1676" s="4"/>
      <c r="HD1676" s="4"/>
      <c r="HE1676" s="4"/>
    </row>
    <row r="1677">
      <c r="A1677" s="2" t="s">
        <v>8357</v>
      </c>
      <c r="B1677" s="2" t="s">
        <v>970</v>
      </c>
      <c r="C1677" s="2" t="s">
        <v>1296</v>
      </c>
      <c r="D1677" s="2" t="s">
        <v>971</v>
      </c>
      <c r="E1677" s="2" t="s">
        <v>972</v>
      </c>
      <c r="F1677" s="2" t="s">
        <v>8350</v>
      </c>
      <c r="G1677" s="2" t="s">
        <v>8351</v>
      </c>
      <c r="H1677" s="2" t="s">
        <v>8352</v>
      </c>
      <c r="I1677" s="2" t="s">
        <v>8353</v>
      </c>
      <c r="J1677" s="2" t="s">
        <v>977</v>
      </c>
      <c r="K1677" s="2" t="s">
        <v>823</v>
      </c>
      <c r="L1677" s="3">
        <v>16.8</v>
      </c>
      <c r="M1677" s="3">
        <v>17.64</v>
      </c>
      <c r="N1677" s="3">
        <v>39.99</v>
      </c>
      <c r="O1677" s="2" t="s">
        <v>240</v>
      </c>
      <c r="P1677" s="2" t="s">
        <v>266</v>
      </c>
      <c r="Q1677" s="2" t="s">
        <v>234</v>
      </c>
      <c r="R1677" s="2" t="s">
        <v>228</v>
      </c>
      <c r="S1677" s="2" t="s">
        <v>228</v>
      </c>
      <c r="T1677" s="2" t="s">
        <v>228</v>
      </c>
      <c r="U1677" s="2" t="s">
        <v>228</v>
      </c>
      <c r="V1677" s="2" t="s">
        <v>1302</v>
      </c>
      <c r="W1677" s="2" t="s">
        <v>309</v>
      </c>
      <c r="X1677" s="2" t="s">
        <v>981</v>
      </c>
      <c r="Y1677" s="2" t="s">
        <v>3939</v>
      </c>
      <c r="Z1677" s="4">
        <v>519</v>
      </c>
      <c r="AA1677" s="4">
        <f>=ROUNDDOWN(16.21875,0)</f>
      </c>
      <c r="AB1677" s="5">
        <v>32</v>
      </c>
      <c r="AC1677" s="2" t="s">
        <v>187</v>
      </c>
      <c r="AD1677" s="4">
        <v>300</v>
      </c>
      <c r="AE1677" s="4">
        <v>620</v>
      </c>
      <c r="AF1677" s="6">
        <v>68</v>
      </c>
      <c r="AG1677" s="6"/>
      <c r="AH1677" s="7">
        <v>1</v>
      </c>
      <c r="AI1677" s="4"/>
      <c r="AJ1677" s="4">
        <f>=ROUNDDOWN({0},0)</f>
      </c>
      <c r="AK1677" s="5"/>
      <c r="AL1677" s="2" t="s">
        <v>228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/>
      <c r="AW1677" s="8"/>
      <c r="AX1677" s="4"/>
      <c r="AY1677" s="8"/>
      <c r="AZ1677" s="7"/>
      <c r="BA1677" s="7"/>
      <c r="BB1677" s="7"/>
      <c r="BC1677" s="4" t="s">
        <v>228</v>
      </c>
      <c r="BD1677" s="8" t="s">
        <v>228</v>
      </c>
      <c r="BE1677" s="4" t="s">
        <v>228</v>
      </c>
      <c r="BF1677" s="8" t="s">
        <v>228</v>
      </c>
      <c r="BG1677" s="7" t="s">
        <v>228</v>
      </c>
      <c r="BH1677" s="7" t="s">
        <v>228</v>
      </c>
      <c r="BI1677" s="7"/>
      <c r="BJ1677" s="4">
        <v>148</v>
      </c>
      <c r="BK1677" s="8">
        <v>2514.86</v>
      </c>
      <c r="BL1677" s="2" t="s">
        <v>8358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8359</v>
      </c>
      <c r="BV1677" s="2" t="s">
        <v>228</v>
      </c>
      <c r="BW1677" s="2" t="s">
        <v>228</v>
      </c>
      <c r="BX1677" s="2" t="s">
        <v>273</v>
      </c>
      <c r="BY1677" s="2" t="s">
        <v>274</v>
      </c>
      <c r="BZ1677" s="2" t="s">
        <v>240</v>
      </c>
      <c r="CA1677" s="2" t="s">
        <v>7158</v>
      </c>
      <c r="CB1677" s="2" t="s">
        <v>8360</v>
      </c>
      <c r="CC1677" s="2" t="s">
        <v>241</v>
      </c>
      <c r="CD1677" s="2" t="s">
        <v>228</v>
      </c>
      <c r="CE1677" s="4">
        <v>519</v>
      </c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/>
      <c r="FS1677" s="4"/>
      <c r="FT1677" s="4"/>
      <c r="FU1677" s="4"/>
      <c r="FV1677" s="4"/>
      <c r="FW1677" s="4">
        <v>300</v>
      </c>
      <c r="FX1677" s="4"/>
      <c r="FY1677" s="4"/>
      <c r="FZ1677" s="4"/>
      <c r="GA1677" s="4"/>
      <c r="GB1677" s="4"/>
      <c r="GC1677" s="4"/>
      <c r="GD1677" s="4"/>
      <c r="GE1677" s="4"/>
      <c r="GF1677" s="4"/>
      <c r="GG1677" s="4"/>
      <c r="GH1677" s="4"/>
      <c r="GI1677" s="4"/>
      <c r="GJ1677" s="4"/>
      <c r="GK1677" s="4"/>
      <c r="GL1677" s="4"/>
      <c r="GM1677" s="4"/>
      <c r="GN1677" s="4"/>
      <c r="GO1677" s="4"/>
      <c r="GP1677" s="4"/>
      <c r="GQ1677" s="4"/>
      <c r="GR1677" s="4"/>
      <c r="GS1677" s="4">
        <v>320</v>
      </c>
      <c r="GT1677" s="4"/>
      <c r="GU1677" s="4"/>
      <c r="GV1677" s="4"/>
      <c r="GW1677" s="4"/>
      <c r="GX1677" s="4"/>
      <c r="GY1677" s="4"/>
      <c r="GZ1677" s="4"/>
      <c r="HA1677" s="4"/>
      <c r="HB1677" s="4"/>
      <c r="HC1677" s="4"/>
      <c r="HD1677" s="4"/>
      <c r="HE1677" s="4"/>
    </row>
    <row r="1678">
      <c r="A1678" s="2" t="s">
        <v>8361</v>
      </c>
      <c r="B1678" s="2" t="s">
        <v>1150</v>
      </c>
      <c r="C1678" s="2" t="s">
        <v>731</v>
      </c>
      <c r="D1678" s="2" t="s">
        <v>1112</v>
      </c>
      <c r="E1678" s="2" t="s">
        <v>1113</v>
      </c>
      <c r="F1678" s="2" t="s">
        <v>8362</v>
      </c>
      <c r="G1678" s="2" t="s">
        <v>8362</v>
      </c>
      <c r="H1678" s="2" t="s">
        <v>8362</v>
      </c>
      <c r="I1678" s="2" t="s">
        <v>8363</v>
      </c>
      <c r="J1678" s="2" t="s">
        <v>1189</v>
      </c>
      <c r="K1678" s="2" t="s">
        <v>231</v>
      </c>
      <c r="L1678" s="3">
        <v>45.71</v>
      </c>
      <c r="M1678" s="3">
        <v>48</v>
      </c>
      <c r="N1678" s="3">
        <v>99</v>
      </c>
      <c r="O1678" s="2" t="s">
        <v>491</v>
      </c>
      <c r="P1678" s="2" t="s">
        <v>333</v>
      </c>
      <c r="Q1678" s="2" t="s">
        <v>234</v>
      </c>
      <c r="R1678" s="2" t="s">
        <v>228</v>
      </c>
      <c r="S1678" s="2" t="s">
        <v>8364</v>
      </c>
      <c r="T1678" s="2" t="s">
        <v>228</v>
      </c>
      <c r="U1678" s="2" t="s">
        <v>500</v>
      </c>
      <c r="V1678" s="2" t="s">
        <v>236</v>
      </c>
      <c r="W1678" s="2" t="s">
        <v>269</v>
      </c>
      <c r="X1678" s="2" t="s">
        <v>228</v>
      </c>
      <c r="Y1678" s="2" t="s">
        <v>5632</v>
      </c>
      <c r="Z1678" s="4">
        <v>38</v>
      </c>
      <c r="AA1678" s="4">
        <f>=ROUNDDOWN(17.2727272727273,0)</f>
      </c>
      <c r="AB1678" s="5">
        <v>2.2</v>
      </c>
      <c r="AC1678" s="2" t="s">
        <v>228</v>
      </c>
      <c r="AD1678" s="4"/>
      <c r="AE1678" s="4"/>
      <c r="AF1678" s="6">
        <v>65</v>
      </c>
      <c r="AG1678" s="6"/>
      <c r="AH1678" s="7">
        <v>1</v>
      </c>
      <c r="AI1678" s="4"/>
      <c r="AJ1678" s="4">
        <f>=ROUNDDOWN({0},0)</f>
      </c>
      <c r="AK1678" s="5"/>
      <c r="AL1678" s="2" t="s">
        <v>228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 t="s">
        <v>228</v>
      </c>
      <c r="AW1678" s="8" t="s">
        <v>228</v>
      </c>
      <c r="AX1678" s="4" t="s">
        <v>228</v>
      </c>
      <c r="AY1678" s="8" t="s">
        <v>228</v>
      </c>
      <c r="AZ1678" s="7" t="s">
        <v>228</v>
      </c>
      <c r="BA1678" s="7" t="s">
        <v>228</v>
      </c>
      <c r="BB1678" s="7" t="s">
        <v>228</v>
      </c>
      <c r="BC1678" s="4" t="s">
        <v>228</v>
      </c>
      <c r="BD1678" s="8" t="s">
        <v>228</v>
      </c>
      <c r="BE1678" s="4" t="s">
        <v>228</v>
      </c>
      <c r="BF1678" s="8" t="s">
        <v>228</v>
      </c>
      <c r="BG1678" s="7" t="s">
        <v>228</v>
      </c>
      <c r="BH1678" s="7" t="s">
        <v>228</v>
      </c>
      <c r="BI1678" s="7"/>
      <c r="BJ1678" s="4">
        <v>9</v>
      </c>
      <c r="BK1678" s="8">
        <v>413.67</v>
      </c>
      <c r="BL1678" s="2" t="s">
        <v>5905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8365</v>
      </c>
      <c r="BV1678" s="2" t="s">
        <v>228</v>
      </c>
      <c r="BW1678" s="2" t="s">
        <v>228</v>
      </c>
      <c r="BX1678" s="2" t="s">
        <v>337</v>
      </c>
      <c r="BY1678" s="2" t="s">
        <v>274</v>
      </c>
      <c r="BZ1678" s="2" t="s">
        <v>240</v>
      </c>
      <c r="CA1678" s="2" t="s">
        <v>5535</v>
      </c>
      <c r="CB1678" s="2" t="s">
        <v>3462</v>
      </c>
      <c r="CC1678" s="2" t="s">
        <v>241</v>
      </c>
      <c r="CD1678" s="2" t="s">
        <v>228</v>
      </c>
      <c r="CE1678" s="4">
        <v>38</v>
      </c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/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/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/>
      <c r="FT1678" s="4"/>
      <c r="FU1678" s="4"/>
      <c r="FV1678" s="4"/>
      <c r="FW1678" s="4"/>
      <c r="FX1678" s="4"/>
      <c r="FY1678" s="4"/>
      <c r="FZ1678" s="4"/>
      <c r="GA1678" s="4"/>
      <c r="GB1678" s="4"/>
      <c r="GC1678" s="4"/>
      <c r="GD1678" s="4"/>
      <c r="GE1678" s="4"/>
      <c r="GF1678" s="4"/>
      <c r="GG1678" s="4"/>
      <c r="GH1678" s="4"/>
      <c r="GI1678" s="4"/>
      <c r="GJ1678" s="4"/>
      <c r="GK1678" s="4"/>
      <c r="GL1678" s="4"/>
      <c r="GM1678" s="4"/>
      <c r="GN1678" s="4"/>
      <c r="GO1678" s="4"/>
      <c r="GP1678" s="4"/>
      <c r="GQ1678" s="4"/>
      <c r="GR1678" s="4"/>
      <c r="GS1678" s="4"/>
      <c r="GT1678" s="4"/>
      <c r="GU1678" s="4"/>
      <c r="GV1678" s="4"/>
      <c r="GW1678" s="4"/>
      <c r="GX1678" s="4"/>
      <c r="GY1678" s="4"/>
      <c r="GZ1678" s="4"/>
      <c r="HA1678" s="4"/>
      <c r="HB1678" s="4"/>
      <c r="HC1678" s="4"/>
      <c r="HD1678" s="4"/>
      <c r="HE1678" s="4"/>
    </row>
    <row r="1679">
      <c r="A1679" s="2" t="s">
        <v>8366</v>
      </c>
      <c r="B1679" s="2" t="s">
        <v>1150</v>
      </c>
      <c r="C1679" s="2" t="s">
        <v>731</v>
      </c>
      <c r="D1679" s="2" t="s">
        <v>850</v>
      </c>
      <c r="E1679" s="2" t="s">
        <v>1038</v>
      </c>
      <c r="F1679" s="2" t="s">
        <v>8362</v>
      </c>
      <c r="G1679" s="2" t="s">
        <v>8362</v>
      </c>
      <c r="H1679" s="2" t="s">
        <v>8362</v>
      </c>
      <c r="I1679" s="2" t="s">
        <v>8367</v>
      </c>
      <c r="J1679" s="2" t="s">
        <v>1189</v>
      </c>
      <c r="K1679" s="2" t="s">
        <v>231</v>
      </c>
      <c r="L1679" s="3">
        <v>32</v>
      </c>
      <c r="M1679" s="3">
        <v>33.6</v>
      </c>
      <c r="N1679" s="3">
        <v>69.99</v>
      </c>
      <c r="O1679" s="2" t="s">
        <v>461</v>
      </c>
      <c r="P1679" s="2" t="s">
        <v>333</v>
      </c>
      <c r="Q1679" s="2" t="s">
        <v>234</v>
      </c>
      <c r="R1679" s="2" t="s">
        <v>228</v>
      </c>
      <c r="S1679" s="2" t="s">
        <v>8364</v>
      </c>
      <c r="T1679" s="2" t="s">
        <v>228</v>
      </c>
      <c r="U1679" s="2" t="s">
        <v>500</v>
      </c>
      <c r="V1679" s="2" t="s">
        <v>236</v>
      </c>
      <c r="W1679" s="2" t="s">
        <v>269</v>
      </c>
      <c r="X1679" s="2" t="s">
        <v>228</v>
      </c>
      <c r="Y1679" s="2" t="s">
        <v>5632</v>
      </c>
      <c r="Z1679" s="4">
        <v>60</v>
      </c>
      <c r="AA1679" s="4">
        <f>=ROUNDDOWN(300,0)</f>
      </c>
      <c r="AB1679" s="5">
        <v>0.2</v>
      </c>
      <c r="AC1679" s="2" t="s">
        <v>228</v>
      </c>
      <c r="AD1679" s="4"/>
      <c r="AE1679" s="4"/>
      <c r="AF1679" s="6">
        <v>65</v>
      </c>
      <c r="AG1679" s="6"/>
      <c r="AH1679" s="7">
        <v>0.9032</v>
      </c>
      <c r="AI1679" s="4"/>
      <c r="AJ1679" s="4">
        <f>=ROUNDDOWN({0},0)</f>
      </c>
      <c r="AK1679" s="5"/>
      <c r="AL1679" s="2" t="s">
        <v>228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228</v>
      </c>
      <c r="AW1679" s="8" t="s">
        <v>228</v>
      </c>
      <c r="AX1679" s="4" t="s">
        <v>228</v>
      </c>
      <c r="AY1679" s="8" t="s">
        <v>228</v>
      </c>
      <c r="AZ1679" s="7" t="s">
        <v>228</v>
      </c>
      <c r="BA1679" s="7" t="s">
        <v>228</v>
      </c>
      <c r="BB1679" s="7" t="s">
        <v>228</v>
      </c>
      <c r="BC1679" s="4" t="s">
        <v>228</v>
      </c>
      <c r="BD1679" s="8" t="s">
        <v>228</v>
      </c>
      <c r="BE1679" s="4" t="s">
        <v>228</v>
      </c>
      <c r="BF1679" s="8" t="s">
        <v>228</v>
      </c>
      <c r="BG1679" s="7" t="s">
        <v>228</v>
      </c>
      <c r="BH1679" s="7" t="s">
        <v>228</v>
      </c>
      <c r="BI1679" s="7"/>
      <c r="BJ1679" s="4">
        <v>2</v>
      </c>
      <c r="BK1679" s="8">
        <v>69.89</v>
      </c>
      <c r="BL1679" s="2" t="s">
        <v>8368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8369</v>
      </c>
      <c r="BV1679" s="2" t="s">
        <v>228</v>
      </c>
      <c r="BW1679" s="2" t="s">
        <v>228</v>
      </c>
      <c r="BX1679" s="2" t="s">
        <v>337</v>
      </c>
      <c r="BY1679" s="2" t="s">
        <v>274</v>
      </c>
      <c r="BZ1679" s="2" t="s">
        <v>240</v>
      </c>
      <c r="CA1679" s="2" t="s">
        <v>5535</v>
      </c>
      <c r="CB1679" s="2" t="s">
        <v>4688</v>
      </c>
      <c r="CC1679" s="2" t="s">
        <v>241</v>
      </c>
      <c r="CD1679" s="2" t="s">
        <v>228</v>
      </c>
      <c r="CE1679" s="4">
        <v>60</v>
      </c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/>
      <c r="FB1679" s="4"/>
      <c r="FC1679" s="4"/>
      <c r="FD1679" s="4"/>
      <c r="FE1679" s="4"/>
      <c r="FF1679" s="4"/>
      <c r="FG1679" s="4"/>
      <c r="FH1679" s="4"/>
      <c r="FI1679" s="4"/>
      <c r="FJ1679" s="4"/>
      <c r="FK1679" s="4"/>
      <c r="FL1679" s="4"/>
      <c r="FM1679" s="4"/>
      <c r="FN1679" s="4"/>
      <c r="FO1679" s="4"/>
      <c r="FP1679" s="4"/>
      <c r="FQ1679" s="4"/>
      <c r="FR1679" s="4"/>
      <c r="FS1679" s="4"/>
      <c r="FT1679" s="4"/>
      <c r="FU1679" s="4"/>
      <c r="FV1679" s="4"/>
      <c r="FW1679" s="4"/>
      <c r="FX1679" s="4"/>
      <c r="FY1679" s="4"/>
      <c r="FZ1679" s="4"/>
      <c r="GA1679" s="4"/>
      <c r="GB1679" s="4"/>
      <c r="GC1679" s="4"/>
      <c r="GD1679" s="4"/>
      <c r="GE1679" s="4"/>
      <c r="GF1679" s="4"/>
      <c r="GG1679" s="4"/>
      <c r="GH1679" s="4"/>
      <c r="GI1679" s="4"/>
      <c r="GJ1679" s="4"/>
      <c r="GK1679" s="4"/>
      <c r="GL1679" s="4"/>
      <c r="GM1679" s="4"/>
      <c r="GN1679" s="4"/>
      <c r="GO1679" s="4"/>
      <c r="GP1679" s="4"/>
      <c r="GQ1679" s="4"/>
      <c r="GR1679" s="4"/>
      <c r="GS1679" s="4"/>
      <c r="GT1679" s="4"/>
      <c r="GU1679" s="4"/>
      <c r="GV1679" s="4"/>
      <c r="GW1679" s="4"/>
      <c r="GX1679" s="4"/>
      <c r="GY1679" s="4"/>
      <c r="GZ1679" s="4"/>
      <c r="HA1679" s="4"/>
      <c r="HB1679" s="4"/>
      <c r="HC1679" s="4"/>
      <c r="HD1679" s="4"/>
      <c r="HE1679" s="4"/>
    </row>
    <row r="1680">
      <c r="A1680" s="2" t="s">
        <v>8370</v>
      </c>
      <c r="B1680" s="2" t="s">
        <v>1150</v>
      </c>
      <c r="C1680" s="2" t="s">
        <v>731</v>
      </c>
      <c r="D1680" s="2" t="s">
        <v>850</v>
      </c>
      <c r="E1680" s="2" t="s">
        <v>1038</v>
      </c>
      <c r="F1680" s="2" t="s">
        <v>8362</v>
      </c>
      <c r="G1680" s="2" t="s">
        <v>8362</v>
      </c>
      <c r="H1680" s="2" t="s">
        <v>8362</v>
      </c>
      <c r="I1680" s="2" t="s">
        <v>8367</v>
      </c>
      <c r="J1680" s="2" t="s">
        <v>1043</v>
      </c>
      <c r="K1680" s="2" t="s">
        <v>231</v>
      </c>
      <c r="L1680" s="3">
        <v>36.57</v>
      </c>
      <c r="M1680" s="3">
        <v>38.4</v>
      </c>
      <c r="N1680" s="3">
        <v>79.99</v>
      </c>
      <c r="O1680" s="2" t="s">
        <v>461</v>
      </c>
      <c r="P1680" s="2" t="s">
        <v>333</v>
      </c>
      <c r="Q1680" s="2" t="s">
        <v>234</v>
      </c>
      <c r="R1680" s="2" t="s">
        <v>228</v>
      </c>
      <c r="S1680" s="2" t="s">
        <v>8364</v>
      </c>
      <c r="T1680" s="2" t="s">
        <v>228</v>
      </c>
      <c r="U1680" s="2" t="s">
        <v>500</v>
      </c>
      <c r="V1680" s="2" t="s">
        <v>236</v>
      </c>
      <c r="W1680" s="2" t="s">
        <v>269</v>
      </c>
      <c r="X1680" s="2" t="s">
        <v>228</v>
      </c>
      <c r="Y1680" s="2" t="s">
        <v>5632</v>
      </c>
      <c r="Z1680" s="4">
        <v>99</v>
      </c>
      <c r="AA1680" s="4">
        <f>=ROUNDDOWN(495,0)</f>
      </c>
      <c r="AB1680" s="5">
        <v>0.2</v>
      </c>
      <c r="AC1680" s="2" t="s">
        <v>228</v>
      </c>
      <c r="AD1680" s="4"/>
      <c r="AE1680" s="4"/>
      <c r="AF1680" s="6">
        <v>65</v>
      </c>
      <c r="AG1680" s="6"/>
      <c r="AH1680" s="7">
        <v>0.6452</v>
      </c>
      <c r="AI1680" s="4"/>
      <c r="AJ1680" s="4">
        <f>=ROUNDDOWN({0},0)</f>
      </c>
      <c r="AK1680" s="5"/>
      <c r="AL1680" s="2" t="s">
        <v>228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228</v>
      </c>
      <c r="AW1680" s="8" t="s">
        <v>228</v>
      </c>
      <c r="AX1680" s="4" t="s">
        <v>228</v>
      </c>
      <c r="AY1680" s="8" t="s">
        <v>228</v>
      </c>
      <c r="AZ1680" s="7" t="s">
        <v>228</v>
      </c>
      <c r="BA1680" s="7" t="s">
        <v>228</v>
      </c>
      <c r="BB1680" s="7"/>
      <c r="BC1680" s="4" t="s">
        <v>228</v>
      </c>
      <c r="BD1680" s="8" t="s">
        <v>228</v>
      </c>
      <c r="BE1680" s="4" t="s">
        <v>228</v>
      </c>
      <c r="BF1680" s="8" t="s">
        <v>228</v>
      </c>
      <c r="BG1680" s="7" t="s">
        <v>228</v>
      </c>
      <c r="BH1680" s="7" t="s">
        <v>228</v>
      </c>
      <c r="BI1680" s="7"/>
      <c r="BJ1680" s="4"/>
      <c r="BK1680" s="8"/>
      <c r="BL1680" s="2" t="s">
        <v>2224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8371</v>
      </c>
      <c r="BV1680" s="2" t="s">
        <v>228</v>
      </c>
      <c r="BW1680" s="2" t="s">
        <v>228</v>
      </c>
      <c r="BX1680" s="2" t="s">
        <v>337</v>
      </c>
      <c r="BY1680" s="2" t="s">
        <v>274</v>
      </c>
      <c r="BZ1680" s="2" t="s">
        <v>240</v>
      </c>
      <c r="CA1680" s="2" t="s">
        <v>5535</v>
      </c>
      <c r="CB1680" s="2" t="s">
        <v>2169</v>
      </c>
      <c r="CC1680" s="2" t="s">
        <v>241</v>
      </c>
      <c r="CD1680" s="2" t="s">
        <v>228</v>
      </c>
      <c r="CE1680" s="4">
        <v>99</v>
      </c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  <c r="ES1680" s="4"/>
      <c r="ET1680" s="4"/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/>
      <c r="FG1680" s="4"/>
      <c r="FH1680" s="4"/>
      <c r="FI1680" s="4"/>
      <c r="FJ1680" s="4"/>
      <c r="FK1680" s="4"/>
      <c r="FL1680" s="4"/>
      <c r="FM1680" s="4"/>
      <c r="FN1680" s="4"/>
      <c r="FO1680" s="4"/>
      <c r="FP1680" s="4"/>
      <c r="FQ1680" s="4"/>
      <c r="FR1680" s="4"/>
      <c r="FS1680" s="4"/>
      <c r="FT1680" s="4"/>
      <c r="FU1680" s="4"/>
      <c r="FV1680" s="4"/>
      <c r="FW1680" s="4"/>
      <c r="FX1680" s="4"/>
      <c r="FY1680" s="4"/>
      <c r="FZ1680" s="4"/>
      <c r="GA1680" s="4"/>
      <c r="GB1680" s="4"/>
      <c r="GC1680" s="4"/>
      <c r="GD1680" s="4"/>
      <c r="GE1680" s="4"/>
      <c r="GF1680" s="4"/>
      <c r="GG1680" s="4"/>
      <c r="GH1680" s="4"/>
      <c r="GI1680" s="4"/>
      <c r="GJ1680" s="4"/>
      <c r="GK1680" s="4"/>
      <c r="GL1680" s="4"/>
      <c r="GM1680" s="4"/>
      <c r="GN1680" s="4"/>
      <c r="GO1680" s="4"/>
      <c r="GP1680" s="4"/>
      <c r="GQ1680" s="4"/>
      <c r="GR1680" s="4"/>
      <c r="GS1680" s="4"/>
      <c r="GT1680" s="4"/>
      <c r="GU1680" s="4"/>
      <c r="GV1680" s="4"/>
      <c r="GW1680" s="4"/>
      <c r="GX1680" s="4"/>
      <c r="GY1680" s="4"/>
      <c r="GZ1680" s="4"/>
      <c r="HA1680" s="4"/>
      <c r="HB1680" s="4"/>
      <c r="HC1680" s="4"/>
      <c r="HD1680" s="4"/>
      <c r="HE1680" s="4"/>
    </row>
    <row r="1681">
      <c r="A1681" s="2" t="s">
        <v>8372</v>
      </c>
      <c r="B1681" s="2" t="s">
        <v>1150</v>
      </c>
      <c r="C1681" s="2" t="s">
        <v>731</v>
      </c>
      <c r="D1681" s="2" t="s">
        <v>1112</v>
      </c>
      <c r="E1681" s="2" t="s">
        <v>1113</v>
      </c>
      <c r="F1681" s="2" t="s">
        <v>8362</v>
      </c>
      <c r="G1681" s="2" t="s">
        <v>8362</v>
      </c>
      <c r="H1681" s="2" t="s">
        <v>8362</v>
      </c>
      <c r="I1681" s="2" t="s">
        <v>8363</v>
      </c>
      <c r="J1681" s="2" t="s">
        <v>1189</v>
      </c>
      <c r="K1681" s="2" t="s">
        <v>1357</v>
      </c>
      <c r="L1681" s="3">
        <v>45.71</v>
      </c>
      <c r="M1681" s="3">
        <v>48</v>
      </c>
      <c r="N1681" s="3">
        <v>99.99</v>
      </c>
      <c r="O1681" s="2" t="s">
        <v>491</v>
      </c>
      <c r="P1681" s="2" t="s">
        <v>333</v>
      </c>
      <c r="Q1681" s="2" t="s">
        <v>234</v>
      </c>
      <c r="R1681" s="2" t="s">
        <v>228</v>
      </c>
      <c r="S1681" s="2" t="s">
        <v>8373</v>
      </c>
      <c r="T1681" s="2" t="s">
        <v>228</v>
      </c>
      <c r="U1681" s="2" t="s">
        <v>500</v>
      </c>
      <c r="V1681" s="2" t="s">
        <v>236</v>
      </c>
      <c r="W1681" s="2" t="s">
        <v>269</v>
      </c>
      <c r="X1681" s="2" t="s">
        <v>228</v>
      </c>
      <c r="Y1681" s="2" t="s">
        <v>5632</v>
      </c>
      <c r="Z1681" s="4">
        <v>90</v>
      </c>
      <c r="AA1681" s="4">
        <f>=ROUNDDOWN(45,0)</f>
      </c>
      <c r="AB1681" s="5">
        <v>2</v>
      </c>
      <c r="AC1681" s="2" t="s">
        <v>228</v>
      </c>
      <c r="AD1681" s="4"/>
      <c r="AE1681" s="4"/>
      <c r="AF1681" s="6">
        <v>65</v>
      </c>
      <c r="AG1681" s="6"/>
      <c r="AH1681" s="7">
        <v>1</v>
      </c>
      <c r="AI1681" s="4"/>
      <c r="AJ1681" s="4">
        <f>=ROUNDDOWN({0},0)</f>
      </c>
      <c r="AK1681" s="5"/>
      <c r="AL1681" s="2" t="s">
        <v>228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 t="s">
        <v>228</v>
      </c>
      <c r="AW1681" s="8" t="s">
        <v>228</v>
      </c>
      <c r="AX1681" s="4" t="s">
        <v>228</v>
      </c>
      <c r="AY1681" s="8" t="s">
        <v>228</v>
      </c>
      <c r="AZ1681" s="7" t="s">
        <v>228</v>
      </c>
      <c r="BA1681" s="7" t="s">
        <v>228</v>
      </c>
      <c r="BB1681" s="7"/>
      <c r="BC1681" s="4" t="s">
        <v>228</v>
      </c>
      <c r="BD1681" s="8" t="s">
        <v>228</v>
      </c>
      <c r="BE1681" s="4" t="s">
        <v>228</v>
      </c>
      <c r="BF1681" s="8" t="s">
        <v>228</v>
      </c>
      <c r="BG1681" s="7" t="s">
        <v>228</v>
      </c>
      <c r="BH1681" s="7" t="s">
        <v>228</v>
      </c>
      <c r="BI1681" s="7"/>
      <c r="BJ1681" s="4">
        <v>4</v>
      </c>
      <c r="BK1681" s="8">
        <v>199.68</v>
      </c>
      <c r="BL1681" s="2" t="s">
        <v>8374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8375</v>
      </c>
      <c r="BV1681" s="2" t="s">
        <v>228</v>
      </c>
      <c r="BW1681" s="2" t="s">
        <v>228</v>
      </c>
      <c r="BX1681" s="2" t="s">
        <v>337</v>
      </c>
      <c r="BY1681" s="2" t="s">
        <v>274</v>
      </c>
      <c r="BZ1681" s="2" t="s">
        <v>240</v>
      </c>
      <c r="CA1681" s="2" t="s">
        <v>5535</v>
      </c>
      <c r="CB1681" s="2" t="s">
        <v>504</v>
      </c>
      <c r="CC1681" s="2" t="s">
        <v>241</v>
      </c>
      <c r="CD1681" s="2" t="s">
        <v>228</v>
      </c>
      <c r="CE1681" s="4">
        <v>90</v>
      </c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/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/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/>
      <c r="FR1681" s="4"/>
      <c r="FS1681" s="4"/>
      <c r="FT1681" s="4"/>
      <c r="FU1681" s="4"/>
      <c r="FV1681" s="4"/>
      <c r="FW1681" s="4"/>
      <c r="FX1681" s="4"/>
      <c r="FY1681" s="4"/>
      <c r="FZ1681" s="4"/>
      <c r="GA1681" s="4"/>
      <c r="GB1681" s="4"/>
      <c r="GC1681" s="4"/>
      <c r="GD1681" s="4"/>
      <c r="GE1681" s="4"/>
      <c r="GF1681" s="4"/>
      <c r="GG1681" s="4"/>
      <c r="GH1681" s="4"/>
      <c r="GI1681" s="4"/>
      <c r="GJ1681" s="4"/>
      <c r="GK1681" s="4"/>
      <c r="GL1681" s="4"/>
      <c r="GM1681" s="4"/>
      <c r="GN1681" s="4"/>
      <c r="GO1681" s="4"/>
      <c r="GP1681" s="4"/>
      <c r="GQ1681" s="4"/>
      <c r="GR1681" s="4"/>
      <c r="GS1681" s="4"/>
      <c r="GT1681" s="4"/>
      <c r="GU1681" s="4"/>
      <c r="GV1681" s="4"/>
      <c r="GW1681" s="4"/>
      <c r="GX1681" s="4"/>
      <c r="GY1681" s="4"/>
      <c r="GZ1681" s="4"/>
      <c r="HA1681" s="4"/>
      <c r="HB1681" s="4"/>
      <c r="HC1681" s="4"/>
      <c r="HD1681" s="4"/>
      <c r="HE1681" s="4"/>
    </row>
    <row r="1682">
      <c r="A1682" s="2" t="s">
        <v>8376</v>
      </c>
      <c r="B1682" s="2" t="s">
        <v>1150</v>
      </c>
      <c r="C1682" s="2" t="s">
        <v>731</v>
      </c>
      <c r="D1682" s="2" t="s">
        <v>1112</v>
      </c>
      <c r="E1682" s="2" t="s">
        <v>1113</v>
      </c>
      <c r="F1682" s="2" t="s">
        <v>8362</v>
      </c>
      <c r="G1682" s="2" t="s">
        <v>8362</v>
      </c>
      <c r="H1682" s="2" t="s">
        <v>8362</v>
      </c>
      <c r="I1682" s="2" t="s">
        <v>8363</v>
      </c>
      <c r="J1682" s="2" t="s">
        <v>1043</v>
      </c>
      <c r="K1682" s="2" t="s">
        <v>1357</v>
      </c>
      <c r="L1682" s="3">
        <v>50.28</v>
      </c>
      <c r="M1682" s="3">
        <v>52.79</v>
      </c>
      <c r="N1682" s="3">
        <v>109.99</v>
      </c>
      <c r="O1682" s="2" t="s">
        <v>491</v>
      </c>
      <c r="P1682" s="2" t="s">
        <v>333</v>
      </c>
      <c r="Q1682" s="2" t="s">
        <v>234</v>
      </c>
      <c r="R1682" s="2" t="s">
        <v>228</v>
      </c>
      <c r="S1682" s="2" t="s">
        <v>8373</v>
      </c>
      <c r="T1682" s="2" t="s">
        <v>228</v>
      </c>
      <c r="U1682" s="2" t="s">
        <v>500</v>
      </c>
      <c r="V1682" s="2" t="s">
        <v>236</v>
      </c>
      <c r="W1682" s="2" t="s">
        <v>269</v>
      </c>
      <c r="X1682" s="2" t="s">
        <v>228</v>
      </c>
      <c r="Y1682" s="2" t="s">
        <v>5632</v>
      </c>
      <c r="Z1682" s="4">
        <v>111</v>
      </c>
      <c r="AA1682" s="4">
        <f>=ROUNDDOWN(55.5,0)</f>
      </c>
      <c r="AB1682" s="5">
        <v>2</v>
      </c>
      <c r="AC1682" s="2" t="s">
        <v>228</v>
      </c>
      <c r="AD1682" s="4"/>
      <c r="AE1682" s="4"/>
      <c r="AF1682" s="6">
        <v>65</v>
      </c>
      <c r="AG1682" s="6"/>
      <c r="AH1682" s="7">
        <v>1</v>
      </c>
      <c r="AI1682" s="4"/>
      <c r="AJ1682" s="4">
        <f>=ROUNDDOWN({0},0)</f>
      </c>
      <c r="AK1682" s="5"/>
      <c r="AL1682" s="2" t="s">
        <v>228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 t="s">
        <v>228</v>
      </c>
      <c r="AW1682" s="8" t="s">
        <v>228</v>
      </c>
      <c r="AX1682" s="4" t="s">
        <v>228</v>
      </c>
      <c r="AY1682" s="8" t="s">
        <v>228</v>
      </c>
      <c r="AZ1682" s="7" t="s">
        <v>228</v>
      </c>
      <c r="BA1682" s="7" t="s">
        <v>228</v>
      </c>
      <c r="BB1682" s="7" t="s">
        <v>228</v>
      </c>
      <c r="BC1682" s="4" t="s">
        <v>228</v>
      </c>
      <c r="BD1682" s="8" t="s">
        <v>228</v>
      </c>
      <c r="BE1682" s="4" t="s">
        <v>228</v>
      </c>
      <c r="BF1682" s="8" t="s">
        <v>228</v>
      </c>
      <c r="BG1682" s="7" t="s">
        <v>228</v>
      </c>
      <c r="BH1682" s="7" t="s">
        <v>228</v>
      </c>
      <c r="BI1682" s="7"/>
      <c r="BJ1682" s="4">
        <v>5</v>
      </c>
      <c r="BK1682" s="8">
        <v>197.2</v>
      </c>
      <c r="BL1682" s="2" t="s">
        <v>8377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8378</v>
      </c>
      <c r="BV1682" s="2" t="s">
        <v>228</v>
      </c>
      <c r="BW1682" s="2" t="s">
        <v>228</v>
      </c>
      <c r="BX1682" s="2" t="s">
        <v>337</v>
      </c>
      <c r="BY1682" s="2" t="s">
        <v>274</v>
      </c>
      <c r="BZ1682" s="2" t="s">
        <v>240</v>
      </c>
      <c r="CA1682" s="2" t="s">
        <v>5535</v>
      </c>
      <c r="CB1682" s="2" t="s">
        <v>2481</v>
      </c>
      <c r="CC1682" s="2" t="s">
        <v>241</v>
      </c>
      <c r="CD1682" s="2" t="s">
        <v>228</v>
      </c>
      <c r="CE1682" s="4">
        <v>111</v>
      </c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  <c r="ES1682" s="4"/>
      <c r="ET1682" s="4"/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/>
      <c r="FG1682" s="4"/>
      <c r="FH1682" s="4"/>
      <c r="FI1682" s="4"/>
      <c r="FJ1682" s="4"/>
      <c r="FK1682" s="4"/>
      <c r="FL1682" s="4"/>
      <c r="FM1682" s="4"/>
      <c r="FN1682" s="4"/>
      <c r="FO1682" s="4"/>
      <c r="FP1682" s="4"/>
      <c r="FQ1682" s="4"/>
      <c r="FR1682" s="4"/>
      <c r="FS1682" s="4"/>
      <c r="FT1682" s="4"/>
      <c r="FU1682" s="4"/>
      <c r="FV1682" s="4"/>
      <c r="FW1682" s="4"/>
      <c r="FX1682" s="4"/>
      <c r="FY1682" s="4"/>
      <c r="FZ1682" s="4"/>
      <c r="GA1682" s="4"/>
      <c r="GB1682" s="4"/>
      <c r="GC1682" s="4"/>
      <c r="GD1682" s="4"/>
      <c r="GE1682" s="4"/>
      <c r="GF1682" s="4"/>
      <c r="GG1682" s="4"/>
      <c r="GH1682" s="4"/>
      <c r="GI1682" s="4"/>
      <c r="GJ1682" s="4"/>
      <c r="GK1682" s="4"/>
      <c r="GL1682" s="4"/>
      <c r="GM1682" s="4"/>
      <c r="GN1682" s="4"/>
      <c r="GO1682" s="4"/>
      <c r="GP1682" s="4"/>
      <c r="GQ1682" s="4"/>
      <c r="GR1682" s="4"/>
      <c r="GS1682" s="4"/>
      <c r="GT1682" s="4"/>
      <c r="GU1682" s="4"/>
      <c r="GV1682" s="4"/>
      <c r="GW1682" s="4"/>
      <c r="GX1682" s="4"/>
      <c r="GY1682" s="4"/>
      <c r="GZ1682" s="4"/>
      <c r="HA1682" s="4"/>
      <c r="HB1682" s="4"/>
      <c r="HC1682" s="4"/>
      <c r="HD1682" s="4"/>
      <c r="HE1682" s="4"/>
    </row>
    <row r="1683">
      <c r="A1683" s="2" t="s">
        <v>8379</v>
      </c>
      <c r="B1683" s="2" t="s">
        <v>1150</v>
      </c>
      <c r="C1683" s="2" t="s">
        <v>731</v>
      </c>
      <c r="D1683" s="2" t="s">
        <v>850</v>
      </c>
      <c r="E1683" s="2" t="s">
        <v>1038</v>
      </c>
      <c r="F1683" s="2" t="s">
        <v>8362</v>
      </c>
      <c r="G1683" s="2" t="s">
        <v>8362</v>
      </c>
      <c r="H1683" s="2" t="s">
        <v>8362</v>
      </c>
      <c r="I1683" s="2" t="s">
        <v>8367</v>
      </c>
      <c r="J1683" s="2" t="s">
        <v>1043</v>
      </c>
      <c r="K1683" s="2" t="s">
        <v>1357</v>
      </c>
      <c r="L1683" s="3">
        <v>36.57</v>
      </c>
      <c r="M1683" s="3">
        <v>38.4</v>
      </c>
      <c r="N1683" s="3">
        <v>79.99</v>
      </c>
      <c r="O1683" s="2" t="s">
        <v>461</v>
      </c>
      <c r="P1683" s="2" t="s">
        <v>333</v>
      </c>
      <c r="Q1683" s="2" t="s">
        <v>234</v>
      </c>
      <c r="R1683" s="2" t="s">
        <v>228</v>
      </c>
      <c r="S1683" s="2" t="s">
        <v>8373</v>
      </c>
      <c r="T1683" s="2" t="s">
        <v>228</v>
      </c>
      <c r="U1683" s="2" t="s">
        <v>500</v>
      </c>
      <c r="V1683" s="2" t="s">
        <v>236</v>
      </c>
      <c r="W1683" s="2" t="s">
        <v>269</v>
      </c>
      <c r="X1683" s="2" t="s">
        <v>228</v>
      </c>
      <c r="Y1683" s="2" t="s">
        <v>5632</v>
      </c>
      <c r="Z1683" s="4">
        <v>110</v>
      </c>
      <c r="AA1683" s="4">
        <f>=ROUNDDOWN(1100,0)</f>
      </c>
      <c r="AB1683" s="5">
        <v>0.1</v>
      </c>
      <c r="AC1683" s="2" t="s">
        <v>228</v>
      </c>
      <c r="AD1683" s="4"/>
      <c r="AE1683" s="4"/>
      <c r="AF1683" s="6">
        <v>65</v>
      </c>
      <c r="AG1683" s="6"/>
      <c r="AH1683" s="7">
        <v>0.6452</v>
      </c>
      <c r="AI1683" s="4"/>
      <c r="AJ1683" s="4">
        <f>=ROUNDDOWN({0},0)</f>
      </c>
      <c r="AK1683" s="5"/>
      <c r="AL1683" s="2" t="s">
        <v>228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228</v>
      </c>
      <c r="AW1683" s="8" t="s">
        <v>228</v>
      </c>
      <c r="AX1683" s="4" t="s">
        <v>228</v>
      </c>
      <c r="AY1683" s="8" t="s">
        <v>228</v>
      </c>
      <c r="AZ1683" s="7" t="s">
        <v>228</v>
      </c>
      <c r="BA1683" s="7" t="s">
        <v>228</v>
      </c>
      <c r="BB1683" s="7" t="s">
        <v>228</v>
      </c>
      <c r="BC1683" s="4" t="s">
        <v>228</v>
      </c>
      <c r="BD1683" s="8" t="s">
        <v>228</v>
      </c>
      <c r="BE1683" s="4" t="s">
        <v>228</v>
      </c>
      <c r="BF1683" s="8" t="s">
        <v>228</v>
      </c>
      <c r="BG1683" s="7" t="s">
        <v>228</v>
      </c>
      <c r="BH1683" s="7" t="s">
        <v>228</v>
      </c>
      <c r="BI1683" s="7"/>
      <c r="BJ1683" s="4"/>
      <c r="BK1683" s="8"/>
      <c r="BL1683" s="2" t="s">
        <v>6302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8380</v>
      </c>
      <c r="BV1683" s="2" t="s">
        <v>228</v>
      </c>
      <c r="BW1683" s="2" t="s">
        <v>228</v>
      </c>
      <c r="BX1683" s="2" t="s">
        <v>337</v>
      </c>
      <c r="BY1683" s="2" t="s">
        <v>274</v>
      </c>
      <c r="BZ1683" s="2" t="s">
        <v>240</v>
      </c>
      <c r="CA1683" s="2" t="s">
        <v>5535</v>
      </c>
      <c r="CB1683" s="2" t="s">
        <v>2323</v>
      </c>
      <c r="CC1683" s="2" t="s">
        <v>241</v>
      </c>
      <c r="CD1683" s="2" t="s">
        <v>228</v>
      </c>
      <c r="CE1683" s="4">
        <v>110</v>
      </c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/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/>
      <c r="FG1683" s="4"/>
      <c r="FH1683" s="4"/>
      <c r="FI1683" s="4"/>
      <c r="FJ1683" s="4"/>
      <c r="FK1683" s="4"/>
      <c r="FL1683" s="4"/>
      <c r="FM1683" s="4"/>
      <c r="FN1683" s="4"/>
      <c r="FO1683" s="4"/>
      <c r="FP1683" s="4"/>
      <c r="FQ1683" s="4"/>
      <c r="FR1683" s="4"/>
      <c r="FS1683" s="4"/>
      <c r="FT1683" s="4"/>
      <c r="FU1683" s="4"/>
      <c r="FV1683" s="4"/>
      <c r="FW1683" s="4"/>
      <c r="FX1683" s="4"/>
      <c r="FY1683" s="4"/>
      <c r="FZ1683" s="4"/>
      <c r="GA1683" s="4"/>
      <c r="GB1683" s="4"/>
      <c r="GC1683" s="4"/>
      <c r="GD1683" s="4"/>
      <c r="GE1683" s="4"/>
      <c r="GF1683" s="4"/>
      <c r="GG1683" s="4"/>
      <c r="GH1683" s="4"/>
      <c r="GI1683" s="4"/>
      <c r="GJ1683" s="4"/>
      <c r="GK1683" s="4"/>
      <c r="GL1683" s="4"/>
      <c r="GM1683" s="4"/>
      <c r="GN1683" s="4"/>
      <c r="GO1683" s="4"/>
      <c r="GP1683" s="4"/>
      <c r="GQ1683" s="4"/>
      <c r="GR1683" s="4"/>
      <c r="GS1683" s="4"/>
      <c r="GT1683" s="4"/>
      <c r="GU1683" s="4"/>
      <c r="GV1683" s="4"/>
      <c r="GW1683" s="4"/>
      <c r="GX1683" s="4"/>
      <c r="GY1683" s="4"/>
      <c r="GZ1683" s="4"/>
      <c r="HA1683" s="4"/>
      <c r="HB1683" s="4"/>
      <c r="HC1683" s="4"/>
      <c r="HD1683" s="4"/>
      <c r="HE1683" s="4"/>
    </row>
    <row r="1684">
      <c r="A1684" s="2" t="s">
        <v>8381</v>
      </c>
      <c r="B1684" s="2" t="s">
        <v>958</v>
      </c>
      <c r="C1684" s="2" t="s">
        <v>835</v>
      </c>
      <c r="D1684" s="2" t="s">
        <v>7940</v>
      </c>
      <c r="E1684" s="2" t="s">
        <v>2560</v>
      </c>
      <c r="F1684" s="2" t="s">
        <v>5510</v>
      </c>
      <c r="G1684" s="2" t="s">
        <v>5510</v>
      </c>
      <c r="H1684" s="2" t="s">
        <v>5510</v>
      </c>
      <c r="I1684" s="2" t="s">
        <v>8382</v>
      </c>
      <c r="J1684" s="2" t="s">
        <v>8383</v>
      </c>
      <c r="K1684" s="2" t="s">
        <v>3067</v>
      </c>
      <c r="L1684" s="3">
        <v>157.5</v>
      </c>
      <c r="M1684" s="3">
        <v>165.38</v>
      </c>
      <c r="N1684" s="3">
        <v>329</v>
      </c>
      <c r="O1684" s="2" t="s">
        <v>240</v>
      </c>
      <c r="P1684" s="2" t="s">
        <v>233</v>
      </c>
      <c r="Q1684" s="2" t="s">
        <v>234</v>
      </c>
      <c r="R1684" s="2" t="s">
        <v>228</v>
      </c>
      <c r="S1684" s="2" t="s">
        <v>228</v>
      </c>
      <c r="T1684" s="2" t="s">
        <v>228</v>
      </c>
      <c r="U1684" s="2" t="s">
        <v>416</v>
      </c>
      <c r="V1684" s="2" t="s">
        <v>842</v>
      </c>
      <c r="W1684" s="2" t="s">
        <v>417</v>
      </c>
      <c r="X1684" s="2" t="s">
        <v>269</v>
      </c>
      <c r="Y1684" s="2" t="s">
        <v>8384</v>
      </c>
      <c r="Z1684" s="4">
        <v>16</v>
      </c>
      <c r="AA1684" s="4">
        <f>=ROUNDDOWN(5.33333333333333,0)</f>
      </c>
      <c r="AB1684" s="5">
        <v>3</v>
      </c>
      <c r="AC1684" s="2" t="s">
        <v>193</v>
      </c>
      <c r="AD1684" s="4">
        <v>170</v>
      </c>
      <c r="AE1684" s="4">
        <v>170</v>
      </c>
      <c r="AF1684" s="6">
        <v>74</v>
      </c>
      <c r="AG1684" s="6"/>
      <c r="AH1684" s="7">
        <v>1</v>
      </c>
      <c r="AI1684" s="4"/>
      <c r="AJ1684" s="4">
        <f>=ROUNDDOWN({0},0)</f>
      </c>
      <c r="AK1684" s="5"/>
      <c r="AL1684" s="2" t="s">
        <v>228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228</v>
      </c>
      <c r="AW1684" s="8" t="s">
        <v>228</v>
      </c>
      <c r="AX1684" s="4" t="s">
        <v>228</v>
      </c>
      <c r="AY1684" s="8" t="s">
        <v>228</v>
      </c>
      <c r="AZ1684" s="7" t="s">
        <v>228</v>
      </c>
      <c r="BA1684" s="7" t="s">
        <v>228</v>
      </c>
      <c r="BB1684" s="7"/>
      <c r="BC1684" s="4" t="s">
        <v>228</v>
      </c>
      <c r="BD1684" s="8" t="s">
        <v>228</v>
      </c>
      <c r="BE1684" s="4" t="s">
        <v>228</v>
      </c>
      <c r="BF1684" s="8" t="s">
        <v>228</v>
      </c>
      <c r="BG1684" s="7" t="s">
        <v>228</v>
      </c>
      <c r="BH1684" s="7" t="s">
        <v>228</v>
      </c>
      <c r="BI1684" s="7"/>
      <c r="BJ1684" s="4">
        <v>11</v>
      </c>
      <c r="BK1684" s="8">
        <v>1819.18</v>
      </c>
      <c r="BL1684" s="2" t="s">
        <v>1033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8385</v>
      </c>
      <c r="BV1684" s="2" t="s">
        <v>228</v>
      </c>
      <c r="BW1684" s="2" t="s">
        <v>228</v>
      </c>
      <c r="BX1684" s="2" t="s">
        <v>273</v>
      </c>
      <c r="BY1684" s="2" t="s">
        <v>274</v>
      </c>
      <c r="BZ1684" s="2" t="s">
        <v>240</v>
      </c>
      <c r="CA1684" s="2" t="s">
        <v>3687</v>
      </c>
      <c r="CB1684" s="2" t="s">
        <v>2488</v>
      </c>
      <c r="CC1684" s="2" t="s">
        <v>241</v>
      </c>
      <c r="CD1684" s="2" t="s">
        <v>228</v>
      </c>
      <c r="CE1684" s="4"/>
      <c r="CF1684" s="4">
        <v>16</v>
      </c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  <c r="ES1684" s="4"/>
      <c r="ET1684" s="4"/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/>
      <c r="FG1684" s="4"/>
      <c r="FH1684" s="4"/>
      <c r="FI1684" s="4"/>
      <c r="FJ1684" s="4"/>
      <c r="FK1684" s="4"/>
      <c r="FL1684" s="4"/>
      <c r="FM1684" s="4"/>
      <c r="FN1684" s="4"/>
      <c r="FO1684" s="4"/>
      <c r="FP1684" s="4"/>
      <c r="FQ1684" s="4"/>
      <c r="FR1684" s="4"/>
      <c r="FS1684" s="4"/>
      <c r="FT1684" s="4"/>
      <c r="FU1684" s="4"/>
      <c r="FV1684" s="4"/>
      <c r="FW1684" s="4"/>
      <c r="FX1684" s="4"/>
      <c r="FY1684" s="4"/>
      <c r="FZ1684" s="4"/>
      <c r="GA1684" s="4"/>
      <c r="GB1684" s="4"/>
      <c r="GC1684" s="4">
        <v>170</v>
      </c>
      <c r="GD1684" s="4"/>
      <c r="GE1684" s="4"/>
      <c r="GF1684" s="4"/>
      <c r="GG1684" s="4"/>
      <c r="GH1684" s="4"/>
      <c r="GI1684" s="4"/>
      <c r="GJ1684" s="4"/>
      <c r="GK1684" s="4"/>
      <c r="GL1684" s="4"/>
      <c r="GM1684" s="4"/>
      <c r="GN1684" s="4"/>
      <c r="GO1684" s="4"/>
      <c r="GP1684" s="4"/>
      <c r="GQ1684" s="4"/>
      <c r="GR1684" s="4"/>
      <c r="GS1684" s="4"/>
      <c r="GT1684" s="4"/>
      <c r="GU1684" s="4"/>
      <c r="GV1684" s="4"/>
      <c r="GW1684" s="4"/>
      <c r="GX1684" s="4"/>
      <c r="GY1684" s="4"/>
      <c r="GZ1684" s="4"/>
      <c r="HA1684" s="4"/>
      <c r="HB1684" s="4"/>
      <c r="HC1684" s="4"/>
      <c r="HD1684" s="4"/>
      <c r="HE1684" s="4"/>
    </row>
    <row r="1685">
      <c r="A1685" s="2" t="s">
        <v>8386</v>
      </c>
      <c r="B1685" s="2" t="s">
        <v>958</v>
      </c>
      <c r="C1685" s="2" t="s">
        <v>835</v>
      </c>
      <c r="D1685" s="2" t="s">
        <v>7940</v>
      </c>
      <c r="E1685" s="2" t="s">
        <v>2560</v>
      </c>
      <c r="F1685" s="2" t="s">
        <v>5510</v>
      </c>
      <c r="G1685" s="2" t="s">
        <v>5510</v>
      </c>
      <c r="H1685" s="2" t="s">
        <v>5510</v>
      </c>
      <c r="I1685" s="2" t="s">
        <v>8387</v>
      </c>
      <c r="J1685" s="2" t="s">
        <v>8388</v>
      </c>
      <c r="K1685" s="2" t="s">
        <v>3067</v>
      </c>
      <c r="L1685" s="3">
        <v>166.5</v>
      </c>
      <c r="M1685" s="3">
        <v>174.83</v>
      </c>
      <c r="N1685" s="3">
        <v>349</v>
      </c>
      <c r="O1685" s="2" t="s">
        <v>240</v>
      </c>
      <c r="P1685" s="2" t="s">
        <v>233</v>
      </c>
      <c r="Q1685" s="2" t="s">
        <v>234</v>
      </c>
      <c r="R1685" s="2" t="s">
        <v>228</v>
      </c>
      <c r="S1685" s="2" t="s">
        <v>228</v>
      </c>
      <c r="T1685" s="2" t="s">
        <v>228</v>
      </c>
      <c r="U1685" s="2" t="s">
        <v>416</v>
      </c>
      <c r="V1685" s="2" t="s">
        <v>842</v>
      </c>
      <c r="W1685" s="2" t="s">
        <v>417</v>
      </c>
      <c r="X1685" s="2" t="s">
        <v>269</v>
      </c>
      <c r="Y1685" s="2" t="s">
        <v>8384</v>
      </c>
      <c r="Z1685" s="4">
        <v>65</v>
      </c>
      <c r="AA1685" s="4">
        <f>=ROUNDDOWN(32.5,0)</f>
      </c>
      <c r="AB1685" s="5">
        <v>2</v>
      </c>
      <c r="AC1685" s="2" t="s">
        <v>193</v>
      </c>
      <c r="AD1685" s="4">
        <v>20</v>
      </c>
      <c r="AE1685" s="4">
        <v>20</v>
      </c>
      <c r="AF1685" s="6">
        <v>74</v>
      </c>
      <c r="AG1685" s="6"/>
      <c r="AH1685" s="7">
        <v>1</v>
      </c>
      <c r="AI1685" s="4"/>
      <c r="AJ1685" s="4">
        <f>=ROUNDDOWN({0},0)</f>
      </c>
      <c r="AK1685" s="5"/>
      <c r="AL1685" s="2" t="s">
        <v>228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228</v>
      </c>
      <c r="AW1685" s="8" t="s">
        <v>228</v>
      </c>
      <c r="AX1685" s="4" t="s">
        <v>228</v>
      </c>
      <c r="AY1685" s="8" t="s">
        <v>228</v>
      </c>
      <c r="AZ1685" s="7" t="s">
        <v>228</v>
      </c>
      <c r="BA1685" s="7" t="s">
        <v>228</v>
      </c>
      <c r="BB1685" s="7"/>
      <c r="BC1685" s="4" t="s">
        <v>228</v>
      </c>
      <c r="BD1685" s="8" t="s">
        <v>228</v>
      </c>
      <c r="BE1685" s="4" t="s">
        <v>228</v>
      </c>
      <c r="BF1685" s="8" t="s">
        <v>228</v>
      </c>
      <c r="BG1685" s="7" t="s">
        <v>228</v>
      </c>
      <c r="BH1685" s="7" t="s">
        <v>228</v>
      </c>
      <c r="BI1685" s="7"/>
      <c r="BJ1685" s="4">
        <v>4</v>
      </c>
      <c r="BK1685" s="8">
        <v>646.88</v>
      </c>
      <c r="BL1685" s="2" t="s">
        <v>1033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8389</v>
      </c>
      <c r="BV1685" s="2" t="s">
        <v>228</v>
      </c>
      <c r="BW1685" s="2" t="s">
        <v>228</v>
      </c>
      <c r="BX1685" s="2" t="s">
        <v>273</v>
      </c>
      <c r="BY1685" s="2" t="s">
        <v>274</v>
      </c>
      <c r="BZ1685" s="2" t="s">
        <v>240</v>
      </c>
      <c r="CA1685" s="2" t="s">
        <v>3687</v>
      </c>
      <c r="CB1685" s="2" t="s">
        <v>2488</v>
      </c>
      <c r="CC1685" s="2" t="s">
        <v>241</v>
      </c>
      <c r="CD1685" s="2" t="s">
        <v>228</v>
      </c>
      <c r="CE1685" s="4"/>
      <c r="CF1685" s="4">
        <v>65</v>
      </c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/>
      <c r="EU1685" s="4"/>
      <c r="EV1685" s="4"/>
      <c r="EW1685" s="4"/>
      <c r="EX1685" s="4"/>
      <c r="EY1685" s="4"/>
      <c r="EZ1685" s="4"/>
      <c r="FA1685" s="4"/>
      <c r="FB1685" s="4"/>
      <c r="FC1685" s="4"/>
      <c r="FD1685" s="4"/>
      <c r="FE1685" s="4"/>
      <c r="FF1685" s="4"/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/>
      <c r="FR1685" s="4"/>
      <c r="FS1685" s="4"/>
      <c r="FT1685" s="4"/>
      <c r="FU1685" s="4"/>
      <c r="FV1685" s="4"/>
      <c r="FW1685" s="4"/>
      <c r="FX1685" s="4"/>
      <c r="FY1685" s="4"/>
      <c r="FZ1685" s="4"/>
      <c r="GA1685" s="4"/>
      <c r="GB1685" s="4"/>
      <c r="GC1685" s="4">
        <v>20</v>
      </c>
      <c r="GD1685" s="4"/>
      <c r="GE1685" s="4"/>
      <c r="GF1685" s="4"/>
      <c r="GG1685" s="4"/>
      <c r="GH1685" s="4"/>
      <c r="GI1685" s="4"/>
      <c r="GJ1685" s="4"/>
      <c r="GK1685" s="4"/>
      <c r="GL1685" s="4"/>
      <c r="GM1685" s="4"/>
      <c r="GN1685" s="4"/>
      <c r="GO1685" s="4"/>
      <c r="GP1685" s="4"/>
      <c r="GQ1685" s="4"/>
      <c r="GR1685" s="4"/>
      <c r="GS1685" s="4"/>
      <c r="GT1685" s="4"/>
      <c r="GU1685" s="4"/>
      <c r="GV1685" s="4"/>
      <c r="GW1685" s="4"/>
      <c r="GX1685" s="4"/>
      <c r="GY1685" s="4"/>
      <c r="GZ1685" s="4"/>
      <c r="HA1685" s="4"/>
      <c r="HB1685" s="4"/>
      <c r="HC1685" s="4"/>
      <c r="HD1685" s="4"/>
      <c r="HE1685" s="4"/>
    </row>
    <row r="1686">
      <c r="A1686" s="2" t="s">
        <v>8390</v>
      </c>
      <c r="B1686" s="2" t="s">
        <v>958</v>
      </c>
      <c r="C1686" s="2" t="s">
        <v>835</v>
      </c>
      <c r="D1686" s="2" t="s">
        <v>7940</v>
      </c>
      <c r="E1686" s="2" t="s">
        <v>2257</v>
      </c>
      <c r="F1686" s="2" t="s">
        <v>5510</v>
      </c>
      <c r="G1686" s="2" t="s">
        <v>5510</v>
      </c>
      <c r="H1686" s="2" t="s">
        <v>5510</v>
      </c>
      <c r="I1686" s="2" t="s">
        <v>8391</v>
      </c>
      <c r="J1686" s="2" t="s">
        <v>2257</v>
      </c>
      <c r="K1686" s="2" t="s">
        <v>3067</v>
      </c>
      <c r="L1686" s="3">
        <v>118.8</v>
      </c>
      <c r="M1686" s="3">
        <v>124.74</v>
      </c>
      <c r="N1686" s="3">
        <v>249</v>
      </c>
      <c r="O1686" s="2" t="s">
        <v>240</v>
      </c>
      <c r="P1686" s="2" t="s">
        <v>1012</v>
      </c>
      <c r="Q1686" s="2" t="s">
        <v>234</v>
      </c>
      <c r="R1686" s="2" t="s">
        <v>228</v>
      </c>
      <c r="S1686" s="2" t="s">
        <v>228</v>
      </c>
      <c r="T1686" s="2" t="s">
        <v>228</v>
      </c>
      <c r="U1686" s="2" t="s">
        <v>416</v>
      </c>
      <c r="V1686" s="2" t="s">
        <v>842</v>
      </c>
      <c r="W1686" s="2" t="s">
        <v>417</v>
      </c>
      <c r="X1686" s="2" t="s">
        <v>269</v>
      </c>
      <c r="Y1686" s="2" t="s">
        <v>8384</v>
      </c>
      <c r="Z1686" s="4">
        <v>15</v>
      </c>
      <c r="AA1686" s="4">
        <f>=ROUNDDOWN(18.75,0)</f>
      </c>
      <c r="AB1686" s="5">
        <v>0.8</v>
      </c>
      <c r="AC1686" s="2" t="s">
        <v>193</v>
      </c>
      <c r="AD1686" s="4">
        <v>30</v>
      </c>
      <c r="AE1686" s="4">
        <v>30</v>
      </c>
      <c r="AF1686" s="6">
        <v>74</v>
      </c>
      <c r="AG1686" s="6"/>
      <c r="AH1686" s="7">
        <v>1</v>
      </c>
      <c r="AI1686" s="4"/>
      <c r="AJ1686" s="4">
        <f>=ROUNDDOWN({0},0)</f>
      </c>
      <c r="AK1686" s="5"/>
      <c r="AL1686" s="2" t="s">
        <v>228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 t="s">
        <v>228</v>
      </c>
      <c r="AW1686" s="8" t="s">
        <v>228</v>
      </c>
      <c r="AX1686" s="4" t="s">
        <v>228</v>
      </c>
      <c r="AY1686" s="8" t="s">
        <v>228</v>
      </c>
      <c r="AZ1686" s="7" t="s">
        <v>228</v>
      </c>
      <c r="BA1686" s="7" t="s">
        <v>228</v>
      </c>
      <c r="BB1686" s="7"/>
      <c r="BC1686" s="4" t="s">
        <v>228</v>
      </c>
      <c r="BD1686" s="8" t="s">
        <v>228</v>
      </c>
      <c r="BE1686" s="4" t="s">
        <v>228</v>
      </c>
      <c r="BF1686" s="8" t="s">
        <v>228</v>
      </c>
      <c r="BG1686" s="7" t="s">
        <v>228</v>
      </c>
      <c r="BH1686" s="7" t="s">
        <v>228</v>
      </c>
      <c r="BI1686" s="7"/>
      <c r="BJ1686" s="4">
        <v>2</v>
      </c>
      <c r="BK1686" s="8">
        <v>249.48</v>
      </c>
      <c r="BL1686" s="2" t="s">
        <v>1033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8392</v>
      </c>
      <c r="BV1686" s="2" t="s">
        <v>228</v>
      </c>
      <c r="BW1686" s="2" t="s">
        <v>228</v>
      </c>
      <c r="BX1686" s="2" t="s">
        <v>273</v>
      </c>
      <c r="BY1686" s="2" t="s">
        <v>274</v>
      </c>
      <c r="BZ1686" s="2" t="s">
        <v>240</v>
      </c>
      <c r="CA1686" s="2" t="s">
        <v>3687</v>
      </c>
      <c r="CB1686" s="2" t="s">
        <v>2488</v>
      </c>
      <c r="CC1686" s="2" t="s">
        <v>241</v>
      </c>
      <c r="CD1686" s="2" t="s">
        <v>228</v>
      </c>
      <c r="CE1686" s="4"/>
      <c r="CF1686" s="4">
        <v>15</v>
      </c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/>
      <c r="EU1686" s="4"/>
      <c r="EV1686" s="4"/>
      <c r="EW1686" s="4"/>
      <c r="EX1686" s="4"/>
      <c r="EY1686" s="4"/>
      <c r="EZ1686" s="4"/>
      <c r="FA1686" s="4"/>
      <c r="FB1686" s="4"/>
      <c r="FC1686" s="4"/>
      <c r="FD1686" s="4"/>
      <c r="FE1686" s="4"/>
      <c r="FF1686" s="4"/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/>
      <c r="FR1686" s="4"/>
      <c r="FS1686" s="4"/>
      <c r="FT1686" s="4"/>
      <c r="FU1686" s="4"/>
      <c r="FV1686" s="4"/>
      <c r="FW1686" s="4"/>
      <c r="FX1686" s="4"/>
      <c r="FY1686" s="4"/>
      <c r="FZ1686" s="4"/>
      <c r="GA1686" s="4"/>
      <c r="GB1686" s="4"/>
      <c r="GC1686" s="4">
        <v>30</v>
      </c>
      <c r="GD1686" s="4"/>
      <c r="GE1686" s="4"/>
      <c r="GF1686" s="4"/>
      <c r="GG1686" s="4"/>
      <c r="GH1686" s="4"/>
      <c r="GI1686" s="4"/>
      <c r="GJ1686" s="4"/>
      <c r="GK1686" s="4"/>
      <c r="GL1686" s="4"/>
      <c r="GM1686" s="4"/>
      <c r="GN1686" s="4"/>
      <c r="GO1686" s="4"/>
      <c r="GP1686" s="4"/>
      <c r="GQ1686" s="4"/>
      <c r="GR1686" s="4"/>
      <c r="GS1686" s="4"/>
      <c r="GT1686" s="4"/>
      <c r="GU1686" s="4"/>
      <c r="GV1686" s="4"/>
      <c r="GW1686" s="4"/>
      <c r="GX1686" s="4"/>
      <c r="GY1686" s="4"/>
      <c r="GZ1686" s="4"/>
      <c r="HA1686" s="4"/>
      <c r="HB1686" s="4"/>
      <c r="HC1686" s="4"/>
      <c r="HD1686" s="4"/>
      <c r="HE1686" s="4"/>
    </row>
    <row r="1687">
      <c r="A1687" s="2" t="s">
        <v>8393</v>
      </c>
      <c r="B1687" s="2" t="s">
        <v>958</v>
      </c>
      <c r="C1687" s="2" t="s">
        <v>835</v>
      </c>
      <c r="D1687" s="2" t="s">
        <v>7940</v>
      </c>
      <c r="E1687" s="2" t="s">
        <v>3094</v>
      </c>
      <c r="F1687" s="2" t="s">
        <v>5510</v>
      </c>
      <c r="G1687" s="2" t="s">
        <v>5510</v>
      </c>
      <c r="H1687" s="2" t="s">
        <v>5510</v>
      </c>
      <c r="I1687" s="2" t="s">
        <v>8394</v>
      </c>
      <c r="J1687" s="2" t="s">
        <v>840</v>
      </c>
      <c r="K1687" s="2" t="s">
        <v>3067</v>
      </c>
      <c r="L1687" s="3">
        <v>326.34</v>
      </c>
      <c r="M1687" s="3">
        <v>342.66</v>
      </c>
      <c r="N1687" s="3">
        <v>689</v>
      </c>
      <c r="O1687" s="2" t="s">
        <v>240</v>
      </c>
      <c r="P1687" s="2" t="s">
        <v>1022</v>
      </c>
      <c r="Q1687" s="2" t="s">
        <v>234</v>
      </c>
      <c r="R1687" s="2" t="s">
        <v>228</v>
      </c>
      <c r="S1687" s="2" t="s">
        <v>228</v>
      </c>
      <c r="T1687" s="2" t="s">
        <v>228</v>
      </c>
      <c r="U1687" s="2" t="s">
        <v>520</v>
      </c>
      <c r="V1687" s="2" t="s">
        <v>842</v>
      </c>
      <c r="W1687" s="2" t="s">
        <v>417</v>
      </c>
      <c r="X1687" s="2" t="s">
        <v>269</v>
      </c>
      <c r="Y1687" s="2" t="s">
        <v>8384</v>
      </c>
      <c r="Z1687" s="4">
        <v>32</v>
      </c>
      <c r="AA1687" s="4">
        <f>=ROUNDDOWN({0},0)</f>
      </c>
      <c r="AB1687" s="5"/>
      <c r="AC1687" s="2" t="s">
        <v>193</v>
      </c>
      <c r="AD1687" s="4">
        <v>10</v>
      </c>
      <c r="AE1687" s="4">
        <v>10</v>
      </c>
      <c r="AF1687" s="6"/>
      <c r="AG1687" s="6"/>
      <c r="AH1687" s="7">
        <v>1</v>
      </c>
      <c r="AI1687" s="4"/>
      <c r="AJ1687" s="4">
        <f>=ROUNDDOWN({0},0)</f>
      </c>
      <c r="AK1687" s="5"/>
      <c r="AL1687" s="2" t="s">
        <v>228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228</v>
      </c>
      <c r="AW1687" s="8" t="s">
        <v>228</v>
      </c>
      <c r="AX1687" s="4" t="s">
        <v>228</v>
      </c>
      <c r="AY1687" s="8" t="s">
        <v>228</v>
      </c>
      <c r="AZ1687" s="7" t="s">
        <v>228</v>
      </c>
      <c r="BA1687" s="7" t="s">
        <v>228</v>
      </c>
      <c r="BB1687" s="7" t="s">
        <v>228</v>
      </c>
      <c r="BC1687" s="4" t="s">
        <v>228</v>
      </c>
      <c r="BD1687" s="8" t="s">
        <v>228</v>
      </c>
      <c r="BE1687" s="4" t="s">
        <v>228</v>
      </c>
      <c r="BF1687" s="8" t="s">
        <v>228</v>
      </c>
      <c r="BG1687" s="7" t="s">
        <v>228</v>
      </c>
      <c r="BH1687" s="7" t="s">
        <v>228</v>
      </c>
      <c r="BI1687" s="7"/>
      <c r="BJ1687" s="4"/>
      <c r="BK1687" s="8"/>
      <c r="BL1687" s="2" t="s">
        <v>228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8395</v>
      </c>
      <c r="BV1687" s="2" t="s">
        <v>228</v>
      </c>
      <c r="BW1687" s="2" t="s">
        <v>228</v>
      </c>
      <c r="BX1687" s="2" t="s">
        <v>273</v>
      </c>
      <c r="BY1687" s="2" t="s">
        <v>274</v>
      </c>
      <c r="BZ1687" s="2" t="s">
        <v>240</v>
      </c>
      <c r="CA1687" s="2" t="s">
        <v>3687</v>
      </c>
      <c r="CB1687" s="2" t="s">
        <v>228</v>
      </c>
      <c r="CC1687" s="2" t="s">
        <v>241</v>
      </c>
      <c r="CD1687" s="2" t="s">
        <v>228</v>
      </c>
      <c r="CE1687" s="4"/>
      <c r="CF1687" s="4">
        <v>32</v>
      </c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/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/>
      <c r="FT1687" s="4"/>
      <c r="FU1687" s="4"/>
      <c r="FV1687" s="4"/>
      <c r="FW1687" s="4"/>
      <c r="FX1687" s="4"/>
      <c r="FY1687" s="4"/>
      <c r="FZ1687" s="4"/>
      <c r="GA1687" s="4"/>
      <c r="GB1687" s="4"/>
      <c r="GC1687" s="4">
        <v>10</v>
      </c>
      <c r="GD1687" s="4"/>
      <c r="GE1687" s="4"/>
      <c r="GF1687" s="4"/>
      <c r="GG1687" s="4"/>
      <c r="GH1687" s="4"/>
      <c r="GI1687" s="4"/>
      <c r="GJ1687" s="4"/>
      <c r="GK1687" s="4"/>
      <c r="GL1687" s="4"/>
      <c r="GM1687" s="4"/>
      <c r="GN1687" s="4"/>
      <c r="GO1687" s="4"/>
      <c r="GP1687" s="4"/>
      <c r="GQ1687" s="4"/>
      <c r="GR1687" s="4"/>
      <c r="GS1687" s="4"/>
      <c r="GT1687" s="4"/>
      <c r="GU1687" s="4"/>
      <c r="GV1687" s="4"/>
      <c r="GW1687" s="4"/>
      <c r="GX1687" s="4"/>
      <c r="GY1687" s="4"/>
      <c r="GZ1687" s="4"/>
      <c r="HA1687" s="4"/>
      <c r="HB1687" s="4"/>
      <c r="HC1687" s="4"/>
      <c r="HD1687" s="4"/>
      <c r="HE1687" s="4"/>
    </row>
    <row r="1688">
      <c r="A1688" s="2" t="s">
        <v>8396</v>
      </c>
      <c r="B1688" s="2" t="s">
        <v>958</v>
      </c>
      <c r="C1688" s="2" t="s">
        <v>835</v>
      </c>
      <c r="D1688" s="2" t="s">
        <v>7940</v>
      </c>
      <c r="E1688" s="2" t="s">
        <v>3094</v>
      </c>
      <c r="F1688" s="2" t="s">
        <v>5510</v>
      </c>
      <c r="G1688" s="2" t="s">
        <v>5510</v>
      </c>
      <c r="H1688" s="2" t="s">
        <v>5510</v>
      </c>
      <c r="I1688" s="2" t="s">
        <v>8397</v>
      </c>
      <c r="J1688" s="2" t="s">
        <v>840</v>
      </c>
      <c r="K1688" s="2" t="s">
        <v>3067</v>
      </c>
      <c r="L1688" s="3">
        <v>785.99</v>
      </c>
      <c r="M1688" s="3">
        <v>825.29</v>
      </c>
      <c r="N1688" s="3">
        <v>1649</v>
      </c>
      <c r="O1688" s="2" t="s">
        <v>240</v>
      </c>
      <c r="P1688" s="2" t="s">
        <v>1022</v>
      </c>
      <c r="Q1688" s="2" t="s">
        <v>234</v>
      </c>
      <c r="R1688" s="2" t="s">
        <v>228</v>
      </c>
      <c r="S1688" s="2" t="s">
        <v>228</v>
      </c>
      <c r="T1688" s="2" t="s">
        <v>228</v>
      </c>
      <c r="U1688" s="2" t="s">
        <v>1170</v>
      </c>
      <c r="V1688" s="2" t="s">
        <v>842</v>
      </c>
      <c r="W1688" s="2" t="s">
        <v>417</v>
      </c>
      <c r="X1688" s="2" t="s">
        <v>269</v>
      </c>
      <c r="Y1688" s="2" t="s">
        <v>8384</v>
      </c>
      <c r="Z1688" s="4">
        <v>8</v>
      </c>
      <c r="AA1688" s="4">
        <f>=ROUNDDOWN({0},0)</f>
      </c>
      <c r="AB1688" s="5"/>
      <c r="AC1688" s="2" t="s">
        <v>193</v>
      </c>
      <c r="AD1688" s="4">
        <v>6</v>
      </c>
      <c r="AE1688" s="4">
        <v>6</v>
      </c>
      <c r="AF1688" s="6"/>
      <c r="AG1688" s="6"/>
      <c r="AH1688" s="7">
        <v>1</v>
      </c>
      <c r="AI1688" s="4"/>
      <c r="AJ1688" s="4">
        <f>=ROUNDDOWN({0},0)</f>
      </c>
      <c r="AK1688" s="5"/>
      <c r="AL1688" s="2" t="s">
        <v>228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 t="s">
        <v>228</v>
      </c>
      <c r="AW1688" s="8" t="s">
        <v>228</v>
      </c>
      <c r="AX1688" s="4" t="s">
        <v>228</v>
      </c>
      <c r="AY1688" s="8" t="s">
        <v>228</v>
      </c>
      <c r="AZ1688" s="7" t="s">
        <v>228</v>
      </c>
      <c r="BA1688" s="7" t="s">
        <v>228</v>
      </c>
      <c r="BB1688" s="7" t="s">
        <v>228</v>
      </c>
      <c r="BC1688" s="4" t="s">
        <v>228</v>
      </c>
      <c r="BD1688" s="8" t="s">
        <v>228</v>
      </c>
      <c r="BE1688" s="4" t="s">
        <v>228</v>
      </c>
      <c r="BF1688" s="8" t="s">
        <v>228</v>
      </c>
      <c r="BG1688" s="7" t="s">
        <v>228</v>
      </c>
      <c r="BH1688" s="7" t="s">
        <v>228</v>
      </c>
      <c r="BI1688" s="7"/>
      <c r="BJ1688" s="4"/>
      <c r="BK1688" s="8"/>
      <c r="BL1688" s="2" t="s">
        <v>228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8398</v>
      </c>
      <c r="BV1688" s="2" t="s">
        <v>228</v>
      </c>
      <c r="BW1688" s="2" t="s">
        <v>228</v>
      </c>
      <c r="BX1688" s="2" t="s">
        <v>273</v>
      </c>
      <c r="BY1688" s="2" t="s">
        <v>274</v>
      </c>
      <c r="BZ1688" s="2" t="s">
        <v>240</v>
      </c>
      <c r="CA1688" s="2" t="s">
        <v>3687</v>
      </c>
      <c r="CB1688" s="2" t="s">
        <v>228</v>
      </c>
      <c r="CC1688" s="2" t="s">
        <v>241</v>
      </c>
      <c r="CD1688" s="2" t="s">
        <v>228</v>
      </c>
      <c r="CE1688" s="4"/>
      <c r="CF1688" s="4">
        <v>8</v>
      </c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/>
      <c r="EU1688" s="4"/>
      <c r="EV1688" s="4"/>
      <c r="EW1688" s="4"/>
      <c r="EX1688" s="4"/>
      <c r="EY1688" s="4"/>
      <c r="EZ1688" s="4"/>
      <c r="FA1688" s="4"/>
      <c r="FB1688" s="4"/>
      <c r="FC1688" s="4"/>
      <c r="FD1688" s="4"/>
      <c r="FE1688" s="4"/>
      <c r="FF1688" s="4"/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/>
      <c r="FR1688" s="4"/>
      <c r="FS1688" s="4"/>
      <c r="FT1688" s="4"/>
      <c r="FU1688" s="4"/>
      <c r="FV1688" s="4"/>
      <c r="FW1688" s="4"/>
      <c r="FX1688" s="4"/>
      <c r="FY1688" s="4"/>
      <c r="FZ1688" s="4"/>
      <c r="GA1688" s="4"/>
      <c r="GB1688" s="4"/>
      <c r="GC1688" s="4">
        <v>6</v>
      </c>
      <c r="GD1688" s="4"/>
      <c r="GE1688" s="4"/>
      <c r="GF1688" s="4"/>
      <c r="GG1688" s="4"/>
      <c r="GH1688" s="4"/>
      <c r="GI1688" s="4"/>
      <c r="GJ1688" s="4"/>
      <c r="GK1688" s="4"/>
      <c r="GL1688" s="4"/>
      <c r="GM1688" s="4"/>
      <c r="GN1688" s="4"/>
      <c r="GO1688" s="4"/>
      <c r="GP1688" s="4"/>
      <c r="GQ1688" s="4"/>
      <c r="GR1688" s="4"/>
      <c r="GS1688" s="4"/>
      <c r="GT1688" s="4"/>
      <c r="GU1688" s="4"/>
      <c r="GV1688" s="4"/>
      <c r="GW1688" s="4"/>
      <c r="GX1688" s="4"/>
      <c r="GY1688" s="4"/>
      <c r="GZ1688" s="4"/>
      <c r="HA1688" s="4"/>
      <c r="HB1688" s="4"/>
      <c r="HC1688" s="4"/>
      <c r="HD1688" s="4"/>
      <c r="HE1688" s="4"/>
    </row>
    <row r="1689">
      <c r="A1689" s="2" t="s">
        <v>8399</v>
      </c>
      <c r="B1689" s="2" t="s">
        <v>958</v>
      </c>
      <c r="C1689" s="2" t="s">
        <v>835</v>
      </c>
      <c r="D1689" s="2" t="s">
        <v>7940</v>
      </c>
      <c r="E1689" s="2" t="s">
        <v>3094</v>
      </c>
      <c r="F1689" s="2" t="s">
        <v>5510</v>
      </c>
      <c r="G1689" s="2" t="s">
        <v>5510</v>
      </c>
      <c r="H1689" s="2" t="s">
        <v>5510</v>
      </c>
      <c r="I1689" s="2" t="s">
        <v>8400</v>
      </c>
      <c r="J1689" s="2" t="s">
        <v>840</v>
      </c>
      <c r="K1689" s="2" t="s">
        <v>3067</v>
      </c>
      <c r="L1689" s="3">
        <v>480.69</v>
      </c>
      <c r="M1689" s="3">
        <v>504.72</v>
      </c>
      <c r="N1689" s="3">
        <v>999</v>
      </c>
      <c r="O1689" s="2" t="s">
        <v>240</v>
      </c>
      <c r="P1689" s="2" t="s">
        <v>1022</v>
      </c>
      <c r="Q1689" s="2" t="s">
        <v>234</v>
      </c>
      <c r="R1689" s="2" t="s">
        <v>228</v>
      </c>
      <c r="S1689" s="2" t="s">
        <v>228</v>
      </c>
      <c r="T1689" s="2" t="s">
        <v>228</v>
      </c>
      <c r="U1689" s="2" t="s">
        <v>500</v>
      </c>
      <c r="V1689" s="2" t="s">
        <v>842</v>
      </c>
      <c r="W1689" s="2" t="s">
        <v>417</v>
      </c>
      <c r="X1689" s="2" t="s">
        <v>269</v>
      </c>
      <c r="Y1689" s="2" t="s">
        <v>8384</v>
      </c>
      <c r="Z1689" s="4">
        <v>16</v>
      </c>
      <c r="AA1689" s="4">
        <f>=ROUNDDOWN({0},0)</f>
      </c>
      <c r="AB1689" s="5"/>
      <c r="AC1689" s="2" t="s">
        <v>193</v>
      </c>
      <c r="AD1689" s="4">
        <v>10</v>
      </c>
      <c r="AE1689" s="4">
        <v>10</v>
      </c>
      <c r="AF1689" s="6"/>
      <c r="AG1689" s="6"/>
      <c r="AH1689" s="7">
        <v>1</v>
      </c>
      <c r="AI1689" s="4"/>
      <c r="AJ1689" s="4">
        <f>=ROUNDDOWN({0},0)</f>
      </c>
      <c r="AK1689" s="5"/>
      <c r="AL1689" s="2" t="s">
        <v>228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228</v>
      </c>
      <c r="AW1689" s="8" t="s">
        <v>228</v>
      </c>
      <c r="AX1689" s="4" t="s">
        <v>228</v>
      </c>
      <c r="AY1689" s="8" t="s">
        <v>228</v>
      </c>
      <c r="AZ1689" s="7" t="s">
        <v>228</v>
      </c>
      <c r="BA1689" s="7" t="s">
        <v>228</v>
      </c>
      <c r="BB1689" s="7" t="s">
        <v>228</v>
      </c>
      <c r="BC1689" s="4" t="s">
        <v>228</v>
      </c>
      <c r="BD1689" s="8" t="s">
        <v>228</v>
      </c>
      <c r="BE1689" s="4" t="s">
        <v>228</v>
      </c>
      <c r="BF1689" s="8" t="s">
        <v>228</v>
      </c>
      <c r="BG1689" s="7" t="s">
        <v>228</v>
      </c>
      <c r="BH1689" s="7" t="s">
        <v>228</v>
      </c>
      <c r="BI1689" s="7"/>
      <c r="BJ1689" s="4"/>
      <c r="BK1689" s="8"/>
      <c r="BL1689" s="2" t="s">
        <v>228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8401</v>
      </c>
      <c r="BV1689" s="2" t="s">
        <v>228</v>
      </c>
      <c r="BW1689" s="2" t="s">
        <v>228</v>
      </c>
      <c r="BX1689" s="2" t="s">
        <v>273</v>
      </c>
      <c r="BY1689" s="2" t="s">
        <v>274</v>
      </c>
      <c r="BZ1689" s="2" t="s">
        <v>240</v>
      </c>
      <c r="CA1689" s="2" t="s">
        <v>3687</v>
      </c>
      <c r="CB1689" s="2" t="s">
        <v>228</v>
      </c>
      <c r="CC1689" s="2" t="s">
        <v>241</v>
      </c>
      <c r="CD1689" s="2" t="s">
        <v>228</v>
      </c>
      <c r="CE1689" s="4"/>
      <c r="CF1689" s="4">
        <v>16</v>
      </c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/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/>
      <c r="FP1689" s="4"/>
      <c r="FQ1689" s="4"/>
      <c r="FR1689" s="4"/>
      <c r="FS1689" s="4"/>
      <c r="FT1689" s="4"/>
      <c r="FU1689" s="4"/>
      <c r="FV1689" s="4"/>
      <c r="FW1689" s="4"/>
      <c r="FX1689" s="4"/>
      <c r="FY1689" s="4"/>
      <c r="FZ1689" s="4"/>
      <c r="GA1689" s="4"/>
      <c r="GB1689" s="4"/>
      <c r="GC1689" s="4">
        <v>10</v>
      </c>
      <c r="GD1689" s="4"/>
      <c r="GE1689" s="4"/>
      <c r="GF1689" s="4"/>
      <c r="GG1689" s="4"/>
      <c r="GH1689" s="4"/>
      <c r="GI1689" s="4"/>
      <c r="GJ1689" s="4"/>
      <c r="GK1689" s="4"/>
      <c r="GL1689" s="4"/>
      <c r="GM1689" s="4"/>
      <c r="GN1689" s="4"/>
      <c r="GO1689" s="4"/>
      <c r="GP1689" s="4"/>
      <c r="GQ1689" s="4"/>
      <c r="GR1689" s="4"/>
      <c r="GS1689" s="4"/>
      <c r="GT1689" s="4"/>
      <c r="GU1689" s="4"/>
      <c r="GV1689" s="4"/>
      <c r="GW1689" s="4"/>
      <c r="GX1689" s="4"/>
      <c r="GY1689" s="4"/>
      <c r="GZ1689" s="4"/>
      <c r="HA1689" s="4"/>
      <c r="HB1689" s="4"/>
      <c r="HC1689" s="4"/>
      <c r="HD1689" s="4"/>
      <c r="HE1689" s="4"/>
    </row>
    <row r="1690">
      <c r="A1690" s="2" t="s">
        <v>8402</v>
      </c>
      <c r="B1690" s="2" t="s">
        <v>958</v>
      </c>
      <c r="C1690" s="2" t="s">
        <v>835</v>
      </c>
      <c r="D1690" s="2" t="s">
        <v>7940</v>
      </c>
      <c r="E1690" s="2" t="s">
        <v>3094</v>
      </c>
      <c r="F1690" s="2" t="s">
        <v>5510</v>
      </c>
      <c r="G1690" s="2" t="s">
        <v>5510</v>
      </c>
      <c r="H1690" s="2" t="s">
        <v>5510</v>
      </c>
      <c r="I1690" s="2" t="s">
        <v>8403</v>
      </c>
      <c r="J1690" s="2" t="s">
        <v>840</v>
      </c>
      <c r="K1690" s="2" t="s">
        <v>3067</v>
      </c>
      <c r="L1690" s="3">
        <v>777.31</v>
      </c>
      <c r="M1690" s="3">
        <v>816.18</v>
      </c>
      <c r="N1690" s="3">
        <v>1629</v>
      </c>
      <c r="O1690" s="2" t="s">
        <v>240</v>
      </c>
      <c r="P1690" s="2" t="s">
        <v>1022</v>
      </c>
      <c r="Q1690" s="2" t="s">
        <v>234</v>
      </c>
      <c r="R1690" s="2" t="s">
        <v>228</v>
      </c>
      <c r="S1690" s="2" t="s">
        <v>228</v>
      </c>
      <c r="T1690" s="2" t="s">
        <v>228</v>
      </c>
      <c r="U1690" s="2" t="s">
        <v>1170</v>
      </c>
      <c r="V1690" s="2" t="s">
        <v>842</v>
      </c>
      <c r="W1690" s="2" t="s">
        <v>417</v>
      </c>
      <c r="X1690" s="2" t="s">
        <v>269</v>
      </c>
      <c r="Y1690" s="2" t="s">
        <v>8384</v>
      </c>
      <c r="Z1690" s="4">
        <v>5</v>
      </c>
      <c r="AA1690" s="4">
        <f>=ROUNDDOWN({0},0)</f>
      </c>
      <c r="AB1690" s="5"/>
      <c r="AC1690" s="2" t="s">
        <v>193</v>
      </c>
      <c r="AD1690" s="4">
        <v>10</v>
      </c>
      <c r="AE1690" s="4">
        <v>10</v>
      </c>
      <c r="AF1690" s="6"/>
      <c r="AG1690" s="6"/>
      <c r="AH1690" s="7">
        <v>1</v>
      </c>
      <c r="AI1690" s="4"/>
      <c r="AJ1690" s="4">
        <f>=ROUNDDOWN({0},0)</f>
      </c>
      <c r="AK1690" s="5"/>
      <c r="AL1690" s="2" t="s">
        <v>228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228</v>
      </c>
      <c r="AW1690" s="8" t="s">
        <v>228</v>
      </c>
      <c r="AX1690" s="4" t="s">
        <v>228</v>
      </c>
      <c r="AY1690" s="8" t="s">
        <v>228</v>
      </c>
      <c r="AZ1690" s="7" t="s">
        <v>228</v>
      </c>
      <c r="BA1690" s="7" t="s">
        <v>228</v>
      </c>
      <c r="BB1690" s="7" t="s">
        <v>228</v>
      </c>
      <c r="BC1690" s="4" t="s">
        <v>228</v>
      </c>
      <c r="BD1690" s="8" t="s">
        <v>228</v>
      </c>
      <c r="BE1690" s="4" t="s">
        <v>228</v>
      </c>
      <c r="BF1690" s="8" t="s">
        <v>228</v>
      </c>
      <c r="BG1690" s="7" t="s">
        <v>228</v>
      </c>
      <c r="BH1690" s="7" t="s">
        <v>228</v>
      </c>
      <c r="BI1690" s="7"/>
      <c r="BJ1690" s="4"/>
      <c r="BK1690" s="8"/>
      <c r="BL1690" s="2" t="s">
        <v>228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8404</v>
      </c>
      <c r="BV1690" s="2" t="s">
        <v>228</v>
      </c>
      <c r="BW1690" s="2" t="s">
        <v>228</v>
      </c>
      <c r="BX1690" s="2" t="s">
        <v>273</v>
      </c>
      <c r="BY1690" s="2" t="s">
        <v>274</v>
      </c>
      <c r="BZ1690" s="2" t="s">
        <v>240</v>
      </c>
      <c r="CA1690" s="2" t="s">
        <v>3687</v>
      </c>
      <c r="CB1690" s="2" t="s">
        <v>228</v>
      </c>
      <c r="CC1690" s="2" t="s">
        <v>241</v>
      </c>
      <c r="CD1690" s="2" t="s">
        <v>228</v>
      </c>
      <c r="CE1690" s="4"/>
      <c r="CF1690" s="4">
        <v>5</v>
      </c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  <c r="ES1690" s="4"/>
      <c r="ET1690" s="4"/>
      <c r="EU1690" s="4"/>
      <c r="EV1690" s="4"/>
      <c r="EW1690" s="4"/>
      <c r="EX1690" s="4"/>
      <c r="EY1690" s="4"/>
      <c r="EZ1690" s="4"/>
      <c r="FA1690" s="4"/>
      <c r="FB1690" s="4"/>
      <c r="FC1690" s="4"/>
      <c r="FD1690" s="4"/>
      <c r="FE1690" s="4"/>
      <c r="FF1690" s="4"/>
      <c r="FG1690" s="4"/>
      <c r="FH1690" s="4"/>
      <c r="FI1690" s="4"/>
      <c r="FJ1690" s="4"/>
      <c r="FK1690" s="4"/>
      <c r="FL1690" s="4"/>
      <c r="FM1690" s="4"/>
      <c r="FN1690" s="4"/>
      <c r="FO1690" s="4"/>
      <c r="FP1690" s="4"/>
      <c r="FQ1690" s="4"/>
      <c r="FR1690" s="4"/>
      <c r="FS1690" s="4"/>
      <c r="FT1690" s="4"/>
      <c r="FU1690" s="4"/>
      <c r="FV1690" s="4"/>
      <c r="FW1690" s="4"/>
      <c r="FX1690" s="4"/>
      <c r="FY1690" s="4"/>
      <c r="FZ1690" s="4"/>
      <c r="GA1690" s="4"/>
      <c r="GB1690" s="4"/>
      <c r="GC1690" s="4">
        <v>10</v>
      </c>
      <c r="GD1690" s="4"/>
      <c r="GE1690" s="4"/>
      <c r="GF1690" s="4"/>
      <c r="GG1690" s="4"/>
      <c r="GH1690" s="4"/>
      <c r="GI1690" s="4"/>
      <c r="GJ1690" s="4"/>
      <c r="GK1690" s="4"/>
      <c r="GL1690" s="4"/>
      <c r="GM1690" s="4"/>
      <c r="GN1690" s="4"/>
      <c r="GO1690" s="4"/>
      <c r="GP1690" s="4"/>
      <c r="GQ1690" s="4"/>
      <c r="GR1690" s="4"/>
      <c r="GS1690" s="4"/>
      <c r="GT1690" s="4"/>
      <c r="GU1690" s="4"/>
      <c r="GV1690" s="4"/>
      <c r="GW1690" s="4"/>
      <c r="GX1690" s="4"/>
      <c r="GY1690" s="4"/>
      <c r="GZ1690" s="4"/>
      <c r="HA1690" s="4"/>
      <c r="HB1690" s="4"/>
      <c r="HC1690" s="4"/>
      <c r="HD1690" s="4"/>
      <c r="HE1690" s="4"/>
    </row>
    <row r="1691">
      <c r="A1691" s="2" t="s">
        <v>8405</v>
      </c>
      <c r="B1691" s="2" t="s">
        <v>958</v>
      </c>
      <c r="C1691" s="2" t="s">
        <v>835</v>
      </c>
      <c r="D1691" s="2" t="s">
        <v>7940</v>
      </c>
      <c r="E1691" s="2" t="s">
        <v>8406</v>
      </c>
      <c r="F1691" s="2" t="s">
        <v>5510</v>
      </c>
      <c r="G1691" s="2" t="s">
        <v>5510</v>
      </c>
      <c r="H1691" s="2" t="s">
        <v>5510</v>
      </c>
      <c r="I1691" s="2" t="s">
        <v>8407</v>
      </c>
      <c r="J1691" s="2" t="s">
        <v>840</v>
      </c>
      <c r="K1691" s="2" t="s">
        <v>3067</v>
      </c>
      <c r="L1691" s="3">
        <v>442.76</v>
      </c>
      <c r="M1691" s="3">
        <v>464.9</v>
      </c>
      <c r="N1691" s="3">
        <v>929</v>
      </c>
      <c r="O1691" s="2" t="s">
        <v>240</v>
      </c>
      <c r="P1691" s="2" t="s">
        <v>1022</v>
      </c>
      <c r="Q1691" s="2" t="s">
        <v>234</v>
      </c>
      <c r="R1691" s="2" t="s">
        <v>228</v>
      </c>
      <c r="S1691" s="2" t="s">
        <v>228</v>
      </c>
      <c r="T1691" s="2" t="s">
        <v>228</v>
      </c>
      <c r="U1691" s="2" t="s">
        <v>500</v>
      </c>
      <c r="V1691" s="2" t="s">
        <v>842</v>
      </c>
      <c r="W1691" s="2" t="s">
        <v>417</v>
      </c>
      <c r="X1691" s="2" t="s">
        <v>269</v>
      </c>
      <c r="Y1691" s="2" t="s">
        <v>8384</v>
      </c>
      <c r="Z1691" s="4">
        <v>15</v>
      </c>
      <c r="AA1691" s="4">
        <f>=ROUNDDOWN(150,0)</f>
      </c>
      <c r="AB1691" s="5">
        <v>0.1</v>
      </c>
      <c r="AC1691" s="2" t="s">
        <v>193</v>
      </c>
      <c r="AD1691" s="4">
        <v>10</v>
      </c>
      <c r="AE1691" s="4">
        <v>10</v>
      </c>
      <c r="AF1691" s="6"/>
      <c r="AG1691" s="6"/>
      <c r="AH1691" s="7">
        <v>1</v>
      </c>
      <c r="AI1691" s="4"/>
      <c r="AJ1691" s="4">
        <f>=ROUNDDOWN({0},0)</f>
      </c>
      <c r="AK1691" s="5"/>
      <c r="AL1691" s="2" t="s">
        <v>228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 t="s">
        <v>228</v>
      </c>
      <c r="AW1691" s="8" t="s">
        <v>228</v>
      </c>
      <c r="AX1691" s="4" t="s">
        <v>228</v>
      </c>
      <c r="AY1691" s="8" t="s">
        <v>228</v>
      </c>
      <c r="AZ1691" s="7" t="s">
        <v>228</v>
      </c>
      <c r="BA1691" s="7" t="s">
        <v>228</v>
      </c>
      <c r="BB1691" s="7" t="s">
        <v>228</v>
      </c>
      <c r="BC1691" s="4" t="s">
        <v>228</v>
      </c>
      <c r="BD1691" s="8" t="s">
        <v>228</v>
      </c>
      <c r="BE1691" s="4" t="s">
        <v>228</v>
      </c>
      <c r="BF1691" s="8" t="s">
        <v>228</v>
      </c>
      <c r="BG1691" s="7" t="s">
        <v>228</v>
      </c>
      <c r="BH1691" s="7" t="s">
        <v>228</v>
      </c>
      <c r="BI1691" s="7"/>
      <c r="BJ1691" s="4"/>
      <c r="BK1691" s="8"/>
      <c r="BL1691" s="2" t="s">
        <v>228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8408</v>
      </c>
      <c r="BV1691" s="2" t="s">
        <v>228</v>
      </c>
      <c r="BW1691" s="2" t="s">
        <v>228</v>
      </c>
      <c r="BX1691" s="2" t="s">
        <v>273</v>
      </c>
      <c r="BY1691" s="2" t="s">
        <v>274</v>
      </c>
      <c r="BZ1691" s="2" t="s">
        <v>240</v>
      </c>
      <c r="CA1691" s="2" t="s">
        <v>3687</v>
      </c>
      <c r="CB1691" s="2" t="s">
        <v>228</v>
      </c>
      <c r="CC1691" s="2" t="s">
        <v>241</v>
      </c>
      <c r="CD1691" s="2" t="s">
        <v>228</v>
      </c>
      <c r="CE1691" s="4"/>
      <c r="CF1691" s="4">
        <v>15</v>
      </c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/>
      <c r="FT1691" s="4"/>
      <c r="FU1691" s="4"/>
      <c r="FV1691" s="4"/>
      <c r="FW1691" s="4"/>
      <c r="FX1691" s="4"/>
      <c r="FY1691" s="4"/>
      <c r="FZ1691" s="4"/>
      <c r="GA1691" s="4"/>
      <c r="GB1691" s="4"/>
      <c r="GC1691" s="4">
        <v>10</v>
      </c>
      <c r="GD1691" s="4"/>
      <c r="GE1691" s="4"/>
      <c r="GF1691" s="4"/>
      <c r="GG1691" s="4"/>
      <c r="GH1691" s="4"/>
      <c r="GI1691" s="4"/>
      <c r="GJ1691" s="4"/>
      <c r="GK1691" s="4"/>
      <c r="GL1691" s="4"/>
      <c r="GM1691" s="4"/>
      <c r="GN1691" s="4"/>
      <c r="GO1691" s="4"/>
      <c r="GP1691" s="4"/>
      <c r="GQ1691" s="4"/>
      <c r="GR1691" s="4"/>
      <c r="GS1691" s="4"/>
      <c r="GT1691" s="4"/>
      <c r="GU1691" s="4"/>
      <c r="GV1691" s="4"/>
      <c r="GW1691" s="4"/>
      <c r="GX1691" s="4"/>
      <c r="GY1691" s="4"/>
      <c r="GZ1691" s="4"/>
      <c r="HA1691" s="4"/>
      <c r="HB1691" s="4"/>
      <c r="HC1691" s="4"/>
      <c r="HD1691" s="4"/>
      <c r="HE1691" s="4"/>
    </row>
    <row r="1692">
      <c r="A1692" s="2" t="s">
        <v>8409</v>
      </c>
      <c r="B1692" s="2" t="s">
        <v>958</v>
      </c>
      <c r="C1692" s="2" t="s">
        <v>835</v>
      </c>
      <c r="D1692" s="2" t="s">
        <v>7940</v>
      </c>
      <c r="E1692" s="2" t="s">
        <v>8406</v>
      </c>
      <c r="F1692" s="2" t="s">
        <v>5510</v>
      </c>
      <c r="G1692" s="2" t="s">
        <v>5510</v>
      </c>
      <c r="H1692" s="2" t="s">
        <v>5510</v>
      </c>
      <c r="I1692" s="2" t="s">
        <v>8410</v>
      </c>
      <c r="J1692" s="2" t="s">
        <v>840</v>
      </c>
      <c r="K1692" s="2" t="s">
        <v>3067</v>
      </c>
      <c r="L1692" s="3">
        <v>591.02</v>
      </c>
      <c r="M1692" s="3">
        <v>620.57</v>
      </c>
      <c r="N1692" s="3">
        <v>1239</v>
      </c>
      <c r="O1692" s="2" t="s">
        <v>240</v>
      </c>
      <c r="P1692" s="2" t="s">
        <v>1022</v>
      </c>
      <c r="Q1692" s="2" t="s">
        <v>234</v>
      </c>
      <c r="R1692" s="2" t="s">
        <v>228</v>
      </c>
      <c r="S1692" s="2" t="s">
        <v>228</v>
      </c>
      <c r="T1692" s="2" t="s">
        <v>228</v>
      </c>
      <c r="U1692" s="2" t="s">
        <v>308</v>
      </c>
      <c r="V1692" s="2" t="s">
        <v>842</v>
      </c>
      <c r="W1692" s="2" t="s">
        <v>417</v>
      </c>
      <c r="X1692" s="2" t="s">
        <v>269</v>
      </c>
      <c r="Y1692" s="2" t="s">
        <v>8384</v>
      </c>
      <c r="Z1692" s="4">
        <v>14</v>
      </c>
      <c r="AA1692" s="4">
        <f>=ROUNDDOWN({0},0)</f>
      </c>
      <c r="AB1692" s="5"/>
      <c r="AC1692" s="2" t="s">
        <v>193</v>
      </c>
      <c r="AD1692" s="4">
        <v>10</v>
      </c>
      <c r="AE1692" s="4">
        <v>10</v>
      </c>
      <c r="AF1692" s="6"/>
      <c r="AG1692" s="6"/>
      <c r="AH1692" s="7">
        <v>1</v>
      </c>
      <c r="AI1692" s="4"/>
      <c r="AJ1692" s="4">
        <f>=ROUNDDOWN({0},0)</f>
      </c>
      <c r="AK1692" s="5"/>
      <c r="AL1692" s="2" t="s">
        <v>228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 t="s">
        <v>228</v>
      </c>
      <c r="AW1692" s="8" t="s">
        <v>228</v>
      </c>
      <c r="AX1692" s="4" t="s">
        <v>228</v>
      </c>
      <c r="AY1692" s="8" t="s">
        <v>228</v>
      </c>
      <c r="AZ1692" s="7" t="s">
        <v>228</v>
      </c>
      <c r="BA1692" s="7" t="s">
        <v>228</v>
      </c>
      <c r="BB1692" s="7" t="s">
        <v>228</v>
      </c>
      <c r="BC1692" s="4" t="s">
        <v>228</v>
      </c>
      <c r="BD1692" s="8" t="s">
        <v>228</v>
      </c>
      <c r="BE1692" s="4" t="s">
        <v>228</v>
      </c>
      <c r="BF1692" s="8" t="s">
        <v>228</v>
      </c>
      <c r="BG1692" s="7" t="s">
        <v>228</v>
      </c>
      <c r="BH1692" s="7" t="s">
        <v>228</v>
      </c>
      <c r="BI1692" s="7"/>
      <c r="BJ1692" s="4"/>
      <c r="BK1692" s="8"/>
      <c r="BL1692" s="2" t="s">
        <v>228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8411</v>
      </c>
      <c r="BV1692" s="2" t="s">
        <v>228</v>
      </c>
      <c r="BW1692" s="2" t="s">
        <v>228</v>
      </c>
      <c r="BX1692" s="2" t="s">
        <v>273</v>
      </c>
      <c r="BY1692" s="2" t="s">
        <v>274</v>
      </c>
      <c r="BZ1692" s="2" t="s">
        <v>240</v>
      </c>
      <c r="CA1692" s="2" t="s">
        <v>3687</v>
      </c>
      <c r="CB1692" s="2" t="s">
        <v>8412</v>
      </c>
      <c r="CC1692" s="2" t="s">
        <v>241</v>
      </c>
      <c r="CD1692" s="2" t="s">
        <v>228</v>
      </c>
      <c r="CE1692" s="4"/>
      <c r="CF1692" s="4">
        <v>14</v>
      </c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  <c r="ES1692" s="4"/>
      <c r="ET1692" s="4"/>
      <c r="EU1692" s="4"/>
      <c r="EV1692" s="4"/>
      <c r="EW1692" s="4"/>
      <c r="EX1692" s="4"/>
      <c r="EY1692" s="4"/>
      <c r="EZ1692" s="4"/>
      <c r="FA1692" s="4"/>
      <c r="FB1692" s="4"/>
      <c r="FC1692" s="4"/>
      <c r="FD1692" s="4"/>
      <c r="FE1692" s="4"/>
      <c r="FF1692" s="4"/>
      <c r="FG1692" s="4"/>
      <c r="FH1692" s="4"/>
      <c r="FI1692" s="4"/>
      <c r="FJ1692" s="4"/>
      <c r="FK1692" s="4"/>
      <c r="FL1692" s="4"/>
      <c r="FM1692" s="4"/>
      <c r="FN1692" s="4"/>
      <c r="FO1692" s="4"/>
      <c r="FP1692" s="4"/>
      <c r="FQ1692" s="4"/>
      <c r="FR1692" s="4"/>
      <c r="FS1692" s="4"/>
      <c r="FT1692" s="4"/>
      <c r="FU1692" s="4"/>
      <c r="FV1692" s="4"/>
      <c r="FW1692" s="4"/>
      <c r="FX1692" s="4"/>
      <c r="FY1692" s="4"/>
      <c r="FZ1692" s="4"/>
      <c r="GA1692" s="4"/>
      <c r="GB1692" s="4"/>
      <c r="GC1692" s="4">
        <v>10</v>
      </c>
      <c r="GD1692" s="4"/>
      <c r="GE1692" s="4"/>
      <c r="GF1692" s="4"/>
      <c r="GG1692" s="4"/>
      <c r="GH1692" s="4"/>
      <c r="GI1692" s="4"/>
      <c r="GJ1692" s="4"/>
      <c r="GK1692" s="4"/>
      <c r="GL1692" s="4"/>
      <c r="GM1692" s="4"/>
      <c r="GN1692" s="4"/>
      <c r="GO1692" s="4"/>
      <c r="GP1692" s="4"/>
      <c r="GQ1692" s="4"/>
      <c r="GR1692" s="4"/>
      <c r="GS1692" s="4"/>
      <c r="GT1692" s="4"/>
      <c r="GU1692" s="4"/>
      <c r="GV1692" s="4"/>
      <c r="GW1692" s="4"/>
      <c r="GX1692" s="4"/>
      <c r="GY1692" s="4"/>
      <c r="GZ1692" s="4"/>
      <c r="HA1692" s="4"/>
      <c r="HB1692" s="4"/>
      <c r="HC1692" s="4"/>
      <c r="HD1692" s="4"/>
      <c r="HE1692" s="4"/>
    </row>
    <row r="1693">
      <c r="A1693" s="2" t="s">
        <v>8413</v>
      </c>
      <c r="B1693" s="2" t="s">
        <v>958</v>
      </c>
      <c r="C1693" s="2" t="s">
        <v>835</v>
      </c>
      <c r="D1693" s="2" t="s">
        <v>7940</v>
      </c>
      <c r="E1693" s="2" t="s">
        <v>8414</v>
      </c>
      <c r="F1693" s="2" t="s">
        <v>5510</v>
      </c>
      <c r="G1693" s="2" t="s">
        <v>5510</v>
      </c>
      <c r="H1693" s="2" t="s">
        <v>5510</v>
      </c>
      <c r="I1693" s="2" t="s">
        <v>8407</v>
      </c>
      <c r="J1693" s="2" t="s">
        <v>840</v>
      </c>
      <c r="K1693" s="2" t="s">
        <v>8415</v>
      </c>
      <c r="L1693" s="3">
        <v>442.76</v>
      </c>
      <c r="M1693" s="3">
        <v>464.9</v>
      </c>
      <c r="N1693" s="3">
        <v>929</v>
      </c>
      <c r="O1693" s="2" t="s">
        <v>240</v>
      </c>
      <c r="P1693" s="2" t="s">
        <v>1022</v>
      </c>
      <c r="Q1693" s="2" t="s">
        <v>234</v>
      </c>
      <c r="R1693" s="2" t="s">
        <v>228</v>
      </c>
      <c r="S1693" s="2" t="s">
        <v>228</v>
      </c>
      <c r="T1693" s="2" t="s">
        <v>228</v>
      </c>
      <c r="U1693" s="2" t="s">
        <v>500</v>
      </c>
      <c r="V1693" s="2" t="s">
        <v>842</v>
      </c>
      <c r="W1693" s="2" t="s">
        <v>417</v>
      </c>
      <c r="X1693" s="2" t="s">
        <v>269</v>
      </c>
      <c r="Y1693" s="2" t="s">
        <v>8416</v>
      </c>
      <c r="Z1693" s="4">
        <v>37</v>
      </c>
      <c r="AA1693" s="4">
        <f>=ROUNDDOWN({0},0)</f>
      </c>
      <c r="AB1693" s="5"/>
      <c r="AC1693" s="2" t="s">
        <v>228</v>
      </c>
      <c r="AD1693" s="4"/>
      <c r="AE1693" s="4"/>
      <c r="AF1693" s="6"/>
      <c r="AG1693" s="6"/>
      <c r="AH1693" s="7">
        <v>1</v>
      </c>
      <c r="AI1693" s="4"/>
      <c r="AJ1693" s="4">
        <f>=ROUNDDOWN({0},0)</f>
      </c>
      <c r="AK1693" s="5"/>
      <c r="AL1693" s="2" t="s">
        <v>228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 t="s">
        <v>228</v>
      </c>
      <c r="AW1693" s="8" t="s">
        <v>228</v>
      </c>
      <c r="AX1693" s="4" t="s">
        <v>228</v>
      </c>
      <c r="AY1693" s="8" t="s">
        <v>228</v>
      </c>
      <c r="AZ1693" s="7" t="s">
        <v>228</v>
      </c>
      <c r="BA1693" s="7" t="s">
        <v>228</v>
      </c>
      <c r="BB1693" s="7" t="s">
        <v>228</v>
      </c>
      <c r="BC1693" s="4" t="s">
        <v>228</v>
      </c>
      <c r="BD1693" s="8" t="s">
        <v>228</v>
      </c>
      <c r="BE1693" s="4" t="s">
        <v>228</v>
      </c>
      <c r="BF1693" s="8" t="s">
        <v>228</v>
      </c>
      <c r="BG1693" s="7" t="s">
        <v>228</v>
      </c>
      <c r="BH1693" s="7" t="s">
        <v>228</v>
      </c>
      <c r="BI1693" s="7"/>
      <c r="BJ1693" s="4"/>
      <c r="BK1693" s="8"/>
      <c r="BL1693" s="2" t="s">
        <v>228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8417</v>
      </c>
      <c r="BV1693" s="2" t="s">
        <v>228</v>
      </c>
      <c r="BW1693" s="2" t="s">
        <v>228</v>
      </c>
      <c r="BX1693" s="2" t="s">
        <v>273</v>
      </c>
      <c r="BY1693" s="2" t="s">
        <v>274</v>
      </c>
      <c r="BZ1693" s="2" t="s">
        <v>240</v>
      </c>
      <c r="CA1693" s="2" t="s">
        <v>4750</v>
      </c>
      <c r="CB1693" s="2" t="s">
        <v>228</v>
      </c>
      <c r="CC1693" s="2" t="s">
        <v>241</v>
      </c>
      <c r="CD1693" s="2" t="s">
        <v>228</v>
      </c>
      <c r="CE1693" s="4"/>
      <c r="CF1693" s="4">
        <v>37</v>
      </c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/>
      <c r="FB1693" s="4"/>
      <c r="FC1693" s="4"/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/>
      <c r="FP1693" s="4"/>
      <c r="FQ1693" s="4"/>
      <c r="FR1693" s="4"/>
      <c r="FS1693" s="4"/>
      <c r="FT1693" s="4"/>
      <c r="FU1693" s="4"/>
      <c r="FV1693" s="4"/>
      <c r="FW1693" s="4"/>
      <c r="FX1693" s="4"/>
      <c r="FY1693" s="4"/>
      <c r="FZ1693" s="4"/>
      <c r="GA1693" s="4"/>
      <c r="GB1693" s="4"/>
      <c r="GC1693" s="4"/>
      <c r="GD1693" s="4"/>
      <c r="GE1693" s="4"/>
      <c r="GF1693" s="4"/>
      <c r="GG1693" s="4"/>
      <c r="GH1693" s="4"/>
      <c r="GI1693" s="4"/>
      <c r="GJ1693" s="4"/>
      <c r="GK1693" s="4"/>
      <c r="GL1693" s="4"/>
      <c r="GM1693" s="4"/>
      <c r="GN1693" s="4"/>
      <c r="GO1693" s="4"/>
      <c r="GP1693" s="4"/>
      <c r="GQ1693" s="4"/>
      <c r="GR1693" s="4"/>
      <c r="GS1693" s="4"/>
      <c r="GT1693" s="4"/>
      <c r="GU1693" s="4"/>
      <c r="GV1693" s="4"/>
      <c r="GW1693" s="4"/>
      <c r="GX1693" s="4"/>
      <c r="GY1693" s="4"/>
      <c r="GZ1693" s="4"/>
      <c r="HA1693" s="4"/>
      <c r="HB1693" s="4"/>
      <c r="HC1693" s="4"/>
      <c r="HD1693" s="4"/>
      <c r="HE1693" s="4"/>
    </row>
    <row r="1694">
      <c r="A1694" s="2" t="s">
        <v>8418</v>
      </c>
      <c r="B1694" s="2" t="s">
        <v>958</v>
      </c>
      <c r="C1694" s="2" t="s">
        <v>835</v>
      </c>
      <c r="D1694" s="2" t="s">
        <v>7940</v>
      </c>
      <c r="E1694" s="2" t="s">
        <v>8414</v>
      </c>
      <c r="F1694" s="2" t="s">
        <v>5510</v>
      </c>
      <c r="G1694" s="2" t="s">
        <v>5510</v>
      </c>
      <c r="H1694" s="2" t="s">
        <v>5510</v>
      </c>
      <c r="I1694" s="2" t="s">
        <v>8410</v>
      </c>
      <c r="J1694" s="2" t="s">
        <v>840</v>
      </c>
      <c r="K1694" s="2" t="s">
        <v>8415</v>
      </c>
      <c r="L1694" s="3">
        <v>591.02</v>
      </c>
      <c r="M1694" s="3">
        <v>620.57</v>
      </c>
      <c r="N1694" s="3">
        <v>1239</v>
      </c>
      <c r="O1694" s="2" t="s">
        <v>240</v>
      </c>
      <c r="P1694" s="2" t="s">
        <v>1022</v>
      </c>
      <c r="Q1694" s="2" t="s">
        <v>234</v>
      </c>
      <c r="R1694" s="2" t="s">
        <v>228</v>
      </c>
      <c r="S1694" s="2" t="s">
        <v>228</v>
      </c>
      <c r="T1694" s="2" t="s">
        <v>228</v>
      </c>
      <c r="U1694" s="2" t="s">
        <v>308</v>
      </c>
      <c r="V1694" s="2" t="s">
        <v>842</v>
      </c>
      <c r="W1694" s="2" t="s">
        <v>417</v>
      </c>
      <c r="X1694" s="2" t="s">
        <v>269</v>
      </c>
      <c r="Y1694" s="2" t="s">
        <v>8416</v>
      </c>
      <c r="Z1694" s="4">
        <v>37</v>
      </c>
      <c r="AA1694" s="4">
        <f>=ROUNDDOWN({0},0)</f>
      </c>
      <c r="AB1694" s="5"/>
      <c r="AC1694" s="2" t="s">
        <v>228</v>
      </c>
      <c r="AD1694" s="4"/>
      <c r="AE1694" s="4"/>
      <c r="AF1694" s="6"/>
      <c r="AG1694" s="6"/>
      <c r="AH1694" s="7">
        <v>1</v>
      </c>
      <c r="AI1694" s="4"/>
      <c r="AJ1694" s="4">
        <f>=ROUNDDOWN({0},0)</f>
      </c>
      <c r="AK1694" s="5"/>
      <c r="AL1694" s="2" t="s">
        <v>228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228</v>
      </c>
      <c r="AW1694" s="8" t="s">
        <v>228</v>
      </c>
      <c r="AX1694" s="4" t="s">
        <v>228</v>
      </c>
      <c r="AY1694" s="8" t="s">
        <v>228</v>
      </c>
      <c r="AZ1694" s="7" t="s">
        <v>228</v>
      </c>
      <c r="BA1694" s="7" t="s">
        <v>228</v>
      </c>
      <c r="BB1694" s="7" t="s">
        <v>228</v>
      </c>
      <c r="BC1694" s="4" t="s">
        <v>228</v>
      </c>
      <c r="BD1694" s="8" t="s">
        <v>228</v>
      </c>
      <c r="BE1694" s="4" t="s">
        <v>228</v>
      </c>
      <c r="BF1694" s="8" t="s">
        <v>228</v>
      </c>
      <c r="BG1694" s="7" t="s">
        <v>228</v>
      </c>
      <c r="BH1694" s="7" t="s">
        <v>228</v>
      </c>
      <c r="BI1694" s="7"/>
      <c r="BJ1694" s="4"/>
      <c r="BK1694" s="8"/>
      <c r="BL1694" s="2" t="s">
        <v>228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8419</v>
      </c>
      <c r="BV1694" s="2" t="s">
        <v>228</v>
      </c>
      <c r="BW1694" s="2" t="s">
        <v>228</v>
      </c>
      <c r="BX1694" s="2" t="s">
        <v>273</v>
      </c>
      <c r="BY1694" s="2" t="s">
        <v>274</v>
      </c>
      <c r="BZ1694" s="2" t="s">
        <v>240</v>
      </c>
      <c r="CA1694" s="2" t="s">
        <v>4750</v>
      </c>
      <c r="CB1694" s="2" t="s">
        <v>228</v>
      </c>
      <c r="CC1694" s="2" t="s">
        <v>241</v>
      </c>
      <c r="CD1694" s="2" t="s">
        <v>228</v>
      </c>
      <c r="CE1694" s="4"/>
      <c r="CF1694" s="4">
        <v>37</v>
      </c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/>
      <c r="EW1694" s="4"/>
      <c r="EX1694" s="4"/>
      <c r="EY1694" s="4"/>
      <c r="EZ1694" s="4"/>
      <c r="FA1694" s="4"/>
      <c r="FB1694" s="4"/>
      <c r="FC1694" s="4"/>
      <c r="FD1694" s="4"/>
      <c r="FE1694" s="4"/>
      <c r="FF1694" s="4"/>
      <c r="FG1694" s="4"/>
      <c r="FH1694" s="4"/>
      <c r="FI1694" s="4"/>
      <c r="FJ1694" s="4"/>
      <c r="FK1694" s="4"/>
      <c r="FL1694" s="4"/>
      <c r="FM1694" s="4"/>
      <c r="FN1694" s="4"/>
      <c r="FO1694" s="4"/>
      <c r="FP1694" s="4"/>
      <c r="FQ1694" s="4"/>
      <c r="FR1694" s="4"/>
      <c r="FS1694" s="4"/>
      <c r="FT1694" s="4"/>
      <c r="FU1694" s="4"/>
      <c r="FV1694" s="4"/>
      <c r="FW1694" s="4"/>
      <c r="FX1694" s="4"/>
      <c r="FY1694" s="4"/>
      <c r="FZ1694" s="4"/>
      <c r="GA1694" s="4"/>
      <c r="GB1694" s="4"/>
      <c r="GC1694" s="4"/>
      <c r="GD1694" s="4"/>
      <c r="GE1694" s="4"/>
      <c r="GF1694" s="4"/>
      <c r="GG1694" s="4"/>
      <c r="GH1694" s="4"/>
      <c r="GI1694" s="4"/>
      <c r="GJ1694" s="4"/>
      <c r="GK1694" s="4"/>
      <c r="GL1694" s="4"/>
      <c r="GM1694" s="4"/>
      <c r="GN1694" s="4"/>
      <c r="GO1694" s="4"/>
      <c r="GP1694" s="4"/>
      <c r="GQ1694" s="4"/>
      <c r="GR1694" s="4"/>
      <c r="GS1694" s="4"/>
      <c r="GT1694" s="4"/>
      <c r="GU1694" s="4"/>
      <c r="GV1694" s="4"/>
      <c r="GW1694" s="4"/>
      <c r="GX1694" s="4"/>
      <c r="GY1694" s="4"/>
      <c r="GZ1694" s="4"/>
      <c r="HA1694" s="4"/>
      <c r="HB1694" s="4"/>
      <c r="HC1694" s="4"/>
      <c r="HD1694" s="4"/>
      <c r="HE1694" s="4"/>
    </row>
    <row r="1695">
      <c r="A1695" s="2" t="s">
        <v>8420</v>
      </c>
      <c r="B1695" s="2" t="s">
        <v>958</v>
      </c>
      <c r="C1695" s="2" t="s">
        <v>835</v>
      </c>
      <c r="D1695" s="2" t="s">
        <v>7940</v>
      </c>
      <c r="E1695" s="2" t="s">
        <v>3094</v>
      </c>
      <c r="F1695" s="2" t="s">
        <v>5510</v>
      </c>
      <c r="G1695" s="2" t="s">
        <v>5510</v>
      </c>
      <c r="H1695" s="2" t="s">
        <v>5510</v>
      </c>
      <c r="I1695" s="2" t="s">
        <v>8394</v>
      </c>
      <c r="J1695" s="2" t="s">
        <v>840</v>
      </c>
      <c r="K1695" s="2" t="s">
        <v>8415</v>
      </c>
      <c r="L1695" s="3">
        <v>326.34</v>
      </c>
      <c r="M1695" s="3">
        <v>342.66</v>
      </c>
      <c r="N1695" s="3">
        <v>689</v>
      </c>
      <c r="O1695" s="2" t="s">
        <v>240</v>
      </c>
      <c r="P1695" s="2" t="s">
        <v>1022</v>
      </c>
      <c r="Q1695" s="2" t="s">
        <v>234</v>
      </c>
      <c r="R1695" s="2" t="s">
        <v>228</v>
      </c>
      <c r="S1695" s="2" t="s">
        <v>228</v>
      </c>
      <c r="T1695" s="2" t="s">
        <v>228</v>
      </c>
      <c r="U1695" s="2" t="s">
        <v>520</v>
      </c>
      <c r="V1695" s="2" t="s">
        <v>842</v>
      </c>
      <c r="W1695" s="2" t="s">
        <v>417</v>
      </c>
      <c r="X1695" s="2" t="s">
        <v>269</v>
      </c>
      <c r="Y1695" s="2" t="s">
        <v>8416</v>
      </c>
      <c r="Z1695" s="4">
        <v>46</v>
      </c>
      <c r="AA1695" s="4">
        <f>=ROUNDDOWN({0},0)</f>
      </c>
      <c r="AB1695" s="5"/>
      <c r="AC1695" s="2" t="s">
        <v>228</v>
      </c>
      <c r="AD1695" s="4"/>
      <c r="AE1695" s="4"/>
      <c r="AF1695" s="6"/>
      <c r="AG1695" s="6"/>
      <c r="AH1695" s="7">
        <v>1</v>
      </c>
      <c r="AI1695" s="4"/>
      <c r="AJ1695" s="4">
        <f>=ROUNDDOWN({0},0)</f>
      </c>
      <c r="AK1695" s="5"/>
      <c r="AL1695" s="2" t="s">
        <v>228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228</v>
      </c>
      <c r="AW1695" s="8" t="s">
        <v>228</v>
      </c>
      <c r="AX1695" s="4" t="s">
        <v>228</v>
      </c>
      <c r="AY1695" s="8" t="s">
        <v>228</v>
      </c>
      <c r="AZ1695" s="7" t="s">
        <v>228</v>
      </c>
      <c r="BA1695" s="7" t="s">
        <v>228</v>
      </c>
      <c r="BB1695" s="7" t="s">
        <v>228</v>
      </c>
      <c r="BC1695" s="4" t="s">
        <v>228</v>
      </c>
      <c r="BD1695" s="8" t="s">
        <v>228</v>
      </c>
      <c r="BE1695" s="4" t="s">
        <v>228</v>
      </c>
      <c r="BF1695" s="8" t="s">
        <v>228</v>
      </c>
      <c r="BG1695" s="7" t="s">
        <v>228</v>
      </c>
      <c r="BH1695" s="7" t="s">
        <v>228</v>
      </c>
      <c r="BI1695" s="7"/>
      <c r="BJ1695" s="4"/>
      <c r="BK1695" s="8"/>
      <c r="BL1695" s="2" t="s">
        <v>228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8421</v>
      </c>
      <c r="BV1695" s="2" t="s">
        <v>228</v>
      </c>
      <c r="BW1695" s="2" t="s">
        <v>228</v>
      </c>
      <c r="BX1695" s="2" t="s">
        <v>273</v>
      </c>
      <c r="BY1695" s="2" t="s">
        <v>274</v>
      </c>
      <c r="BZ1695" s="2" t="s">
        <v>240</v>
      </c>
      <c r="CA1695" s="2" t="s">
        <v>4750</v>
      </c>
      <c r="CB1695" s="2" t="s">
        <v>228</v>
      </c>
      <c r="CC1695" s="2" t="s">
        <v>241</v>
      </c>
      <c r="CD1695" s="2" t="s">
        <v>228</v>
      </c>
      <c r="CE1695" s="4"/>
      <c r="CF1695" s="4">
        <v>46</v>
      </c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/>
      <c r="EW1695" s="4"/>
      <c r="EX1695" s="4"/>
      <c r="EY1695" s="4"/>
      <c r="EZ1695" s="4"/>
      <c r="FA1695" s="4"/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/>
      <c r="FT1695" s="4"/>
      <c r="FU1695" s="4"/>
      <c r="FV1695" s="4"/>
      <c r="FW1695" s="4"/>
      <c r="FX1695" s="4"/>
      <c r="FY1695" s="4"/>
      <c r="FZ1695" s="4"/>
      <c r="GA1695" s="4"/>
      <c r="GB1695" s="4"/>
      <c r="GC1695" s="4"/>
      <c r="GD1695" s="4"/>
      <c r="GE1695" s="4"/>
      <c r="GF1695" s="4"/>
      <c r="GG1695" s="4"/>
      <c r="GH1695" s="4"/>
      <c r="GI1695" s="4"/>
      <c r="GJ1695" s="4"/>
      <c r="GK1695" s="4"/>
      <c r="GL1695" s="4"/>
      <c r="GM1695" s="4"/>
      <c r="GN1695" s="4"/>
      <c r="GO1695" s="4"/>
      <c r="GP1695" s="4"/>
      <c r="GQ1695" s="4"/>
      <c r="GR1695" s="4"/>
      <c r="GS1695" s="4"/>
      <c r="GT1695" s="4"/>
      <c r="GU1695" s="4"/>
      <c r="GV1695" s="4"/>
      <c r="GW1695" s="4"/>
      <c r="GX1695" s="4"/>
      <c r="GY1695" s="4"/>
      <c r="GZ1695" s="4"/>
      <c r="HA1695" s="4"/>
      <c r="HB1695" s="4"/>
      <c r="HC1695" s="4"/>
      <c r="HD1695" s="4"/>
      <c r="HE1695" s="4"/>
    </row>
    <row r="1696">
      <c r="A1696" s="2" t="s">
        <v>8422</v>
      </c>
      <c r="B1696" s="2" t="s">
        <v>958</v>
      </c>
      <c r="C1696" s="2" t="s">
        <v>835</v>
      </c>
      <c r="D1696" s="2" t="s">
        <v>7940</v>
      </c>
      <c r="E1696" s="2" t="s">
        <v>3094</v>
      </c>
      <c r="F1696" s="2" t="s">
        <v>5510</v>
      </c>
      <c r="G1696" s="2" t="s">
        <v>5510</v>
      </c>
      <c r="H1696" s="2" t="s">
        <v>5510</v>
      </c>
      <c r="I1696" s="2" t="s">
        <v>8397</v>
      </c>
      <c r="J1696" s="2" t="s">
        <v>840</v>
      </c>
      <c r="K1696" s="2" t="s">
        <v>8415</v>
      </c>
      <c r="L1696" s="3">
        <v>785.99</v>
      </c>
      <c r="M1696" s="3">
        <v>825.29</v>
      </c>
      <c r="N1696" s="3">
        <v>1649</v>
      </c>
      <c r="O1696" s="2" t="s">
        <v>240</v>
      </c>
      <c r="P1696" s="2" t="s">
        <v>1022</v>
      </c>
      <c r="Q1696" s="2" t="s">
        <v>234</v>
      </c>
      <c r="R1696" s="2" t="s">
        <v>228</v>
      </c>
      <c r="S1696" s="2" t="s">
        <v>228</v>
      </c>
      <c r="T1696" s="2" t="s">
        <v>228</v>
      </c>
      <c r="U1696" s="2" t="s">
        <v>1170</v>
      </c>
      <c r="V1696" s="2" t="s">
        <v>842</v>
      </c>
      <c r="W1696" s="2" t="s">
        <v>417</v>
      </c>
      <c r="X1696" s="2" t="s">
        <v>269</v>
      </c>
      <c r="Y1696" s="2" t="s">
        <v>8416</v>
      </c>
      <c r="Z1696" s="4">
        <v>31</v>
      </c>
      <c r="AA1696" s="4">
        <f>=ROUNDDOWN({0},0)</f>
      </c>
      <c r="AB1696" s="5"/>
      <c r="AC1696" s="2" t="s">
        <v>228</v>
      </c>
      <c r="AD1696" s="4"/>
      <c r="AE1696" s="4"/>
      <c r="AF1696" s="6"/>
      <c r="AG1696" s="6"/>
      <c r="AH1696" s="7">
        <v>1</v>
      </c>
      <c r="AI1696" s="4"/>
      <c r="AJ1696" s="4">
        <f>=ROUNDDOWN({0},0)</f>
      </c>
      <c r="AK1696" s="5"/>
      <c r="AL1696" s="2" t="s">
        <v>228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 t="s">
        <v>228</v>
      </c>
      <c r="AW1696" s="8" t="s">
        <v>228</v>
      </c>
      <c r="AX1696" s="4" t="s">
        <v>228</v>
      </c>
      <c r="AY1696" s="8" t="s">
        <v>228</v>
      </c>
      <c r="AZ1696" s="7" t="s">
        <v>228</v>
      </c>
      <c r="BA1696" s="7" t="s">
        <v>228</v>
      </c>
      <c r="BB1696" s="7" t="s">
        <v>228</v>
      </c>
      <c r="BC1696" s="4" t="s">
        <v>228</v>
      </c>
      <c r="BD1696" s="8" t="s">
        <v>228</v>
      </c>
      <c r="BE1696" s="4" t="s">
        <v>228</v>
      </c>
      <c r="BF1696" s="8" t="s">
        <v>228</v>
      </c>
      <c r="BG1696" s="7" t="s">
        <v>228</v>
      </c>
      <c r="BH1696" s="7" t="s">
        <v>228</v>
      </c>
      <c r="BI1696" s="7"/>
      <c r="BJ1696" s="4"/>
      <c r="BK1696" s="8"/>
      <c r="BL1696" s="2" t="s">
        <v>228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8423</v>
      </c>
      <c r="BV1696" s="2" t="s">
        <v>228</v>
      </c>
      <c r="BW1696" s="2" t="s">
        <v>228</v>
      </c>
      <c r="BX1696" s="2" t="s">
        <v>273</v>
      </c>
      <c r="BY1696" s="2" t="s">
        <v>274</v>
      </c>
      <c r="BZ1696" s="2" t="s">
        <v>240</v>
      </c>
      <c r="CA1696" s="2" t="s">
        <v>4750</v>
      </c>
      <c r="CB1696" s="2" t="s">
        <v>228</v>
      </c>
      <c r="CC1696" s="2" t="s">
        <v>241</v>
      </c>
      <c r="CD1696" s="2" t="s">
        <v>228</v>
      </c>
      <c r="CE1696" s="4"/>
      <c r="CF1696" s="4">
        <v>31</v>
      </c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/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/>
      <c r="FR1696" s="4"/>
      <c r="FS1696" s="4"/>
      <c r="FT1696" s="4"/>
      <c r="FU1696" s="4"/>
      <c r="FV1696" s="4"/>
      <c r="FW1696" s="4"/>
      <c r="FX1696" s="4"/>
      <c r="FY1696" s="4"/>
      <c r="FZ1696" s="4"/>
      <c r="GA1696" s="4"/>
      <c r="GB1696" s="4"/>
      <c r="GC1696" s="4"/>
      <c r="GD1696" s="4"/>
      <c r="GE1696" s="4"/>
      <c r="GF1696" s="4"/>
      <c r="GG1696" s="4"/>
      <c r="GH1696" s="4"/>
      <c r="GI1696" s="4"/>
      <c r="GJ1696" s="4"/>
      <c r="GK1696" s="4"/>
      <c r="GL1696" s="4"/>
      <c r="GM1696" s="4"/>
      <c r="GN1696" s="4"/>
      <c r="GO1696" s="4"/>
      <c r="GP1696" s="4"/>
      <c r="GQ1696" s="4"/>
      <c r="GR1696" s="4"/>
      <c r="GS1696" s="4"/>
      <c r="GT1696" s="4"/>
      <c r="GU1696" s="4"/>
      <c r="GV1696" s="4"/>
      <c r="GW1696" s="4"/>
      <c r="GX1696" s="4"/>
      <c r="GY1696" s="4"/>
      <c r="GZ1696" s="4"/>
      <c r="HA1696" s="4"/>
      <c r="HB1696" s="4"/>
      <c r="HC1696" s="4"/>
      <c r="HD1696" s="4"/>
      <c r="HE1696" s="4"/>
    </row>
    <row r="1697">
      <c r="A1697" s="2" t="s">
        <v>8424</v>
      </c>
      <c r="B1697" s="2" t="s">
        <v>958</v>
      </c>
      <c r="C1697" s="2" t="s">
        <v>835</v>
      </c>
      <c r="D1697" s="2" t="s">
        <v>7940</v>
      </c>
      <c r="E1697" s="2" t="s">
        <v>3094</v>
      </c>
      <c r="F1697" s="2" t="s">
        <v>5510</v>
      </c>
      <c r="G1697" s="2" t="s">
        <v>5510</v>
      </c>
      <c r="H1697" s="2" t="s">
        <v>5510</v>
      </c>
      <c r="I1697" s="2" t="s">
        <v>8400</v>
      </c>
      <c r="J1697" s="2" t="s">
        <v>840</v>
      </c>
      <c r="K1697" s="2" t="s">
        <v>8415</v>
      </c>
      <c r="L1697" s="3">
        <v>480.69</v>
      </c>
      <c r="M1697" s="3">
        <v>504.72</v>
      </c>
      <c r="N1697" s="3">
        <v>999</v>
      </c>
      <c r="O1697" s="2" t="s">
        <v>240</v>
      </c>
      <c r="P1697" s="2" t="s">
        <v>1022</v>
      </c>
      <c r="Q1697" s="2" t="s">
        <v>234</v>
      </c>
      <c r="R1697" s="2" t="s">
        <v>228</v>
      </c>
      <c r="S1697" s="2" t="s">
        <v>228</v>
      </c>
      <c r="T1697" s="2" t="s">
        <v>228</v>
      </c>
      <c r="U1697" s="2" t="s">
        <v>500</v>
      </c>
      <c r="V1697" s="2" t="s">
        <v>842</v>
      </c>
      <c r="W1697" s="2" t="s">
        <v>417</v>
      </c>
      <c r="X1697" s="2" t="s">
        <v>269</v>
      </c>
      <c r="Y1697" s="2" t="s">
        <v>8416</v>
      </c>
      <c r="Z1697" s="4">
        <v>46</v>
      </c>
      <c r="AA1697" s="4">
        <f>=ROUNDDOWN(460,0)</f>
      </c>
      <c r="AB1697" s="5">
        <v>0.1</v>
      </c>
      <c r="AC1697" s="2" t="s">
        <v>228</v>
      </c>
      <c r="AD1697" s="4"/>
      <c r="AE1697" s="4"/>
      <c r="AF1697" s="6"/>
      <c r="AG1697" s="6"/>
      <c r="AH1697" s="7">
        <v>1</v>
      </c>
      <c r="AI1697" s="4"/>
      <c r="AJ1697" s="4">
        <f>=ROUNDDOWN({0},0)</f>
      </c>
      <c r="AK1697" s="5"/>
      <c r="AL1697" s="2" t="s">
        <v>228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 t="s">
        <v>228</v>
      </c>
      <c r="AW1697" s="8" t="s">
        <v>228</v>
      </c>
      <c r="AX1697" s="4" t="s">
        <v>228</v>
      </c>
      <c r="AY1697" s="8" t="s">
        <v>228</v>
      </c>
      <c r="AZ1697" s="7" t="s">
        <v>228</v>
      </c>
      <c r="BA1697" s="7" t="s">
        <v>228</v>
      </c>
      <c r="BB1697" s="7" t="s">
        <v>228</v>
      </c>
      <c r="BC1697" s="4" t="s">
        <v>228</v>
      </c>
      <c r="BD1697" s="8" t="s">
        <v>228</v>
      </c>
      <c r="BE1697" s="4" t="s">
        <v>228</v>
      </c>
      <c r="BF1697" s="8" t="s">
        <v>228</v>
      </c>
      <c r="BG1697" s="7" t="s">
        <v>228</v>
      </c>
      <c r="BH1697" s="7" t="s">
        <v>228</v>
      </c>
      <c r="BI1697" s="7"/>
      <c r="BJ1697" s="4"/>
      <c r="BK1697" s="8"/>
      <c r="BL1697" s="2" t="s">
        <v>228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8425</v>
      </c>
      <c r="BV1697" s="2" t="s">
        <v>228</v>
      </c>
      <c r="BW1697" s="2" t="s">
        <v>228</v>
      </c>
      <c r="BX1697" s="2" t="s">
        <v>273</v>
      </c>
      <c r="BY1697" s="2" t="s">
        <v>274</v>
      </c>
      <c r="BZ1697" s="2" t="s">
        <v>240</v>
      </c>
      <c r="CA1697" s="2" t="s">
        <v>4750</v>
      </c>
      <c r="CB1697" s="2" t="s">
        <v>8426</v>
      </c>
      <c r="CC1697" s="2" t="s">
        <v>241</v>
      </c>
      <c r="CD1697" s="2" t="s">
        <v>228</v>
      </c>
      <c r="CE1697" s="4"/>
      <c r="CF1697" s="4">
        <v>46</v>
      </c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/>
      <c r="FN1697" s="4"/>
      <c r="FO1697" s="4"/>
      <c r="FP1697" s="4"/>
      <c r="FQ1697" s="4"/>
      <c r="FR1697" s="4"/>
      <c r="FS1697" s="4"/>
      <c r="FT1697" s="4"/>
      <c r="FU1697" s="4"/>
      <c r="FV1697" s="4"/>
      <c r="FW1697" s="4"/>
      <c r="FX1697" s="4"/>
      <c r="FY1697" s="4"/>
      <c r="FZ1697" s="4"/>
      <c r="GA1697" s="4"/>
      <c r="GB1697" s="4"/>
      <c r="GC1697" s="4"/>
      <c r="GD1697" s="4"/>
      <c r="GE1697" s="4"/>
      <c r="GF1697" s="4"/>
      <c r="GG1697" s="4"/>
      <c r="GH1697" s="4"/>
      <c r="GI1697" s="4"/>
      <c r="GJ1697" s="4"/>
      <c r="GK1697" s="4"/>
      <c r="GL1697" s="4"/>
      <c r="GM1697" s="4"/>
      <c r="GN1697" s="4"/>
      <c r="GO1697" s="4"/>
      <c r="GP1697" s="4"/>
      <c r="GQ1697" s="4"/>
      <c r="GR1697" s="4"/>
      <c r="GS1697" s="4"/>
      <c r="GT1697" s="4"/>
      <c r="GU1697" s="4"/>
      <c r="GV1697" s="4"/>
      <c r="GW1697" s="4"/>
      <c r="GX1697" s="4"/>
      <c r="GY1697" s="4"/>
      <c r="GZ1697" s="4"/>
      <c r="HA1697" s="4"/>
      <c r="HB1697" s="4"/>
      <c r="HC1697" s="4"/>
      <c r="HD1697" s="4"/>
      <c r="HE1697" s="4"/>
    </row>
    <row r="1698">
      <c r="A1698" s="2" t="s">
        <v>8427</v>
      </c>
      <c r="B1698" s="2" t="s">
        <v>958</v>
      </c>
      <c r="C1698" s="2" t="s">
        <v>835</v>
      </c>
      <c r="D1698" s="2" t="s">
        <v>7940</v>
      </c>
      <c r="E1698" s="2" t="s">
        <v>3094</v>
      </c>
      <c r="F1698" s="2" t="s">
        <v>5510</v>
      </c>
      <c r="G1698" s="2" t="s">
        <v>5510</v>
      </c>
      <c r="H1698" s="2" t="s">
        <v>5510</v>
      </c>
      <c r="I1698" s="2" t="s">
        <v>8403</v>
      </c>
      <c r="J1698" s="2" t="s">
        <v>840</v>
      </c>
      <c r="K1698" s="2" t="s">
        <v>8415</v>
      </c>
      <c r="L1698" s="3">
        <v>777.31</v>
      </c>
      <c r="M1698" s="3">
        <v>816.18</v>
      </c>
      <c r="N1698" s="3">
        <v>1629</v>
      </c>
      <c r="O1698" s="2" t="s">
        <v>240</v>
      </c>
      <c r="P1698" s="2" t="s">
        <v>1022</v>
      </c>
      <c r="Q1698" s="2" t="s">
        <v>234</v>
      </c>
      <c r="R1698" s="2" t="s">
        <v>228</v>
      </c>
      <c r="S1698" s="2" t="s">
        <v>228</v>
      </c>
      <c r="T1698" s="2" t="s">
        <v>228</v>
      </c>
      <c r="U1698" s="2" t="s">
        <v>1170</v>
      </c>
      <c r="V1698" s="2" t="s">
        <v>842</v>
      </c>
      <c r="W1698" s="2" t="s">
        <v>417</v>
      </c>
      <c r="X1698" s="2" t="s">
        <v>269</v>
      </c>
      <c r="Y1698" s="2" t="s">
        <v>8416</v>
      </c>
      <c r="Z1698" s="4">
        <v>25</v>
      </c>
      <c r="AA1698" s="4">
        <f>=ROUNDDOWN({0},0)</f>
      </c>
      <c r="AB1698" s="5"/>
      <c r="AC1698" s="2" t="s">
        <v>228</v>
      </c>
      <c r="AD1698" s="4"/>
      <c r="AE1698" s="4"/>
      <c r="AF1698" s="6"/>
      <c r="AG1698" s="6"/>
      <c r="AH1698" s="7">
        <v>1</v>
      </c>
      <c r="AI1698" s="4"/>
      <c r="AJ1698" s="4">
        <f>=ROUNDDOWN({0},0)</f>
      </c>
      <c r="AK1698" s="5"/>
      <c r="AL1698" s="2" t="s">
        <v>228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 t="s">
        <v>228</v>
      </c>
      <c r="AW1698" s="8" t="s">
        <v>228</v>
      </c>
      <c r="AX1698" s="4" t="s">
        <v>228</v>
      </c>
      <c r="AY1698" s="8" t="s">
        <v>228</v>
      </c>
      <c r="AZ1698" s="7" t="s">
        <v>228</v>
      </c>
      <c r="BA1698" s="7" t="s">
        <v>228</v>
      </c>
      <c r="BB1698" s="7" t="s">
        <v>228</v>
      </c>
      <c r="BC1698" s="4" t="s">
        <v>228</v>
      </c>
      <c r="BD1698" s="8" t="s">
        <v>228</v>
      </c>
      <c r="BE1698" s="4" t="s">
        <v>228</v>
      </c>
      <c r="BF1698" s="8" t="s">
        <v>228</v>
      </c>
      <c r="BG1698" s="7" t="s">
        <v>228</v>
      </c>
      <c r="BH1698" s="7" t="s">
        <v>228</v>
      </c>
      <c r="BI1698" s="7"/>
      <c r="BJ1698" s="4"/>
      <c r="BK1698" s="8"/>
      <c r="BL1698" s="2" t="s">
        <v>228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8428</v>
      </c>
      <c r="BV1698" s="2" t="s">
        <v>228</v>
      </c>
      <c r="BW1698" s="2" t="s">
        <v>228</v>
      </c>
      <c r="BX1698" s="2" t="s">
        <v>273</v>
      </c>
      <c r="BY1698" s="2" t="s">
        <v>274</v>
      </c>
      <c r="BZ1698" s="2" t="s">
        <v>240</v>
      </c>
      <c r="CA1698" s="2" t="s">
        <v>4750</v>
      </c>
      <c r="CB1698" s="2" t="s">
        <v>228</v>
      </c>
      <c r="CC1698" s="2" t="s">
        <v>241</v>
      </c>
      <c r="CD1698" s="2" t="s">
        <v>228</v>
      </c>
      <c r="CE1698" s="4"/>
      <c r="CF1698" s="4">
        <v>25</v>
      </c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/>
      <c r="FL1698" s="4"/>
      <c r="FM1698" s="4"/>
      <c r="FN1698" s="4"/>
      <c r="FO1698" s="4"/>
      <c r="FP1698" s="4"/>
      <c r="FQ1698" s="4"/>
      <c r="FR1698" s="4"/>
      <c r="FS1698" s="4"/>
      <c r="FT1698" s="4"/>
      <c r="FU1698" s="4"/>
      <c r="FV1698" s="4"/>
      <c r="FW1698" s="4"/>
      <c r="FX1698" s="4"/>
      <c r="FY1698" s="4"/>
      <c r="FZ1698" s="4"/>
      <c r="GA1698" s="4"/>
      <c r="GB1698" s="4"/>
      <c r="GC1698" s="4"/>
      <c r="GD1698" s="4"/>
      <c r="GE1698" s="4"/>
      <c r="GF1698" s="4"/>
      <c r="GG1698" s="4"/>
      <c r="GH1698" s="4"/>
      <c r="GI1698" s="4"/>
      <c r="GJ1698" s="4"/>
      <c r="GK1698" s="4"/>
      <c r="GL1698" s="4"/>
      <c r="GM1698" s="4"/>
      <c r="GN1698" s="4"/>
      <c r="GO1698" s="4"/>
      <c r="GP1698" s="4"/>
      <c r="GQ1698" s="4"/>
      <c r="GR1698" s="4"/>
      <c r="GS1698" s="4"/>
      <c r="GT1698" s="4"/>
      <c r="GU1698" s="4"/>
      <c r="GV1698" s="4"/>
      <c r="GW1698" s="4"/>
      <c r="GX1698" s="4"/>
      <c r="GY1698" s="4"/>
      <c r="GZ1698" s="4"/>
      <c r="HA1698" s="4"/>
      <c r="HB1698" s="4"/>
      <c r="HC1698" s="4"/>
      <c r="HD1698" s="4"/>
      <c r="HE1698" s="4"/>
    </row>
    <row r="1699">
      <c r="A1699" s="2" t="s">
        <v>8429</v>
      </c>
      <c r="B1699" s="2" t="s">
        <v>958</v>
      </c>
      <c r="C1699" s="2" t="s">
        <v>1743</v>
      </c>
      <c r="D1699" s="2" t="s">
        <v>2144</v>
      </c>
      <c r="E1699" s="2" t="s">
        <v>2145</v>
      </c>
      <c r="F1699" s="2" t="s">
        <v>8430</v>
      </c>
      <c r="G1699" s="2" t="s">
        <v>8430</v>
      </c>
      <c r="H1699" s="2" t="s">
        <v>8430</v>
      </c>
      <c r="I1699" s="2" t="s">
        <v>8431</v>
      </c>
      <c r="J1699" s="2" t="s">
        <v>840</v>
      </c>
      <c r="K1699" s="2" t="s">
        <v>8432</v>
      </c>
      <c r="L1699" s="3">
        <v>95.64</v>
      </c>
      <c r="M1699" s="3">
        <v>100.42</v>
      </c>
      <c r="N1699" s="3">
        <v>189.99</v>
      </c>
      <c r="O1699" s="2" t="s">
        <v>461</v>
      </c>
      <c r="P1699" s="2" t="s">
        <v>333</v>
      </c>
      <c r="Q1699" s="2" t="s">
        <v>234</v>
      </c>
      <c r="R1699" s="2" t="s">
        <v>228</v>
      </c>
      <c r="S1699" s="2" t="s">
        <v>228</v>
      </c>
      <c r="T1699" s="2" t="s">
        <v>228</v>
      </c>
      <c r="U1699" s="2" t="s">
        <v>228</v>
      </c>
      <c r="V1699" s="2" t="s">
        <v>842</v>
      </c>
      <c r="W1699" s="2" t="s">
        <v>417</v>
      </c>
      <c r="X1699" s="2" t="s">
        <v>463</v>
      </c>
      <c r="Y1699" s="2" t="s">
        <v>3058</v>
      </c>
      <c r="Z1699" s="4">
        <v>142</v>
      </c>
      <c r="AA1699" s="4">
        <f>=ROUNDDOWN(23.6666666666667,0)</f>
      </c>
      <c r="AB1699" s="5">
        <v>6</v>
      </c>
      <c r="AC1699" s="2" t="s">
        <v>228</v>
      </c>
      <c r="AD1699" s="4"/>
      <c r="AE1699" s="4"/>
      <c r="AF1699" s="6">
        <v>74</v>
      </c>
      <c r="AG1699" s="6"/>
      <c r="AH1699" s="7">
        <v>1</v>
      </c>
      <c r="AI1699" s="4"/>
      <c r="AJ1699" s="4">
        <f>=ROUNDDOWN({0},0)</f>
      </c>
      <c r="AK1699" s="5"/>
      <c r="AL1699" s="2" t="s">
        <v>228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/>
      <c r="AW1699" s="8"/>
      <c r="AX1699" s="4"/>
      <c r="AY1699" s="8"/>
      <c r="AZ1699" s="7"/>
      <c r="BA1699" s="7"/>
      <c r="BB1699" s="7"/>
      <c r="BC1699" s="4"/>
      <c r="BD1699" s="8"/>
      <c r="BE1699" s="4"/>
      <c r="BF1699" s="8"/>
      <c r="BG1699" s="7"/>
      <c r="BH1699" s="7"/>
      <c r="BI1699" s="7"/>
      <c r="BJ1699" s="4">
        <v>19</v>
      </c>
      <c r="BK1699" s="8">
        <v>858.09</v>
      </c>
      <c r="BL1699" s="2" t="s">
        <v>3281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8433</v>
      </c>
      <c r="BV1699" s="2" t="s">
        <v>228</v>
      </c>
      <c r="BW1699" s="2" t="s">
        <v>228</v>
      </c>
      <c r="BX1699" s="2" t="s">
        <v>337</v>
      </c>
      <c r="BY1699" s="2" t="s">
        <v>274</v>
      </c>
      <c r="BZ1699" s="2" t="s">
        <v>240</v>
      </c>
      <c r="CA1699" s="2" t="s">
        <v>3061</v>
      </c>
      <c r="CB1699" s="2" t="s">
        <v>5061</v>
      </c>
      <c r="CC1699" s="2" t="s">
        <v>241</v>
      </c>
      <c r="CD1699" s="2" t="s">
        <v>228</v>
      </c>
      <c r="CE1699" s="4"/>
      <c r="CF1699" s="4">
        <v>142</v>
      </c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/>
      <c r="FB1699" s="4"/>
      <c r="FC1699" s="4"/>
      <c r="FD1699" s="4"/>
      <c r="FE1699" s="4"/>
      <c r="FF1699" s="4"/>
      <c r="FG1699" s="4"/>
      <c r="FH1699" s="4"/>
      <c r="FI1699" s="4"/>
      <c r="FJ1699" s="4"/>
      <c r="FK1699" s="4"/>
      <c r="FL1699" s="4"/>
      <c r="FM1699" s="4"/>
      <c r="FN1699" s="4"/>
      <c r="FO1699" s="4"/>
      <c r="FP1699" s="4"/>
      <c r="FQ1699" s="4"/>
      <c r="FR1699" s="4"/>
      <c r="FS1699" s="4"/>
      <c r="FT1699" s="4"/>
      <c r="FU1699" s="4"/>
      <c r="FV1699" s="4"/>
      <c r="FW1699" s="4"/>
      <c r="FX1699" s="4"/>
      <c r="FY1699" s="4"/>
      <c r="FZ1699" s="4"/>
      <c r="GA1699" s="4"/>
      <c r="GB1699" s="4"/>
      <c r="GC1699" s="4"/>
      <c r="GD1699" s="4"/>
      <c r="GE1699" s="4"/>
      <c r="GF1699" s="4"/>
      <c r="GG1699" s="4"/>
      <c r="GH1699" s="4"/>
      <c r="GI1699" s="4"/>
      <c r="GJ1699" s="4"/>
      <c r="GK1699" s="4"/>
      <c r="GL1699" s="4"/>
      <c r="GM1699" s="4"/>
      <c r="GN1699" s="4"/>
      <c r="GO1699" s="4"/>
      <c r="GP1699" s="4"/>
      <c r="GQ1699" s="4"/>
      <c r="GR1699" s="4"/>
      <c r="GS1699" s="4"/>
      <c r="GT1699" s="4"/>
      <c r="GU1699" s="4"/>
      <c r="GV1699" s="4"/>
      <c r="GW1699" s="4"/>
      <c r="GX1699" s="4"/>
      <c r="GY1699" s="4"/>
      <c r="GZ1699" s="4"/>
      <c r="HA1699" s="4"/>
      <c r="HB1699" s="4"/>
      <c r="HC1699" s="4"/>
      <c r="HD1699" s="4"/>
      <c r="HE1699" s="4"/>
    </row>
    <row r="1700">
      <c r="A1700" s="2" t="s">
        <v>8434</v>
      </c>
      <c r="B1700" s="2" t="s">
        <v>1150</v>
      </c>
      <c r="C1700" s="2" t="s">
        <v>1861</v>
      </c>
      <c r="D1700" s="2" t="s">
        <v>3290</v>
      </c>
      <c r="E1700" s="2" t="s">
        <v>3291</v>
      </c>
      <c r="F1700" s="2" t="s">
        <v>8435</v>
      </c>
      <c r="G1700" s="2" t="s">
        <v>8435</v>
      </c>
      <c r="H1700" s="2" t="s">
        <v>8435</v>
      </c>
      <c r="I1700" s="2" t="s">
        <v>3293</v>
      </c>
      <c r="J1700" s="2" t="s">
        <v>2601</v>
      </c>
      <c r="K1700" s="2" t="s">
        <v>1967</v>
      </c>
      <c r="L1700" s="3">
        <v>24.76</v>
      </c>
      <c r="M1700" s="3">
        <v>26</v>
      </c>
      <c r="N1700" s="3">
        <v>79.99</v>
      </c>
      <c r="O1700" s="2" t="s">
        <v>240</v>
      </c>
      <c r="P1700" s="2" t="s">
        <v>922</v>
      </c>
      <c r="Q1700" s="2" t="s">
        <v>234</v>
      </c>
      <c r="R1700" s="2" t="s">
        <v>228</v>
      </c>
      <c r="S1700" s="2" t="s">
        <v>228</v>
      </c>
      <c r="T1700" s="2" t="s">
        <v>228</v>
      </c>
      <c r="U1700" s="2" t="s">
        <v>416</v>
      </c>
      <c r="V1700" s="2" t="s">
        <v>1737</v>
      </c>
      <c r="W1700" s="2" t="s">
        <v>743</v>
      </c>
      <c r="X1700" s="2" t="s">
        <v>228</v>
      </c>
      <c r="Y1700" s="2" t="s">
        <v>1871</v>
      </c>
      <c r="Z1700" s="4">
        <v>81</v>
      </c>
      <c r="AA1700" s="4">
        <f>=ROUNDDOWN(24.5454545454545,0)</f>
      </c>
      <c r="AB1700" s="5">
        <v>3.3</v>
      </c>
      <c r="AC1700" s="2" t="s">
        <v>228</v>
      </c>
      <c r="AD1700" s="4"/>
      <c r="AE1700" s="4"/>
      <c r="AF1700" s="6">
        <v>65</v>
      </c>
      <c r="AG1700" s="6"/>
      <c r="AH1700" s="7">
        <v>1</v>
      </c>
      <c r="AI1700" s="4"/>
      <c r="AJ1700" s="4">
        <f>=ROUNDDOWN({0},0)</f>
      </c>
      <c r="AK1700" s="5"/>
      <c r="AL1700" s="2" t="s">
        <v>228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/>
      <c r="AW1700" s="8"/>
      <c r="AX1700" s="4"/>
      <c r="AY1700" s="8"/>
      <c r="AZ1700" s="7"/>
      <c r="BA1700" s="7"/>
      <c r="BB1700" s="7"/>
      <c r="BC1700" s="4" t="s">
        <v>228</v>
      </c>
      <c r="BD1700" s="8" t="s">
        <v>228</v>
      </c>
      <c r="BE1700" s="4" t="s">
        <v>228</v>
      </c>
      <c r="BF1700" s="8" t="s">
        <v>228</v>
      </c>
      <c r="BG1700" s="7" t="s">
        <v>228</v>
      </c>
      <c r="BH1700" s="7" t="s">
        <v>228</v>
      </c>
      <c r="BI1700" s="7"/>
      <c r="BJ1700" s="4">
        <v>19</v>
      </c>
      <c r="BK1700" s="8">
        <v>565.63</v>
      </c>
      <c r="BL1700" s="2" t="s">
        <v>8436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8437</v>
      </c>
      <c r="BV1700" s="2" t="s">
        <v>228</v>
      </c>
      <c r="BW1700" s="2" t="s">
        <v>228</v>
      </c>
      <c r="BX1700" s="2" t="s">
        <v>337</v>
      </c>
      <c r="BY1700" s="2" t="s">
        <v>274</v>
      </c>
      <c r="BZ1700" s="2" t="s">
        <v>240</v>
      </c>
      <c r="CA1700" s="2" t="s">
        <v>1469</v>
      </c>
      <c r="CB1700" s="2" t="s">
        <v>228</v>
      </c>
      <c r="CC1700" s="2" t="s">
        <v>241</v>
      </c>
      <c r="CD1700" s="2" t="s">
        <v>228</v>
      </c>
      <c r="CE1700" s="4">
        <v>81</v>
      </c>
      <c r="CF1700" s="4"/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/>
      <c r="FL1700" s="4"/>
      <c r="FM1700" s="4"/>
      <c r="FN1700" s="4"/>
      <c r="FO1700" s="4"/>
      <c r="FP1700" s="4"/>
      <c r="FQ1700" s="4"/>
      <c r="FR1700" s="4"/>
      <c r="FS1700" s="4"/>
      <c r="FT1700" s="4"/>
      <c r="FU1700" s="4"/>
      <c r="FV1700" s="4"/>
      <c r="FW1700" s="4"/>
      <c r="FX1700" s="4"/>
      <c r="FY1700" s="4"/>
      <c r="FZ1700" s="4"/>
      <c r="GA1700" s="4"/>
      <c r="GB1700" s="4"/>
      <c r="GC1700" s="4"/>
      <c r="GD1700" s="4"/>
      <c r="GE1700" s="4"/>
      <c r="GF1700" s="4"/>
      <c r="GG1700" s="4"/>
      <c r="GH1700" s="4"/>
      <c r="GI1700" s="4"/>
      <c r="GJ1700" s="4"/>
      <c r="GK1700" s="4"/>
      <c r="GL1700" s="4"/>
      <c r="GM1700" s="4"/>
      <c r="GN1700" s="4"/>
      <c r="GO1700" s="4"/>
      <c r="GP1700" s="4"/>
      <c r="GQ1700" s="4"/>
      <c r="GR1700" s="4"/>
      <c r="GS1700" s="4"/>
      <c r="GT1700" s="4"/>
      <c r="GU1700" s="4"/>
      <c r="GV1700" s="4"/>
      <c r="GW1700" s="4"/>
      <c r="GX1700" s="4"/>
      <c r="GY1700" s="4"/>
      <c r="GZ1700" s="4"/>
      <c r="HA1700" s="4"/>
      <c r="HB1700" s="4"/>
      <c r="HC1700" s="4"/>
      <c r="HD1700" s="4"/>
      <c r="HE1700" s="4"/>
    </row>
    <row r="1701">
      <c r="A1701" s="2" t="s">
        <v>8438</v>
      </c>
      <c r="B1701" s="2" t="s">
        <v>1150</v>
      </c>
      <c r="C1701" s="2" t="s">
        <v>1861</v>
      </c>
      <c r="D1701" s="2" t="s">
        <v>3290</v>
      </c>
      <c r="E1701" s="2" t="s">
        <v>3291</v>
      </c>
      <c r="F1701" s="2" t="s">
        <v>8435</v>
      </c>
      <c r="G1701" s="2" t="s">
        <v>8435</v>
      </c>
      <c r="H1701" s="2" t="s">
        <v>8435</v>
      </c>
      <c r="I1701" s="2" t="s">
        <v>3293</v>
      </c>
      <c r="J1701" s="2" t="s">
        <v>2601</v>
      </c>
      <c r="K1701" s="2" t="s">
        <v>823</v>
      </c>
      <c r="L1701" s="3">
        <v>24.76</v>
      </c>
      <c r="M1701" s="3">
        <v>26</v>
      </c>
      <c r="N1701" s="3">
        <v>79.99</v>
      </c>
      <c r="O1701" s="2" t="s">
        <v>240</v>
      </c>
      <c r="P1701" s="2" t="s">
        <v>922</v>
      </c>
      <c r="Q1701" s="2" t="s">
        <v>234</v>
      </c>
      <c r="R1701" s="2" t="s">
        <v>228</v>
      </c>
      <c r="S1701" s="2" t="s">
        <v>228</v>
      </c>
      <c r="T1701" s="2" t="s">
        <v>228</v>
      </c>
      <c r="U1701" s="2" t="s">
        <v>416</v>
      </c>
      <c r="V1701" s="2" t="s">
        <v>1737</v>
      </c>
      <c r="W1701" s="2" t="s">
        <v>743</v>
      </c>
      <c r="X1701" s="2" t="s">
        <v>228</v>
      </c>
      <c r="Y1701" s="2" t="s">
        <v>1871</v>
      </c>
      <c r="Z1701" s="4">
        <v>108</v>
      </c>
      <c r="AA1701" s="4">
        <f>=ROUNDDOWN(36,0)</f>
      </c>
      <c r="AB1701" s="5">
        <v>3</v>
      </c>
      <c r="AC1701" s="2" t="s">
        <v>228</v>
      </c>
      <c r="AD1701" s="4"/>
      <c r="AE1701" s="4"/>
      <c r="AF1701" s="6">
        <v>65</v>
      </c>
      <c r="AG1701" s="6"/>
      <c r="AH1701" s="7">
        <v>1</v>
      </c>
      <c r="AI1701" s="4"/>
      <c r="AJ1701" s="4">
        <f>=ROUNDDOWN({0},0)</f>
      </c>
      <c r="AK1701" s="5"/>
      <c r="AL1701" s="2" t="s">
        <v>228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/>
      <c r="AW1701" s="8"/>
      <c r="AX1701" s="4"/>
      <c r="AY1701" s="8"/>
      <c r="AZ1701" s="7"/>
      <c r="BA1701" s="7"/>
      <c r="BB1701" s="7"/>
      <c r="BC1701" s="4" t="s">
        <v>228</v>
      </c>
      <c r="BD1701" s="8" t="s">
        <v>228</v>
      </c>
      <c r="BE1701" s="4" t="s">
        <v>228</v>
      </c>
      <c r="BF1701" s="8" t="s">
        <v>228</v>
      </c>
      <c r="BG1701" s="7" t="s">
        <v>228</v>
      </c>
      <c r="BH1701" s="7" t="s">
        <v>228</v>
      </c>
      <c r="BI1701" s="7"/>
      <c r="BJ1701" s="4">
        <v>10</v>
      </c>
      <c r="BK1701" s="8">
        <v>417.56</v>
      </c>
      <c r="BL1701" s="2" t="s">
        <v>1968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8439</v>
      </c>
      <c r="BV1701" s="2" t="s">
        <v>228</v>
      </c>
      <c r="BW1701" s="2" t="s">
        <v>228</v>
      </c>
      <c r="BX1701" s="2" t="s">
        <v>337</v>
      </c>
      <c r="BY1701" s="2" t="s">
        <v>274</v>
      </c>
      <c r="BZ1701" s="2" t="s">
        <v>240</v>
      </c>
      <c r="CA1701" s="2" t="s">
        <v>1469</v>
      </c>
      <c r="CB1701" s="2" t="s">
        <v>228</v>
      </c>
      <c r="CC1701" s="2" t="s">
        <v>241</v>
      </c>
      <c r="CD1701" s="2" t="s">
        <v>228</v>
      </c>
      <c r="CE1701" s="4">
        <v>108</v>
      </c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/>
      <c r="FL1701" s="4"/>
      <c r="FM1701" s="4"/>
      <c r="FN1701" s="4"/>
      <c r="FO1701" s="4"/>
      <c r="FP1701" s="4"/>
      <c r="FQ1701" s="4"/>
      <c r="FR1701" s="4"/>
      <c r="FS1701" s="4"/>
      <c r="FT1701" s="4"/>
      <c r="FU1701" s="4"/>
      <c r="FV1701" s="4"/>
      <c r="FW1701" s="4"/>
      <c r="FX1701" s="4"/>
      <c r="FY1701" s="4"/>
      <c r="FZ1701" s="4"/>
      <c r="GA1701" s="4"/>
      <c r="GB1701" s="4"/>
      <c r="GC1701" s="4"/>
      <c r="GD1701" s="4"/>
      <c r="GE1701" s="4"/>
      <c r="GF1701" s="4"/>
      <c r="GG1701" s="4"/>
      <c r="GH1701" s="4"/>
      <c r="GI1701" s="4"/>
      <c r="GJ1701" s="4"/>
      <c r="GK1701" s="4"/>
      <c r="GL1701" s="4"/>
      <c r="GM1701" s="4"/>
      <c r="GN1701" s="4"/>
      <c r="GO1701" s="4"/>
      <c r="GP1701" s="4"/>
      <c r="GQ1701" s="4"/>
      <c r="GR1701" s="4"/>
      <c r="GS1701" s="4"/>
      <c r="GT1701" s="4"/>
      <c r="GU1701" s="4"/>
      <c r="GV1701" s="4"/>
      <c r="GW1701" s="4"/>
      <c r="GX1701" s="4"/>
      <c r="GY1701" s="4"/>
      <c r="GZ1701" s="4"/>
      <c r="HA1701" s="4"/>
      <c r="HB1701" s="4"/>
      <c r="HC1701" s="4"/>
      <c r="HD1701" s="4"/>
      <c r="HE1701" s="4"/>
    </row>
    <row r="1702">
      <c r="A1702" s="2" t="s">
        <v>8440</v>
      </c>
      <c r="B1702" s="2" t="s">
        <v>1150</v>
      </c>
      <c r="C1702" s="2" t="s">
        <v>2819</v>
      </c>
      <c r="D1702" s="2" t="s">
        <v>850</v>
      </c>
      <c r="E1702" s="2" t="s">
        <v>851</v>
      </c>
      <c r="F1702" s="2" t="s">
        <v>8441</v>
      </c>
      <c r="G1702" s="2" t="s">
        <v>8441</v>
      </c>
      <c r="H1702" s="2" t="s">
        <v>8441</v>
      </c>
      <c r="I1702" s="2" t="s">
        <v>8442</v>
      </c>
      <c r="J1702" s="2" t="s">
        <v>1043</v>
      </c>
      <c r="K1702" s="2" t="s">
        <v>2822</v>
      </c>
      <c r="L1702" s="3">
        <v>90</v>
      </c>
      <c r="M1702" s="3">
        <v>94.5</v>
      </c>
      <c r="N1702" s="3">
        <v>179.99</v>
      </c>
      <c r="O1702" s="2" t="s">
        <v>240</v>
      </c>
      <c r="P1702" s="2" t="s">
        <v>233</v>
      </c>
      <c r="Q1702" s="2" t="s">
        <v>234</v>
      </c>
      <c r="R1702" s="2" t="s">
        <v>228</v>
      </c>
      <c r="S1702" s="2" t="s">
        <v>8443</v>
      </c>
      <c r="T1702" s="2" t="s">
        <v>350</v>
      </c>
      <c r="U1702" s="2" t="s">
        <v>1170</v>
      </c>
      <c r="V1702" s="2" t="s">
        <v>374</v>
      </c>
      <c r="W1702" s="2" t="s">
        <v>1268</v>
      </c>
      <c r="X1702" s="2" t="s">
        <v>8444</v>
      </c>
      <c r="Y1702" s="2" t="s">
        <v>3618</v>
      </c>
      <c r="Z1702" s="4"/>
      <c r="AA1702" s="4">
        <f>=ROUNDDOWN({0},0)</f>
      </c>
      <c r="AB1702" s="5">
        <v>3</v>
      </c>
      <c r="AC1702" s="2" t="s">
        <v>1439</v>
      </c>
      <c r="AD1702" s="4">
        <v>120</v>
      </c>
      <c r="AE1702" s="4">
        <v>120</v>
      </c>
      <c r="AF1702" s="6">
        <v>65</v>
      </c>
      <c r="AG1702" s="6"/>
      <c r="AH1702" s="7">
        <v>0</v>
      </c>
      <c r="AI1702" s="4"/>
      <c r="AJ1702" s="4">
        <f>=ROUNDDOWN({0},0)</f>
      </c>
      <c r="AK1702" s="5"/>
      <c r="AL1702" s="2" t="s">
        <v>228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228</v>
      </c>
      <c r="AW1702" s="8" t="s">
        <v>228</v>
      </c>
      <c r="AX1702" s="4" t="s">
        <v>228</v>
      </c>
      <c r="AY1702" s="8" t="s">
        <v>228</v>
      </c>
      <c r="AZ1702" s="7" t="s">
        <v>228</v>
      </c>
      <c r="BA1702" s="7" t="s">
        <v>228</v>
      </c>
      <c r="BB1702" s="7"/>
      <c r="BC1702" s="4" t="s">
        <v>228</v>
      </c>
      <c r="BD1702" s="8" t="s">
        <v>228</v>
      </c>
      <c r="BE1702" s="4" t="s">
        <v>228</v>
      </c>
      <c r="BF1702" s="8" t="s">
        <v>228</v>
      </c>
      <c r="BG1702" s="7" t="s">
        <v>228</v>
      </c>
      <c r="BH1702" s="7" t="s">
        <v>228</v>
      </c>
      <c r="BI1702" s="7"/>
      <c r="BJ1702" s="4"/>
      <c r="BK1702" s="8"/>
      <c r="BL1702" s="2" t="s">
        <v>228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8445</v>
      </c>
      <c r="BV1702" s="2" t="s">
        <v>228</v>
      </c>
      <c r="BW1702" s="2" t="s">
        <v>228</v>
      </c>
      <c r="BX1702" s="2" t="s">
        <v>273</v>
      </c>
      <c r="BY1702" s="2" t="s">
        <v>274</v>
      </c>
      <c r="BZ1702" s="2" t="s">
        <v>240</v>
      </c>
      <c r="CA1702" s="2" t="s">
        <v>8446</v>
      </c>
      <c r="CB1702" s="2" t="s">
        <v>1106</v>
      </c>
      <c r="CC1702" s="2" t="s">
        <v>241</v>
      </c>
      <c r="CD1702" s="2" t="s">
        <v>228</v>
      </c>
      <c r="CE1702" s="4"/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>
        <v>120</v>
      </c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/>
      <c r="FG1702" s="4"/>
      <c r="FH1702" s="4"/>
      <c r="FI1702" s="4"/>
      <c r="FJ1702" s="4"/>
      <c r="FK1702" s="4"/>
      <c r="FL1702" s="4"/>
      <c r="FM1702" s="4"/>
      <c r="FN1702" s="4"/>
      <c r="FO1702" s="4"/>
      <c r="FP1702" s="4"/>
      <c r="FQ1702" s="4"/>
      <c r="FR1702" s="4"/>
      <c r="FS1702" s="4"/>
      <c r="FT1702" s="4"/>
      <c r="FU1702" s="4"/>
      <c r="FV1702" s="4"/>
      <c r="FW1702" s="4"/>
      <c r="FX1702" s="4"/>
      <c r="FY1702" s="4"/>
      <c r="FZ1702" s="4"/>
      <c r="GA1702" s="4"/>
      <c r="GB1702" s="4"/>
      <c r="GC1702" s="4"/>
      <c r="GD1702" s="4"/>
      <c r="GE1702" s="4"/>
      <c r="GF1702" s="4"/>
      <c r="GG1702" s="4"/>
      <c r="GH1702" s="4"/>
      <c r="GI1702" s="4"/>
      <c r="GJ1702" s="4"/>
      <c r="GK1702" s="4"/>
      <c r="GL1702" s="4"/>
      <c r="GM1702" s="4"/>
      <c r="GN1702" s="4"/>
      <c r="GO1702" s="4"/>
      <c r="GP1702" s="4"/>
      <c r="GQ1702" s="4"/>
      <c r="GR1702" s="4"/>
      <c r="GS1702" s="4"/>
      <c r="GT1702" s="4"/>
      <c r="GU1702" s="4"/>
      <c r="GV1702" s="4"/>
      <c r="GW1702" s="4"/>
      <c r="GX1702" s="4"/>
      <c r="GY1702" s="4"/>
      <c r="GZ1702" s="4"/>
      <c r="HA1702" s="4"/>
      <c r="HB1702" s="4"/>
      <c r="HC1702" s="4"/>
      <c r="HD1702" s="4"/>
      <c r="HE1702" s="4"/>
    </row>
    <row r="1703">
      <c r="A1703" s="2" t="s">
        <v>8447</v>
      </c>
      <c r="B1703" s="2" t="s">
        <v>1150</v>
      </c>
      <c r="C1703" s="2" t="s">
        <v>2819</v>
      </c>
      <c r="D1703" s="2" t="s">
        <v>1112</v>
      </c>
      <c r="E1703" s="2" t="s">
        <v>1165</v>
      </c>
      <c r="F1703" s="2" t="s">
        <v>8441</v>
      </c>
      <c r="G1703" s="2" t="s">
        <v>8441</v>
      </c>
      <c r="H1703" s="2" t="s">
        <v>8441</v>
      </c>
      <c r="I1703" s="2" t="s">
        <v>8448</v>
      </c>
      <c r="J1703" s="2" t="s">
        <v>312</v>
      </c>
      <c r="K1703" s="2" t="s">
        <v>2822</v>
      </c>
      <c r="L1703" s="3">
        <v>110.4</v>
      </c>
      <c r="M1703" s="3">
        <v>115.92</v>
      </c>
      <c r="N1703" s="3">
        <v>229.99</v>
      </c>
      <c r="O1703" s="2" t="s">
        <v>240</v>
      </c>
      <c r="P1703" s="2" t="s">
        <v>233</v>
      </c>
      <c r="Q1703" s="2" t="s">
        <v>234</v>
      </c>
      <c r="R1703" s="2" t="s">
        <v>228</v>
      </c>
      <c r="S1703" s="2" t="s">
        <v>8443</v>
      </c>
      <c r="T1703" s="2" t="s">
        <v>350</v>
      </c>
      <c r="U1703" s="2" t="s">
        <v>1054</v>
      </c>
      <c r="V1703" s="2" t="s">
        <v>374</v>
      </c>
      <c r="W1703" s="2" t="s">
        <v>1268</v>
      </c>
      <c r="X1703" s="2" t="s">
        <v>8444</v>
      </c>
      <c r="Y1703" s="2" t="s">
        <v>3618</v>
      </c>
      <c r="Z1703" s="4">
        <v>64</v>
      </c>
      <c r="AA1703" s="4">
        <f>=ROUNDDOWN(32,0)</f>
      </c>
      <c r="AB1703" s="5">
        <v>2</v>
      </c>
      <c r="AC1703" s="2" t="s">
        <v>1439</v>
      </c>
      <c r="AD1703" s="4">
        <v>80</v>
      </c>
      <c r="AE1703" s="4">
        <v>80</v>
      </c>
      <c r="AF1703" s="6">
        <v>65</v>
      </c>
      <c r="AG1703" s="6"/>
      <c r="AH1703" s="7">
        <v>1</v>
      </c>
      <c r="AI1703" s="4"/>
      <c r="AJ1703" s="4">
        <f>=ROUNDDOWN({0},0)</f>
      </c>
      <c r="AK1703" s="5"/>
      <c r="AL1703" s="2" t="s">
        <v>228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228</v>
      </c>
      <c r="AW1703" s="8" t="s">
        <v>228</v>
      </c>
      <c r="AX1703" s="4" t="s">
        <v>228</v>
      </c>
      <c r="AY1703" s="8" t="s">
        <v>228</v>
      </c>
      <c r="AZ1703" s="7" t="s">
        <v>228</v>
      </c>
      <c r="BA1703" s="7" t="s">
        <v>228</v>
      </c>
      <c r="BB1703" s="7"/>
      <c r="BC1703" s="4" t="s">
        <v>228</v>
      </c>
      <c r="BD1703" s="8" t="s">
        <v>228</v>
      </c>
      <c r="BE1703" s="4" t="s">
        <v>228</v>
      </c>
      <c r="BF1703" s="8" t="s">
        <v>228</v>
      </c>
      <c r="BG1703" s="7" t="s">
        <v>228</v>
      </c>
      <c r="BH1703" s="7" t="s">
        <v>228</v>
      </c>
      <c r="BI1703" s="7"/>
      <c r="BJ1703" s="4">
        <v>2</v>
      </c>
      <c r="BK1703" s="8">
        <v>241.11</v>
      </c>
      <c r="BL1703" s="2" t="s">
        <v>521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8449</v>
      </c>
      <c r="BV1703" s="2" t="s">
        <v>228</v>
      </c>
      <c r="BW1703" s="2" t="s">
        <v>228</v>
      </c>
      <c r="BX1703" s="2" t="s">
        <v>273</v>
      </c>
      <c r="BY1703" s="2" t="s">
        <v>274</v>
      </c>
      <c r="BZ1703" s="2" t="s">
        <v>240</v>
      </c>
      <c r="CA1703" s="2" t="s">
        <v>8446</v>
      </c>
      <c r="CB1703" s="2" t="s">
        <v>5516</v>
      </c>
      <c r="CC1703" s="2" t="s">
        <v>241</v>
      </c>
      <c r="CD1703" s="2" t="s">
        <v>228</v>
      </c>
      <c r="CE1703" s="4">
        <v>64</v>
      </c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>
        <v>80</v>
      </c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/>
      <c r="FG1703" s="4"/>
      <c r="FH1703" s="4"/>
      <c r="FI1703" s="4"/>
      <c r="FJ1703" s="4"/>
      <c r="FK1703" s="4"/>
      <c r="FL1703" s="4"/>
      <c r="FM1703" s="4"/>
      <c r="FN1703" s="4"/>
      <c r="FO1703" s="4"/>
      <c r="FP1703" s="4"/>
      <c r="FQ1703" s="4"/>
      <c r="FR1703" s="4"/>
      <c r="FS1703" s="4"/>
      <c r="FT1703" s="4"/>
      <c r="FU1703" s="4"/>
      <c r="FV1703" s="4"/>
      <c r="FW1703" s="4"/>
      <c r="FX1703" s="4"/>
      <c r="FY1703" s="4"/>
      <c r="FZ1703" s="4"/>
      <c r="GA1703" s="4"/>
      <c r="GB1703" s="4"/>
      <c r="GC1703" s="4"/>
      <c r="GD1703" s="4"/>
      <c r="GE1703" s="4"/>
      <c r="GF1703" s="4"/>
      <c r="GG1703" s="4"/>
      <c r="GH1703" s="4"/>
      <c r="GI1703" s="4"/>
      <c r="GJ1703" s="4"/>
      <c r="GK1703" s="4"/>
      <c r="GL1703" s="4"/>
      <c r="GM1703" s="4"/>
      <c r="GN1703" s="4"/>
      <c r="GO1703" s="4"/>
      <c r="GP1703" s="4"/>
      <c r="GQ1703" s="4"/>
      <c r="GR1703" s="4"/>
      <c r="GS1703" s="4"/>
      <c r="GT1703" s="4"/>
      <c r="GU1703" s="4"/>
      <c r="GV1703" s="4"/>
      <c r="GW1703" s="4"/>
      <c r="GX1703" s="4"/>
      <c r="GY1703" s="4"/>
      <c r="GZ1703" s="4"/>
      <c r="HA1703" s="4"/>
      <c r="HB1703" s="4"/>
      <c r="HC1703" s="4"/>
      <c r="HD1703" s="4"/>
      <c r="HE1703" s="4"/>
    </row>
    <row r="1704">
      <c r="A1704" s="2" t="s">
        <v>8450</v>
      </c>
      <c r="B1704" s="2" t="s">
        <v>866</v>
      </c>
      <c r="C1704" s="2" t="s">
        <v>300</v>
      </c>
      <c r="D1704" s="2" t="s">
        <v>899</v>
      </c>
      <c r="E1704" s="2" t="s">
        <v>1891</v>
      </c>
      <c r="F1704" s="2" t="s">
        <v>8451</v>
      </c>
      <c r="G1704" s="2" t="s">
        <v>8451</v>
      </c>
      <c r="H1704" s="2" t="s">
        <v>8451</v>
      </c>
      <c r="I1704" s="2" t="s">
        <v>8452</v>
      </c>
      <c r="J1704" s="2" t="s">
        <v>840</v>
      </c>
      <c r="K1704" s="2" t="s">
        <v>305</v>
      </c>
      <c r="L1704" s="3">
        <v>61.71</v>
      </c>
      <c r="M1704" s="3">
        <v>64.8</v>
      </c>
      <c r="N1704" s="3">
        <v>127.49</v>
      </c>
      <c r="O1704" s="2" t="s">
        <v>240</v>
      </c>
      <c r="P1704" s="2" t="s">
        <v>889</v>
      </c>
      <c r="Q1704" s="2" t="s">
        <v>234</v>
      </c>
      <c r="R1704" s="2" t="s">
        <v>228</v>
      </c>
      <c r="S1704" s="2" t="s">
        <v>8453</v>
      </c>
      <c r="T1704" s="2" t="s">
        <v>228</v>
      </c>
      <c r="U1704" s="2" t="s">
        <v>520</v>
      </c>
      <c r="V1704" s="2" t="s">
        <v>859</v>
      </c>
      <c r="W1704" s="2" t="s">
        <v>417</v>
      </c>
      <c r="X1704" s="2" t="s">
        <v>309</v>
      </c>
      <c r="Y1704" s="2" t="s">
        <v>1895</v>
      </c>
      <c r="Z1704" s="4">
        <v>143</v>
      </c>
      <c r="AA1704" s="4">
        <f>=ROUNDDOWN(23.8333333333333,0)</f>
      </c>
      <c r="AB1704" s="5">
        <v>6</v>
      </c>
      <c r="AC1704" s="2" t="s">
        <v>228</v>
      </c>
      <c r="AD1704" s="4"/>
      <c r="AE1704" s="4"/>
      <c r="AF1704" s="6">
        <v>63</v>
      </c>
      <c r="AG1704" s="6"/>
      <c r="AH1704" s="7">
        <v>1</v>
      </c>
      <c r="AI1704" s="4"/>
      <c r="AJ1704" s="4">
        <f>=ROUNDDOWN({0},0)</f>
      </c>
      <c r="AK1704" s="5"/>
      <c r="AL1704" s="2" t="s">
        <v>228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/>
      <c r="AW1704" s="8"/>
      <c r="AX1704" s="4"/>
      <c r="AY1704" s="8"/>
      <c r="AZ1704" s="7"/>
      <c r="BA1704" s="7"/>
      <c r="BB1704" s="7"/>
      <c r="BC1704" s="4"/>
      <c r="BD1704" s="8"/>
      <c r="BE1704" s="4"/>
      <c r="BF1704" s="8"/>
      <c r="BG1704" s="7"/>
      <c r="BH1704" s="7"/>
      <c r="BI1704" s="7"/>
      <c r="BJ1704" s="4">
        <v>25</v>
      </c>
      <c r="BK1704" s="8">
        <v>1852.09</v>
      </c>
      <c r="BL1704" s="2" t="s">
        <v>8454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8455</v>
      </c>
      <c r="BV1704" s="2" t="s">
        <v>228</v>
      </c>
      <c r="BW1704" s="2" t="s">
        <v>228</v>
      </c>
      <c r="BX1704" s="2" t="s">
        <v>273</v>
      </c>
      <c r="BY1704" s="2" t="s">
        <v>274</v>
      </c>
      <c r="BZ1704" s="2" t="s">
        <v>240</v>
      </c>
      <c r="CA1704" s="2" t="s">
        <v>1898</v>
      </c>
      <c r="CB1704" s="2" t="s">
        <v>8456</v>
      </c>
      <c r="CC1704" s="2" t="s">
        <v>241</v>
      </c>
      <c r="CD1704" s="2" t="s">
        <v>228</v>
      </c>
      <c r="CE1704" s="4"/>
      <c r="CF1704" s="4">
        <v>143</v>
      </c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/>
      <c r="FR1704" s="4"/>
      <c r="FS1704" s="4"/>
      <c r="FT1704" s="4"/>
      <c r="FU1704" s="4"/>
      <c r="FV1704" s="4"/>
      <c r="FW1704" s="4"/>
      <c r="FX1704" s="4"/>
      <c r="FY1704" s="4"/>
      <c r="FZ1704" s="4"/>
      <c r="GA1704" s="4"/>
      <c r="GB1704" s="4"/>
      <c r="GC1704" s="4"/>
      <c r="GD1704" s="4"/>
      <c r="GE1704" s="4"/>
      <c r="GF1704" s="4"/>
      <c r="GG1704" s="4"/>
      <c r="GH1704" s="4"/>
      <c r="GI1704" s="4"/>
      <c r="GJ1704" s="4"/>
      <c r="GK1704" s="4"/>
      <c r="GL1704" s="4"/>
      <c r="GM1704" s="4"/>
      <c r="GN1704" s="4"/>
      <c r="GO1704" s="4"/>
      <c r="GP1704" s="4"/>
      <c r="GQ1704" s="4"/>
      <c r="GR1704" s="4"/>
      <c r="GS1704" s="4"/>
      <c r="GT1704" s="4"/>
      <c r="GU1704" s="4"/>
      <c r="GV1704" s="4"/>
      <c r="GW1704" s="4"/>
      <c r="GX1704" s="4"/>
      <c r="GY1704" s="4"/>
      <c r="GZ1704" s="4"/>
      <c r="HA1704" s="4"/>
      <c r="HB1704" s="4"/>
      <c r="HC1704" s="4"/>
      <c r="HD1704" s="4"/>
      <c r="HE1704" s="4"/>
    </row>
    <row r="1705">
      <c r="A1705" s="2" t="s">
        <v>8457</v>
      </c>
      <c r="B1705" s="2" t="s">
        <v>2532</v>
      </c>
      <c r="C1705" s="2" t="s">
        <v>300</v>
      </c>
      <c r="D1705" s="2" t="s">
        <v>2533</v>
      </c>
      <c r="E1705" s="2" t="s">
        <v>2534</v>
      </c>
      <c r="F1705" s="2" t="s">
        <v>8458</v>
      </c>
      <c r="G1705" s="2" t="s">
        <v>8458</v>
      </c>
      <c r="H1705" s="2" t="s">
        <v>8458</v>
      </c>
      <c r="I1705" s="2" t="s">
        <v>8459</v>
      </c>
      <c r="J1705" s="2" t="s">
        <v>6549</v>
      </c>
      <c r="K1705" s="2" t="s">
        <v>305</v>
      </c>
      <c r="L1705" s="3">
        <v>12.1</v>
      </c>
      <c r="M1705" s="3">
        <v>12.71</v>
      </c>
      <c r="N1705" s="3">
        <v>49.99</v>
      </c>
      <c r="O1705" s="2" t="s">
        <v>240</v>
      </c>
      <c r="P1705" s="2" t="s">
        <v>233</v>
      </c>
      <c r="Q1705" s="2" t="s">
        <v>234</v>
      </c>
      <c r="R1705" s="2" t="s">
        <v>228</v>
      </c>
      <c r="S1705" s="2" t="s">
        <v>228</v>
      </c>
      <c r="T1705" s="2" t="s">
        <v>228</v>
      </c>
      <c r="U1705" s="2" t="s">
        <v>228</v>
      </c>
      <c r="V1705" s="2" t="s">
        <v>842</v>
      </c>
      <c r="W1705" s="2" t="s">
        <v>228</v>
      </c>
      <c r="X1705" s="2" t="s">
        <v>228</v>
      </c>
      <c r="Y1705" s="2" t="s">
        <v>228</v>
      </c>
      <c r="Z1705" s="4"/>
      <c r="AA1705" s="4">
        <f>=ROUNDDOWN({0},0)</f>
      </c>
      <c r="AB1705" s="5"/>
      <c r="AC1705" s="2" t="s">
        <v>1439</v>
      </c>
      <c r="AD1705" s="4">
        <v>170</v>
      </c>
      <c r="AE1705" s="4">
        <v>170</v>
      </c>
      <c r="AF1705" s="6"/>
      <c r="AG1705" s="6">
        <v>48</v>
      </c>
      <c r="AH1705" s="7"/>
      <c r="AI1705" s="4"/>
      <c r="AJ1705" s="4">
        <f>=ROUNDDOWN({0},0)</f>
      </c>
      <c r="AK1705" s="5"/>
      <c r="AL1705" s="2" t="s">
        <v>228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228</v>
      </c>
      <c r="AW1705" s="8" t="s">
        <v>228</v>
      </c>
      <c r="AX1705" s="4" t="s">
        <v>228</v>
      </c>
      <c r="AY1705" s="8" t="s">
        <v>228</v>
      </c>
      <c r="AZ1705" s="7" t="s">
        <v>228</v>
      </c>
      <c r="BA1705" s="7" t="s">
        <v>228</v>
      </c>
      <c r="BB1705" s="7"/>
      <c r="BC1705" s="4" t="s">
        <v>228</v>
      </c>
      <c r="BD1705" s="8" t="s">
        <v>228</v>
      </c>
      <c r="BE1705" s="4" t="s">
        <v>228</v>
      </c>
      <c r="BF1705" s="8" t="s">
        <v>228</v>
      </c>
      <c r="BG1705" s="7" t="s">
        <v>228</v>
      </c>
      <c r="BH1705" s="7" t="s">
        <v>228</v>
      </c>
      <c r="BI1705" s="7"/>
      <c r="BJ1705" s="4"/>
      <c r="BK1705" s="8"/>
      <c r="BL1705" s="2" t="s">
        <v>228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238</v>
      </c>
      <c r="BV1705" s="2" t="s">
        <v>228</v>
      </c>
      <c r="BW1705" s="2" t="s">
        <v>228</v>
      </c>
      <c r="BX1705" s="2" t="s">
        <v>238</v>
      </c>
      <c r="BY1705" s="2" t="s">
        <v>239</v>
      </c>
      <c r="BZ1705" s="2" t="s">
        <v>240</v>
      </c>
      <c r="CA1705" s="2" t="s">
        <v>228</v>
      </c>
      <c r="CB1705" s="2" t="s">
        <v>228</v>
      </c>
      <c r="CC1705" s="2" t="s">
        <v>241</v>
      </c>
      <c r="CD1705" s="2" t="s">
        <v>228</v>
      </c>
      <c r="CE1705" s="4"/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>
        <v>170</v>
      </c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/>
      <c r="FK1705" s="4"/>
      <c r="FL1705" s="4"/>
      <c r="FM1705" s="4"/>
      <c r="FN1705" s="4"/>
      <c r="FO1705" s="4"/>
      <c r="FP1705" s="4"/>
      <c r="FQ1705" s="4"/>
      <c r="FR1705" s="4"/>
      <c r="FS1705" s="4"/>
      <c r="FT1705" s="4"/>
      <c r="FU1705" s="4"/>
      <c r="FV1705" s="4"/>
      <c r="FW1705" s="4"/>
      <c r="FX1705" s="4"/>
      <c r="FY1705" s="4"/>
      <c r="FZ1705" s="4"/>
      <c r="GA1705" s="4"/>
      <c r="GB1705" s="4"/>
      <c r="GC1705" s="4"/>
      <c r="GD1705" s="4"/>
      <c r="GE1705" s="4"/>
      <c r="GF1705" s="4"/>
      <c r="GG1705" s="4"/>
      <c r="GH1705" s="4"/>
      <c r="GI1705" s="4"/>
      <c r="GJ1705" s="4"/>
      <c r="GK1705" s="4"/>
      <c r="GL1705" s="4"/>
      <c r="GM1705" s="4"/>
      <c r="GN1705" s="4"/>
      <c r="GO1705" s="4"/>
      <c r="GP1705" s="4"/>
      <c r="GQ1705" s="4"/>
      <c r="GR1705" s="4"/>
      <c r="GS1705" s="4"/>
      <c r="GT1705" s="4"/>
      <c r="GU1705" s="4"/>
      <c r="GV1705" s="4"/>
      <c r="GW1705" s="4"/>
      <c r="GX1705" s="4"/>
      <c r="GY1705" s="4"/>
      <c r="GZ1705" s="4"/>
      <c r="HA1705" s="4"/>
      <c r="HB1705" s="4"/>
      <c r="HC1705" s="4"/>
      <c r="HD1705" s="4"/>
      <c r="HE1705" s="4"/>
    </row>
    <row r="1706">
      <c r="A1706" s="2" t="s">
        <v>8460</v>
      </c>
      <c r="B1706" s="2" t="s">
        <v>2532</v>
      </c>
      <c r="C1706" s="2" t="s">
        <v>300</v>
      </c>
      <c r="D1706" s="2" t="s">
        <v>2533</v>
      </c>
      <c r="E1706" s="2" t="s">
        <v>2534</v>
      </c>
      <c r="F1706" s="2" t="s">
        <v>8458</v>
      </c>
      <c r="G1706" s="2" t="s">
        <v>8458</v>
      </c>
      <c r="H1706" s="2" t="s">
        <v>8458</v>
      </c>
      <c r="I1706" s="2" t="s">
        <v>8459</v>
      </c>
      <c r="J1706" s="2" t="s">
        <v>6554</v>
      </c>
      <c r="K1706" s="2" t="s">
        <v>305</v>
      </c>
      <c r="L1706" s="3">
        <v>12.1</v>
      </c>
      <c r="M1706" s="3">
        <v>12.71</v>
      </c>
      <c r="N1706" s="3">
        <v>49.99</v>
      </c>
      <c r="O1706" s="2" t="s">
        <v>240</v>
      </c>
      <c r="P1706" s="2" t="s">
        <v>233</v>
      </c>
      <c r="Q1706" s="2" t="s">
        <v>234</v>
      </c>
      <c r="R1706" s="2" t="s">
        <v>228</v>
      </c>
      <c r="S1706" s="2" t="s">
        <v>228</v>
      </c>
      <c r="T1706" s="2" t="s">
        <v>228</v>
      </c>
      <c r="U1706" s="2" t="s">
        <v>228</v>
      </c>
      <c r="V1706" s="2" t="s">
        <v>842</v>
      </c>
      <c r="W1706" s="2" t="s">
        <v>228</v>
      </c>
      <c r="X1706" s="2" t="s">
        <v>228</v>
      </c>
      <c r="Y1706" s="2" t="s">
        <v>228</v>
      </c>
      <c r="Z1706" s="4"/>
      <c r="AA1706" s="4">
        <f>=ROUNDDOWN({0},0)</f>
      </c>
      <c r="AB1706" s="5"/>
      <c r="AC1706" s="2" t="s">
        <v>1439</v>
      </c>
      <c r="AD1706" s="4">
        <v>330</v>
      </c>
      <c r="AE1706" s="4">
        <v>330</v>
      </c>
      <c r="AF1706" s="6"/>
      <c r="AG1706" s="6">
        <v>48</v>
      </c>
      <c r="AH1706" s="7"/>
      <c r="AI1706" s="4"/>
      <c r="AJ1706" s="4">
        <f>=ROUNDDOWN({0},0)</f>
      </c>
      <c r="AK1706" s="5"/>
      <c r="AL1706" s="2" t="s">
        <v>228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228</v>
      </c>
      <c r="AW1706" s="8" t="s">
        <v>228</v>
      </c>
      <c r="AX1706" s="4" t="s">
        <v>228</v>
      </c>
      <c r="AY1706" s="8" t="s">
        <v>228</v>
      </c>
      <c r="AZ1706" s="7" t="s">
        <v>228</v>
      </c>
      <c r="BA1706" s="7" t="s">
        <v>228</v>
      </c>
      <c r="BB1706" s="7"/>
      <c r="BC1706" s="4" t="s">
        <v>228</v>
      </c>
      <c r="BD1706" s="8" t="s">
        <v>228</v>
      </c>
      <c r="BE1706" s="4" t="s">
        <v>228</v>
      </c>
      <c r="BF1706" s="8" t="s">
        <v>228</v>
      </c>
      <c r="BG1706" s="7" t="s">
        <v>228</v>
      </c>
      <c r="BH1706" s="7" t="s">
        <v>228</v>
      </c>
      <c r="BI1706" s="7"/>
      <c r="BJ1706" s="4"/>
      <c r="BK1706" s="8"/>
      <c r="BL1706" s="2" t="s">
        <v>228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238</v>
      </c>
      <c r="BV1706" s="2" t="s">
        <v>228</v>
      </c>
      <c r="BW1706" s="2" t="s">
        <v>228</v>
      </c>
      <c r="BX1706" s="2" t="s">
        <v>238</v>
      </c>
      <c r="BY1706" s="2" t="s">
        <v>239</v>
      </c>
      <c r="BZ1706" s="2" t="s">
        <v>240</v>
      </c>
      <c r="CA1706" s="2" t="s">
        <v>228</v>
      </c>
      <c r="CB1706" s="2" t="s">
        <v>228</v>
      </c>
      <c r="CC1706" s="2" t="s">
        <v>241</v>
      </c>
      <c r="CD1706" s="2" t="s">
        <v>228</v>
      </c>
      <c r="CE1706" s="4"/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>
        <v>330</v>
      </c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/>
      <c r="FK1706" s="4"/>
      <c r="FL1706" s="4"/>
      <c r="FM1706" s="4"/>
      <c r="FN1706" s="4"/>
      <c r="FO1706" s="4"/>
      <c r="FP1706" s="4"/>
      <c r="FQ1706" s="4"/>
      <c r="FR1706" s="4"/>
      <c r="FS1706" s="4"/>
      <c r="FT1706" s="4"/>
      <c r="FU1706" s="4"/>
      <c r="FV1706" s="4"/>
      <c r="FW1706" s="4"/>
      <c r="FX1706" s="4"/>
      <c r="FY1706" s="4"/>
      <c r="FZ1706" s="4"/>
      <c r="GA1706" s="4"/>
      <c r="GB1706" s="4"/>
      <c r="GC1706" s="4"/>
      <c r="GD1706" s="4"/>
      <c r="GE1706" s="4"/>
      <c r="GF1706" s="4"/>
      <c r="GG1706" s="4"/>
      <c r="GH1706" s="4"/>
      <c r="GI1706" s="4"/>
      <c r="GJ1706" s="4"/>
      <c r="GK1706" s="4"/>
      <c r="GL1706" s="4"/>
      <c r="GM1706" s="4"/>
      <c r="GN1706" s="4"/>
      <c r="GO1706" s="4"/>
      <c r="GP1706" s="4"/>
      <c r="GQ1706" s="4"/>
      <c r="GR1706" s="4"/>
      <c r="GS1706" s="4"/>
      <c r="GT1706" s="4"/>
      <c r="GU1706" s="4"/>
      <c r="GV1706" s="4"/>
      <c r="GW1706" s="4"/>
      <c r="GX1706" s="4"/>
      <c r="GY1706" s="4"/>
      <c r="GZ1706" s="4"/>
      <c r="HA1706" s="4"/>
      <c r="HB1706" s="4"/>
      <c r="HC1706" s="4"/>
      <c r="HD1706" s="4"/>
      <c r="HE1706" s="4"/>
    </row>
    <row r="1707">
      <c r="A1707" s="2" t="s">
        <v>8461</v>
      </c>
      <c r="B1707" s="2" t="s">
        <v>2532</v>
      </c>
      <c r="C1707" s="2" t="s">
        <v>300</v>
      </c>
      <c r="D1707" s="2" t="s">
        <v>2533</v>
      </c>
      <c r="E1707" s="2" t="s">
        <v>2534</v>
      </c>
      <c r="F1707" s="2" t="s">
        <v>8458</v>
      </c>
      <c r="G1707" s="2" t="s">
        <v>8458</v>
      </c>
      <c r="H1707" s="2" t="s">
        <v>8458</v>
      </c>
      <c r="I1707" s="2" t="s">
        <v>8459</v>
      </c>
      <c r="J1707" s="2" t="s">
        <v>8462</v>
      </c>
      <c r="K1707" s="2" t="s">
        <v>305</v>
      </c>
      <c r="L1707" s="3">
        <v>12.1</v>
      </c>
      <c r="M1707" s="3">
        <v>12.71</v>
      </c>
      <c r="N1707" s="3">
        <v>49.99</v>
      </c>
      <c r="O1707" s="2" t="s">
        <v>240</v>
      </c>
      <c r="P1707" s="2" t="s">
        <v>233</v>
      </c>
      <c r="Q1707" s="2" t="s">
        <v>234</v>
      </c>
      <c r="R1707" s="2" t="s">
        <v>228</v>
      </c>
      <c r="S1707" s="2" t="s">
        <v>228</v>
      </c>
      <c r="T1707" s="2" t="s">
        <v>228</v>
      </c>
      <c r="U1707" s="2" t="s">
        <v>228</v>
      </c>
      <c r="V1707" s="2" t="s">
        <v>842</v>
      </c>
      <c r="W1707" s="2" t="s">
        <v>228</v>
      </c>
      <c r="X1707" s="2" t="s">
        <v>228</v>
      </c>
      <c r="Y1707" s="2" t="s">
        <v>228</v>
      </c>
      <c r="Z1707" s="4"/>
      <c r="AA1707" s="4">
        <f>=ROUNDDOWN({0},0)</f>
      </c>
      <c r="AB1707" s="5"/>
      <c r="AC1707" s="2" t="s">
        <v>1439</v>
      </c>
      <c r="AD1707" s="4">
        <v>330</v>
      </c>
      <c r="AE1707" s="4">
        <v>330</v>
      </c>
      <c r="AF1707" s="6"/>
      <c r="AG1707" s="6">
        <v>48</v>
      </c>
      <c r="AH1707" s="7"/>
      <c r="AI1707" s="4"/>
      <c r="AJ1707" s="4">
        <f>=ROUNDDOWN({0},0)</f>
      </c>
      <c r="AK1707" s="5"/>
      <c r="AL1707" s="2" t="s">
        <v>228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228</v>
      </c>
      <c r="AW1707" s="8" t="s">
        <v>228</v>
      </c>
      <c r="AX1707" s="4" t="s">
        <v>228</v>
      </c>
      <c r="AY1707" s="8" t="s">
        <v>228</v>
      </c>
      <c r="AZ1707" s="7" t="s">
        <v>228</v>
      </c>
      <c r="BA1707" s="7" t="s">
        <v>228</v>
      </c>
      <c r="BB1707" s="7"/>
      <c r="BC1707" s="4" t="s">
        <v>228</v>
      </c>
      <c r="BD1707" s="8" t="s">
        <v>228</v>
      </c>
      <c r="BE1707" s="4" t="s">
        <v>228</v>
      </c>
      <c r="BF1707" s="8" t="s">
        <v>228</v>
      </c>
      <c r="BG1707" s="7" t="s">
        <v>228</v>
      </c>
      <c r="BH1707" s="7" t="s">
        <v>228</v>
      </c>
      <c r="BI1707" s="7"/>
      <c r="BJ1707" s="4"/>
      <c r="BK1707" s="8"/>
      <c r="BL1707" s="2" t="s">
        <v>228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238</v>
      </c>
      <c r="BV1707" s="2" t="s">
        <v>228</v>
      </c>
      <c r="BW1707" s="2" t="s">
        <v>228</v>
      </c>
      <c r="BX1707" s="2" t="s">
        <v>238</v>
      </c>
      <c r="BY1707" s="2" t="s">
        <v>239</v>
      </c>
      <c r="BZ1707" s="2" t="s">
        <v>240</v>
      </c>
      <c r="CA1707" s="2" t="s">
        <v>228</v>
      </c>
      <c r="CB1707" s="2" t="s">
        <v>228</v>
      </c>
      <c r="CC1707" s="2" t="s">
        <v>241</v>
      </c>
      <c r="CD1707" s="2" t="s">
        <v>228</v>
      </c>
      <c r="CE1707" s="4"/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>
        <v>330</v>
      </c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  <c r="FX1707" s="4"/>
      <c r="FY1707" s="4"/>
      <c r="FZ1707" s="4"/>
      <c r="GA1707" s="4"/>
      <c r="GB1707" s="4"/>
      <c r="GC1707" s="4"/>
      <c r="GD1707" s="4"/>
      <c r="GE1707" s="4"/>
      <c r="GF1707" s="4"/>
      <c r="GG1707" s="4"/>
      <c r="GH1707" s="4"/>
      <c r="GI1707" s="4"/>
      <c r="GJ1707" s="4"/>
      <c r="GK1707" s="4"/>
      <c r="GL1707" s="4"/>
      <c r="GM1707" s="4"/>
      <c r="GN1707" s="4"/>
      <c r="GO1707" s="4"/>
      <c r="GP1707" s="4"/>
      <c r="GQ1707" s="4"/>
      <c r="GR1707" s="4"/>
      <c r="GS1707" s="4"/>
      <c r="GT1707" s="4"/>
      <c r="GU1707" s="4"/>
      <c r="GV1707" s="4"/>
      <c r="GW1707" s="4"/>
      <c r="GX1707" s="4"/>
      <c r="GY1707" s="4"/>
      <c r="GZ1707" s="4"/>
      <c r="HA1707" s="4"/>
      <c r="HB1707" s="4"/>
      <c r="HC1707" s="4"/>
      <c r="HD1707" s="4"/>
      <c r="HE1707" s="4"/>
    </row>
    <row r="1708">
      <c r="A1708" s="2" t="s">
        <v>8463</v>
      </c>
      <c r="B1708" s="2" t="s">
        <v>2532</v>
      </c>
      <c r="C1708" s="2" t="s">
        <v>300</v>
      </c>
      <c r="D1708" s="2" t="s">
        <v>2533</v>
      </c>
      <c r="E1708" s="2" t="s">
        <v>2534</v>
      </c>
      <c r="F1708" s="2" t="s">
        <v>8458</v>
      </c>
      <c r="G1708" s="2" t="s">
        <v>8458</v>
      </c>
      <c r="H1708" s="2" t="s">
        <v>8458</v>
      </c>
      <c r="I1708" s="2" t="s">
        <v>8459</v>
      </c>
      <c r="J1708" s="2" t="s">
        <v>8464</v>
      </c>
      <c r="K1708" s="2" t="s">
        <v>305</v>
      </c>
      <c r="L1708" s="3">
        <v>12.1</v>
      </c>
      <c r="M1708" s="3">
        <v>12.71</v>
      </c>
      <c r="N1708" s="3">
        <v>49.99</v>
      </c>
      <c r="O1708" s="2" t="s">
        <v>240</v>
      </c>
      <c r="P1708" s="2" t="s">
        <v>233</v>
      </c>
      <c r="Q1708" s="2" t="s">
        <v>234</v>
      </c>
      <c r="R1708" s="2" t="s">
        <v>228</v>
      </c>
      <c r="S1708" s="2" t="s">
        <v>228</v>
      </c>
      <c r="T1708" s="2" t="s">
        <v>228</v>
      </c>
      <c r="U1708" s="2" t="s">
        <v>228</v>
      </c>
      <c r="V1708" s="2" t="s">
        <v>842</v>
      </c>
      <c r="W1708" s="2" t="s">
        <v>228</v>
      </c>
      <c r="X1708" s="2" t="s">
        <v>228</v>
      </c>
      <c r="Y1708" s="2" t="s">
        <v>228</v>
      </c>
      <c r="Z1708" s="4"/>
      <c r="AA1708" s="4">
        <f>=ROUNDDOWN({0},0)</f>
      </c>
      <c r="AB1708" s="5"/>
      <c r="AC1708" s="2" t="s">
        <v>1439</v>
      </c>
      <c r="AD1708" s="4">
        <v>170</v>
      </c>
      <c r="AE1708" s="4">
        <v>170</v>
      </c>
      <c r="AF1708" s="6"/>
      <c r="AG1708" s="6">
        <v>48</v>
      </c>
      <c r="AH1708" s="7"/>
      <c r="AI1708" s="4"/>
      <c r="AJ1708" s="4">
        <f>=ROUNDDOWN({0},0)</f>
      </c>
      <c r="AK1708" s="5"/>
      <c r="AL1708" s="2" t="s">
        <v>228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 t="s">
        <v>228</v>
      </c>
      <c r="AW1708" s="8" t="s">
        <v>228</v>
      </c>
      <c r="AX1708" s="4" t="s">
        <v>228</v>
      </c>
      <c r="AY1708" s="8" t="s">
        <v>228</v>
      </c>
      <c r="AZ1708" s="7" t="s">
        <v>228</v>
      </c>
      <c r="BA1708" s="7" t="s">
        <v>228</v>
      </c>
      <c r="BB1708" s="7"/>
      <c r="BC1708" s="4" t="s">
        <v>228</v>
      </c>
      <c r="BD1708" s="8" t="s">
        <v>228</v>
      </c>
      <c r="BE1708" s="4" t="s">
        <v>228</v>
      </c>
      <c r="BF1708" s="8" t="s">
        <v>228</v>
      </c>
      <c r="BG1708" s="7" t="s">
        <v>228</v>
      </c>
      <c r="BH1708" s="7" t="s">
        <v>228</v>
      </c>
      <c r="BI1708" s="7"/>
      <c r="BJ1708" s="4"/>
      <c r="BK1708" s="8"/>
      <c r="BL1708" s="2" t="s">
        <v>228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238</v>
      </c>
      <c r="BV1708" s="2" t="s">
        <v>228</v>
      </c>
      <c r="BW1708" s="2" t="s">
        <v>228</v>
      </c>
      <c r="BX1708" s="2" t="s">
        <v>238</v>
      </c>
      <c r="BY1708" s="2" t="s">
        <v>239</v>
      </c>
      <c r="BZ1708" s="2" t="s">
        <v>240</v>
      </c>
      <c r="CA1708" s="2" t="s">
        <v>228</v>
      </c>
      <c r="CB1708" s="2" t="s">
        <v>228</v>
      </c>
      <c r="CC1708" s="2" t="s">
        <v>241</v>
      </c>
      <c r="CD1708" s="2" t="s">
        <v>228</v>
      </c>
      <c r="CE1708" s="4"/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>
        <v>170</v>
      </c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/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/>
      <c r="FV1708" s="4"/>
      <c r="FW1708" s="4"/>
      <c r="FX1708" s="4"/>
      <c r="FY1708" s="4"/>
      <c r="FZ1708" s="4"/>
      <c r="GA1708" s="4"/>
      <c r="GB1708" s="4"/>
      <c r="GC1708" s="4"/>
      <c r="GD1708" s="4"/>
      <c r="GE1708" s="4"/>
      <c r="GF1708" s="4"/>
      <c r="GG1708" s="4"/>
      <c r="GH1708" s="4"/>
      <c r="GI1708" s="4"/>
      <c r="GJ1708" s="4"/>
      <c r="GK1708" s="4"/>
      <c r="GL1708" s="4"/>
      <c r="GM1708" s="4"/>
      <c r="GN1708" s="4"/>
      <c r="GO1708" s="4"/>
      <c r="GP1708" s="4"/>
      <c r="GQ1708" s="4"/>
      <c r="GR1708" s="4"/>
      <c r="GS1708" s="4"/>
      <c r="GT1708" s="4"/>
      <c r="GU1708" s="4"/>
      <c r="GV1708" s="4"/>
      <c r="GW1708" s="4"/>
      <c r="GX1708" s="4"/>
      <c r="GY1708" s="4"/>
      <c r="GZ1708" s="4"/>
      <c r="HA1708" s="4"/>
      <c r="HB1708" s="4"/>
      <c r="HC1708" s="4"/>
      <c r="HD1708" s="4"/>
      <c r="HE1708" s="4"/>
    </row>
    <row r="1709">
      <c r="A1709" s="2" t="s">
        <v>8465</v>
      </c>
      <c r="B1709" s="2" t="s">
        <v>2532</v>
      </c>
      <c r="C1709" s="2" t="s">
        <v>300</v>
      </c>
      <c r="D1709" s="2" t="s">
        <v>2533</v>
      </c>
      <c r="E1709" s="2" t="s">
        <v>2534</v>
      </c>
      <c r="F1709" s="2" t="s">
        <v>8458</v>
      </c>
      <c r="G1709" s="2" t="s">
        <v>8458</v>
      </c>
      <c r="H1709" s="2" t="s">
        <v>8458</v>
      </c>
      <c r="I1709" s="2" t="s">
        <v>8459</v>
      </c>
      <c r="J1709" s="2" t="s">
        <v>6549</v>
      </c>
      <c r="K1709" s="2" t="s">
        <v>249</v>
      </c>
      <c r="L1709" s="3">
        <v>12.1</v>
      </c>
      <c r="M1709" s="3">
        <v>12.71</v>
      </c>
      <c r="N1709" s="3">
        <v>49.99</v>
      </c>
      <c r="O1709" s="2" t="s">
        <v>240</v>
      </c>
      <c r="P1709" s="2" t="s">
        <v>233</v>
      </c>
      <c r="Q1709" s="2" t="s">
        <v>234</v>
      </c>
      <c r="R1709" s="2" t="s">
        <v>228</v>
      </c>
      <c r="S1709" s="2" t="s">
        <v>228</v>
      </c>
      <c r="T1709" s="2" t="s">
        <v>228</v>
      </c>
      <c r="U1709" s="2" t="s">
        <v>228</v>
      </c>
      <c r="V1709" s="2" t="s">
        <v>842</v>
      </c>
      <c r="W1709" s="2" t="s">
        <v>228</v>
      </c>
      <c r="X1709" s="2" t="s">
        <v>228</v>
      </c>
      <c r="Y1709" s="2" t="s">
        <v>228</v>
      </c>
      <c r="Z1709" s="4"/>
      <c r="AA1709" s="4">
        <f>=ROUNDDOWN({0},0)</f>
      </c>
      <c r="AB1709" s="5"/>
      <c r="AC1709" s="2" t="s">
        <v>1439</v>
      </c>
      <c r="AD1709" s="4">
        <v>170</v>
      </c>
      <c r="AE1709" s="4">
        <v>170</v>
      </c>
      <c r="AF1709" s="6"/>
      <c r="AG1709" s="6">
        <v>48</v>
      </c>
      <c r="AH1709" s="7"/>
      <c r="AI1709" s="4"/>
      <c r="AJ1709" s="4">
        <f>=ROUNDDOWN({0},0)</f>
      </c>
      <c r="AK1709" s="5"/>
      <c r="AL1709" s="2" t="s">
        <v>228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 t="s">
        <v>228</v>
      </c>
      <c r="AW1709" s="8" t="s">
        <v>228</v>
      </c>
      <c r="AX1709" s="4" t="s">
        <v>228</v>
      </c>
      <c r="AY1709" s="8" t="s">
        <v>228</v>
      </c>
      <c r="AZ1709" s="7" t="s">
        <v>228</v>
      </c>
      <c r="BA1709" s="7" t="s">
        <v>228</v>
      </c>
      <c r="BB1709" s="7"/>
      <c r="BC1709" s="4" t="s">
        <v>228</v>
      </c>
      <c r="BD1709" s="8" t="s">
        <v>228</v>
      </c>
      <c r="BE1709" s="4" t="s">
        <v>228</v>
      </c>
      <c r="BF1709" s="8" t="s">
        <v>228</v>
      </c>
      <c r="BG1709" s="7" t="s">
        <v>228</v>
      </c>
      <c r="BH1709" s="7" t="s">
        <v>228</v>
      </c>
      <c r="BI1709" s="7"/>
      <c r="BJ1709" s="4"/>
      <c r="BK1709" s="8"/>
      <c r="BL1709" s="2" t="s">
        <v>228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238</v>
      </c>
      <c r="BV1709" s="2" t="s">
        <v>228</v>
      </c>
      <c r="BW1709" s="2" t="s">
        <v>228</v>
      </c>
      <c r="BX1709" s="2" t="s">
        <v>238</v>
      </c>
      <c r="BY1709" s="2" t="s">
        <v>239</v>
      </c>
      <c r="BZ1709" s="2" t="s">
        <v>240</v>
      </c>
      <c r="CA1709" s="2" t="s">
        <v>228</v>
      </c>
      <c r="CB1709" s="2" t="s">
        <v>228</v>
      </c>
      <c r="CC1709" s="2" t="s">
        <v>241</v>
      </c>
      <c r="CD1709" s="2" t="s">
        <v>228</v>
      </c>
      <c r="CE1709" s="4"/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>
        <v>170</v>
      </c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/>
      <c r="FR1709" s="4"/>
      <c r="FS1709" s="4"/>
      <c r="FT1709" s="4"/>
      <c r="FU1709" s="4"/>
      <c r="FV1709" s="4"/>
      <c r="FW1709" s="4"/>
      <c r="FX1709" s="4"/>
      <c r="FY1709" s="4"/>
      <c r="FZ1709" s="4"/>
      <c r="GA1709" s="4"/>
      <c r="GB1709" s="4"/>
      <c r="GC1709" s="4"/>
      <c r="GD1709" s="4"/>
      <c r="GE1709" s="4"/>
      <c r="GF1709" s="4"/>
      <c r="GG1709" s="4"/>
      <c r="GH1709" s="4"/>
      <c r="GI1709" s="4"/>
      <c r="GJ1709" s="4"/>
      <c r="GK1709" s="4"/>
      <c r="GL1709" s="4"/>
      <c r="GM1709" s="4"/>
      <c r="GN1709" s="4"/>
      <c r="GO1709" s="4"/>
      <c r="GP1709" s="4"/>
      <c r="GQ1709" s="4"/>
      <c r="GR1709" s="4"/>
      <c r="GS1709" s="4"/>
      <c r="GT1709" s="4"/>
      <c r="GU1709" s="4"/>
      <c r="GV1709" s="4"/>
      <c r="GW1709" s="4"/>
      <c r="GX1709" s="4"/>
      <c r="GY1709" s="4"/>
      <c r="GZ1709" s="4"/>
      <c r="HA1709" s="4"/>
      <c r="HB1709" s="4"/>
      <c r="HC1709" s="4"/>
      <c r="HD1709" s="4"/>
      <c r="HE1709" s="4"/>
    </row>
    <row r="1710">
      <c r="A1710" s="2" t="s">
        <v>8466</v>
      </c>
      <c r="B1710" s="2" t="s">
        <v>2532</v>
      </c>
      <c r="C1710" s="2" t="s">
        <v>300</v>
      </c>
      <c r="D1710" s="2" t="s">
        <v>2533</v>
      </c>
      <c r="E1710" s="2" t="s">
        <v>2534</v>
      </c>
      <c r="F1710" s="2" t="s">
        <v>8458</v>
      </c>
      <c r="G1710" s="2" t="s">
        <v>8458</v>
      </c>
      <c r="H1710" s="2" t="s">
        <v>8458</v>
      </c>
      <c r="I1710" s="2" t="s">
        <v>8459</v>
      </c>
      <c r="J1710" s="2" t="s">
        <v>6554</v>
      </c>
      <c r="K1710" s="2" t="s">
        <v>249</v>
      </c>
      <c r="L1710" s="3">
        <v>12.1</v>
      </c>
      <c r="M1710" s="3">
        <v>12.71</v>
      </c>
      <c r="N1710" s="3">
        <v>49.99</v>
      </c>
      <c r="O1710" s="2" t="s">
        <v>240</v>
      </c>
      <c r="P1710" s="2" t="s">
        <v>233</v>
      </c>
      <c r="Q1710" s="2" t="s">
        <v>234</v>
      </c>
      <c r="R1710" s="2" t="s">
        <v>228</v>
      </c>
      <c r="S1710" s="2" t="s">
        <v>228</v>
      </c>
      <c r="T1710" s="2" t="s">
        <v>228</v>
      </c>
      <c r="U1710" s="2" t="s">
        <v>228</v>
      </c>
      <c r="V1710" s="2" t="s">
        <v>842</v>
      </c>
      <c r="W1710" s="2" t="s">
        <v>228</v>
      </c>
      <c r="X1710" s="2" t="s">
        <v>228</v>
      </c>
      <c r="Y1710" s="2" t="s">
        <v>228</v>
      </c>
      <c r="Z1710" s="4"/>
      <c r="AA1710" s="4">
        <f>=ROUNDDOWN({0},0)</f>
      </c>
      <c r="AB1710" s="5"/>
      <c r="AC1710" s="2" t="s">
        <v>1439</v>
      </c>
      <c r="AD1710" s="4">
        <v>330</v>
      </c>
      <c r="AE1710" s="4">
        <v>330</v>
      </c>
      <c r="AF1710" s="6"/>
      <c r="AG1710" s="6">
        <v>48</v>
      </c>
      <c r="AH1710" s="7"/>
      <c r="AI1710" s="4"/>
      <c r="AJ1710" s="4">
        <f>=ROUNDDOWN({0},0)</f>
      </c>
      <c r="AK1710" s="5"/>
      <c r="AL1710" s="2" t="s">
        <v>228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 t="s">
        <v>228</v>
      </c>
      <c r="AW1710" s="8" t="s">
        <v>228</v>
      </c>
      <c r="AX1710" s="4" t="s">
        <v>228</v>
      </c>
      <c r="AY1710" s="8" t="s">
        <v>228</v>
      </c>
      <c r="AZ1710" s="7" t="s">
        <v>228</v>
      </c>
      <c r="BA1710" s="7" t="s">
        <v>228</v>
      </c>
      <c r="BB1710" s="7"/>
      <c r="BC1710" s="4" t="s">
        <v>228</v>
      </c>
      <c r="BD1710" s="8" t="s">
        <v>228</v>
      </c>
      <c r="BE1710" s="4" t="s">
        <v>228</v>
      </c>
      <c r="BF1710" s="8" t="s">
        <v>228</v>
      </c>
      <c r="BG1710" s="7" t="s">
        <v>228</v>
      </c>
      <c r="BH1710" s="7" t="s">
        <v>228</v>
      </c>
      <c r="BI1710" s="7"/>
      <c r="BJ1710" s="4"/>
      <c r="BK1710" s="8"/>
      <c r="BL1710" s="2" t="s">
        <v>228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238</v>
      </c>
      <c r="BV1710" s="2" t="s">
        <v>228</v>
      </c>
      <c r="BW1710" s="2" t="s">
        <v>228</v>
      </c>
      <c r="BX1710" s="2" t="s">
        <v>238</v>
      </c>
      <c r="BY1710" s="2" t="s">
        <v>239</v>
      </c>
      <c r="BZ1710" s="2" t="s">
        <v>240</v>
      </c>
      <c r="CA1710" s="2" t="s">
        <v>228</v>
      </c>
      <c r="CB1710" s="2" t="s">
        <v>228</v>
      </c>
      <c r="CC1710" s="2" t="s">
        <v>241</v>
      </c>
      <c r="CD1710" s="2" t="s">
        <v>228</v>
      </c>
      <c r="CE1710" s="4"/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>
        <v>330</v>
      </c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/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/>
      <c r="FR1710" s="4"/>
      <c r="FS1710" s="4"/>
      <c r="FT1710" s="4"/>
      <c r="FU1710" s="4"/>
      <c r="FV1710" s="4"/>
      <c r="FW1710" s="4"/>
      <c r="FX1710" s="4"/>
      <c r="FY1710" s="4"/>
      <c r="FZ1710" s="4"/>
      <c r="GA1710" s="4"/>
      <c r="GB1710" s="4"/>
      <c r="GC1710" s="4"/>
      <c r="GD1710" s="4"/>
      <c r="GE1710" s="4"/>
      <c r="GF1710" s="4"/>
      <c r="GG1710" s="4"/>
      <c r="GH1710" s="4"/>
      <c r="GI1710" s="4"/>
      <c r="GJ1710" s="4"/>
      <c r="GK1710" s="4"/>
      <c r="GL1710" s="4"/>
      <c r="GM1710" s="4"/>
      <c r="GN1710" s="4"/>
      <c r="GO1710" s="4"/>
      <c r="GP1710" s="4"/>
      <c r="GQ1710" s="4"/>
      <c r="GR1710" s="4"/>
      <c r="GS1710" s="4"/>
      <c r="GT1710" s="4"/>
      <c r="GU1710" s="4"/>
      <c r="GV1710" s="4"/>
      <c r="GW1710" s="4"/>
      <c r="GX1710" s="4"/>
      <c r="GY1710" s="4"/>
      <c r="GZ1710" s="4"/>
      <c r="HA1710" s="4"/>
      <c r="HB1710" s="4"/>
      <c r="HC1710" s="4"/>
      <c r="HD1710" s="4"/>
      <c r="HE1710" s="4"/>
    </row>
    <row r="1711">
      <c r="A1711" s="2" t="s">
        <v>8467</v>
      </c>
      <c r="B1711" s="2" t="s">
        <v>2532</v>
      </c>
      <c r="C1711" s="2" t="s">
        <v>300</v>
      </c>
      <c r="D1711" s="2" t="s">
        <v>2533</v>
      </c>
      <c r="E1711" s="2" t="s">
        <v>2534</v>
      </c>
      <c r="F1711" s="2" t="s">
        <v>8458</v>
      </c>
      <c r="G1711" s="2" t="s">
        <v>8458</v>
      </c>
      <c r="H1711" s="2" t="s">
        <v>8458</v>
      </c>
      <c r="I1711" s="2" t="s">
        <v>8459</v>
      </c>
      <c r="J1711" s="2" t="s">
        <v>8462</v>
      </c>
      <c r="K1711" s="2" t="s">
        <v>249</v>
      </c>
      <c r="L1711" s="3">
        <v>12.1</v>
      </c>
      <c r="M1711" s="3">
        <v>12.71</v>
      </c>
      <c r="N1711" s="3">
        <v>49.99</v>
      </c>
      <c r="O1711" s="2" t="s">
        <v>240</v>
      </c>
      <c r="P1711" s="2" t="s">
        <v>233</v>
      </c>
      <c r="Q1711" s="2" t="s">
        <v>234</v>
      </c>
      <c r="R1711" s="2" t="s">
        <v>228</v>
      </c>
      <c r="S1711" s="2" t="s">
        <v>228</v>
      </c>
      <c r="T1711" s="2" t="s">
        <v>228</v>
      </c>
      <c r="U1711" s="2" t="s">
        <v>228</v>
      </c>
      <c r="V1711" s="2" t="s">
        <v>842</v>
      </c>
      <c r="W1711" s="2" t="s">
        <v>228</v>
      </c>
      <c r="X1711" s="2" t="s">
        <v>228</v>
      </c>
      <c r="Y1711" s="2" t="s">
        <v>228</v>
      </c>
      <c r="Z1711" s="4"/>
      <c r="AA1711" s="4">
        <f>=ROUNDDOWN({0},0)</f>
      </c>
      <c r="AB1711" s="5"/>
      <c r="AC1711" s="2" t="s">
        <v>1439</v>
      </c>
      <c r="AD1711" s="4">
        <v>330</v>
      </c>
      <c r="AE1711" s="4">
        <v>330</v>
      </c>
      <c r="AF1711" s="6"/>
      <c r="AG1711" s="6">
        <v>48</v>
      </c>
      <c r="AH1711" s="7"/>
      <c r="AI1711" s="4"/>
      <c r="AJ1711" s="4">
        <f>=ROUNDDOWN({0},0)</f>
      </c>
      <c r="AK1711" s="5"/>
      <c r="AL1711" s="2" t="s">
        <v>228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 t="s">
        <v>228</v>
      </c>
      <c r="AW1711" s="8" t="s">
        <v>228</v>
      </c>
      <c r="AX1711" s="4" t="s">
        <v>228</v>
      </c>
      <c r="AY1711" s="8" t="s">
        <v>228</v>
      </c>
      <c r="AZ1711" s="7" t="s">
        <v>228</v>
      </c>
      <c r="BA1711" s="7" t="s">
        <v>228</v>
      </c>
      <c r="BB1711" s="7"/>
      <c r="BC1711" s="4" t="s">
        <v>228</v>
      </c>
      <c r="BD1711" s="8" t="s">
        <v>228</v>
      </c>
      <c r="BE1711" s="4" t="s">
        <v>228</v>
      </c>
      <c r="BF1711" s="8" t="s">
        <v>228</v>
      </c>
      <c r="BG1711" s="7" t="s">
        <v>228</v>
      </c>
      <c r="BH1711" s="7" t="s">
        <v>228</v>
      </c>
      <c r="BI1711" s="7"/>
      <c r="BJ1711" s="4"/>
      <c r="BK1711" s="8"/>
      <c r="BL1711" s="2" t="s">
        <v>228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238</v>
      </c>
      <c r="BV1711" s="2" t="s">
        <v>228</v>
      </c>
      <c r="BW1711" s="2" t="s">
        <v>228</v>
      </c>
      <c r="BX1711" s="2" t="s">
        <v>238</v>
      </c>
      <c r="BY1711" s="2" t="s">
        <v>239</v>
      </c>
      <c r="BZ1711" s="2" t="s">
        <v>240</v>
      </c>
      <c r="CA1711" s="2" t="s">
        <v>228</v>
      </c>
      <c r="CB1711" s="2" t="s">
        <v>228</v>
      </c>
      <c r="CC1711" s="2" t="s">
        <v>241</v>
      </c>
      <c r="CD1711" s="2" t="s">
        <v>228</v>
      </c>
      <c r="CE1711" s="4"/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>
        <v>330</v>
      </c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  <c r="FX1711" s="4"/>
      <c r="FY1711" s="4"/>
      <c r="FZ1711" s="4"/>
      <c r="GA1711" s="4"/>
      <c r="GB1711" s="4"/>
      <c r="GC1711" s="4"/>
      <c r="GD1711" s="4"/>
      <c r="GE1711" s="4"/>
      <c r="GF1711" s="4"/>
      <c r="GG1711" s="4"/>
      <c r="GH1711" s="4"/>
      <c r="GI1711" s="4"/>
      <c r="GJ1711" s="4"/>
      <c r="GK1711" s="4"/>
      <c r="GL1711" s="4"/>
      <c r="GM1711" s="4"/>
      <c r="GN1711" s="4"/>
      <c r="GO1711" s="4"/>
      <c r="GP1711" s="4"/>
      <c r="GQ1711" s="4"/>
      <c r="GR1711" s="4"/>
      <c r="GS1711" s="4"/>
      <c r="GT1711" s="4"/>
      <c r="GU1711" s="4"/>
      <c r="GV1711" s="4"/>
      <c r="GW1711" s="4"/>
      <c r="GX1711" s="4"/>
      <c r="GY1711" s="4"/>
      <c r="GZ1711" s="4"/>
      <c r="HA1711" s="4"/>
      <c r="HB1711" s="4"/>
      <c r="HC1711" s="4"/>
      <c r="HD1711" s="4"/>
      <c r="HE1711" s="4"/>
    </row>
    <row r="1712">
      <c r="A1712" s="2" t="s">
        <v>8468</v>
      </c>
      <c r="B1712" s="2" t="s">
        <v>2532</v>
      </c>
      <c r="C1712" s="2" t="s">
        <v>300</v>
      </c>
      <c r="D1712" s="2" t="s">
        <v>2533</v>
      </c>
      <c r="E1712" s="2" t="s">
        <v>2534</v>
      </c>
      <c r="F1712" s="2" t="s">
        <v>8458</v>
      </c>
      <c r="G1712" s="2" t="s">
        <v>8458</v>
      </c>
      <c r="H1712" s="2" t="s">
        <v>8458</v>
      </c>
      <c r="I1712" s="2" t="s">
        <v>8459</v>
      </c>
      <c r="J1712" s="2" t="s">
        <v>8464</v>
      </c>
      <c r="K1712" s="2" t="s">
        <v>249</v>
      </c>
      <c r="L1712" s="3">
        <v>12.1</v>
      </c>
      <c r="M1712" s="3">
        <v>12.71</v>
      </c>
      <c r="N1712" s="3">
        <v>49.99</v>
      </c>
      <c r="O1712" s="2" t="s">
        <v>240</v>
      </c>
      <c r="P1712" s="2" t="s">
        <v>233</v>
      </c>
      <c r="Q1712" s="2" t="s">
        <v>234</v>
      </c>
      <c r="R1712" s="2" t="s">
        <v>228</v>
      </c>
      <c r="S1712" s="2" t="s">
        <v>228</v>
      </c>
      <c r="T1712" s="2" t="s">
        <v>228</v>
      </c>
      <c r="U1712" s="2" t="s">
        <v>228</v>
      </c>
      <c r="V1712" s="2" t="s">
        <v>842</v>
      </c>
      <c r="W1712" s="2" t="s">
        <v>228</v>
      </c>
      <c r="X1712" s="2" t="s">
        <v>228</v>
      </c>
      <c r="Y1712" s="2" t="s">
        <v>228</v>
      </c>
      <c r="Z1712" s="4"/>
      <c r="AA1712" s="4">
        <f>=ROUNDDOWN({0},0)</f>
      </c>
      <c r="AB1712" s="5"/>
      <c r="AC1712" s="2" t="s">
        <v>1439</v>
      </c>
      <c r="AD1712" s="4">
        <v>170</v>
      </c>
      <c r="AE1712" s="4">
        <v>170</v>
      </c>
      <c r="AF1712" s="6"/>
      <c r="AG1712" s="6">
        <v>48</v>
      </c>
      <c r="AH1712" s="7"/>
      <c r="AI1712" s="4"/>
      <c r="AJ1712" s="4">
        <f>=ROUNDDOWN({0},0)</f>
      </c>
      <c r="AK1712" s="5"/>
      <c r="AL1712" s="2" t="s">
        <v>228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 t="s">
        <v>228</v>
      </c>
      <c r="AW1712" s="8" t="s">
        <v>228</v>
      </c>
      <c r="AX1712" s="4" t="s">
        <v>228</v>
      </c>
      <c r="AY1712" s="8" t="s">
        <v>228</v>
      </c>
      <c r="AZ1712" s="7" t="s">
        <v>228</v>
      </c>
      <c r="BA1712" s="7" t="s">
        <v>228</v>
      </c>
      <c r="BB1712" s="7"/>
      <c r="BC1712" s="4" t="s">
        <v>228</v>
      </c>
      <c r="BD1712" s="8" t="s">
        <v>228</v>
      </c>
      <c r="BE1712" s="4" t="s">
        <v>228</v>
      </c>
      <c r="BF1712" s="8" t="s">
        <v>228</v>
      </c>
      <c r="BG1712" s="7" t="s">
        <v>228</v>
      </c>
      <c r="BH1712" s="7" t="s">
        <v>228</v>
      </c>
      <c r="BI1712" s="7"/>
      <c r="BJ1712" s="4"/>
      <c r="BK1712" s="8"/>
      <c r="BL1712" s="2" t="s">
        <v>228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238</v>
      </c>
      <c r="BV1712" s="2" t="s">
        <v>228</v>
      </c>
      <c r="BW1712" s="2" t="s">
        <v>228</v>
      </c>
      <c r="BX1712" s="2" t="s">
        <v>238</v>
      </c>
      <c r="BY1712" s="2" t="s">
        <v>239</v>
      </c>
      <c r="BZ1712" s="2" t="s">
        <v>240</v>
      </c>
      <c r="CA1712" s="2" t="s">
        <v>228</v>
      </c>
      <c r="CB1712" s="2" t="s">
        <v>228</v>
      </c>
      <c r="CC1712" s="2" t="s">
        <v>241</v>
      </c>
      <c r="CD1712" s="2" t="s">
        <v>228</v>
      </c>
      <c r="CE1712" s="4"/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>
        <v>170</v>
      </c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  <c r="ES1712" s="4"/>
      <c r="ET1712" s="4"/>
      <c r="EU1712" s="4"/>
      <c r="EV1712" s="4"/>
      <c r="EW1712" s="4"/>
      <c r="EX1712" s="4"/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/>
      <c r="FR1712" s="4"/>
      <c r="FS1712" s="4"/>
      <c r="FT1712" s="4"/>
      <c r="FU1712" s="4"/>
      <c r="FV1712" s="4"/>
      <c r="FW1712" s="4"/>
      <c r="FX1712" s="4"/>
      <c r="FY1712" s="4"/>
      <c r="FZ1712" s="4"/>
      <c r="GA1712" s="4"/>
      <c r="GB1712" s="4"/>
      <c r="GC1712" s="4"/>
      <c r="GD1712" s="4"/>
      <c r="GE1712" s="4"/>
      <c r="GF1712" s="4"/>
      <c r="GG1712" s="4"/>
      <c r="GH1712" s="4"/>
      <c r="GI1712" s="4"/>
      <c r="GJ1712" s="4"/>
      <c r="GK1712" s="4"/>
      <c r="GL1712" s="4"/>
      <c r="GM1712" s="4"/>
      <c r="GN1712" s="4"/>
      <c r="GO1712" s="4"/>
      <c r="GP1712" s="4"/>
      <c r="GQ1712" s="4"/>
      <c r="GR1712" s="4"/>
      <c r="GS1712" s="4"/>
      <c r="GT1712" s="4"/>
      <c r="GU1712" s="4"/>
      <c r="GV1712" s="4"/>
      <c r="GW1712" s="4"/>
      <c r="GX1712" s="4"/>
      <c r="GY1712" s="4"/>
      <c r="GZ1712" s="4"/>
      <c r="HA1712" s="4"/>
      <c r="HB1712" s="4"/>
      <c r="HC1712" s="4"/>
      <c r="HD1712" s="4"/>
      <c r="HE1712" s="4"/>
    </row>
    <row r="1713">
      <c r="A1713" s="2" t="s">
        <v>8469</v>
      </c>
      <c r="B1713" s="2" t="s">
        <v>2532</v>
      </c>
      <c r="C1713" s="2" t="s">
        <v>300</v>
      </c>
      <c r="D1713" s="2" t="s">
        <v>2533</v>
      </c>
      <c r="E1713" s="2" t="s">
        <v>2534</v>
      </c>
      <c r="F1713" s="2" t="s">
        <v>8458</v>
      </c>
      <c r="G1713" s="2" t="s">
        <v>8458</v>
      </c>
      <c r="H1713" s="2" t="s">
        <v>8458</v>
      </c>
      <c r="I1713" s="2" t="s">
        <v>8459</v>
      </c>
      <c r="J1713" s="2" t="s">
        <v>6549</v>
      </c>
      <c r="K1713" s="2" t="s">
        <v>480</v>
      </c>
      <c r="L1713" s="3">
        <v>12.1</v>
      </c>
      <c r="M1713" s="3">
        <v>12.71</v>
      </c>
      <c r="N1713" s="3">
        <v>49.99</v>
      </c>
      <c r="O1713" s="2" t="s">
        <v>240</v>
      </c>
      <c r="P1713" s="2" t="s">
        <v>233</v>
      </c>
      <c r="Q1713" s="2" t="s">
        <v>234</v>
      </c>
      <c r="R1713" s="2" t="s">
        <v>228</v>
      </c>
      <c r="S1713" s="2" t="s">
        <v>228</v>
      </c>
      <c r="T1713" s="2" t="s">
        <v>228</v>
      </c>
      <c r="U1713" s="2" t="s">
        <v>228</v>
      </c>
      <c r="V1713" s="2" t="s">
        <v>842</v>
      </c>
      <c r="W1713" s="2" t="s">
        <v>228</v>
      </c>
      <c r="X1713" s="2" t="s">
        <v>228</v>
      </c>
      <c r="Y1713" s="2" t="s">
        <v>228</v>
      </c>
      <c r="Z1713" s="4"/>
      <c r="AA1713" s="4">
        <f>=ROUNDDOWN({0},0)</f>
      </c>
      <c r="AB1713" s="5"/>
      <c r="AC1713" s="2" t="s">
        <v>1439</v>
      </c>
      <c r="AD1713" s="4">
        <v>170</v>
      </c>
      <c r="AE1713" s="4">
        <v>170</v>
      </c>
      <c r="AF1713" s="6"/>
      <c r="AG1713" s="6">
        <v>48</v>
      </c>
      <c r="AH1713" s="7"/>
      <c r="AI1713" s="4"/>
      <c r="AJ1713" s="4">
        <f>=ROUNDDOWN({0},0)</f>
      </c>
      <c r="AK1713" s="5"/>
      <c r="AL1713" s="2" t="s">
        <v>228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 t="s">
        <v>228</v>
      </c>
      <c r="AW1713" s="8" t="s">
        <v>228</v>
      </c>
      <c r="AX1713" s="4" t="s">
        <v>228</v>
      </c>
      <c r="AY1713" s="8" t="s">
        <v>228</v>
      </c>
      <c r="AZ1713" s="7" t="s">
        <v>228</v>
      </c>
      <c r="BA1713" s="7" t="s">
        <v>228</v>
      </c>
      <c r="BB1713" s="7"/>
      <c r="BC1713" s="4" t="s">
        <v>228</v>
      </c>
      <c r="BD1713" s="8" t="s">
        <v>228</v>
      </c>
      <c r="BE1713" s="4" t="s">
        <v>228</v>
      </c>
      <c r="BF1713" s="8" t="s">
        <v>228</v>
      </c>
      <c r="BG1713" s="7" t="s">
        <v>228</v>
      </c>
      <c r="BH1713" s="7" t="s">
        <v>228</v>
      </c>
      <c r="BI1713" s="7"/>
      <c r="BJ1713" s="4"/>
      <c r="BK1713" s="8"/>
      <c r="BL1713" s="2" t="s">
        <v>228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238</v>
      </c>
      <c r="BV1713" s="2" t="s">
        <v>228</v>
      </c>
      <c r="BW1713" s="2" t="s">
        <v>228</v>
      </c>
      <c r="BX1713" s="2" t="s">
        <v>238</v>
      </c>
      <c r="BY1713" s="2" t="s">
        <v>239</v>
      </c>
      <c r="BZ1713" s="2" t="s">
        <v>240</v>
      </c>
      <c r="CA1713" s="2" t="s">
        <v>228</v>
      </c>
      <c r="CB1713" s="2" t="s">
        <v>228</v>
      </c>
      <c r="CC1713" s="2" t="s">
        <v>241</v>
      </c>
      <c r="CD1713" s="2" t="s">
        <v>228</v>
      </c>
      <c r="CE1713" s="4"/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>
        <v>170</v>
      </c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  <c r="FX1713" s="4"/>
      <c r="FY1713" s="4"/>
      <c r="FZ1713" s="4"/>
      <c r="GA1713" s="4"/>
      <c r="GB1713" s="4"/>
      <c r="GC1713" s="4"/>
      <c r="GD1713" s="4"/>
      <c r="GE1713" s="4"/>
      <c r="GF1713" s="4"/>
      <c r="GG1713" s="4"/>
      <c r="GH1713" s="4"/>
      <c r="GI1713" s="4"/>
      <c r="GJ1713" s="4"/>
      <c r="GK1713" s="4"/>
      <c r="GL1713" s="4"/>
      <c r="GM1713" s="4"/>
      <c r="GN1713" s="4"/>
      <c r="GO1713" s="4"/>
      <c r="GP1713" s="4"/>
      <c r="GQ1713" s="4"/>
      <c r="GR1713" s="4"/>
      <c r="GS1713" s="4"/>
      <c r="GT1713" s="4"/>
      <c r="GU1713" s="4"/>
      <c r="GV1713" s="4"/>
      <c r="GW1713" s="4"/>
      <c r="GX1713" s="4"/>
      <c r="GY1713" s="4"/>
      <c r="GZ1713" s="4"/>
      <c r="HA1713" s="4"/>
      <c r="HB1713" s="4"/>
      <c r="HC1713" s="4"/>
      <c r="HD1713" s="4"/>
      <c r="HE1713" s="4"/>
    </row>
    <row r="1714">
      <c r="A1714" s="2" t="s">
        <v>8470</v>
      </c>
      <c r="B1714" s="2" t="s">
        <v>2532</v>
      </c>
      <c r="C1714" s="2" t="s">
        <v>300</v>
      </c>
      <c r="D1714" s="2" t="s">
        <v>2533</v>
      </c>
      <c r="E1714" s="2" t="s">
        <v>2534</v>
      </c>
      <c r="F1714" s="2" t="s">
        <v>8458</v>
      </c>
      <c r="G1714" s="2" t="s">
        <v>8458</v>
      </c>
      <c r="H1714" s="2" t="s">
        <v>8458</v>
      </c>
      <c r="I1714" s="2" t="s">
        <v>8459</v>
      </c>
      <c r="J1714" s="2" t="s">
        <v>6554</v>
      </c>
      <c r="K1714" s="2" t="s">
        <v>480</v>
      </c>
      <c r="L1714" s="3">
        <v>12.1</v>
      </c>
      <c r="M1714" s="3">
        <v>12.71</v>
      </c>
      <c r="N1714" s="3">
        <v>49.99</v>
      </c>
      <c r="O1714" s="2" t="s">
        <v>240</v>
      </c>
      <c r="P1714" s="2" t="s">
        <v>233</v>
      </c>
      <c r="Q1714" s="2" t="s">
        <v>234</v>
      </c>
      <c r="R1714" s="2" t="s">
        <v>228</v>
      </c>
      <c r="S1714" s="2" t="s">
        <v>228</v>
      </c>
      <c r="T1714" s="2" t="s">
        <v>228</v>
      </c>
      <c r="U1714" s="2" t="s">
        <v>228</v>
      </c>
      <c r="V1714" s="2" t="s">
        <v>842</v>
      </c>
      <c r="W1714" s="2" t="s">
        <v>228</v>
      </c>
      <c r="X1714" s="2" t="s">
        <v>228</v>
      </c>
      <c r="Y1714" s="2" t="s">
        <v>228</v>
      </c>
      <c r="Z1714" s="4"/>
      <c r="AA1714" s="4">
        <f>=ROUNDDOWN({0},0)</f>
      </c>
      <c r="AB1714" s="5"/>
      <c r="AC1714" s="2" t="s">
        <v>1439</v>
      </c>
      <c r="AD1714" s="4">
        <v>330</v>
      </c>
      <c r="AE1714" s="4">
        <v>330</v>
      </c>
      <c r="AF1714" s="6"/>
      <c r="AG1714" s="6">
        <v>48</v>
      </c>
      <c r="AH1714" s="7"/>
      <c r="AI1714" s="4"/>
      <c r="AJ1714" s="4">
        <f>=ROUNDDOWN({0},0)</f>
      </c>
      <c r="AK1714" s="5"/>
      <c r="AL1714" s="2" t="s">
        <v>228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 t="s">
        <v>228</v>
      </c>
      <c r="AW1714" s="8" t="s">
        <v>228</v>
      </c>
      <c r="AX1714" s="4" t="s">
        <v>228</v>
      </c>
      <c r="AY1714" s="8" t="s">
        <v>228</v>
      </c>
      <c r="AZ1714" s="7" t="s">
        <v>228</v>
      </c>
      <c r="BA1714" s="7" t="s">
        <v>228</v>
      </c>
      <c r="BB1714" s="7"/>
      <c r="BC1714" s="4" t="s">
        <v>228</v>
      </c>
      <c r="BD1714" s="8" t="s">
        <v>228</v>
      </c>
      <c r="BE1714" s="4" t="s">
        <v>228</v>
      </c>
      <c r="BF1714" s="8" t="s">
        <v>228</v>
      </c>
      <c r="BG1714" s="7" t="s">
        <v>228</v>
      </c>
      <c r="BH1714" s="7" t="s">
        <v>228</v>
      </c>
      <c r="BI1714" s="7"/>
      <c r="BJ1714" s="4"/>
      <c r="BK1714" s="8"/>
      <c r="BL1714" s="2" t="s">
        <v>228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238</v>
      </c>
      <c r="BV1714" s="2" t="s">
        <v>228</v>
      </c>
      <c r="BW1714" s="2" t="s">
        <v>228</v>
      </c>
      <c r="BX1714" s="2" t="s">
        <v>238</v>
      </c>
      <c r="BY1714" s="2" t="s">
        <v>239</v>
      </c>
      <c r="BZ1714" s="2" t="s">
        <v>240</v>
      </c>
      <c r="CA1714" s="2" t="s">
        <v>228</v>
      </c>
      <c r="CB1714" s="2" t="s">
        <v>228</v>
      </c>
      <c r="CC1714" s="2" t="s">
        <v>241</v>
      </c>
      <c r="CD1714" s="2" t="s">
        <v>228</v>
      </c>
      <c r="CE1714" s="4"/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>
        <v>330</v>
      </c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/>
      <c r="EU1714" s="4"/>
      <c r="EV1714" s="4"/>
      <c r="EW1714" s="4"/>
      <c r="EX1714" s="4"/>
      <c r="EY1714" s="4"/>
      <c r="EZ1714" s="4"/>
      <c r="FA1714" s="4"/>
      <c r="FB1714" s="4"/>
      <c r="FC1714" s="4"/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/>
      <c r="FQ1714" s="4"/>
      <c r="FR1714" s="4"/>
      <c r="FS1714" s="4"/>
      <c r="FT1714" s="4"/>
      <c r="FU1714" s="4"/>
      <c r="FV1714" s="4"/>
      <c r="FW1714" s="4"/>
      <c r="FX1714" s="4"/>
      <c r="FY1714" s="4"/>
      <c r="FZ1714" s="4"/>
      <c r="GA1714" s="4"/>
      <c r="GB1714" s="4"/>
      <c r="GC1714" s="4"/>
      <c r="GD1714" s="4"/>
      <c r="GE1714" s="4"/>
      <c r="GF1714" s="4"/>
      <c r="GG1714" s="4"/>
      <c r="GH1714" s="4"/>
      <c r="GI1714" s="4"/>
      <c r="GJ1714" s="4"/>
      <c r="GK1714" s="4"/>
      <c r="GL1714" s="4"/>
      <c r="GM1714" s="4"/>
      <c r="GN1714" s="4"/>
      <c r="GO1714" s="4"/>
      <c r="GP1714" s="4"/>
      <c r="GQ1714" s="4"/>
      <c r="GR1714" s="4"/>
      <c r="GS1714" s="4"/>
      <c r="GT1714" s="4"/>
      <c r="GU1714" s="4"/>
      <c r="GV1714" s="4"/>
      <c r="GW1714" s="4"/>
      <c r="GX1714" s="4"/>
      <c r="GY1714" s="4"/>
      <c r="GZ1714" s="4"/>
      <c r="HA1714" s="4"/>
      <c r="HB1714" s="4"/>
      <c r="HC1714" s="4"/>
      <c r="HD1714" s="4"/>
      <c r="HE1714" s="4"/>
    </row>
    <row r="1715">
      <c r="A1715" s="2" t="s">
        <v>8471</v>
      </c>
      <c r="B1715" s="2" t="s">
        <v>2532</v>
      </c>
      <c r="C1715" s="2" t="s">
        <v>300</v>
      </c>
      <c r="D1715" s="2" t="s">
        <v>2533</v>
      </c>
      <c r="E1715" s="2" t="s">
        <v>2534</v>
      </c>
      <c r="F1715" s="2" t="s">
        <v>8458</v>
      </c>
      <c r="G1715" s="2" t="s">
        <v>8458</v>
      </c>
      <c r="H1715" s="2" t="s">
        <v>8458</v>
      </c>
      <c r="I1715" s="2" t="s">
        <v>8459</v>
      </c>
      <c r="J1715" s="2" t="s">
        <v>8462</v>
      </c>
      <c r="K1715" s="2" t="s">
        <v>480</v>
      </c>
      <c r="L1715" s="3">
        <v>12.1</v>
      </c>
      <c r="M1715" s="3">
        <v>12.71</v>
      </c>
      <c r="N1715" s="3">
        <v>49.99</v>
      </c>
      <c r="O1715" s="2" t="s">
        <v>240</v>
      </c>
      <c r="P1715" s="2" t="s">
        <v>233</v>
      </c>
      <c r="Q1715" s="2" t="s">
        <v>234</v>
      </c>
      <c r="R1715" s="2" t="s">
        <v>228</v>
      </c>
      <c r="S1715" s="2" t="s">
        <v>228</v>
      </c>
      <c r="T1715" s="2" t="s">
        <v>228</v>
      </c>
      <c r="U1715" s="2" t="s">
        <v>228</v>
      </c>
      <c r="V1715" s="2" t="s">
        <v>842</v>
      </c>
      <c r="W1715" s="2" t="s">
        <v>228</v>
      </c>
      <c r="X1715" s="2" t="s">
        <v>228</v>
      </c>
      <c r="Y1715" s="2" t="s">
        <v>228</v>
      </c>
      <c r="Z1715" s="4"/>
      <c r="AA1715" s="4">
        <f>=ROUNDDOWN({0},0)</f>
      </c>
      <c r="AB1715" s="5"/>
      <c r="AC1715" s="2" t="s">
        <v>1439</v>
      </c>
      <c r="AD1715" s="4">
        <v>330</v>
      </c>
      <c r="AE1715" s="4">
        <v>330</v>
      </c>
      <c r="AF1715" s="6"/>
      <c r="AG1715" s="6">
        <v>48</v>
      </c>
      <c r="AH1715" s="7"/>
      <c r="AI1715" s="4"/>
      <c r="AJ1715" s="4">
        <f>=ROUNDDOWN({0},0)</f>
      </c>
      <c r="AK1715" s="5"/>
      <c r="AL1715" s="2" t="s">
        <v>228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228</v>
      </c>
      <c r="AW1715" s="8" t="s">
        <v>228</v>
      </c>
      <c r="AX1715" s="4" t="s">
        <v>228</v>
      </c>
      <c r="AY1715" s="8" t="s">
        <v>228</v>
      </c>
      <c r="AZ1715" s="7" t="s">
        <v>228</v>
      </c>
      <c r="BA1715" s="7" t="s">
        <v>228</v>
      </c>
      <c r="BB1715" s="7"/>
      <c r="BC1715" s="4" t="s">
        <v>228</v>
      </c>
      <c r="BD1715" s="8" t="s">
        <v>228</v>
      </c>
      <c r="BE1715" s="4" t="s">
        <v>228</v>
      </c>
      <c r="BF1715" s="8" t="s">
        <v>228</v>
      </c>
      <c r="BG1715" s="7" t="s">
        <v>228</v>
      </c>
      <c r="BH1715" s="7" t="s">
        <v>228</v>
      </c>
      <c r="BI1715" s="7"/>
      <c r="BJ1715" s="4"/>
      <c r="BK1715" s="8"/>
      <c r="BL1715" s="2" t="s">
        <v>228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238</v>
      </c>
      <c r="BV1715" s="2" t="s">
        <v>228</v>
      </c>
      <c r="BW1715" s="2" t="s">
        <v>228</v>
      </c>
      <c r="BX1715" s="2" t="s">
        <v>238</v>
      </c>
      <c r="BY1715" s="2" t="s">
        <v>239</v>
      </c>
      <c r="BZ1715" s="2" t="s">
        <v>240</v>
      </c>
      <c r="CA1715" s="2" t="s">
        <v>228</v>
      </c>
      <c r="CB1715" s="2" t="s">
        <v>228</v>
      </c>
      <c r="CC1715" s="2" t="s">
        <v>241</v>
      </c>
      <c r="CD1715" s="2" t="s">
        <v>228</v>
      </c>
      <c r="CE1715" s="4"/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>
        <v>330</v>
      </c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/>
      <c r="EY1715" s="4"/>
      <c r="EZ1715" s="4"/>
      <c r="FA1715" s="4"/>
      <c r="FB1715" s="4"/>
      <c r="FC1715" s="4"/>
      <c r="FD1715" s="4"/>
      <c r="FE1715" s="4"/>
      <c r="FF1715" s="4"/>
      <c r="FG1715" s="4"/>
      <c r="FH1715" s="4"/>
      <c r="FI1715" s="4"/>
      <c r="FJ1715" s="4"/>
      <c r="FK1715" s="4"/>
      <c r="FL1715" s="4"/>
      <c r="FM1715" s="4"/>
      <c r="FN1715" s="4"/>
      <c r="FO1715" s="4"/>
      <c r="FP1715" s="4"/>
      <c r="FQ1715" s="4"/>
      <c r="FR1715" s="4"/>
      <c r="FS1715" s="4"/>
      <c r="FT1715" s="4"/>
      <c r="FU1715" s="4"/>
      <c r="FV1715" s="4"/>
      <c r="FW1715" s="4"/>
      <c r="FX1715" s="4"/>
      <c r="FY1715" s="4"/>
      <c r="FZ1715" s="4"/>
      <c r="GA1715" s="4"/>
      <c r="GB1715" s="4"/>
      <c r="GC1715" s="4"/>
      <c r="GD1715" s="4"/>
      <c r="GE1715" s="4"/>
      <c r="GF1715" s="4"/>
      <c r="GG1715" s="4"/>
      <c r="GH1715" s="4"/>
      <c r="GI1715" s="4"/>
      <c r="GJ1715" s="4"/>
      <c r="GK1715" s="4"/>
      <c r="GL1715" s="4"/>
      <c r="GM1715" s="4"/>
      <c r="GN1715" s="4"/>
      <c r="GO1715" s="4"/>
      <c r="GP1715" s="4"/>
      <c r="GQ1715" s="4"/>
      <c r="GR1715" s="4"/>
      <c r="GS1715" s="4"/>
      <c r="GT1715" s="4"/>
      <c r="GU1715" s="4"/>
      <c r="GV1715" s="4"/>
      <c r="GW1715" s="4"/>
      <c r="GX1715" s="4"/>
      <c r="GY1715" s="4"/>
      <c r="GZ1715" s="4"/>
      <c r="HA1715" s="4"/>
      <c r="HB1715" s="4"/>
      <c r="HC1715" s="4"/>
      <c r="HD1715" s="4"/>
      <c r="HE1715" s="4"/>
    </row>
    <row r="1716">
      <c r="A1716" s="2" t="s">
        <v>8472</v>
      </c>
      <c r="B1716" s="2" t="s">
        <v>2532</v>
      </c>
      <c r="C1716" s="2" t="s">
        <v>300</v>
      </c>
      <c r="D1716" s="2" t="s">
        <v>2533</v>
      </c>
      <c r="E1716" s="2" t="s">
        <v>2534</v>
      </c>
      <c r="F1716" s="2" t="s">
        <v>8458</v>
      </c>
      <c r="G1716" s="2" t="s">
        <v>8458</v>
      </c>
      <c r="H1716" s="2" t="s">
        <v>8458</v>
      </c>
      <c r="I1716" s="2" t="s">
        <v>8459</v>
      </c>
      <c r="J1716" s="2" t="s">
        <v>8464</v>
      </c>
      <c r="K1716" s="2" t="s">
        <v>480</v>
      </c>
      <c r="L1716" s="3">
        <v>12.1</v>
      </c>
      <c r="M1716" s="3">
        <v>12.71</v>
      </c>
      <c r="N1716" s="3">
        <v>49.99</v>
      </c>
      <c r="O1716" s="2" t="s">
        <v>240</v>
      </c>
      <c r="P1716" s="2" t="s">
        <v>233</v>
      </c>
      <c r="Q1716" s="2" t="s">
        <v>234</v>
      </c>
      <c r="R1716" s="2" t="s">
        <v>228</v>
      </c>
      <c r="S1716" s="2" t="s">
        <v>228</v>
      </c>
      <c r="T1716" s="2" t="s">
        <v>228</v>
      </c>
      <c r="U1716" s="2" t="s">
        <v>228</v>
      </c>
      <c r="V1716" s="2" t="s">
        <v>842</v>
      </c>
      <c r="W1716" s="2" t="s">
        <v>228</v>
      </c>
      <c r="X1716" s="2" t="s">
        <v>228</v>
      </c>
      <c r="Y1716" s="2" t="s">
        <v>228</v>
      </c>
      <c r="Z1716" s="4"/>
      <c r="AA1716" s="4">
        <f>=ROUNDDOWN({0},0)</f>
      </c>
      <c r="AB1716" s="5"/>
      <c r="AC1716" s="2" t="s">
        <v>1439</v>
      </c>
      <c r="AD1716" s="4">
        <v>170</v>
      </c>
      <c r="AE1716" s="4">
        <v>170</v>
      </c>
      <c r="AF1716" s="6"/>
      <c r="AG1716" s="6">
        <v>48</v>
      </c>
      <c r="AH1716" s="7"/>
      <c r="AI1716" s="4"/>
      <c r="AJ1716" s="4">
        <f>=ROUNDDOWN({0},0)</f>
      </c>
      <c r="AK1716" s="5"/>
      <c r="AL1716" s="2" t="s">
        <v>228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 t="s">
        <v>228</v>
      </c>
      <c r="AW1716" s="8" t="s">
        <v>228</v>
      </c>
      <c r="AX1716" s="4" t="s">
        <v>228</v>
      </c>
      <c r="AY1716" s="8" t="s">
        <v>228</v>
      </c>
      <c r="AZ1716" s="7" t="s">
        <v>228</v>
      </c>
      <c r="BA1716" s="7" t="s">
        <v>228</v>
      </c>
      <c r="BB1716" s="7"/>
      <c r="BC1716" s="4" t="s">
        <v>228</v>
      </c>
      <c r="BD1716" s="8" t="s">
        <v>228</v>
      </c>
      <c r="BE1716" s="4" t="s">
        <v>228</v>
      </c>
      <c r="BF1716" s="8" t="s">
        <v>228</v>
      </c>
      <c r="BG1716" s="7" t="s">
        <v>228</v>
      </c>
      <c r="BH1716" s="7" t="s">
        <v>228</v>
      </c>
      <c r="BI1716" s="7"/>
      <c r="BJ1716" s="4"/>
      <c r="BK1716" s="8"/>
      <c r="BL1716" s="2" t="s">
        <v>228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238</v>
      </c>
      <c r="BV1716" s="2" t="s">
        <v>228</v>
      </c>
      <c r="BW1716" s="2" t="s">
        <v>228</v>
      </c>
      <c r="BX1716" s="2" t="s">
        <v>238</v>
      </c>
      <c r="BY1716" s="2" t="s">
        <v>239</v>
      </c>
      <c r="BZ1716" s="2" t="s">
        <v>240</v>
      </c>
      <c r="CA1716" s="2" t="s">
        <v>228</v>
      </c>
      <c r="CB1716" s="2" t="s">
        <v>228</v>
      </c>
      <c r="CC1716" s="2" t="s">
        <v>241</v>
      </c>
      <c r="CD1716" s="2" t="s">
        <v>228</v>
      </c>
      <c r="CE1716" s="4"/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>
        <v>170</v>
      </c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/>
      <c r="EY1716" s="4"/>
      <c r="EZ1716" s="4"/>
      <c r="FA1716" s="4"/>
      <c r="FB1716" s="4"/>
      <c r="FC1716" s="4"/>
      <c r="FD1716" s="4"/>
      <c r="FE1716" s="4"/>
      <c r="FF1716" s="4"/>
      <c r="FG1716" s="4"/>
      <c r="FH1716" s="4"/>
      <c r="FI1716" s="4"/>
      <c r="FJ1716" s="4"/>
      <c r="FK1716" s="4"/>
      <c r="FL1716" s="4"/>
      <c r="FM1716" s="4"/>
      <c r="FN1716" s="4"/>
      <c r="FO1716" s="4"/>
      <c r="FP1716" s="4"/>
      <c r="FQ1716" s="4"/>
      <c r="FR1716" s="4"/>
      <c r="FS1716" s="4"/>
      <c r="FT1716" s="4"/>
      <c r="FU1716" s="4"/>
      <c r="FV1716" s="4"/>
      <c r="FW1716" s="4"/>
      <c r="FX1716" s="4"/>
      <c r="FY1716" s="4"/>
      <c r="FZ1716" s="4"/>
      <c r="GA1716" s="4"/>
      <c r="GB1716" s="4"/>
      <c r="GC1716" s="4"/>
      <c r="GD1716" s="4"/>
      <c r="GE1716" s="4"/>
      <c r="GF1716" s="4"/>
      <c r="GG1716" s="4"/>
      <c r="GH1716" s="4"/>
      <c r="GI1716" s="4"/>
      <c r="GJ1716" s="4"/>
      <c r="GK1716" s="4"/>
      <c r="GL1716" s="4"/>
      <c r="GM1716" s="4"/>
      <c r="GN1716" s="4"/>
      <c r="GO1716" s="4"/>
      <c r="GP1716" s="4"/>
      <c r="GQ1716" s="4"/>
      <c r="GR1716" s="4"/>
      <c r="GS1716" s="4"/>
      <c r="GT1716" s="4"/>
      <c r="GU1716" s="4"/>
      <c r="GV1716" s="4"/>
      <c r="GW1716" s="4"/>
      <c r="GX1716" s="4"/>
      <c r="GY1716" s="4"/>
      <c r="GZ1716" s="4"/>
      <c r="HA1716" s="4"/>
      <c r="HB1716" s="4"/>
      <c r="HC1716" s="4"/>
      <c r="HD1716" s="4"/>
      <c r="HE1716" s="4"/>
    </row>
    <row r="1717">
      <c r="A1717" s="2" t="s">
        <v>8473</v>
      </c>
      <c r="B1717" s="2" t="s">
        <v>848</v>
      </c>
      <c r="C1717" s="2" t="s">
        <v>1037</v>
      </c>
      <c r="D1717" s="2" t="s">
        <v>850</v>
      </c>
      <c r="E1717" s="2" t="s">
        <v>851</v>
      </c>
      <c r="F1717" s="2" t="s">
        <v>8474</v>
      </c>
      <c r="G1717" s="2" t="s">
        <v>8475</v>
      </c>
      <c r="H1717" s="2" t="s">
        <v>7819</v>
      </c>
      <c r="I1717" s="2" t="s">
        <v>8476</v>
      </c>
      <c r="J1717" s="2" t="s">
        <v>1043</v>
      </c>
      <c r="K1717" s="2" t="s">
        <v>480</v>
      </c>
      <c r="L1717" s="3">
        <v>75</v>
      </c>
      <c r="M1717" s="3">
        <v>78.75</v>
      </c>
      <c r="N1717" s="3">
        <v>149.99</v>
      </c>
      <c r="O1717" s="2" t="s">
        <v>240</v>
      </c>
      <c r="P1717" s="2" t="s">
        <v>333</v>
      </c>
      <c r="Q1717" s="2" t="s">
        <v>234</v>
      </c>
      <c r="R1717" s="2" t="s">
        <v>228</v>
      </c>
      <c r="S1717" s="2" t="s">
        <v>8477</v>
      </c>
      <c r="T1717" s="2" t="s">
        <v>350</v>
      </c>
      <c r="U1717" s="2" t="s">
        <v>1331</v>
      </c>
      <c r="V1717" s="2" t="s">
        <v>1344</v>
      </c>
      <c r="W1717" s="2" t="s">
        <v>2512</v>
      </c>
      <c r="X1717" s="2" t="s">
        <v>8478</v>
      </c>
      <c r="Y1717" s="2" t="s">
        <v>8479</v>
      </c>
      <c r="Z1717" s="4">
        <v>10</v>
      </c>
      <c r="AA1717" s="4">
        <f>=ROUNDDOWN(10,0)</f>
      </c>
      <c r="AB1717" s="5">
        <v>1</v>
      </c>
      <c r="AC1717" s="2" t="s">
        <v>228</v>
      </c>
      <c r="AD1717" s="4"/>
      <c r="AE1717" s="4"/>
      <c r="AF1717" s="6">
        <v>65</v>
      </c>
      <c r="AG1717" s="6"/>
      <c r="AH1717" s="7">
        <v>1</v>
      </c>
      <c r="AI1717" s="4"/>
      <c r="AJ1717" s="4">
        <f>=ROUNDDOWN({0},0)</f>
      </c>
      <c r="AK1717" s="5"/>
      <c r="AL1717" s="2" t="s">
        <v>228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/>
      <c r="AW1717" s="8"/>
      <c r="AX1717" s="4"/>
      <c r="AY1717" s="8"/>
      <c r="AZ1717" s="7"/>
      <c r="BA1717" s="7"/>
      <c r="BB1717" s="7"/>
      <c r="BC1717" s="4"/>
      <c r="BD1717" s="8"/>
      <c r="BE1717" s="4"/>
      <c r="BF1717" s="8"/>
      <c r="BG1717" s="7"/>
      <c r="BH1717" s="7"/>
      <c r="BI1717" s="7"/>
      <c r="BJ1717" s="4">
        <v>6</v>
      </c>
      <c r="BK1717" s="8">
        <v>383.22</v>
      </c>
      <c r="BL1717" s="2" t="s">
        <v>8480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8481</v>
      </c>
      <c r="BV1717" s="2" t="s">
        <v>228</v>
      </c>
      <c r="BW1717" s="2" t="s">
        <v>228</v>
      </c>
      <c r="BX1717" s="2" t="s">
        <v>337</v>
      </c>
      <c r="BY1717" s="2" t="s">
        <v>274</v>
      </c>
      <c r="BZ1717" s="2" t="s">
        <v>240</v>
      </c>
      <c r="CA1717" s="2" t="s">
        <v>5569</v>
      </c>
      <c r="CB1717" s="2" t="s">
        <v>2111</v>
      </c>
      <c r="CC1717" s="2" t="s">
        <v>241</v>
      </c>
      <c r="CD1717" s="2" t="s">
        <v>228</v>
      </c>
      <c r="CE1717" s="4">
        <v>10</v>
      </c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/>
      <c r="EY1717" s="4"/>
      <c r="EZ1717" s="4"/>
      <c r="FA1717" s="4"/>
      <c r="FB1717" s="4"/>
      <c r="FC1717" s="4"/>
      <c r="FD1717" s="4"/>
      <c r="FE1717" s="4"/>
      <c r="FF1717" s="4"/>
      <c r="FG1717" s="4"/>
      <c r="FH1717" s="4"/>
      <c r="FI1717" s="4"/>
      <c r="FJ1717" s="4"/>
      <c r="FK1717" s="4"/>
      <c r="FL1717" s="4"/>
      <c r="FM1717" s="4"/>
      <c r="FN1717" s="4"/>
      <c r="FO1717" s="4"/>
      <c r="FP1717" s="4"/>
      <c r="FQ1717" s="4"/>
      <c r="FR1717" s="4"/>
      <c r="FS1717" s="4"/>
      <c r="FT1717" s="4"/>
      <c r="FU1717" s="4"/>
      <c r="FV1717" s="4"/>
      <c r="FW1717" s="4"/>
      <c r="FX1717" s="4"/>
      <c r="FY1717" s="4"/>
      <c r="FZ1717" s="4"/>
      <c r="GA1717" s="4"/>
      <c r="GB1717" s="4"/>
      <c r="GC1717" s="4"/>
      <c r="GD1717" s="4"/>
      <c r="GE1717" s="4"/>
      <c r="GF1717" s="4"/>
      <c r="GG1717" s="4"/>
      <c r="GH1717" s="4"/>
      <c r="GI1717" s="4"/>
      <c r="GJ1717" s="4"/>
      <c r="GK1717" s="4"/>
      <c r="GL1717" s="4"/>
      <c r="GM1717" s="4"/>
      <c r="GN1717" s="4"/>
      <c r="GO1717" s="4"/>
      <c r="GP1717" s="4"/>
      <c r="GQ1717" s="4"/>
      <c r="GR1717" s="4"/>
      <c r="GS1717" s="4"/>
      <c r="GT1717" s="4"/>
      <c r="GU1717" s="4"/>
      <c r="GV1717" s="4"/>
      <c r="GW1717" s="4"/>
      <c r="GX1717" s="4"/>
      <c r="GY1717" s="4"/>
      <c r="GZ1717" s="4"/>
      <c r="HA1717" s="4"/>
      <c r="HB1717" s="4"/>
      <c r="HC1717" s="4"/>
      <c r="HD1717" s="4"/>
      <c r="HE1717" s="4"/>
    </row>
    <row r="1718">
      <c r="A1718" s="2" t="s">
        <v>8482</v>
      </c>
      <c r="B1718" s="2" t="s">
        <v>848</v>
      </c>
      <c r="C1718" s="2" t="s">
        <v>849</v>
      </c>
      <c r="D1718" s="2" t="s">
        <v>1112</v>
      </c>
      <c r="E1718" s="2" t="s">
        <v>1165</v>
      </c>
      <c r="F1718" s="2" t="s">
        <v>8483</v>
      </c>
      <c r="G1718" s="2" t="s">
        <v>7397</v>
      </c>
      <c r="H1718" s="2" t="s">
        <v>8484</v>
      </c>
      <c r="I1718" s="2" t="s">
        <v>3216</v>
      </c>
      <c r="J1718" s="2" t="s">
        <v>856</v>
      </c>
      <c r="K1718" s="2" t="s">
        <v>1077</v>
      </c>
      <c r="L1718" s="3">
        <v>30.36</v>
      </c>
      <c r="M1718" s="3">
        <v>31.88</v>
      </c>
      <c r="N1718" s="3">
        <v>69.99</v>
      </c>
      <c r="O1718" s="2" t="s">
        <v>461</v>
      </c>
      <c r="P1718" s="2" t="s">
        <v>333</v>
      </c>
      <c r="Q1718" s="2" t="s">
        <v>234</v>
      </c>
      <c r="R1718" s="2" t="s">
        <v>228</v>
      </c>
      <c r="S1718" s="2" t="s">
        <v>8485</v>
      </c>
      <c r="T1718" s="2" t="s">
        <v>415</v>
      </c>
      <c r="U1718" s="2" t="s">
        <v>308</v>
      </c>
      <c r="V1718" s="2" t="s">
        <v>980</v>
      </c>
      <c r="W1718" s="2" t="s">
        <v>417</v>
      </c>
      <c r="X1718" s="2" t="s">
        <v>269</v>
      </c>
      <c r="Y1718" s="2" t="s">
        <v>270</v>
      </c>
      <c r="Z1718" s="4">
        <v>632</v>
      </c>
      <c r="AA1718" s="4">
        <f>=ROUNDDOWN(263.333333333333,0)</f>
      </c>
      <c r="AB1718" s="5">
        <v>2.4</v>
      </c>
      <c r="AC1718" s="2" t="s">
        <v>228</v>
      </c>
      <c r="AD1718" s="4"/>
      <c r="AE1718" s="4"/>
      <c r="AF1718" s="6">
        <v>64</v>
      </c>
      <c r="AG1718" s="6"/>
      <c r="AH1718" s="7">
        <v>0.9677</v>
      </c>
      <c r="AI1718" s="4"/>
      <c r="AJ1718" s="4">
        <f>=ROUNDDOWN({0},0)</f>
      </c>
      <c r="AK1718" s="5"/>
      <c r="AL1718" s="2" t="s">
        <v>228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/>
      <c r="AW1718" s="8"/>
      <c r="AX1718" s="4"/>
      <c r="AY1718" s="8"/>
      <c r="AZ1718" s="7"/>
      <c r="BA1718" s="7"/>
      <c r="BB1718" s="7"/>
      <c r="BC1718" s="4"/>
      <c r="BD1718" s="8"/>
      <c r="BE1718" s="4"/>
      <c r="BF1718" s="8"/>
      <c r="BG1718" s="7"/>
      <c r="BH1718" s="7"/>
      <c r="BI1718" s="7"/>
      <c r="BJ1718" s="4">
        <v>15</v>
      </c>
      <c r="BK1718" s="8">
        <v>451.25</v>
      </c>
      <c r="BL1718" s="2" t="s">
        <v>8486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8487</v>
      </c>
      <c r="BV1718" s="2" t="s">
        <v>228</v>
      </c>
      <c r="BW1718" s="2" t="s">
        <v>228</v>
      </c>
      <c r="BX1718" s="2" t="s">
        <v>337</v>
      </c>
      <c r="BY1718" s="2" t="s">
        <v>274</v>
      </c>
      <c r="BZ1718" s="2" t="s">
        <v>240</v>
      </c>
      <c r="CA1718" s="2" t="s">
        <v>275</v>
      </c>
      <c r="CB1718" s="2" t="s">
        <v>605</v>
      </c>
      <c r="CC1718" s="2" t="s">
        <v>241</v>
      </c>
      <c r="CD1718" s="2" t="s">
        <v>228</v>
      </c>
      <c r="CE1718" s="4"/>
      <c r="CF1718" s="4">
        <v>632</v>
      </c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  <c r="ES1718" s="4"/>
      <c r="ET1718" s="4"/>
      <c r="EU1718" s="4"/>
      <c r="EV1718" s="4"/>
      <c r="EW1718" s="4"/>
      <c r="EX1718" s="4"/>
      <c r="EY1718" s="4"/>
      <c r="EZ1718" s="4"/>
      <c r="FA1718" s="4"/>
      <c r="FB1718" s="4"/>
      <c r="FC1718" s="4"/>
      <c r="FD1718" s="4"/>
      <c r="FE1718" s="4"/>
      <c r="FF1718" s="4"/>
      <c r="FG1718" s="4"/>
      <c r="FH1718" s="4"/>
      <c r="FI1718" s="4"/>
      <c r="FJ1718" s="4"/>
      <c r="FK1718" s="4"/>
      <c r="FL1718" s="4"/>
      <c r="FM1718" s="4"/>
      <c r="FN1718" s="4"/>
      <c r="FO1718" s="4"/>
      <c r="FP1718" s="4"/>
      <c r="FQ1718" s="4"/>
      <c r="FR1718" s="4"/>
      <c r="FS1718" s="4"/>
      <c r="FT1718" s="4"/>
      <c r="FU1718" s="4"/>
      <c r="FV1718" s="4"/>
      <c r="FW1718" s="4"/>
      <c r="FX1718" s="4"/>
      <c r="FY1718" s="4"/>
      <c r="FZ1718" s="4"/>
      <c r="GA1718" s="4"/>
      <c r="GB1718" s="4"/>
      <c r="GC1718" s="4"/>
      <c r="GD1718" s="4"/>
      <c r="GE1718" s="4"/>
      <c r="GF1718" s="4"/>
      <c r="GG1718" s="4"/>
      <c r="GH1718" s="4"/>
      <c r="GI1718" s="4"/>
      <c r="GJ1718" s="4"/>
      <c r="GK1718" s="4"/>
      <c r="GL1718" s="4"/>
      <c r="GM1718" s="4"/>
      <c r="GN1718" s="4"/>
      <c r="GO1718" s="4"/>
      <c r="GP1718" s="4"/>
      <c r="GQ1718" s="4"/>
      <c r="GR1718" s="4"/>
      <c r="GS1718" s="4"/>
      <c r="GT1718" s="4"/>
      <c r="GU1718" s="4"/>
      <c r="GV1718" s="4"/>
      <c r="GW1718" s="4"/>
      <c r="GX1718" s="4"/>
      <c r="GY1718" s="4"/>
      <c r="GZ1718" s="4"/>
      <c r="HA1718" s="4"/>
      <c r="HB1718" s="4"/>
      <c r="HC1718" s="4"/>
      <c r="HD1718" s="4"/>
      <c r="HE1718" s="4"/>
    </row>
    <row r="1719">
      <c r="A1719" s="2" t="s">
        <v>8488</v>
      </c>
      <c r="B1719" s="2" t="s">
        <v>1374</v>
      </c>
      <c r="C1719" s="2" t="s">
        <v>849</v>
      </c>
      <c r="D1719" s="2" t="s">
        <v>7352</v>
      </c>
      <c r="E1719" s="2" t="s">
        <v>775</v>
      </c>
      <c r="F1719" s="2" t="s">
        <v>8489</v>
      </c>
      <c r="G1719" s="2" t="s">
        <v>8489</v>
      </c>
      <c r="H1719" s="2" t="s">
        <v>8489</v>
      </c>
      <c r="I1719" s="2" t="s">
        <v>7354</v>
      </c>
      <c r="J1719" s="2" t="s">
        <v>840</v>
      </c>
      <c r="K1719" s="2" t="s">
        <v>614</v>
      </c>
      <c r="L1719" s="3">
        <v>28.99</v>
      </c>
      <c r="M1719" s="3">
        <v>30.44</v>
      </c>
      <c r="N1719" s="3">
        <v>49.99</v>
      </c>
      <c r="O1719" s="2" t="s">
        <v>240</v>
      </c>
      <c r="P1719" s="2" t="s">
        <v>333</v>
      </c>
      <c r="Q1719" s="2" t="s">
        <v>234</v>
      </c>
      <c r="R1719" s="2" t="s">
        <v>228</v>
      </c>
      <c r="S1719" s="2" t="s">
        <v>228</v>
      </c>
      <c r="T1719" s="2" t="s">
        <v>228</v>
      </c>
      <c r="U1719" s="2" t="s">
        <v>1054</v>
      </c>
      <c r="V1719" s="2" t="s">
        <v>3243</v>
      </c>
      <c r="W1719" s="2" t="s">
        <v>228</v>
      </c>
      <c r="X1719" s="2" t="s">
        <v>228</v>
      </c>
      <c r="Y1719" s="2" t="s">
        <v>5324</v>
      </c>
      <c r="Z1719" s="4">
        <v>365</v>
      </c>
      <c r="AA1719" s="4">
        <f>=ROUNDDOWN(521.428571428571,0)</f>
      </c>
      <c r="AB1719" s="5">
        <v>0.7</v>
      </c>
      <c r="AC1719" s="2" t="s">
        <v>228</v>
      </c>
      <c r="AD1719" s="4"/>
      <c r="AE1719" s="4"/>
      <c r="AF1719" s="6">
        <v>73</v>
      </c>
      <c r="AG1719" s="6"/>
      <c r="AH1719" s="7">
        <v>1</v>
      </c>
      <c r="AI1719" s="4"/>
      <c r="AJ1719" s="4">
        <f>=ROUNDDOWN({0},0)</f>
      </c>
      <c r="AK1719" s="5"/>
      <c r="AL1719" s="2" t="s">
        <v>228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/>
      <c r="AW1719" s="8"/>
      <c r="AX1719" s="4"/>
      <c r="AY1719" s="8"/>
      <c r="AZ1719" s="7"/>
      <c r="BA1719" s="7"/>
      <c r="BB1719" s="7"/>
      <c r="BC1719" s="4" t="s">
        <v>228</v>
      </c>
      <c r="BD1719" s="8" t="s">
        <v>228</v>
      </c>
      <c r="BE1719" s="4" t="s">
        <v>228</v>
      </c>
      <c r="BF1719" s="8" t="s">
        <v>228</v>
      </c>
      <c r="BG1719" s="7" t="s">
        <v>228</v>
      </c>
      <c r="BH1719" s="7" t="s">
        <v>228</v>
      </c>
      <c r="BI1719" s="7"/>
      <c r="BJ1719" s="4">
        <v>2</v>
      </c>
      <c r="BK1719" s="8">
        <v>60.95</v>
      </c>
      <c r="BL1719" s="2" t="s">
        <v>8490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8491</v>
      </c>
      <c r="BV1719" s="2" t="s">
        <v>228</v>
      </c>
      <c r="BW1719" s="2" t="s">
        <v>228</v>
      </c>
      <c r="BX1719" s="2" t="s">
        <v>337</v>
      </c>
      <c r="BY1719" s="2" t="s">
        <v>274</v>
      </c>
      <c r="BZ1719" s="2" t="s">
        <v>240</v>
      </c>
      <c r="CA1719" s="2" t="s">
        <v>5851</v>
      </c>
      <c r="CB1719" s="2" t="s">
        <v>4638</v>
      </c>
      <c r="CC1719" s="2" t="s">
        <v>241</v>
      </c>
      <c r="CD1719" s="2" t="s">
        <v>228</v>
      </c>
      <c r="CE1719" s="4">
        <v>365</v>
      </c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4"/>
      <c r="FE1719" s="4"/>
      <c r="FF1719" s="4"/>
      <c r="FG1719" s="4"/>
      <c r="FH1719" s="4"/>
      <c r="FI1719" s="4"/>
      <c r="FJ1719" s="4"/>
      <c r="FK1719" s="4"/>
      <c r="FL1719" s="4"/>
      <c r="FM1719" s="4"/>
      <c r="FN1719" s="4"/>
      <c r="FO1719" s="4"/>
      <c r="FP1719" s="4"/>
      <c r="FQ1719" s="4"/>
      <c r="FR1719" s="4"/>
      <c r="FS1719" s="4"/>
      <c r="FT1719" s="4"/>
      <c r="FU1719" s="4"/>
      <c r="FV1719" s="4"/>
      <c r="FW1719" s="4"/>
      <c r="FX1719" s="4"/>
      <c r="FY1719" s="4"/>
      <c r="FZ1719" s="4"/>
      <c r="GA1719" s="4"/>
      <c r="GB1719" s="4"/>
      <c r="GC1719" s="4"/>
      <c r="GD1719" s="4"/>
      <c r="GE1719" s="4"/>
      <c r="GF1719" s="4"/>
      <c r="GG1719" s="4"/>
      <c r="GH1719" s="4"/>
      <c r="GI1719" s="4"/>
      <c r="GJ1719" s="4"/>
      <c r="GK1719" s="4"/>
      <c r="GL1719" s="4"/>
      <c r="GM1719" s="4"/>
      <c r="GN1719" s="4"/>
      <c r="GO1719" s="4"/>
      <c r="GP1719" s="4"/>
      <c r="GQ1719" s="4"/>
      <c r="GR1719" s="4"/>
      <c r="GS1719" s="4"/>
      <c r="GT1719" s="4"/>
      <c r="GU1719" s="4"/>
      <c r="GV1719" s="4"/>
      <c r="GW1719" s="4"/>
      <c r="GX1719" s="4"/>
      <c r="GY1719" s="4"/>
      <c r="GZ1719" s="4"/>
      <c r="HA1719" s="4"/>
      <c r="HB1719" s="4"/>
      <c r="HC1719" s="4"/>
      <c r="HD1719" s="4"/>
      <c r="HE1719" s="4"/>
    </row>
    <row r="1720">
      <c r="A1720" s="2" t="s">
        <v>8492</v>
      </c>
      <c r="B1720" s="2" t="s">
        <v>1374</v>
      </c>
      <c r="C1720" s="2" t="s">
        <v>849</v>
      </c>
      <c r="D1720" s="2" t="s">
        <v>7352</v>
      </c>
      <c r="E1720" s="2" t="s">
        <v>775</v>
      </c>
      <c r="F1720" s="2" t="s">
        <v>8489</v>
      </c>
      <c r="G1720" s="2" t="s">
        <v>8489</v>
      </c>
      <c r="H1720" s="2" t="s">
        <v>8489</v>
      </c>
      <c r="I1720" s="2" t="s">
        <v>7354</v>
      </c>
      <c r="J1720" s="2" t="s">
        <v>840</v>
      </c>
      <c r="K1720" s="2" t="s">
        <v>525</v>
      </c>
      <c r="L1720" s="3">
        <v>28.99</v>
      </c>
      <c r="M1720" s="3">
        <v>30.44</v>
      </c>
      <c r="N1720" s="3">
        <v>49.99</v>
      </c>
      <c r="O1720" s="2" t="s">
        <v>240</v>
      </c>
      <c r="P1720" s="2" t="s">
        <v>1012</v>
      </c>
      <c r="Q1720" s="2" t="s">
        <v>234</v>
      </c>
      <c r="R1720" s="2" t="s">
        <v>228</v>
      </c>
      <c r="S1720" s="2" t="s">
        <v>228</v>
      </c>
      <c r="T1720" s="2" t="s">
        <v>228</v>
      </c>
      <c r="U1720" s="2" t="s">
        <v>1054</v>
      </c>
      <c r="V1720" s="2" t="s">
        <v>3243</v>
      </c>
      <c r="W1720" s="2" t="s">
        <v>228</v>
      </c>
      <c r="X1720" s="2" t="s">
        <v>228</v>
      </c>
      <c r="Y1720" s="2" t="s">
        <v>5324</v>
      </c>
      <c r="Z1720" s="4">
        <v>171</v>
      </c>
      <c r="AA1720" s="4">
        <f>=ROUNDDOWN(85.5,0)</f>
      </c>
      <c r="AB1720" s="5">
        <v>2</v>
      </c>
      <c r="AC1720" s="2" t="s">
        <v>228</v>
      </c>
      <c r="AD1720" s="4"/>
      <c r="AE1720" s="4"/>
      <c r="AF1720" s="6">
        <v>73</v>
      </c>
      <c r="AG1720" s="6"/>
      <c r="AH1720" s="7">
        <v>1</v>
      </c>
      <c r="AI1720" s="4"/>
      <c r="AJ1720" s="4">
        <f>=ROUNDDOWN({0},0)</f>
      </c>
      <c r="AK1720" s="5"/>
      <c r="AL1720" s="2" t="s">
        <v>228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/>
      <c r="AW1720" s="8"/>
      <c r="AX1720" s="4"/>
      <c r="AY1720" s="8"/>
      <c r="AZ1720" s="7"/>
      <c r="BA1720" s="7"/>
      <c r="BB1720" s="7"/>
      <c r="BC1720" s="4" t="s">
        <v>228</v>
      </c>
      <c r="BD1720" s="8" t="s">
        <v>228</v>
      </c>
      <c r="BE1720" s="4" t="s">
        <v>228</v>
      </c>
      <c r="BF1720" s="8" t="s">
        <v>228</v>
      </c>
      <c r="BG1720" s="7" t="s">
        <v>228</v>
      </c>
      <c r="BH1720" s="7" t="s">
        <v>228</v>
      </c>
      <c r="BI1720" s="7"/>
      <c r="BJ1720" s="4">
        <v>2</v>
      </c>
      <c r="BK1720" s="8">
        <v>57.98</v>
      </c>
      <c r="BL1720" s="2" t="s">
        <v>699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8493</v>
      </c>
      <c r="BV1720" s="2" t="s">
        <v>228</v>
      </c>
      <c r="BW1720" s="2" t="s">
        <v>228</v>
      </c>
      <c r="BX1720" s="2" t="s">
        <v>273</v>
      </c>
      <c r="BY1720" s="2" t="s">
        <v>274</v>
      </c>
      <c r="BZ1720" s="2" t="s">
        <v>240</v>
      </c>
      <c r="CA1720" s="2" t="s">
        <v>4841</v>
      </c>
      <c r="CB1720" s="2" t="s">
        <v>228</v>
      </c>
      <c r="CC1720" s="2" t="s">
        <v>241</v>
      </c>
      <c r="CD1720" s="2" t="s">
        <v>228</v>
      </c>
      <c r="CE1720" s="4">
        <v>171</v>
      </c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  <c r="ES1720" s="4"/>
      <c r="ET1720" s="4"/>
      <c r="EU1720" s="4"/>
      <c r="EV1720" s="4"/>
      <c r="EW1720" s="4"/>
      <c r="EX1720" s="4"/>
      <c r="EY1720" s="4"/>
      <c r="EZ1720" s="4"/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/>
      <c r="FR1720" s="4"/>
      <c r="FS1720" s="4"/>
      <c r="FT1720" s="4"/>
      <c r="FU1720" s="4"/>
      <c r="FV1720" s="4"/>
      <c r="FW1720" s="4"/>
      <c r="FX1720" s="4"/>
      <c r="FY1720" s="4"/>
      <c r="FZ1720" s="4"/>
      <c r="GA1720" s="4"/>
      <c r="GB1720" s="4"/>
      <c r="GC1720" s="4"/>
      <c r="GD1720" s="4"/>
      <c r="GE1720" s="4"/>
      <c r="GF1720" s="4"/>
      <c r="GG1720" s="4"/>
      <c r="GH1720" s="4"/>
      <c r="GI1720" s="4"/>
      <c r="GJ1720" s="4"/>
      <c r="GK1720" s="4"/>
      <c r="GL1720" s="4"/>
      <c r="GM1720" s="4"/>
      <c r="GN1720" s="4"/>
      <c r="GO1720" s="4"/>
      <c r="GP1720" s="4"/>
      <c r="GQ1720" s="4"/>
      <c r="GR1720" s="4"/>
      <c r="GS1720" s="4"/>
      <c r="GT1720" s="4"/>
      <c r="GU1720" s="4"/>
      <c r="GV1720" s="4"/>
      <c r="GW1720" s="4"/>
      <c r="GX1720" s="4"/>
      <c r="GY1720" s="4"/>
      <c r="GZ1720" s="4"/>
      <c r="HA1720" s="4"/>
      <c r="HB1720" s="4"/>
      <c r="HC1720" s="4"/>
      <c r="HD1720" s="4"/>
      <c r="HE1720" s="4"/>
    </row>
    <row r="1721">
      <c r="A1721" s="2" t="s">
        <v>8494</v>
      </c>
      <c r="B1721" s="2" t="s">
        <v>1196</v>
      </c>
      <c r="C1721" s="2" t="s">
        <v>1197</v>
      </c>
      <c r="D1721" s="2" t="s">
        <v>1198</v>
      </c>
      <c r="E1721" s="2" t="s">
        <v>1199</v>
      </c>
      <c r="F1721" s="2" t="s">
        <v>8495</v>
      </c>
      <c r="G1721" s="2" t="s">
        <v>8495</v>
      </c>
      <c r="H1721" s="2" t="s">
        <v>8495</v>
      </c>
      <c r="I1721" s="2" t="s">
        <v>8496</v>
      </c>
      <c r="J1721" s="2" t="s">
        <v>1378</v>
      </c>
      <c r="K1721" s="2" t="s">
        <v>249</v>
      </c>
      <c r="L1721" s="3">
        <v>9.51</v>
      </c>
      <c r="M1721" s="3">
        <v>9.99</v>
      </c>
      <c r="N1721" s="3">
        <v>24.99</v>
      </c>
      <c r="O1721" s="2" t="s">
        <v>240</v>
      </c>
      <c r="P1721" s="2" t="s">
        <v>266</v>
      </c>
      <c r="Q1721" s="2" t="s">
        <v>234</v>
      </c>
      <c r="R1721" s="2" t="s">
        <v>228</v>
      </c>
      <c r="S1721" s="2" t="s">
        <v>228</v>
      </c>
      <c r="T1721" s="2" t="s">
        <v>228</v>
      </c>
      <c r="U1721" s="2" t="s">
        <v>416</v>
      </c>
      <c r="V1721" s="2" t="s">
        <v>842</v>
      </c>
      <c r="W1721" s="2" t="s">
        <v>269</v>
      </c>
      <c r="X1721" s="2" t="s">
        <v>228</v>
      </c>
      <c r="Y1721" s="2" t="s">
        <v>2850</v>
      </c>
      <c r="Z1721" s="4">
        <v>62</v>
      </c>
      <c r="AA1721" s="4">
        <f>=ROUNDDOWN(14.0909090909091,0)</f>
      </c>
      <c r="AB1721" s="5">
        <v>4.4</v>
      </c>
      <c r="AC1721" s="2" t="s">
        <v>165</v>
      </c>
      <c r="AD1721" s="4">
        <v>360</v>
      </c>
      <c r="AE1721" s="4">
        <v>360</v>
      </c>
      <c r="AF1721" s="6">
        <v>65</v>
      </c>
      <c r="AG1721" s="6"/>
      <c r="AH1721" s="7">
        <v>1</v>
      </c>
      <c r="AI1721" s="4"/>
      <c r="AJ1721" s="4">
        <f>=ROUNDDOWN({0},0)</f>
      </c>
      <c r="AK1721" s="5"/>
      <c r="AL1721" s="2" t="s">
        <v>228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 t="s">
        <v>228</v>
      </c>
      <c r="AW1721" s="8" t="s">
        <v>228</v>
      </c>
      <c r="AX1721" s="4" t="s">
        <v>228</v>
      </c>
      <c r="AY1721" s="8" t="s">
        <v>228</v>
      </c>
      <c r="AZ1721" s="7" t="s">
        <v>228</v>
      </c>
      <c r="BA1721" s="7" t="s">
        <v>228</v>
      </c>
      <c r="BB1721" s="7"/>
      <c r="BC1721" s="4" t="s">
        <v>228</v>
      </c>
      <c r="BD1721" s="8" t="s">
        <v>228</v>
      </c>
      <c r="BE1721" s="4" t="s">
        <v>228</v>
      </c>
      <c r="BF1721" s="8" t="s">
        <v>228</v>
      </c>
      <c r="BG1721" s="7" t="s">
        <v>228</v>
      </c>
      <c r="BH1721" s="7" t="s">
        <v>228</v>
      </c>
      <c r="BI1721" s="7"/>
      <c r="BJ1721" s="4">
        <v>5</v>
      </c>
      <c r="BK1721" s="8">
        <v>61.32</v>
      </c>
      <c r="BL1721" s="2" t="s">
        <v>5937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8497</v>
      </c>
      <c r="BV1721" s="2" t="s">
        <v>228</v>
      </c>
      <c r="BW1721" s="2" t="s">
        <v>228</v>
      </c>
      <c r="BX1721" s="2" t="s">
        <v>273</v>
      </c>
      <c r="BY1721" s="2" t="s">
        <v>274</v>
      </c>
      <c r="BZ1721" s="2" t="s">
        <v>240</v>
      </c>
      <c r="CA1721" s="2" t="s">
        <v>7560</v>
      </c>
      <c r="CB1721" s="2" t="s">
        <v>1047</v>
      </c>
      <c r="CC1721" s="2" t="s">
        <v>241</v>
      </c>
      <c r="CD1721" s="2" t="s">
        <v>228</v>
      </c>
      <c r="CE1721" s="4">
        <v>62</v>
      </c>
      <c r="CF1721" s="4"/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/>
      <c r="EX1721" s="4"/>
      <c r="EY1721" s="4"/>
      <c r="EZ1721" s="4"/>
      <c r="FA1721" s="4">
        <v>360</v>
      </c>
      <c r="FB1721" s="4"/>
      <c r="FC1721" s="4"/>
      <c r="FD1721" s="4"/>
      <c r="FE1721" s="4"/>
      <c r="FF1721" s="4"/>
      <c r="FG1721" s="4"/>
      <c r="FH1721" s="4"/>
      <c r="FI1721" s="4"/>
      <c r="FJ1721" s="4"/>
      <c r="FK1721" s="4"/>
      <c r="FL1721" s="4"/>
      <c r="FM1721" s="4"/>
      <c r="FN1721" s="4"/>
      <c r="FO1721" s="4"/>
      <c r="FP1721" s="4"/>
      <c r="FQ1721" s="4"/>
      <c r="FR1721" s="4"/>
      <c r="FS1721" s="4"/>
      <c r="FT1721" s="4"/>
      <c r="FU1721" s="4"/>
      <c r="FV1721" s="4"/>
      <c r="FW1721" s="4"/>
      <c r="FX1721" s="4"/>
      <c r="FY1721" s="4"/>
      <c r="FZ1721" s="4"/>
      <c r="GA1721" s="4"/>
      <c r="GB1721" s="4"/>
      <c r="GC1721" s="4"/>
      <c r="GD1721" s="4"/>
      <c r="GE1721" s="4"/>
      <c r="GF1721" s="4"/>
      <c r="GG1721" s="4"/>
      <c r="GH1721" s="4"/>
      <c r="GI1721" s="4"/>
      <c r="GJ1721" s="4"/>
      <c r="GK1721" s="4"/>
      <c r="GL1721" s="4"/>
      <c r="GM1721" s="4"/>
      <c r="GN1721" s="4"/>
      <c r="GO1721" s="4"/>
      <c r="GP1721" s="4"/>
      <c r="GQ1721" s="4"/>
      <c r="GR1721" s="4"/>
      <c r="GS1721" s="4"/>
      <c r="GT1721" s="4"/>
      <c r="GU1721" s="4"/>
      <c r="GV1721" s="4"/>
      <c r="GW1721" s="4"/>
      <c r="GX1721" s="4"/>
      <c r="GY1721" s="4"/>
      <c r="GZ1721" s="4"/>
      <c r="HA1721" s="4"/>
      <c r="HB1721" s="4"/>
      <c r="HC1721" s="4"/>
      <c r="HD1721" s="4"/>
      <c r="HE1721" s="4"/>
    </row>
    <row r="1722">
      <c r="A1722" s="2" t="s">
        <v>8498</v>
      </c>
      <c r="B1722" s="2" t="s">
        <v>1196</v>
      </c>
      <c r="C1722" s="2" t="s">
        <v>1197</v>
      </c>
      <c r="D1722" s="2" t="s">
        <v>1198</v>
      </c>
      <c r="E1722" s="2" t="s">
        <v>1199</v>
      </c>
      <c r="F1722" s="2" t="s">
        <v>8495</v>
      </c>
      <c r="G1722" s="2" t="s">
        <v>8495</v>
      </c>
      <c r="H1722" s="2" t="s">
        <v>8495</v>
      </c>
      <c r="I1722" s="2" t="s">
        <v>8499</v>
      </c>
      <c r="J1722" s="2" t="s">
        <v>8500</v>
      </c>
      <c r="K1722" s="2" t="s">
        <v>249</v>
      </c>
      <c r="L1722" s="3">
        <v>16.01</v>
      </c>
      <c r="M1722" s="3">
        <v>16.81</v>
      </c>
      <c r="N1722" s="3">
        <v>34.99</v>
      </c>
      <c r="O1722" s="2" t="s">
        <v>240</v>
      </c>
      <c r="P1722" s="2" t="s">
        <v>266</v>
      </c>
      <c r="Q1722" s="2" t="s">
        <v>234</v>
      </c>
      <c r="R1722" s="2" t="s">
        <v>228</v>
      </c>
      <c r="S1722" s="2" t="s">
        <v>228</v>
      </c>
      <c r="T1722" s="2" t="s">
        <v>228</v>
      </c>
      <c r="U1722" s="2" t="s">
        <v>416</v>
      </c>
      <c r="V1722" s="2" t="s">
        <v>842</v>
      </c>
      <c r="W1722" s="2" t="s">
        <v>269</v>
      </c>
      <c r="X1722" s="2" t="s">
        <v>228</v>
      </c>
      <c r="Y1722" s="2" t="s">
        <v>2850</v>
      </c>
      <c r="Z1722" s="4">
        <v>253</v>
      </c>
      <c r="AA1722" s="4">
        <f>=ROUNDDOWN(27.2043010752688,0)</f>
      </c>
      <c r="AB1722" s="5">
        <v>9.3</v>
      </c>
      <c r="AC1722" s="2" t="s">
        <v>165</v>
      </c>
      <c r="AD1722" s="4">
        <v>240</v>
      </c>
      <c r="AE1722" s="4">
        <v>240</v>
      </c>
      <c r="AF1722" s="6">
        <v>65</v>
      </c>
      <c r="AG1722" s="6"/>
      <c r="AH1722" s="7">
        <v>1</v>
      </c>
      <c r="AI1722" s="4"/>
      <c r="AJ1722" s="4">
        <f>=ROUNDDOWN({0},0)</f>
      </c>
      <c r="AK1722" s="5"/>
      <c r="AL1722" s="2" t="s">
        <v>228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 t="s">
        <v>228</v>
      </c>
      <c r="AW1722" s="8" t="s">
        <v>228</v>
      </c>
      <c r="AX1722" s="4" t="s">
        <v>228</v>
      </c>
      <c r="AY1722" s="8" t="s">
        <v>228</v>
      </c>
      <c r="AZ1722" s="7" t="s">
        <v>228</v>
      </c>
      <c r="BA1722" s="7" t="s">
        <v>228</v>
      </c>
      <c r="BB1722" s="7"/>
      <c r="BC1722" s="4" t="s">
        <v>228</v>
      </c>
      <c r="BD1722" s="8" t="s">
        <v>228</v>
      </c>
      <c r="BE1722" s="4" t="s">
        <v>228</v>
      </c>
      <c r="BF1722" s="8" t="s">
        <v>228</v>
      </c>
      <c r="BG1722" s="7" t="s">
        <v>228</v>
      </c>
      <c r="BH1722" s="7" t="s">
        <v>228</v>
      </c>
      <c r="BI1722" s="7"/>
      <c r="BJ1722" s="4">
        <v>43</v>
      </c>
      <c r="BK1722" s="8">
        <v>770.67</v>
      </c>
      <c r="BL1722" s="2" t="s">
        <v>3616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8501</v>
      </c>
      <c r="BV1722" s="2" t="s">
        <v>228</v>
      </c>
      <c r="BW1722" s="2" t="s">
        <v>228</v>
      </c>
      <c r="BX1722" s="2" t="s">
        <v>273</v>
      </c>
      <c r="BY1722" s="2" t="s">
        <v>274</v>
      </c>
      <c r="BZ1722" s="2" t="s">
        <v>240</v>
      </c>
      <c r="CA1722" s="2" t="s">
        <v>7560</v>
      </c>
      <c r="CB1722" s="2" t="s">
        <v>228</v>
      </c>
      <c r="CC1722" s="2" t="s">
        <v>241</v>
      </c>
      <c r="CD1722" s="2" t="s">
        <v>228</v>
      </c>
      <c r="CE1722" s="4">
        <v>253</v>
      </c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  <c r="ES1722" s="4"/>
      <c r="ET1722" s="4"/>
      <c r="EU1722" s="4"/>
      <c r="EV1722" s="4"/>
      <c r="EW1722" s="4"/>
      <c r="EX1722" s="4"/>
      <c r="EY1722" s="4"/>
      <c r="EZ1722" s="4"/>
      <c r="FA1722" s="4">
        <v>240</v>
      </c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/>
      <c r="FN1722" s="4"/>
      <c r="FO1722" s="4"/>
      <c r="FP1722" s="4"/>
      <c r="FQ1722" s="4"/>
      <c r="FR1722" s="4"/>
      <c r="FS1722" s="4"/>
      <c r="FT1722" s="4"/>
      <c r="FU1722" s="4"/>
      <c r="FV1722" s="4"/>
      <c r="FW1722" s="4"/>
      <c r="FX1722" s="4"/>
      <c r="FY1722" s="4"/>
      <c r="FZ1722" s="4"/>
      <c r="GA1722" s="4"/>
      <c r="GB1722" s="4"/>
      <c r="GC1722" s="4"/>
      <c r="GD1722" s="4"/>
      <c r="GE1722" s="4"/>
      <c r="GF1722" s="4"/>
      <c r="GG1722" s="4"/>
      <c r="GH1722" s="4"/>
      <c r="GI1722" s="4"/>
      <c r="GJ1722" s="4"/>
      <c r="GK1722" s="4"/>
      <c r="GL1722" s="4"/>
      <c r="GM1722" s="4"/>
      <c r="GN1722" s="4"/>
      <c r="GO1722" s="4"/>
      <c r="GP1722" s="4"/>
      <c r="GQ1722" s="4"/>
      <c r="GR1722" s="4"/>
      <c r="GS1722" s="4"/>
      <c r="GT1722" s="4"/>
      <c r="GU1722" s="4"/>
      <c r="GV1722" s="4"/>
      <c r="GW1722" s="4"/>
      <c r="GX1722" s="4"/>
      <c r="GY1722" s="4"/>
      <c r="GZ1722" s="4"/>
      <c r="HA1722" s="4"/>
      <c r="HB1722" s="4"/>
      <c r="HC1722" s="4"/>
      <c r="HD1722" s="4"/>
      <c r="HE1722" s="4"/>
    </row>
    <row r="1723">
      <c r="A1723" s="2" t="s">
        <v>8502</v>
      </c>
      <c r="B1723" s="2" t="s">
        <v>1150</v>
      </c>
      <c r="C1723" s="2" t="s">
        <v>300</v>
      </c>
      <c r="D1723" s="2" t="s">
        <v>1316</v>
      </c>
      <c r="E1723" s="2" t="s">
        <v>1317</v>
      </c>
      <c r="F1723" s="2" t="s">
        <v>8495</v>
      </c>
      <c r="G1723" s="2" t="s">
        <v>8503</v>
      </c>
      <c r="H1723" s="2" t="s">
        <v>8504</v>
      </c>
      <c r="I1723" s="2" t="s">
        <v>8505</v>
      </c>
      <c r="J1723" s="2" t="s">
        <v>1189</v>
      </c>
      <c r="K1723" s="2" t="s">
        <v>480</v>
      </c>
      <c r="L1723" s="3">
        <v>28.57</v>
      </c>
      <c r="M1723" s="3">
        <v>30</v>
      </c>
      <c r="N1723" s="3">
        <v>59.99</v>
      </c>
      <c r="O1723" s="2" t="s">
        <v>461</v>
      </c>
      <c r="P1723" s="2" t="s">
        <v>333</v>
      </c>
      <c r="Q1723" s="2" t="s">
        <v>234</v>
      </c>
      <c r="R1723" s="2" t="s">
        <v>228</v>
      </c>
      <c r="S1723" s="2" t="s">
        <v>8506</v>
      </c>
      <c r="T1723" s="2" t="s">
        <v>415</v>
      </c>
      <c r="U1723" s="2" t="s">
        <v>500</v>
      </c>
      <c r="V1723" s="2" t="s">
        <v>236</v>
      </c>
      <c r="W1723" s="2" t="s">
        <v>269</v>
      </c>
      <c r="X1723" s="2" t="s">
        <v>1268</v>
      </c>
      <c r="Y1723" s="2" t="s">
        <v>3462</v>
      </c>
      <c r="Z1723" s="4">
        <v>32</v>
      </c>
      <c r="AA1723" s="4">
        <f>=ROUNDDOWN(1.56862745098039,0)</f>
      </c>
      <c r="AB1723" s="5">
        <v>20.4</v>
      </c>
      <c r="AC1723" s="2" t="s">
        <v>228</v>
      </c>
      <c r="AD1723" s="4"/>
      <c r="AE1723" s="4"/>
      <c r="AF1723" s="6">
        <v>64</v>
      </c>
      <c r="AG1723" s="6"/>
      <c r="AH1723" s="7">
        <v>1</v>
      </c>
      <c r="AI1723" s="4"/>
      <c r="AJ1723" s="4">
        <f>=ROUNDDOWN({0},0)</f>
      </c>
      <c r="AK1723" s="5"/>
      <c r="AL1723" s="2" t="s">
        <v>228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/>
      <c r="AW1723" s="8"/>
      <c r="AX1723" s="4"/>
      <c r="AY1723" s="8"/>
      <c r="AZ1723" s="7"/>
      <c r="BA1723" s="7"/>
      <c r="BB1723" s="7"/>
      <c r="BC1723" s="4" t="s">
        <v>228</v>
      </c>
      <c r="BD1723" s="8" t="s">
        <v>228</v>
      </c>
      <c r="BE1723" s="4" t="s">
        <v>228</v>
      </c>
      <c r="BF1723" s="8" t="s">
        <v>228</v>
      </c>
      <c r="BG1723" s="7" t="s">
        <v>228</v>
      </c>
      <c r="BH1723" s="7" t="s">
        <v>228</v>
      </c>
      <c r="BI1723" s="7"/>
      <c r="BJ1723" s="4">
        <v>84</v>
      </c>
      <c r="BK1723" s="8">
        <v>1708.86</v>
      </c>
      <c r="BL1723" s="2" t="s">
        <v>8507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8508</v>
      </c>
      <c r="BV1723" s="2" t="s">
        <v>228</v>
      </c>
      <c r="BW1723" s="2" t="s">
        <v>228</v>
      </c>
      <c r="BX1723" s="2" t="s">
        <v>337</v>
      </c>
      <c r="BY1723" s="2" t="s">
        <v>274</v>
      </c>
      <c r="BZ1723" s="2" t="s">
        <v>240</v>
      </c>
      <c r="CA1723" s="2" t="s">
        <v>3322</v>
      </c>
      <c r="CB1723" s="2" t="s">
        <v>1757</v>
      </c>
      <c r="CC1723" s="2" t="s">
        <v>241</v>
      </c>
      <c r="CD1723" s="2" t="s">
        <v>228</v>
      </c>
      <c r="CE1723" s="4">
        <v>32</v>
      </c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/>
      <c r="FK1723" s="4"/>
      <c r="FL1723" s="4"/>
      <c r="FM1723" s="4"/>
      <c r="FN1723" s="4"/>
      <c r="FO1723" s="4"/>
      <c r="FP1723" s="4"/>
      <c r="FQ1723" s="4"/>
      <c r="FR1723" s="4"/>
      <c r="FS1723" s="4"/>
      <c r="FT1723" s="4"/>
      <c r="FU1723" s="4"/>
      <c r="FV1723" s="4"/>
      <c r="FW1723" s="4"/>
      <c r="FX1723" s="4"/>
      <c r="FY1723" s="4"/>
      <c r="FZ1723" s="4"/>
      <c r="GA1723" s="4"/>
      <c r="GB1723" s="4"/>
      <c r="GC1723" s="4"/>
      <c r="GD1723" s="4"/>
      <c r="GE1723" s="4"/>
      <c r="GF1723" s="4"/>
      <c r="GG1723" s="4"/>
      <c r="GH1723" s="4"/>
      <c r="GI1723" s="4"/>
      <c r="GJ1723" s="4"/>
      <c r="GK1723" s="4"/>
      <c r="GL1723" s="4"/>
      <c r="GM1723" s="4"/>
      <c r="GN1723" s="4"/>
      <c r="GO1723" s="4"/>
      <c r="GP1723" s="4"/>
      <c r="GQ1723" s="4"/>
      <c r="GR1723" s="4"/>
      <c r="GS1723" s="4"/>
      <c r="GT1723" s="4"/>
      <c r="GU1723" s="4"/>
      <c r="GV1723" s="4"/>
      <c r="GW1723" s="4"/>
      <c r="GX1723" s="4"/>
      <c r="GY1723" s="4"/>
      <c r="GZ1723" s="4"/>
      <c r="HA1723" s="4"/>
      <c r="HB1723" s="4"/>
      <c r="HC1723" s="4"/>
      <c r="HD1723" s="4"/>
      <c r="HE1723" s="4"/>
    </row>
    <row r="1724">
      <c r="A1724" s="2" t="s">
        <v>8509</v>
      </c>
      <c r="B1724" s="2" t="s">
        <v>1150</v>
      </c>
      <c r="C1724" s="2" t="s">
        <v>300</v>
      </c>
      <c r="D1724" s="2" t="s">
        <v>1316</v>
      </c>
      <c r="E1724" s="2" t="s">
        <v>1317</v>
      </c>
      <c r="F1724" s="2" t="s">
        <v>8495</v>
      </c>
      <c r="G1724" s="2" t="s">
        <v>8503</v>
      </c>
      <c r="H1724" s="2" t="s">
        <v>8504</v>
      </c>
      <c r="I1724" s="2" t="s">
        <v>8505</v>
      </c>
      <c r="J1724" s="2" t="s">
        <v>1189</v>
      </c>
      <c r="K1724" s="2" t="s">
        <v>650</v>
      </c>
      <c r="L1724" s="3">
        <v>28.57</v>
      </c>
      <c r="M1724" s="3">
        <v>30</v>
      </c>
      <c r="N1724" s="3">
        <v>59.99</v>
      </c>
      <c r="O1724" s="2" t="s">
        <v>240</v>
      </c>
      <c r="P1724" s="2" t="s">
        <v>333</v>
      </c>
      <c r="Q1724" s="2" t="s">
        <v>234</v>
      </c>
      <c r="R1724" s="2" t="s">
        <v>228</v>
      </c>
      <c r="S1724" s="2" t="s">
        <v>8510</v>
      </c>
      <c r="T1724" s="2" t="s">
        <v>415</v>
      </c>
      <c r="U1724" s="2" t="s">
        <v>500</v>
      </c>
      <c r="V1724" s="2" t="s">
        <v>236</v>
      </c>
      <c r="W1724" s="2" t="s">
        <v>269</v>
      </c>
      <c r="X1724" s="2" t="s">
        <v>1268</v>
      </c>
      <c r="Y1724" s="2" t="s">
        <v>3462</v>
      </c>
      <c r="Z1724" s="4">
        <v>90</v>
      </c>
      <c r="AA1724" s="4">
        <f>=ROUNDDOWN(3.7344398340249,0)</f>
      </c>
      <c r="AB1724" s="5">
        <v>24.1</v>
      </c>
      <c r="AC1724" s="2" t="s">
        <v>228</v>
      </c>
      <c r="AD1724" s="4"/>
      <c r="AE1724" s="4"/>
      <c r="AF1724" s="6">
        <v>64</v>
      </c>
      <c r="AG1724" s="6"/>
      <c r="AH1724" s="7">
        <v>1</v>
      </c>
      <c r="AI1724" s="4"/>
      <c r="AJ1724" s="4">
        <f>=ROUNDDOWN({0},0)</f>
      </c>
      <c r="AK1724" s="5"/>
      <c r="AL1724" s="2" t="s">
        <v>228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/>
      <c r="AW1724" s="8"/>
      <c r="AX1724" s="4"/>
      <c r="AY1724" s="8"/>
      <c r="AZ1724" s="7"/>
      <c r="BA1724" s="7"/>
      <c r="BB1724" s="7"/>
      <c r="BC1724" s="4" t="s">
        <v>228</v>
      </c>
      <c r="BD1724" s="8" t="s">
        <v>228</v>
      </c>
      <c r="BE1724" s="4" t="s">
        <v>228</v>
      </c>
      <c r="BF1724" s="8" t="s">
        <v>228</v>
      </c>
      <c r="BG1724" s="7" t="s">
        <v>228</v>
      </c>
      <c r="BH1724" s="7" t="s">
        <v>228</v>
      </c>
      <c r="BI1724" s="7"/>
      <c r="BJ1724" s="4">
        <v>116</v>
      </c>
      <c r="BK1724" s="8">
        <v>2298.3</v>
      </c>
      <c r="BL1724" s="2" t="s">
        <v>8507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8511</v>
      </c>
      <c r="BV1724" s="2" t="s">
        <v>228</v>
      </c>
      <c r="BW1724" s="2" t="s">
        <v>228</v>
      </c>
      <c r="BX1724" s="2" t="s">
        <v>337</v>
      </c>
      <c r="BY1724" s="2" t="s">
        <v>274</v>
      </c>
      <c r="BZ1724" s="2" t="s">
        <v>240</v>
      </c>
      <c r="CA1724" s="2" t="s">
        <v>3322</v>
      </c>
      <c r="CB1724" s="2" t="s">
        <v>1757</v>
      </c>
      <c r="CC1724" s="2" t="s">
        <v>241</v>
      </c>
      <c r="CD1724" s="2" t="s">
        <v>228</v>
      </c>
      <c r="CE1724" s="4">
        <v>90</v>
      </c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/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/>
      <c r="FK1724" s="4"/>
      <c r="FL1724" s="4"/>
      <c r="FM1724" s="4"/>
      <c r="FN1724" s="4"/>
      <c r="FO1724" s="4"/>
      <c r="FP1724" s="4"/>
      <c r="FQ1724" s="4"/>
      <c r="FR1724" s="4"/>
      <c r="FS1724" s="4"/>
      <c r="FT1724" s="4"/>
      <c r="FU1724" s="4"/>
      <c r="FV1724" s="4"/>
      <c r="FW1724" s="4"/>
      <c r="FX1724" s="4"/>
      <c r="FY1724" s="4"/>
      <c r="FZ1724" s="4"/>
      <c r="GA1724" s="4"/>
      <c r="GB1724" s="4"/>
      <c r="GC1724" s="4"/>
      <c r="GD1724" s="4"/>
      <c r="GE1724" s="4"/>
      <c r="GF1724" s="4"/>
      <c r="GG1724" s="4"/>
      <c r="GH1724" s="4"/>
      <c r="GI1724" s="4"/>
      <c r="GJ1724" s="4"/>
      <c r="GK1724" s="4"/>
      <c r="GL1724" s="4"/>
      <c r="GM1724" s="4"/>
      <c r="GN1724" s="4"/>
      <c r="GO1724" s="4"/>
      <c r="GP1724" s="4"/>
      <c r="GQ1724" s="4"/>
      <c r="GR1724" s="4"/>
      <c r="GS1724" s="4"/>
      <c r="GT1724" s="4"/>
      <c r="GU1724" s="4"/>
      <c r="GV1724" s="4"/>
      <c r="GW1724" s="4"/>
      <c r="GX1724" s="4"/>
      <c r="GY1724" s="4"/>
      <c r="GZ1724" s="4"/>
      <c r="HA1724" s="4"/>
      <c r="HB1724" s="4"/>
      <c r="HC1724" s="4"/>
      <c r="HD1724" s="4"/>
      <c r="HE1724" s="4"/>
    </row>
    <row r="1725">
      <c r="A1725" s="2" t="s">
        <v>8512</v>
      </c>
      <c r="B1725" s="2" t="s">
        <v>848</v>
      </c>
      <c r="C1725" s="2" t="s">
        <v>849</v>
      </c>
      <c r="D1725" s="2" t="s">
        <v>1112</v>
      </c>
      <c r="E1725" s="2" t="s">
        <v>1113</v>
      </c>
      <c r="F1725" s="2" t="s">
        <v>7089</v>
      </c>
      <c r="G1725" s="2" t="s">
        <v>4836</v>
      </c>
      <c r="H1725" s="2" t="s">
        <v>8513</v>
      </c>
      <c r="I1725" s="2" t="s">
        <v>8514</v>
      </c>
      <c r="J1725" s="2" t="s">
        <v>856</v>
      </c>
      <c r="K1725" s="2" t="s">
        <v>5341</v>
      </c>
      <c r="L1725" s="3">
        <v>30.95</v>
      </c>
      <c r="M1725" s="3">
        <v>32.5</v>
      </c>
      <c r="N1725" s="3">
        <v>64.99</v>
      </c>
      <c r="O1725" s="2" t="s">
        <v>461</v>
      </c>
      <c r="P1725" s="2" t="s">
        <v>333</v>
      </c>
      <c r="Q1725" s="2" t="s">
        <v>234</v>
      </c>
      <c r="R1725" s="2" t="s">
        <v>228</v>
      </c>
      <c r="S1725" s="2" t="s">
        <v>8515</v>
      </c>
      <c r="T1725" s="2" t="s">
        <v>1608</v>
      </c>
      <c r="U1725" s="2" t="s">
        <v>520</v>
      </c>
      <c r="V1725" s="2" t="s">
        <v>236</v>
      </c>
      <c r="W1725" s="2" t="s">
        <v>309</v>
      </c>
      <c r="X1725" s="2" t="s">
        <v>1229</v>
      </c>
      <c r="Y1725" s="2" t="s">
        <v>8516</v>
      </c>
      <c r="Z1725" s="4">
        <v>282</v>
      </c>
      <c r="AA1725" s="4">
        <f>=ROUNDDOWN(705,0)</f>
      </c>
      <c r="AB1725" s="5">
        <v>0.4</v>
      </c>
      <c r="AC1725" s="2" t="s">
        <v>228</v>
      </c>
      <c r="AD1725" s="4"/>
      <c r="AE1725" s="4"/>
      <c r="AF1725" s="6">
        <v>64</v>
      </c>
      <c r="AG1725" s="6"/>
      <c r="AH1725" s="7">
        <v>1</v>
      </c>
      <c r="AI1725" s="4"/>
      <c r="AJ1725" s="4">
        <f>=ROUNDDOWN({0},0)</f>
      </c>
      <c r="AK1725" s="5"/>
      <c r="AL1725" s="2" t="s">
        <v>228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 t="s">
        <v>228</v>
      </c>
      <c r="AW1725" s="8" t="s">
        <v>228</v>
      </c>
      <c r="AX1725" s="4" t="s">
        <v>228</v>
      </c>
      <c r="AY1725" s="8" t="s">
        <v>228</v>
      </c>
      <c r="AZ1725" s="7" t="s">
        <v>228</v>
      </c>
      <c r="BA1725" s="7" t="s">
        <v>228</v>
      </c>
      <c r="BB1725" s="7" t="s">
        <v>228</v>
      </c>
      <c r="BC1725" s="4" t="s">
        <v>228</v>
      </c>
      <c r="BD1725" s="8" t="s">
        <v>228</v>
      </c>
      <c r="BE1725" s="4" t="s">
        <v>228</v>
      </c>
      <c r="BF1725" s="8" t="s">
        <v>228</v>
      </c>
      <c r="BG1725" s="7" t="s">
        <v>228</v>
      </c>
      <c r="BH1725" s="7" t="s">
        <v>228</v>
      </c>
      <c r="BI1725" s="7"/>
      <c r="BJ1725" s="4"/>
      <c r="BK1725" s="8"/>
      <c r="BL1725" s="2" t="s">
        <v>228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8517</v>
      </c>
      <c r="BV1725" s="2" t="s">
        <v>228</v>
      </c>
      <c r="BW1725" s="2" t="s">
        <v>228</v>
      </c>
      <c r="BX1725" s="2" t="s">
        <v>337</v>
      </c>
      <c r="BY1725" s="2" t="s">
        <v>274</v>
      </c>
      <c r="BZ1725" s="2" t="s">
        <v>240</v>
      </c>
      <c r="CA1725" s="2" t="s">
        <v>8518</v>
      </c>
      <c r="CB1725" s="2" t="s">
        <v>2240</v>
      </c>
      <c r="CC1725" s="2" t="s">
        <v>241</v>
      </c>
      <c r="CD1725" s="2" t="s">
        <v>228</v>
      </c>
      <c r="CE1725" s="4">
        <v>282</v>
      </c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4"/>
      <c r="FE1725" s="4"/>
      <c r="FF1725" s="4"/>
      <c r="FG1725" s="4"/>
      <c r="FH1725" s="4"/>
      <c r="FI1725" s="4"/>
      <c r="FJ1725" s="4"/>
      <c r="FK1725" s="4"/>
      <c r="FL1725" s="4"/>
      <c r="FM1725" s="4"/>
      <c r="FN1725" s="4"/>
      <c r="FO1725" s="4"/>
      <c r="FP1725" s="4"/>
      <c r="FQ1725" s="4"/>
      <c r="FR1725" s="4"/>
      <c r="FS1725" s="4"/>
      <c r="FT1725" s="4"/>
      <c r="FU1725" s="4"/>
      <c r="FV1725" s="4"/>
      <c r="FW1725" s="4"/>
      <c r="FX1725" s="4"/>
      <c r="FY1725" s="4"/>
      <c r="FZ1725" s="4"/>
      <c r="GA1725" s="4"/>
      <c r="GB1725" s="4"/>
      <c r="GC1725" s="4"/>
      <c r="GD1725" s="4"/>
      <c r="GE1725" s="4"/>
      <c r="GF1725" s="4"/>
      <c r="GG1725" s="4"/>
      <c r="GH1725" s="4"/>
      <c r="GI1725" s="4"/>
      <c r="GJ1725" s="4"/>
      <c r="GK1725" s="4"/>
      <c r="GL1725" s="4"/>
      <c r="GM1725" s="4"/>
      <c r="GN1725" s="4"/>
      <c r="GO1725" s="4"/>
      <c r="GP1725" s="4"/>
      <c r="GQ1725" s="4"/>
      <c r="GR1725" s="4"/>
      <c r="GS1725" s="4"/>
      <c r="GT1725" s="4"/>
      <c r="GU1725" s="4"/>
      <c r="GV1725" s="4"/>
      <c r="GW1725" s="4"/>
      <c r="GX1725" s="4"/>
      <c r="GY1725" s="4"/>
      <c r="GZ1725" s="4"/>
      <c r="HA1725" s="4"/>
      <c r="HB1725" s="4"/>
      <c r="HC1725" s="4"/>
      <c r="HD1725" s="4"/>
      <c r="HE1725" s="4"/>
    </row>
    <row r="1726">
      <c r="A1726" s="2" t="s">
        <v>8519</v>
      </c>
      <c r="B1726" s="2" t="s">
        <v>848</v>
      </c>
      <c r="C1726" s="2" t="s">
        <v>849</v>
      </c>
      <c r="D1726" s="2" t="s">
        <v>850</v>
      </c>
      <c r="E1726" s="2" t="s">
        <v>1038</v>
      </c>
      <c r="F1726" s="2" t="s">
        <v>7089</v>
      </c>
      <c r="G1726" s="2" t="s">
        <v>4836</v>
      </c>
      <c r="H1726" s="2" t="s">
        <v>8513</v>
      </c>
      <c r="I1726" s="2" t="s">
        <v>8520</v>
      </c>
      <c r="J1726" s="2" t="s">
        <v>856</v>
      </c>
      <c r="K1726" s="2" t="s">
        <v>5341</v>
      </c>
      <c r="L1726" s="3">
        <v>23.8</v>
      </c>
      <c r="M1726" s="3">
        <v>24.99</v>
      </c>
      <c r="N1726" s="3">
        <v>49.99</v>
      </c>
      <c r="O1726" s="2" t="s">
        <v>240</v>
      </c>
      <c r="P1726" s="2" t="s">
        <v>333</v>
      </c>
      <c r="Q1726" s="2" t="s">
        <v>234</v>
      </c>
      <c r="R1726" s="2" t="s">
        <v>228</v>
      </c>
      <c r="S1726" s="2" t="s">
        <v>8515</v>
      </c>
      <c r="T1726" s="2" t="s">
        <v>1608</v>
      </c>
      <c r="U1726" s="2" t="s">
        <v>520</v>
      </c>
      <c r="V1726" s="2" t="s">
        <v>236</v>
      </c>
      <c r="W1726" s="2" t="s">
        <v>309</v>
      </c>
      <c r="X1726" s="2" t="s">
        <v>1229</v>
      </c>
      <c r="Y1726" s="2" t="s">
        <v>8516</v>
      </c>
      <c r="Z1726" s="4">
        <v>131</v>
      </c>
      <c r="AA1726" s="4">
        <f>=ROUNDDOWN(655,0)</f>
      </c>
      <c r="AB1726" s="5">
        <v>0.2</v>
      </c>
      <c r="AC1726" s="2" t="s">
        <v>228</v>
      </c>
      <c r="AD1726" s="4"/>
      <c r="AE1726" s="4"/>
      <c r="AF1726" s="6">
        <v>64</v>
      </c>
      <c r="AG1726" s="6"/>
      <c r="AH1726" s="7">
        <v>1</v>
      </c>
      <c r="AI1726" s="4"/>
      <c r="AJ1726" s="4">
        <f>=ROUNDDOWN({0},0)</f>
      </c>
      <c r="AK1726" s="5"/>
      <c r="AL1726" s="2" t="s">
        <v>228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 t="s">
        <v>228</v>
      </c>
      <c r="AW1726" s="8" t="s">
        <v>228</v>
      </c>
      <c r="AX1726" s="4" t="s">
        <v>228</v>
      </c>
      <c r="AY1726" s="8" t="s">
        <v>228</v>
      </c>
      <c r="AZ1726" s="7" t="s">
        <v>228</v>
      </c>
      <c r="BA1726" s="7" t="s">
        <v>228</v>
      </c>
      <c r="BB1726" s="7" t="s">
        <v>228</v>
      </c>
      <c r="BC1726" s="4" t="s">
        <v>228</v>
      </c>
      <c r="BD1726" s="8" t="s">
        <v>228</v>
      </c>
      <c r="BE1726" s="4" t="s">
        <v>228</v>
      </c>
      <c r="BF1726" s="8" t="s">
        <v>228</v>
      </c>
      <c r="BG1726" s="7" t="s">
        <v>228</v>
      </c>
      <c r="BH1726" s="7" t="s">
        <v>228</v>
      </c>
      <c r="BI1726" s="7"/>
      <c r="BJ1726" s="4">
        <v>1</v>
      </c>
      <c r="BK1726" s="8">
        <v>26.99</v>
      </c>
      <c r="BL1726" s="2" t="s">
        <v>484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8521</v>
      </c>
      <c r="BV1726" s="2" t="s">
        <v>228</v>
      </c>
      <c r="BW1726" s="2" t="s">
        <v>228</v>
      </c>
      <c r="BX1726" s="2" t="s">
        <v>337</v>
      </c>
      <c r="BY1726" s="2" t="s">
        <v>274</v>
      </c>
      <c r="BZ1726" s="2" t="s">
        <v>240</v>
      </c>
      <c r="CA1726" s="2" t="s">
        <v>8518</v>
      </c>
      <c r="CB1726" s="2" t="s">
        <v>4443</v>
      </c>
      <c r="CC1726" s="2" t="s">
        <v>241</v>
      </c>
      <c r="CD1726" s="2" t="s">
        <v>228</v>
      </c>
      <c r="CE1726" s="4">
        <v>131</v>
      </c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  <c r="ES1726" s="4"/>
      <c r="ET1726" s="4"/>
      <c r="EU1726" s="4"/>
      <c r="EV1726" s="4"/>
      <c r="EW1726" s="4"/>
      <c r="EX1726" s="4"/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/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/>
      <c r="FV1726" s="4"/>
      <c r="FW1726" s="4"/>
      <c r="FX1726" s="4"/>
      <c r="FY1726" s="4"/>
      <c r="FZ1726" s="4"/>
      <c r="GA1726" s="4"/>
      <c r="GB1726" s="4"/>
      <c r="GC1726" s="4"/>
      <c r="GD1726" s="4"/>
      <c r="GE1726" s="4"/>
      <c r="GF1726" s="4"/>
      <c r="GG1726" s="4"/>
      <c r="GH1726" s="4"/>
      <c r="GI1726" s="4"/>
      <c r="GJ1726" s="4"/>
      <c r="GK1726" s="4"/>
      <c r="GL1726" s="4"/>
      <c r="GM1726" s="4"/>
      <c r="GN1726" s="4"/>
      <c r="GO1726" s="4"/>
      <c r="GP1726" s="4"/>
      <c r="GQ1726" s="4"/>
      <c r="GR1726" s="4"/>
      <c r="GS1726" s="4"/>
      <c r="GT1726" s="4"/>
      <c r="GU1726" s="4"/>
      <c r="GV1726" s="4"/>
      <c r="GW1726" s="4"/>
      <c r="GX1726" s="4"/>
      <c r="GY1726" s="4"/>
      <c r="GZ1726" s="4"/>
      <c r="HA1726" s="4"/>
      <c r="HB1726" s="4"/>
      <c r="HC1726" s="4"/>
      <c r="HD1726" s="4"/>
      <c r="HE1726" s="4"/>
    </row>
    <row r="1727">
      <c r="A1727" s="2" t="s">
        <v>8522</v>
      </c>
      <c r="B1727" s="2" t="s">
        <v>848</v>
      </c>
      <c r="C1727" s="2" t="s">
        <v>849</v>
      </c>
      <c r="D1727" s="2" t="s">
        <v>1112</v>
      </c>
      <c r="E1727" s="2" t="s">
        <v>1113</v>
      </c>
      <c r="F1727" s="2" t="s">
        <v>7089</v>
      </c>
      <c r="G1727" s="2" t="s">
        <v>4836</v>
      </c>
      <c r="H1727" s="2" t="s">
        <v>8513</v>
      </c>
      <c r="I1727" s="2" t="s">
        <v>8514</v>
      </c>
      <c r="J1727" s="2" t="s">
        <v>1189</v>
      </c>
      <c r="K1727" s="2" t="s">
        <v>8523</v>
      </c>
      <c r="L1727" s="3">
        <v>40.47</v>
      </c>
      <c r="M1727" s="3">
        <v>42.49</v>
      </c>
      <c r="N1727" s="3">
        <v>84.99</v>
      </c>
      <c r="O1727" s="2" t="s">
        <v>461</v>
      </c>
      <c r="P1727" s="2" t="s">
        <v>333</v>
      </c>
      <c r="Q1727" s="2" t="s">
        <v>234</v>
      </c>
      <c r="R1727" s="2" t="s">
        <v>228</v>
      </c>
      <c r="S1727" s="2" t="s">
        <v>8524</v>
      </c>
      <c r="T1727" s="2" t="s">
        <v>1608</v>
      </c>
      <c r="U1727" s="2" t="s">
        <v>500</v>
      </c>
      <c r="V1727" s="2" t="s">
        <v>236</v>
      </c>
      <c r="W1727" s="2" t="s">
        <v>309</v>
      </c>
      <c r="X1727" s="2" t="s">
        <v>1229</v>
      </c>
      <c r="Y1727" s="2" t="s">
        <v>8516</v>
      </c>
      <c r="Z1727" s="4">
        <v>403</v>
      </c>
      <c r="AA1727" s="4">
        <f>=ROUNDDOWN(237.058823529412,0)</f>
      </c>
      <c r="AB1727" s="5">
        <v>1.7</v>
      </c>
      <c r="AC1727" s="2" t="s">
        <v>228</v>
      </c>
      <c r="AD1727" s="4"/>
      <c r="AE1727" s="4"/>
      <c r="AF1727" s="6">
        <v>64</v>
      </c>
      <c r="AG1727" s="6"/>
      <c r="AH1727" s="7">
        <v>1</v>
      </c>
      <c r="AI1727" s="4"/>
      <c r="AJ1727" s="4">
        <f>=ROUNDDOWN({0},0)</f>
      </c>
      <c r="AK1727" s="5"/>
      <c r="AL1727" s="2" t="s">
        <v>228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/>
      <c r="AW1727" s="8"/>
      <c r="AX1727" s="4"/>
      <c r="AY1727" s="8"/>
      <c r="AZ1727" s="7"/>
      <c r="BA1727" s="7"/>
      <c r="BB1727" s="7"/>
      <c r="BC1727" s="4" t="s">
        <v>228</v>
      </c>
      <c r="BD1727" s="8" t="s">
        <v>228</v>
      </c>
      <c r="BE1727" s="4" t="s">
        <v>228</v>
      </c>
      <c r="BF1727" s="8" t="s">
        <v>228</v>
      </c>
      <c r="BG1727" s="7" t="s">
        <v>228</v>
      </c>
      <c r="BH1727" s="7" t="s">
        <v>228</v>
      </c>
      <c r="BI1727" s="7"/>
      <c r="BJ1727" s="4">
        <v>9</v>
      </c>
      <c r="BK1727" s="8">
        <v>389.5</v>
      </c>
      <c r="BL1727" s="2" t="s">
        <v>8525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8526</v>
      </c>
      <c r="BV1727" s="2" t="s">
        <v>228</v>
      </c>
      <c r="BW1727" s="2" t="s">
        <v>228</v>
      </c>
      <c r="BX1727" s="2" t="s">
        <v>337</v>
      </c>
      <c r="BY1727" s="2" t="s">
        <v>274</v>
      </c>
      <c r="BZ1727" s="2" t="s">
        <v>240</v>
      </c>
      <c r="CA1727" s="2" t="s">
        <v>8518</v>
      </c>
      <c r="CB1727" s="2" t="s">
        <v>514</v>
      </c>
      <c r="CC1727" s="2" t="s">
        <v>241</v>
      </c>
      <c r="CD1727" s="2" t="s">
        <v>228</v>
      </c>
      <c r="CE1727" s="4">
        <v>403</v>
      </c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/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  <c r="FX1727" s="4"/>
      <c r="FY1727" s="4"/>
      <c r="FZ1727" s="4"/>
      <c r="GA1727" s="4"/>
      <c r="GB1727" s="4"/>
      <c r="GC1727" s="4"/>
      <c r="GD1727" s="4"/>
      <c r="GE1727" s="4"/>
      <c r="GF1727" s="4"/>
      <c r="GG1727" s="4"/>
      <c r="GH1727" s="4"/>
      <c r="GI1727" s="4"/>
      <c r="GJ1727" s="4"/>
      <c r="GK1727" s="4"/>
      <c r="GL1727" s="4"/>
      <c r="GM1727" s="4"/>
      <c r="GN1727" s="4"/>
      <c r="GO1727" s="4"/>
      <c r="GP1727" s="4"/>
      <c r="GQ1727" s="4"/>
      <c r="GR1727" s="4"/>
      <c r="GS1727" s="4"/>
      <c r="GT1727" s="4"/>
      <c r="GU1727" s="4"/>
      <c r="GV1727" s="4"/>
      <c r="GW1727" s="4"/>
      <c r="GX1727" s="4"/>
      <c r="GY1727" s="4"/>
      <c r="GZ1727" s="4"/>
      <c r="HA1727" s="4"/>
      <c r="HB1727" s="4"/>
      <c r="HC1727" s="4"/>
      <c r="HD1727" s="4"/>
      <c r="HE1727" s="4"/>
    </row>
    <row r="1728">
      <c r="A1728" s="2" t="s">
        <v>8527</v>
      </c>
      <c r="B1728" s="2" t="s">
        <v>866</v>
      </c>
      <c r="C1728" s="2" t="s">
        <v>885</v>
      </c>
      <c r="D1728" s="2" t="s">
        <v>907</v>
      </c>
      <c r="E1728" s="2" t="s">
        <v>908</v>
      </c>
      <c r="F1728" s="2" t="s">
        <v>7089</v>
      </c>
      <c r="G1728" s="2" t="s">
        <v>7089</v>
      </c>
      <c r="H1728" s="2" t="s">
        <v>7089</v>
      </c>
      <c r="I1728" s="2" t="s">
        <v>8528</v>
      </c>
      <c r="J1728" s="2" t="s">
        <v>840</v>
      </c>
      <c r="K1728" s="2" t="s">
        <v>231</v>
      </c>
      <c r="L1728" s="3">
        <v>95.23</v>
      </c>
      <c r="M1728" s="3">
        <v>99.99</v>
      </c>
      <c r="N1728" s="3">
        <v>199.99</v>
      </c>
      <c r="O1728" s="2" t="s">
        <v>240</v>
      </c>
      <c r="P1728" s="2" t="s">
        <v>233</v>
      </c>
      <c r="Q1728" s="2" t="s">
        <v>234</v>
      </c>
      <c r="R1728" s="2" t="s">
        <v>228</v>
      </c>
      <c r="S1728" s="2" t="s">
        <v>228</v>
      </c>
      <c r="T1728" s="2" t="s">
        <v>228</v>
      </c>
      <c r="U1728" s="2" t="s">
        <v>416</v>
      </c>
      <c r="V1728" s="2" t="s">
        <v>842</v>
      </c>
      <c r="W1728" s="2" t="s">
        <v>351</v>
      </c>
      <c r="X1728" s="2" t="s">
        <v>4981</v>
      </c>
      <c r="Y1728" s="2" t="s">
        <v>6590</v>
      </c>
      <c r="Z1728" s="4">
        <v>95</v>
      </c>
      <c r="AA1728" s="4">
        <f>=ROUNDDOWN(95,0)</f>
      </c>
      <c r="AB1728" s="5">
        <v>1</v>
      </c>
      <c r="AC1728" s="2" t="s">
        <v>228</v>
      </c>
      <c r="AD1728" s="4"/>
      <c r="AE1728" s="4"/>
      <c r="AF1728" s="6">
        <v>65</v>
      </c>
      <c r="AG1728" s="6"/>
      <c r="AH1728" s="7">
        <v>1</v>
      </c>
      <c r="AI1728" s="4"/>
      <c r="AJ1728" s="4">
        <f>=ROUNDDOWN({0},0)</f>
      </c>
      <c r="AK1728" s="5"/>
      <c r="AL1728" s="2" t="s">
        <v>228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/>
      <c r="AW1728" s="8"/>
      <c r="AX1728" s="4"/>
      <c r="AY1728" s="8"/>
      <c r="AZ1728" s="7"/>
      <c r="BA1728" s="7"/>
      <c r="BB1728" s="7"/>
      <c r="BC1728" s="4" t="s">
        <v>228</v>
      </c>
      <c r="BD1728" s="8" t="s">
        <v>228</v>
      </c>
      <c r="BE1728" s="4" t="s">
        <v>228</v>
      </c>
      <c r="BF1728" s="8" t="s">
        <v>228</v>
      </c>
      <c r="BG1728" s="7" t="s">
        <v>228</v>
      </c>
      <c r="BH1728" s="7" t="s">
        <v>228</v>
      </c>
      <c r="BI1728" s="7"/>
      <c r="BJ1728" s="4">
        <v>1</v>
      </c>
      <c r="BK1728" s="8">
        <v>99.99</v>
      </c>
      <c r="BL1728" s="2" t="s">
        <v>1933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8529</v>
      </c>
      <c r="BV1728" s="2" t="s">
        <v>228</v>
      </c>
      <c r="BW1728" s="2" t="s">
        <v>228</v>
      </c>
      <c r="BX1728" s="2" t="s">
        <v>273</v>
      </c>
      <c r="BY1728" s="2" t="s">
        <v>274</v>
      </c>
      <c r="BZ1728" s="2" t="s">
        <v>240</v>
      </c>
      <c r="CA1728" s="2" t="s">
        <v>3133</v>
      </c>
      <c r="CB1728" s="2" t="s">
        <v>228</v>
      </c>
      <c r="CC1728" s="2" t="s">
        <v>241</v>
      </c>
      <c r="CD1728" s="2" t="s">
        <v>228</v>
      </c>
      <c r="CE1728" s="4"/>
      <c r="CF1728" s="4">
        <v>95</v>
      </c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/>
      <c r="EW1728" s="4"/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/>
      <c r="FK1728" s="4"/>
      <c r="FL1728" s="4"/>
      <c r="FM1728" s="4"/>
      <c r="FN1728" s="4"/>
      <c r="FO1728" s="4"/>
      <c r="FP1728" s="4"/>
      <c r="FQ1728" s="4"/>
      <c r="FR1728" s="4"/>
      <c r="FS1728" s="4"/>
      <c r="FT1728" s="4"/>
      <c r="FU1728" s="4"/>
      <c r="FV1728" s="4"/>
      <c r="FW1728" s="4"/>
      <c r="FX1728" s="4"/>
      <c r="FY1728" s="4"/>
      <c r="FZ1728" s="4"/>
      <c r="GA1728" s="4"/>
      <c r="GB1728" s="4"/>
      <c r="GC1728" s="4"/>
      <c r="GD1728" s="4"/>
      <c r="GE1728" s="4"/>
      <c r="GF1728" s="4"/>
      <c r="GG1728" s="4"/>
      <c r="GH1728" s="4"/>
      <c r="GI1728" s="4"/>
      <c r="GJ1728" s="4"/>
      <c r="GK1728" s="4"/>
      <c r="GL1728" s="4"/>
      <c r="GM1728" s="4"/>
      <c r="GN1728" s="4"/>
      <c r="GO1728" s="4"/>
      <c r="GP1728" s="4"/>
      <c r="GQ1728" s="4"/>
      <c r="GR1728" s="4"/>
      <c r="GS1728" s="4"/>
      <c r="GT1728" s="4"/>
      <c r="GU1728" s="4"/>
      <c r="GV1728" s="4"/>
      <c r="GW1728" s="4"/>
      <c r="GX1728" s="4"/>
      <c r="GY1728" s="4"/>
      <c r="GZ1728" s="4"/>
      <c r="HA1728" s="4"/>
      <c r="HB1728" s="4"/>
      <c r="HC1728" s="4"/>
      <c r="HD1728" s="4"/>
      <c r="HE1728" s="4"/>
    </row>
    <row r="1729">
      <c r="A1729" s="2" t="s">
        <v>8530</v>
      </c>
      <c r="B1729" s="2" t="s">
        <v>958</v>
      </c>
      <c r="C1729" s="2" t="s">
        <v>885</v>
      </c>
      <c r="D1729" s="2" t="s">
        <v>2144</v>
      </c>
      <c r="E1729" s="2" t="s">
        <v>7204</v>
      </c>
      <c r="F1729" s="2" t="s">
        <v>7089</v>
      </c>
      <c r="G1729" s="2" t="s">
        <v>7089</v>
      </c>
      <c r="H1729" s="2" t="s">
        <v>7089</v>
      </c>
      <c r="I1729" s="2" t="s">
        <v>8531</v>
      </c>
      <c r="J1729" s="2" t="s">
        <v>840</v>
      </c>
      <c r="K1729" s="2" t="s">
        <v>6390</v>
      </c>
      <c r="L1729" s="3">
        <v>250</v>
      </c>
      <c r="M1729" s="3">
        <v>262.5</v>
      </c>
      <c r="N1729" s="3">
        <v>529</v>
      </c>
      <c r="O1729" s="2" t="s">
        <v>240</v>
      </c>
      <c r="P1729" s="2" t="s">
        <v>233</v>
      </c>
      <c r="Q1729" s="2" t="s">
        <v>234</v>
      </c>
      <c r="R1729" s="2" t="s">
        <v>228</v>
      </c>
      <c r="S1729" s="2" t="s">
        <v>228</v>
      </c>
      <c r="T1729" s="2" t="s">
        <v>228</v>
      </c>
      <c r="U1729" s="2" t="s">
        <v>416</v>
      </c>
      <c r="V1729" s="2" t="s">
        <v>842</v>
      </c>
      <c r="W1729" s="2" t="s">
        <v>463</v>
      </c>
      <c r="X1729" s="2" t="s">
        <v>4981</v>
      </c>
      <c r="Y1729" s="2" t="s">
        <v>8412</v>
      </c>
      <c r="Z1729" s="4">
        <v>38</v>
      </c>
      <c r="AA1729" s="4">
        <f>=ROUNDDOWN(12.6666666666667,0)</f>
      </c>
      <c r="AB1729" s="5">
        <v>3</v>
      </c>
      <c r="AC1729" s="2" t="s">
        <v>169</v>
      </c>
      <c r="AD1729" s="4">
        <v>70</v>
      </c>
      <c r="AE1729" s="4">
        <v>100</v>
      </c>
      <c r="AF1729" s="6">
        <v>66</v>
      </c>
      <c r="AG1729" s="6"/>
      <c r="AH1729" s="7">
        <v>1</v>
      </c>
      <c r="AI1729" s="4"/>
      <c r="AJ1729" s="4">
        <f>=ROUNDDOWN({0},0)</f>
      </c>
      <c r="AK1729" s="5"/>
      <c r="AL1729" s="2" t="s">
        <v>228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/>
      <c r="AW1729" s="8"/>
      <c r="AX1729" s="4"/>
      <c r="AY1729" s="8"/>
      <c r="AZ1729" s="7"/>
      <c r="BA1729" s="7"/>
      <c r="BB1729" s="7"/>
      <c r="BC1729" s="4" t="s">
        <v>228</v>
      </c>
      <c r="BD1729" s="8" t="s">
        <v>228</v>
      </c>
      <c r="BE1729" s="4" t="s">
        <v>228</v>
      </c>
      <c r="BF1729" s="8" t="s">
        <v>228</v>
      </c>
      <c r="BG1729" s="7" t="s">
        <v>228</v>
      </c>
      <c r="BH1729" s="7" t="s">
        <v>228</v>
      </c>
      <c r="BI1729" s="7"/>
      <c r="BJ1729" s="4">
        <v>10</v>
      </c>
      <c r="BK1729" s="8">
        <v>2568.8</v>
      </c>
      <c r="BL1729" s="2" t="s">
        <v>995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8532</v>
      </c>
      <c r="BV1729" s="2" t="s">
        <v>228</v>
      </c>
      <c r="BW1729" s="2" t="s">
        <v>228</v>
      </c>
      <c r="BX1729" s="2" t="s">
        <v>273</v>
      </c>
      <c r="BY1729" s="2" t="s">
        <v>274</v>
      </c>
      <c r="BZ1729" s="2" t="s">
        <v>240</v>
      </c>
      <c r="CA1729" s="2" t="s">
        <v>2490</v>
      </c>
      <c r="CB1729" s="2" t="s">
        <v>6481</v>
      </c>
      <c r="CC1729" s="2" t="s">
        <v>241</v>
      </c>
      <c r="CD1729" s="2" t="s">
        <v>228</v>
      </c>
      <c r="CE1729" s="4"/>
      <c r="CF1729" s="4">
        <v>38</v>
      </c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/>
      <c r="EU1729" s="4"/>
      <c r="EV1729" s="4"/>
      <c r="EW1729" s="4"/>
      <c r="EX1729" s="4"/>
      <c r="EY1729" s="4"/>
      <c r="EZ1729" s="4"/>
      <c r="FA1729" s="4"/>
      <c r="FB1729" s="4"/>
      <c r="FC1729" s="4"/>
      <c r="FD1729" s="4"/>
      <c r="FE1729" s="4">
        <v>70</v>
      </c>
      <c r="FF1729" s="4"/>
      <c r="FG1729" s="4"/>
      <c r="FH1729" s="4"/>
      <c r="FI1729" s="4"/>
      <c r="FJ1729" s="4"/>
      <c r="FK1729" s="4"/>
      <c r="FL1729" s="4"/>
      <c r="FM1729" s="4"/>
      <c r="FN1729" s="4"/>
      <c r="FO1729" s="4"/>
      <c r="FP1729" s="4"/>
      <c r="FQ1729" s="4"/>
      <c r="FR1729" s="4"/>
      <c r="FS1729" s="4"/>
      <c r="FT1729" s="4">
        <v>30</v>
      </c>
      <c r="FU1729" s="4"/>
      <c r="FV1729" s="4"/>
      <c r="FW1729" s="4"/>
      <c r="FX1729" s="4"/>
      <c r="FY1729" s="4"/>
      <c r="FZ1729" s="4"/>
      <c r="GA1729" s="4"/>
      <c r="GB1729" s="4"/>
      <c r="GC1729" s="4"/>
      <c r="GD1729" s="4"/>
      <c r="GE1729" s="4"/>
      <c r="GF1729" s="4"/>
      <c r="GG1729" s="4"/>
      <c r="GH1729" s="4"/>
      <c r="GI1729" s="4"/>
      <c r="GJ1729" s="4"/>
      <c r="GK1729" s="4"/>
      <c r="GL1729" s="4"/>
      <c r="GM1729" s="4"/>
      <c r="GN1729" s="4"/>
      <c r="GO1729" s="4"/>
      <c r="GP1729" s="4"/>
      <c r="GQ1729" s="4"/>
      <c r="GR1729" s="4"/>
      <c r="GS1729" s="4"/>
      <c r="GT1729" s="4"/>
      <c r="GU1729" s="4"/>
      <c r="GV1729" s="4"/>
      <c r="GW1729" s="4"/>
      <c r="GX1729" s="4"/>
      <c r="GY1729" s="4"/>
      <c r="GZ1729" s="4"/>
      <c r="HA1729" s="4"/>
      <c r="HB1729" s="4"/>
      <c r="HC1729" s="4"/>
      <c r="HD1729" s="4"/>
      <c r="HE1729" s="4"/>
    </row>
    <row r="1730">
      <c r="A1730" s="2" t="s">
        <v>8533</v>
      </c>
      <c r="B1730" s="2" t="s">
        <v>866</v>
      </c>
      <c r="C1730" s="2" t="s">
        <v>885</v>
      </c>
      <c r="D1730" s="2" t="s">
        <v>907</v>
      </c>
      <c r="E1730" s="2" t="s">
        <v>908</v>
      </c>
      <c r="F1730" s="2" t="s">
        <v>7089</v>
      </c>
      <c r="G1730" s="2" t="s">
        <v>7089</v>
      </c>
      <c r="H1730" s="2" t="s">
        <v>7089</v>
      </c>
      <c r="I1730" s="2" t="s">
        <v>8528</v>
      </c>
      <c r="J1730" s="2" t="s">
        <v>840</v>
      </c>
      <c r="K1730" s="2" t="s">
        <v>1357</v>
      </c>
      <c r="L1730" s="3">
        <v>95.23</v>
      </c>
      <c r="M1730" s="3">
        <v>99.99</v>
      </c>
      <c r="N1730" s="3">
        <v>199.99</v>
      </c>
      <c r="O1730" s="2" t="s">
        <v>240</v>
      </c>
      <c r="P1730" s="2" t="s">
        <v>233</v>
      </c>
      <c r="Q1730" s="2" t="s">
        <v>234</v>
      </c>
      <c r="R1730" s="2" t="s">
        <v>228</v>
      </c>
      <c r="S1730" s="2" t="s">
        <v>228</v>
      </c>
      <c r="T1730" s="2" t="s">
        <v>228</v>
      </c>
      <c r="U1730" s="2" t="s">
        <v>416</v>
      </c>
      <c r="V1730" s="2" t="s">
        <v>842</v>
      </c>
      <c r="W1730" s="2" t="s">
        <v>351</v>
      </c>
      <c r="X1730" s="2" t="s">
        <v>4981</v>
      </c>
      <c r="Y1730" s="2" t="s">
        <v>6590</v>
      </c>
      <c r="Z1730" s="4">
        <v>87</v>
      </c>
      <c r="AA1730" s="4">
        <f>=ROUNDDOWN(87,0)</f>
      </c>
      <c r="AB1730" s="5">
        <v>1</v>
      </c>
      <c r="AC1730" s="2" t="s">
        <v>228</v>
      </c>
      <c r="AD1730" s="4"/>
      <c r="AE1730" s="4"/>
      <c r="AF1730" s="6">
        <v>65</v>
      </c>
      <c r="AG1730" s="6"/>
      <c r="AH1730" s="7">
        <v>1</v>
      </c>
      <c r="AI1730" s="4"/>
      <c r="AJ1730" s="4">
        <f>=ROUNDDOWN({0},0)</f>
      </c>
      <c r="AK1730" s="5"/>
      <c r="AL1730" s="2" t="s">
        <v>228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/>
      <c r="AW1730" s="8"/>
      <c r="AX1730" s="4"/>
      <c r="AY1730" s="8"/>
      <c r="AZ1730" s="7"/>
      <c r="BA1730" s="7"/>
      <c r="BB1730" s="7"/>
      <c r="BC1730" s="4" t="s">
        <v>228</v>
      </c>
      <c r="BD1730" s="8" t="s">
        <v>228</v>
      </c>
      <c r="BE1730" s="4" t="s">
        <v>228</v>
      </c>
      <c r="BF1730" s="8" t="s">
        <v>228</v>
      </c>
      <c r="BG1730" s="7" t="s">
        <v>228</v>
      </c>
      <c r="BH1730" s="7" t="s">
        <v>228</v>
      </c>
      <c r="BI1730" s="7"/>
      <c r="BJ1730" s="4">
        <v>2</v>
      </c>
      <c r="BK1730" s="8">
        <v>211.98</v>
      </c>
      <c r="BL1730" s="2" t="s">
        <v>8534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8535</v>
      </c>
      <c r="BV1730" s="2" t="s">
        <v>228</v>
      </c>
      <c r="BW1730" s="2" t="s">
        <v>228</v>
      </c>
      <c r="BX1730" s="2" t="s">
        <v>273</v>
      </c>
      <c r="BY1730" s="2" t="s">
        <v>274</v>
      </c>
      <c r="BZ1730" s="2" t="s">
        <v>240</v>
      </c>
      <c r="CA1730" s="2" t="s">
        <v>3133</v>
      </c>
      <c r="CB1730" s="2" t="s">
        <v>228</v>
      </c>
      <c r="CC1730" s="2" t="s">
        <v>241</v>
      </c>
      <c r="CD1730" s="2" t="s">
        <v>228</v>
      </c>
      <c r="CE1730" s="4"/>
      <c r="CF1730" s="4">
        <v>87</v>
      </c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  <c r="ES1730" s="4"/>
      <c r="ET1730" s="4"/>
      <c r="EU1730" s="4"/>
      <c r="EV1730" s="4"/>
      <c r="EW1730" s="4"/>
      <c r="EX1730" s="4"/>
      <c r="EY1730" s="4"/>
      <c r="EZ1730" s="4"/>
      <c r="FA1730" s="4"/>
      <c r="FB1730" s="4"/>
      <c r="FC1730" s="4"/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/>
      <c r="FR1730" s="4"/>
      <c r="FS1730" s="4"/>
      <c r="FT1730" s="4"/>
      <c r="FU1730" s="4"/>
      <c r="FV1730" s="4"/>
      <c r="FW1730" s="4"/>
      <c r="FX1730" s="4"/>
      <c r="FY1730" s="4"/>
      <c r="FZ1730" s="4"/>
      <c r="GA1730" s="4"/>
      <c r="GB1730" s="4"/>
      <c r="GC1730" s="4"/>
      <c r="GD1730" s="4"/>
      <c r="GE1730" s="4"/>
      <c r="GF1730" s="4"/>
      <c r="GG1730" s="4"/>
      <c r="GH1730" s="4"/>
      <c r="GI1730" s="4"/>
      <c r="GJ1730" s="4"/>
      <c r="GK1730" s="4"/>
      <c r="GL1730" s="4"/>
      <c r="GM1730" s="4"/>
      <c r="GN1730" s="4"/>
      <c r="GO1730" s="4"/>
      <c r="GP1730" s="4"/>
      <c r="GQ1730" s="4"/>
      <c r="GR1730" s="4"/>
      <c r="GS1730" s="4"/>
      <c r="GT1730" s="4"/>
      <c r="GU1730" s="4"/>
      <c r="GV1730" s="4"/>
      <c r="GW1730" s="4"/>
      <c r="GX1730" s="4"/>
      <c r="GY1730" s="4"/>
      <c r="GZ1730" s="4"/>
      <c r="HA1730" s="4"/>
      <c r="HB1730" s="4"/>
      <c r="HC1730" s="4"/>
      <c r="HD1730" s="4"/>
      <c r="HE1730" s="4"/>
    </row>
    <row r="1731">
      <c r="A1731" s="2" t="s">
        <v>8536</v>
      </c>
      <c r="B1731" s="2" t="s">
        <v>848</v>
      </c>
      <c r="C1731" s="2" t="s">
        <v>849</v>
      </c>
      <c r="D1731" s="2" t="s">
        <v>1112</v>
      </c>
      <c r="E1731" s="2" t="s">
        <v>1113</v>
      </c>
      <c r="F1731" s="2" t="s">
        <v>7089</v>
      </c>
      <c r="G1731" s="2" t="s">
        <v>4836</v>
      </c>
      <c r="H1731" s="2" t="s">
        <v>8513</v>
      </c>
      <c r="I1731" s="2" t="s">
        <v>8514</v>
      </c>
      <c r="J1731" s="2" t="s">
        <v>856</v>
      </c>
      <c r="K1731" s="2" t="s">
        <v>3435</v>
      </c>
      <c r="L1731" s="3">
        <v>30.95</v>
      </c>
      <c r="M1731" s="3">
        <v>32.5</v>
      </c>
      <c r="N1731" s="3">
        <v>64.99</v>
      </c>
      <c r="O1731" s="2" t="s">
        <v>461</v>
      </c>
      <c r="P1731" s="2" t="s">
        <v>333</v>
      </c>
      <c r="Q1731" s="2" t="s">
        <v>234</v>
      </c>
      <c r="R1731" s="2" t="s">
        <v>228</v>
      </c>
      <c r="S1731" s="2" t="s">
        <v>8537</v>
      </c>
      <c r="T1731" s="2" t="s">
        <v>1608</v>
      </c>
      <c r="U1731" s="2" t="s">
        <v>520</v>
      </c>
      <c r="V1731" s="2" t="s">
        <v>236</v>
      </c>
      <c r="W1731" s="2" t="s">
        <v>309</v>
      </c>
      <c r="X1731" s="2" t="s">
        <v>1229</v>
      </c>
      <c r="Y1731" s="2" t="s">
        <v>8516</v>
      </c>
      <c r="Z1731" s="4">
        <v>148</v>
      </c>
      <c r="AA1731" s="4">
        <f>=ROUNDDOWN(185,0)</f>
      </c>
      <c r="AB1731" s="5">
        <v>0.8</v>
      </c>
      <c r="AC1731" s="2" t="s">
        <v>228</v>
      </c>
      <c r="AD1731" s="4"/>
      <c r="AE1731" s="4"/>
      <c r="AF1731" s="6">
        <v>64</v>
      </c>
      <c r="AG1731" s="6"/>
      <c r="AH1731" s="7">
        <v>1</v>
      </c>
      <c r="AI1731" s="4"/>
      <c r="AJ1731" s="4">
        <f>=ROUNDDOWN({0},0)</f>
      </c>
      <c r="AK1731" s="5"/>
      <c r="AL1731" s="2" t="s">
        <v>228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228</v>
      </c>
      <c r="AW1731" s="8" t="s">
        <v>228</v>
      </c>
      <c r="AX1731" s="4" t="s">
        <v>228</v>
      </c>
      <c r="AY1731" s="8" t="s">
        <v>228</v>
      </c>
      <c r="AZ1731" s="7" t="s">
        <v>228</v>
      </c>
      <c r="BA1731" s="7" t="s">
        <v>228</v>
      </c>
      <c r="BB1731" s="7" t="s">
        <v>228</v>
      </c>
      <c r="BC1731" s="4" t="s">
        <v>228</v>
      </c>
      <c r="BD1731" s="8" t="s">
        <v>228</v>
      </c>
      <c r="BE1731" s="4" t="s">
        <v>228</v>
      </c>
      <c r="BF1731" s="8" t="s">
        <v>228</v>
      </c>
      <c r="BG1731" s="7" t="s">
        <v>228</v>
      </c>
      <c r="BH1731" s="7" t="s">
        <v>228</v>
      </c>
      <c r="BI1731" s="7"/>
      <c r="BJ1731" s="4">
        <v>19</v>
      </c>
      <c r="BK1731" s="8">
        <v>683.79</v>
      </c>
      <c r="BL1731" s="2" t="s">
        <v>8538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8539</v>
      </c>
      <c r="BV1731" s="2" t="s">
        <v>228</v>
      </c>
      <c r="BW1731" s="2" t="s">
        <v>228</v>
      </c>
      <c r="BX1731" s="2" t="s">
        <v>337</v>
      </c>
      <c r="BY1731" s="2" t="s">
        <v>274</v>
      </c>
      <c r="BZ1731" s="2" t="s">
        <v>240</v>
      </c>
      <c r="CA1731" s="2" t="s">
        <v>8518</v>
      </c>
      <c r="CB1731" s="2" t="s">
        <v>2337</v>
      </c>
      <c r="CC1731" s="2" t="s">
        <v>241</v>
      </c>
      <c r="CD1731" s="2" t="s">
        <v>228</v>
      </c>
      <c r="CE1731" s="4">
        <v>148</v>
      </c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/>
      <c r="EZ1731" s="4"/>
      <c r="FA1731" s="4"/>
      <c r="FB1731" s="4"/>
      <c r="FC1731" s="4"/>
      <c r="FD1731" s="4"/>
      <c r="FE1731" s="4"/>
      <c r="FF1731" s="4"/>
      <c r="FG1731" s="4"/>
      <c r="FH1731" s="4"/>
      <c r="FI1731" s="4"/>
      <c r="FJ1731" s="4"/>
      <c r="FK1731" s="4"/>
      <c r="FL1731" s="4"/>
      <c r="FM1731" s="4"/>
      <c r="FN1731" s="4"/>
      <c r="FO1731" s="4"/>
      <c r="FP1731" s="4"/>
      <c r="FQ1731" s="4"/>
      <c r="FR1731" s="4"/>
      <c r="FS1731" s="4"/>
      <c r="FT1731" s="4"/>
      <c r="FU1731" s="4"/>
      <c r="FV1731" s="4"/>
      <c r="FW1731" s="4"/>
      <c r="FX1731" s="4"/>
      <c r="FY1731" s="4"/>
      <c r="FZ1731" s="4"/>
      <c r="GA1731" s="4"/>
      <c r="GB1731" s="4"/>
      <c r="GC1731" s="4"/>
      <c r="GD1731" s="4"/>
      <c r="GE1731" s="4"/>
      <c r="GF1731" s="4"/>
      <c r="GG1731" s="4"/>
      <c r="GH1731" s="4"/>
      <c r="GI1731" s="4"/>
      <c r="GJ1731" s="4"/>
      <c r="GK1731" s="4"/>
      <c r="GL1731" s="4"/>
      <c r="GM1731" s="4"/>
      <c r="GN1731" s="4"/>
      <c r="GO1731" s="4"/>
      <c r="GP1731" s="4"/>
      <c r="GQ1731" s="4"/>
      <c r="GR1731" s="4"/>
      <c r="GS1731" s="4"/>
      <c r="GT1731" s="4"/>
      <c r="GU1731" s="4"/>
      <c r="GV1731" s="4"/>
      <c r="GW1731" s="4"/>
      <c r="GX1731" s="4"/>
      <c r="GY1731" s="4"/>
      <c r="GZ1731" s="4"/>
      <c r="HA1731" s="4"/>
      <c r="HB1731" s="4"/>
      <c r="HC1731" s="4"/>
      <c r="HD1731" s="4"/>
      <c r="HE1731" s="4"/>
    </row>
    <row r="1732">
      <c r="A1732" s="2" t="s">
        <v>8540</v>
      </c>
      <c r="B1732" s="2" t="s">
        <v>848</v>
      </c>
      <c r="C1732" s="2" t="s">
        <v>849</v>
      </c>
      <c r="D1732" s="2" t="s">
        <v>850</v>
      </c>
      <c r="E1732" s="2" t="s">
        <v>1038</v>
      </c>
      <c r="F1732" s="2" t="s">
        <v>7089</v>
      </c>
      <c r="G1732" s="2" t="s">
        <v>4836</v>
      </c>
      <c r="H1732" s="2" t="s">
        <v>8513</v>
      </c>
      <c r="I1732" s="2" t="s">
        <v>8520</v>
      </c>
      <c r="J1732" s="2" t="s">
        <v>856</v>
      </c>
      <c r="K1732" s="2" t="s">
        <v>3435</v>
      </c>
      <c r="L1732" s="3">
        <v>23.8</v>
      </c>
      <c r="M1732" s="3">
        <v>24.99</v>
      </c>
      <c r="N1732" s="3">
        <v>49.99</v>
      </c>
      <c r="O1732" s="2" t="s">
        <v>240</v>
      </c>
      <c r="P1732" s="2" t="s">
        <v>333</v>
      </c>
      <c r="Q1732" s="2" t="s">
        <v>234</v>
      </c>
      <c r="R1732" s="2" t="s">
        <v>228</v>
      </c>
      <c r="S1732" s="2" t="s">
        <v>8537</v>
      </c>
      <c r="T1732" s="2" t="s">
        <v>1608</v>
      </c>
      <c r="U1732" s="2" t="s">
        <v>520</v>
      </c>
      <c r="V1732" s="2" t="s">
        <v>236</v>
      </c>
      <c r="W1732" s="2" t="s">
        <v>309</v>
      </c>
      <c r="X1732" s="2" t="s">
        <v>1229</v>
      </c>
      <c r="Y1732" s="2" t="s">
        <v>8516</v>
      </c>
      <c r="Z1732" s="4">
        <v>103</v>
      </c>
      <c r="AA1732" s="4">
        <f>=ROUNDDOWN(171.666666666667,0)</f>
      </c>
      <c r="AB1732" s="5">
        <v>0.6</v>
      </c>
      <c r="AC1732" s="2" t="s">
        <v>228</v>
      </c>
      <c r="AD1732" s="4"/>
      <c r="AE1732" s="4"/>
      <c r="AF1732" s="6">
        <v>64</v>
      </c>
      <c r="AG1732" s="6"/>
      <c r="AH1732" s="7">
        <v>1</v>
      </c>
      <c r="AI1732" s="4"/>
      <c r="AJ1732" s="4">
        <f>=ROUNDDOWN({0},0)</f>
      </c>
      <c r="AK1732" s="5"/>
      <c r="AL1732" s="2" t="s">
        <v>228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228</v>
      </c>
      <c r="AW1732" s="8" t="s">
        <v>228</v>
      </c>
      <c r="AX1732" s="4" t="s">
        <v>228</v>
      </c>
      <c r="AY1732" s="8" t="s">
        <v>228</v>
      </c>
      <c r="AZ1732" s="7" t="s">
        <v>228</v>
      </c>
      <c r="BA1732" s="7" t="s">
        <v>228</v>
      </c>
      <c r="BB1732" s="7" t="s">
        <v>228</v>
      </c>
      <c r="BC1732" s="4" t="s">
        <v>228</v>
      </c>
      <c r="BD1732" s="8" t="s">
        <v>228</v>
      </c>
      <c r="BE1732" s="4" t="s">
        <v>228</v>
      </c>
      <c r="BF1732" s="8" t="s">
        <v>228</v>
      </c>
      <c r="BG1732" s="7" t="s">
        <v>228</v>
      </c>
      <c r="BH1732" s="7" t="s">
        <v>228</v>
      </c>
      <c r="BI1732" s="7"/>
      <c r="BJ1732" s="4">
        <v>9</v>
      </c>
      <c r="BK1732" s="8">
        <v>241.19</v>
      </c>
      <c r="BL1732" s="2" t="s">
        <v>8541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8542</v>
      </c>
      <c r="BV1732" s="2" t="s">
        <v>228</v>
      </c>
      <c r="BW1732" s="2" t="s">
        <v>228</v>
      </c>
      <c r="BX1732" s="2" t="s">
        <v>337</v>
      </c>
      <c r="BY1732" s="2" t="s">
        <v>274</v>
      </c>
      <c r="BZ1732" s="2" t="s">
        <v>240</v>
      </c>
      <c r="CA1732" s="2" t="s">
        <v>8518</v>
      </c>
      <c r="CB1732" s="2" t="s">
        <v>3296</v>
      </c>
      <c r="CC1732" s="2" t="s">
        <v>241</v>
      </c>
      <c r="CD1732" s="2" t="s">
        <v>228</v>
      </c>
      <c r="CE1732" s="4">
        <v>103</v>
      </c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  <c r="ES1732" s="4"/>
      <c r="ET1732" s="4"/>
      <c r="EU1732" s="4"/>
      <c r="EV1732" s="4"/>
      <c r="EW1732" s="4"/>
      <c r="EX1732" s="4"/>
      <c r="EY1732" s="4"/>
      <c r="EZ1732" s="4"/>
      <c r="FA1732" s="4"/>
      <c r="FB1732" s="4"/>
      <c r="FC1732" s="4"/>
      <c r="FD1732" s="4"/>
      <c r="FE1732" s="4"/>
      <c r="FF1732" s="4"/>
      <c r="FG1732" s="4"/>
      <c r="FH1732" s="4"/>
      <c r="FI1732" s="4"/>
      <c r="FJ1732" s="4"/>
      <c r="FK1732" s="4"/>
      <c r="FL1732" s="4"/>
      <c r="FM1732" s="4"/>
      <c r="FN1732" s="4"/>
      <c r="FO1732" s="4"/>
      <c r="FP1732" s="4"/>
      <c r="FQ1732" s="4"/>
      <c r="FR1732" s="4"/>
      <c r="FS1732" s="4"/>
      <c r="FT1732" s="4"/>
      <c r="FU1732" s="4"/>
      <c r="FV1732" s="4"/>
      <c r="FW1732" s="4"/>
      <c r="FX1732" s="4"/>
      <c r="FY1732" s="4"/>
      <c r="FZ1732" s="4"/>
      <c r="GA1732" s="4"/>
      <c r="GB1732" s="4"/>
      <c r="GC1732" s="4"/>
      <c r="GD1732" s="4"/>
      <c r="GE1732" s="4"/>
      <c r="GF1732" s="4"/>
      <c r="GG1732" s="4"/>
      <c r="GH1732" s="4"/>
      <c r="GI1732" s="4"/>
      <c r="GJ1732" s="4"/>
      <c r="GK1732" s="4"/>
      <c r="GL1732" s="4"/>
      <c r="GM1732" s="4"/>
      <c r="GN1732" s="4"/>
      <c r="GO1732" s="4"/>
      <c r="GP1732" s="4"/>
      <c r="GQ1732" s="4"/>
      <c r="GR1732" s="4"/>
      <c r="GS1732" s="4"/>
      <c r="GT1732" s="4"/>
      <c r="GU1732" s="4"/>
      <c r="GV1732" s="4"/>
      <c r="GW1732" s="4"/>
      <c r="GX1732" s="4"/>
      <c r="GY1732" s="4"/>
      <c r="GZ1732" s="4"/>
      <c r="HA1732" s="4"/>
      <c r="HB1732" s="4"/>
      <c r="HC1732" s="4"/>
      <c r="HD1732" s="4"/>
      <c r="HE1732" s="4"/>
    </row>
    <row r="1733">
      <c r="A1733" s="2" t="s">
        <v>8543</v>
      </c>
      <c r="B1733" s="2" t="s">
        <v>1150</v>
      </c>
      <c r="C1733" s="2" t="s">
        <v>835</v>
      </c>
      <c r="D1733" s="2" t="s">
        <v>850</v>
      </c>
      <c r="E1733" s="2" t="s">
        <v>851</v>
      </c>
      <c r="F1733" s="2" t="s">
        <v>8544</v>
      </c>
      <c r="G1733" s="2" t="s">
        <v>228</v>
      </c>
      <c r="H1733" s="2" t="s">
        <v>228</v>
      </c>
      <c r="I1733" s="2" t="s">
        <v>8545</v>
      </c>
      <c r="J1733" s="2" t="s">
        <v>264</v>
      </c>
      <c r="K1733" s="2" t="s">
        <v>249</v>
      </c>
      <c r="L1733" s="3">
        <v>43.2</v>
      </c>
      <c r="M1733" s="3">
        <v>45.35</v>
      </c>
      <c r="N1733" s="3">
        <v>89.99</v>
      </c>
      <c r="O1733" s="2" t="s">
        <v>491</v>
      </c>
      <c r="P1733" s="2" t="s">
        <v>333</v>
      </c>
      <c r="Q1733" s="2" t="s">
        <v>234</v>
      </c>
      <c r="R1733" s="2" t="s">
        <v>228</v>
      </c>
      <c r="S1733" s="2" t="s">
        <v>8546</v>
      </c>
      <c r="T1733" s="2" t="s">
        <v>228</v>
      </c>
      <c r="U1733" s="2" t="s">
        <v>228</v>
      </c>
      <c r="V1733" s="2" t="s">
        <v>1438</v>
      </c>
      <c r="W1733" s="2" t="s">
        <v>269</v>
      </c>
      <c r="X1733" s="2" t="s">
        <v>8547</v>
      </c>
      <c r="Y1733" s="2" t="s">
        <v>270</v>
      </c>
      <c r="Z1733" s="4">
        <v>28</v>
      </c>
      <c r="AA1733" s="4">
        <f>=ROUNDDOWN(40,0)</f>
      </c>
      <c r="AB1733" s="5">
        <v>0.7</v>
      </c>
      <c r="AC1733" s="2" t="s">
        <v>228</v>
      </c>
      <c r="AD1733" s="4"/>
      <c r="AE1733" s="4"/>
      <c r="AF1733" s="6">
        <v>65</v>
      </c>
      <c r="AG1733" s="6"/>
      <c r="AH1733" s="7">
        <v>0.6452</v>
      </c>
      <c r="AI1733" s="4"/>
      <c r="AJ1733" s="4">
        <f>=ROUNDDOWN({0},0)</f>
      </c>
      <c r="AK1733" s="5"/>
      <c r="AL1733" s="2" t="s">
        <v>228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/>
      <c r="AW1733" s="8"/>
      <c r="AX1733" s="4"/>
      <c r="AY1733" s="8"/>
      <c r="AZ1733" s="7"/>
      <c r="BA1733" s="7"/>
      <c r="BB1733" s="7"/>
      <c r="BC1733" s="4"/>
      <c r="BD1733" s="8"/>
      <c r="BE1733" s="4"/>
      <c r="BF1733" s="8"/>
      <c r="BG1733" s="7"/>
      <c r="BH1733" s="7"/>
      <c r="BI1733" s="7"/>
      <c r="BJ1733" s="4"/>
      <c r="BK1733" s="8"/>
      <c r="BL1733" s="2" t="s">
        <v>318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8548</v>
      </c>
      <c r="BV1733" s="2" t="s">
        <v>228</v>
      </c>
      <c r="BW1733" s="2" t="s">
        <v>228</v>
      </c>
      <c r="BX1733" s="2" t="s">
        <v>337</v>
      </c>
      <c r="BY1733" s="2" t="s">
        <v>274</v>
      </c>
      <c r="BZ1733" s="2" t="s">
        <v>240</v>
      </c>
      <c r="CA1733" s="2" t="s">
        <v>275</v>
      </c>
      <c r="CB1733" s="2" t="s">
        <v>5137</v>
      </c>
      <c r="CC1733" s="2" t="s">
        <v>241</v>
      </c>
      <c r="CD1733" s="2" t="s">
        <v>228</v>
      </c>
      <c r="CE1733" s="4">
        <v>28</v>
      </c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/>
      <c r="EV1733" s="4"/>
      <c r="EW1733" s="4"/>
      <c r="EX1733" s="4"/>
      <c r="EY1733" s="4"/>
      <c r="EZ1733" s="4"/>
      <c r="FA1733" s="4"/>
      <c r="FB1733" s="4"/>
      <c r="FC1733" s="4"/>
      <c r="FD1733" s="4"/>
      <c r="FE1733" s="4"/>
      <c r="FF1733" s="4"/>
      <c r="FG1733" s="4"/>
      <c r="FH1733" s="4"/>
      <c r="FI1733" s="4"/>
      <c r="FJ1733" s="4"/>
      <c r="FK1733" s="4"/>
      <c r="FL1733" s="4"/>
      <c r="FM1733" s="4"/>
      <c r="FN1733" s="4"/>
      <c r="FO1733" s="4"/>
      <c r="FP1733" s="4"/>
      <c r="FQ1733" s="4"/>
      <c r="FR1733" s="4"/>
      <c r="FS1733" s="4"/>
      <c r="FT1733" s="4"/>
      <c r="FU1733" s="4"/>
      <c r="FV1733" s="4"/>
      <c r="FW1733" s="4"/>
      <c r="FX1733" s="4"/>
      <c r="FY1733" s="4"/>
      <c r="FZ1733" s="4"/>
      <c r="GA1733" s="4"/>
      <c r="GB1733" s="4"/>
      <c r="GC1733" s="4"/>
      <c r="GD1733" s="4"/>
      <c r="GE1733" s="4"/>
      <c r="GF1733" s="4"/>
      <c r="GG1733" s="4"/>
      <c r="GH1733" s="4"/>
      <c r="GI1733" s="4"/>
      <c r="GJ1733" s="4"/>
      <c r="GK1733" s="4"/>
      <c r="GL1733" s="4"/>
      <c r="GM1733" s="4"/>
      <c r="GN1733" s="4"/>
      <c r="GO1733" s="4"/>
      <c r="GP1733" s="4"/>
      <c r="GQ1733" s="4"/>
      <c r="GR1733" s="4"/>
      <c r="GS1733" s="4"/>
      <c r="GT1733" s="4"/>
      <c r="GU1733" s="4"/>
      <c r="GV1733" s="4"/>
      <c r="GW1733" s="4"/>
      <c r="GX1733" s="4"/>
      <c r="GY1733" s="4"/>
      <c r="GZ1733" s="4"/>
      <c r="HA1733" s="4"/>
      <c r="HB1733" s="4"/>
      <c r="HC1733" s="4"/>
      <c r="HD1733" s="4"/>
      <c r="HE1733" s="4"/>
    </row>
    <row r="1734">
      <c r="A1734" s="2" t="s">
        <v>8549</v>
      </c>
      <c r="B1734" s="2" t="s">
        <v>1150</v>
      </c>
      <c r="C1734" s="2" t="s">
        <v>835</v>
      </c>
      <c r="D1734" s="2" t="s">
        <v>1112</v>
      </c>
      <c r="E1734" s="2" t="s">
        <v>1113</v>
      </c>
      <c r="F1734" s="2" t="s">
        <v>8550</v>
      </c>
      <c r="G1734" s="2" t="s">
        <v>8550</v>
      </c>
      <c r="H1734" s="2" t="s">
        <v>8550</v>
      </c>
      <c r="I1734" s="2" t="s">
        <v>8551</v>
      </c>
      <c r="J1734" s="2" t="s">
        <v>1189</v>
      </c>
      <c r="K1734" s="2" t="s">
        <v>3005</v>
      </c>
      <c r="L1734" s="3">
        <v>51.84</v>
      </c>
      <c r="M1734" s="3">
        <v>54.43</v>
      </c>
      <c r="N1734" s="3">
        <v>104.99</v>
      </c>
      <c r="O1734" s="2" t="s">
        <v>240</v>
      </c>
      <c r="P1734" s="2" t="s">
        <v>715</v>
      </c>
      <c r="Q1734" s="2" t="s">
        <v>234</v>
      </c>
      <c r="R1734" s="2" t="s">
        <v>228</v>
      </c>
      <c r="S1734" s="2" t="s">
        <v>8552</v>
      </c>
      <c r="T1734" s="2" t="s">
        <v>350</v>
      </c>
      <c r="U1734" s="2" t="s">
        <v>500</v>
      </c>
      <c r="V1734" s="2" t="s">
        <v>5214</v>
      </c>
      <c r="W1734" s="2" t="s">
        <v>417</v>
      </c>
      <c r="X1734" s="2" t="s">
        <v>5214</v>
      </c>
      <c r="Y1734" s="2" t="s">
        <v>8553</v>
      </c>
      <c r="Z1734" s="4">
        <v>52</v>
      </c>
      <c r="AA1734" s="4">
        <f>=ROUNDDOWN(5.77777777777778,0)</f>
      </c>
      <c r="AB1734" s="5">
        <v>9</v>
      </c>
      <c r="AC1734" s="2" t="s">
        <v>1415</v>
      </c>
      <c r="AD1734" s="4">
        <v>100</v>
      </c>
      <c r="AE1734" s="4">
        <v>490</v>
      </c>
      <c r="AF1734" s="6">
        <v>66</v>
      </c>
      <c r="AG1734" s="6"/>
      <c r="AH1734" s="7">
        <v>1</v>
      </c>
      <c r="AI1734" s="4"/>
      <c r="AJ1734" s="4">
        <f>=ROUNDDOWN({0},0)</f>
      </c>
      <c r="AK1734" s="5"/>
      <c r="AL1734" s="2" t="s">
        <v>228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/>
      <c r="AW1734" s="8"/>
      <c r="AX1734" s="4"/>
      <c r="AY1734" s="8"/>
      <c r="AZ1734" s="7"/>
      <c r="BA1734" s="7"/>
      <c r="BB1734" s="7"/>
      <c r="BC1734" s="4"/>
      <c r="BD1734" s="8"/>
      <c r="BE1734" s="4"/>
      <c r="BF1734" s="8"/>
      <c r="BG1734" s="7"/>
      <c r="BH1734" s="7"/>
      <c r="BI1734" s="7"/>
      <c r="BJ1734" s="4">
        <v>39</v>
      </c>
      <c r="BK1734" s="8">
        <v>2357.87</v>
      </c>
      <c r="BL1734" s="2" t="s">
        <v>8554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8555</v>
      </c>
      <c r="BV1734" s="2" t="s">
        <v>228</v>
      </c>
      <c r="BW1734" s="2" t="s">
        <v>228</v>
      </c>
      <c r="BX1734" s="2" t="s">
        <v>273</v>
      </c>
      <c r="BY1734" s="2" t="s">
        <v>274</v>
      </c>
      <c r="BZ1734" s="2" t="s">
        <v>240</v>
      </c>
      <c r="CA1734" s="2" t="s">
        <v>8553</v>
      </c>
      <c r="CB1734" s="2" t="s">
        <v>7106</v>
      </c>
      <c r="CC1734" s="2" t="s">
        <v>241</v>
      </c>
      <c r="CD1734" s="2" t="s">
        <v>228</v>
      </c>
      <c r="CE1734" s="4">
        <v>52</v>
      </c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>
        <v>100</v>
      </c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  <c r="ES1734" s="4"/>
      <c r="ET1734" s="4"/>
      <c r="EU1734" s="4"/>
      <c r="EV1734" s="4"/>
      <c r="EW1734" s="4"/>
      <c r="EX1734" s="4"/>
      <c r="EY1734" s="4"/>
      <c r="EZ1734" s="4"/>
      <c r="FA1734" s="4"/>
      <c r="FB1734" s="4">
        <v>60</v>
      </c>
      <c r="FC1734" s="4"/>
      <c r="FD1734" s="4">
        <v>330</v>
      </c>
      <c r="FE1734" s="4"/>
      <c r="FF1734" s="4"/>
      <c r="FG1734" s="4"/>
      <c r="FH1734" s="4"/>
      <c r="FI1734" s="4"/>
      <c r="FJ1734" s="4"/>
      <c r="FK1734" s="4"/>
      <c r="FL1734" s="4"/>
      <c r="FM1734" s="4"/>
      <c r="FN1734" s="4"/>
      <c r="FO1734" s="4"/>
      <c r="FP1734" s="4"/>
      <c r="FQ1734" s="4"/>
      <c r="FR1734" s="4"/>
      <c r="FS1734" s="4"/>
      <c r="FT1734" s="4"/>
      <c r="FU1734" s="4"/>
      <c r="FV1734" s="4"/>
      <c r="FW1734" s="4"/>
      <c r="FX1734" s="4"/>
      <c r="FY1734" s="4"/>
      <c r="FZ1734" s="4"/>
      <c r="GA1734" s="4"/>
      <c r="GB1734" s="4"/>
      <c r="GC1734" s="4"/>
      <c r="GD1734" s="4"/>
      <c r="GE1734" s="4"/>
      <c r="GF1734" s="4"/>
      <c r="GG1734" s="4"/>
      <c r="GH1734" s="4"/>
      <c r="GI1734" s="4"/>
      <c r="GJ1734" s="4"/>
      <c r="GK1734" s="4"/>
      <c r="GL1734" s="4"/>
      <c r="GM1734" s="4"/>
      <c r="GN1734" s="4"/>
      <c r="GO1734" s="4"/>
      <c r="GP1734" s="4"/>
      <c r="GQ1734" s="4"/>
      <c r="GR1734" s="4"/>
      <c r="GS1734" s="4"/>
      <c r="GT1734" s="4"/>
      <c r="GU1734" s="4"/>
      <c r="GV1734" s="4"/>
      <c r="GW1734" s="4"/>
      <c r="GX1734" s="4"/>
      <c r="GY1734" s="4"/>
      <c r="GZ1734" s="4"/>
      <c r="HA1734" s="4"/>
      <c r="HB1734" s="4"/>
      <c r="HC1734" s="4"/>
      <c r="HD1734" s="4"/>
      <c r="HE1734" s="4"/>
    </row>
    <row r="1735">
      <c r="A1735" s="2" t="s">
        <v>8556</v>
      </c>
      <c r="B1735" s="2" t="s">
        <v>1150</v>
      </c>
      <c r="C1735" s="2" t="s">
        <v>300</v>
      </c>
      <c r="D1735" s="2" t="s">
        <v>850</v>
      </c>
      <c r="E1735" s="2" t="s">
        <v>1038</v>
      </c>
      <c r="F1735" s="2" t="s">
        <v>8557</v>
      </c>
      <c r="G1735" s="2" t="s">
        <v>8558</v>
      </c>
      <c r="H1735" s="2" t="s">
        <v>1759</v>
      </c>
      <c r="I1735" s="2" t="s">
        <v>8559</v>
      </c>
      <c r="J1735" s="2" t="s">
        <v>1189</v>
      </c>
      <c r="K1735" s="2" t="s">
        <v>725</v>
      </c>
      <c r="L1735" s="3">
        <v>27.42</v>
      </c>
      <c r="M1735" s="3">
        <v>28.79</v>
      </c>
      <c r="N1735" s="3">
        <v>59.99</v>
      </c>
      <c r="O1735" s="2" t="s">
        <v>240</v>
      </c>
      <c r="P1735" s="2" t="s">
        <v>233</v>
      </c>
      <c r="Q1735" s="2" t="s">
        <v>234</v>
      </c>
      <c r="R1735" s="2" t="s">
        <v>228</v>
      </c>
      <c r="S1735" s="2" t="s">
        <v>8560</v>
      </c>
      <c r="T1735" s="2" t="s">
        <v>350</v>
      </c>
      <c r="U1735" s="2" t="s">
        <v>500</v>
      </c>
      <c r="V1735" s="2" t="s">
        <v>1156</v>
      </c>
      <c r="W1735" s="2" t="s">
        <v>2512</v>
      </c>
      <c r="X1735" s="2" t="s">
        <v>417</v>
      </c>
      <c r="Y1735" s="2" t="s">
        <v>5988</v>
      </c>
      <c r="Z1735" s="4">
        <v>150</v>
      </c>
      <c r="AA1735" s="4">
        <f>=ROUNDDOWN(75,0)</f>
      </c>
      <c r="AB1735" s="5">
        <v>2</v>
      </c>
      <c r="AC1735" s="2" t="s">
        <v>228</v>
      </c>
      <c r="AD1735" s="4"/>
      <c r="AE1735" s="4"/>
      <c r="AF1735" s="6">
        <v>65</v>
      </c>
      <c r="AG1735" s="6"/>
      <c r="AH1735" s="7">
        <v>1</v>
      </c>
      <c r="AI1735" s="4"/>
      <c r="AJ1735" s="4">
        <f>=ROUNDDOWN({0},0)</f>
      </c>
      <c r="AK1735" s="5"/>
      <c r="AL1735" s="2" t="s">
        <v>228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/>
      <c r="AW1735" s="8"/>
      <c r="AX1735" s="4"/>
      <c r="AY1735" s="8"/>
      <c r="AZ1735" s="7"/>
      <c r="BA1735" s="7"/>
      <c r="BB1735" s="7"/>
      <c r="BC1735" s="4"/>
      <c r="BD1735" s="8"/>
      <c r="BE1735" s="4"/>
      <c r="BF1735" s="8"/>
      <c r="BG1735" s="7"/>
      <c r="BH1735" s="7"/>
      <c r="BI1735" s="7"/>
      <c r="BJ1735" s="4">
        <v>4</v>
      </c>
      <c r="BK1735" s="8">
        <v>124.36</v>
      </c>
      <c r="BL1735" s="2" t="s">
        <v>484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8561</v>
      </c>
      <c r="BV1735" s="2" t="s">
        <v>228</v>
      </c>
      <c r="BW1735" s="2" t="s">
        <v>228</v>
      </c>
      <c r="BX1735" s="2" t="s">
        <v>273</v>
      </c>
      <c r="BY1735" s="2" t="s">
        <v>274</v>
      </c>
      <c r="BZ1735" s="2" t="s">
        <v>240</v>
      </c>
      <c r="CA1735" s="2" t="s">
        <v>5801</v>
      </c>
      <c r="CB1735" s="2" t="s">
        <v>1720</v>
      </c>
      <c r="CC1735" s="2" t="s">
        <v>241</v>
      </c>
      <c r="CD1735" s="2" t="s">
        <v>228</v>
      </c>
      <c r="CE1735" s="4">
        <v>150</v>
      </c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/>
      <c r="EV1735" s="4"/>
      <c r="EW1735" s="4"/>
      <c r="EX1735" s="4"/>
      <c r="EY1735" s="4"/>
      <c r="EZ1735" s="4"/>
      <c r="FA1735" s="4"/>
      <c r="FB1735" s="4"/>
      <c r="FC1735" s="4"/>
      <c r="FD1735" s="4"/>
      <c r="FE1735" s="4"/>
      <c r="FF1735" s="4"/>
      <c r="FG1735" s="4"/>
      <c r="FH1735" s="4"/>
      <c r="FI1735" s="4"/>
      <c r="FJ1735" s="4"/>
      <c r="FK1735" s="4"/>
      <c r="FL1735" s="4"/>
      <c r="FM1735" s="4"/>
      <c r="FN1735" s="4"/>
      <c r="FO1735" s="4"/>
      <c r="FP1735" s="4"/>
      <c r="FQ1735" s="4"/>
      <c r="FR1735" s="4"/>
      <c r="FS1735" s="4"/>
      <c r="FT1735" s="4"/>
      <c r="FU1735" s="4"/>
      <c r="FV1735" s="4"/>
      <c r="FW1735" s="4"/>
      <c r="FX1735" s="4"/>
      <c r="FY1735" s="4"/>
      <c r="FZ1735" s="4"/>
      <c r="GA1735" s="4"/>
      <c r="GB1735" s="4"/>
      <c r="GC1735" s="4"/>
      <c r="GD1735" s="4"/>
      <c r="GE1735" s="4"/>
      <c r="GF1735" s="4"/>
      <c r="GG1735" s="4"/>
      <c r="GH1735" s="4"/>
      <c r="GI1735" s="4"/>
      <c r="GJ1735" s="4"/>
      <c r="GK1735" s="4"/>
      <c r="GL1735" s="4"/>
      <c r="GM1735" s="4"/>
      <c r="GN1735" s="4"/>
      <c r="GO1735" s="4"/>
      <c r="GP1735" s="4"/>
      <c r="GQ1735" s="4"/>
      <c r="GR1735" s="4"/>
      <c r="GS1735" s="4"/>
      <c r="GT1735" s="4"/>
      <c r="GU1735" s="4"/>
      <c r="GV1735" s="4"/>
      <c r="GW1735" s="4"/>
      <c r="GX1735" s="4"/>
      <c r="GY1735" s="4"/>
      <c r="GZ1735" s="4"/>
      <c r="HA1735" s="4"/>
      <c r="HB1735" s="4"/>
      <c r="HC1735" s="4"/>
      <c r="HD1735" s="4"/>
      <c r="HE1735" s="4"/>
    </row>
    <row r="1736">
      <c r="A1736" s="2" t="s">
        <v>8562</v>
      </c>
      <c r="B1736" s="2" t="s">
        <v>834</v>
      </c>
      <c r="C1736" s="2" t="s">
        <v>1743</v>
      </c>
      <c r="D1736" s="2" t="s">
        <v>1101</v>
      </c>
      <c r="E1736" s="2" t="s">
        <v>1102</v>
      </c>
      <c r="F1736" s="2" t="s">
        <v>8563</v>
      </c>
      <c r="G1736" s="2" t="s">
        <v>8563</v>
      </c>
      <c r="H1736" s="2" t="s">
        <v>8563</v>
      </c>
      <c r="I1736" s="2" t="s">
        <v>7576</v>
      </c>
      <c r="J1736" s="2" t="s">
        <v>840</v>
      </c>
      <c r="K1736" s="2" t="s">
        <v>265</v>
      </c>
      <c r="L1736" s="3">
        <v>34</v>
      </c>
      <c r="M1736" s="3">
        <v>35.7</v>
      </c>
      <c r="N1736" s="3">
        <v>69.99</v>
      </c>
      <c r="O1736" s="2" t="s">
        <v>240</v>
      </c>
      <c r="P1736" s="2" t="s">
        <v>233</v>
      </c>
      <c r="Q1736" s="2" t="s">
        <v>234</v>
      </c>
      <c r="R1736" s="2" t="s">
        <v>228</v>
      </c>
      <c r="S1736" s="2" t="s">
        <v>228</v>
      </c>
      <c r="T1736" s="2" t="s">
        <v>228</v>
      </c>
      <c r="U1736" s="2" t="s">
        <v>416</v>
      </c>
      <c r="V1736" s="2" t="s">
        <v>842</v>
      </c>
      <c r="W1736" s="2" t="s">
        <v>463</v>
      </c>
      <c r="X1736" s="2" t="s">
        <v>269</v>
      </c>
      <c r="Y1736" s="2" t="s">
        <v>3125</v>
      </c>
      <c r="Z1736" s="4">
        <v>94</v>
      </c>
      <c r="AA1736" s="4">
        <f>=ROUNDDOWN(42.7272727272727,0)</f>
      </c>
      <c r="AB1736" s="5">
        <v>2.2</v>
      </c>
      <c r="AC1736" s="2" t="s">
        <v>228</v>
      </c>
      <c r="AD1736" s="4"/>
      <c r="AE1736" s="4"/>
      <c r="AF1736" s="6">
        <v>65</v>
      </c>
      <c r="AG1736" s="6"/>
      <c r="AH1736" s="7">
        <v>1</v>
      </c>
      <c r="AI1736" s="4"/>
      <c r="AJ1736" s="4">
        <f>=ROUNDDOWN({0},0)</f>
      </c>
      <c r="AK1736" s="5"/>
      <c r="AL1736" s="2" t="s">
        <v>228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/>
      <c r="AW1736" s="8"/>
      <c r="AX1736" s="4"/>
      <c r="AY1736" s="8"/>
      <c r="AZ1736" s="7"/>
      <c r="BA1736" s="7"/>
      <c r="BB1736" s="7"/>
      <c r="BC1736" s="4"/>
      <c r="BD1736" s="8"/>
      <c r="BE1736" s="4"/>
      <c r="BF1736" s="8"/>
      <c r="BG1736" s="7"/>
      <c r="BH1736" s="7"/>
      <c r="BI1736" s="7"/>
      <c r="BJ1736" s="4">
        <v>2</v>
      </c>
      <c r="BK1736" s="8">
        <v>64.26</v>
      </c>
      <c r="BL1736" s="2" t="s">
        <v>1933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8564</v>
      </c>
      <c r="BV1736" s="2" t="s">
        <v>228</v>
      </c>
      <c r="BW1736" s="2" t="s">
        <v>228</v>
      </c>
      <c r="BX1736" s="2" t="s">
        <v>273</v>
      </c>
      <c r="BY1736" s="2" t="s">
        <v>274</v>
      </c>
      <c r="BZ1736" s="2" t="s">
        <v>240</v>
      </c>
      <c r="CA1736" s="2" t="s">
        <v>1109</v>
      </c>
      <c r="CB1736" s="2" t="s">
        <v>228</v>
      </c>
      <c r="CC1736" s="2" t="s">
        <v>241</v>
      </c>
      <c r="CD1736" s="2" t="s">
        <v>228</v>
      </c>
      <c r="CE1736" s="4"/>
      <c r="CF1736" s="4">
        <v>94</v>
      </c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  <c r="ES1736" s="4"/>
      <c r="ET1736" s="4"/>
      <c r="EU1736" s="4"/>
      <c r="EV1736" s="4"/>
      <c r="EW1736" s="4"/>
      <c r="EX1736" s="4"/>
      <c r="EY1736" s="4"/>
      <c r="EZ1736" s="4"/>
      <c r="FA1736" s="4"/>
      <c r="FB1736" s="4"/>
      <c r="FC1736" s="4"/>
      <c r="FD1736" s="4"/>
      <c r="FE1736" s="4"/>
      <c r="FF1736" s="4"/>
      <c r="FG1736" s="4"/>
      <c r="FH1736" s="4"/>
      <c r="FI1736" s="4"/>
      <c r="FJ1736" s="4"/>
      <c r="FK1736" s="4"/>
      <c r="FL1736" s="4"/>
      <c r="FM1736" s="4"/>
      <c r="FN1736" s="4"/>
      <c r="FO1736" s="4"/>
      <c r="FP1736" s="4"/>
      <c r="FQ1736" s="4"/>
      <c r="FR1736" s="4"/>
      <c r="FS1736" s="4"/>
      <c r="FT1736" s="4"/>
      <c r="FU1736" s="4"/>
      <c r="FV1736" s="4"/>
      <c r="FW1736" s="4"/>
      <c r="FX1736" s="4"/>
      <c r="FY1736" s="4"/>
      <c r="FZ1736" s="4"/>
      <c r="GA1736" s="4"/>
      <c r="GB1736" s="4"/>
      <c r="GC1736" s="4"/>
      <c r="GD1736" s="4"/>
      <c r="GE1736" s="4"/>
      <c r="GF1736" s="4"/>
      <c r="GG1736" s="4"/>
      <c r="GH1736" s="4"/>
      <c r="GI1736" s="4"/>
      <c r="GJ1736" s="4"/>
      <c r="GK1736" s="4"/>
      <c r="GL1736" s="4"/>
      <c r="GM1736" s="4"/>
      <c r="GN1736" s="4"/>
      <c r="GO1736" s="4"/>
      <c r="GP1736" s="4"/>
      <c r="GQ1736" s="4"/>
      <c r="GR1736" s="4"/>
      <c r="GS1736" s="4"/>
      <c r="GT1736" s="4"/>
      <c r="GU1736" s="4"/>
      <c r="GV1736" s="4"/>
      <c r="GW1736" s="4"/>
      <c r="GX1736" s="4"/>
      <c r="GY1736" s="4"/>
      <c r="GZ1736" s="4"/>
      <c r="HA1736" s="4"/>
      <c r="HB1736" s="4"/>
      <c r="HC1736" s="4"/>
      <c r="HD1736" s="4"/>
      <c r="HE1736" s="4"/>
    </row>
    <row r="1737">
      <c r="A1737" s="2" t="s">
        <v>8565</v>
      </c>
      <c r="B1737" s="2" t="s">
        <v>866</v>
      </c>
      <c r="C1737" s="2" t="s">
        <v>835</v>
      </c>
      <c r="D1737" s="2" t="s">
        <v>899</v>
      </c>
      <c r="E1737" s="2" t="s">
        <v>877</v>
      </c>
      <c r="F1737" s="2" t="s">
        <v>8566</v>
      </c>
      <c r="G1737" s="2" t="s">
        <v>8566</v>
      </c>
      <c r="H1737" s="2" t="s">
        <v>8566</v>
      </c>
      <c r="I1737" s="2" t="s">
        <v>8567</v>
      </c>
      <c r="J1737" s="2" t="s">
        <v>840</v>
      </c>
      <c r="K1737" s="2" t="s">
        <v>305</v>
      </c>
      <c r="L1737" s="3">
        <v>47.61</v>
      </c>
      <c r="M1737" s="3">
        <v>49.99</v>
      </c>
      <c r="N1737" s="3">
        <v>99.99</v>
      </c>
      <c r="O1737" s="2" t="s">
        <v>240</v>
      </c>
      <c r="P1737" s="2" t="s">
        <v>1012</v>
      </c>
      <c r="Q1737" s="2" t="s">
        <v>234</v>
      </c>
      <c r="R1737" s="2" t="s">
        <v>228</v>
      </c>
      <c r="S1737" s="2" t="s">
        <v>228</v>
      </c>
      <c r="T1737" s="2" t="s">
        <v>228</v>
      </c>
      <c r="U1737" s="2" t="s">
        <v>520</v>
      </c>
      <c r="V1737" s="2" t="s">
        <v>5476</v>
      </c>
      <c r="W1737" s="2" t="s">
        <v>417</v>
      </c>
      <c r="X1737" s="2" t="s">
        <v>843</v>
      </c>
      <c r="Y1737" s="2" t="s">
        <v>5478</v>
      </c>
      <c r="Z1737" s="4">
        <v>57</v>
      </c>
      <c r="AA1737" s="4">
        <f>=ROUNDDOWN(57,0)</f>
      </c>
      <c r="AB1737" s="5">
        <v>1</v>
      </c>
      <c r="AC1737" s="2" t="s">
        <v>228</v>
      </c>
      <c r="AD1737" s="4"/>
      <c r="AE1737" s="4"/>
      <c r="AF1737" s="6">
        <v>63</v>
      </c>
      <c r="AG1737" s="6"/>
      <c r="AH1737" s="7">
        <v>1</v>
      </c>
      <c r="AI1737" s="4"/>
      <c r="AJ1737" s="4">
        <f>=ROUNDDOWN({0},0)</f>
      </c>
      <c r="AK1737" s="5"/>
      <c r="AL1737" s="2" t="s">
        <v>228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/>
      <c r="AW1737" s="8"/>
      <c r="AX1737" s="4"/>
      <c r="AY1737" s="8"/>
      <c r="AZ1737" s="7"/>
      <c r="BA1737" s="7"/>
      <c r="BB1737" s="7"/>
      <c r="BC1737" s="4"/>
      <c r="BD1737" s="8"/>
      <c r="BE1737" s="4"/>
      <c r="BF1737" s="8"/>
      <c r="BG1737" s="7"/>
      <c r="BH1737" s="7"/>
      <c r="BI1737" s="7"/>
      <c r="BJ1737" s="4">
        <v>3</v>
      </c>
      <c r="BK1737" s="8">
        <v>161.46</v>
      </c>
      <c r="BL1737" s="2" t="s">
        <v>807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8568</v>
      </c>
      <c r="BV1737" s="2" t="s">
        <v>228</v>
      </c>
      <c r="BW1737" s="2" t="s">
        <v>228</v>
      </c>
      <c r="BX1737" s="2" t="s">
        <v>273</v>
      </c>
      <c r="BY1737" s="2" t="s">
        <v>274</v>
      </c>
      <c r="BZ1737" s="2" t="s">
        <v>240</v>
      </c>
      <c r="CA1737" s="2" t="s">
        <v>379</v>
      </c>
      <c r="CB1737" s="2" t="s">
        <v>228</v>
      </c>
      <c r="CC1737" s="2" t="s">
        <v>241</v>
      </c>
      <c r="CD1737" s="2" t="s">
        <v>228</v>
      </c>
      <c r="CE1737" s="4"/>
      <c r="CF1737" s="4">
        <v>57</v>
      </c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/>
      <c r="EV1737" s="4"/>
      <c r="EW1737" s="4"/>
      <c r="EX1737" s="4"/>
      <c r="EY1737" s="4"/>
      <c r="EZ1737" s="4"/>
      <c r="FA1737" s="4"/>
      <c r="FB1737" s="4"/>
      <c r="FC1737" s="4"/>
      <c r="FD1737" s="4"/>
      <c r="FE1737" s="4"/>
      <c r="FF1737" s="4"/>
      <c r="FG1737" s="4"/>
      <c r="FH1737" s="4"/>
      <c r="FI1737" s="4"/>
      <c r="FJ1737" s="4"/>
      <c r="FK1737" s="4"/>
      <c r="FL1737" s="4"/>
      <c r="FM1737" s="4"/>
      <c r="FN1737" s="4"/>
      <c r="FO1737" s="4"/>
      <c r="FP1737" s="4"/>
      <c r="FQ1737" s="4"/>
      <c r="FR1737" s="4"/>
      <c r="FS1737" s="4"/>
      <c r="FT1737" s="4"/>
      <c r="FU1737" s="4"/>
      <c r="FV1737" s="4"/>
      <c r="FW1737" s="4"/>
      <c r="FX1737" s="4"/>
      <c r="FY1737" s="4"/>
      <c r="FZ1737" s="4"/>
      <c r="GA1737" s="4"/>
      <c r="GB1737" s="4"/>
      <c r="GC1737" s="4"/>
      <c r="GD1737" s="4"/>
      <c r="GE1737" s="4"/>
      <c r="GF1737" s="4"/>
      <c r="GG1737" s="4"/>
      <c r="GH1737" s="4"/>
      <c r="GI1737" s="4"/>
      <c r="GJ1737" s="4"/>
      <c r="GK1737" s="4"/>
      <c r="GL1737" s="4"/>
      <c r="GM1737" s="4"/>
      <c r="GN1737" s="4"/>
      <c r="GO1737" s="4"/>
      <c r="GP1737" s="4"/>
      <c r="GQ1737" s="4"/>
      <c r="GR1737" s="4"/>
      <c r="GS1737" s="4"/>
      <c r="GT1737" s="4"/>
      <c r="GU1737" s="4"/>
      <c r="GV1737" s="4"/>
      <c r="GW1737" s="4"/>
      <c r="GX1737" s="4"/>
      <c r="GY1737" s="4"/>
      <c r="GZ1737" s="4"/>
      <c r="HA1737" s="4"/>
      <c r="HB1737" s="4"/>
      <c r="HC1737" s="4"/>
      <c r="HD1737" s="4"/>
      <c r="HE1737" s="4"/>
    </row>
    <row r="1738">
      <c r="A1738" s="2" t="s">
        <v>8569</v>
      </c>
      <c r="B1738" s="2" t="s">
        <v>958</v>
      </c>
      <c r="C1738" s="2" t="s">
        <v>835</v>
      </c>
      <c r="D1738" s="2" t="s">
        <v>959</v>
      </c>
      <c r="E1738" s="2" t="s">
        <v>960</v>
      </c>
      <c r="F1738" s="2" t="s">
        <v>8570</v>
      </c>
      <c r="G1738" s="2" t="s">
        <v>8570</v>
      </c>
      <c r="H1738" s="2" t="s">
        <v>8570</v>
      </c>
      <c r="I1738" s="2" t="s">
        <v>8571</v>
      </c>
      <c r="J1738" s="2" t="s">
        <v>840</v>
      </c>
      <c r="K1738" s="2" t="s">
        <v>2480</v>
      </c>
      <c r="L1738" s="3">
        <v>353.78</v>
      </c>
      <c r="M1738" s="3">
        <v>371.47</v>
      </c>
      <c r="N1738" s="3">
        <v>739</v>
      </c>
      <c r="O1738" s="2" t="s">
        <v>240</v>
      </c>
      <c r="P1738" s="2" t="s">
        <v>1022</v>
      </c>
      <c r="Q1738" s="2" t="s">
        <v>234</v>
      </c>
      <c r="R1738" s="2" t="s">
        <v>228</v>
      </c>
      <c r="S1738" s="2" t="s">
        <v>228</v>
      </c>
      <c r="T1738" s="2" t="s">
        <v>228</v>
      </c>
      <c r="U1738" s="2" t="s">
        <v>520</v>
      </c>
      <c r="V1738" s="2" t="s">
        <v>236</v>
      </c>
      <c r="W1738" s="2" t="s">
        <v>843</v>
      </c>
      <c r="X1738" s="2" t="s">
        <v>228</v>
      </c>
      <c r="Y1738" s="2" t="s">
        <v>8572</v>
      </c>
      <c r="Z1738" s="4">
        <v>131</v>
      </c>
      <c r="AA1738" s="4">
        <f>=ROUNDDOWN({0},0)</f>
      </c>
      <c r="AB1738" s="5"/>
      <c r="AC1738" s="2" t="s">
        <v>173</v>
      </c>
      <c r="AD1738" s="4">
        <v>50</v>
      </c>
      <c r="AE1738" s="4">
        <v>100</v>
      </c>
      <c r="AF1738" s="6"/>
      <c r="AG1738" s="6"/>
      <c r="AH1738" s="7">
        <v>1</v>
      </c>
      <c r="AI1738" s="4"/>
      <c r="AJ1738" s="4">
        <f>=ROUNDDOWN({0},0)</f>
      </c>
      <c r="AK1738" s="5"/>
      <c r="AL1738" s="2" t="s">
        <v>228</v>
      </c>
      <c r="AM1738" s="4"/>
      <c r="AN1738" s="4"/>
      <c r="AO1738" s="7">
        <v>0.5484</v>
      </c>
      <c r="AP1738" s="4"/>
      <c r="AQ1738" s="8"/>
      <c r="AR1738" s="4"/>
      <c r="AS1738" s="8"/>
      <c r="AT1738" s="7"/>
      <c r="AU1738" s="7"/>
      <c r="AV1738" s="4"/>
      <c r="AW1738" s="8"/>
      <c r="AX1738" s="4"/>
      <c r="AY1738" s="8"/>
      <c r="AZ1738" s="7"/>
      <c r="BA1738" s="7"/>
      <c r="BB1738" s="7"/>
      <c r="BC1738" s="4" t="s">
        <v>228</v>
      </c>
      <c r="BD1738" s="8" t="s">
        <v>228</v>
      </c>
      <c r="BE1738" s="4" t="s">
        <v>228</v>
      </c>
      <c r="BF1738" s="8" t="s">
        <v>228</v>
      </c>
      <c r="BG1738" s="7" t="s">
        <v>228</v>
      </c>
      <c r="BH1738" s="7" t="s">
        <v>228</v>
      </c>
      <c r="BI1738" s="7"/>
      <c r="BJ1738" s="4"/>
      <c r="BK1738" s="8"/>
      <c r="BL1738" s="2" t="s">
        <v>228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8573</v>
      </c>
      <c r="BV1738" s="2" t="s">
        <v>228</v>
      </c>
      <c r="BW1738" s="2" t="s">
        <v>228</v>
      </c>
      <c r="BX1738" s="2" t="s">
        <v>2125</v>
      </c>
      <c r="BY1738" s="2" t="s">
        <v>274</v>
      </c>
      <c r="BZ1738" s="2" t="s">
        <v>240</v>
      </c>
      <c r="CA1738" s="2" t="s">
        <v>6991</v>
      </c>
      <c r="CB1738" s="2" t="s">
        <v>228</v>
      </c>
      <c r="CC1738" s="2" t="s">
        <v>241</v>
      </c>
      <c r="CD1738" s="2" t="s">
        <v>228</v>
      </c>
      <c r="CE1738" s="4"/>
      <c r="CF1738" s="4">
        <v>130</v>
      </c>
      <c r="CG1738" s="4"/>
      <c r="CH1738" s="4">
        <v>1</v>
      </c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  <c r="ES1738" s="4"/>
      <c r="ET1738" s="4"/>
      <c r="EU1738" s="4"/>
      <c r="EV1738" s="4"/>
      <c r="EW1738" s="4"/>
      <c r="EX1738" s="4"/>
      <c r="EY1738" s="4"/>
      <c r="EZ1738" s="4"/>
      <c r="FA1738" s="4"/>
      <c r="FB1738" s="4"/>
      <c r="FC1738" s="4"/>
      <c r="FD1738" s="4"/>
      <c r="FE1738" s="4"/>
      <c r="FF1738" s="4"/>
      <c r="FG1738" s="4"/>
      <c r="FH1738" s="4"/>
      <c r="FI1738" s="4">
        <v>50</v>
      </c>
      <c r="FJ1738" s="4"/>
      <c r="FK1738" s="4"/>
      <c r="FL1738" s="4"/>
      <c r="FM1738" s="4"/>
      <c r="FN1738" s="4"/>
      <c r="FO1738" s="4"/>
      <c r="FP1738" s="4"/>
      <c r="FQ1738" s="4"/>
      <c r="FR1738" s="4"/>
      <c r="FS1738" s="4"/>
      <c r="FT1738" s="4"/>
      <c r="FU1738" s="4"/>
      <c r="FV1738" s="4"/>
      <c r="FW1738" s="4"/>
      <c r="FX1738" s="4"/>
      <c r="FY1738" s="4"/>
      <c r="FZ1738" s="4"/>
      <c r="GA1738" s="4"/>
      <c r="GB1738" s="4"/>
      <c r="GC1738" s="4"/>
      <c r="GD1738" s="4"/>
      <c r="GE1738" s="4"/>
      <c r="GF1738" s="4"/>
      <c r="GG1738" s="4"/>
      <c r="GH1738" s="4"/>
      <c r="GI1738" s="4"/>
      <c r="GJ1738" s="4"/>
      <c r="GK1738" s="4"/>
      <c r="GL1738" s="4"/>
      <c r="GM1738" s="4"/>
      <c r="GN1738" s="4"/>
      <c r="GO1738" s="4"/>
      <c r="GP1738" s="4"/>
      <c r="GQ1738" s="4"/>
      <c r="GR1738" s="4"/>
      <c r="GS1738" s="4"/>
      <c r="GT1738" s="4"/>
      <c r="GU1738" s="4"/>
      <c r="GV1738" s="4"/>
      <c r="GW1738" s="4"/>
      <c r="GX1738" s="4"/>
      <c r="GY1738" s="4"/>
      <c r="GZ1738" s="4">
        <v>50</v>
      </c>
      <c r="HA1738" s="4"/>
      <c r="HB1738" s="4"/>
      <c r="HC1738" s="4"/>
      <c r="HD1738" s="4"/>
      <c r="HE1738" s="4"/>
    </row>
    <row r="1739">
      <c r="A1739" s="2" t="s">
        <v>8574</v>
      </c>
      <c r="B1739" s="2" t="s">
        <v>958</v>
      </c>
      <c r="C1739" s="2" t="s">
        <v>835</v>
      </c>
      <c r="D1739" s="2" t="s">
        <v>959</v>
      </c>
      <c r="E1739" s="2" t="s">
        <v>960</v>
      </c>
      <c r="F1739" s="2" t="s">
        <v>8570</v>
      </c>
      <c r="G1739" s="2" t="s">
        <v>8570</v>
      </c>
      <c r="H1739" s="2" t="s">
        <v>228</v>
      </c>
      <c r="I1739" s="2" t="s">
        <v>8571</v>
      </c>
      <c r="J1739" s="2" t="s">
        <v>840</v>
      </c>
      <c r="K1739" s="2" t="s">
        <v>265</v>
      </c>
      <c r="L1739" s="3">
        <v>353.78</v>
      </c>
      <c r="M1739" s="3">
        <v>371.47</v>
      </c>
      <c r="N1739" s="3">
        <v>739</v>
      </c>
      <c r="O1739" s="2" t="s">
        <v>240</v>
      </c>
      <c r="P1739" s="2" t="s">
        <v>1022</v>
      </c>
      <c r="Q1739" s="2" t="s">
        <v>234</v>
      </c>
      <c r="R1739" s="2" t="s">
        <v>228</v>
      </c>
      <c r="S1739" s="2" t="s">
        <v>8575</v>
      </c>
      <c r="T1739" s="2" t="s">
        <v>228</v>
      </c>
      <c r="U1739" s="2" t="s">
        <v>520</v>
      </c>
      <c r="V1739" s="2" t="s">
        <v>236</v>
      </c>
      <c r="W1739" s="2" t="s">
        <v>843</v>
      </c>
      <c r="X1739" s="2" t="s">
        <v>228</v>
      </c>
      <c r="Y1739" s="2" t="s">
        <v>8576</v>
      </c>
      <c r="Z1739" s="4">
        <v>399</v>
      </c>
      <c r="AA1739" s="4">
        <f>=ROUNDDOWN(1995,0)</f>
      </c>
      <c r="AB1739" s="5">
        <v>0.2</v>
      </c>
      <c r="AC1739" s="2" t="s">
        <v>1947</v>
      </c>
      <c r="AD1739" s="4">
        <v>79</v>
      </c>
      <c r="AE1739" s="4">
        <v>334</v>
      </c>
      <c r="AF1739" s="6"/>
      <c r="AG1739" s="6"/>
      <c r="AH1739" s="7">
        <v>1</v>
      </c>
      <c r="AI1739" s="4"/>
      <c r="AJ1739" s="4">
        <f>=ROUNDDOWN({0},0)</f>
      </c>
      <c r="AK1739" s="5"/>
      <c r="AL1739" s="2" t="s">
        <v>228</v>
      </c>
      <c r="AM1739" s="4"/>
      <c r="AN1739" s="4"/>
      <c r="AO1739" s="7">
        <v>0.5484</v>
      </c>
      <c r="AP1739" s="4"/>
      <c r="AQ1739" s="8"/>
      <c r="AR1739" s="4"/>
      <c r="AS1739" s="8"/>
      <c r="AT1739" s="7"/>
      <c r="AU1739" s="7"/>
      <c r="AV1739" s="4"/>
      <c r="AW1739" s="8"/>
      <c r="AX1739" s="4"/>
      <c r="AY1739" s="8"/>
      <c r="AZ1739" s="7"/>
      <c r="BA1739" s="7"/>
      <c r="BB1739" s="7"/>
      <c r="BC1739" s="4" t="s">
        <v>228</v>
      </c>
      <c r="BD1739" s="8" t="s">
        <v>228</v>
      </c>
      <c r="BE1739" s="4" t="s">
        <v>228</v>
      </c>
      <c r="BF1739" s="8" t="s">
        <v>228</v>
      </c>
      <c r="BG1739" s="7" t="s">
        <v>228</v>
      </c>
      <c r="BH1739" s="7" t="s">
        <v>228</v>
      </c>
      <c r="BI1739" s="7"/>
      <c r="BJ1739" s="4">
        <v>2</v>
      </c>
      <c r="BK1739" s="8">
        <v>765.22</v>
      </c>
      <c r="BL1739" s="2" t="s">
        <v>1933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8577</v>
      </c>
      <c r="BV1739" s="2" t="s">
        <v>228</v>
      </c>
      <c r="BW1739" s="2" t="s">
        <v>228</v>
      </c>
      <c r="BX1739" s="2" t="s">
        <v>2125</v>
      </c>
      <c r="BY1739" s="2" t="s">
        <v>274</v>
      </c>
      <c r="BZ1739" s="2" t="s">
        <v>240</v>
      </c>
      <c r="CA1739" s="2" t="s">
        <v>3567</v>
      </c>
      <c r="CB1739" s="2" t="s">
        <v>3655</v>
      </c>
      <c r="CC1739" s="2" t="s">
        <v>241</v>
      </c>
      <c r="CD1739" s="2" t="s">
        <v>228</v>
      </c>
      <c r="CE1739" s="4"/>
      <c r="CF1739" s="4">
        <v>320</v>
      </c>
      <c r="CG1739" s="4"/>
      <c r="CH1739" s="4">
        <v>79</v>
      </c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>
        <v>79</v>
      </c>
      <c r="EA1739" s="4"/>
      <c r="EB1739" s="4"/>
      <c r="EC1739" s="4"/>
      <c r="ED1739" s="4"/>
      <c r="EE1739" s="4"/>
      <c r="EF1739" s="4"/>
      <c r="EG1739" s="4">
        <v>27</v>
      </c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/>
      <c r="EU1739" s="4"/>
      <c r="EV1739" s="4"/>
      <c r="EW1739" s="4"/>
      <c r="EX1739" s="4"/>
      <c r="EY1739" s="4"/>
      <c r="EZ1739" s="4"/>
      <c r="FA1739" s="4"/>
      <c r="FB1739" s="4"/>
      <c r="FC1739" s="4"/>
      <c r="FD1739" s="4"/>
      <c r="FE1739" s="4"/>
      <c r="FF1739" s="4"/>
      <c r="FG1739" s="4"/>
      <c r="FH1739" s="4"/>
      <c r="FI1739" s="4">
        <v>78</v>
      </c>
      <c r="FJ1739" s="4"/>
      <c r="FK1739" s="4"/>
      <c r="FL1739" s="4"/>
      <c r="FM1739" s="4"/>
      <c r="FN1739" s="4"/>
      <c r="FO1739" s="4"/>
      <c r="FP1739" s="4"/>
      <c r="FQ1739" s="4"/>
      <c r="FR1739" s="4"/>
      <c r="FS1739" s="4"/>
      <c r="FT1739" s="4"/>
      <c r="FU1739" s="4"/>
      <c r="FV1739" s="4"/>
      <c r="FW1739" s="4"/>
      <c r="FX1739" s="4"/>
      <c r="FY1739" s="4"/>
      <c r="FZ1739" s="4"/>
      <c r="GA1739" s="4"/>
      <c r="GB1739" s="4"/>
      <c r="GC1739" s="4"/>
      <c r="GD1739" s="4"/>
      <c r="GE1739" s="4"/>
      <c r="GF1739" s="4"/>
      <c r="GG1739" s="4"/>
      <c r="GH1739" s="4"/>
      <c r="GI1739" s="4"/>
      <c r="GJ1739" s="4"/>
      <c r="GK1739" s="4"/>
      <c r="GL1739" s="4"/>
      <c r="GM1739" s="4"/>
      <c r="GN1739" s="4"/>
      <c r="GO1739" s="4"/>
      <c r="GP1739" s="4"/>
      <c r="GQ1739" s="4"/>
      <c r="GR1739" s="4"/>
      <c r="GS1739" s="4"/>
      <c r="GT1739" s="4"/>
      <c r="GU1739" s="4"/>
      <c r="GV1739" s="4"/>
      <c r="GW1739" s="4"/>
      <c r="GX1739" s="4"/>
      <c r="GY1739" s="4"/>
      <c r="GZ1739" s="4">
        <v>150</v>
      </c>
      <c r="HA1739" s="4"/>
      <c r="HB1739" s="4"/>
      <c r="HC1739" s="4"/>
      <c r="HD1739" s="4"/>
      <c r="HE1739" s="4"/>
    </row>
    <row r="1740">
      <c r="A1740" s="2" t="s">
        <v>8578</v>
      </c>
      <c r="B1740" s="2" t="s">
        <v>958</v>
      </c>
      <c r="C1740" s="2" t="s">
        <v>835</v>
      </c>
      <c r="D1740" s="2" t="s">
        <v>959</v>
      </c>
      <c r="E1740" s="2" t="s">
        <v>960</v>
      </c>
      <c r="F1740" s="2" t="s">
        <v>8570</v>
      </c>
      <c r="G1740" s="2" t="s">
        <v>8570</v>
      </c>
      <c r="H1740" s="2" t="s">
        <v>8570</v>
      </c>
      <c r="I1740" s="2" t="s">
        <v>8579</v>
      </c>
      <c r="J1740" s="2" t="s">
        <v>840</v>
      </c>
      <c r="K1740" s="2" t="s">
        <v>1466</v>
      </c>
      <c r="L1740" s="3">
        <v>180.5</v>
      </c>
      <c r="M1740" s="3">
        <v>189.52</v>
      </c>
      <c r="N1740" s="3">
        <v>379</v>
      </c>
      <c r="O1740" s="2" t="s">
        <v>240</v>
      </c>
      <c r="P1740" s="2" t="s">
        <v>889</v>
      </c>
      <c r="Q1740" s="2" t="s">
        <v>234</v>
      </c>
      <c r="R1740" s="2" t="s">
        <v>228</v>
      </c>
      <c r="S1740" s="2" t="s">
        <v>228</v>
      </c>
      <c r="T1740" s="2" t="s">
        <v>228</v>
      </c>
      <c r="U1740" s="2" t="s">
        <v>416</v>
      </c>
      <c r="V1740" s="2" t="s">
        <v>236</v>
      </c>
      <c r="W1740" s="2" t="s">
        <v>843</v>
      </c>
      <c r="X1740" s="2" t="s">
        <v>228</v>
      </c>
      <c r="Y1740" s="2" t="s">
        <v>8580</v>
      </c>
      <c r="Z1740" s="4">
        <v>226</v>
      </c>
      <c r="AA1740" s="4">
        <f>=ROUNDDOWN(83.7037037037037,0)</f>
      </c>
      <c r="AB1740" s="5">
        <v>2.7</v>
      </c>
      <c r="AC1740" s="2" t="s">
        <v>1947</v>
      </c>
      <c r="AD1740" s="4">
        <v>70</v>
      </c>
      <c r="AE1740" s="4">
        <v>260</v>
      </c>
      <c r="AF1740" s="6">
        <v>74</v>
      </c>
      <c r="AG1740" s="6">
        <v>60</v>
      </c>
      <c r="AH1740" s="7">
        <v>1</v>
      </c>
      <c r="AI1740" s="4"/>
      <c r="AJ1740" s="4">
        <f>=ROUNDDOWN({0},0)</f>
      </c>
      <c r="AK1740" s="5">
        <v>13.6</v>
      </c>
      <c r="AL1740" s="2" t="s">
        <v>228</v>
      </c>
      <c r="AM1740" s="4"/>
      <c r="AN1740" s="4"/>
      <c r="AO1740" s="7">
        <v>0.5484</v>
      </c>
      <c r="AP1740" s="4"/>
      <c r="AQ1740" s="8"/>
      <c r="AR1740" s="4"/>
      <c r="AS1740" s="8"/>
      <c r="AT1740" s="7"/>
      <c r="AU1740" s="7"/>
      <c r="AV1740" s="4" t="s">
        <v>228</v>
      </c>
      <c r="AW1740" s="8" t="s">
        <v>228</v>
      </c>
      <c r="AX1740" s="4" t="s">
        <v>228</v>
      </c>
      <c r="AY1740" s="8" t="s">
        <v>228</v>
      </c>
      <c r="AZ1740" s="7" t="s">
        <v>228</v>
      </c>
      <c r="BA1740" s="7" t="s">
        <v>228</v>
      </c>
      <c r="BB1740" s="7" t="s">
        <v>228</v>
      </c>
      <c r="BC1740" s="4" t="s">
        <v>228</v>
      </c>
      <c r="BD1740" s="8" t="s">
        <v>228</v>
      </c>
      <c r="BE1740" s="4" t="s">
        <v>228</v>
      </c>
      <c r="BF1740" s="8" t="s">
        <v>228</v>
      </c>
      <c r="BG1740" s="7" t="s">
        <v>228</v>
      </c>
      <c r="BH1740" s="7" t="s">
        <v>228</v>
      </c>
      <c r="BI1740" s="7"/>
      <c r="BJ1740" s="4">
        <v>51</v>
      </c>
      <c r="BK1740" s="8">
        <v>8435.1</v>
      </c>
      <c r="BL1740" s="2" t="s">
        <v>8581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8582</v>
      </c>
      <c r="BV1740" s="2" t="s">
        <v>228</v>
      </c>
      <c r="BW1740" s="2" t="s">
        <v>228</v>
      </c>
      <c r="BX1740" s="2" t="s">
        <v>2125</v>
      </c>
      <c r="BY1740" s="2" t="s">
        <v>274</v>
      </c>
      <c r="BZ1740" s="2" t="s">
        <v>240</v>
      </c>
      <c r="CA1740" s="2" t="s">
        <v>6285</v>
      </c>
      <c r="CB1740" s="2" t="s">
        <v>8583</v>
      </c>
      <c r="CC1740" s="2" t="s">
        <v>241</v>
      </c>
      <c r="CD1740" s="2" t="s">
        <v>228</v>
      </c>
      <c r="CE1740" s="4"/>
      <c r="CF1740" s="4">
        <v>226</v>
      </c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>
        <v>70</v>
      </c>
      <c r="EA1740" s="4"/>
      <c r="EB1740" s="4"/>
      <c r="EC1740" s="4"/>
      <c r="ED1740" s="4"/>
      <c r="EE1740" s="4"/>
      <c r="EF1740" s="4"/>
      <c r="EG1740" s="4">
        <v>50</v>
      </c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  <c r="ES1740" s="4"/>
      <c r="ET1740" s="4"/>
      <c r="EU1740" s="4"/>
      <c r="EV1740" s="4"/>
      <c r="EW1740" s="4"/>
      <c r="EX1740" s="4"/>
      <c r="EY1740" s="4"/>
      <c r="EZ1740" s="4"/>
      <c r="FA1740" s="4"/>
      <c r="FB1740" s="4"/>
      <c r="FC1740" s="4"/>
      <c r="FD1740" s="4"/>
      <c r="FE1740" s="4"/>
      <c r="FF1740" s="4"/>
      <c r="FG1740" s="4"/>
      <c r="FH1740" s="4"/>
      <c r="FI1740" s="4">
        <v>140</v>
      </c>
      <c r="FJ1740" s="4"/>
      <c r="FK1740" s="4"/>
      <c r="FL1740" s="4"/>
      <c r="FM1740" s="4"/>
      <c r="FN1740" s="4"/>
      <c r="FO1740" s="4"/>
      <c r="FP1740" s="4"/>
      <c r="FQ1740" s="4"/>
      <c r="FR1740" s="4"/>
      <c r="FS1740" s="4"/>
      <c r="FT1740" s="4"/>
      <c r="FU1740" s="4"/>
      <c r="FV1740" s="4"/>
      <c r="FW1740" s="4"/>
      <c r="FX1740" s="4"/>
      <c r="FY1740" s="4"/>
      <c r="FZ1740" s="4"/>
      <c r="GA1740" s="4"/>
      <c r="GB1740" s="4"/>
      <c r="GC1740" s="4"/>
      <c r="GD1740" s="4"/>
      <c r="GE1740" s="4"/>
      <c r="GF1740" s="4"/>
      <c r="GG1740" s="4"/>
      <c r="GH1740" s="4"/>
      <c r="GI1740" s="4"/>
      <c r="GJ1740" s="4"/>
      <c r="GK1740" s="4"/>
      <c r="GL1740" s="4"/>
      <c r="GM1740" s="4"/>
      <c r="GN1740" s="4"/>
      <c r="GO1740" s="4"/>
      <c r="GP1740" s="4"/>
      <c r="GQ1740" s="4"/>
      <c r="GR1740" s="4"/>
      <c r="GS1740" s="4"/>
      <c r="GT1740" s="4"/>
      <c r="GU1740" s="4"/>
      <c r="GV1740" s="4"/>
      <c r="GW1740" s="4"/>
      <c r="GX1740" s="4"/>
      <c r="GY1740" s="4"/>
      <c r="GZ1740" s="4"/>
      <c r="HA1740" s="4"/>
      <c r="HB1740" s="4"/>
      <c r="HC1740" s="4"/>
      <c r="HD1740" s="4"/>
      <c r="HE1740" s="4"/>
    </row>
    <row r="1741">
      <c r="A1741" s="2" t="s">
        <v>8584</v>
      </c>
      <c r="B1741" s="2" t="s">
        <v>958</v>
      </c>
      <c r="C1741" s="2" t="s">
        <v>835</v>
      </c>
      <c r="D1741" s="2" t="s">
        <v>959</v>
      </c>
      <c r="E1741" s="2" t="s">
        <v>960</v>
      </c>
      <c r="F1741" s="2" t="s">
        <v>8570</v>
      </c>
      <c r="G1741" s="2" t="s">
        <v>8570</v>
      </c>
      <c r="H1741" s="2" t="s">
        <v>8570</v>
      </c>
      <c r="I1741" s="2" t="s">
        <v>8571</v>
      </c>
      <c r="J1741" s="2" t="s">
        <v>840</v>
      </c>
      <c r="K1741" s="2" t="s">
        <v>1466</v>
      </c>
      <c r="L1741" s="3">
        <v>353.78</v>
      </c>
      <c r="M1741" s="3">
        <v>371.47</v>
      </c>
      <c r="N1741" s="3">
        <v>739</v>
      </c>
      <c r="O1741" s="2" t="s">
        <v>240</v>
      </c>
      <c r="P1741" s="2" t="s">
        <v>1022</v>
      </c>
      <c r="Q1741" s="2" t="s">
        <v>234</v>
      </c>
      <c r="R1741" s="2" t="s">
        <v>228</v>
      </c>
      <c r="S1741" s="2" t="s">
        <v>228</v>
      </c>
      <c r="T1741" s="2" t="s">
        <v>228</v>
      </c>
      <c r="U1741" s="2" t="s">
        <v>520</v>
      </c>
      <c r="V1741" s="2" t="s">
        <v>236</v>
      </c>
      <c r="W1741" s="2" t="s">
        <v>843</v>
      </c>
      <c r="X1741" s="2" t="s">
        <v>228</v>
      </c>
      <c r="Y1741" s="2" t="s">
        <v>8585</v>
      </c>
      <c r="Z1741" s="4">
        <v>114</v>
      </c>
      <c r="AA1741" s="4">
        <f>=ROUNDDOWN({0},0)</f>
      </c>
      <c r="AB1741" s="5"/>
      <c r="AC1741" s="2" t="s">
        <v>1947</v>
      </c>
      <c r="AD1741" s="4">
        <v>35</v>
      </c>
      <c r="AE1741" s="4">
        <v>130</v>
      </c>
      <c r="AF1741" s="6"/>
      <c r="AG1741" s="6"/>
      <c r="AH1741" s="7">
        <v>1</v>
      </c>
      <c r="AI1741" s="4"/>
      <c r="AJ1741" s="4">
        <f>=ROUNDDOWN({0},0)</f>
      </c>
      <c r="AK1741" s="5"/>
      <c r="AL1741" s="2" t="s">
        <v>228</v>
      </c>
      <c r="AM1741" s="4"/>
      <c r="AN1741" s="4"/>
      <c r="AO1741" s="7">
        <v>0.5484</v>
      </c>
      <c r="AP1741" s="4"/>
      <c r="AQ1741" s="8"/>
      <c r="AR1741" s="4"/>
      <c r="AS1741" s="8"/>
      <c r="AT1741" s="7"/>
      <c r="AU1741" s="7"/>
      <c r="AV1741" s="4" t="s">
        <v>228</v>
      </c>
      <c r="AW1741" s="8" t="s">
        <v>228</v>
      </c>
      <c r="AX1741" s="4" t="s">
        <v>228</v>
      </c>
      <c r="AY1741" s="8" t="s">
        <v>228</v>
      </c>
      <c r="AZ1741" s="7" t="s">
        <v>228</v>
      </c>
      <c r="BA1741" s="7" t="s">
        <v>228</v>
      </c>
      <c r="BB1741" s="7" t="s">
        <v>228</v>
      </c>
      <c r="BC1741" s="4" t="s">
        <v>228</v>
      </c>
      <c r="BD1741" s="8" t="s">
        <v>228</v>
      </c>
      <c r="BE1741" s="4" t="s">
        <v>228</v>
      </c>
      <c r="BF1741" s="8" t="s">
        <v>228</v>
      </c>
      <c r="BG1741" s="7" t="s">
        <v>228</v>
      </c>
      <c r="BH1741" s="7" t="s">
        <v>228</v>
      </c>
      <c r="BI1741" s="7"/>
      <c r="BJ1741" s="4"/>
      <c r="BK1741" s="8"/>
      <c r="BL1741" s="2" t="s">
        <v>228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8586</v>
      </c>
      <c r="BV1741" s="2" t="s">
        <v>228</v>
      </c>
      <c r="BW1741" s="2" t="s">
        <v>228</v>
      </c>
      <c r="BX1741" s="2" t="s">
        <v>2125</v>
      </c>
      <c r="BY1741" s="2" t="s">
        <v>274</v>
      </c>
      <c r="BZ1741" s="2" t="s">
        <v>240</v>
      </c>
      <c r="CA1741" s="2" t="s">
        <v>6991</v>
      </c>
      <c r="CB1741" s="2" t="s">
        <v>228</v>
      </c>
      <c r="CC1741" s="2" t="s">
        <v>241</v>
      </c>
      <c r="CD1741" s="2" t="s">
        <v>228</v>
      </c>
      <c r="CE1741" s="4"/>
      <c r="CF1741" s="4">
        <v>114</v>
      </c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>
        <v>35</v>
      </c>
      <c r="EA1741" s="4"/>
      <c r="EB1741" s="4"/>
      <c r="EC1741" s="4"/>
      <c r="ED1741" s="4"/>
      <c r="EE1741" s="4"/>
      <c r="EF1741" s="4"/>
      <c r="EG1741" s="4">
        <v>25</v>
      </c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  <c r="ES1741" s="4"/>
      <c r="ET1741" s="4"/>
      <c r="EU1741" s="4"/>
      <c r="EV1741" s="4"/>
      <c r="EW1741" s="4"/>
      <c r="EX1741" s="4"/>
      <c r="EY1741" s="4"/>
      <c r="EZ1741" s="4"/>
      <c r="FA1741" s="4"/>
      <c r="FB1741" s="4"/>
      <c r="FC1741" s="4"/>
      <c r="FD1741" s="4"/>
      <c r="FE1741" s="4"/>
      <c r="FF1741" s="4"/>
      <c r="FG1741" s="4"/>
      <c r="FH1741" s="4"/>
      <c r="FI1741" s="4">
        <v>70</v>
      </c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/>
      <c r="FU1741" s="4"/>
      <c r="FV1741" s="4"/>
      <c r="FW1741" s="4"/>
      <c r="FX1741" s="4"/>
      <c r="FY1741" s="4"/>
      <c r="FZ1741" s="4"/>
      <c r="GA1741" s="4"/>
      <c r="GB1741" s="4"/>
      <c r="GC1741" s="4"/>
      <c r="GD1741" s="4"/>
      <c r="GE1741" s="4"/>
      <c r="GF1741" s="4"/>
      <c r="GG1741" s="4"/>
      <c r="GH1741" s="4"/>
      <c r="GI1741" s="4"/>
      <c r="GJ1741" s="4"/>
      <c r="GK1741" s="4"/>
      <c r="GL1741" s="4"/>
      <c r="GM1741" s="4"/>
      <c r="GN1741" s="4"/>
      <c r="GO1741" s="4"/>
      <c r="GP1741" s="4"/>
      <c r="GQ1741" s="4"/>
      <c r="GR1741" s="4"/>
      <c r="GS1741" s="4"/>
      <c r="GT1741" s="4"/>
      <c r="GU1741" s="4"/>
      <c r="GV1741" s="4"/>
      <c r="GW1741" s="4"/>
      <c r="GX1741" s="4"/>
      <c r="GY1741" s="4"/>
      <c r="GZ1741" s="4"/>
      <c r="HA1741" s="4"/>
      <c r="HB1741" s="4"/>
      <c r="HC1741" s="4"/>
      <c r="HD1741" s="4"/>
      <c r="HE1741" s="4"/>
    </row>
    <row r="1742">
      <c r="A1742" s="2" t="s">
        <v>8587</v>
      </c>
      <c r="B1742" s="2" t="s">
        <v>1276</v>
      </c>
      <c r="C1742" s="2" t="s">
        <v>300</v>
      </c>
      <c r="D1742" s="2" t="s">
        <v>1276</v>
      </c>
      <c r="E1742" s="2" t="s">
        <v>1276</v>
      </c>
      <c r="F1742" s="2" t="s">
        <v>8570</v>
      </c>
      <c r="G1742" s="2" t="s">
        <v>1288</v>
      </c>
      <c r="H1742" s="2" t="s">
        <v>8588</v>
      </c>
      <c r="I1742" s="2" t="s">
        <v>6004</v>
      </c>
      <c r="J1742" s="2" t="s">
        <v>4526</v>
      </c>
      <c r="K1742" s="2" t="s">
        <v>8589</v>
      </c>
      <c r="L1742" s="3">
        <v>32.8</v>
      </c>
      <c r="M1742" s="3">
        <v>34.44</v>
      </c>
      <c r="N1742" s="3">
        <v>74.99</v>
      </c>
      <c r="O1742" s="2" t="s">
        <v>461</v>
      </c>
      <c r="P1742" s="2" t="s">
        <v>333</v>
      </c>
      <c r="Q1742" s="2" t="s">
        <v>234</v>
      </c>
      <c r="R1742" s="2" t="s">
        <v>228</v>
      </c>
      <c r="S1742" s="2" t="s">
        <v>228</v>
      </c>
      <c r="T1742" s="2" t="s">
        <v>228</v>
      </c>
      <c r="U1742" s="2" t="s">
        <v>416</v>
      </c>
      <c r="V1742" s="2" t="s">
        <v>859</v>
      </c>
      <c r="W1742" s="2" t="s">
        <v>417</v>
      </c>
      <c r="X1742" s="2" t="s">
        <v>228</v>
      </c>
      <c r="Y1742" s="2" t="s">
        <v>2973</v>
      </c>
      <c r="Z1742" s="4">
        <v>44</v>
      </c>
      <c r="AA1742" s="4">
        <f>=ROUNDDOWN({0},0)</f>
      </c>
      <c r="AB1742" s="5"/>
      <c r="AC1742" s="2" t="s">
        <v>228</v>
      </c>
      <c r="AD1742" s="4"/>
      <c r="AE1742" s="4"/>
      <c r="AF1742" s="6">
        <v>63</v>
      </c>
      <c r="AG1742" s="6"/>
      <c r="AH1742" s="7">
        <v>0.9355</v>
      </c>
      <c r="AI1742" s="4"/>
      <c r="AJ1742" s="4">
        <f>=ROUNDDOWN({0},0)</f>
      </c>
      <c r="AK1742" s="5"/>
      <c r="AL1742" s="2" t="s">
        <v>228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228</v>
      </c>
      <c r="AW1742" s="8" t="s">
        <v>228</v>
      </c>
      <c r="AX1742" s="4" t="s">
        <v>228</v>
      </c>
      <c r="AY1742" s="8" t="s">
        <v>228</v>
      </c>
      <c r="AZ1742" s="7" t="s">
        <v>228</v>
      </c>
      <c r="BA1742" s="7" t="s">
        <v>228</v>
      </c>
      <c r="BB1742" s="7"/>
      <c r="BC1742" s="4" t="s">
        <v>228</v>
      </c>
      <c r="BD1742" s="8" t="s">
        <v>228</v>
      </c>
      <c r="BE1742" s="4" t="s">
        <v>228</v>
      </c>
      <c r="BF1742" s="8" t="s">
        <v>228</v>
      </c>
      <c r="BG1742" s="7" t="s">
        <v>228</v>
      </c>
      <c r="BH1742" s="7" t="s">
        <v>228</v>
      </c>
      <c r="BI1742" s="7"/>
      <c r="BJ1742" s="4"/>
      <c r="BK1742" s="8"/>
      <c r="BL1742" s="2" t="s">
        <v>4487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8590</v>
      </c>
      <c r="BV1742" s="2" t="s">
        <v>228</v>
      </c>
      <c r="BW1742" s="2" t="s">
        <v>228</v>
      </c>
      <c r="BX1742" s="2" t="s">
        <v>337</v>
      </c>
      <c r="BY1742" s="2" t="s">
        <v>274</v>
      </c>
      <c r="BZ1742" s="2" t="s">
        <v>240</v>
      </c>
      <c r="CA1742" s="2" t="s">
        <v>6006</v>
      </c>
      <c r="CB1742" s="2" t="s">
        <v>228</v>
      </c>
      <c r="CC1742" s="2" t="s">
        <v>241</v>
      </c>
      <c r="CD1742" s="2" t="s">
        <v>228</v>
      </c>
      <c r="CE1742" s="4"/>
      <c r="CF1742" s="4">
        <v>44</v>
      </c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  <c r="ES1742" s="4"/>
      <c r="ET1742" s="4"/>
      <c r="EU1742" s="4"/>
      <c r="EV1742" s="4"/>
      <c r="EW1742" s="4"/>
      <c r="EX1742" s="4"/>
      <c r="EY1742" s="4"/>
      <c r="EZ1742" s="4"/>
      <c r="FA1742" s="4"/>
      <c r="FB1742" s="4"/>
      <c r="FC1742" s="4"/>
      <c r="FD1742" s="4"/>
      <c r="FE1742" s="4"/>
      <c r="FF1742" s="4"/>
      <c r="FG1742" s="4"/>
      <c r="FH1742" s="4"/>
      <c r="FI1742" s="4"/>
      <c r="FJ1742" s="4"/>
      <c r="FK1742" s="4"/>
      <c r="FL1742" s="4"/>
      <c r="FM1742" s="4"/>
      <c r="FN1742" s="4"/>
      <c r="FO1742" s="4"/>
      <c r="FP1742" s="4"/>
      <c r="FQ1742" s="4"/>
      <c r="FR1742" s="4"/>
      <c r="FS1742" s="4"/>
      <c r="FT1742" s="4"/>
      <c r="FU1742" s="4"/>
      <c r="FV1742" s="4"/>
      <c r="FW1742" s="4"/>
      <c r="FX1742" s="4"/>
      <c r="FY1742" s="4"/>
      <c r="FZ1742" s="4"/>
      <c r="GA1742" s="4"/>
      <c r="GB1742" s="4"/>
      <c r="GC1742" s="4"/>
      <c r="GD1742" s="4"/>
      <c r="GE1742" s="4"/>
      <c r="GF1742" s="4"/>
      <c r="GG1742" s="4"/>
      <c r="GH1742" s="4"/>
      <c r="GI1742" s="4"/>
      <c r="GJ1742" s="4"/>
      <c r="GK1742" s="4"/>
      <c r="GL1742" s="4"/>
      <c r="GM1742" s="4"/>
      <c r="GN1742" s="4"/>
      <c r="GO1742" s="4"/>
      <c r="GP1742" s="4"/>
      <c r="GQ1742" s="4"/>
      <c r="GR1742" s="4"/>
      <c r="GS1742" s="4"/>
      <c r="GT1742" s="4"/>
      <c r="GU1742" s="4"/>
      <c r="GV1742" s="4"/>
      <c r="GW1742" s="4"/>
      <c r="GX1742" s="4"/>
      <c r="GY1742" s="4"/>
      <c r="GZ1742" s="4"/>
      <c r="HA1742" s="4"/>
      <c r="HB1742" s="4"/>
      <c r="HC1742" s="4"/>
      <c r="HD1742" s="4"/>
      <c r="HE1742" s="4"/>
    </row>
    <row r="1743">
      <c r="A1743" s="2" t="s">
        <v>8591</v>
      </c>
      <c r="B1743" s="2" t="s">
        <v>1276</v>
      </c>
      <c r="C1743" s="2" t="s">
        <v>300</v>
      </c>
      <c r="D1743" s="2" t="s">
        <v>1276</v>
      </c>
      <c r="E1743" s="2" t="s">
        <v>1276</v>
      </c>
      <c r="F1743" s="2" t="s">
        <v>8570</v>
      </c>
      <c r="G1743" s="2" t="s">
        <v>1288</v>
      </c>
      <c r="H1743" s="2" t="s">
        <v>8588</v>
      </c>
      <c r="I1743" s="2" t="s">
        <v>6004</v>
      </c>
      <c r="J1743" s="2" t="s">
        <v>1711</v>
      </c>
      <c r="K1743" s="2" t="s">
        <v>8589</v>
      </c>
      <c r="L1743" s="3">
        <v>57.32</v>
      </c>
      <c r="M1743" s="3">
        <v>60.19</v>
      </c>
      <c r="N1743" s="3">
        <v>129.99</v>
      </c>
      <c r="O1743" s="2" t="s">
        <v>491</v>
      </c>
      <c r="P1743" s="2" t="s">
        <v>333</v>
      </c>
      <c r="Q1743" s="2" t="s">
        <v>234</v>
      </c>
      <c r="R1743" s="2" t="s">
        <v>228</v>
      </c>
      <c r="S1743" s="2" t="s">
        <v>228</v>
      </c>
      <c r="T1743" s="2" t="s">
        <v>228</v>
      </c>
      <c r="U1743" s="2" t="s">
        <v>416</v>
      </c>
      <c r="V1743" s="2" t="s">
        <v>859</v>
      </c>
      <c r="W1743" s="2" t="s">
        <v>743</v>
      </c>
      <c r="X1743" s="2" t="s">
        <v>228</v>
      </c>
      <c r="Y1743" s="2" t="s">
        <v>4453</v>
      </c>
      <c r="Z1743" s="4">
        <v>8</v>
      </c>
      <c r="AA1743" s="4">
        <f>=ROUNDDOWN(5,0)</f>
      </c>
      <c r="AB1743" s="5">
        <v>1.6</v>
      </c>
      <c r="AC1743" s="2" t="s">
        <v>228</v>
      </c>
      <c r="AD1743" s="4"/>
      <c r="AE1743" s="4"/>
      <c r="AF1743" s="6">
        <v>63</v>
      </c>
      <c r="AG1743" s="6"/>
      <c r="AH1743" s="7">
        <v>1</v>
      </c>
      <c r="AI1743" s="4"/>
      <c r="AJ1743" s="4">
        <f>=ROUNDDOWN({0},0)</f>
      </c>
      <c r="AK1743" s="5"/>
      <c r="AL1743" s="2" t="s">
        <v>228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 t="s">
        <v>228</v>
      </c>
      <c r="AW1743" s="8" t="s">
        <v>228</v>
      </c>
      <c r="AX1743" s="4" t="s">
        <v>228</v>
      </c>
      <c r="AY1743" s="8" t="s">
        <v>228</v>
      </c>
      <c r="AZ1743" s="7" t="s">
        <v>228</v>
      </c>
      <c r="BA1743" s="7" t="s">
        <v>228</v>
      </c>
      <c r="BB1743" s="7"/>
      <c r="BC1743" s="4" t="s">
        <v>228</v>
      </c>
      <c r="BD1743" s="8" t="s">
        <v>228</v>
      </c>
      <c r="BE1743" s="4" t="s">
        <v>228</v>
      </c>
      <c r="BF1743" s="8" t="s">
        <v>228</v>
      </c>
      <c r="BG1743" s="7" t="s">
        <v>228</v>
      </c>
      <c r="BH1743" s="7" t="s">
        <v>228</v>
      </c>
      <c r="BI1743" s="7"/>
      <c r="BJ1743" s="4">
        <v>7</v>
      </c>
      <c r="BK1743" s="8">
        <v>425.87</v>
      </c>
      <c r="BL1743" s="2" t="s">
        <v>8592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8593</v>
      </c>
      <c r="BV1743" s="2" t="s">
        <v>228</v>
      </c>
      <c r="BW1743" s="2" t="s">
        <v>228</v>
      </c>
      <c r="BX1743" s="2" t="s">
        <v>337</v>
      </c>
      <c r="BY1743" s="2" t="s">
        <v>274</v>
      </c>
      <c r="BZ1743" s="2" t="s">
        <v>240</v>
      </c>
      <c r="CA1743" s="2" t="s">
        <v>4455</v>
      </c>
      <c r="CB1743" s="2" t="s">
        <v>8594</v>
      </c>
      <c r="CC1743" s="2" t="s">
        <v>241</v>
      </c>
      <c r="CD1743" s="2" t="s">
        <v>228</v>
      </c>
      <c r="CE1743" s="4"/>
      <c r="CF1743" s="4">
        <v>8</v>
      </c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4"/>
      <c r="FE1743" s="4"/>
      <c r="FF1743" s="4"/>
      <c r="FG1743" s="4"/>
      <c r="FH1743" s="4"/>
      <c r="FI1743" s="4"/>
      <c r="FJ1743" s="4"/>
      <c r="FK1743" s="4"/>
      <c r="FL1743" s="4"/>
      <c r="FM1743" s="4"/>
      <c r="FN1743" s="4"/>
      <c r="FO1743" s="4"/>
      <c r="FP1743" s="4"/>
      <c r="FQ1743" s="4"/>
      <c r="FR1743" s="4"/>
      <c r="FS1743" s="4"/>
      <c r="FT1743" s="4"/>
      <c r="FU1743" s="4"/>
      <c r="FV1743" s="4"/>
      <c r="FW1743" s="4"/>
      <c r="FX1743" s="4"/>
      <c r="FY1743" s="4"/>
      <c r="FZ1743" s="4"/>
      <c r="GA1743" s="4"/>
      <c r="GB1743" s="4"/>
      <c r="GC1743" s="4"/>
      <c r="GD1743" s="4"/>
      <c r="GE1743" s="4"/>
      <c r="GF1743" s="4"/>
      <c r="GG1743" s="4"/>
      <c r="GH1743" s="4"/>
      <c r="GI1743" s="4"/>
      <c r="GJ1743" s="4"/>
      <c r="GK1743" s="4"/>
      <c r="GL1743" s="4"/>
      <c r="GM1743" s="4"/>
      <c r="GN1743" s="4"/>
      <c r="GO1743" s="4"/>
      <c r="GP1743" s="4"/>
      <c r="GQ1743" s="4"/>
      <c r="GR1743" s="4"/>
      <c r="GS1743" s="4"/>
      <c r="GT1743" s="4"/>
      <c r="GU1743" s="4"/>
      <c r="GV1743" s="4"/>
      <c r="GW1743" s="4"/>
      <c r="GX1743" s="4"/>
      <c r="GY1743" s="4"/>
      <c r="GZ1743" s="4"/>
      <c r="HA1743" s="4"/>
      <c r="HB1743" s="4"/>
      <c r="HC1743" s="4"/>
      <c r="HD1743" s="4"/>
      <c r="HE1743" s="4"/>
    </row>
    <row r="1744">
      <c r="A1744" s="2" t="s">
        <v>8595</v>
      </c>
      <c r="B1744" s="2" t="s">
        <v>958</v>
      </c>
      <c r="C1744" s="2" t="s">
        <v>835</v>
      </c>
      <c r="D1744" s="2" t="s">
        <v>959</v>
      </c>
      <c r="E1744" s="2" t="s">
        <v>960</v>
      </c>
      <c r="F1744" s="2" t="s">
        <v>8570</v>
      </c>
      <c r="G1744" s="2" t="s">
        <v>8570</v>
      </c>
      <c r="H1744" s="2" t="s">
        <v>8570</v>
      </c>
      <c r="I1744" s="2" t="s">
        <v>8579</v>
      </c>
      <c r="J1744" s="2" t="s">
        <v>840</v>
      </c>
      <c r="K1744" s="2" t="s">
        <v>1653</v>
      </c>
      <c r="L1744" s="3">
        <v>180.5</v>
      </c>
      <c r="M1744" s="3">
        <v>189.52</v>
      </c>
      <c r="N1744" s="3">
        <v>379</v>
      </c>
      <c r="O1744" s="2" t="s">
        <v>240</v>
      </c>
      <c r="P1744" s="2" t="s">
        <v>266</v>
      </c>
      <c r="Q1744" s="2" t="s">
        <v>234</v>
      </c>
      <c r="R1744" s="2" t="s">
        <v>228</v>
      </c>
      <c r="S1744" s="2" t="s">
        <v>228</v>
      </c>
      <c r="T1744" s="2" t="s">
        <v>228</v>
      </c>
      <c r="U1744" s="2" t="s">
        <v>416</v>
      </c>
      <c r="V1744" s="2" t="s">
        <v>236</v>
      </c>
      <c r="W1744" s="2" t="s">
        <v>843</v>
      </c>
      <c r="X1744" s="2" t="s">
        <v>228</v>
      </c>
      <c r="Y1744" s="2" t="s">
        <v>8596</v>
      </c>
      <c r="Z1744" s="4">
        <v>233</v>
      </c>
      <c r="AA1744" s="4">
        <f>=ROUNDDOWN(86.2962962962963,0)</f>
      </c>
      <c r="AB1744" s="5">
        <v>2.7</v>
      </c>
      <c r="AC1744" s="2" t="s">
        <v>173</v>
      </c>
      <c r="AD1744" s="4">
        <v>100</v>
      </c>
      <c r="AE1744" s="4">
        <v>270</v>
      </c>
      <c r="AF1744" s="6">
        <v>74</v>
      </c>
      <c r="AG1744" s="6">
        <v>60</v>
      </c>
      <c r="AH1744" s="7">
        <v>1</v>
      </c>
      <c r="AI1744" s="4"/>
      <c r="AJ1744" s="4">
        <f>=ROUNDDOWN({0},0)</f>
      </c>
      <c r="AK1744" s="5">
        <v>10.3</v>
      </c>
      <c r="AL1744" s="2" t="s">
        <v>228</v>
      </c>
      <c r="AM1744" s="4"/>
      <c r="AN1744" s="4"/>
      <c r="AO1744" s="7">
        <v>0.5484</v>
      </c>
      <c r="AP1744" s="4"/>
      <c r="AQ1744" s="8"/>
      <c r="AR1744" s="4"/>
      <c r="AS1744" s="8"/>
      <c r="AT1744" s="7"/>
      <c r="AU1744" s="7"/>
      <c r="AV1744" s="4" t="s">
        <v>228</v>
      </c>
      <c r="AW1744" s="8" t="s">
        <v>228</v>
      </c>
      <c r="AX1744" s="4" t="s">
        <v>228</v>
      </c>
      <c r="AY1744" s="8" t="s">
        <v>228</v>
      </c>
      <c r="AZ1744" s="7" t="s">
        <v>228</v>
      </c>
      <c r="BA1744" s="7" t="s">
        <v>228</v>
      </c>
      <c r="BB1744" s="7" t="s">
        <v>228</v>
      </c>
      <c r="BC1744" s="4" t="s">
        <v>228</v>
      </c>
      <c r="BD1744" s="8" t="s">
        <v>228</v>
      </c>
      <c r="BE1744" s="4" t="s">
        <v>228</v>
      </c>
      <c r="BF1744" s="8" t="s">
        <v>228</v>
      </c>
      <c r="BG1744" s="7" t="s">
        <v>228</v>
      </c>
      <c r="BH1744" s="7" t="s">
        <v>228</v>
      </c>
      <c r="BI1744" s="7"/>
      <c r="BJ1744" s="4">
        <v>43</v>
      </c>
      <c r="BK1744" s="8">
        <v>7253.48</v>
      </c>
      <c r="BL1744" s="2" t="s">
        <v>8581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8597</v>
      </c>
      <c r="BV1744" s="2" t="s">
        <v>228</v>
      </c>
      <c r="BW1744" s="2" t="s">
        <v>228</v>
      </c>
      <c r="BX1744" s="2" t="s">
        <v>2125</v>
      </c>
      <c r="BY1744" s="2" t="s">
        <v>274</v>
      </c>
      <c r="BZ1744" s="2" t="s">
        <v>240</v>
      </c>
      <c r="CA1744" s="2" t="s">
        <v>4326</v>
      </c>
      <c r="CB1744" s="2" t="s">
        <v>8598</v>
      </c>
      <c r="CC1744" s="2" t="s">
        <v>241</v>
      </c>
      <c r="CD1744" s="2" t="s">
        <v>228</v>
      </c>
      <c r="CE1744" s="4"/>
      <c r="CF1744" s="4">
        <v>233</v>
      </c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  <c r="ES1744" s="4"/>
      <c r="ET1744" s="4"/>
      <c r="EU1744" s="4"/>
      <c r="EV1744" s="4"/>
      <c r="EW1744" s="4"/>
      <c r="EX1744" s="4"/>
      <c r="EY1744" s="4"/>
      <c r="EZ1744" s="4"/>
      <c r="FA1744" s="4"/>
      <c r="FB1744" s="4"/>
      <c r="FC1744" s="4"/>
      <c r="FD1744" s="4"/>
      <c r="FE1744" s="4"/>
      <c r="FF1744" s="4"/>
      <c r="FG1744" s="4"/>
      <c r="FH1744" s="4"/>
      <c r="FI1744" s="4">
        <v>100</v>
      </c>
      <c r="FJ1744" s="4"/>
      <c r="FK1744" s="4"/>
      <c r="FL1744" s="4"/>
      <c r="FM1744" s="4"/>
      <c r="FN1744" s="4"/>
      <c r="FO1744" s="4"/>
      <c r="FP1744" s="4"/>
      <c r="FQ1744" s="4"/>
      <c r="FR1744" s="4"/>
      <c r="FS1744" s="4"/>
      <c r="FT1744" s="4"/>
      <c r="FU1744" s="4"/>
      <c r="FV1744" s="4"/>
      <c r="FW1744" s="4"/>
      <c r="FX1744" s="4"/>
      <c r="FY1744" s="4"/>
      <c r="FZ1744" s="4"/>
      <c r="GA1744" s="4"/>
      <c r="GB1744" s="4"/>
      <c r="GC1744" s="4"/>
      <c r="GD1744" s="4"/>
      <c r="GE1744" s="4"/>
      <c r="GF1744" s="4"/>
      <c r="GG1744" s="4"/>
      <c r="GH1744" s="4"/>
      <c r="GI1744" s="4"/>
      <c r="GJ1744" s="4"/>
      <c r="GK1744" s="4"/>
      <c r="GL1744" s="4"/>
      <c r="GM1744" s="4"/>
      <c r="GN1744" s="4"/>
      <c r="GO1744" s="4"/>
      <c r="GP1744" s="4"/>
      <c r="GQ1744" s="4"/>
      <c r="GR1744" s="4"/>
      <c r="GS1744" s="4"/>
      <c r="GT1744" s="4"/>
      <c r="GU1744" s="4"/>
      <c r="GV1744" s="4"/>
      <c r="GW1744" s="4"/>
      <c r="GX1744" s="4"/>
      <c r="GY1744" s="4"/>
      <c r="GZ1744" s="4">
        <v>170</v>
      </c>
      <c r="HA1744" s="4"/>
      <c r="HB1744" s="4"/>
      <c r="HC1744" s="4"/>
      <c r="HD1744" s="4"/>
      <c r="HE1744" s="4"/>
    </row>
    <row r="1745">
      <c r="A1745" s="2" t="s">
        <v>8599</v>
      </c>
      <c r="B1745" s="2" t="s">
        <v>958</v>
      </c>
      <c r="C1745" s="2" t="s">
        <v>835</v>
      </c>
      <c r="D1745" s="2" t="s">
        <v>959</v>
      </c>
      <c r="E1745" s="2" t="s">
        <v>960</v>
      </c>
      <c r="F1745" s="2" t="s">
        <v>8570</v>
      </c>
      <c r="G1745" s="2" t="s">
        <v>8570</v>
      </c>
      <c r="H1745" s="2" t="s">
        <v>8570</v>
      </c>
      <c r="I1745" s="2" t="s">
        <v>8571</v>
      </c>
      <c r="J1745" s="2" t="s">
        <v>840</v>
      </c>
      <c r="K1745" s="2" t="s">
        <v>1653</v>
      </c>
      <c r="L1745" s="3">
        <v>353.78</v>
      </c>
      <c r="M1745" s="3">
        <v>371.47</v>
      </c>
      <c r="N1745" s="3">
        <v>739</v>
      </c>
      <c r="O1745" s="2" t="s">
        <v>240</v>
      </c>
      <c r="P1745" s="2" t="s">
        <v>1022</v>
      </c>
      <c r="Q1745" s="2" t="s">
        <v>234</v>
      </c>
      <c r="R1745" s="2" t="s">
        <v>228</v>
      </c>
      <c r="S1745" s="2" t="s">
        <v>228</v>
      </c>
      <c r="T1745" s="2" t="s">
        <v>228</v>
      </c>
      <c r="U1745" s="2" t="s">
        <v>520</v>
      </c>
      <c r="V1745" s="2" t="s">
        <v>236</v>
      </c>
      <c r="W1745" s="2" t="s">
        <v>843</v>
      </c>
      <c r="X1745" s="2" t="s">
        <v>228</v>
      </c>
      <c r="Y1745" s="2" t="s">
        <v>3986</v>
      </c>
      <c r="Z1745" s="4">
        <v>117</v>
      </c>
      <c r="AA1745" s="4">
        <f>=ROUNDDOWN({0},0)</f>
      </c>
      <c r="AB1745" s="5"/>
      <c r="AC1745" s="2" t="s">
        <v>173</v>
      </c>
      <c r="AD1745" s="4">
        <v>50</v>
      </c>
      <c r="AE1745" s="4">
        <v>135</v>
      </c>
      <c r="AF1745" s="6"/>
      <c r="AG1745" s="6"/>
      <c r="AH1745" s="7">
        <v>1</v>
      </c>
      <c r="AI1745" s="4"/>
      <c r="AJ1745" s="4">
        <f>=ROUNDDOWN({0},0)</f>
      </c>
      <c r="AK1745" s="5"/>
      <c r="AL1745" s="2" t="s">
        <v>228</v>
      </c>
      <c r="AM1745" s="4"/>
      <c r="AN1745" s="4"/>
      <c r="AO1745" s="7">
        <v>0.5484</v>
      </c>
      <c r="AP1745" s="4"/>
      <c r="AQ1745" s="8"/>
      <c r="AR1745" s="4"/>
      <c r="AS1745" s="8"/>
      <c r="AT1745" s="7"/>
      <c r="AU1745" s="7"/>
      <c r="AV1745" s="4" t="s">
        <v>228</v>
      </c>
      <c r="AW1745" s="8" t="s">
        <v>228</v>
      </c>
      <c r="AX1745" s="4" t="s">
        <v>228</v>
      </c>
      <c r="AY1745" s="8" t="s">
        <v>228</v>
      </c>
      <c r="AZ1745" s="7" t="s">
        <v>228</v>
      </c>
      <c r="BA1745" s="7" t="s">
        <v>228</v>
      </c>
      <c r="BB1745" s="7" t="s">
        <v>228</v>
      </c>
      <c r="BC1745" s="4" t="s">
        <v>228</v>
      </c>
      <c r="BD1745" s="8" t="s">
        <v>228</v>
      </c>
      <c r="BE1745" s="4" t="s">
        <v>228</v>
      </c>
      <c r="BF1745" s="8" t="s">
        <v>228</v>
      </c>
      <c r="BG1745" s="7" t="s">
        <v>228</v>
      </c>
      <c r="BH1745" s="7" t="s">
        <v>228</v>
      </c>
      <c r="BI1745" s="7"/>
      <c r="BJ1745" s="4"/>
      <c r="BK1745" s="8"/>
      <c r="BL1745" s="2" t="s">
        <v>228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8600</v>
      </c>
      <c r="BV1745" s="2" t="s">
        <v>228</v>
      </c>
      <c r="BW1745" s="2" t="s">
        <v>228</v>
      </c>
      <c r="BX1745" s="2" t="s">
        <v>2125</v>
      </c>
      <c r="BY1745" s="2" t="s">
        <v>274</v>
      </c>
      <c r="BZ1745" s="2" t="s">
        <v>240</v>
      </c>
      <c r="CA1745" s="2" t="s">
        <v>6991</v>
      </c>
      <c r="CB1745" s="2" t="s">
        <v>228</v>
      </c>
      <c r="CC1745" s="2" t="s">
        <v>241</v>
      </c>
      <c r="CD1745" s="2" t="s">
        <v>228</v>
      </c>
      <c r="CE1745" s="4"/>
      <c r="CF1745" s="4">
        <v>117</v>
      </c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/>
      <c r="EV1745" s="4"/>
      <c r="EW1745" s="4"/>
      <c r="EX1745" s="4"/>
      <c r="EY1745" s="4"/>
      <c r="EZ1745" s="4"/>
      <c r="FA1745" s="4"/>
      <c r="FB1745" s="4"/>
      <c r="FC1745" s="4"/>
      <c r="FD1745" s="4"/>
      <c r="FE1745" s="4"/>
      <c r="FF1745" s="4"/>
      <c r="FG1745" s="4"/>
      <c r="FH1745" s="4"/>
      <c r="FI1745" s="4">
        <v>50</v>
      </c>
      <c r="FJ1745" s="4"/>
      <c r="FK1745" s="4"/>
      <c r="FL1745" s="4"/>
      <c r="FM1745" s="4"/>
      <c r="FN1745" s="4"/>
      <c r="FO1745" s="4"/>
      <c r="FP1745" s="4"/>
      <c r="FQ1745" s="4"/>
      <c r="FR1745" s="4"/>
      <c r="FS1745" s="4"/>
      <c r="FT1745" s="4"/>
      <c r="FU1745" s="4"/>
      <c r="FV1745" s="4"/>
      <c r="FW1745" s="4"/>
      <c r="FX1745" s="4"/>
      <c r="FY1745" s="4"/>
      <c r="FZ1745" s="4"/>
      <c r="GA1745" s="4"/>
      <c r="GB1745" s="4"/>
      <c r="GC1745" s="4"/>
      <c r="GD1745" s="4"/>
      <c r="GE1745" s="4"/>
      <c r="GF1745" s="4"/>
      <c r="GG1745" s="4"/>
      <c r="GH1745" s="4"/>
      <c r="GI1745" s="4"/>
      <c r="GJ1745" s="4"/>
      <c r="GK1745" s="4"/>
      <c r="GL1745" s="4"/>
      <c r="GM1745" s="4"/>
      <c r="GN1745" s="4"/>
      <c r="GO1745" s="4"/>
      <c r="GP1745" s="4"/>
      <c r="GQ1745" s="4"/>
      <c r="GR1745" s="4"/>
      <c r="GS1745" s="4"/>
      <c r="GT1745" s="4"/>
      <c r="GU1745" s="4"/>
      <c r="GV1745" s="4"/>
      <c r="GW1745" s="4"/>
      <c r="GX1745" s="4"/>
      <c r="GY1745" s="4"/>
      <c r="GZ1745" s="4">
        <v>85</v>
      </c>
      <c r="HA1745" s="4"/>
      <c r="HB1745" s="4"/>
      <c r="HC1745" s="4"/>
      <c r="HD1745" s="4"/>
      <c r="HE1745" s="4"/>
    </row>
    <row r="1746">
      <c r="A1746" s="2" t="s">
        <v>8601</v>
      </c>
      <c r="B1746" s="2" t="s">
        <v>958</v>
      </c>
      <c r="C1746" s="2" t="s">
        <v>835</v>
      </c>
      <c r="D1746" s="2" t="s">
        <v>959</v>
      </c>
      <c r="E1746" s="2" t="s">
        <v>960</v>
      </c>
      <c r="F1746" s="2" t="s">
        <v>8570</v>
      </c>
      <c r="G1746" s="2" t="s">
        <v>8570</v>
      </c>
      <c r="H1746" s="2" t="s">
        <v>8570</v>
      </c>
      <c r="I1746" s="2" t="s">
        <v>8571</v>
      </c>
      <c r="J1746" s="2" t="s">
        <v>840</v>
      </c>
      <c r="K1746" s="2" t="s">
        <v>2350</v>
      </c>
      <c r="L1746" s="3">
        <v>353.78</v>
      </c>
      <c r="M1746" s="3">
        <v>371.47</v>
      </c>
      <c r="N1746" s="3">
        <v>739</v>
      </c>
      <c r="O1746" s="2" t="s">
        <v>240</v>
      </c>
      <c r="P1746" s="2" t="s">
        <v>1022</v>
      </c>
      <c r="Q1746" s="2" t="s">
        <v>234</v>
      </c>
      <c r="R1746" s="2" t="s">
        <v>228</v>
      </c>
      <c r="S1746" s="2" t="s">
        <v>228</v>
      </c>
      <c r="T1746" s="2" t="s">
        <v>228</v>
      </c>
      <c r="U1746" s="2" t="s">
        <v>520</v>
      </c>
      <c r="V1746" s="2" t="s">
        <v>236</v>
      </c>
      <c r="W1746" s="2" t="s">
        <v>843</v>
      </c>
      <c r="X1746" s="2" t="s">
        <v>228</v>
      </c>
      <c r="Y1746" s="2" t="s">
        <v>8585</v>
      </c>
      <c r="Z1746" s="4">
        <v>104</v>
      </c>
      <c r="AA1746" s="4">
        <f>=ROUNDDOWN({0},0)</f>
      </c>
      <c r="AB1746" s="5"/>
      <c r="AC1746" s="2" t="s">
        <v>173</v>
      </c>
      <c r="AD1746" s="4">
        <v>50</v>
      </c>
      <c r="AE1746" s="4">
        <v>100</v>
      </c>
      <c r="AF1746" s="6"/>
      <c r="AG1746" s="6"/>
      <c r="AH1746" s="7">
        <v>1</v>
      </c>
      <c r="AI1746" s="4"/>
      <c r="AJ1746" s="4">
        <f>=ROUNDDOWN({0},0)</f>
      </c>
      <c r="AK1746" s="5"/>
      <c r="AL1746" s="2" t="s">
        <v>228</v>
      </c>
      <c r="AM1746" s="4"/>
      <c r="AN1746" s="4"/>
      <c r="AO1746" s="7">
        <v>0.5484</v>
      </c>
      <c r="AP1746" s="4"/>
      <c r="AQ1746" s="8"/>
      <c r="AR1746" s="4"/>
      <c r="AS1746" s="8"/>
      <c r="AT1746" s="7"/>
      <c r="AU1746" s="7"/>
      <c r="AV1746" s="4"/>
      <c r="AW1746" s="8"/>
      <c r="AX1746" s="4"/>
      <c r="AY1746" s="8"/>
      <c r="AZ1746" s="7"/>
      <c r="BA1746" s="7"/>
      <c r="BB1746" s="7"/>
      <c r="BC1746" s="4" t="s">
        <v>228</v>
      </c>
      <c r="BD1746" s="8" t="s">
        <v>228</v>
      </c>
      <c r="BE1746" s="4" t="s">
        <v>228</v>
      </c>
      <c r="BF1746" s="8" t="s">
        <v>228</v>
      </c>
      <c r="BG1746" s="7" t="s">
        <v>228</v>
      </c>
      <c r="BH1746" s="7" t="s">
        <v>228</v>
      </c>
      <c r="BI1746" s="7"/>
      <c r="BJ1746" s="4"/>
      <c r="BK1746" s="8"/>
      <c r="BL1746" s="2" t="s">
        <v>228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8602</v>
      </c>
      <c r="BV1746" s="2" t="s">
        <v>228</v>
      </c>
      <c r="BW1746" s="2" t="s">
        <v>228</v>
      </c>
      <c r="BX1746" s="2" t="s">
        <v>2125</v>
      </c>
      <c r="BY1746" s="2" t="s">
        <v>274</v>
      </c>
      <c r="BZ1746" s="2" t="s">
        <v>240</v>
      </c>
      <c r="CA1746" s="2" t="s">
        <v>6991</v>
      </c>
      <c r="CB1746" s="2" t="s">
        <v>228</v>
      </c>
      <c r="CC1746" s="2" t="s">
        <v>241</v>
      </c>
      <c r="CD1746" s="2" t="s">
        <v>228</v>
      </c>
      <c r="CE1746" s="4"/>
      <c r="CF1746" s="4">
        <v>104</v>
      </c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  <c r="ES1746" s="4"/>
      <c r="ET1746" s="4"/>
      <c r="EU1746" s="4"/>
      <c r="EV1746" s="4"/>
      <c r="EW1746" s="4"/>
      <c r="EX1746" s="4"/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>
        <v>50</v>
      </c>
      <c r="FJ1746" s="4"/>
      <c r="FK1746" s="4"/>
      <c r="FL1746" s="4"/>
      <c r="FM1746" s="4"/>
      <c r="FN1746" s="4">
        <v>50</v>
      </c>
      <c r="FO1746" s="4"/>
      <c r="FP1746" s="4"/>
      <c r="FQ1746" s="4"/>
      <c r="FR1746" s="4"/>
      <c r="FS1746" s="4"/>
      <c r="FT1746" s="4"/>
      <c r="FU1746" s="4"/>
      <c r="FV1746" s="4"/>
      <c r="FW1746" s="4"/>
      <c r="FX1746" s="4"/>
      <c r="FY1746" s="4"/>
      <c r="FZ1746" s="4"/>
      <c r="GA1746" s="4"/>
      <c r="GB1746" s="4"/>
      <c r="GC1746" s="4"/>
      <c r="GD1746" s="4"/>
      <c r="GE1746" s="4"/>
      <c r="GF1746" s="4"/>
      <c r="GG1746" s="4"/>
      <c r="GH1746" s="4"/>
      <c r="GI1746" s="4"/>
      <c r="GJ1746" s="4"/>
      <c r="GK1746" s="4"/>
      <c r="GL1746" s="4"/>
      <c r="GM1746" s="4"/>
      <c r="GN1746" s="4"/>
      <c r="GO1746" s="4"/>
      <c r="GP1746" s="4"/>
      <c r="GQ1746" s="4"/>
      <c r="GR1746" s="4"/>
      <c r="GS1746" s="4"/>
      <c r="GT1746" s="4"/>
      <c r="GU1746" s="4"/>
      <c r="GV1746" s="4"/>
      <c r="GW1746" s="4"/>
      <c r="GX1746" s="4"/>
      <c r="GY1746" s="4"/>
      <c r="GZ1746" s="4"/>
      <c r="HA1746" s="4"/>
      <c r="HB1746" s="4"/>
      <c r="HC1746" s="4"/>
      <c r="HD1746" s="4"/>
      <c r="HE1746" s="4"/>
    </row>
    <row r="1747">
      <c r="A1747" s="2" t="s">
        <v>8603</v>
      </c>
      <c r="B1747" s="2" t="s">
        <v>1276</v>
      </c>
      <c r="C1747" s="2" t="s">
        <v>300</v>
      </c>
      <c r="D1747" s="2" t="s">
        <v>1276</v>
      </c>
      <c r="E1747" s="2" t="s">
        <v>1276</v>
      </c>
      <c r="F1747" s="2" t="s">
        <v>8570</v>
      </c>
      <c r="G1747" s="2" t="s">
        <v>1288</v>
      </c>
      <c r="H1747" s="2" t="s">
        <v>8588</v>
      </c>
      <c r="I1747" s="2" t="s">
        <v>6004</v>
      </c>
      <c r="J1747" s="2" t="s">
        <v>1711</v>
      </c>
      <c r="K1747" s="2" t="s">
        <v>888</v>
      </c>
      <c r="L1747" s="3">
        <v>57.32</v>
      </c>
      <c r="M1747" s="3">
        <v>60.19</v>
      </c>
      <c r="N1747" s="3">
        <v>129.99</v>
      </c>
      <c r="O1747" s="2" t="s">
        <v>461</v>
      </c>
      <c r="P1747" s="2" t="s">
        <v>333</v>
      </c>
      <c r="Q1747" s="2" t="s">
        <v>234</v>
      </c>
      <c r="R1747" s="2" t="s">
        <v>228</v>
      </c>
      <c r="S1747" s="2" t="s">
        <v>228</v>
      </c>
      <c r="T1747" s="2" t="s">
        <v>228</v>
      </c>
      <c r="U1747" s="2" t="s">
        <v>416</v>
      </c>
      <c r="V1747" s="2" t="s">
        <v>859</v>
      </c>
      <c r="W1747" s="2" t="s">
        <v>417</v>
      </c>
      <c r="X1747" s="2" t="s">
        <v>228</v>
      </c>
      <c r="Y1747" s="2" t="s">
        <v>5823</v>
      </c>
      <c r="Z1747" s="4">
        <v>164</v>
      </c>
      <c r="AA1747" s="4">
        <f>=ROUNDDOWN(164,0)</f>
      </c>
      <c r="AB1747" s="5">
        <v>1</v>
      </c>
      <c r="AC1747" s="2" t="s">
        <v>228</v>
      </c>
      <c r="AD1747" s="4"/>
      <c r="AE1747" s="4"/>
      <c r="AF1747" s="6">
        <v>63</v>
      </c>
      <c r="AG1747" s="6"/>
      <c r="AH1747" s="7">
        <v>1</v>
      </c>
      <c r="AI1747" s="4"/>
      <c r="AJ1747" s="4">
        <f>=ROUNDDOWN({0},0)</f>
      </c>
      <c r="AK1747" s="5"/>
      <c r="AL1747" s="2" t="s">
        <v>228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228</v>
      </c>
      <c r="AW1747" s="8" t="s">
        <v>228</v>
      </c>
      <c r="AX1747" s="4" t="s">
        <v>228</v>
      </c>
      <c r="AY1747" s="8" t="s">
        <v>228</v>
      </c>
      <c r="AZ1747" s="7" t="s">
        <v>228</v>
      </c>
      <c r="BA1747" s="7" t="s">
        <v>228</v>
      </c>
      <c r="BB1747" s="7"/>
      <c r="BC1747" s="4" t="s">
        <v>228</v>
      </c>
      <c r="BD1747" s="8" t="s">
        <v>228</v>
      </c>
      <c r="BE1747" s="4" t="s">
        <v>228</v>
      </c>
      <c r="BF1747" s="8" t="s">
        <v>228</v>
      </c>
      <c r="BG1747" s="7" t="s">
        <v>228</v>
      </c>
      <c r="BH1747" s="7" t="s">
        <v>228</v>
      </c>
      <c r="BI1747" s="7"/>
      <c r="BJ1747" s="4"/>
      <c r="BK1747" s="8"/>
      <c r="BL1747" s="2" t="s">
        <v>2986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8604</v>
      </c>
      <c r="BV1747" s="2" t="s">
        <v>228</v>
      </c>
      <c r="BW1747" s="2" t="s">
        <v>228</v>
      </c>
      <c r="BX1747" s="2" t="s">
        <v>337</v>
      </c>
      <c r="BY1747" s="2" t="s">
        <v>274</v>
      </c>
      <c r="BZ1747" s="2" t="s">
        <v>240</v>
      </c>
      <c r="CA1747" s="2" t="s">
        <v>1286</v>
      </c>
      <c r="CB1747" s="2" t="s">
        <v>7119</v>
      </c>
      <c r="CC1747" s="2" t="s">
        <v>241</v>
      </c>
      <c r="CD1747" s="2" t="s">
        <v>228</v>
      </c>
      <c r="CE1747" s="4"/>
      <c r="CF1747" s="4">
        <v>164</v>
      </c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  <c r="ES1747" s="4"/>
      <c r="ET1747" s="4"/>
      <c r="EU1747" s="4"/>
      <c r="EV1747" s="4"/>
      <c r="EW1747" s="4"/>
      <c r="EX1747" s="4"/>
      <c r="EY1747" s="4"/>
      <c r="EZ1747" s="4"/>
      <c r="FA1747" s="4"/>
      <c r="FB1747" s="4"/>
      <c r="FC1747" s="4"/>
      <c r="FD1747" s="4"/>
      <c r="FE1747" s="4"/>
      <c r="FF1747" s="4"/>
      <c r="FG1747" s="4"/>
      <c r="FH1747" s="4"/>
      <c r="FI1747" s="4"/>
      <c r="FJ1747" s="4"/>
      <c r="FK1747" s="4"/>
      <c r="FL1747" s="4"/>
      <c r="FM1747" s="4"/>
      <c r="FN1747" s="4"/>
      <c r="FO1747" s="4"/>
      <c r="FP1747" s="4"/>
      <c r="FQ1747" s="4"/>
      <c r="FR1747" s="4"/>
      <c r="FS1747" s="4"/>
      <c r="FT1747" s="4"/>
      <c r="FU1747" s="4"/>
      <c r="FV1747" s="4"/>
      <c r="FW1747" s="4"/>
      <c r="FX1747" s="4"/>
      <c r="FY1747" s="4"/>
      <c r="FZ1747" s="4"/>
      <c r="GA1747" s="4"/>
      <c r="GB1747" s="4"/>
      <c r="GC1747" s="4"/>
      <c r="GD1747" s="4"/>
      <c r="GE1747" s="4"/>
      <c r="GF1747" s="4"/>
      <c r="GG1747" s="4"/>
      <c r="GH1747" s="4"/>
      <c r="GI1747" s="4"/>
      <c r="GJ1747" s="4"/>
      <c r="GK1747" s="4"/>
      <c r="GL1747" s="4"/>
      <c r="GM1747" s="4"/>
      <c r="GN1747" s="4"/>
      <c r="GO1747" s="4"/>
      <c r="GP1747" s="4"/>
      <c r="GQ1747" s="4"/>
      <c r="GR1747" s="4"/>
      <c r="GS1747" s="4"/>
      <c r="GT1747" s="4"/>
      <c r="GU1747" s="4"/>
      <c r="GV1747" s="4"/>
      <c r="GW1747" s="4"/>
      <c r="GX1747" s="4"/>
      <c r="GY1747" s="4"/>
      <c r="GZ1747" s="4"/>
      <c r="HA1747" s="4"/>
      <c r="HB1747" s="4"/>
      <c r="HC1747" s="4"/>
      <c r="HD1747" s="4"/>
      <c r="HE1747" s="4"/>
    </row>
    <row r="1748">
      <c r="A1748" s="2" t="s">
        <v>8605</v>
      </c>
      <c r="B1748" s="2" t="s">
        <v>1276</v>
      </c>
      <c r="C1748" s="2" t="s">
        <v>300</v>
      </c>
      <c r="D1748" s="2" t="s">
        <v>1276</v>
      </c>
      <c r="E1748" s="2" t="s">
        <v>1276</v>
      </c>
      <c r="F1748" s="2" t="s">
        <v>8570</v>
      </c>
      <c r="G1748" s="2" t="s">
        <v>1288</v>
      </c>
      <c r="H1748" s="2" t="s">
        <v>8588</v>
      </c>
      <c r="I1748" s="2" t="s">
        <v>6004</v>
      </c>
      <c r="J1748" s="2" t="s">
        <v>1280</v>
      </c>
      <c r="K1748" s="2" t="s">
        <v>888</v>
      </c>
      <c r="L1748" s="3">
        <v>93.71</v>
      </c>
      <c r="M1748" s="3">
        <v>98.4</v>
      </c>
      <c r="N1748" s="3">
        <v>209.99</v>
      </c>
      <c r="O1748" s="2" t="s">
        <v>461</v>
      </c>
      <c r="P1748" s="2" t="s">
        <v>333</v>
      </c>
      <c r="Q1748" s="2" t="s">
        <v>234</v>
      </c>
      <c r="R1748" s="2" t="s">
        <v>228</v>
      </c>
      <c r="S1748" s="2" t="s">
        <v>228</v>
      </c>
      <c r="T1748" s="2" t="s">
        <v>228</v>
      </c>
      <c r="U1748" s="2" t="s">
        <v>416</v>
      </c>
      <c r="V1748" s="2" t="s">
        <v>859</v>
      </c>
      <c r="W1748" s="2" t="s">
        <v>417</v>
      </c>
      <c r="X1748" s="2" t="s">
        <v>228</v>
      </c>
      <c r="Y1748" s="2" t="s">
        <v>5823</v>
      </c>
      <c r="Z1748" s="4">
        <v>72</v>
      </c>
      <c r="AA1748" s="4">
        <f>=ROUNDDOWN(180,0)</f>
      </c>
      <c r="AB1748" s="5">
        <v>0.4</v>
      </c>
      <c r="AC1748" s="2" t="s">
        <v>228</v>
      </c>
      <c r="AD1748" s="4"/>
      <c r="AE1748" s="4"/>
      <c r="AF1748" s="6">
        <v>63</v>
      </c>
      <c r="AG1748" s="6"/>
      <c r="AH1748" s="7">
        <v>1</v>
      </c>
      <c r="AI1748" s="4"/>
      <c r="AJ1748" s="4">
        <f>=ROUNDDOWN({0},0)</f>
      </c>
      <c r="AK1748" s="5"/>
      <c r="AL1748" s="2" t="s">
        <v>228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 t="s">
        <v>228</v>
      </c>
      <c r="AW1748" s="8" t="s">
        <v>228</v>
      </c>
      <c r="AX1748" s="4" t="s">
        <v>228</v>
      </c>
      <c r="AY1748" s="8" t="s">
        <v>228</v>
      </c>
      <c r="AZ1748" s="7" t="s">
        <v>228</v>
      </c>
      <c r="BA1748" s="7" t="s">
        <v>228</v>
      </c>
      <c r="BB1748" s="7"/>
      <c r="BC1748" s="4" t="s">
        <v>228</v>
      </c>
      <c r="BD1748" s="8" t="s">
        <v>228</v>
      </c>
      <c r="BE1748" s="4" t="s">
        <v>228</v>
      </c>
      <c r="BF1748" s="8" t="s">
        <v>228</v>
      </c>
      <c r="BG1748" s="7" t="s">
        <v>228</v>
      </c>
      <c r="BH1748" s="7" t="s">
        <v>228</v>
      </c>
      <c r="BI1748" s="7"/>
      <c r="BJ1748" s="4">
        <v>2</v>
      </c>
      <c r="BK1748" s="8">
        <v>206.64</v>
      </c>
      <c r="BL1748" s="2" t="s">
        <v>2974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8606</v>
      </c>
      <c r="BV1748" s="2" t="s">
        <v>228</v>
      </c>
      <c r="BW1748" s="2" t="s">
        <v>228</v>
      </c>
      <c r="BX1748" s="2" t="s">
        <v>337</v>
      </c>
      <c r="BY1748" s="2" t="s">
        <v>274</v>
      </c>
      <c r="BZ1748" s="2" t="s">
        <v>240</v>
      </c>
      <c r="CA1748" s="2" t="s">
        <v>1286</v>
      </c>
      <c r="CB1748" s="2" t="s">
        <v>744</v>
      </c>
      <c r="CC1748" s="2" t="s">
        <v>241</v>
      </c>
      <c r="CD1748" s="2" t="s">
        <v>228</v>
      </c>
      <c r="CE1748" s="4"/>
      <c r="CF1748" s="4">
        <v>72</v>
      </c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  <c r="ES1748" s="4"/>
      <c r="ET1748" s="4"/>
      <c r="EU1748" s="4"/>
      <c r="EV1748" s="4"/>
      <c r="EW1748" s="4"/>
      <c r="EX1748" s="4"/>
      <c r="EY1748" s="4"/>
      <c r="EZ1748" s="4"/>
      <c r="FA1748" s="4"/>
      <c r="FB1748" s="4"/>
      <c r="FC1748" s="4"/>
      <c r="FD1748" s="4"/>
      <c r="FE1748" s="4"/>
      <c r="FF1748" s="4"/>
      <c r="FG1748" s="4"/>
      <c r="FH1748" s="4"/>
      <c r="FI1748" s="4"/>
      <c r="FJ1748" s="4"/>
      <c r="FK1748" s="4"/>
      <c r="FL1748" s="4"/>
      <c r="FM1748" s="4"/>
      <c r="FN1748" s="4"/>
      <c r="FO1748" s="4"/>
      <c r="FP1748" s="4"/>
      <c r="FQ1748" s="4"/>
      <c r="FR1748" s="4"/>
      <c r="FS1748" s="4"/>
      <c r="FT1748" s="4"/>
      <c r="FU1748" s="4"/>
      <c r="FV1748" s="4"/>
      <c r="FW1748" s="4"/>
      <c r="FX1748" s="4"/>
      <c r="FY1748" s="4"/>
      <c r="FZ1748" s="4"/>
      <c r="GA1748" s="4"/>
      <c r="GB1748" s="4"/>
      <c r="GC1748" s="4"/>
      <c r="GD1748" s="4"/>
      <c r="GE1748" s="4"/>
      <c r="GF1748" s="4"/>
      <c r="GG1748" s="4"/>
      <c r="GH1748" s="4"/>
      <c r="GI1748" s="4"/>
      <c r="GJ1748" s="4"/>
      <c r="GK1748" s="4"/>
      <c r="GL1748" s="4"/>
      <c r="GM1748" s="4"/>
      <c r="GN1748" s="4"/>
      <c r="GO1748" s="4"/>
      <c r="GP1748" s="4"/>
      <c r="GQ1748" s="4"/>
      <c r="GR1748" s="4"/>
      <c r="GS1748" s="4"/>
      <c r="GT1748" s="4"/>
      <c r="GU1748" s="4"/>
      <c r="GV1748" s="4"/>
      <c r="GW1748" s="4"/>
      <c r="GX1748" s="4"/>
      <c r="GY1748" s="4"/>
      <c r="GZ1748" s="4"/>
      <c r="HA1748" s="4"/>
      <c r="HB1748" s="4"/>
      <c r="HC1748" s="4"/>
      <c r="HD1748" s="4"/>
      <c r="HE1748" s="4"/>
    </row>
    <row r="1749">
      <c r="A1749" s="2" t="s">
        <v>8607</v>
      </c>
      <c r="B1749" s="2" t="s">
        <v>1276</v>
      </c>
      <c r="C1749" s="2" t="s">
        <v>300</v>
      </c>
      <c r="D1749" s="2" t="s">
        <v>1276</v>
      </c>
      <c r="E1749" s="2" t="s">
        <v>1276</v>
      </c>
      <c r="F1749" s="2" t="s">
        <v>8570</v>
      </c>
      <c r="G1749" s="2" t="s">
        <v>1288</v>
      </c>
      <c r="H1749" s="2" t="s">
        <v>8588</v>
      </c>
      <c r="I1749" s="2" t="s">
        <v>6004</v>
      </c>
      <c r="J1749" s="2" t="s">
        <v>1937</v>
      </c>
      <c r="K1749" s="2" t="s">
        <v>888</v>
      </c>
      <c r="L1749" s="3">
        <v>124.04</v>
      </c>
      <c r="M1749" s="3">
        <v>130.24</v>
      </c>
      <c r="N1749" s="3">
        <v>279.99</v>
      </c>
      <c r="O1749" s="2" t="s">
        <v>461</v>
      </c>
      <c r="P1749" s="2" t="s">
        <v>333</v>
      </c>
      <c r="Q1749" s="2" t="s">
        <v>234</v>
      </c>
      <c r="R1749" s="2" t="s">
        <v>228</v>
      </c>
      <c r="S1749" s="2" t="s">
        <v>228</v>
      </c>
      <c r="T1749" s="2" t="s">
        <v>228</v>
      </c>
      <c r="U1749" s="2" t="s">
        <v>416</v>
      </c>
      <c r="V1749" s="2" t="s">
        <v>859</v>
      </c>
      <c r="W1749" s="2" t="s">
        <v>417</v>
      </c>
      <c r="X1749" s="2" t="s">
        <v>228</v>
      </c>
      <c r="Y1749" s="2" t="s">
        <v>5823</v>
      </c>
      <c r="Z1749" s="4">
        <v>30</v>
      </c>
      <c r="AA1749" s="4">
        <f>=ROUNDDOWN(20,0)</f>
      </c>
      <c r="AB1749" s="5">
        <v>1.5</v>
      </c>
      <c r="AC1749" s="2" t="s">
        <v>228</v>
      </c>
      <c r="AD1749" s="4"/>
      <c r="AE1749" s="4"/>
      <c r="AF1749" s="6">
        <v>63</v>
      </c>
      <c r="AG1749" s="6"/>
      <c r="AH1749" s="7">
        <v>1</v>
      </c>
      <c r="AI1749" s="4"/>
      <c r="AJ1749" s="4">
        <f>=ROUNDDOWN({0},0)</f>
      </c>
      <c r="AK1749" s="5"/>
      <c r="AL1749" s="2" t="s">
        <v>228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 t="s">
        <v>228</v>
      </c>
      <c r="AW1749" s="8" t="s">
        <v>228</v>
      </c>
      <c r="AX1749" s="4" t="s">
        <v>228</v>
      </c>
      <c r="AY1749" s="8" t="s">
        <v>228</v>
      </c>
      <c r="AZ1749" s="7" t="s">
        <v>228</v>
      </c>
      <c r="BA1749" s="7" t="s">
        <v>228</v>
      </c>
      <c r="BB1749" s="7"/>
      <c r="BC1749" s="4" t="s">
        <v>228</v>
      </c>
      <c r="BD1749" s="8" t="s">
        <v>228</v>
      </c>
      <c r="BE1749" s="4" t="s">
        <v>228</v>
      </c>
      <c r="BF1749" s="8" t="s">
        <v>228</v>
      </c>
      <c r="BG1749" s="7" t="s">
        <v>228</v>
      </c>
      <c r="BH1749" s="7" t="s">
        <v>228</v>
      </c>
      <c r="BI1749" s="7"/>
      <c r="BJ1749" s="4">
        <v>7</v>
      </c>
      <c r="BK1749" s="8">
        <v>1004.59</v>
      </c>
      <c r="BL1749" s="2" t="s">
        <v>8608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8609</v>
      </c>
      <c r="BV1749" s="2" t="s">
        <v>228</v>
      </c>
      <c r="BW1749" s="2" t="s">
        <v>228</v>
      </c>
      <c r="BX1749" s="2" t="s">
        <v>337</v>
      </c>
      <c r="BY1749" s="2" t="s">
        <v>274</v>
      </c>
      <c r="BZ1749" s="2" t="s">
        <v>240</v>
      </c>
      <c r="CA1749" s="2" t="s">
        <v>1286</v>
      </c>
      <c r="CB1749" s="2" t="s">
        <v>8610</v>
      </c>
      <c r="CC1749" s="2" t="s">
        <v>241</v>
      </c>
      <c r="CD1749" s="2" t="s">
        <v>228</v>
      </c>
      <c r="CE1749" s="4"/>
      <c r="CF1749" s="4">
        <v>30</v>
      </c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  <c r="ES1749" s="4"/>
      <c r="ET1749" s="4"/>
      <c r="EU1749" s="4"/>
      <c r="EV1749" s="4"/>
      <c r="EW1749" s="4"/>
      <c r="EX1749" s="4"/>
      <c r="EY1749" s="4"/>
      <c r="EZ1749" s="4"/>
      <c r="FA1749" s="4"/>
      <c r="FB1749" s="4"/>
      <c r="FC1749" s="4"/>
      <c r="FD1749" s="4"/>
      <c r="FE1749" s="4"/>
      <c r="FF1749" s="4"/>
      <c r="FG1749" s="4"/>
      <c r="FH1749" s="4"/>
      <c r="FI1749" s="4"/>
      <c r="FJ1749" s="4"/>
      <c r="FK1749" s="4"/>
      <c r="FL1749" s="4"/>
      <c r="FM1749" s="4"/>
      <c r="FN1749" s="4"/>
      <c r="FO1749" s="4"/>
      <c r="FP1749" s="4"/>
      <c r="FQ1749" s="4"/>
      <c r="FR1749" s="4"/>
      <c r="FS1749" s="4"/>
      <c r="FT1749" s="4"/>
      <c r="FU1749" s="4"/>
      <c r="FV1749" s="4"/>
      <c r="FW1749" s="4"/>
      <c r="FX1749" s="4"/>
      <c r="FY1749" s="4"/>
      <c r="FZ1749" s="4"/>
      <c r="GA1749" s="4"/>
      <c r="GB1749" s="4"/>
      <c r="GC1749" s="4"/>
      <c r="GD1749" s="4"/>
      <c r="GE1749" s="4"/>
      <c r="GF1749" s="4"/>
      <c r="GG1749" s="4"/>
      <c r="GH1749" s="4"/>
      <c r="GI1749" s="4"/>
      <c r="GJ1749" s="4"/>
      <c r="GK1749" s="4"/>
      <c r="GL1749" s="4"/>
      <c r="GM1749" s="4"/>
      <c r="GN1749" s="4"/>
      <c r="GO1749" s="4"/>
      <c r="GP1749" s="4"/>
      <c r="GQ1749" s="4"/>
      <c r="GR1749" s="4"/>
      <c r="GS1749" s="4"/>
      <c r="GT1749" s="4"/>
      <c r="GU1749" s="4"/>
      <c r="GV1749" s="4"/>
      <c r="GW1749" s="4"/>
      <c r="GX1749" s="4"/>
      <c r="GY1749" s="4"/>
      <c r="GZ1749" s="4"/>
      <c r="HA1749" s="4"/>
      <c r="HB1749" s="4"/>
      <c r="HC1749" s="4"/>
      <c r="HD1749" s="4"/>
      <c r="HE1749" s="4"/>
    </row>
    <row r="1750">
      <c r="A1750" s="2" t="s">
        <v>8611</v>
      </c>
      <c r="B1750" s="2" t="s">
        <v>958</v>
      </c>
      <c r="C1750" s="2" t="s">
        <v>835</v>
      </c>
      <c r="D1750" s="2" t="s">
        <v>959</v>
      </c>
      <c r="E1750" s="2" t="s">
        <v>960</v>
      </c>
      <c r="F1750" s="2" t="s">
        <v>8570</v>
      </c>
      <c r="G1750" s="2" t="s">
        <v>8570</v>
      </c>
      <c r="H1750" s="2" t="s">
        <v>8570</v>
      </c>
      <c r="I1750" s="2" t="s">
        <v>8571</v>
      </c>
      <c r="J1750" s="2" t="s">
        <v>840</v>
      </c>
      <c r="K1750" s="2" t="s">
        <v>8612</v>
      </c>
      <c r="L1750" s="3">
        <v>353.78</v>
      </c>
      <c r="M1750" s="3">
        <v>371.47</v>
      </c>
      <c r="N1750" s="3">
        <v>739</v>
      </c>
      <c r="O1750" s="2" t="s">
        <v>240</v>
      </c>
      <c r="P1750" s="2" t="s">
        <v>1022</v>
      </c>
      <c r="Q1750" s="2" t="s">
        <v>234</v>
      </c>
      <c r="R1750" s="2" t="s">
        <v>228</v>
      </c>
      <c r="S1750" s="2" t="s">
        <v>8613</v>
      </c>
      <c r="T1750" s="2" t="s">
        <v>415</v>
      </c>
      <c r="U1750" s="2" t="s">
        <v>520</v>
      </c>
      <c r="V1750" s="2" t="s">
        <v>236</v>
      </c>
      <c r="W1750" s="2" t="s">
        <v>843</v>
      </c>
      <c r="X1750" s="2" t="s">
        <v>228</v>
      </c>
      <c r="Y1750" s="2" t="s">
        <v>270</v>
      </c>
      <c r="Z1750" s="4">
        <v>152</v>
      </c>
      <c r="AA1750" s="4">
        <f>=ROUNDDOWN({0},0)</f>
      </c>
      <c r="AB1750" s="5"/>
      <c r="AC1750" s="2" t="s">
        <v>228</v>
      </c>
      <c r="AD1750" s="4"/>
      <c r="AE1750" s="4"/>
      <c r="AF1750" s="6"/>
      <c r="AG1750" s="6"/>
      <c r="AH1750" s="7">
        <v>1</v>
      </c>
      <c r="AI1750" s="4"/>
      <c r="AJ1750" s="4">
        <f>=ROUNDDOWN({0},0)</f>
      </c>
      <c r="AK1750" s="5"/>
      <c r="AL1750" s="2" t="s">
        <v>228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/>
      <c r="AW1750" s="8"/>
      <c r="AX1750" s="4"/>
      <c r="AY1750" s="8"/>
      <c r="AZ1750" s="7"/>
      <c r="BA1750" s="7"/>
      <c r="BB1750" s="7"/>
      <c r="BC1750" s="4" t="s">
        <v>228</v>
      </c>
      <c r="BD1750" s="8" t="s">
        <v>228</v>
      </c>
      <c r="BE1750" s="4" t="s">
        <v>228</v>
      </c>
      <c r="BF1750" s="8" t="s">
        <v>228</v>
      </c>
      <c r="BG1750" s="7" t="s">
        <v>228</v>
      </c>
      <c r="BH1750" s="7" t="s">
        <v>228</v>
      </c>
      <c r="BI1750" s="7"/>
      <c r="BJ1750" s="4"/>
      <c r="BK1750" s="8"/>
      <c r="BL1750" s="2" t="s">
        <v>228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8614</v>
      </c>
      <c r="BV1750" s="2" t="s">
        <v>228</v>
      </c>
      <c r="BW1750" s="2" t="s">
        <v>228</v>
      </c>
      <c r="BX1750" s="2" t="s">
        <v>2125</v>
      </c>
      <c r="BY1750" s="2" t="s">
        <v>274</v>
      </c>
      <c r="BZ1750" s="2" t="s">
        <v>240</v>
      </c>
      <c r="CA1750" s="2" t="s">
        <v>6991</v>
      </c>
      <c r="CB1750" s="2" t="s">
        <v>228</v>
      </c>
      <c r="CC1750" s="2" t="s">
        <v>241</v>
      </c>
      <c r="CD1750" s="2" t="s">
        <v>228</v>
      </c>
      <c r="CE1750" s="4"/>
      <c r="CF1750" s="4">
        <v>152</v>
      </c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/>
      <c r="ER1750" s="4"/>
      <c r="ES1750" s="4"/>
      <c r="ET1750" s="4"/>
      <c r="EU1750" s="4"/>
      <c r="EV1750" s="4"/>
      <c r="EW1750" s="4"/>
      <c r="EX1750" s="4"/>
      <c r="EY1750" s="4"/>
      <c r="EZ1750" s="4"/>
      <c r="FA1750" s="4"/>
      <c r="FB1750" s="4"/>
      <c r="FC1750" s="4"/>
      <c r="FD1750" s="4"/>
      <c r="FE1750" s="4"/>
      <c r="FF1750" s="4"/>
      <c r="FG1750" s="4"/>
      <c r="FH1750" s="4"/>
      <c r="FI1750" s="4"/>
      <c r="FJ1750" s="4"/>
      <c r="FK1750" s="4"/>
      <c r="FL1750" s="4"/>
      <c r="FM1750" s="4"/>
      <c r="FN1750" s="4"/>
      <c r="FO1750" s="4"/>
      <c r="FP1750" s="4"/>
      <c r="FQ1750" s="4"/>
      <c r="FR1750" s="4"/>
      <c r="FS1750" s="4"/>
      <c r="FT1750" s="4"/>
      <c r="FU1750" s="4"/>
      <c r="FV1750" s="4"/>
      <c r="FW1750" s="4"/>
      <c r="FX1750" s="4"/>
      <c r="FY1750" s="4"/>
      <c r="FZ1750" s="4"/>
      <c r="GA1750" s="4"/>
      <c r="GB1750" s="4"/>
      <c r="GC1750" s="4"/>
      <c r="GD1750" s="4"/>
      <c r="GE1750" s="4"/>
      <c r="GF1750" s="4"/>
      <c r="GG1750" s="4"/>
      <c r="GH1750" s="4"/>
      <c r="GI1750" s="4"/>
      <c r="GJ1750" s="4"/>
      <c r="GK1750" s="4"/>
      <c r="GL1750" s="4"/>
      <c r="GM1750" s="4"/>
      <c r="GN1750" s="4"/>
      <c r="GO1750" s="4"/>
      <c r="GP1750" s="4"/>
      <c r="GQ1750" s="4"/>
      <c r="GR1750" s="4"/>
      <c r="GS1750" s="4"/>
      <c r="GT1750" s="4"/>
      <c r="GU1750" s="4"/>
      <c r="GV1750" s="4"/>
      <c r="GW1750" s="4"/>
      <c r="GX1750" s="4"/>
      <c r="GY1750" s="4"/>
      <c r="GZ1750" s="4"/>
      <c r="HA1750" s="4"/>
      <c r="HB1750" s="4"/>
      <c r="HC1750" s="4"/>
      <c r="HD1750" s="4"/>
      <c r="HE1750" s="4"/>
    </row>
    <row r="1751">
      <c r="A1751" s="2" t="s">
        <v>8615</v>
      </c>
      <c r="B1751" s="2" t="s">
        <v>958</v>
      </c>
      <c r="C1751" s="2" t="s">
        <v>835</v>
      </c>
      <c r="D1751" s="2" t="s">
        <v>959</v>
      </c>
      <c r="E1751" s="2" t="s">
        <v>960</v>
      </c>
      <c r="F1751" s="2" t="s">
        <v>8570</v>
      </c>
      <c r="G1751" s="2" t="s">
        <v>8570</v>
      </c>
      <c r="H1751" s="2" t="s">
        <v>8570</v>
      </c>
      <c r="I1751" s="2" t="s">
        <v>8571</v>
      </c>
      <c r="J1751" s="2" t="s">
        <v>840</v>
      </c>
      <c r="K1751" s="2" t="s">
        <v>1021</v>
      </c>
      <c r="L1751" s="3">
        <v>353.78</v>
      </c>
      <c r="M1751" s="3">
        <v>371.47</v>
      </c>
      <c r="N1751" s="3">
        <v>739</v>
      </c>
      <c r="O1751" s="2" t="s">
        <v>240</v>
      </c>
      <c r="P1751" s="2" t="s">
        <v>1022</v>
      </c>
      <c r="Q1751" s="2" t="s">
        <v>234</v>
      </c>
      <c r="R1751" s="2" t="s">
        <v>228</v>
      </c>
      <c r="S1751" s="2" t="s">
        <v>228</v>
      </c>
      <c r="T1751" s="2" t="s">
        <v>228</v>
      </c>
      <c r="U1751" s="2" t="s">
        <v>520</v>
      </c>
      <c r="V1751" s="2" t="s">
        <v>236</v>
      </c>
      <c r="W1751" s="2" t="s">
        <v>843</v>
      </c>
      <c r="X1751" s="2" t="s">
        <v>228</v>
      </c>
      <c r="Y1751" s="2" t="s">
        <v>5449</v>
      </c>
      <c r="Z1751" s="4">
        <v>63</v>
      </c>
      <c r="AA1751" s="4">
        <f>=ROUNDDOWN(315,0)</f>
      </c>
      <c r="AB1751" s="5">
        <v>0.2</v>
      </c>
      <c r="AC1751" s="2" t="s">
        <v>1947</v>
      </c>
      <c r="AD1751" s="4">
        <v>60</v>
      </c>
      <c r="AE1751" s="4">
        <v>245</v>
      </c>
      <c r="AF1751" s="6"/>
      <c r="AG1751" s="6"/>
      <c r="AH1751" s="7">
        <v>1</v>
      </c>
      <c r="AI1751" s="4"/>
      <c r="AJ1751" s="4">
        <f>=ROUNDDOWN({0},0)</f>
      </c>
      <c r="AK1751" s="5"/>
      <c r="AL1751" s="2" t="s">
        <v>228</v>
      </c>
      <c r="AM1751" s="4"/>
      <c r="AN1751" s="4"/>
      <c r="AO1751" s="7">
        <v>0.5484</v>
      </c>
      <c r="AP1751" s="4"/>
      <c r="AQ1751" s="8"/>
      <c r="AR1751" s="4"/>
      <c r="AS1751" s="8"/>
      <c r="AT1751" s="7"/>
      <c r="AU1751" s="7"/>
      <c r="AV1751" s="4"/>
      <c r="AW1751" s="8"/>
      <c r="AX1751" s="4"/>
      <c r="AY1751" s="8"/>
      <c r="AZ1751" s="7"/>
      <c r="BA1751" s="7"/>
      <c r="BB1751" s="7"/>
      <c r="BC1751" s="4" t="s">
        <v>228</v>
      </c>
      <c r="BD1751" s="8" t="s">
        <v>228</v>
      </c>
      <c r="BE1751" s="4" t="s">
        <v>228</v>
      </c>
      <c r="BF1751" s="8" t="s">
        <v>228</v>
      </c>
      <c r="BG1751" s="7" t="s">
        <v>228</v>
      </c>
      <c r="BH1751" s="7" t="s">
        <v>228</v>
      </c>
      <c r="BI1751" s="7"/>
      <c r="BJ1751" s="4">
        <v>1</v>
      </c>
      <c r="BK1751" s="8">
        <v>325.22</v>
      </c>
      <c r="BL1751" s="2" t="s">
        <v>1933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8616</v>
      </c>
      <c r="BV1751" s="2" t="s">
        <v>228</v>
      </c>
      <c r="BW1751" s="2" t="s">
        <v>228</v>
      </c>
      <c r="BX1751" s="2" t="s">
        <v>2125</v>
      </c>
      <c r="BY1751" s="2" t="s">
        <v>274</v>
      </c>
      <c r="BZ1751" s="2" t="s">
        <v>240</v>
      </c>
      <c r="CA1751" s="2" t="s">
        <v>6991</v>
      </c>
      <c r="CB1751" s="2" t="s">
        <v>228</v>
      </c>
      <c r="CC1751" s="2" t="s">
        <v>241</v>
      </c>
      <c r="CD1751" s="2" t="s">
        <v>228</v>
      </c>
      <c r="CE1751" s="4"/>
      <c r="CF1751" s="4">
        <v>63</v>
      </c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>
        <v>60</v>
      </c>
      <c r="EA1751" s="4"/>
      <c r="EB1751" s="4"/>
      <c r="EC1751" s="4"/>
      <c r="ED1751" s="4"/>
      <c r="EE1751" s="4"/>
      <c r="EF1751" s="4"/>
      <c r="EG1751" s="4">
        <v>35</v>
      </c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/>
      <c r="EY1751" s="4"/>
      <c r="EZ1751" s="4"/>
      <c r="FA1751" s="4"/>
      <c r="FB1751" s="4"/>
      <c r="FC1751" s="4"/>
      <c r="FD1751" s="4"/>
      <c r="FE1751" s="4"/>
      <c r="FF1751" s="4"/>
      <c r="FG1751" s="4"/>
      <c r="FH1751" s="4"/>
      <c r="FI1751" s="4">
        <v>50</v>
      </c>
      <c r="FJ1751" s="4"/>
      <c r="FK1751" s="4"/>
      <c r="FL1751" s="4"/>
      <c r="FM1751" s="4"/>
      <c r="FN1751" s="4">
        <v>37</v>
      </c>
      <c r="FO1751" s="4"/>
      <c r="FP1751" s="4"/>
      <c r="FQ1751" s="4"/>
      <c r="FR1751" s="4"/>
      <c r="FS1751" s="4"/>
      <c r="FT1751" s="4"/>
      <c r="FU1751" s="4"/>
      <c r="FV1751" s="4"/>
      <c r="FW1751" s="4"/>
      <c r="FX1751" s="4"/>
      <c r="FY1751" s="4"/>
      <c r="FZ1751" s="4"/>
      <c r="GA1751" s="4"/>
      <c r="GB1751" s="4"/>
      <c r="GC1751" s="4"/>
      <c r="GD1751" s="4"/>
      <c r="GE1751" s="4"/>
      <c r="GF1751" s="4"/>
      <c r="GG1751" s="4"/>
      <c r="GH1751" s="4"/>
      <c r="GI1751" s="4"/>
      <c r="GJ1751" s="4"/>
      <c r="GK1751" s="4"/>
      <c r="GL1751" s="4"/>
      <c r="GM1751" s="4"/>
      <c r="GN1751" s="4"/>
      <c r="GO1751" s="4"/>
      <c r="GP1751" s="4"/>
      <c r="GQ1751" s="4"/>
      <c r="GR1751" s="4"/>
      <c r="GS1751" s="4"/>
      <c r="GT1751" s="4"/>
      <c r="GU1751" s="4"/>
      <c r="GV1751" s="4"/>
      <c r="GW1751" s="4"/>
      <c r="GX1751" s="4"/>
      <c r="GY1751" s="4"/>
      <c r="GZ1751" s="4">
        <v>63</v>
      </c>
      <c r="HA1751" s="4"/>
      <c r="HB1751" s="4"/>
      <c r="HC1751" s="4"/>
      <c r="HD1751" s="4"/>
      <c r="HE1751" s="4"/>
    </row>
    <row r="1752">
      <c r="A1752" s="2" t="s">
        <v>8617</v>
      </c>
      <c r="B1752" s="2" t="s">
        <v>834</v>
      </c>
      <c r="C1752" s="2" t="s">
        <v>1743</v>
      </c>
      <c r="D1752" s="2" t="s">
        <v>1101</v>
      </c>
      <c r="E1752" s="2" t="s">
        <v>1102</v>
      </c>
      <c r="F1752" s="2" t="s">
        <v>8618</v>
      </c>
      <c r="G1752" s="2" t="s">
        <v>8618</v>
      </c>
      <c r="H1752" s="2" t="s">
        <v>8618</v>
      </c>
      <c r="I1752" s="2" t="s">
        <v>8619</v>
      </c>
      <c r="J1752" s="2" t="s">
        <v>840</v>
      </c>
      <c r="K1752" s="2" t="s">
        <v>305</v>
      </c>
      <c r="L1752" s="3">
        <v>26.78</v>
      </c>
      <c r="M1752" s="3">
        <v>28.12</v>
      </c>
      <c r="N1752" s="3">
        <v>59.99</v>
      </c>
      <c r="O1752" s="2" t="s">
        <v>240</v>
      </c>
      <c r="P1752" s="2" t="s">
        <v>266</v>
      </c>
      <c r="Q1752" s="2" t="s">
        <v>234</v>
      </c>
      <c r="R1752" s="2" t="s">
        <v>228</v>
      </c>
      <c r="S1752" s="2" t="s">
        <v>228</v>
      </c>
      <c r="T1752" s="2" t="s">
        <v>228</v>
      </c>
      <c r="U1752" s="2" t="s">
        <v>416</v>
      </c>
      <c r="V1752" s="2" t="s">
        <v>842</v>
      </c>
      <c r="W1752" s="2" t="s">
        <v>417</v>
      </c>
      <c r="X1752" s="2" t="s">
        <v>228</v>
      </c>
      <c r="Y1752" s="2" t="s">
        <v>2033</v>
      </c>
      <c r="Z1752" s="4">
        <v>139</v>
      </c>
      <c r="AA1752" s="4">
        <f>=ROUNDDOWN(44.8387096774194,0)</f>
      </c>
      <c r="AB1752" s="5">
        <v>3.1</v>
      </c>
      <c r="AC1752" s="2" t="s">
        <v>228</v>
      </c>
      <c r="AD1752" s="4"/>
      <c r="AE1752" s="4"/>
      <c r="AF1752" s="6">
        <v>65</v>
      </c>
      <c r="AG1752" s="6"/>
      <c r="AH1752" s="7">
        <v>1</v>
      </c>
      <c r="AI1752" s="4"/>
      <c r="AJ1752" s="4">
        <f>=ROUNDDOWN({0},0)</f>
      </c>
      <c r="AK1752" s="5"/>
      <c r="AL1752" s="2" t="s">
        <v>228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/>
      <c r="AW1752" s="8"/>
      <c r="AX1752" s="4"/>
      <c r="AY1752" s="8"/>
      <c r="AZ1752" s="7"/>
      <c r="BA1752" s="7"/>
      <c r="BB1752" s="7"/>
      <c r="BC1752" s="4" t="s">
        <v>228</v>
      </c>
      <c r="BD1752" s="8" t="s">
        <v>228</v>
      </c>
      <c r="BE1752" s="4" t="s">
        <v>228</v>
      </c>
      <c r="BF1752" s="8" t="s">
        <v>228</v>
      </c>
      <c r="BG1752" s="7" t="s">
        <v>228</v>
      </c>
      <c r="BH1752" s="7" t="s">
        <v>228</v>
      </c>
      <c r="BI1752" s="7"/>
      <c r="BJ1752" s="4">
        <v>7</v>
      </c>
      <c r="BK1752" s="8">
        <v>205.01</v>
      </c>
      <c r="BL1752" s="2" t="s">
        <v>8620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8621</v>
      </c>
      <c r="BV1752" s="2" t="s">
        <v>228</v>
      </c>
      <c r="BW1752" s="2" t="s">
        <v>228</v>
      </c>
      <c r="BX1752" s="2" t="s">
        <v>273</v>
      </c>
      <c r="BY1752" s="2" t="s">
        <v>274</v>
      </c>
      <c r="BZ1752" s="2" t="s">
        <v>240</v>
      </c>
      <c r="CA1752" s="2" t="s">
        <v>2036</v>
      </c>
      <c r="CB1752" s="2" t="s">
        <v>1889</v>
      </c>
      <c r="CC1752" s="2" t="s">
        <v>241</v>
      </c>
      <c r="CD1752" s="2" t="s">
        <v>228</v>
      </c>
      <c r="CE1752" s="4"/>
      <c r="CF1752" s="4">
        <v>139</v>
      </c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  <c r="ES1752" s="4"/>
      <c r="ET1752" s="4"/>
      <c r="EU1752" s="4"/>
      <c r="EV1752" s="4"/>
      <c r="EW1752" s="4"/>
      <c r="EX1752" s="4"/>
      <c r="EY1752" s="4"/>
      <c r="EZ1752" s="4"/>
      <c r="FA1752" s="4"/>
      <c r="FB1752" s="4"/>
      <c r="FC1752" s="4"/>
      <c r="FD1752" s="4"/>
      <c r="FE1752" s="4"/>
      <c r="FF1752" s="4"/>
      <c r="FG1752" s="4"/>
      <c r="FH1752" s="4"/>
      <c r="FI1752" s="4"/>
      <c r="FJ1752" s="4"/>
      <c r="FK1752" s="4"/>
      <c r="FL1752" s="4"/>
      <c r="FM1752" s="4"/>
      <c r="FN1752" s="4"/>
      <c r="FO1752" s="4"/>
      <c r="FP1752" s="4"/>
      <c r="FQ1752" s="4"/>
      <c r="FR1752" s="4"/>
      <c r="FS1752" s="4"/>
      <c r="FT1752" s="4"/>
      <c r="FU1752" s="4"/>
      <c r="FV1752" s="4"/>
      <c r="FW1752" s="4"/>
      <c r="FX1752" s="4"/>
      <c r="FY1752" s="4"/>
      <c r="FZ1752" s="4"/>
      <c r="GA1752" s="4"/>
      <c r="GB1752" s="4"/>
      <c r="GC1752" s="4"/>
      <c r="GD1752" s="4"/>
      <c r="GE1752" s="4"/>
      <c r="GF1752" s="4"/>
      <c r="GG1752" s="4"/>
      <c r="GH1752" s="4"/>
      <c r="GI1752" s="4"/>
      <c r="GJ1752" s="4"/>
      <c r="GK1752" s="4"/>
      <c r="GL1752" s="4"/>
      <c r="GM1752" s="4"/>
      <c r="GN1752" s="4"/>
      <c r="GO1752" s="4"/>
      <c r="GP1752" s="4"/>
      <c r="GQ1752" s="4"/>
      <c r="GR1752" s="4"/>
      <c r="GS1752" s="4"/>
      <c r="GT1752" s="4"/>
      <c r="GU1752" s="4"/>
      <c r="GV1752" s="4"/>
      <c r="GW1752" s="4"/>
      <c r="GX1752" s="4"/>
      <c r="GY1752" s="4"/>
      <c r="GZ1752" s="4"/>
      <c r="HA1752" s="4"/>
      <c r="HB1752" s="4"/>
      <c r="HC1752" s="4"/>
      <c r="HD1752" s="4"/>
      <c r="HE1752" s="4"/>
    </row>
    <row r="1753">
      <c r="A1753" s="2" t="s">
        <v>8622</v>
      </c>
      <c r="B1753" s="2" t="s">
        <v>834</v>
      </c>
      <c r="C1753" s="2" t="s">
        <v>1743</v>
      </c>
      <c r="D1753" s="2" t="s">
        <v>1101</v>
      </c>
      <c r="E1753" s="2" t="s">
        <v>1102</v>
      </c>
      <c r="F1753" s="2" t="s">
        <v>8618</v>
      </c>
      <c r="G1753" s="2" t="s">
        <v>8618</v>
      </c>
      <c r="H1753" s="2" t="s">
        <v>8618</v>
      </c>
      <c r="I1753" s="2" t="s">
        <v>8619</v>
      </c>
      <c r="J1753" s="2" t="s">
        <v>840</v>
      </c>
      <c r="K1753" s="2" t="s">
        <v>316</v>
      </c>
      <c r="L1753" s="3">
        <v>28.19</v>
      </c>
      <c r="M1753" s="3">
        <v>29.6</v>
      </c>
      <c r="N1753" s="3">
        <v>59.99</v>
      </c>
      <c r="O1753" s="2" t="s">
        <v>240</v>
      </c>
      <c r="P1753" s="2" t="s">
        <v>266</v>
      </c>
      <c r="Q1753" s="2" t="s">
        <v>234</v>
      </c>
      <c r="R1753" s="2" t="s">
        <v>228</v>
      </c>
      <c r="S1753" s="2" t="s">
        <v>228</v>
      </c>
      <c r="T1753" s="2" t="s">
        <v>228</v>
      </c>
      <c r="U1753" s="2" t="s">
        <v>416</v>
      </c>
      <c r="V1753" s="2" t="s">
        <v>842</v>
      </c>
      <c r="W1753" s="2" t="s">
        <v>417</v>
      </c>
      <c r="X1753" s="2" t="s">
        <v>228</v>
      </c>
      <c r="Y1753" s="2" t="s">
        <v>2033</v>
      </c>
      <c r="Z1753" s="4">
        <v>137</v>
      </c>
      <c r="AA1753" s="4">
        <f>=ROUNDDOWN(45.6666666666667,0)</f>
      </c>
      <c r="AB1753" s="5">
        <v>3</v>
      </c>
      <c r="AC1753" s="2" t="s">
        <v>228</v>
      </c>
      <c r="AD1753" s="4"/>
      <c r="AE1753" s="4"/>
      <c r="AF1753" s="6">
        <v>65</v>
      </c>
      <c r="AG1753" s="6"/>
      <c r="AH1753" s="7">
        <v>1</v>
      </c>
      <c r="AI1753" s="4"/>
      <c r="AJ1753" s="4">
        <f>=ROUNDDOWN({0},0)</f>
      </c>
      <c r="AK1753" s="5"/>
      <c r="AL1753" s="2" t="s">
        <v>228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/>
      <c r="AW1753" s="8"/>
      <c r="AX1753" s="4"/>
      <c r="AY1753" s="8"/>
      <c r="AZ1753" s="7"/>
      <c r="BA1753" s="7"/>
      <c r="BB1753" s="7"/>
      <c r="BC1753" s="4" t="s">
        <v>228</v>
      </c>
      <c r="BD1753" s="8" t="s">
        <v>228</v>
      </c>
      <c r="BE1753" s="4" t="s">
        <v>228</v>
      </c>
      <c r="BF1753" s="8" t="s">
        <v>228</v>
      </c>
      <c r="BG1753" s="7" t="s">
        <v>228</v>
      </c>
      <c r="BH1753" s="7" t="s">
        <v>228</v>
      </c>
      <c r="BI1753" s="7"/>
      <c r="BJ1753" s="4">
        <v>13</v>
      </c>
      <c r="BK1753" s="8">
        <v>372.8</v>
      </c>
      <c r="BL1753" s="2" t="s">
        <v>8623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8624</v>
      </c>
      <c r="BV1753" s="2" t="s">
        <v>228</v>
      </c>
      <c r="BW1753" s="2" t="s">
        <v>228</v>
      </c>
      <c r="BX1753" s="2" t="s">
        <v>273</v>
      </c>
      <c r="BY1753" s="2" t="s">
        <v>274</v>
      </c>
      <c r="BZ1753" s="2" t="s">
        <v>240</v>
      </c>
      <c r="CA1753" s="2" t="s">
        <v>2036</v>
      </c>
      <c r="CB1753" s="2" t="s">
        <v>8625</v>
      </c>
      <c r="CC1753" s="2" t="s">
        <v>241</v>
      </c>
      <c r="CD1753" s="2" t="s">
        <v>228</v>
      </c>
      <c r="CE1753" s="4">
        <v>2</v>
      </c>
      <c r="CF1753" s="4">
        <v>135</v>
      </c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/>
      <c r="EV1753" s="4"/>
      <c r="EW1753" s="4"/>
      <c r="EX1753" s="4"/>
      <c r="EY1753" s="4"/>
      <c r="EZ1753" s="4"/>
      <c r="FA1753" s="4"/>
      <c r="FB1753" s="4"/>
      <c r="FC1753" s="4"/>
      <c r="FD1753" s="4"/>
      <c r="FE1753" s="4"/>
      <c r="FF1753" s="4"/>
      <c r="FG1753" s="4"/>
      <c r="FH1753" s="4"/>
      <c r="FI1753" s="4"/>
      <c r="FJ1753" s="4"/>
      <c r="FK1753" s="4"/>
      <c r="FL1753" s="4"/>
      <c r="FM1753" s="4"/>
      <c r="FN1753" s="4"/>
      <c r="FO1753" s="4"/>
      <c r="FP1753" s="4"/>
      <c r="FQ1753" s="4"/>
      <c r="FR1753" s="4"/>
      <c r="FS1753" s="4"/>
      <c r="FT1753" s="4"/>
      <c r="FU1753" s="4"/>
      <c r="FV1753" s="4"/>
      <c r="FW1753" s="4"/>
      <c r="FX1753" s="4"/>
      <c r="FY1753" s="4"/>
      <c r="FZ1753" s="4"/>
      <c r="GA1753" s="4"/>
      <c r="GB1753" s="4"/>
      <c r="GC1753" s="4"/>
      <c r="GD1753" s="4"/>
      <c r="GE1753" s="4"/>
      <c r="GF1753" s="4"/>
      <c r="GG1753" s="4"/>
      <c r="GH1753" s="4"/>
      <c r="GI1753" s="4"/>
      <c r="GJ1753" s="4"/>
      <c r="GK1753" s="4"/>
      <c r="GL1753" s="4"/>
      <c r="GM1753" s="4"/>
      <c r="GN1753" s="4"/>
      <c r="GO1753" s="4"/>
      <c r="GP1753" s="4"/>
      <c r="GQ1753" s="4"/>
      <c r="GR1753" s="4"/>
      <c r="GS1753" s="4"/>
      <c r="GT1753" s="4"/>
      <c r="GU1753" s="4"/>
      <c r="GV1753" s="4"/>
      <c r="GW1753" s="4"/>
      <c r="GX1753" s="4"/>
      <c r="GY1753" s="4"/>
      <c r="GZ1753" s="4"/>
      <c r="HA1753" s="4"/>
      <c r="HB1753" s="4"/>
      <c r="HC1753" s="4"/>
      <c r="HD1753" s="4"/>
      <c r="HE1753" s="4"/>
    </row>
    <row r="1754">
      <c r="A1754" s="2" t="s">
        <v>8626</v>
      </c>
      <c r="B1754" s="2" t="s">
        <v>1150</v>
      </c>
      <c r="C1754" s="2" t="s">
        <v>345</v>
      </c>
      <c r="D1754" s="2" t="s">
        <v>1112</v>
      </c>
      <c r="E1754" s="2" t="s">
        <v>1151</v>
      </c>
      <c r="F1754" s="2" t="s">
        <v>8627</v>
      </c>
      <c r="G1754" s="2" t="s">
        <v>8628</v>
      </c>
      <c r="H1754" s="2" t="s">
        <v>8629</v>
      </c>
      <c r="I1754" s="2" t="s">
        <v>8630</v>
      </c>
      <c r="J1754" s="2" t="s">
        <v>264</v>
      </c>
      <c r="K1754" s="2" t="s">
        <v>249</v>
      </c>
      <c r="L1754" s="3">
        <v>38.09</v>
      </c>
      <c r="M1754" s="3">
        <v>39.99</v>
      </c>
      <c r="N1754" s="3">
        <v>79.99</v>
      </c>
      <c r="O1754" s="2" t="s">
        <v>240</v>
      </c>
      <c r="P1754" s="2" t="s">
        <v>333</v>
      </c>
      <c r="Q1754" s="2" t="s">
        <v>234</v>
      </c>
      <c r="R1754" s="2" t="s">
        <v>228</v>
      </c>
      <c r="S1754" s="2" t="s">
        <v>8631</v>
      </c>
      <c r="T1754" s="2" t="s">
        <v>228</v>
      </c>
      <c r="U1754" s="2" t="s">
        <v>1170</v>
      </c>
      <c r="V1754" s="2" t="s">
        <v>236</v>
      </c>
      <c r="W1754" s="2" t="s">
        <v>269</v>
      </c>
      <c r="X1754" s="2" t="s">
        <v>417</v>
      </c>
      <c r="Y1754" s="2" t="s">
        <v>1895</v>
      </c>
      <c r="Z1754" s="4">
        <v>70</v>
      </c>
      <c r="AA1754" s="4">
        <f>=ROUNDDOWN(70,0)</f>
      </c>
      <c r="AB1754" s="5">
        <v>1</v>
      </c>
      <c r="AC1754" s="2" t="s">
        <v>228</v>
      </c>
      <c r="AD1754" s="4"/>
      <c r="AE1754" s="4"/>
      <c r="AF1754" s="6">
        <v>64</v>
      </c>
      <c r="AG1754" s="6"/>
      <c r="AH1754" s="7">
        <v>1</v>
      </c>
      <c r="AI1754" s="4"/>
      <c r="AJ1754" s="4">
        <f>=ROUNDDOWN({0},0)</f>
      </c>
      <c r="AK1754" s="5"/>
      <c r="AL1754" s="2" t="s">
        <v>228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 t="s">
        <v>228</v>
      </c>
      <c r="AW1754" s="8" t="s">
        <v>228</v>
      </c>
      <c r="AX1754" s="4" t="s">
        <v>228</v>
      </c>
      <c r="AY1754" s="8" t="s">
        <v>228</v>
      </c>
      <c r="AZ1754" s="7" t="s">
        <v>228</v>
      </c>
      <c r="BA1754" s="7" t="s">
        <v>228</v>
      </c>
      <c r="BB1754" s="7"/>
      <c r="BC1754" s="4" t="s">
        <v>228</v>
      </c>
      <c r="BD1754" s="8" t="s">
        <v>228</v>
      </c>
      <c r="BE1754" s="4" t="s">
        <v>228</v>
      </c>
      <c r="BF1754" s="8" t="s">
        <v>228</v>
      </c>
      <c r="BG1754" s="7" t="s">
        <v>228</v>
      </c>
      <c r="BH1754" s="7" t="s">
        <v>228</v>
      </c>
      <c r="BI1754" s="7"/>
      <c r="BJ1754" s="4">
        <v>1</v>
      </c>
      <c r="BK1754" s="8">
        <v>27.99</v>
      </c>
      <c r="BL1754" s="2" t="s">
        <v>8632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8633</v>
      </c>
      <c r="BV1754" s="2" t="s">
        <v>228</v>
      </c>
      <c r="BW1754" s="2" t="s">
        <v>228</v>
      </c>
      <c r="BX1754" s="2" t="s">
        <v>337</v>
      </c>
      <c r="BY1754" s="2" t="s">
        <v>274</v>
      </c>
      <c r="BZ1754" s="2" t="s">
        <v>240</v>
      </c>
      <c r="CA1754" s="2" t="s">
        <v>5637</v>
      </c>
      <c r="CB1754" s="2" t="s">
        <v>8634</v>
      </c>
      <c r="CC1754" s="2" t="s">
        <v>241</v>
      </c>
      <c r="CD1754" s="2" t="s">
        <v>228</v>
      </c>
      <c r="CE1754" s="4">
        <v>70</v>
      </c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  <c r="ES1754" s="4"/>
      <c r="ET1754" s="4"/>
      <c r="EU1754" s="4"/>
      <c r="EV1754" s="4"/>
      <c r="EW1754" s="4"/>
      <c r="EX1754" s="4"/>
      <c r="EY1754" s="4"/>
      <c r="EZ1754" s="4"/>
      <c r="FA1754" s="4"/>
      <c r="FB1754" s="4"/>
      <c r="FC1754" s="4"/>
      <c r="FD1754" s="4"/>
      <c r="FE1754" s="4"/>
      <c r="FF1754" s="4"/>
      <c r="FG1754" s="4"/>
      <c r="FH1754" s="4"/>
      <c r="FI1754" s="4"/>
      <c r="FJ1754" s="4"/>
      <c r="FK1754" s="4"/>
      <c r="FL1754" s="4"/>
      <c r="FM1754" s="4"/>
      <c r="FN1754" s="4"/>
      <c r="FO1754" s="4"/>
      <c r="FP1754" s="4"/>
      <c r="FQ1754" s="4"/>
      <c r="FR1754" s="4"/>
      <c r="FS1754" s="4"/>
      <c r="FT1754" s="4"/>
      <c r="FU1754" s="4"/>
      <c r="FV1754" s="4"/>
      <c r="FW1754" s="4"/>
      <c r="FX1754" s="4"/>
      <c r="FY1754" s="4"/>
      <c r="FZ1754" s="4"/>
      <c r="GA1754" s="4"/>
      <c r="GB1754" s="4"/>
      <c r="GC1754" s="4"/>
      <c r="GD1754" s="4"/>
      <c r="GE1754" s="4"/>
      <c r="GF1754" s="4"/>
      <c r="GG1754" s="4"/>
      <c r="GH1754" s="4"/>
      <c r="GI1754" s="4"/>
      <c r="GJ1754" s="4"/>
      <c r="GK1754" s="4"/>
      <c r="GL1754" s="4"/>
      <c r="GM1754" s="4"/>
      <c r="GN1754" s="4"/>
      <c r="GO1754" s="4"/>
      <c r="GP1754" s="4"/>
      <c r="GQ1754" s="4"/>
      <c r="GR1754" s="4"/>
      <c r="GS1754" s="4"/>
      <c r="GT1754" s="4"/>
      <c r="GU1754" s="4"/>
      <c r="GV1754" s="4"/>
      <c r="GW1754" s="4"/>
      <c r="GX1754" s="4"/>
      <c r="GY1754" s="4"/>
      <c r="GZ1754" s="4"/>
      <c r="HA1754" s="4"/>
      <c r="HB1754" s="4"/>
      <c r="HC1754" s="4"/>
      <c r="HD1754" s="4"/>
      <c r="HE1754" s="4"/>
    </row>
    <row r="1755">
      <c r="A1755" s="2" t="s">
        <v>8635</v>
      </c>
      <c r="B1755" s="2" t="s">
        <v>1150</v>
      </c>
      <c r="C1755" s="2" t="s">
        <v>345</v>
      </c>
      <c r="D1755" s="2" t="s">
        <v>1112</v>
      </c>
      <c r="E1755" s="2" t="s">
        <v>1151</v>
      </c>
      <c r="F1755" s="2" t="s">
        <v>8627</v>
      </c>
      <c r="G1755" s="2" t="s">
        <v>8628</v>
      </c>
      <c r="H1755" s="2" t="s">
        <v>8629</v>
      </c>
      <c r="I1755" s="2" t="s">
        <v>8636</v>
      </c>
      <c r="J1755" s="2" t="s">
        <v>289</v>
      </c>
      <c r="K1755" s="2" t="s">
        <v>249</v>
      </c>
      <c r="L1755" s="3">
        <v>47.61</v>
      </c>
      <c r="M1755" s="3">
        <v>49.99</v>
      </c>
      <c r="N1755" s="3">
        <v>99.99</v>
      </c>
      <c r="O1755" s="2" t="s">
        <v>240</v>
      </c>
      <c r="P1755" s="2" t="s">
        <v>333</v>
      </c>
      <c r="Q1755" s="2" t="s">
        <v>234</v>
      </c>
      <c r="R1755" s="2" t="s">
        <v>228</v>
      </c>
      <c r="S1755" s="2" t="s">
        <v>8631</v>
      </c>
      <c r="T1755" s="2" t="s">
        <v>228</v>
      </c>
      <c r="U1755" s="2" t="s">
        <v>1331</v>
      </c>
      <c r="V1755" s="2" t="s">
        <v>236</v>
      </c>
      <c r="W1755" s="2" t="s">
        <v>269</v>
      </c>
      <c r="X1755" s="2" t="s">
        <v>417</v>
      </c>
      <c r="Y1755" s="2" t="s">
        <v>1895</v>
      </c>
      <c r="Z1755" s="4">
        <v>125</v>
      </c>
      <c r="AA1755" s="4">
        <f>=ROUNDDOWN(40.3225806451613,0)</f>
      </c>
      <c r="AB1755" s="5">
        <v>3.1</v>
      </c>
      <c r="AC1755" s="2" t="s">
        <v>228</v>
      </c>
      <c r="AD1755" s="4"/>
      <c r="AE1755" s="4"/>
      <c r="AF1755" s="6">
        <v>64</v>
      </c>
      <c r="AG1755" s="6"/>
      <c r="AH1755" s="7">
        <v>1</v>
      </c>
      <c r="AI1755" s="4"/>
      <c r="AJ1755" s="4">
        <f>=ROUNDDOWN({0},0)</f>
      </c>
      <c r="AK1755" s="5"/>
      <c r="AL1755" s="2" t="s">
        <v>228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 t="s">
        <v>228</v>
      </c>
      <c r="AW1755" s="8" t="s">
        <v>228</v>
      </c>
      <c r="AX1755" s="4" t="s">
        <v>228</v>
      </c>
      <c r="AY1755" s="8" t="s">
        <v>228</v>
      </c>
      <c r="AZ1755" s="7" t="s">
        <v>228</v>
      </c>
      <c r="BA1755" s="7" t="s">
        <v>228</v>
      </c>
      <c r="BB1755" s="7"/>
      <c r="BC1755" s="4" t="s">
        <v>228</v>
      </c>
      <c r="BD1755" s="8" t="s">
        <v>228</v>
      </c>
      <c r="BE1755" s="4" t="s">
        <v>228</v>
      </c>
      <c r="BF1755" s="8" t="s">
        <v>228</v>
      </c>
      <c r="BG1755" s="7" t="s">
        <v>228</v>
      </c>
      <c r="BH1755" s="7" t="s">
        <v>228</v>
      </c>
      <c r="BI1755" s="7"/>
      <c r="BJ1755" s="4">
        <v>12</v>
      </c>
      <c r="BK1755" s="8">
        <v>590.88</v>
      </c>
      <c r="BL1755" s="2" t="s">
        <v>8637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8638</v>
      </c>
      <c r="BV1755" s="2" t="s">
        <v>228</v>
      </c>
      <c r="BW1755" s="2" t="s">
        <v>228</v>
      </c>
      <c r="BX1755" s="2" t="s">
        <v>337</v>
      </c>
      <c r="BY1755" s="2" t="s">
        <v>274</v>
      </c>
      <c r="BZ1755" s="2" t="s">
        <v>240</v>
      </c>
      <c r="CA1755" s="2" t="s">
        <v>5637</v>
      </c>
      <c r="CB1755" s="2" t="s">
        <v>8639</v>
      </c>
      <c r="CC1755" s="2" t="s">
        <v>241</v>
      </c>
      <c r="CD1755" s="2" t="s">
        <v>228</v>
      </c>
      <c r="CE1755" s="4">
        <v>125</v>
      </c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/>
      <c r="EV1755" s="4"/>
      <c r="EW1755" s="4"/>
      <c r="EX1755" s="4"/>
      <c r="EY1755" s="4"/>
      <c r="EZ1755" s="4"/>
      <c r="FA1755" s="4"/>
      <c r="FB1755" s="4"/>
      <c r="FC1755" s="4"/>
      <c r="FD1755" s="4"/>
      <c r="FE1755" s="4"/>
      <c r="FF1755" s="4"/>
      <c r="FG1755" s="4"/>
      <c r="FH1755" s="4"/>
      <c r="FI1755" s="4"/>
      <c r="FJ1755" s="4"/>
      <c r="FK1755" s="4"/>
      <c r="FL1755" s="4"/>
      <c r="FM1755" s="4"/>
      <c r="FN1755" s="4"/>
      <c r="FO1755" s="4"/>
      <c r="FP1755" s="4"/>
      <c r="FQ1755" s="4"/>
      <c r="FR1755" s="4"/>
      <c r="FS1755" s="4"/>
      <c r="FT1755" s="4"/>
      <c r="FU1755" s="4"/>
      <c r="FV1755" s="4"/>
      <c r="FW1755" s="4"/>
      <c r="FX1755" s="4"/>
      <c r="FY1755" s="4"/>
      <c r="FZ1755" s="4"/>
      <c r="GA1755" s="4"/>
      <c r="GB1755" s="4"/>
      <c r="GC1755" s="4"/>
      <c r="GD1755" s="4"/>
      <c r="GE1755" s="4"/>
      <c r="GF1755" s="4"/>
      <c r="GG1755" s="4"/>
      <c r="GH1755" s="4"/>
      <c r="GI1755" s="4"/>
      <c r="GJ1755" s="4"/>
      <c r="GK1755" s="4"/>
      <c r="GL1755" s="4"/>
      <c r="GM1755" s="4"/>
      <c r="GN1755" s="4"/>
      <c r="GO1755" s="4"/>
      <c r="GP1755" s="4"/>
      <c r="GQ1755" s="4"/>
      <c r="GR1755" s="4"/>
      <c r="GS1755" s="4"/>
      <c r="GT1755" s="4"/>
      <c r="GU1755" s="4"/>
      <c r="GV1755" s="4"/>
      <c r="GW1755" s="4"/>
      <c r="GX1755" s="4"/>
      <c r="GY1755" s="4"/>
      <c r="GZ1755" s="4"/>
      <c r="HA1755" s="4"/>
      <c r="HB1755" s="4"/>
      <c r="HC1755" s="4"/>
      <c r="HD1755" s="4"/>
      <c r="HE1755" s="4"/>
    </row>
    <row r="1756">
      <c r="A1756" s="2" t="s">
        <v>8640</v>
      </c>
      <c r="B1756" s="2" t="s">
        <v>1150</v>
      </c>
      <c r="C1756" s="2" t="s">
        <v>345</v>
      </c>
      <c r="D1756" s="2" t="s">
        <v>1112</v>
      </c>
      <c r="E1756" s="2" t="s">
        <v>1151</v>
      </c>
      <c r="F1756" s="2" t="s">
        <v>8627</v>
      </c>
      <c r="G1756" s="2" t="s">
        <v>8628</v>
      </c>
      <c r="H1756" s="2" t="s">
        <v>8629</v>
      </c>
      <c r="I1756" s="2" t="s">
        <v>8636</v>
      </c>
      <c r="J1756" s="2" t="s">
        <v>294</v>
      </c>
      <c r="K1756" s="2" t="s">
        <v>249</v>
      </c>
      <c r="L1756" s="3">
        <v>52.38</v>
      </c>
      <c r="M1756" s="3">
        <v>55</v>
      </c>
      <c r="N1756" s="3">
        <v>109.99</v>
      </c>
      <c r="O1756" s="2" t="s">
        <v>240</v>
      </c>
      <c r="P1756" s="2" t="s">
        <v>333</v>
      </c>
      <c r="Q1756" s="2" t="s">
        <v>234</v>
      </c>
      <c r="R1756" s="2" t="s">
        <v>228</v>
      </c>
      <c r="S1756" s="2" t="s">
        <v>8631</v>
      </c>
      <c r="T1756" s="2" t="s">
        <v>228</v>
      </c>
      <c r="U1756" s="2" t="s">
        <v>1331</v>
      </c>
      <c r="V1756" s="2" t="s">
        <v>236</v>
      </c>
      <c r="W1756" s="2" t="s">
        <v>269</v>
      </c>
      <c r="X1756" s="2" t="s">
        <v>417</v>
      </c>
      <c r="Y1756" s="2" t="s">
        <v>1895</v>
      </c>
      <c r="Z1756" s="4">
        <v>138</v>
      </c>
      <c r="AA1756" s="4">
        <f>=ROUNDDOWN(69,0)</f>
      </c>
      <c r="AB1756" s="5">
        <v>2</v>
      </c>
      <c r="AC1756" s="2" t="s">
        <v>228</v>
      </c>
      <c r="AD1756" s="4"/>
      <c r="AE1756" s="4"/>
      <c r="AF1756" s="6">
        <v>64</v>
      </c>
      <c r="AG1756" s="6"/>
      <c r="AH1756" s="7">
        <v>1</v>
      </c>
      <c r="AI1756" s="4"/>
      <c r="AJ1756" s="4">
        <f>=ROUNDDOWN({0},0)</f>
      </c>
      <c r="AK1756" s="5"/>
      <c r="AL1756" s="2" t="s">
        <v>228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 t="s">
        <v>228</v>
      </c>
      <c r="AW1756" s="8" t="s">
        <v>228</v>
      </c>
      <c r="AX1756" s="4" t="s">
        <v>228</v>
      </c>
      <c r="AY1756" s="8" t="s">
        <v>228</v>
      </c>
      <c r="AZ1756" s="7" t="s">
        <v>228</v>
      </c>
      <c r="BA1756" s="7" t="s">
        <v>228</v>
      </c>
      <c r="BB1756" s="7"/>
      <c r="BC1756" s="4" t="s">
        <v>228</v>
      </c>
      <c r="BD1756" s="8" t="s">
        <v>228</v>
      </c>
      <c r="BE1756" s="4" t="s">
        <v>228</v>
      </c>
      <c r="BF1756" s="8" t="s">
        <v>228</v>
      </c>
      <c r="BG1756" s="7" t="s">
        <v>228</v>
      </c>
      <c r="BH1756" s="7" t="s">
        <v>228</v>
      </c>
      <c r="BI1756" s="7"/>
      <c r="BJ1756" s="4">
        <v>14</v>
      </c>
      <c r="BK1756" s="8">
        <v>731.5</v>
      </c>
      <c r="BL1756" s="2" t="s">
        <v>8641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8642</v>
      </c>
      <c r="BV1756" s="2" t="s">
        <v>228</v>
      </c>
      <c r="BW1756" s="2" t="s">
        <v>228</v>
      </c>
      <c r="BX1756" s="2" t="s">
        <v>337</v>
      </c>
      <c r="BY1756" s="2" t="s">
        <v>274</v>
      </c>
      <c r="BZ1756" s="2" t="s">
        <v>240</v>
      </c>
      <c r="CA1756" s="2" t="s">
        <v>5637</v>
      </c>
      <c r="CB1756" s="2" t="s">
        <v>5949</v>
      </c>
      <c r="CC1756" s="2" t="s">
        <v>241</v>
      </c>
      <c r="CD1756" s="2" t="s">
        <v>228</v>
      </c>
      <c r="CE1756" s="4">
        <v>138</v>
      </c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  <c r="ES1756" s="4"/>
      <c r="ET1756" s="4"/>
      <c r="EU1756" s="4"/>
      <c r="EV1756" s="4"/>
      <c r="EW1756" s="4"/>
      <c r="EX1756" s="4"/>
      <c r="EY1756" s="4"/>
      <c r="EZ1756" s="4"/>
      <c r="FA1756" s="4"/>
      <c r="FB1756" s="4"/>
      <c r="FC1756" s="4"/>
      <c r="FD1756" s="4"/>
      <c r="FE1756" s="4"/>
      <c r="FF1756" s="4"/>
      <c r="FG1756" s="4"/>
      <c r="FH1756" s="4"/>
      <c r="FI1756" s="4"/>
      <c r="FJ1756" s="4"/>
      <c r="FK1756" s="4"/>
      <c r="FL1756" s="4"/>
      <c r="FM1756" s="4"/>
      <c r="FN1756" s="4"/>
      <c r="FO1756" s="4"/>
      <c r="FP1756" s="4"/>
      <c r="FQ1756" s="4"/>
      <c r="FR1756" s="4"/>
      <c r="FS1756" s="4"/>
      <c r="FT1756" s="4"/>
      <c r="FU1756" s="4"/>
      <c r="FV1756" s="4"/>
      <c r="FW1756" s="4"/>
      <c r="FX1756" s="4"/>
      <c r="FY1756" s="4"/>
      <c r="FZ1756" s="4"/>
      <c r="GA1756" s="4"/>
      <c r="GB1756" s="4"/>
      <c r="GC1756" s="4"/>
      <c r="GD1756" s="4"/>
      <c r="GE1756" s="4"/>
      <c r="GF1756" s="4"/>
      <c r="GG1756" s="4"/>
      <c r="GH1756" s="4"/>
      <c r="GI1756" s="4"/>
      <c r="GJ1756" s="4"/>
      <c r="GK1756" s="4"/>
      <c r="GL1756" s="4"/>
      <c r="GM1756" s="4"/>
      <c r="GN1756" s="4"/>
      <c r="GO1756" s="4"/>
      <c r="GP1756" s="4"/>
      <c r="GQ1756" s="4"/>
      <c r="GR1756" s="4"/>
      <c r="GS1756" s="4"/>
      <c r="GT1756" s="4"/>
      <c r="GU1756" s="4"/>
      <c r="GV1756" s="4"/>
      <c r="GW1756" s="4"/>
      <c r="GX1756" s="4"/>
      <c r="GY1756" s="4"/>
      <c r="GZ1756" s="4"/>
      <c r="HA1756" s="4"/>
      <c r="HB1756" s="4"/>
      <c r="HC1756" s="4"/>
      <c r="HD1756" s="4"/>
      <c r="HE1756" s="4"/>
    </row>
    <row r="1757">
      <c r="A1757" s="2" t="s">
        <v>8643</v>
      </c>
      <c r="B1757" s="2" t="s">
        <v>958</v>
      </c>
      <c r="C1757" s="2" t="s">
        <v>835</v>
      </c>
      <c r="D1757" s="2" t="s">
        <v>1006</v>
      </c>
      <c r="E1757" s="2" t="s">
        <v>1007</v>
      </c>
      <c r="F1757" s="2" t="s">
        <v>8644</v>
      </c>
      <c r="G1757" s="2" t="s">
        <v>8644</v>
      </c>
      <c r="H1757" s="2" t="s">
        <v>8644</v>
      </c>
      <c r="I1757" s="2" t="s">
        <v>8645</v>
      </c>
      <c r="J1757" s="2" t="s">
        <v>840</v>
      </c>
      <c r="K1757" s="2" t="s">
        <v>8646</v>
      </c>
      <c r="L1757" s="3">
        <v>238</v>
      </c>
      <c r="M1757" s="3">
        <v>249.9</v>
      </c>
      <c r="N1757" s="3">
        <v>499</v>
      </c>
      <c r="O1757" s="2" t="s">
        <v>240</v>
      </c>
      <c r="P1757" s="2" t="s">
        <v>266</v>
      </c>
      <c r="Q1757" s="2" t="s">
        <v>234</v>
      </c>
      <c r="R1757" s="2" t="s">
        <v>228</v>
      </c>
      <c r="S1757" s="2" t="s">
        <v>228</v>
      </c>
      <c r="T1757" s="2" t="s">
        <v>228</v>
      </c>
      <c r="U1757" s="2" t="s">
        <v>416</v>
      </c>
      <c r="V1757" s="2" t="s">
        <v>236</v>
      </c>
      <c r="W1757" s="2" t="s">
        <v>843</v>
      </c>
      <c r="X1757" s="2" t="s">
        <v>228</v>
      </c>
      <c r="Y1757" s="2" t="s">
        <v>8647</v>
      </c>
      <c r="Z1757" s="4">
        <v>69</v>
      </c>
      <c r="AA1757" s="4">
        <f>=ROUNDDOWN(23,0)</f>
      </c>
      <c r="AB1757" s="5">
        <v>3</v>
      </c>
      <c r="AC1757" s="2" t="s">
        <v>166</v>
      </c>
      <c r="AD1757" s="4">
        <v>40</v>
      </c>
      <c r="AE1757" s="4">
        <v>124</v>
      </c>
      <c r="AF1757" s="6">
        <v>66</v>
      </c>
      <c r="AG1757" s="6">
        <v>49</v>
      </c>
      <c r="AH1757" s="7">
        <v>1</v>
      </c>
      <c r="AI1757" s="4"/>
      <c r="AJ1757" s="4">
        <f>=ROUNDDOWN({0},0)</f>
      </c>
      <c r="AK1757" s="5"/>
      <c r="AL1757" s="2" t="s">
        <v>228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/>
      <c r="AW1757" s="8"/>
      <c r="AX1757" s="4"/>
      <c r="AY1757" s="8"/>
      <c r="AZ1757" s="7"/>
      <c r="BA1757" s="7"/>
      <c r="BB1757" s="7"/>
      <c r="BC1757" s="4" t="s">
        <v>228</v>
      </c>
      <c r="BD1757" s="8" t="s">
        <v>228</v>
      </c>
      <c r="BE1757" s="4" t="s">
        <v>228</v>
      </c>
      <c r="BF1757" s="8" t="s">
        <v>228</v>
      </c>
      <c r="BG1757" s="7" t="s">
        <v>228</v>
      </c>
      <c r="BH1757" s="7" t="s">
        <v>228</v>
      </c>
      <c r="BI1757" s="7"/>
      <c r="BJ1757" s="4">
        <v>4</v>
      </c>
      <c r="BK1757" s="8">
        <v>840.42</v>
      </c>
      <c r="BL1757" s="2" t="s">
        <v>8648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8649</v>
      </c>
      <c r="BV1757" s="2" t="s">
        <v>228</v>
      </c>
      <c r="BW1757" s="2" t="s">
        <v>228</v>
      </c>
      <c r="BX1757" s="2" t="s">
        <v>273</v>
      </c>
      <c r="BY1757" s="2" t="s">
        <v>274</v>
      </c>
      <c r="BZ1757" s="2" t="s">
        <v>240</v>
      </c>
      <c r="CA1757" s="2" t="s">
        <v>8650</v>
      </c>
      <c r="CB1757" s="2" t="s">
        <v>8651</v>
      </c>
      <c r="CC1757" s="2" t="s">
        <v>241</v>
      </c>
      <c r="CD1757" s="2" t="s">
        <v>228</v>
      </c>
      <c r="CE1757" s="4"/>
      <c r="CF1757" s="4">
        <v>69</v>
      </c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/>
      <c r="EV1757" s="4"/>
      <c r="EW1757" s="4"/>
      <c r="EX1757" s="4"/>
      <c r="EY1757" s="4"/>
      <c r="EZ1757" s="4"/>
      <c r="FA1757" s="4"/>
      <c r="FB1757" s="4">
        <v>40</v>
      </c>
      <c r="FC1757" s="4"/>
      <c r="FD1757" s="4"/>
      <c r="FE1757" s="4"/>
      <c r="FF1757" s="4"/>
      <c r="FG1757" s="4"/>
      <c r="FH1757" s="4"/>
      <c r="FI1757" s="4">
        <v>44</v>
      </c>
      <c r="FJ1757" s="4"/>
      <c r="FK1757" s="4"/>
      <c r="FL1757" s="4"/>
      <c r="FM1757" s="4"/>
      <c r="FN1757" s="4"/>
      <c r="FO1757" s="4"/>
      <c r="FP1757" s="4">
        <v>40</v>
      </c>
      <c r="FQ1757" s="4"/>
      <c r="FR1757" s="4"/>
      <c r="FS1757" s="4"/>
      <c r="FT1757" s="4"/>
      <c r="FU1757" s="4"/>
      <c r="FV1757" s="4"/>
      <c r="FW1757" s="4"/>
      <c r="FX1757" s="4"/>
      <c r="FY1757" s="4"/>
      <c r="FZ1757" s="4"/>
      <c r="GA1757" s="4"/>
      <c r="GB1757" s="4"/>
      <c r="GC1757" s="4"/>
      <c r="GD1757" s="4"/>
      <c r="GE1757" s="4"/>
      <c r="GF1757" s="4"/>
      <c r="GG1757" s="4"/>
      <c r="GH1757" s="4"/>
      <c r="GI1757" s="4"/>
      <c r="GJ1757" s="4"/>
      <c r="GK1757" s="4"/>
      <c r="GL1757" s="4"/>
      <c r="GM1757" s="4"/>
      <c r="GN1757" s="4"/>
      <c r="GO1757" s="4"/>
      <c r="GP1757" s="4"/>
      <c r="GQ1757" s="4"/>
      <c r="GR1757" s="4"/>
      <c r="GS1757" s="4"/>
      <c r="GT1757" s="4"/>
      <c r="GU1757" s="4"/>
      <c r="GV1757" s="4"/>
      <c r="GW1757" s="4"/>
      <c r="GX1757" s="4"/>
      <c r="GY1757" s="4"/>
      <c r="GZ1757" s="4"/>
      <c r="HA1757" s="4"/>
      <c r="HB1757" s="4"/>
      <c r="HC1757" s="4"/>
      <c r="HD1757" s="4"/>
      <c r="HE1757" s="4"/>
    </row>
    <row r="1758">
      <c r="A1758" s="2" t="s">
        <v>8652</v>
      </c>
      <c r="B1758" s="2" t="s">
        <v>848</v>
      </c>
      <c r="C1758" s="2" t="s">
        <v>849</v>
      </c>
      <c r="D1758" s="2" t="s">
        <v>1112</v>
      </c>
      <c r="E1758" s="2" t="s">
        <v>1165</v>
      </c>
      <c r="F1758" s="2" t="s">
        <v>8644</v>
      </c>
      <c r="G1758" s="2" t="s">
        <v>8653</v>
      </c>
      <c r="H1758" s="2" t="s">
        <v>8654</v>
      </c>
      <c r="I1758" s="2" t="s">
        <v>3216</v>
      </c>
      <c r="J1758" s="2" t="s">
        <v>856</v>
      </c>
      <c r="K1758" s="2" t="s">
        <v>888</v>
      </c>
      <c r="L1758" s="3">
        <v>32.2</v>
      </c>
      <c r="M1758" s="3">
        <v>33.81</v>
      </c>
      <c r="N1758" s="3">
        <v>69.99</v>
      </c>
      <c r="O1758" s="2" t="s">
        <v>240</v>
      </c>
      <c r="P1758" s="2" t="s">
        <v>1012</v>
      </c>
      <c r="Q1758" s="2" t="s">
        <v>234</v>
      </c>
      <c r="R1758" s="2" t="s">
        <v>228</v>
      </c>
      <c r="S1758" s="2" t="s">
        <v>8655</v>
      </c>
      <c r="T1758" s="2" t="s">
        <v>415</v>
      </c>
      <c r="U1758" s="2" t="s">
        <v>308</v>
      </c>
      <c r="V1758" s="2" t="s">
        <v>5214</v>
      </c>
      <c r="W1758" s="2" t="s">
        <v>269</v>
      </c>
      <c r="X1758" s="2" t="s">
        <v>2472</v>
      </c>
      <c r="Y1758" s="2" t="s">
        <v>270</v>
      </c>
      <c r="Z1758" s="4">
        <v>95</v>
      </c>
      <c r="AA1758" s="4">
        <f>=ROUNDDOWN(47.5,0)</f>
      </c>
      <c r="AB1758" s="5">
        <v>2</v>
      </c>
      <c r="AC1758" s="2" t="s">
        <v>228</v>
      </c>
      <c r="AD1758" s="4"/>
      <c r="AE1758" s="4"/>
      <c r="AF1758" s="6">
        <v>64</v>
      </c>
      <c r="AG1758" s="6"/>
      <c r="AH1758" s="7">
        <v>1</v>
      </c>
      <c r="AI1758" s="4"/>
      <c r="AJ1758" s="4">
        <f>=ROUNDDOWN({0},0)</f>
      </c>
      <c r="AK1758" s="5"/>
      <c r="AL1758" s="2" t="s">
        <v>228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/>
      <c r="AW1758" s="8"/>
      <c r="AX1758" s="4"/>
      <c r="AY1758" s="8"/>
      <c r="AZ1758" s="7"/>
      <c r="BA1758" s="7"/>
      <c r="BB1758" s="7"/>
      <c r="BC1758" s="4" t="s">
        <v>228</v>
      </c>
      <c r="BD1758" s="8" t="s">
        <v>228</v>
      </c>
      <c r="BE1758" s="4" t="s">
        <v>228</v>
      </c>
      <c r="BF1758" s="8" t="s">
        <v>228</v>
      </c>
      <c r="BG1758" s="7" t="s">
        <v>228</v>
      </c>
      <c r="BH1758" s="7" t="s">
        <v>228</v>
      </c>
      <c r="BI1758" s="7"/>
      <c r="BJ1758" s="4">
        <v>16</v>
      </c>
      <c r="BK1758" s="8">
        <v>538.72</v>
      </c>
      <c r="BL1758" s="2" t="s">
        <v>8656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8657</v>
      </c>
      <c r="BV1758" s="2" t="s">
        <v>228</v>
      </c>
      <c r="BW1758" s="2" t="s">
        <v>228</v>
      </c>
      <c r="BX1758" s="2" t="s">
        <v>273</v>
      </c>
      <c r="BY1758" s="2" t="s">
        <v>274</v>
      </c>
      <c r="BZ1758" s="2" t="s">
        <v>240</v>
      </c>
      <c r="CA1758" s="2" t="s">
        <v>275</v>
      </c>
      <c r="CB1758" s="2" t="s">
        <v>8658</v>
      </c>
      <c r="CC1758" s="2" t="s">
        <v>241</v>
      </c>
      <c r="CD1758" s="2" t="s">
        <v>228</v>
      </c>
      <c r="CE1758" s="4">
        <v>95</v>
      </c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  <c r="EM1758" s="4"/>
      <c r="EN1758" s="4"/>
      <c r="EO1758" s="4"/>
      <c r="EP1758" s="4"/>
      <c r="EQ1758" s="4"/>
      <c r="ER1758" s="4"/>
      <c r="ES1758" s="4"/>
      <c r="ET1758" s="4"/>
      <c r="EU1758" s="4"/>
      <c r="EV1758" s="4"/>
      <c r="EW1758" s="4"/>
      <c r="EX1758" s="4"/>
      <c r="EY1758" s="4"/>
      <c r="EZ1758" s="4"/>
      <c r="FA1758" s="4"/>
      <c r="FB1758" s="4"/>
      <c r="FC1758" s="4"/>
      <c r="FD1758" s="4"/>
      <c r="FE1758" s="4"/>
      <c r="FF1758" s="4"/>
      <c r="FG1758" s="4"/>
      <c r="FH1758" s="4"/>
      <c r="FI1758" s="4"/>
      <c r="FJ1758" s="4"/>
      <c r="FK1758" s="4"/>
      <c r="FL1758" s="4"/>
      <c r="FM1758" s="4"/>
      <c r="FN1758" s="4"/>
      <c r="FO1758" s="4"/>
      <c r="FP1758" s="4"/>
      <c r="FQ1758" s="4"/>
      <c r="FR1758" s="4"/>
      <c r="FS1758" s="4"/>
      <c r="FT1758" s="4"/>
      <c r="FU1758" s="4"/>
      <c r="FV1758" s="4"/>
      <c r="FW1758" s="4"/>
      <c r="FX1758" s="4"/>
      <c r="FY1758" s="4"/>
      <c r="FZ1758" s="4"/>
      <c r="GA1758" s="4"/>
      <c r="GB1758" s="4"/>
      <c r="GC1758" s="4"/>
      <c r="GD1758" s="4"/>
      <c r="GE1758" s="4"/>
      <c r="GF1758" s="4"/>
      <c r="GG1758" s="4"/>
      <c r="GH1758" s="4"/>
      <c r="GI1758" s="4"/>
      <c r="GJ1758" s="4"/>
      <c r="GK1758" s="4"/>
      <c r="GL1758" s="4"/>
      <c r="GM1758" s="4"/>
      <c r="GN1758" s="4"/>
      <c r="GO1758" s="4"/>
      <c r="GP1758" s="4"/>
      <c r="GQ1758" s="4"/>
      <c r="GR1758" s="4"/>
      <c r="GS1758" s="4"/>
      <c r="GT1758" s="4"/>
      <c r="GU1758" s="4"/>
      <c r="GV1758" s="4"/>
      <c r="GW1758" s="4"/>
      <c r="GX1758" s="4"/>
      <c r="GY1758" s="4"/>
      <c r="GZ1758" s="4"/>
      <c r="HA1758" s="4"/>
      <c r="HB1758" s="4"/>
      <c r="HC1758" s="4"/>
      <c r="HD1758" s="4"/>
      <c r="HE1758" s="4"/>
    </row>
    <row r="1759">
      <c r="A1759" s="2" t="s">
        <v>8659</v>
      </c>
      <c r="B1759" s="2" t="s">
        <v>958</v>
      </c>
      <c r="C1759" s="2" t="s">
        <v>835</v>
      </c>
      <c r="D1759" s="2" t="s">
        <v>959</v>
      </c>
      <c r="E1759" s="2" t="s">
        <v>960</v>
      </c>
      <c r="F1759" s="2" t="s">
        <v>8660</v>
      </c>
      <c r="G1759" s="2" t="s">
        <v>8660</v>
      </c>
      <c r="H1759" s="2" t="s">
        <v>8660</v>
      </c>
      <c r="I1759" s="2" t="s">
        <v>2560</v>
      </c>
      <c r="J1759" s="2" t="s">
        <v>840</v>
      </c>
      <c r="K1759" s="2" t="s">
        <v>1478</v>
      </c>
      <c r="L1759" s="3">
        <v>174.8</v>
      </c>
      <c r="M1759" s="3">
        <v>183.54</v>
      </c>
      <c r="N1759" s="3">
        <v>369</v>
      </c>
      <c r="O1759" s="2" t="s">
        <v>240</v>
      </c>
      <c r="P1759" s="2" t="s">
        <v>266</v>
      </c>
      <c r="Q1759" s="2" t="s">
        <v>234</v>
      </c>
      <c r="R1759" s="2" t="s">
        <v>228</v>
      </c>
      <c r="S1759" s="2" t="s">
        <v>228</v>
      </c>
      <c r="T1759" s="2" t="s">
        <v>228</v>
      </c>
      <c r="U1759" s="2" t="s">
        <v>416</v>
      </c>
      <c r="V1759" s="2" t="s">
        <v>236</v>
      </c>
      <c r="W1759" s="2" t="s">
        <v>843</v>
      </c>
      <c r="X1759" s="2" t="s">
        <v>228</v>
      </c>
      <c r="Y1759" s="2" t="s">
        <v>8647</v>
      </c>
      <c r="Z1759" s="4">
        <v>98</v>
      </c>
      <c r="AA1759" s="4">
        <f>=ROUNDDOWN(16.3333333333333,0)</f>
      </c>
      <c r="AB1759" s="5">
        <v>6</v>
      </c>
      <c r="AC1759" s="2" t="s">
        <v>1352</v>
      </c>
      <c r="AD1759" s="4">
        <v>70</v>
      </c>
      <c r="AE1759" s="4">
        <v>160</v>
      </c>
      <c r="AF1759" s="6">
        <v>66</v>
      </c>
      <c r="AG1759" s="6"/>
      <c r="AH1759" s="7">
        <v>1</v>
      </c>
      <c r="AI1759" s="4"/>
      <c r="AJ1759" s="4">
        <f>=ROUNDDOWN({0},0)</f>
      </c>
      <c r="AK1759" s="5"/>
      <c r="AL1759" s="2" t="s">
        <v>228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/>
      <c r="AW1759" s="8"/>
      <c r="AX1759" s="4"/>
      <c r="AY1759" s="8"/>
      <c r="AZ1759" s="7"/>
      <c r="BA1759" s="7"/>
      <c r="BB1759" s="7"/>
      <c r="BC1759" s="4"/>
      <c r="BD1759" s="8"/>
      <c r="BE1759" s="4"/>
      <c r="BF1759" s="8"/>
      <c r="BG1759" s="7"/>
      <c r="BH1759" s="7"/>
      <c r="BI1759" s="7"/>
      <c r="BJ1759" s="4">
        <v>29</v>
      </c>
      <c r="BK1759" s="8">
        <v>4892.23</v>
      </c>
      <c r="BL1759" s="2" t="s">
        <v>8661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8662</v>
      </c>
      <c r="BV1759" s="2" t="s">
        <v>228</v>
      </c>
      <c r="BW1759" s="2" t="s">
        <v>228</v>
      </c>
      <c r="BX1759" s="2" t="s">
        <v>273</v>
      </c>
      <c r="BY1759" s="2" t="s">
        <v>274</v>
      </c>
      <c r="BZ1759" s="2" t="s">
        <v>240</v>
      </c>
      <c r="CA1759" s="2" t="s">
        <v>7078</v>
      </c>
      <c r="CB1759" s="2" t="s">
        <v>8663</v>
      </c>
      <c r="CC1759" s="2" t="s">
        <v>241</v>
      </c>
      <c r="CD1759" s="2" t="s">
        <v>228</v>
      </c>
      <c r="CE1759" s="4"/>
      <c r="CF1759" s="4">
        <v>98</v>
      </c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>
        <v>70</v>
      </c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/>
      <c r="FA1759" s="4"/>
      <c r="FB1759" s="4">
        <v>48</v>
      </c>
      <c r="FC1759" s="4"/>
      <c r="FD1759" s="4"/>
      <c r="FE1759" s="4"/>
      <c r="FF1759" s="4"/>
      <c r="FG1759" s="4"/>
      <c r="FH1759" s="4"/>
      <c r="FI1759" s="4">
        <v>42</v>
      </c>
      <c r="FJ1759" s="4"/>
      <c r="FK1759" s="4"/>
      <c r="FL1759" s="4"/>
      <c r="FM1759" s="4"/>
      <c r="FN1759" s="4"/>
      <c r="FO1759" s="4"/>
      <c r="FP1759" s="4"/>
      <c r="FQ1759" s="4"/>
      <c r="FR1759" s="4"/>
      <c r="FS1759" s="4"/>
      <c r="FT1759" s="4"/>
      <c r="FU1759" s="4"/>
      <c r="FV1759" s="4"/>
      <c r="FW1759" s="4"/>
      <c r="FX1759" s="4"/>
      <c r="FY1759" s="4"/>
      <c r="FZ1759" s="4"/>
      <c r="GA1759" s="4"/>
      <c r="GB1759" s="4"/>
      <c r="GC1759" s="4"/>
      <c r="GD1759" s="4"/>
      <c r="GE1759" s="4"/>
      <c r="GF1759" s="4"/>
      <c r="GG1759" s="4"/>
      <c r="GH1759" s="4"/>
      <c r="GI1759" s="4"/>
      <c r="GJ1759" s="4"/>
      <c r="GK1759" s="4"/>
      <c r="GL1759" s="4"/>
      <c r="GM1759" s="4"/>
      <c r="GN1759" s="4"/>
      <c r="GO1759" s="4"/>
      <c r="GP1759" s="4"/>
      <c r="GQ1759" s="4"/>
      <c r="GR1759" s="4"/>
      <c r="GS1759" s="4"/>
      <c r="GT1759" s="4"/>
      <c r="GU1759" s="4"/>
      <c r="GV1759" s="4"/>
      <c r="GW1759" s="4"/>
      <c r="GX1759" s="4"/>
      <c r="GY1759" s="4"/>
      <c r="GZ1759" s="4"/>
      <c r="HA1759" s="4"/>
      <c r="HB1759" s="4"/>
      <c r="HC1759" s="4"/>
      <c r="HD1759" s="4"/>
      <c r="HE1759" s="4"/>
    </row>
    <row r="1760">
      <c r="A1760" s="2" t="s">
        <v>8664</v>
      </c>
      <c r="B1760" s="2" t="s">
        <v>1150</v>
      </c>
      <c r="C1760" s="2" t="s">
        <v>731</v>
      </c>
      <c r="D1760" s="2" t="s">
        <v>1112</v>
      </c>
      <c r="E1760" s="2" t="s">
        <v>1151</v>
      </c>
      <c r="F1760" s="2" t="s">
        <v>8665</v>
      </c>
      <c r="G1760" s="2" t="s">
        <v>8665</v>
      </c>
      <c r="H1760" s="2" t="s">
        <v>8665</v>
      </c>
      <c r="I1760" s="2" t="s">
        <v>8666</v>
      </c>
      <c r="J1760" s="2" t="s">
        <v>289</v>
      </c>
      <c r="K1760" s="2" t="s">
        <v>265</v>
      </c>
      <c r="L1760" s="3">
        <v>47.61</v>
      </c>
      <c r="M1760" s="3">
        <v>49.99</v>
      </c>
      <c r="N1760" s="3">
        <v>99.99</v>
      </c>
      <c r="O1760" s="2" t="s">
        <v>232</v>
      </c>
      <c r="P1760" s="2" t="s">
        <v>922</v>
      </c>
      <c r="Q1760" s="2" t="s">
        <v>234</v>
      </c>
      <c r="R1760" s="2" t="s">
        <v>228</v>
      </c>
      <c r="S1760" s="2" t="s">
        <v>8667</v>
      </c>
      <c r="T1760" s="2" t="s">
        <v>415</v>
      </c>
      <c r="U1760" s="2" t="s">
        <v>3547</v>
      </c>
      <c r="V1760" s="2" t="s">
        <v>980</v>
      </c>
      <c r="W1760" s="2" t="s">
        <v>417</v>
      </c>
      <c r="X1760" s="2" t="s">
        <v>228</v>
      </c>
      <c r="Y1760" s="2" t="s">
        <v>7190</v>
      </c>
      <c r="Z1760" s="4"/>
      <c r="AA1760" s="4">
        <f>=ROUNDDOWN({0},0)</f>
      </c>
      <c r="AB1760" s="5"/>
      <c r="AC1760" s="2" t="s">
        <v>228</v>
      </c>
      <c r="AD1760" s="4"/>
      <c r="AE1760" s="4"/>
      <c r="AF1760" s="6"/>
      <c r="AG1760" s="6"/>
      <c r="AH1760" s="7">
        <v>0</v>
      </c>
      <c r="AI1760" s="4"/>
      <c r="AJ1760" s="4">
        <f>=ROUNDDOWN({0},0)</f>
      </c>
      <c r="AK1760" s="5"/>
      <c r="AL1760" s="2" t="s">
        <v>228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 t="s">
        <v>228</v>
      </c>
      <c r="AW1760" s="8" t="s">
        <v>228</v>
      </c>
      <c r="AX1760" s="4" t="s">
        <v>228</v>
      </c>
      <c r="AY1760" s="8" t="s">
        <v>228</v>
      </c>
      <c r="AZ1760" s="7" t="s">
        <v>228</v>
      </c>
      <c r="BA1760" s="7" t="s">
        <v>228</v>
      </c>
      <c r="BB1760" s="7"/>
      <c r="BC1760" s="4" t="s">
        <v>228</v>
      </c>
      <c r="BD1760" s="8" t="s">
        <v>228</v>
      </c>
      <c r="BE1760" s="4" t="s">
        <v>228</v>
      </c>
      <c r="BF1760" s="8" t="s">
        <v>228</v>
      </c>
      <c r="BG1760" s="7" t="s">
        <v>228</v>
      </c>
      <c r="BH1760" s="7" t="s">
        <v>228</v>
      </c>
      <c r="BI1760" s="7"/>
      <c r="BJ1760" s="4"/>
      <c r="BK1760" s="8"/>
      <c r="BL1760" s="2" t="s">
        <v>228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8668</v>
      </c>
      <c r="BV1760" s="2" t="s">
        <v>228</v>
      </c>
      <c r="BW1760" s="2" t="s">
        <v>228</v>
      </c>
      <c r="BX1760" s="2" t="s">
        <v>337</v>
      </c>
      <c r="BY1760" s="2" t="s">
        <v>274</v>
      </c>
      <c r="BZ1760" s="2" t="s">
        <v>240</v>
      </c>
      <c r="CA1760" s="2" t="s">
        <v>1324</v>
      </c>
      <c r="CB1760" s="2" t="s">
        <v>7744</v>
      </c>
      <c r="CC1760" s="2" t="s">
        <v>241</v>
      </c>
      <c r="CD1760" s="2" t="s">
        <v>228</v>
      </c>
      <c r="CE1760" s="4"/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/>
      <c r="ER1760" s="4"/>
      <c r="ES1760" s="4"/>
      <c r="ET1760" s="4"/>
      <c r="EU1760" s="4"/>
      <c r="EV1760" s="4"/>
      <c r="EW1760" s="4"/>
      <c r="EX1760" s="4"/>
      <c r="EY1760" s="4"/>
      <c r="EZ1760" s="4"/>
      <c r="FA1760" s="4"/>
      <c r="FB1760" s="4"/>
      <c r="FC1760" s="4"/>
      <c r="FD1760" s="4"/>
      <c r="FE1760" s="4"/>
      <c r="FF1760" s="4"/>
      <c r="FG1760" s="4"/>
      <c r="FH1760" s="4"/>
      <c r="FI1760" s="4"/>
      <c r="FJ1760" s="4"/>
      <c r="FK1760" s="4"/>
      <c r="FL1760" s="4"/>
      <c r="FM1760" s="4"/>
      <c r="FN1760" s="4"/>
      <c r="FO1760" s="4"/>
      <c r="FP1760" s="4"/>
      <c r="FQ1760" s="4"/>
      <c r="FR1760" s="4"/>
      <c r="FS1760" s="4"/>
      <c r="FT1760" s="4"/>
      <c r="FU1760" s="4"/>
      <c r="FV1760" s="4"/>
      <c r="FW1760" s="4"/>
      <c r="FX1760" s="4"/>
      <c r="FY1760" s="4"/>
      <c r="FZ1760" s="4"/>
      <c r="GA1760" s="4"/>
      <c r="GB1760" s="4"/>
      <c r="GC1760" s="4"/>
      <c r="GD1760" s="4"/>
      <c r="GE1760" s="4"/>
      <c r="GF1760" s="4"/>
      <c r="GG1760" s="4"/>
      <c r="GH1760" s="4"/>
      <c r="GI1760" s="4"/>
      <c r="GJ1760" s="4"/>
      <c r="GK1760" s="4"/>
      <c r="GL1760" s="4"/>
      <c r="GM1760" s="4"/>
      <c r="GN1760" s="4"/>
      <c r="GO1760" s="4"/>
      <c r="GP1760" s="4"/>
      <c r="GQ1760" s="4"/>
      <c r="GR1760" s="4"/>
      <c r="GS1760" s="4"/>
      <c r="GT1760" s="4"/>
      <c r="GU1760" s="4"/>
      <c r="GV1760" s="4"/>
      <c r="GW1760" s="4"/>
      <c r="GX1760" s="4"/>
      <c r="GY1760" s="4"/>
      <c r="GZ1760" s="4"/>
      <c r="HA1760" s="4"/>
      <c r="HB1760" s="4"/>
      <c r="HC1760" s="4"/>
      <c r="HD1760" s="4"/>
      <c r="HE1760" s="4"/>
    </row>
    <row r="1761">
      <c r="A1761" s="2" t="s">
        <v>8669</v>
      </c>
      <c r="B1761" s="2" t="s">
        <v>1150</v>
      </c>
      <c r="C1761" s="2" t="s">
        <v>731</v>
      </c>
      <c r="D1761" s="2" t="s">
        <v>1112</v>
      </c>
      <c r="E1761" s="2" t="s">
        <v>1151</v>
      </c>
      <c r="F1761" s="2" t="s">
        <v>8665</v>
      </c>
      <c r="G1761" s="2" t="s">
        <v>8665</v>
      </c>
      <c r="H1761" s="2" t="s">
        <v>8665</v>
      </c>
      <c r="I1761" s="2" t="s">
        <v>8666</v>
      </c>
      <c r="J1761" s="2" t="s">
        <v>294</v>
      </c>
      <c r="K1761" s="2" t="s">
        <v>265</v>
      </c>
      <c r="L1761" s="3">
        <v>52.38</v>
      </c>
      <c r="M1761" s="3">
        <v>55</v>
      </c>
      <c r="N1761" s="3">
        <v>109.99</v>
      </c>
      <c r="O1761" s="2" t="s">
        <v>240</v>
      </c>
      <c r="P1761" s="2" t="s">
        <v>922</v>
      </c>
      <c r="Q1761" s="2" t="s">
        <v>234</v>
      </c>
      <c r="R1761" s="2" t="s">
        <v>228</v>
      </c>
      <c r="S1761" s="2" t="s">
        <v>8667</v>
      </c>
      <c r="T1761" s="2" t="s">
        <v>415</v>
      </c>
      <c r="U1761" s="2" t="s">
        <v>3547</v>
      </c>
      <c r="V1761" s="2" t="s">
        <v>980</v>
      </c>
      <c r="W1761" s="2" t="s">
        <v>417</v>
      </c>
      <c r="X1761" s="2" t="s">
        <v>228</v>
      </c>
      <c r="Y1761" s="2" t="s">
        <v>7190</v>
      </c>
      <c r="Z1761" s="4"/>
      <c r="AA1761" s="4">
        <f>=ROUNDDOWN({0},0)</f>
      </c>
      <c r="AB1761" s="5"/>
      <c r="AC1761" s="2" t="s">
        <v>228</v>
      </c>
      <c r="AD1761" s="4"/>
      <c r="AE1761" s="4"/>
      <c r="AF1761" s="6"/>
      <c r="AG1761" s="6"/>
      <c r="AH1761" s="7">
        <v>0</v>
      </c>
      <c r="AI1761" s="4"/>
      <c r="AJ1761" s="4">
        <f>=ROUNDDOWN({0},0)</f>
      </c>
      <c r="AK1761" s="5"/>
      <c r="AL1761" s="2" t="s">
        <v>228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 t="s">
        <v>228</v>
      </c>
      <c r="AW1761" s="8" t="s">
        <v>228</v>
      </c>
      <c r="AX1761" s="4" t="s">
        <v>228</v>
      </c>
      <c r="AY1761" s="8" t="s">
        <v>228</v>
      </c>
      <c r="AZ1761" s="7" t="s">
        <v>228</v>
      </c>
      <c r="BA1761" s="7" t="s">
        <v>228</v>
      </c>
      <c r="BB1761" s="7"/>
      <c r="BC1761" s="4" t="s">
        <v>228</v>
      </c>
      <c r="BD1761" s="8" t="s">
        <v>228</v>
      </c>
      <c r="BE1761" s="4" t="s">
        <v>228</v>
      </c>
      <c r="BF1761" s="8" t="s">
        <v>228</v>
      </c>
      <c r="BG1761" s="7" t="s">
        <v>228</v>
      </c>
      <c r="BH1761" s="7" t="s">
        <v>228</v>
      </c>
      <c r="BI1761" s="7"/>
      <c r="BJ1761" s="4"/>
      <c r="BK1761" s="8"/>
      <c r="BL1761" s="2" t="s">
        <v>1033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8670</v>
      </c>
      <c r="BV1761" s="2" t="s">
        <v>228</v>
      </c>
      <c r="BW1761" s="2" t="s">
        <v>228</v>
      </c>
      <c r="BX1761" s="2" t="s">
        <v>337</v>
      </c>
      <c r="BY1761" s="2" t="s">
        <v>274</v>
      </c>
      <c r="BZ1761" s="2" t="s">
        <v>240</v>
      </c>
      <c r="CA1761" s="2" t="s">
        <v>1324</v>
      </c>
      <c r="CB1761" s="2" t="s">
        <v>7119</v>
      </c>
      <c r="CC1761" s="2" t="s">
        <v>241</v>
      </c>
      <c r="CD1761" s="2" t="s">
        <v>228</v>
      </c>
      <c r="CE1761" s="4"/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  <c r="ES1761" s="4"/>
      <c r="ET1761" s="4"/>
      <c r="EU1761" s="4"/>
      <c r="EV1761" s="4"/>
      <c r="EW1761" s="4"/>
      <c r="EX1761" s="4"/>
      <c r="EY1761" s="4"/>
      <c r="EZ1761" s="4"/>
      <c r="FA1761" s="4"/>
      <c r="FB1761" s="4"/>
      <c r="FC1761" s="4"/>
      <c r="FD1761" s="4"/>
      <c r="FE1761" s="4"/>
      <c r="FF1761" s="4"/>
      <c r="FG1761" s="4"/>
      <c r="FH1761" s="4"/>
      <c r="FI1761" s="4"/>
      <c r="FJ1761" s="4"/>
      <c r="FK1761" s="4"/>
      <c r="FL1761" s="4"/>
      <c r="FM1761" s="4"/>
      <c r="FN1761" s="4"/>
      <c r="FO1761" s="4"/>
      <c r="FP1761" s="4"/>
      <c r="FQ1761" s="4"/>
      <c r="FR1761" s="4"/>
      <c r="FS1761" s="4"/>
      <c r="FT1761" s="4"/>
      <c r="FU1761" s="4"/>
      <c r="FV1761" s="4"/>
      <c r="FW1761" s="4"/>
      <c r="FX1761" s="4"/>
      <c r="FY1761" s="4"/>
      <c r="FZ1761" s="4"/>
      <c r="GA1761" s="4"/>
      <c r="GB1761" s="4"/>
      <c r="GC1761" s="4"/>
      <c r="GD1761" s="4"/>
      <c r="GE1761" s="4"/>
      <c r="GF1761" s="4"/>
      <c r="GG1761" s="4"/>
      <c r="GH1761" s="4"/>
      <c r="GI1761" s="4"/>
      <c r="GJ1761" s="4"/>
      <c r="GK1761" s="4"/>
      <c r="GL1761" s="4"/>
      <c r="GM1761" s="4"/>
      <c r="GN1761" s="4"/>
      <c r="GO1761" s="4"/>
      <c r="GP1761" s="4"/>
      <c r="GQ1761" s="4"/>
      <c r="GR1761" s="4"/>
      <c r="GS1761" s="4"/>
      <c r="GT1761" s="4"/>
      <c r="GU1761" s="4"/>
      <c r="GV1761" s="4"/>
      <c r="GW1761" s="4"/>
      <c r="GX1761" s="4"/>
      <c r="GY1761" s="4"/>
      <c r="GZ1761" s="4"/>
      <c r="HA1761" s="4"/>
      <c r="HB1761" s="4"/>
      <c r="HC1761" s="4"/>
      <c r="HD1761" s="4"/>
      <c r="HE1761" s="4"/>
    </row>
    <row r="1762">
      <c r="A1762" s="2" t="s">
        <v>8671</v>
      </c>
      <c r="B1762" s="2" t="s">
        <v>1150</v>
      </c>
      <c r="C1762" s="2" t="s">
        <v>731</v>
      </c>
      <c r="D1762" s="2" t="s">
        <v>1112</v>
      </c>
      <c r="E1762" s="2" t="s">
        <v>1151</v>
      </c>
      <c r="F1762" s="2" t="s">
        <v>8665</v>
      </c>
      <c r="G1762" s="2" t="s">
        <v>8665</v>
      </c>
      <c r="H1762" s="2" t="s">
        <v>8665</v>
      </c>
      <c r="I1762" s="2" t="s">
        <v>8666</v>
      </c>
      <c r="J1762" s="2" t="s">
        <v>289</v>
      </c>
      <c r="K1762" s="2" t="s">
        <v>249</v>
      </c>
      <c r="L1762" s="3">
        <v>47.61</v>
      </c>
      <c r="M1762" s="3">
        <v>49.99</v>
      </c>
      <c r="N1762" s="3">
        <v>99.99</v>
      </c>
      <c r="O1762" s="2" t="s">
        <v>240</v>
      </c>
      <c r="P1762" s="2" t="s">
        <v>922</v>
      </c>
      <c r="Q1762" s="2" t="s">
        <v>234</v>
      </c>
      <c r="R1762" s="2" t="s">
        <v>228</v>
      </c>
      <c r="S1762" s="2" t="s">
        <v>8672</v>
      </c>
      <c r="T1762" s="2" t="s">
        <v>415</v>
      </c>
      <c r="U1762" s="2" t="s">
        <v>3547</v>
      </c>
      <c r="V1762" s="2" t="s">
        <v>980</v>
      </c>
      <c r="W1762" s="2" t="s">
        <v>417</v>
      </c>
      <c r="X1762" s="2" t="s">
        <v>228</v>
      </c>
      <c r="Y1762" s="2" t="s">
        <v>7190</v>
      </c>
      <c r="Z1762" s="4"/>
      <c r="AA1762" s="4">
        <f>=ROUNDDOWN({0},0)</f>
      </c>
      <c r="AB1762" s="5"/>
      <c r="AC1762" s="2" t="s">
        <v>228</v>
      </c>
      <c r="AD1762" s="4"/>
      <c r="AE1762" s="4"/>
      <c r="AF1762" s="6"/>
      <c r="AG1762" s="6"/>
      <c r="AH1762" s="7">
        <v>0</v>
      </c>
      <c r="AI1762" s="4"/>
      <c r="AJ1762" s="4">
        <f>=ROUNDDOWN({0},0)</f>
      </c>
      <c r="AK1762" s="5"/>
      <c r="AL1762" s="2" t="s">
        <v>228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 t="s">
        <v>228</v>
      </c>
      <c r="AW1762" s="8" t="s">
        <v>228</v>
      </c>
      <c r="AX1762" s="4" t="s">
        <v>228</v>
      </c>
      <c r="AY1762" s="8" t="s">
        <v>228</v>
      </c>
      <c r="AZ1762" s="7" t="s">
        <v>228</v>
      </c>
      <c r="BA1762" s="7" t="s">
        <v>228</v>
      </c>
      <c r="BB1762" s="7"/>
      <c r="BC1762" s="4" t="s">
        <v>228</v>
      </c>
      <c r="BD1762" s="8" t="s">
        <v>228</v>
      </c>
      <c r="BE1762" s="4" t="s">
        <v>228</v>
      </c>
      <c r="BF1762" s="8" t="s">
        <v>228</v>
      </c>
      <c r="BG1762" s="7" t="s">
        <v>228</v>
      </c>
      <c r="BH1762" s="7" t="s">
        <v>228</v>
      </c>
      <c r="BI1762" s="7"/>
      <c r="BJ1762" s="4"/>
      <c r="BK1762" s="8"/>
      <c r="BL1762" s="2" t="s">
        <v>228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8673</v>
      </c>
      <c r="BV1762" s="2" t="s">
        <v>228</v>
      </c>
      <c r="BW1762" s="2" t="s">
        <v>228</v>
      </c>
      <c r="BX1762" s="2" t="s">
        <v>337</v>
      </c>
      <c r="BY1762" s="2" t="s">
        <v>274</v>
      </c>
      <c r="BZ1762" s="2" t="s">
        <v>240</v>
      </c>
      <c r="CA1762" s="2" t="s">
        <v>1324</v>
      </c>
      <c r="CB1762" s="2" t="s">
        <v>5399</v>
      </c>
      <c r="CC1762" s="2" t="s">
        <v>241</v>
      </c>
      <c r="CD1762" s="2" t="s">
        <v>228</v>
      </c>
      <c r="CE1762" s="4"/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  <c r="ES1762" s="4"/>
      <c r="ET1762" s="4"/>
      <c r="EU1762" s="4"/>
      <c r="EV1762" s="4"/>
      <c r="EW1762" s="4"/>
      <c r="EX1762" s="4"/>
      <c r="EY1762" s="4"/>
      <c r="EZ1762" s="4"/>
      <c r="FA1762" s="4"/>
      <c r="FB1762" s="4"/>
      <c r="FC1762" s="4"/>
      <c r="FD1762" s="4"/>
      <c r="FE1762" s="4"/>
      <c r="FF1762" s="4"/>
      <c r="FG1762" s="4"/>
      <c r="FH1762" s="4"/>
      <c r="FI1762" s="4"/>
      <c r="FJ1762" s="4"/>
      <c r="FK1762" s="4"/>
      <c r="FL1762" s="4"/>
      <c r="FM1762" s="4"/>
      <c r="FN1762" s="4"/>
      <c r="FO1762" s="4"/>
      <c r="FP1762" s="4"/>
      <c r="FQ1762" s="4"/>
      <c r="FR1762" s="4"/>
      <c r="FS1762" s="4"/>
      <c r="FT1762" s="4"/>
      <c r="FU1762" s="4"/>
      <c r="FV1762" s="4"/>
      <c r="FW1762" s="4"/>
      <c r="FX1762" s="4"/>
      <c r="FY1762" s="4"/>
      <c r="FZ1762" s="4"/>
      <c r="GA1762" s="4"/>
      <c r="GB1762" s="4"/>
      <c r="GC1762" s="4"/>
      <c r="GD1762" s="4"/>
      <c r="GE1762" s="4"/>
      <c r="GF1762" s="4"/>
      <c r="GG1762" s="4"/>
      <c r="GH1762" s="4"/>
      <c r="GI1762" s="4"/>
      <c r="GJ1762" s="4"/>
      <c r="GK1762" s="4"/>
      <c r="GL1762" s="4"/>
      <c r="GM1762" s="4"/>
      <c r="GN1762" s="4"/>
      <c r="GO1762" s="4"/>
      <c r="GP1762" s="4"/>
      <c r="GQ1762" s="4"/>
      <c r="GR1762" s="4"/>
      <c r="GS1762" s="4"/>
      <c r="GT1762" s="4"/>
      <c r="GU1762" s="4"/>
      <c r="GV1762" s="4"/>
      <c r="GW1762" s="4"/>
      <c r="GX1762" s="4"/>
      <c r="GY1762" s="4"/>
      <c r="GZ1762" s="4"/>
      <c r="HA1762" s="4"/>
      <c r="HB1762" s="4"/>
      <c r="HC1762" s="4"/>
      <c r="HD1762" s="4"/>
      <c r="HE1762" s="4"/>
    </row>
    <row r="1763">
      <c r="A1763" s="2" t="s">
        <v>8674</v>
      </c>
      <c r="B1763" s="2" t="s">
        <v>1150</v>
      </c>
      <c r="C1763" s="2" t="s">
        <v>731</v>
      </c>
      <c r="D1763" s="2" t="s">
        <v>1112</v>
      </c>
      <c r="E1763" s="2" t="s">
        <v>1151</v>
      </c>
      <c r="F1763" s="2" t="s">
        <v>8665</v>
      </c>
      <c r="G1763" s="2" t="s">
        <v>8665</v>
      </c>
      <c r="H1763" s="2" t="s">
        <v>8665</v>
      </c>
      <c r="I1763" s="2" t="s">
        <v>8666</v>
      </c>
      <c r="J1763" s="2" t="s">
        <v>294</v>
      </c>
      <c r="K1763" s="2" t="s">
        <v>249</v>
      </c>
      <c r="L1763" s="3">
        <v>52.38</v>
      </c>
      <c r="M1763" s="3">
        <v>55</v>
      </c>
      <c r="N1763" s="3">
        <v>109.99</v>
      </c>
      <c r="O1763" s="2" t="s">
        <v>240</v>
      </c>
      <c r="P1763" s="2" t="s">
        <v>922</v>
      </c>
      <c r="Q1763" s="2" t="s">
        <v>234</v>
      </c>
      <c r="R1763" s="2" t="s">
        <v>228</v>
      </c>
      <c r="S1763" s="2" t="s">
        <v>8672</v>
      </c>
      <c r="T1763" s="2" t="s">
        <v>415</v>
      </c>
      <c r="U1763" s="2" t="s">
        <v>3547</v>
      </c>
      <c r="V1763" s="2" t="s">
        <v>980</v>
      </c>
      <c r="W1763" s="2" t="s">
        <v>417</v>
      </c>
      <c r="X1763" s="2" t="s">
        <v>228</v>
      </c>
      <c r="Y1763" s="2" t="s">
        <v>7190</v>
      </c>
      <c r="Z1763" s="4"/>
      <c r="AA1763" s="4">
        <f>=ROUNDDOWN({0},0)</f>
      </c>
      <c r="AB1763" s="5"/>
      <c r="AC1763" s="2" t="s">
        <v>228</v>
      </c>
      <c r="AD1763" s="4"/>
      <c r="AE1763" s="4"/>
      <c r="AF1763" s="6"/>
      <c r="AG1763" s="6"/>
      <c r="AH1763" s="7">
        <v>0</v>
      </c>
      <c r="AI1763" s="4"/>
      <c r="AJ1763" s="4">
        <f>=ROUNDDOWN({0},0)</f>
      </c>
      <c r="AK1763" s="5"/>
      <c r="AL1763" s="2" t="s">
        <v>228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 t="s">
        <v>228</v>
      </c>
      <c r="AW1763" s="8" t="s">
        <v>228</v>
      </c>
      <c r="AX1763" s="4" t="s">
        <v>228</v>
      </c>
      <c r="AY1763" s="8" t="s">
        <v>228</v>
      </c>
      <c r="AZ1763" s="7" t="s">
        <v>228</v>
      </c>
      <c r="BA1763" s="7" t="s">
        <v>228</v>
      </c>
      <c r="BB1763" s="7"/>
      <c r="BC1763" s="4" t="s">
        <v>228</v>
      </c>
      <c r="BD1763" s="8" t="s">
        <v>228</v>
      </c>
      <c r="BE1763" s="4" t="s">
        <v>228</v>
      </c>
      <c r="BF1763" s="8" t="s">
        <v>228</v>
      </c>
      <c r="BG1763" s="7" t="s">
        <v>228</v>
      </c>
      <c r="BH1763" s="7" t="s">
        <v>228</v>
      </c>
      <c r="BI1763" s="7"/>
      <c r="BJ1763" s="4"/>
      <c r="BK1763" s="8"/>
      <c r="BL1763" s="2" t="s">
        <v>8675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8676</v>
      </c>
      <c r="BV1763" s="2" t="s">
        <v>228</v>
      </c>
      <c r="BW1763" s="2" t="s">
        <v>228</v>
      </c>
      <c r="BX1763" s="2" t="s">
        <v>337</v>
      </c>
      <c r="BY1763" s="2" t="s">
        <v>274</v>
      </c>
      <c r="BZ1763" s="2" t="s">
        <v>240</v>
      </c>
      <c r="CA1763" s="2" t="s">
        <v>1324</v>
      </c>
      <c r="CB1763" s="2" t="s">
        <v>8677</v>
      </c>
      <c r="CC1763" s="2" t="s">
        <v>241</v>
      </c>
      <c r="CD1763" s="2" t="s">
        <v>228</v>
      </c>
      <c r="CE1763" s="4"/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/>
      <c r="FD1763" s="4"/>
      <c r="FE1763" s="4"/>
      <c r="FF1763" s="4"/>
      <c r="FG1763" s="4"/>
      <c r="FH1763" s="4"/>
      <c r="FI1763" s="4"/>
      <c r="FJ1763" s="4"/>
      <c r="FK1763" s="4"/>
      <c r="FL1763" s="4"/>
      <c r="FM1763" s="4"/>
      <c r="FN1763" s="4"/>
      <c r="FO1763" s="4"/>
      <c r="FP1763" s="4"/>
      <c r="FQ1763" s="4"/>
      <c r="FR1763" s="4"/>
      <c r="FS1763" s="4"/>
      <c r="FT1763" s="4"/>
      <c r="FU1763" s="4"/>
      <c r="FV1763" s="4"/>
      <c r="FW1763" s="4"/>
      <c r="FX1763" s="4"/>
      <c r="FY1763" s="4"/>
      <c r="FZ1763" s="4"/>
      <c r="GA1763" s="4"/>
      <c r="GB1763" s="4"/>
      <c r="GC1763" s="4"/>
      <c r="GD1763" s="4"/>
      <c r="GE1763" s="4"/>
      <c r="GF1763" s="4"/>
      <c r="GG1763" s="4"/>
      <c r="GH1763" s="4"/>
      <c r="GI1763" s="4"/>
      <c r="GJ1763" s="4"/>
      <c r="GK1763" s="4"/>
      <c r="GL1763" s="4"/>
      <c r="GM1763" s="4"/>
      <c r="GN1763" s="4"/>
      <c r="GO1763" s="4"/>
      <c r="GP1763" s="4"/>
      <c r="GQ1763" s="4"/>
      <c r="GR1763" s="4"/>
      <c r="GS1763" s="4"/>
      <c r="GT1763" s="4"/>
      <c r="GU1763" s="4"/>
      <c r="GV1763" s="4"/>
      <c r="GW1763" s="4"/>
      <c r="GX1763" s="4"/>
      <c r="GY1763" s="4"/>
      <c r="GZ1763" s="4"/>
      <c r="HA1763" s="4"/>
      <c r="HB1763" s="4"/>
      <c r="HC1763" s="4"/>
      <c r="HD1763" s="4"/>
      <c r="HE1763" s="4"/>
    </row>
    <row r="1764">
      <c r="A1764" s="2" t="s">
        <v>8678</v>
      </c>
      <c r="B1764" s="2" t="s">
        <v>223</v>
      </c>
      <c r="C1764" s="2" t="s">
        <v>300</v>
      </c>
      <c r="D1764" s="2" t="s">
        <v>1112</v>
      </c>
      <c r="E1764" s="2" t="s">
        <v>1113</v>
      </c>
      <c r="F1764" s="2" t="s">
        <v>8679</v>
      </c>
      <c r="G1764" s="2" t="s">
        <v>1114</v>
      </c>
      <c r="H1764" s="2" t="s">
        <v>228</v>
      </c>
      <c r="I1764" s="2" t="s">
        <v>8680</v>
      </c>
      <c r="J1764" s="2" t="s">
        <v>856</v>
      </c>
      <c r="K1764" s="2" t="s">
        <v>480</v>
      </c>
      <c r="L1764" s="3">
        <v>38.4</v>
      </c>
      <c r="M1764" s="3">
        <v>40.32</v>
      </c>
      <c r="N1764" s="3">
        <v>79.99</v>
      </c>
      <c r="O1764" s="2" t="s">
        <v>240</v>
      </c>
      <c r="P1764" s="2" t="s">
        <v>333</v>
      </c>
      <c r="Q1764" s="2" t="s">
        <v>234</v>
      </c>
      <c r="R1764" s="2" t="s">
        <v>228</v>
      </c>
      <c r="S1764" s="2" t="s">
        <v>8681</v>
      </c>
      <c r="T1764" s="2" t="s">
        <v>1608</v>
      </c>
      <c r="U1764" s="2" t="s">
        <v>228</v>
      </c>
      <c r="V1764" s="2" t="s">
        <v>1781</v>
      </c>
      <c r="W1764" s="2" t="s">
        <v>1268</v>
      </c>
      <c r="X1764" s="2" t="s">
        <v>743</v>
      </c>
      <c r="Y1764" s="2" t="s">
        <v>6219</v>
      </c>
      <c r="Z1764" s="4"/>
      <c r="AA1764" s="4">
        <f>=ROUNDDOWN({0},0)</f>
      </c>
      <c r="AB1764" s="5">
        <v>4</v>
      </c>
      <c r="AC1764" s="2" t="s">
        <v>228</v>
      </c>
      <c r="AD1764" s="4"/>
      <c r="AE1764" s="4"/>
      <c r="AF1764" s="6">
        <v>65</v>
      </c>
      <c r="AG1764" s="6"/>
      <c r="AH1764" s="7">
        <v>0</v>
      </c>
      <c r="AI1764" s="4"/>
      <c r="AJ1764" s="4">
        <f>=ROUNDDOWN({0},0)</f>
      </c>
      <c r="AK1764" s="5"/>
      <c r="AL1764" s="2" t="s">
        <v>228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/>
      <c r="AW1764" s="8"/>
      <c r="AX1764" s="4"/>
      <c r="AY1764" s="8"/>
      <c r="AZ1764" s="7"/>
      <c r="BA1764" s="7"/>
      <c r="BB1764" s="7"/>
      <c r="BC1764" s="4"/>
      <c r="BD1764" s="8"/>
      <c r="BE1764" s="4"/>
      <c r="BF1764" s="8"/>
      <c r="BG1764" s="7"/>
      <c r="BH1764" s="7"/>
      <c r="BI1764" s="7"/>
      <c r="BJ1764" s="4"/>
      <c r="BK1764" s="8"/>
      <c r="BL1764" s="2" t="s">
        <v>228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8682</v>
      </c>
      <c r="BV1764" s="2" t="s">
        <v>228</v>
      </c>
      <c r="BW1764" s="2" t="s">
        <v>228</v>
      </c>
      <c r="BX1764" s="2" t="s">
        <v>337</v>
      </c>
      <c r="BY1764" s="2" t="s">
        <v>274</v>
      </c>
      <c r="BZ1764" s="2" t="s">
        <v>240</v>
      </c>
      <c r="CA1764" s="2" t="s">
        <v>2655</v>
      </c>
      <c r="CB1764" s="2" t="s">
        <v>5718</v>
      </c>
      <c r="CC1764" s="2" t="s">
        <v>241</v>
      </c>
      <c r="CD1764" s="2" t="s">
        <v>228</v>
      </c>
      <c r="CE1764" s="4"/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  <c r="ES1764" s="4"/>
      <c r="ET1764" s="4"/>
      <c r="EU1764" s="4"/>
      <c r="EV1764" s="4"/>
      <c r="EW1764" s="4"/>
      <c r="EX1764" s="4"/>
      <c r="EY1764" s="4"/>
      <c r="EZ1764" s="4"/>
      <c r="FA1764" s="4"/>
      <c r="FB1764" s="4"/>
      <c r="FC1764" s="4"/>
      <c r="FD1764" s="4"/>
      <c r="FE1764" s="4"/>
      <c r="FF1764" s="4"/>
      <c r="FG1764" s="4"/>
      <c r="FH1764" s="4"/>
      <c r="FI1764" s="4"/>
      <c r="FJ1764" s="4"/>
      <c r="FK1764" s="4"/>
      <c r="FL1764" s="4"/>
      <c r="FM1764" s="4"/>
      <c r="FN1764" s="4"/>
      <c r="FO1764" s="4"/>
      <c r="FP1764" s="4"/>
      <c r="FQ1764" s="4"/>
      <c r="FR1764" s="4"/>
      <c r="FS1764" s="4"/>
      <c r="FT1764" s="4"/>
      <c r="FU1764" s="4"/>
      <c r="FV1764" s="4"/>
      <c r="FW1764" s="4"/>
      <c r="FX1764" s="4"/>
      <c r="FY1764" s="4"/>
      <c r="FZ1764" s="4"/>
      <c r="GA1764" s="4"/>
      <c r="GB1764" s="4"/>
      <c r="GC1764" s="4"/>
      <c r="GD1764" s="4"/>
      <c r="GE1764" s="4"/>
      <c r="GF1764" s="4"/>
      <c r="GG1764" s="4"/>
      <c r="GH1764" s="4"/>
      <c r="GI1764" s="4"/>
      <c r="GJ1764" s="4"/>
      <c r="GK1764" s="4"/>
      <c r="GL1764" s="4"/>
      <c r="GM1764" s="4"/>
      <c r="GN1764" s="4"/>
      <c r="GO1764" s="4"/>
      <c r="GP1764" s="4"/>
      <c r="GQ1764" s="4"/>
      <c r="GR1764" s="4"/>
      <c r="GS1764" s="4"/>
      <c r="GT1764" s="4"/>
      <c r="GU1764" s="4"/>
      <c r="GV1764" s="4"/>
      <c r="GW1764" s="4"/>
      <c r="GX1764" s="4"/>
      <c r="GY1764" s="4"/>
      <c r="GZ1764" s="4"/>
      <c r="HA1764" s="4"/>
      <c r="HB1764" s="4"/>
      <c r="HC1764" s="4"/>
      <c r="HD1764" s="4"/>
      <c r="HE1764" s="4"/>
    </row>
    <row r="1765">
      <c r="A1765" s="2" t="s">
        <v>8683</v>
      </c>
      <c r="B1765" s="2" t="s">
        <v>1196</v>
      </c>
      <c r="C1765" s="2" t="s">
        <v>1197</v>
      </c>
      <c r="D1765" s="2" t="s">
        <v>1198</v>
      </c>
      <c r="E1765" s="2" t="s">
        <v>1199</v>
      </c>
      <c r="F1765" s="2" t="s">
        <v>1677</v>
      </c>
      <c r="G1765" s="2" t="s">
        <v>1677</v>
      </c>
      <c r="H1765" s="2" t="s">
        <v>1677</v>
      </c>
      <c r="I1765" s="2" t="s">
        <v>8684</v>
      </c>
      <c r="J1765" s="2" t="s">
        <v>2536</v>
      </c>
      <c r="K1765" s="2" t="s">
        <v>249</v>
      </c>
      <c r="L1765" s="3">
        <v>8.66</v>
      </c>
      <c r="M1765" s="3">
        <v>9.09</v>
      </c>
      <c r="N1765" s="3">
        <v>19.99</v>
      </c>
      <c r="O1765" s="2" t="s">
        <v>240</v>
      </c>
      <c r="P1765" s="2" t="s">
        <v>889</v>
      </c>
      <c r="Q1765" s="2" t="s">
        <v>234</v>
      </c>
      <c r="R1765" s="2" t="s">
        <v>228</v>
      </c>
      <c r="S1765" s="2" t="s">
        <v>228</v>
      </c>
      <c r="T1765" s="2" t="s">
        <v>228</v>
      </c>
      <c r="U1765" s="2" t="s">
        <v>416</v>
      </c>
      <c r="V1765" s="2" t="s">
        <v>842</v>
      </c>
      <c r="W1765" s="2" t="s">
        <v>269</v>
      </c>
      <c r="X1765" s="2" t="s">
        <v>228</v>
      </c>
      <c r="Y1765" s="2" t="s">
        <v>2850</v>
      </c>
      <c r="Z1765" s="4">
        <v>6</v>
      </c>
      <c r="AA1765" s="4">
        <f>=ROUNDDOWN(0.166666666666667,0)</f>
      </c>
      <c r="AB1765" s="5">
        <v>36</v>
      </c>
      <c r="AC1765" s="2" t="s">
        <v>1370</v>
      </c>
      <c r="AD1765" s="4">
        <v>1200</v>
      </c>
      <c r="AE1765" s="4">
        <v>2004</v>
      </c>
      <c r="AF1765" s="6">
        <v>65</v>
      </c>
      <c r="AG1765" s="6"/>
      <c r="AH1765" s="7">
        <v>0</v>
      </c>
      <c r="AI1765" s="4"/>
      <c r="AJ1765" s="4">
        <f>=ROUNDDOWN({0},0)</f>
      </c>
      <c r="AK1765" s="5"/>
      <c r="AL1765" s="2" t="s">
        <v>228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 t="s">
        <v>228</v>
      </c>
      <c r="AW1765" s="8" t="s">
        <v>228</v>
      </c>
      <c r="AX1765" s="4" t="s">
        <v>228</v>
      </c>
      <c r="AY1765" s="8" t="s">
        <v>228</v>
      </c>
      <c r="AZ1765" s="7" t="s">
        <v>228</v>
      </c>
      <c r="BA1765" s="7" t="s">
        <v>228</v>
      </c>
      <c r="BB1765" s="7"/>
      <c r="BC1765" s="4" t="s">
        <v>228</v>
      </c>
      <c r="BD1765" s="8" t="s">
        <v>228</v>
      </c>
      <c r="BE1765" s="4" t="s">
        <v>228</v>
      </c>
      <c r="BF1765" s="8" t="s">
        <v>228</v>
      </c>
      <c r="BG1765" s="7" t="s">
        <v>228</v>
      </c>
      <c r="BH1765" s="7" t="s">
        <v>228</v>
      </c>
      <c r="BI1765" s="7"/>
      <c r="BJ1765" s="4"/>
      <c r="BK1765" s="8"/>
      <c r="BL1765" s="2" t="s">
        <v>228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8685</v>
      </c>
      <c r="BV1765" s="2" t="s">
        <v>228</v>
      </c>
      <c r="BW1765" s="2" t="s">
        <v>228</v>
      </c>
      <c r="BX1765" s="2" t="s">
        <v>273</v>
      </c>
      <c r="BY1765" s="2" t="s">
        <v>274</v>
      </c>
      <c r="BZ1765" s="2" t="s">
        <v>240</v>
      </c>
      <c r="CA1765" s="2" t="s">
        <v>7560</v>
      </c>
      <c r="CB1765" s="2" t="s">
        <v>228</v>
      </c>
      <c r="CC1765" s="2" t="s">
        <v>241</v>
      </c>
      <c r="CD1765" s="2" t="s">
        <v>228</v>
      </c>
      <c r="CE1765" s="4"/>
      <c r="CF1765" s="4">
        <v>3</v>
      </c>
      <c r="CG1765" s="4"/>
      <c r="CH1765" s="4">
        <v>3</v>
      </c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/>
      <c r="FD1765" s="4"/>
      <c r="FE1765" s="4"/>
      <c r="FF1765" s="4"/>
      <c r="FG1765" s="4"/>
      <c r="FH1765" s="4"/>
      <c r="FI1765" s="4"/>
      <c r="FJ1765" s="4"/>
      <c r="FK1765" s="4"/>
      <c r="FL1765" s="4"/>
      <c r="FM1765" s="4"/>
      <c r="FN1765" s="4"/>
      <c r="FO1765" s="4"/>
      <c r="FP1765" s="4">
        <v>1200</v>
      </c>
      <c r="FQ1765" s="4"/>
      <c r="FR1765" s="4"/>
      <c r="FS1765" s="4"/>
      <c r="FT1765" s="4"/>
      <c r="FU1765" s="4"/>
      <c r="FV1765" s="4"/>
      <c r="FW1765" s="4"/>
      <c r="FX1765" s="4"/>
      <c r="FY1765" s="4"/>
      <c r="FZ1765" s="4"/>
      <c r="GA1765" s="4"/>
      <c r="GB1765" s="4"/>
      <c r="GC1765" s="4"/>
      <c r="GD1765" s="4"/>
      <c r="GE1765" s="4"/>
      <c r="GF1765" s="4"/>
      <c r="GG1765" s="4"/>
      <c r="GH1765" s="4"/>
      <c r="GI1765" s="4"/>
      <c r="GJ1765" s="4"/>
      <c r="GK1765" s="4"/>
      <c r="GL1765" s="4"/>
      <c r="GM1765" s="4"/>
      <c r="GN1765" s="4"/>
      <c r="GO1765" s="4"/>
      <c r="GP1765" s="4"/>
      <c r="GQ1765" s="4"/>
      <c r="GR1765" s="4"/>
      <c r="GS1765" s="4"/>
      <c r="GT1765" s="4"/>
      <c r="GU1765" s="4"/>
      <c r="GV1765" s="4"/>
      <c r="GW1765" s="4"/>
      <c r="GX1765" s="4"/>
      <c r="GY1765" s="4"/>
      <c r="GZ1765" s="4">
        <v>804</v>
      </c>
      <c r="HA1765" s="4"/>
      <c r="HB1765" s="4"/>
      <c r="HC1765" s="4"/>
      <c r="HD1765" s="4"/>
      <c r="HE1765" s="4"/>
    </row>
    <row r="1766">
      <c r="A1766" s="2" t="s">
        <v>8686</v>
      </c>
      <c r="B1766" s="2" t="s">
        <v>1196</v>
      </c>
      <c r="C1766" s="2" t="s">
        <v>1197</v>
      </c>
      <c r="D1766" s="2" t="s">
        <v>1198</v>
      </c>
      <c r="E1766" s="2" t="s">
        <v>1199</v>
      </c>
      <c r="F1766" s="2" t="s">
        <v>1677</v>
      </c>
      <c r="G1766" s="2" t="s">
        <v>1677</v>
      </c>
      <c r="H1766" s="2" t="s">
        <v>1677</v>
      </c>
      <c r="I1766" s="2" t="s">
        <v>8684</v>
      </c>
      <c r="J1766" s="2" t="s">
        <v>1202</v>
      </c>
      <c r="K1766" s="2" t="s">
        <v>249</v>
      </c>
      <c r="L1766" s="3">
        <v>10.57</v>
      </c>
      <c r="M1766" s="3">
        <v>11.1</v>
      </c>
      <c r="N1766" s="3">
        <v>23.99</v>
      </c>
      <c r="O1766" s="2" t="s">
        <v>240</v>
      </c>
      <c r="P1766" s="2" t="s">
        <v>889</v>
      </c>
      <c r="Q1766" s="2" t="s">
        <v>234</v>
      </c>
      <c r="R1766" s="2" t="s">
        <v>228</v>
      </c>
      <c r="S1766" s="2" t="s">
        <v>228</v>
      </c>
      <c r="T1766" s="2" t="s">
        <v>228</v>
      </c>
      <c r="U1766" s="2" t="s">
        <v>416</v>
      </c>
      <c r="V1766" s="2" t="s">
        <v>842</v>
      </c>
      <c r="W1766" s="2" t="s">
        <v>269</v>
      </c>
      <c r="X1766" s="2" t="s">
        <v>228</v>
      </c>
      <c r="Y1766" s="2" t="s">
        <v>2850</v>
      </c>
      <c r="Z1766" s="4">
        <v>1445</v>
      </c>
      <c r="AA1766" s="4">
        <f>=ROUNDDOWN(131.363636363636,0)</f>
      </c>
      <c r="AB1766" s="5">
        <v>11</v>
      </c>
      <c r="AC1766" s="2" t="s">
        <v>228</v>
      </c>
      <c r="AD1766" s="4"/>
      <c r="AE1766" s="4"/>
      <c r="AF1766" s="6">
        <v>65</v>
      </c>
      <c r="AG1766" s="6"/>
      <c r="AH1766" s="7">
        <v>1</v>
      </c>
      <c r="AI1766" s="4"/>
      <c r="AJ1766" s="4">
        <f>=ROUNDDOWN({0},0)</f>
      </c>
      <c r="AK1766" s="5"/>
      <c r="AL1766" s="2" t="s">
        <v>228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 t="s">
        <v>228</v>
      </c>
      <c r="AW1766" s="8" t="s">
        <v>228</v>
      </c>
      <c r="AX1766" s="4" t="s">
        <v>228</v>
      </c>
      <c r="AY1766" s="8" t="s">
        <v>228</v>
      </c>
      <c r="AZ1766" s="7" t="s">
        <v>228</v>
      </c>
      <c r="BA1766" s="7" t="s">
        <v>228</v>
      </c>
      <c r="BB1766" s="7"/>
      <c r="BC1766" s="4" t="s">
        <v>228</v>
      </c>
      <c r="BD1766" s="8" t="s">
        <v>228</v>
      </c>
      <c r="BE1766" s="4" t="s">
        <v>228</v>
      </c>
      <c r="BF1766" s="8" t="s">
        <v>228</v>
      </c>
      <c r="BG1766" s="7" t="s">
        <v>228</v>
      </c>
      <c r="BH1766" s="7" t="s">
        <v>228</v>
      </c>
      <c r="BI1766" s="7"/>
      <c r="BJ1766" s="4">
        <v>38</v>
      </c>
      <c r="BK1766" s="8">
        <v>457.74</v>
      </c>
      <c r="BL1766" s="2" t="s">
        <v>690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8687</v>
      </c>
      <c r="BV1766" s="2" t="s">
        <v>228</v>
      </c>
      <c r="BW1766" s="2" t="s">
        <v>228</v>
      </c>
      <c r="BX1766" s="2" t="s">
        <v>273</v>
      </c>
      <c r="BY1766" s="2" t="s">
        <v>274</v>
      </c>
      <c r="BZ1766" s="2" t="s">
        <v>240</v>
      </c>
      <c r="CA1766" s="2" t="s">
        <v>7560</v>
      </c>
      <c r="CB1766" s="2" t="s">
        <v>228</v>
      </c>
      <c r="CC1766" s="2" t="s">
        <v>241</v>
      </c>
      <c r="CD1766" s="2" t="s">
        <v>228</v>
      </c>
      <c r="CE1766" s="4"/>
      <c r="CF1766" s="4">
        <v>119</v>
      </c>
      <c r="CG1766" s="4"/>
      <c r="CH1766" s="4">
        <v>1326</v>
      </c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  <c r="ES1766" s="4"/>
      <c r="ET1766" s="4"/>
      <c r="EU1766" s="4"/>
      <c r="EV1766" s="4"/>
      <c r="EW1766" s="4"/>
      <c r="EX1766" s="4"/>
      <c r="EY1766" s="4"/>
      <c r="EZ1766" s="4"/>
      <c r="FA1766" s="4"/>
      <c r="FB1766" s="4"/>
      <c r="FC1766" s="4"/>
      <c r="FD1766" s="4"/>
      <c r="FE1766" s="4"/>
      <c r="FF1766" s="4"/>
      <c r="FG1766" s="4"/>
      <c r="FH1766" s="4"/>
      <c r="FI1766" s="4"/>
      <c r="FJ1766" s="4"/>
      <c r="FK1766" s="4"/>
      <c r="FL1766" s="4"/>
      <c r="FM1766" s="4"/>
      <c r="FN1766" s="4"/>
      <c r="FO1766" s="4"/>
      <c r="FP1766" s="4"/>
      <c r="FQ1766" s="4"/>
      <c r="FR1766" s="4"/>
      <c r="FS1766" s="4"/>
      <c r="FT1766" s="4"/>
      <c r="FU1766" s="4"/>
      <c r="FV1766" s="4"/>
      <c r="FW1766" s="4"/>
      <c r="FX1766" s="4"/>
      <c r="FY1766" s="4"/>
      <c r="FZ1766" s="4"/>
      <c r="GA1766" s="4"/>
      <c r="GB1766" s="4"/>
      <c r="GC1766" s="4"/>
      <c r="GD1766" s="4"/>
      <c r="GE1766" s="4"/>
      <c r="GF1766" s="4"/>
      <c r="GG1766" s="4"/>
      <c r="GH1766" s="4"/>
      <c r="GI1766" s="4"/>
      <c r="GJ1766" s="4"/>
      <c r="GK1766" s="4"/>
      <c r="GL1766" s="4"/>
      <c r="GM1766" s="4"/>
      <c r="GN1766" s="4"/>
      <c r="GO1766" s="4"/>
      <c r="GP1766" s="4"/>
      <c r="GQ1766" s="4"/>
      <c r="GR1766" s="4"/>
      <c r="GS1766" s="4"/>
      <c r="GT1766" s="4"/>
      <c r="GU1766" s="4"/>
      <c r="GV1766" s="4"/>
      <c r="GW1766" s="4"/>
      <c r="GX1766" s="4"/>
      <c r="GY1766" s="4"/>
      <c r="GZ1766" s="4"/>
      <c r="HA1766" s="4"/>
      <c r="HB1766" s="4"/>
      <c r="HC1766" s="4"/>
      <c r="HD1766" s="4"/>
      <c r="HE1766" s="4"/>
    </row>
    <row r="1767">
      <c r="A1767" s="2" t="s">
        <v>8688</v>
      </c>
      <c r="B1767" s="2" t="s">
        <v>1196</v>
      </c>
      <c r="C1767" s="2" t="s">
        <v>1197</v>
      </c>
      <c r="D1767" s="2" t="s">
        <v>1198</v>
      </c>
      <c r="E1767" s="2" t="s">
        <v>1199</v>
      </c>
      <c r="F1767" s="2" t="s">
        <v>1677</v>
      </c>
      <c r="G1767" s="2" t="s">
        <v>1677</v>
      </c>
      <c r="H1767" s="2" t="s">
        <v>1677</v>
      </c>
      <c r="I1767" s="2" t="s">
        <v>8684</v>
      </c>
      <c r="J1767" s="2" t="s">
        <v>1208</v>
      </c>
      <c r="K1767" s="2" t="s">
        <v>249</v>
      </c>
      <c r="L1767" s="3">
        <v>13.42</v>
      </c>
      <c r="M1767" s="3">
        <v>14.09</v>
      </c>
      <c r="N1767" s="3">
        <v>29.99</v>
      </c>
      <c r="O1767" s="2" t="s">
        <v>240</v>
      </c>
      <c r="P1767" s="2" t="s">
        <v>889</v>
      </c>
      <c r="Q1767" s="2" t="s">
        <v>234</v>
      </c>
      <c r="R1767" s="2" t="s">
        <v>228</v>
      </c>
      <c r="S1767" s="2" t="s">
        <v>228</v>
      </c>
      <c r="T1767" s="2" t="s">
        <v>228</v>
      </c>
      <c r="U1767" s="2" t="s">
        <v>416</v>
      </c>
      <c r="V1767" s="2" t="s">
        <v>842</v>
      </c>
      <c r="W1767" s="2" t="s">
        <v>269</v>
      </c>
      <c r="X1767" s="2" t="s">
        <v>228</v>
      </c>
      <c r="Y1767" s="2" t="s">
        <v>2850</v>
      </c>
      <c r="Z1767" s="4">
        <v>1352</v>
      </c>
      <c r="AA1767" s="4">
        <f>=ROUNDDOWN(84.5,0)</f>
      </c>
      <c r="AB1767" s="5">
        <v>16</v>
      </c>
      <c r="AC1767" s="2" t="s">
        <v>228</v>
      </c>
      <c r="AD1767" s="4"/>
      <c r="AE1767" s="4"/>
      <c r="AF1767" s="6">
        <v>65</v>
      </c>
      <c r="AG1767" s="6"/>
      <c r="AH1767" s="7">
        <v>1</v>
      </c>
      <c r="AI1767" s="4"/>
      <c r="AJ1767" s="4">
        <f>=ROUNDDOWN({0},0)</f>
      </c>
      <c r="AK1767" s="5"/>
      <c r="AL1767" s="2" t="s">
        <v>228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 t="s">
        <v>228</v>
      </c>
      <c r="AW1767" s="8" t="s">
        <v>228</v>
      </c>
      <c r="AX1767" s="4" t="s">
        <v>228</v>
      </c>
      <c r="AY1767" s="8" t="s">
        <v>228</v>
      </c>
      <c r="AZ1767" s="7" t="s">
        <v>228</v>
      </c>
      <c r="BA1767" s="7" t="s">
        <v>228</v>
      </c>
      <c r="BB1767" s="7"/>
      <c r="BC1767" s="4" t="s">
        <v>228</v>
      </c>
      <c r="BD1767" s="8" t="s">
        <v>228</v>
      </c>
      <c r="BE1767" s="4" t="s">
        <v>228</v>
      </c>
      <c r="BF1767" s="8" t="s">
        <v>228</v>
      </c>
      <c r="BG1767" s="7" t="s">
        <v>228</v>
      </c>
      <c r="BH1767" s="7" t="s">
        <v>228</v>
      </c>
      <c r="BI1767" s="7"/>
      <c r="BJ1767" s="4">
        <v>8</v>
      </c>
      <c r="BK1767" s="8">
        <v>120.84</v>
      </c>
      <c r="BL1767" s="2" t="s">
        <v>8689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8690</v>
      </c>
      <c r="BV1767" s="2" t="s">
        <v>228</v>
      </c>
      <c r="BW1767" s="2" t="s">
        <v>228</v>
      </c>
      <c r="BX1767" s="2" t="s">
        <v>273</v>
      </c>
      <c r="BY1767" s="2" t="s">
        <v>274</v>
      </c>
      <c r="BZ1767" s="2" t="s">
        <v>240</v>
      </c>
      <c r="CA1767" s="2" t="s">
        <v>7560</v>
      </c>
      <c r="CB1767" s="2" t="s">
        <v>228</v>
      </c>
      <c r="CC1767" s="2" t="s">
        <v>241</v>
      </c>
      <c r="CD1767" s="2" t="s">
        <v>228</v>
      </c>
      <c r="CE1767" s="4"/>
      <c r="CF1767" s="4">
        <v>47</v>
      </c>
      <c r="CG1767" s="4"/>
      <c r="CH1767" s="4">
        <v>1305</v>
      </c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/>
      <c r="EX1767" s="4"/>
      <c r="EY1767" s="4"/>
      <c r="EZ1767" s="4"/>
      <c r="FA1767" s="4"/>
      <c r="FB1767" s="4"/>
      <c r="FC1767" s="4"/>
      <c r="FD1767" s="4"/>
      <c r="FE1767" s="4"/>
      <c r="FF1767" s="4"/>
      <c r="FG1767" s="4"/>
      <c r="FH1767" s="4"/>
      <c r="FI1767" s="4"/>
      <c r="FJ1767" s="4"/>
      <c r="FK1767" s="4"/>
      <c r="FL1767" s="4"/>
      <c r="FM1767" s="4"/>
      <c r="FN1767" s="4"/>
      <c r="FO1767" s="4"/>
      <c r="FP1767" s="4"/>
      <c r="FQ1767" s="4"/>
      <c r="FR1767" s="4"/>
      <c r="FS1767" s="4"/>
      <c r="FT1767" s="4"/>
      <c r="FU1767" s="4"/>
      <c r="FV1767" s="4"/>
      <c r="FW1767" s="4"/>
      <c r="FX1767" s="4"/>
      <c r="FY1767" s="4"/>
      <c r="FZ1767" s="4"/>
      <c r="GA1767" s="4"/>
      <c r="GB1767" s="4"/>
      <c r="GC1767" s="4"/>
      <c r="GD1767" s="4"/>
      <c r="GE1767" s="4"/>
      <c r="GF1767" s="4"/>
      <c r="GG1767" s="4"/>
      <c r="GH1767" s="4"/>
      <c r="GI1767" s="4"/>
      <c r="GJ1767" s="4"/>
      <c r="GK1767" s="4"/>
      <c r="GL1767" s="4"/>
      <c r="GM1767" s="4"/>
      <c r="GN1767" s="4"/>
      <c r="GO1767" s="4"/>
      <c r="GP1767" s="4"/>
      <c r="GQ1767" s="4"/>
      <c r="GR1767" s="4"/>
      <c r="GS1767" s="4"/>
      <c r="GT1767" s="4"/>
      <c r="GU1767" s="4"/>
      <c r="GV1767" s="4"/>
      <c r="GW1767" s="4"/>
      <c r="GX1767" s="4"/>
      <c r="GY1767" s="4"/>
      <c r="GZ1767" s="4"/>
      <c r="HA1767" s="4"/>
      <c r="HB1767" s="4"/>
      <c r="HC1767" s="4"/>
      <c r="HD1767" s="4"/>
      <c r="HE1767" s="4"/>
    </row>
    <row r="1768">
      <c r="A1768" s="2" t="s">
        <v>8691</v>
      </c>
      <c r="B1768" s="2" t="s">
        <v>1196</v>
      </c>
      <c r="C1768" s="2" t="s">
        <v>1197</v>
      </c>
      <c r="D1768" s="2" t="s">
        <v>1198</v>
      </c>
      <c r="E1768" s="2" t="s">
        <v>1199</v>
      </c>
      <c r="F1768" s="2" t="s">
        <v>1677</v>
      </c>
      <c r="G1768" s="2" t="s">
        <v>1677</v>
      </c>
      <c r="H1768" s="2" t="s">
        <v>1677</v>
      </c>
      <c r="I1768" s="2" t="s">
        <v>8684</v>
      </c>
      <c r="J1768" s="2" t="s">
        <v>1213</v>
      </c>
      <c r="K1768" s="2" t="s">
        <v>249</v>
      </c>
      <c r="L1768" s="3">
        <v>15.03</v>
      </c>
      <c r="M1768" s="3">
        <v>15.78</v>
      </c>
      <c r="N1768" s="3">
        <v>34.99</v>
      </c>
      <c r="O1768" s="2" t="s">
        <v>240</v>
      </c>
      <c r="P1768" s="2" t="s">
        <v>889</v>
      </c>
      <c r="Q1768" s="2" t="s">
        <v>234</v>
      </c>
      <c r="R1768" s="2" t="s">
        <v>228</v>
      </c>
      <c r="S1768" s="2" t="s">
        <v>228</v>
      </c>
      <c r="T1768" s="2" t="s">
        <v>228</v>
      </c>
      <c r="U1768" s="2" t="s">
        <v>416</v>
      </c>
      <c r="V1768" s="2" t="s">
        <v>842</v>
      </c>
      <c r="W1768" s="2" t="s">
        <v>269</v>
      </c>
      <c r="X1768" s="2" t="s">
        <v>228</v>
      </c>
      <c r="Y1768" s="2" t="s">
        <v>2850</v>
      </c>
      <c r="Z1768" s="4">
        <v>1785</v>
      </c>
      <c r="AA1768" s="4">
        <f>=ROUNDDOWN(1487.5,0)</f>
      </c>
      <c r="AB1768" s="5">
        <v>1.2</v>
      </c>
      <c r="AC1768" s="2" t="s">
        <v>228</v>
      </c>
      <c r="AD1768" s="4"/>
      <c r="AE1768" s="4"/>
      <c r="AF1768" s="6">
        <v>65</v>
      </c>
      <c r="AG1768" s="6"/>
      <c r="AH1768" s="7">
        <v>1</v>
      </c>
      <c r="AI1768" s="4"/>
      <c r="AJ1768" s="4">
        <f>=ROUNDDOWN({0},0)</f>
      </c>
      <c r="AK1768" s="5"/>
      <c r="AL1768" s="2" t="s">
        <v>228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228</v>
      </c>
      <c r="AW1768" s="8" t="s">
        <v>228</v>
      </c>
      <c r="AX1768" s="4" t="s">
        <v>228</v>
      </c>
      <c r="AY1768" s="8" t="s">
        <v>228</v>
      </c>
      <c r="AZ1768" s="7" t="s">
        <v>228</v>
      </c>
      <c r="BA1768" s="7" t="s">
        <v>228</v>
      </c>
      <c r="BB1768" s="7"/>
      <c r="BC1768" s="4" t="s">
        <v>228</v>
      </c>
      <c r="BD1768" s="8" t="s">
        <v>228</v>
      </c>
      <c r="BE1768" s="4" t="s">
        <v>228</v>
      </c>
      <c r="BF1768" s="8" t="s">
        <v>228</v>
      </c>
      <c r="BG1768" s="7" t="s">
        <v>228</v>
      </c>
      <c r="BH1768" s="7" t="s">
        <v>228</v>
      </c>
      <c r="BI1768" s="7"/>
      <c r="BJ1768" s="4">
        <v>6</v>
      </c>
      <c r="BK1768" s="8">
        <v>103.74</v>
      </c>
      <c r="BL1768" s="2" t="s">
        <v>1222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8692</v>
      </c>
      <c r="BV1768" s="2" t="s">
        <v>228</v>
      </c>
      <c r="BW1768" s="2" t="s">
        <v>228</v>
      </c>
      <c r="BX1768" s="2" t="s">
        <v>273</v>
      </c>
      <c r="BY1768" s="2" t="s">
        <v>274</v>
      </c>
      <c r="BZ1768" s="2" t="s">
        <v>240</v>
      </c>
      <c r="CA1768" s="2" t="s">
        <v>7560</v>
      </c>
      <c r="CB1768" s="2" t="s">
        <v>228</v>
      </c>
      <c r="CC1768" s="2" t="s">
        <v>241</v>
      </c>
      <c r="CD1768" s="2" t="s">
        <v>228</v>
      </c>
      <c r="CE1768" s="4"/>
      <c r="CF1768" s="4">
        <v>389</v>
      </c>
      <c r="CG1768" s="4"/>
      <c r="CH1768" s="4">
        <v>1396</v>
      </c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  <c r="ES1768" s="4"/>
      <c r="ET1768" s="4"/>
      <c r="EU1768" s="4"/>
      <c r="EV1768" s="4"/>
      <c r="EW1768" s="4"/>
      <c r="EX1768" s="4"/>
      <c r="EY1768" s="4"/>
      <c r="EZ1768" s="4"/>
      <c r="FA1768" s="4"/>
      <c r="FB1768" s="4"/>
      <c r="FC1768" s="4"/>
      <c r="FD1768" s="4"/>
      <c r="FE1768" s="4"/>
      <c r="FF1768" s="4"/>
      <c r="FG1768" s="4"/>
      <c r="FH1768" s="4"/>
      <c r="FI1768" s="4"/>
      <c r="FJ1768" s="4"/>
      <c r="FK1768" s="4"/>
      <c r="FL1768" s="4"/>
      <c r="FM1768" s="4"/>
      <c r="FN1768" s="4"/>
      <c r="FO1768" s="4"/>
      <c r="FP1768" s="4"/>
      <c r="FQ1768" s="4"/>
      <c r="FR1768" s="4"/>
      <c r="FS1768" s="4"/>
      <c r="FT1768" s="4"/>
      <c r="FU1768" s="4"/>
      <c r="FV1768" s="4"/>
      <c r="FW1768" s="4"/>
      <c r="FX1768" s="4"/>
      <c r="FY1768" s="4"/>
      <c r="FZ1768" s="4"/>
      <c r="GA1768" s="4"/>
      <c r="GB1768" s="4"/>
      <c r="GC1768" s="4"/>
      <c r="GD1768" s="4"/>
      <c r="GE1768" s="4"/>
      <c r="GF1768" s="4"/>
      <c r="GG1768" s="4"/>
      <c r="GH1768" s="4"/>
      <c r="GI1768" s="4"/>
      <c r="GJ1768" s="4"/>
      <c r="GK1768" s="4"/>
      <c r="GL1768" s="4"/>
      <c r="GM1768" s="4"/>
      <c r="GN1768" s="4"/>
      <c r="GO1768" s="4"/>
      <c r="GP1768" s="4"/>
      <c r="GQ1768" s="4"/>
      <c r="GR1768" s="4"/>
      <c r="GS1768" s="4"/>
      <c r="GT1768" s="4"/>
      <c r="GU1768" s="4"/>
      <c r="GV1768" s="4"/>
      <c r="GW1768" s="4"/>
      <c r="GX1768" s="4"/>
      <c r="GY1768" s="4"/>
      <c r="GZ1768" s="4"/>
      <c r="HA1768" s="4"/>
      <c r="HB1768" s="4"/>
      <c r="HC1768" s="4"/>
      <c r="HD1768" s="4"/>
      <c r="HE1768" s="4"/>
    </row>
    <row r="1769">
      <c r="A1769" s="2" t="s">
        <v>8693</v>
      </c>
      <c r="B1769" s="2" t="s">
        <v>866</v>
      </c>
      <c r="C1769" s="2" t="s">
        <v>835</v>
      </c>
      <c r="D1769" s="2" t="s">
        <v>907</v>
      </c>
      <c r="E1769" s="2" t="s">
        <v>908</v>
      </c>
      <c r="F1769" s="2" t="s">
        <v>1677</v>
      </c>
      <c r="G1769" s="2" t="s">
        <v>1677</v>
      </c>
      <c r="H1769" s="2" t="s">
        <v>1677</v>
      </c>
      <c r="I1769" s="2" t="s">
        <v>8694</v>
      </c>
      <c r="J1769" s="2" t="s">
        <v>840</v>
      </c>
      <c r="K1769" s="2" t="s">
        <v>1357</v>
      </c>
      <c r="L1769" s="3">
        <v>59.52</v>
      </c>
      <c r="M1769" s="3">
        <v>62.5</v>
      </c>
      <c r="N1769" s="3">
        <v>124.99</v>
      </c>
      <c r="O1769" s="2" t="s">
        <v>240</v>
      </c>
      <c r="P1769" s="2" t="s">
        <v>889</v>
      </c>
      <c r="Q1769" s="2" t="s">
        <v>234</v>
      </c>
      <c r="R1769" s="2" t="s">
        <v>228</v>
      </c>
      <c r="S1769" s="2" t="s">
        <v>228</v>
      </c>
      <c r="T1769" s="2" t="s">
        <v>228</v>
      </c>
      <c r="U1769" s="2" t="s">
        <v>416</v>
      </c>
      <c r="V1769" s="2" t="s">
        <v>842</v>
      </c>
      <c r="W1769" s="2" t="s">
        <v>269</v>
      </c>
      <c r="X1769" s="2" t="s">
        <v>351</v>
      </c>
      <c r="Y1769" s="2" t="s">
        <v>486</v>
      </c>
      <c r="Z1769" s="4">
        <v>350</v>
      </c>
      <c r="AA1769" s="4">
        <f>=ROUNDDOWN(17.5,0)</f>
      </c>
      <c r="AB1769" s="5">
        <v>20</v>
      </c>
      <c r="AC1769" s="2" t="s">
        <v>162</v>
      </c>
      <c r="AD1769" s="4">
        <v>550</v>
      </c>
      <c r="AE1769" s="4">
        <v>550</v>
      </c>
      <c r="AF1769" s="6">
        <v>63</v>
      </c>
      <c r="AG1769" s="6"/>
      <c r="AH1769" s="7">
        <v>0.1613</v>
      </c>
      <c r="AI1769" s="4"/>
      <c r="AJ1769" s="4">
        <f>=ROUNDDOWN({0},0)</f>
      </c>
      <c r="AK1769" s="5"/>
      <c r="AL1769" s="2" t="s">
        <v>228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/>
      <c r="AW1769" s="8"/>
      <c r="AX1769" s="4"/>
      <c r="AY1769" s="8"/>
      <c r="AZ1769" s="7"/>
      <c r="BA1769" s="7"/>
      <c r="BB1769" s="7"/>
      <c r="BC1769" s="4" t="s">
        <v>228</v>
      </c>
      <c r="BD1769" s="8" t="s">
        <v>228</v>
      </c>
      <c r="BE1769" s="4" t="s">
        <v>228</v>
      </c>
      <c r="BF1769" s="8" t="s">
        <v>228</v>
      </c>
      <c r="BG1769" s="7" t="s">
        <v>228</v>
      </c>
      <c r="BH1769" s="7" t="s">
        <v>228</v>
      </c>
      <c r="BI1769" s="7"/>
      <c r="BJ1769" s="4">
        <v>8</v>
      </c>
      <c r="BK1769" s="8">
        <v>601.27</v>
      </c>
      <c r="BL1769" s="2" t="s">
        <v>8695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8696</v>
      </c>
      <c r="BV1769" s="2" t="s">
        <v>228</v>
      </c>
      <c r="BW1769" s="2" t="s">
        <v>228</v>
      </c>
      <c r="BX1769" s="2" t="s">
        <v>273</v>
      </c>
      <c r="BY1769" s="2" t="s">
        <v>274</v>
      </c>
      <c r="BZ1769" s="2" t="s">
        <v>240</v>
      </c>
      <c r="CA1769" s="2" t="s">
        <v>2680</v>
      </c>
      <c r="CB1769" s="2" t="s">
        <v>719</v>
      </c>
      <c r="CC1769" s="2" t="s">
        <v>241</v>
      </c>
      <c r="CD1769" s="2" t="s">
        <v>228</v>
      </c>
      <c r="CE1769" s="4"/>
      <c r="CF1769" s="4">
        <v>350</v>
      </c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>
        <v>550</v>
      </c>
      <c r="EY1769" s="4"/>
      <c r="EZ1769" s="4"/>
      <c r="FA1769" s="4"/>
      <c r="FB1769" s="4"/>
      <c r="FC1769" s="4"/>
      <c r="FD1769" s="4"/>
      <c r="FE1769" s="4"/>
      <c r="FF1769" s="4"/>
      <c r="FG1769" s="4"/>
      <c r="FH1769" s="4"/>
      <c r="FI1769" s="4"/>
      <c r="FJ1769" s="4"/>
      <c r="FK1769" s="4"/>
      <c r="FL1769" s="4"/>
      <c r="FM1769" s="4"/>
      <c r="FN1769" s="4"/>
      <c r="FO1769" s="4"/>
      <c r="FP1769" s="4"/>
      <c r="FQ1769" s="4"/>
      <c r="FR1769" s="4"/>
      <c r="FS1769" s="4"/>
      <c r="FT1769" s="4"/>
      <c r="FU1769" s="4"/>
      <c r="FV1769" s="4"/>
      <c r="FW1769" s="4"/>
      <c r="FX1769" s="4"/>
      <c r="FY1769" s="4"/>
      <c r="FZ1769" s="4"/>
      <c r="GA1769" s="4"/>
      <c r="GB1769" s="4"/>
      <c r="GC1769" s="4"/>
      <c r="GD1769" s="4"/>
      <c r="GE1769" s="4"/>
      <c r="GF1769" s="4"/>
      <c r="GG1769" s="4"/>
      <c r="GH1769" s="4"/>
      <c r="GI1769" s="4"/>
      <c r="GJ1769" s="4"/>
      <c r="GK1769" s="4"/>
      <c r="GL1769" s="4"/>
      <c r="GM1769" s="4"/>
      <c r="GN1769" s="4"/>
      <c r="GO1769" s="4"/>
      <c r="GP1769" s="4"/>
      <c r="GQ1769" s="4"/>
      <c r="GR1769" s="4"/>
      <c r="GS1769" s="4"/>
      <c r="GT1769" s="4"/>
      <c r="GU1769" s="4"/>
      <c r="GV1769" s="4"/>
      <c r="GW1769" s="4"/>
      <c r="GX1769" s="4"/>
      <c r="GY1769" s="4"/>
      <c r="GZ1769" s="4"/>
      <c r="HA1769" s="4"/>
      <c r="HB1769" s="4"/>
      <c r="HC1769" s="4"/>
      <c r="HD1769" s="4"/>
      <c r="HE1769" s="4"/>
    </row>
    <row r="1770">
      <c r="A1770" s="2" t="s">
        <v>8697</v>
      </c>
      <c r="B1770" s="2" t="s">
        <v>772</v>
      </c>
      <c r="C1770" s="2" t="s">
        <v>835</v>
      </c>
      <c r="D1770" s="2" t="s">
        <v>774</v>
      </c>
      <c r="E1770" s="2" t="s">
        <v>775</v>
      </c>
      <c r="F1770" s="2" t="s">
        <v>1677</v>
      </c>
      <c r="G1770" s="2" t="s">
        <v>8698</v>
      </c>
      <c r="H1770" s="2" t="s">
        <v>8699</v>
      </c>
      <c r="I1770" s="2" t="s">
        <v>8700</v>
      </c>
      <c r="J1770" s="2" t="s">
        <v>1053</v>
      </c>
      <c r="K1770" s="2" t="s">
        <v>251</v>
      </c>
      <c r="L1770" s="3">
        <v>26.65</v>
      </c>
      <c r="M1770" s="3">
        <v>27.98</v>
      </c>
      <c r="N1770" s="3">
        <v>59.99</v>
      </c>
      <c r="O1770" s="2" t="s">
        <v>240</v>
      </c>
      <c r="P1770" s="2" t="s">
        <v>333</v>
      </c>
      <c r="Q1770" s="2" t="s">
        <v>234</v>
      </c>
      <c r="R1770" s="2" t="s">
        <v>228</v>
      </c>
      <c r="S1770" s="2" t="s">
        <v>8701</v>
      </c>
      <c r="T1770" s="2" t="s">
        <v>350</v>
      </c>
      <c r="U1770" s="2" t="s">
        <v>1054</v>
      </c>
      <c r="V1770" s="2" t="s">
        <v>236</v>
      </c>
      <c r="W1770" s="2" t="s">
        <v>2472</v>
      </c>
      <c r="X1770" s="2" t="s">
        <v>269</v>
      </c>
      <c r="Y1770" s="2" t="s">
        <v>5232</v>
      </c>
      <c r="Z1770" s="4">
        <v>154</v>
      </c>
      <c r="AA1770" s="4">
        <f>=ROUNDDOWN(22,0)</f>
      </c>
      <c r="AB1770" s="5">
        <v>7</v>
      </c>
      <c r="AC1770" s="2" t="s">
        <v>228</v>
      </c>
      <c r="AD1770" s="4"/>
      <c r="AE1770" s="4"/>
      <c r="AF1770" s="6">
        <v>67</v>
      </c>
      <c r="AG1770" s="6"/>
      <c r="AH1770" s="7">
        <v>1</v>
      </c>
      <c r="AI1770" s="4"/>
      <c r="AJ1770" s="4">
        <f>=ROUNDDOWN({0},0)</f>
      </c>
      <c r="AK1770" s="5"/>
      <c r="AL1770" s="2" t="s">
        <v>228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/>
      <c r="AW1770" s="8"/>
      <c r="AX1770" s="4"/>
      <c r="AY1770" s="8"/>
      <c r="AZ1770" s="7"/>
      <c r="BA1770" s="7"/>
      <c r="BB1770" s="7"/>
      <c r="BC1770" s="4" t="s">
        <v>228</v>
      </c>
      <c r="BD1770" s="8" t="s">
        <v>228</v>
      </c>
      <c r="BE1770" s="4" t="s">
        <v>228</v>
      </c>
      <c r="BF1770" s="8" t="s">
        <v>228</v>
      </c>
      <c r="BG1770" s="7" t="s">
        <v>228</v>
      </c>
      <c r="BH1770" s="7" t="s">
        <v>228</v>
      </c>
      <c r="BI1770" s="7"/>
      <c r="BJ1770" s="4">
        <v>29</v>
      </c>
      <c r="BK1770" s="8">
        <v>778.74</v>
      </c>
      <c r="BL1770" s="2" t="s">
        <v>8702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8703</v>
      </c>
      <c r="BV1770" s="2" t="s">
        <v>228</v>
      </c>
      <c r="BW1770" s="2" t="s">
        <v>228</v>
      </c>
      <c r="BX1770" s="2" t="s">
        <v>337</v>
      </c>
      <c r="BY1770" s="2" t="s">
        <v>274</v>
      </c>
      <c r="BZ1770" s="2" t="s">
        <v>240</v>
      </c>
      <c r="CA1770" s="2" t="s">
        <v>5666</v>
      </c>
      <c r="CB1770" s="2" t="s">
        <v>1832</v>
      </c>
      <c r="CC1770" s="2" t="s">
        <v>241</v>
      </c>
      <c r="CD1770" s="2" t="s">
        <v>228</v>
      </c>
      <c r="CE1770" s="4">
        <v>154</v>
      </c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/>
      <c r="EJ1770" s="4"/>
      <c r="EK1770" s="4"/>
      <c r="EL1770" s="4"/>
      <c r="EM1770" s="4"/>
      <c r="EN1770" s="4"/>
      <c r="EO1770" s="4"/>
      <c r="EP1770" s="4"/>
      <c r="EQ1770" s="4"/>
      <c r="ER1770" s="4"/>
      <c r="ES1770" s="4"/>
      <c r="ET1770" s="4"/>
      <c r="EU1770" s="4"/>
      <c r="EV1770" s="4"/>
      <c r="EW1770" s="4"/>
      <c r="EX1770" s="4"/>
      <c r="EY1770" s="4"/>
      <c r="EZ1770" s="4"/>
      <c r="FA1770" s="4"/>
      <c r="FB1770" s="4"/>
      <c r="FC1770" s="4"/>
      <c r="FD1770" s="4"/>
      <c r="FE1770" s="4"/>
      <c r="FF1770" s="4"/>
      <c r="FG1770" s="4"/>
      <c r="FH1770" s="4"/>
      <c r="FI1770" s="4"/>
      <c r="FJ1770" s="4"/>
      <c r="FK1770" s="4"/>
      <c r="FL1770" s="4"/>
      <c r="FM1770" s="4"/>
      <c r="FN1770" s="4"/>
      <c r="FO1770" s="4"/>
      <c r="FP1770" s="4"/>
      <c r="FQ1770" s="4"/>
      <c r="FR1770" s="4"/>
      <c r="FS1770" s="4"/>
      <c r="FT1770" s="4"/>
      <c r="FU1770" s="4"/>
      <c r="FV1770" s="4"/>
      <c r="FW1770" s="4"/>
      <c r="FX1770" s="4"/>
      <c r="FY1770" s="4"/>
      <c r="FZ1770" s="4"/>
      <c r="GA1770" s="4"/>
      <c r="GB1770" s="4"/>
      <c r="GC1770" s="4"/>
      <c r="GD1770" s="4"/>
      <c r="GE1770" s="4"/>
      <c r="GF1770" s="4"/>
      <c r="GG1770" s="4"/>
      <c r="GH1770" s="4"/>
      <c r="GI1770" s="4"/>
      <c r="GJ1770" s="4"/>
      <c r="GK1770" s="4"/>
      <c r="GL1770" s="4"/>
      <c r="GM1770" s="4"/>
      <c r="GN1770" s="4"/>
      <c r="GO1770" s="4"/>
      <c r="GP1770" s="4"/>
      <c r="GQ1770" s="4"/>
      <c r="GR1770" s="4"/>
      <c r="GS1770" s="4"/>
      <c r="GT1770" s="4"/>
      <c r="GU1770" s="4"/>
      <c r="GV1770" s="4"/>
      <c r="GW1770" s="4"/>
      <c r="GX1770" s="4"/>
      <c r="GY1770" s="4"/>
      <c r="GZ1770" s="4"/>
      <c r="HA1770" s="4"/>
      <c r="HB1770" s="4"/>
      <c r="HC1770" s="4"/>
      <c r="HD1770" s="4"/>
      <c r="HE1770" s="4"/>
    </row>
    <row r="1771">
      <c r="A1771" s="2" t="s">
        <v>8704</v>
      </c>
      <c r="B1771" s="2" t="s">
        <v>1196</v>
      </c>
      <c r="C1771" s="2" t="s">
        <v>1197</v>
      </c>
      <c r="D1771" s="2" t="s">
        <v>1198</v>
      </c>
      <c r="E1771" s="2" t="s">
        <v>1199</v>
      </c>
      <c r="F1771" s="2" t="s">
        <v>1677</v>
      </c>
      <c r="G1771" s="2" t="s">
        <v>1677</v>
      </c>
      <c r="H1771" s="2" t="s">
        <v>1677</v>
      </c>
      <c r="I1771" s="2" t="s">
        <v>8705</v>
      </c>
      <c r="J1771" s="2" t="s">
        <v>2536</v>
      </c>
      <c r="K1771" s="2" t="s">
        <v>810</v>
      </c>
      <c r="L1771" s="3">
        <v>11.19</v>
      </c>
      <c r="M1771" s="3">
        <v>11.75</v>
      </c>
      <c r="N1771" s="3">
        <v>21.99</v>
      </c>
      <c r="O1771" s="2" t="s">
        <v>240</v>
      </c>
      <c r="P1771" s="2" t="s">
        <v>889</v>
      </c>
      <c r="Q1771" s="2" t="s">
        <v>234</v>
      </c>
      <c r="R1771" s="2" t="s">
        <v>228</v>
      </c>
      <c r="S1771" s="2" t="s">
        <v>228</v>
      </c>
      <c r="T1771" s="2" t="s">
        <v>228</v>
      </c>
      <c r="U1771" s="2" t="s">
        <v>416</v>
      </c>
      <c r="V1771" s="2" t="s">
        <v>842</v>
      </c>
      <c r="W1771" s="2" t="s">
        <v>269</v>
      </c>
      <c r="X1771" s="2" t="s">
        <v>228</v>
      </c>
      <c r="Y1771" s="2" t="s">
        <v>8706</v>
      </c>
      <c r="Z1771" s="4">
        <v>1633</v>
      </c>
      <c r="AA1771" s="4">
        <f>=ROUNDDOWN(138.389830508475,0)</f>
      </c>
      <c r="AB1771" s="5">
        <v>11.8</v>
      </c>
      <c r="AC1771" s="2" t="s">
        <v>228</v>
      </c>
      <c r="AD1771" s="4"/>
      <c r="AE1771" s="4"/>
      <c r="AF1771" s="6">
        <v>65</v>
      </c>
      <c r="AG1771" s="6"/>
      <c r="AH1771" s="7">
        <v>1</v>
      </c>
      <c r="AI1771" s="4"/>
      <c r="AJ1771" s="4">
        <f>=ROUNDDOWN({0},0)</f>
      </c>
      <c r="AK1771" s="5"/>
      <c r="AL1771" s="2" t="s">
        <v>228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228</v>
      </c>
      <c r="AW1771" s="8" t="s">
        <v>228</v>
      </c>
      <c r="AX1771" s="4" t="s">
        <v>228</v>
      </c>
      <c r="AY1771" s="8" t="s">
        <v>228</v>
      </c>
      <c r="AZ1771" s="7" t="s">
        <v>228</v>
      </c>
      <c r="BA1771" s="7" t="s">
        <v>228</v>
      </c>
      <c r="BB1771" s="7"/>
      <c r="BC1771" s="4" t="s">
        <v>228</v>
      </c>
      <c r="BD1771" s="8" t="s">
        <v>228</v>
      </c>
      <c r="BE1771" s="4" t="s">
        <v>228</v>
      </c>
      <c r="BF1771" s="8" t="s">
        <v>228</v>
      </c>
      <c r="BG1771" s="7" t="s">
        <v>228</v>
      </c>
      <c r="BH1771" s="7" t="s">
        <v>228</v>
      </c>
      <c r="BI1771" s="7"/>
      <c r="BJ1771" s="4">
        <v>42</v>
      </c>
      <c r="BK1771" s="8">
        <v>540.54</v>
      </c>
      <c r="BL1771" s="2" t="s">
        <v>699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8707</v>
      </c>
      <c r="BV1771" s="2" t="s">
        <v>228</v>
      </c>
      <c r="BW1771" s="2" t="s">
        <v>228</v>
      </c>
      <c r="BX1771" s="2" t="s">
        <v>273</v>
      </c>
      <c r="BY1771" s="2" t="s">
        <v>274</v>
      </c>
      <c r="BZ1771" s="2" t="s">
        <v>240</v>
      </c>
      <c r="CA1771" s="2" t="s">
        <v>7560</v>
      </c>
      <c r="CB1771" s="2" t="s">
        <v>228</v>
      </c>
      <c r="CC1771" s="2" t="s">
        <v>241</v>
      </c>
      <c r="CD1771" s="2" t="s">
        <v>228</v>
      </c>
      <c r="CE1771" s="4"/>
      <c r="CF1771" s="4">
        <v>301</v>
      </c>
      <c r="CG1771" s="4"/>
      <c r="CH1771" s="4">
        <v>1332</v>
      </c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4"/>
      <c r="FE1771" s="4"/>
      <c r="FF1771" s="4"/>
      <c r="FG1771" s="4"/>
      <c r="FH1771" s="4"/>
      <c r="FI1771" s="4"/>
      <c r="FJ1771" s="4"/>
      <c r="FK1771" s="4"/>
      <c r="FL1771" s="4"/>
      <c r="FM1771" s="4"/>
      <c r="FN1771" s="4"/>
      <c r="FO1771" s="4"/>
      <c r="FP1771" s="4"/>
      <c r="FQ1771" s="4"/>
      <c r="FR1771" s="4"/>
      <c r="FS1771" s="4"/>
      <c r="FT1771" s="4"/>
      <c r="FU1771" s="4"/>
      <c r="FV1771" s="4"/>
      <c r="FW1771" s="4"/>
      <c r="FX1771" s="4"/>
      <c r="FY1771" s="4"/>
      <c r="FZ1771" s="4"/>
      <c r="GA1771" s="4"/>
      <c r="GB1771" s="4"/>
      <c r="GC1771" s="4"/>
      <c r="GD1771" s="4"/>
      <c r="GE1771" s="4"/>
      <c r="GF1771" s="4"/>
      <c r="GG1771" s="4"/>
      <c r="GH1771" s="4"/>
      <c r="GI1771" s="4"/>
      <c r="GJ1771" s="4"/>
      <c r="GK1771" s="4"/>
      <c r="GL1771" s="4"/>
      <c r="GM1771" s="4"/>
      <c r="GN1771" s="4"/>
      <c r="GO1771" s="4"/>
      <c r="GP1771" s="4"/>
      <c r="GQ1771" s="4"/>
      <c r="GR1771" s="4"/>
      <c r="GS1771" s="4"/>
      <c r="GT1771" s="4"/>
      <c r="GU1771" s="4"/>
      <c r="GV1771" s="4"/>
      <c r="GW1771" s="4"/>
      <c r="GX1771" s="4"/>
      <c r="GY1771" s="4"/>
      <c r="GZ1771" s="4"/>
      <c r="HA1771" s="4"/>
      <c r="HB1771" s="4"/>
      <c r="HC1771" s="4"/>
      <c r="HD1771" s="4"/>
      <c r="HE1771" s="4"/>
    </row>
    <row r="1772">
      <c r="A1772" s="2" t="s">
        <v>8708</v>
      </c>
      <c r="B1772" s="2" t="s">
        <v>1196</v>
      </c>
      <c r="C1772" s="2" t="s">
        <v>1197</v>
      </c>
      <c r="D1772" s="2" t="s">
        <v>1198</v>
      </c>
      <c r="E1772" s="2" t="s">
        <v>1199</v>
      </c>
      <c r="F1772" s="2" t="s">
        <v>1677</v>
      </c>
      <c r="G1772" s="2" t="s">
        <v>1677</v>
      </c>
      <c r="H1772" s="2" t="s">
        <v>1677</v>
      </c>
      <c r="I1772" s="2" t="s">
        <v>8705</v>
      </c>
      <c r="J1772" s="2" t="s">
        <v>1202</v>
      </c>
      <c r="K1772" s="2" t="s">
        <v>810</v>
      </c>
      <c r="L1772" s="3">
        <v>13.49</v>
      </c>
      <c r="M1772" s="3">
        <v>14.16</v>
      </c>
      <c r="N1772" s="3">
        <v>24.99</v>
      </c>
      <c r="O1772" s="2" t="s">
        <v>240</v>
      </c>
      <c r="P1772" s="2" t="s">
        <v>889</v>
      </c>
      <c r="Q1772" s="2" t="s">
        <v>234</v>
      </c>
      <c r="R1772" s="2" t="s">
        <v>228</v>
      </c>
      <c r="S1772" s="2" t="s">
        <v>228</v>
      </c>
      <c r="T1772" s="2" t="s">
        <v>228</v>
      </c>
      <c r="U1772" s="2" t="s">
        <v>416</v>
      </c>
      <c r="V1772" s="2" t="s">
        <v>842</v>
      </c>
      <c r="W1772" s="2" t="s">
        <v>269</v>
      </c>
      <c r="X1772" s="2" t="s">
        <v>228</v>
      </c>
      <c r="Y1772" s="2" t="s">
        <v>8706</v>
      </c>
      <c r="Z1772" s="4">
        <v>1230</v>
      </c>
      <c r="AA1772" s="4">
        <f>=ROUNDDOWN(49.2,0)</f>
      </c>
      <c r="AB1772" s="5">
        <v>25</v>
      </c>
      <c r="AC1772" s="2" t="s">
        <v>228</v>
      </c>
      <c r="AD1772" s="4"/>
      <c r="AE1772" s="4"/>
      <c r="AF1772" s="6">
        <v>65</v>
      </c>
      <c r="AG1772" s="6"/>
      <c r="AH1772" s="7">
        <v>1</v>
      </c>
      <c r="AI1772" s="4"/>
      <c r="AJ1772" s="4">
        <f>=ROUNDDOWN({0},0)</f>
      </c>
      <c r="AK1772" s="5"/>
      <c r="AL1772" s="2" t="s">
        <v>228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228</v>
      </c>
      <c r="AW1772" s="8" t="s">
        <v>228</v>
      </c>
      <c r="AX1772" s="4" t="s">
        <v>228</v>
      </c>
      <c r="AY1772" s="8" t="s">
        <v>228</v>
      </c>
      <c r="AZ1772" s="7" t="s">
        <v>228</v>
      </c>
      <c r="BA1772" s="7" t="s">
        <v>228</v>
      </c>
      <c r="BB1772" s="7"/>
      <c r="BC1772" s="4" t="s">
        <v>228</v>
      </c>
      <c r="BD1772" s="8" t="s">
        <v>228</v>
      </c>
      <c r="BE1772" s="4" t="s">
        <v>228</v>
      </c>
      <c r="BF1772" s="8" t="s">
        <v>228</v>
      </c>
      <c r="BG1772" s="7" t="s">
        <v>228</v>
      </c>
      <c r="BH1772" s="7" t="s">
        <v>228</v>
      </c>
      <c r="BI1772" s="7"/>
      <c r="BJ1772" s="4">
        <v>6</v>
      </c>
      <c r="BK1772" s="8">
        <v>93.06</v>
      </c>
      <c r="BL1772" s="2" t="s">
        <v>1222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8709</v>
      </c>
      <c r="BV1772" s="2" t="s">
        <v>228</v>
      </c>
      <c r="BW1772" s="2" t="s">
        <v>228</v>
      </c>
      <c r="BX1772" s="2" t="s">
        <v>273</v>
      </c>
      <c r="BY1772" s="2" t="s">
        <v>274</v>
      </c>
      <c r="BZ1772" s="2" t="s">
        <v>240</v>
      </c>
      <c r="CA1772" s="2" t="s">
        <v>7560</v>
      </c>
      <c r="CB1772" s="2" t="s">
        <v>228</v>
      </c>
      <c r="CC1772" s="2" t="s">
        <v>241</v>
      </c>
      <c r="CD1772" s="2" t="s">
        <v>228</v>
      </c>
      <c r="CE1772" s="4"/>
      <c r="CF1772" s="4">
        <v>2</v>
      </c>
      <c r="CG1772" s="4"/>
      <c r="CH1772" s="4">
        <v>1228</v>
      </c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/>
      <c r="EM1772" s="4"/>
      <c r="EN1772" s="4"/>
      <c r="EO1772" s="4"/>
      <c r="EP1772" s="4"/>
      <c r="EQ1772" s="4"/>
      <c r="ER1772" s="4"/>
      <c r="ES1772" s="4"/>
      <c r="ET1772" s="4"/>
      <c r="EU1772" s="4"/>
      <c r="EV1772" s="4"/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/>
      <c r="FJ1772" s="4"/>
      <c r="FK1772" s="4"/>
      <c r="FL1772" s="4"/>
      <c r="FM1772" s="4"/>
      <c r="FN1772" s="4"/>
      <c r="FO1772" s="4"/>
      <c r="FP1772" s="4"/>
      <c r="FQ1772" s="4"/>
      <c r="FR1772" s="4"/>
      <c r="FS1772" s="4"/>
      <c r="FT1772" s="4"/>
      <c r="FU1772" s="4"/>
      <c r="FV1772" s="4"/>
      <c r="FW1772" s="4"/>
      <c r="FX1772" s="4"/>
      <c r="FY1772" s="4"/>
      <c r="FZ1772" s="4"/>
      <c r="GA1772" s="4"/>
      <c r="GB1772" s="4"/>
      <c r="GC1772" s="4"/>
      <c r="GD1772" s="4"/>
      <c r="GE1772" s="4"/>
      <c r="GF1772" s="4"/>
      <c r="GG1772" s="4"/>
      <c r="GH1772" s="4"/>
      <c r="GI1772" s="4"/>
      <c r="GJ1772" s="4"/>
      <c r="GK1772" s="4"/>
      <c r="GL1772" s="4"/>
      <c r="GM1772" s="4"/>
      <c r="GN1772" s="4"/>
      <c r="GO1772" s="4"/>
      <c r="GP1772" s="4"/>
      <c r="GQ1772" s="4"/>
      <c r="GR1772" s="4"/>
      <c r="GS1772" s="4"/>
      <c r="GT1772" s="4"/>
      <c r="GU1772" s="4"/>
      <c r="GV1772" s="4"/>
      <c r="GW1772" s="4"/>
      <c r="GX1772" s="4"/>
      <c r="GY1772" s="4"/>
      <c r="GZ1772" s="4"/>
      <c r="HA1772" s="4"/>
      <c r="HB1772" s="4"/>
      <c r="HC1772" s="4"/>
      <c r="HD1772" s="4"/>
      <c r="HE1772" s="4"/>
    </row>
    <row r="1773">
      <c r="A1773" s="2" t="s">
        <v>8710</v>
      </c>
      <c r="B1773" s="2" t="s">
        <v>1196</v>
      </c>
      <c r="C1773" s="2" t="s">
        <v>1197</v>
      </c>
      <c r="D1773" s="2" t="s">
        <v>1198</v>
      </c>
      <c r="E1773" s="2" t="s">
        <v>1199</v>
      </c>
      <c r="F1773" s="2" t="s">
        <v>1677</v>
      </c>
      <c r="G1773" s="2" t="s">
        <v>1677</v>
      </c>
      <c r="H1773" s="2" t="s">
        <v>1677</v>
      </c>
      <c r="I1773" s="2" t="s">
        <v>8705</v>
      </c>
      <c r="J1773" s="2" t="s">
        <v>1208</v>
      </c>
      <c r="K1773" s="2" t="s">
        <v>810</v>
      </c>
      <c r="L1773" s="3">
        <v>18.65</v>
      </c>
      <c r="M1773" s="3">
        <v>19.58</v>
      </c>
      <c r="N1773" s="3">
        <v>26.99</v>
      </c>
      <c r="O1773" s="2" t="s">
        <v>240</v>
      </c>
      <c r="P1773" s="2" t="s">
        <v>889</v>
      </c>
      <c r="Q1773" s="2" t="s">
        <v>234</v>
      </c>
      <c r="R1773" s="2" t="s">
        <v>228</v>
      </c>
      <c r="S1773" s="2" t="s">
        <v>228</v>
      </c>
      <c r="T1773" s="2" t="s">
        <v>228</v>
      </c>
      <c r="U1773" s="2" t="s">
        <v>416</v>
      </c>
      <c r="V1773" s="2" t="s">
        <v>842</v>
      </c>
      <c r="W1773" s="2" t="s">
        <v>269</v>
      </c>
      <c r="X1773" s="2" t="s">
        <v>228</v>
      </c>
      <c r="Y1773" s="2" t="s">
        <v>8706</v>
      </c>
      <c r="Z1773" s="4">
        <v>1555</v>
      </c>
      <c r="AA1773" s="4">
        <f>=ROUNDDOWN(259.166666666667,0)</f>
      </c>
      <c r="AB1773" s="5">
        <v>6</v>
      </c>
      <c r="AC1773" s="2" t="s">
        <v>228</v>
      </c>
      <c r="AD1773" s="4"/>
      <c r="AE1773" s="4"/>
      <c r="AF1773" s="6">
        <v>65</v>
      </c>
      <c r="AG1773" s="6"/>
      <c r="AH1773" s="7">
        <v>1</v>
      </c>
      <c r="AI1773" s="4"/>
      <c r="AJ1773" s="4">
        <f>=ROUNDDOWN({0},0)</f>
      </c>
      <c r="AK1773" s="5"/>
      <c r="AL1773" s="2" t="s">
        <v>228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 t="s">
        <v>228</v>
      </c>
      <c r="AW1773" s="8" t="s">
        <v>228</v>
      </c>
      <c r="AX1773" s="4" t="s">
        <v>228</v>
      </c>
      <c r="AY1773" s="8" t="s">
        <v>228</v>
      </c>
      <c r="AZ1773" s="7" t="s">
        <v>228</v>
      </c>
      <c r="BA1773" s="7" t="s">
        <v>228</v>
      </c>
      <c r="BB1773" s="7"/>
      <c r="BC1773" s="4" t="s">
        <v>228</v>
      </c>
      <c r="BD1773" s="8" t="s">
        <v>228</v>
      </c>
      <c r="BE1773" s="4" t="s">
        <v>228</v>
      </c>
      <c r="BF1773" s="8" t="s">
        <v>228</v>
      </c>
      <c r="BG1773" s="7" t="s">
        <v>228</v>
      </c>
      <c r="BH1773" s="7" t="s">
        <v>228</v>
      </c>
      <c r="BI1773" s="7"/>
      <c r="BJ1773" s="4">
        <v>30</v>
      </c>
      <c r="BK1773" s="8">
        <v>643.2</v>
      </c>
      <c r="BL1773" s="2" t="s">
        <v>8711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8712</v>
      </c>
      <c r="BV1773" s="2" t="s">
        <v>228</v>
      </c>
      <c r="BW1773" s="2" t="s">
        <v>228</v>
      </c>
      <c r="BX1773" s="2" t="s">
        <v>273</v>
      </c>
      <c r="BY1773" s="2" t="s">
        <v>274</v>
      </c>
      <c r="BZ1773" s="2" t="s">
        <v>240</v>
      </c>
      <c r="CA1773" s="2" t="s">
        <v>7560</v>
      </c>
      <c r="CB1773" s="2" t="s">
        <v>228</v>
      </c>
      <c r="CC1773" s="2" t="s">
        <v>241</v>
      </c>
      <c r="CD1773" s="2" t="s">
        <v>228</v>
      </c>
      <c r="CE1773" s="4"/>
      <c r="CF1773" s="4">
        <v>180</v>
      </c>
      <c r="CG1773" s="4"/>
      <c r="CH1773" s="4">
        <v>1375</v>
      </c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/>
      <c r="FB1773" s="4"/>
      <c r="FC1773" s="4"/>
      <c r="FD1773" s="4"/>
      <c r="FE1773" s="4"/>
      <c r="FF1773" s="4"/>
      <c r="FG1773" s="4"/>
      <c r="FH1773" s="4"/>
      <c r="FI1773" s="4"/>
      <c r="FJ1773" s="4"/>
      <c r="FK1773" s="4"/>
      <c r="FL1773" s="4"/>
      <c r="FM1773" s="4"/>
      <c r="FN1773" s="4"/>
      <c r="FO1773" s="4"/>
      <c r="FP1773" s="4"/>
      <c r="FQ1773" s="4"/>
      <c r="FR1773" s="4"/>
      <c r="FS1773" s="4"/>
      <c r="FT1773" s="4"/>
      <c r="FU1773" s="4"/>
      <c r="FV1773" s="4"/>
      <c r="FW1773" s="4"/>
      <c r="FX1773" s="4"/>
      <c r="FY1773" s="4"/>
      <c r="FZ1773" s="4"/>
      <c r="GA1773" s="4"/>
      <c r="GB1773" s="4"/>
      <c r="GC1773" s="4"/>
      <c r="GD1773" s="4"/>
      <c r="GE1773" s="4"/>
      <c r="GF1773" s="4"/>
      <c r="GG1773" s="4"/>
      <c r="GH1773" s="4"/>
      <c r="GI1773" s="4"/>
      <c r="GJ1773" s="4"/>
      <c r="GK1773" s="4"/>
      <c r="GL1773" s="4"/>
      <c r="GM1773" s="4"/>
      <c r="GN1773" s="4"/>
      <c r="GO1773" s="4"/>
      <c r="GP1773" s="4"/>
      <c r="GQ1773" s="4"/>
      <c r="GR1773" s="4"/>
      <c r="GS1773" s="4"/>
      <c r="GT1773" s="4"/>
      <c r="GU1773" s="4"/>
      <c r="GV1773" s="4"/>
      <c r="GW1773" s="4"/>
      <c r="GX1773" s="4"/>
      <c r="GY1773" s="4"/>
      <c r="GZ1773" s="4"/>
      <c r="HA1773" s="4"/>
      <c r="HB1773" s="4"/>
      <c r="HC1773" s="4"/>
      <c r="HD1773" s="4"/>
      <c r="HE1773" s="4"/>
    </row>
    <row r="1774">
      <c r="A1774" s="2" t="s">
        <v>8713</v>
      </c>
      <c r="B1774" s="2" t="s">
        <v>1196</v>
      </c>
      <c r="C1774" s="2" t="s">
        <v>1197</v>
      </c>
      <c r="D1774" s="2" t="s">
        <v>1198</v>
      </c>
      <c r="E1774" s="2" t="s">
        <v>1199</v>
      </c>
      <c r="F1774" s="2" t="s">
        <v>1677</v>
      </c>
      <c r="G1774" s="2" t="s">
        <v>1677</v>
      </c>
      <c r="H1774" s="2" t="s">
        <v>1677</v>
      </c>
      <c r="I1774" s="2" t="s">
        <v>8705</v>
      </c>
      <c r="J1774" s="2" t="s">
        <v>1213</v>
      </c>
      <c r="K1774" s="2" t="s">
        <v>810</v>
      </c>
      <c r="L1774" s="3">
        <v>20.9</v>
      </c>
      <c r="M1774" s="3">
        <v>21.95</v>
      </c>
      <c r="N1774" s="3">
        <v>29.99</v>
      </c>
      <c r="O1774" s="2" t="s">
        <v>240</v>
      </c>
      <c r="P1774" s="2" t="s">
        <v>889</v>
      </c>
      <c r="Q1774" s="2" t="s">
        <v>234</v>
      </c>
      <c r="R1774" s="2" t="s">
        <v>228</v>
      </c>
      <c r="S1774" s="2" t="s">
        <v>228</v>
      </c>
      <c r="T1774" s="2" t="s">
        <v>228</v>
      </c>
      <c r="U1774" s="2" t="s">
        <v>416</v>
      </c>
      <c r="V1774" s="2" t="s">
        <v>842</v>
      </c>
      <c r="W1774" s="2" t="s">
        <v>269</v>
      </c>
      <c r="X1774" s="2" t="s">
        <v>228</v>
      </c>
      <c r="Y1774" s="2" t="s">
        <v>8706</v>
      </c>
      <c r="Z1774" s="4">
        <v>1306</v>
      </c>
      <c r="AA1774" s="4">
        <f>=ROUNDDOWN(50.2307692307692,0)</f>
      </c>
      <c r="AB1774" s="5">
        <v>26</v>
      </c>
      <c r="AC1774" s="2" t="s">
        <v>228</v>
      </c>
      <c r="AD1774" s="4"/>
      <c r="AE1774" s="4"/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228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 t="s">
        <v>228</v>
      </c>
      <c r="AW1774" s="8" t="s">
        <v>228</v>
      </c>
      <c r="AX1774" s="4" t="s">
        <v>228</v>
      </c>
      <c r="AY1774" s="8" t="s">
        <v>228</v>
      </c>
      <c r="AZ1774" s="7" t="s">
        <v>228</v>
      </c>
      <c r="BA1774" s="7" t="s">
        <v>228</v>
      </c>
      <c r="BB1774" s="7"/>
      <c r="BC1774" s="4" t="s">
        <v>228</v>
      </c>
      <c r="BD1774" s="8" t="s">
        <v>228</v>
      </c>
      <c r="BE1774" s="4" t="s">
        <v>228</v>
      </c>
      <c r="BF1774" s="8" t="s">
        <v>228</v>
      </c>
      <c r="BG1774" s="7" t="s">
        <v>228</v>
      </c>
      <c r="BH1774" s="7" t="s">
        <v>228</v>
      </c>
      <c r="BI1774" s="7"/>
      <c r="BJ1774" s="4">
        <v>16</v>
      </c>
      <c r="BK1774" s="8">
        <v>371.68</v>
      </c>
      <c r="BL1774" s="2" t="s">
        <v>8714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8715</v>
      </c>
      <c r="BV1774" s="2" t="s">
        <v>228</v>
      </c>
      <c r="BW1774" s="2" t="s">
        <v>228</v>
      </c>
      <c r="BX1774" s="2" t="s">
        <v>273</v>
      </c>
      <c r="BY1774" s="2" t="s">
        <v>274</v>
      </c>
      <c r="BZ1774" s="2" t="s">
        <v>240</v>
      </c>
      <c r="CA1774" s="2" t="s">
        <v>7560</v>
      </c>
      <c r="CB1774" s="2" t="s">
        <v>228</v>
      </c>
      <c r="CC1774" s="2" t="s">
        <v>241</v>
      </c>
      <c r="CD1774" s="2" t="s">
        <v>228</v>
      </c>
      <c r="CE1774" s="4"/>
      <c r="CF1774" s="4">
        <v>2</v>
      </c>
      <c r="CG1774" s="4"/>
      <c r="CH1774" s="4">
        <v>1304</v>
      </c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/>
      <c r="EA1774" s="4"/>
      <c r="EB1774" s="4"/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  <c r="ES1774" s="4"/>
      <c r="ET1774" s="4"/>
      <c r="EU1774" s="4"/>
      <c r="EV1774" s="4"/>
      <c r="EW1774" s="4"/>
      <c r="EX1774" s="4"/>
      <c r="EY1774" s="4"/>
      <c r="EZ1774" s="4"/>
      <c r="FA1774" s="4"/>
      <c r="FB1774" s="4"/>
      <c r="FC1774" s="4"/>
      <c r="FD1774" s="4"/>
      <c r="FE1774" s="4"/>
      <c r="FF1774" s="4"/>
      <c r="FG1774" s="4"/>
      <c r="FH1774" s="4"/>
      <c r="FI1774" s="4"/>
      <c r="FJ1774" s="4"/>
      <c r="FK1774" s="4"/>
      <c r="FL1774" s="4"/>
      <c r="FM1774" s="4"/>
      <c r="FN1774" s="4"/>
      <c r="FO1774" s="4"/>
      <c r="FP1774" s="4"/>
      <c r="FQ1774" s="4"/>
      <c r="FR1774" s="4"/>
      <c r="FS1774" s="4"/>
      <c r="FT1774" s="4"/>
      <c r="FU1774" s="4"/>
      <c r="FV1774" s="4"/>
      <c r="FW1774" s="4"/>
      <c r="FX1774" s="4"/>
      <c r="FY1774" s="4"/>
      <c r="FZ1774" s="4"/>
      <c r="GA1774" s="4"/>
      <c r="GB1774" s="4"/>
      <c r="GC1774" s="4"/>
      <c r="GD1774" s="4"/>
      <c r="GE1774" s="4"/>
      <c r="GF1774" s="4"/>
      <c r="GG1774" s="4"/>
      <c r="GH1774" s="4"/>
      <c r="GI1774" s="4"/>
      <c r="GJ1774" s="4"/>
      <c r="GK1774" s="4"/>
      <c r="GL1774" s="4"/>
      <c r="GM1774" s="4"/>
      <c r="GN1774" s="4"/>
      <c r="GO1774" s="4"/>
      <c r="GP1774" s="4"/>
      <c r="GQ1774" s="4"/>
      <c r="GR1774" s="4"/>
      <c r="GS1774" s="4"/>
      <c r="GT1774" s="4"/>
      <c r="GU1774" s="4"/>
      <c r="GV1774" s="4"/>
      <c r="GW1774" s="4"/>
      <c r="GX1774" s="4"/>
      <c r="GY1774" s="4"/>
      <c r="GZ1774" s="4"/>
      <c r="HA1774" s="4"/>
      <c r="HB1774" s="4"/>
      <c r="HC1774" s="4"/>
      <c r="HD1774" s="4"/>
      <c r="HE1774" s="4"/>
    </row>
    <row r="1775">
      <c r="A1775" s="2" t="s">
        <v>8716</v>
      </c>
      <c r="B1775" s="2" t="s">
        <v>958</v>
      </c>
      <c r="C1775" s="2" t="s">
        <v>835</v>
      </c>
      <c r="D1775" s="2" t="s">
        <v>959</v>
      </c>
      <c r="E1775" s="2" t="s">
        <v>960</v>
      </c>
      <c r="F1775" s="2" t="s">
        <v>8717</v>
      </c>
      <c r="G1775" s="2" t="s">
        <v>8717</v>
      </c>
      <c r="H1775" s="2" t="s">
        <v>8717</v>
      </c>
      <c r="I1775" s="2" t="s">
        <v>8718</v>
      </c>
      <c r="J1775" s="2" t="s">
        <v>840</v>
      </c>
      <c r="K1775" s="2" t="s">
        <v>249</v>
      </c>
      <c r="L1775" s="3">
        <v>161.5</v>
      </c>
      <c r="M1775" s="3">
        <v>169.58</v>
      </c>
      <c r="N1775" s="3">
        <v>339</v>
      </c>
      <c r="O1775" s="2" t="s">
        <v>240</v>
      </c>
      <c r="P1775" s="2" t="s">
        <v>266</v>
      </c>
      <c r="Q1775" s="2" t="s">
        <v>234</v>
      </c>
      <c r="R1775" s="2" t="s">
        <v>228</v>
      </c>
      <c r="S1775" s="2" t="s">
        <v>228</v>
      </c>
      <c r="T1775" s="2" t="s">
        <v>228</v>
      </c>
      <c r="U1775" s="2" t="s">
        <v>416</v>
      </c>
      <c r="V1775" s="2" t="s">
        <v>236</v>
      </c>
      <c r="W1775" s="2" t="s">
        <v>843</v>
      </c>
      <c r="X1775" s="2" t="s">
        <v>417</v>
      </c>
      <c r="Y1775" s="2" t="s">
        <v>8719</v>
      </c>
      <c r="Z1775" s="4">
        <v>3</v>
      </c>
      <c r="AA1775" s="4">
        <f>=ROUNDDOWN(0.375,0)</f>
      </c>
      <c r="AB1775" s="5">
        <v>8</v>
      </c>
      <c r="AC1775" s="2" t="s">
        <v>8720</v>
      </c>
      <c r="AD1775" s="4">
        <v>60</v>
      </c>
      <c r="AE1775" s="4">
        <v>252</v>
      </c>
      <c r="AF1775" s="6">
        <v>74</v>
      </c>
      <c r="AG1775" s="6">
        <v>60</v>
      </c>
      <c r="AH1775" s="7">
        <v>0.0645</v>
      </c>
      <c r="AI1775" s="4"/>
      <c r="AJ1775" s="4">
        <f>=ROUNDDOWN({0},0)</f>
      </c>
      <c r="AK1775" s="5"/>
      <c r="AL1775" s="2" t="s">
        <v>228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 t="s">
        <v>228</v>
      </c>
      <c r="AW1775" s="8" t="s">
        <v>228</v>
      </c>
      <c r="AX1775" s="4" t="s">
        <v>228</v>
      </c>
      <c r="AY1775" s="8" t="s">
        <v>228</v>
      </c>
      <c r="AZ1775" s="7" t="s">
        <v>228</v>
      </c>
      <c r="BA1775" s="7" t="s">
        <v>228</v>
      </c>
      <c r="BB1775" s="7" t="s">
        <v>228</v>
      </c>
      <c r="BC1775" s="4" t="s">
        <v>228</v>
      </c>
      <c r="BD1775" s="8" t="s">
        <v>228</v>
      </c>
      <c r="BE1775" s="4" t="s">
        <v>228</v>
      </c>
      <c r="BF1775" s="8" t="s">
        <v>228</v>
      </c>
      <c r="BG1775" s="7" t="s">
        <v>228</v>
      </c>
      <c r="BH1775" s="7" t="s">
        <v>228</v>
      </c>
      <c r="BI1775" s="7"/>
      <c r="BJ1775" s="4">
        <v>13</v>
      </c>
      <c r="BK1775" s="8">
        <v>1997.57</v>
      </c>
      <c r="BL1775" s="2" t="s">
        <v>8721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8722</v>
      </c>
      <c r="BV1775" s="2" t="s">
        <v>228</v>
      </c>
      <c r="BW1775" s="2" t="s">
        <v>228</v>
      </c>
      <c r="BX1775" s="2" t="s">
        <v>2125</v>
      </c>
      <c r="BY1775" s="2" t="s">
        <v>274</v>
      </c>
      <c r="BZ1775" s="2" t="s">
        <v>240</v>
      </c>
      <c r="CA1775" s="2" t="s">
        <v>8719</v>
      </c>
      <c r="CB1775" s="2" t="s">
        <v>8723</v>
      </c>
      <c r="CC1775" s="2" t="s">
        <v>241</v>
      </c>
      <c r="CD1775" s="2" t="s">
        <v>228</v>
      </c>
      <c r="CE1775" s="4"/>
      <c r="CF1775" s="4">
        <v>3</v>
      </c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>
        <v>60</v>
      </c>
      <c r="EM1775" s="4"/>
      <c r="EN1775" s="4"/>
      <c r="EO1775" s="4"/>
      <c r="EP1775" s="4"/>
      <c r="EQ1775" s="4"/>
      <c r="ER1775" s="4"/>
      <c r="ES1775" s="4"/>
      <c r="ET1775" s="4"/>
      <c r="EU1775" s="4"/>
      <c r="EV1775" s="4"/>
      <c r="EW1775" s="4"/>
      <c r="EX1775" s="4"/>
      <c r="EY1775" s="4"/>
      <c r="EZ1775" s="4"/>
      <c r="FA1775" s="4"/>
      <c r="FB1775" s="4"/>
      <c r="FC1775" s="4"/>
      <c r="FD1775" s="4"/>
      <c r="FE1775" s="4"/>
      <c r="FF1775" s="4"/>
      <c r="FG1775" s="4">
        <v>60</v>
      </c>
      <c r="FH1775" s="4"/>
      <c r="FI1775" s="4"/>
      <c r="FJ1775" s="4"/>
      <c r="FK1775" s="4"/>
      <c r="FL1775" s="4"/>
      <c r="FM1775" s="4"/>
      <c r="FN1775" s="4"/>
      <c r="FO1775" s="4"/>
      <c r="FP1775" s="4"/>
      <c r="FQ1775" s="4"/>
      <c r="FR1775" s="4"/>
      <c r="FS1775" s="4">
        <v>82</v>
      </c>
      <c r="FT1775" s="4"/>
      <c r="FU1775" s="4"/>
      <c r="FV1775" s="4"/>
      <c r="FW1775" s="4"/>
      <c r="FX1775" s="4"/>
      <c r="FY1775" s="4"/>
      <c r="FZ1775" s="4"/>
      <c r="GA1775" s="4"/>
      <c r="GB1775" s="4"/>
      <c r="GC1775" s="4"/>
      <c r="GD1775" s="4"/>
      <c r="GE1775" s="4"/>
      <c r="GF1775" s="4"/>
      <c r="GG1775" s="4"/>
      <c r="GH1775" s="4"/>
      <c r="GI1775" s="4"/>
      <c r="GJ1775" s="4"/>
      <c r="GK1775" s="4"/>
      <c r="GL1775" s="4"/>
      <c r="GM1775" s="4"/>
      <c r="GN1775" s="4"/>
      <c r="GO1775" s="4"/>
      <c r="GP1775" s="4"/>
      <c r="GQ1775" s="4"/>
      <c r="GR1775" s="4"/>
      <c r="GS1775" s="4">
        <v>50</v>
      </c>
      <c r="GT1775" s="4"/>
      <c r="GU1775" s="4"/>
      <c r="GV1775" s="4"/>
      <c r="GW1775" s="4"/>
      <c r="GX1775" s="4"/>
      <c r="GY1775" s="4"/>
      <c r="GZ1775" s="4"/>
      <c r="HA1775" s="4"/>
      <c r="HB1775" s="4"/>
      <c r="HC1775" s="4"/>
      <c r="HD1775" s="4"/>
      <c r="HE1775" s="4"/>
    </row>
    <row r="1776">
      <c r="A1776" s="2" t="s">
        <v>8724</v>
      </c>
      <c r="B1776" s="2" t="s">
        <v>958</v>
      </c>
      <c r="C1776" s="2" t="s">
        <v>835</v>
      </c>
      <c r="D1776" s="2" t="s">
        <v>959</v>
      </c>
      <c r="E1776" s="2" t="s">
        <v>960</v>
      </c>
      <c r="F1776" s="2" t="s">
        <v>8717</v>
      </c>
      <c r="G1776" s="2" t="s">
        <v>8717</v>
      </c>
      <c r="H1776" s="2" t="s">
        <v>8717</v>
      </c>
      <c r="I1776" s="2" t="s">
        <v>8571</v>
      </c>
      <c r="J1776" s="2" t="s">
        <v>840</v>
      </c>
      <c r="K1776" s="2" t="s">
        <v>249</v>
      </c>
      <c r="L1776" s="3">
        <v>316.54</v>
      </c>
      <c r="M1776" s="3">
        <v>332.37</v>
      </c>
      <c r="N1776" s="3">
        <v>659</v>
      </c>
      <c r="O1776" s="2" t="s">
        <v>240</v>
      </c>
      <c r="P1776" s="2" t="s">
        <v>1022</v>
      </c>
      <c r="Q1776" s="2" t="s">
        <v>234</v>
      </c>
      <c r="R1776" s="2" t="s">
        <v>228</v>
      </c>
      <c r="S1776" s="2" t="s">
        <v>228</v>
      </c>
      <c r="T1776" s="2" t="s">
        <v>228</v>
      </c>
      <c r="U1776" s="2" t="s">
        <v>520</v>
      </c>
      <c r="V1776" s="2" t="s">
        <v>236</v>
      </c>
      <c r="W1776" s="2" t="s">
        <v>843</v>
      </c>
      <c r="X1776" s="2" t="s">
        <v>417</v>
      </c>
      <c r="Y1776" s="2" t="s">
        <v>5650</v>
      </c>
      <c r="Z1776" s="4"/>
      <c r="AA1776" s="4">
        <f>=ROUNDDOWN({0},0)</f>
      </c>
      <c r="AB1776" s="5">
        <v>0.5</v>
      </c>
      <c r="AC1776" s="2" t="s">
        <v>8720</v>
      </c>
      <c r="AD1776" s="4">
        <v>30</v>
      </c>
      <c r="AE1776" s="4">
        <v>126</v>
      </c>
      <c r="AF1776" s="6"/>
      <c r="AG1776" s="6"/>
      <c r="AH1776" s="7">
        <v>0.129</v>
      </c>
      <c r="AI1776" s="4"/>
      <c r="AJ1776" s="4">
        <f>=ROUNDDOWN({0},0)</f>
      </c>
      <c r="AK1776" s="5"/>
      <c r="AL1776" s="2" t="s">
        <v>228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 t="s">
        <v>228</v>
      </c>
      <c r="AW1776" s="8" t="s">
        <v>228</v>
      </c>
      <c r="AX1776" s="4" t="s">
        <v>228</v>
      </c>
      <c r="AY1776" s="8" t="s">
        <v>228</v>
      </c>
      <c r="AZ1776" s="7" t="s">
        <v>228</v>
      </c>
      <c r="BA1776" s="7" t="s">
        <v>228</v>
      </c>
      <c r="BB1776" s="7" t="s">
        <v>228</v>
      </c>
      <c r="BC1776" s="4" t="s">
        <v>228</v>
      </c>
      <c r="BD1776" s="8" t="s">
        <v>228</v>
      </c>
      <c r="BE1776" s="4" t="s">
        <v>228</v>
      </c>
      <c r="BF1776" s="8" t="s">
        <v>228</v>
      </c>
      <c r="BG1776" s="7" t="s">
        <v>228</v>
      </c>
      <c r="BH1776" s="7" t="s">
        <v>228</v>
      </c>
      <c r="BI1776" s="7"/>
      <c r="BJ1776" s="4"/>
      <c r="BK1776" s="8"/>
      <c r="BL1776" s="2" t="s">
        <v>228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8725</v>
      </c>
      <c r="BV1776" s="2" t="s">
        <v>228</v>
      </c>
      <c r="BW1776" s="2" t="s">
        <v>228</v>
      </c>
      <c r="BX1776" s="2" t="s">
        <v>2125</v>
      </c>
      <c r="BY1776" s="2" t="s">
        <v>274</v>
      </c>
      <c r="BZ1776" s="2" t="s">
        <v>240</v>
      </c>
      <c r="CA1776" s="2" t="s">
        <v>8726</v>
      </c>
      <c r="CB1776" s="2" t="s">
        <v>4688</v>
      </c>
      <c r="CC1776" s="2" t="s">
        <v>241</v>
      </c>
      <c r="CD1776" s="2" t="s">
        <v>228</v>
      </c>
      <c r="CE1776" s="4"/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>
        <v>30</v>
      </c>
      <c r="EM1776" s="4"/>
      <c r="EN1776" s="4"/>
      <c r="EO1776" s="4"/>
      <c r="EP1776" s="4"/>
      <c r="EQ1776" s="4"/>
      <c r="ER1776" s="4"/>
      <c r="ES1776" s="4"/>
      <c r="ET1776" s="4"/>
      <c r="EU1776" s="4"/>
      <c r="EV1776" s="4"/>
      <c r="EW1776" s="4"/>
      <c r="EX1776" s="4"/>
      <c r="EY1776" s="4"/>
      <c r="EZ1776" s="4"/>
      <c r="FA1776" s="4"/>
      <c r="FB1776" s="4"/>
      <c r="FC1776" s="4"/>
      <c r="FD1776" s="4"/>
      <c r="FE1776" s="4"/>
      <c r="FF1776" s="4"/>
      <c r="FG1776" s="4">
        <v>30</v>
      </c>
      <c r="FH1776" s="4"/>
      <c r="FI1776" s="4"/>
      <c r="FJ1776" s="4"/>
      <c r="FK1776" s="4"/>
      <c r="FL1776" s="4"/>
      <c r="FM1776" s="4"/>
      <c r="FN1776" s="4"/>
      <c r="FO1776" s="4"/>
      <c r="FP1776" s="4"/>
      <c r="FQ1776" s="4"/>
      <c r="FR1776" s="4"/>
      <c r="FS1776" s="4">
        <v>41</v>
      </c>
      <c r="FT1776" s="4"/>
      <c r="FU1776" s="4"/>
      <c r="FV1776" s="4"/>
      <c r="FW1776" s="4"/>
      <c r="FX1776" s="4"/>
      <c r="FY1776" s="4"/>
      <c r="FZ1776" s="4"/>
      <c r="GA1776" s="4"/>
      <c r="GB1776" s="4"/>
      <c r="GC1776" s="4"/>
      <c r="GD1776" s="4"/>
      <c r="GE1776" s="4"/>
      <c r="GF1776" s="4"/>
      <c r="GG1776" s="4"/>
      <c r="GH1776" s="4"/>
      <c r="GI1776" s="4"/>
      <c r="GJ1776" s="4"/>
      <c r="GK1776" s="4"/>
      <c r="GL1776" s="4"/>
      <c r="GM1776" s="4"/>
      <c r="GN1776" s="4"/>
      <c r="GO1776" s="4"/>
      <c r="GP1776" s="4"/>
      <c r="GQ1776" s="4"/>
      <c r="GR1776" s="4"/>
      <c r="GS1776" s="4">
        <v>25</v>
      </c>
      <c r="GT1776" s="4"/>
      <c r="GU1776" s="4"/>
      <c r="GV1776" s="4"/>
      <c r="GW1776" s="4"/>
      <c r="GX1776" s="4"/>
      <c r="GY1776" s="4"/>
      <c r="GZ1776" s="4"/>
      <c r="HA1776" s="4"/>
      <c r="HB1776" s="4"/>
      <c r="HC1776" s="4"/>
      <c r="HD1776" s="4"/>
      <c r="HE1776" s="4"/>
    </row>
    <row r="1777">
      <c r="A1777" s="2" t="s">
        <v>8727</v>
      </c>
      <c r="B1777" s="2" t="s">
        <v>958</v>
      </c>
      <c r="C1777" s="2" t="s">
        <v>835</v>
      </c>
      <c r="D1777" s="2" t="s">
        <v>959</v>
      </c>
      <c r="E1777" s="2" t="s">
        <v>960</v>
      </c>
      <c r="F1777" s="2" t="s">
        <v>8717</v>
      </c>
      <c r="G1777" s="2" t="s">
        <v>8717</v>
      </c>
      <c r="H1777" s="2" t="s">
        <v>8717</v>
      </c>
      <c r="I1777" s="2" t="s">
        <v>8718</v>
      </c>
      <c r="J1777" s="2" t="s">
        <v>840</v>
      </c>
      <c r="K1777" s="2" t="s">
        <v>650</v>
      </c>
      <c r="L1777" s="3">
        <v>161.5</v>
      </c>
      <c r="M1777" s="3">
        <v>169.58</v>
      </c>
      <c r="N1777" s="3">
        <v>339</v>
      </c>
      <c r="O1777" s="2" t="s">
        <v>240</v>
      </c>
      <c r="P1777" s="2" t="s">
        <v>266</v>
      </c>
      <c r="Q1777" s="2" t="s">
        <v>234</v>
      </c>
      <c r="R1777" s="2" t="s">
        <v>228</v>
      </c>
      <c r="S1777" s="2" t="s">
        <v>228</v>
      </c>
      <c r="T1777" s="2" t="s">
        <v>228</v>
      </c>
      <c r="U1777" s="2" t="s">
        <v>416</v>
      </c>
      <c r="V1777" s="2" t="s">
        <v>236</v>
      </c>
      <c r="W1777" s="2" t="s">
        <v>843</v>
      </c>
      <c r="X1777" s="2" t="s">
        <v>417</v>
      </c>
      <c r="Y1777" s="2" t="s">
        <v>8719</v>
      </c>
      <c r="Z1777" s="4">
        <v>65</v>
      </c>
      <c r="AA1777" s="4">
        <f>=ROUNDDOWN(5.90909090909091,0)</f>
      </c>
      <c r="AB1777" s="5">
        <v>11</v>
      </c>
      <c r="AC1777" s="2" t="s">
        <v>159</v>
      </c>
      <c r="AD1777" s="4">
        <v>25</v>
      </c>
      <c r="AE1777" s="4">
        <v>280</v>
      </c>
      <c r="AF1777" s="6">
        <v>74</v>
      </c>
      <c r="AG1777" s="6">
        <v>60</v>
      </c>
      <c r="AH1777" s="7">
        <v>1</v>
      </c>
      <c r="AI1777" s="4"/>
      <c r="AJ1777" s="4">
        <f>=ROUNDDOWN({0},0)</f>
      </c>
      <c r="AK1777" s="5"/>
      <c r="AL1777" s="2" t="s">
        <v>228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/>
      <c r="AW1777" s="8"/>
      <c r="AX1777" s="4"/>
      <c r="AY1777" s="8"/>
      <c r="AZ1777" s="7"/>
      <c r="BA1777" s="7"/>
      <c r="BB1777" s="7"/>
      <c r="BC1777" s="4" t="s">
        <v>228</v>
      </c>
      <c r="BD1777" s="8" t="s">
        <v>228</v>
      </c>
      <c r="BE1777" s="4" t="s">
        <v>228</v>
      </c>
      <c r="BF1777" s="8" t="s">
        <v>228</v>
      </c>
      <c r="BG1777" s="7" t="s">
        <v>228</v>
      </c>
      <c r="BH1777" s="7" t="s">
        <v>228</v>
      </c>
      <c r="BI1777" s="7"/>
      <c r="BJ1777" s="4">
        <v>59</v>
      </c>
      <c r="BK1777" s="8">
        <v>8474.22</v>
      </c>
      <c r="BL1777" s="2" t="s">
        <v>8728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8729</v>
      </c>
      <c r="BV1777" s="2" t="s">
        <v>228</v>
      </c>
      <c r="BW1777" s="2" t="s">
        <v>228</v>
      </c>
      <c r="BX1777" s="2" t="s">
        <v>2125</v>
      </c>
      <c r="BY1777" s="2" t="s">
        <v>274</v>
      </c>
      <c r="BZ1777" s="2" t="s">
        <v>240</v>
      </c>
      <c r="CA1777" s="2" t="s">
        <v>8719</v>
      </c>
      <c r="CB1777" s="2" t="s">
        <v>8730</v>
      </c>
      <c r="CC1777" s="2" t="s">
        <v>241</v>
      </c>
      <c r="CD1777" s="2" t="s">
        <v>228</v>
      </c>
      <c r="CE1777" s="4"/>
      <c r="CF1777" s="4">
        <v>65</v>
      </c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  <c r="ES1777" s="4"/>
      <c r="ET1777" s="4"/>
      <c r="EU1777" s="4">
        <v>25</v>
      </c>
      <c r="EV1777" s="4"/>
      <c r="EW1777" s="4"/>
      <c r="EX1777" s="4"/>
      <c r="EY1777" s="4"/>
      <c r="EZ1777" s="4"/>
      <c r="FA1777" s="4"/>
      <c r="FB1777" s="4"/>
      <c r="FC1777" s="4"/>
      <c r="FD1777" s="4"/>
      <c r="FE1777" s="4"/>
      <c r="FF1777" s="4"/>
      <c r="FG1777" s="4">
        <v>96</v>
      </c>
      <c r="FH1777" s="4"/>
      <c r="FI1777" s="4"/>
      <c r="FJ1777" s="4"/>
      <c r="FK1777" s="4"/>
      <c r="FL1777" s="4"/>
      <c r="FM1777" s="4"/>
      <c r="FN1777" s="4"/>
      <c r="FO1777" s="4"/>
      <c r="FP1777" s="4"/>
      <c r="FQ1777" s="4"/>
      <c r="FR1777" s="4"/>
      <c r="FS1777" s="4">
        <v>69</v>
      </c>
      <c r="FT1777" s="4"/>
      <c r="FU1777" s="4"/>
      <c r="FV1777" s="4"/>
      <c r="FW1777" s="4"/>
      <c r="FX1777" s="4"/>
      <c r="FY1777" s="4"/>
      <c r="FZ1777" s="4"/>
      <c r="GA1777" s="4"/>
      <c r="GB1777" s="4"/>
      <c r="GC1777" s="4"/>
      <c r="GD1777" s="4"/>
      <c r="GE1777" s="4"/>
      <c r="GF1777" s="4"/>
      <c r="GG1777" s="4">
        <v>90</v>
      </c>
      <c r="GH1777" s="4"/>
      <c r="GI1777" s="4"/>
      <c r="GJ1777" s="4"/>
      <c r="GK1777" s="4"/>
      <c r="GL1777" s="4"/>
      <c r="GM1777" s="4"/>
      <c r="GN1777" s="4"/>
      <c r="GO1777" s="4"/>
      <c r="GP1777" s="4"/>
      <c r="GQ1777" s="4"/>
      <c r="GR1777" s="4"/>
      <c r="GS1777" s="4"/>
      <c r="GT1777" s="4"/>
      <c r="GU1777" s="4"/>
      <c r="GV1777" s="4"/>
      <c r="GW1777" s="4"/>
      <c r="GX1777" s="4"/>
      <c r="GY1777" s="4"/>
      <c r="GZ1777" s="4"/>
      <c r="HA1777" s="4"/>
      <c r="HB1777" s="4"/>
      <c r="HC1777" s="4"/>
      <c r="HD1777" s="4"/>
      <c r="HE1777" s="4"/>
    </row>
    <row r="1778">
      <c r="A1778" s="2" t="s">
        <v>8731</v>
      </c>
      <c r="B1778" s="2" t="s">
        <v>299</v>
      </c>
      <c r="C1778" s="2" t="s">
        <v>849</v>
      </c>
      <c r="D1778" s="2" t="s">
        <v>301</v>
      </c>
      <c r="E1778" s="2" t="s">
        <v>302</v>
      </c>
      <c r="F1778" s="2" t="s">
        <v>3717</v>
      </c>
      <c r="G1778" s="2" t="s">
        <v>3717</v>
      </c>
      <c r="H1778" s="2" t="s">
        <v>3717</v>
      </c>
      <c r="I1778" s="2" t="s">
        <v>8732</v>
      </c>
      <c r="J1778" s="2" t="s">
        <v>264</v>
      </c>
      <c r="K1778" s="2" t="s">
        <v>8733</v>
      </c>
      <c r="L1778" s="3">
        <v>12.6</v>
      </c>
      <c r="M1778" s="3">
        <v>13.23</v>
      </c>
      <c r="N1778" s="3">
        <v>27.99</v>
      </c>
      <c r="O1778" s="2" t="s">
        <v>240</v>
      </c>
      <c r="P1778" s="2" t="s">
        <v>266</v>
      </c>
      <c r="Q1778" s="2" t="s">
        <v>234</v>
      </c>
      <c r="R1778" s="2" t="s">
        <v>228</v>
      </c>
      <c r="S1778" s="2" t="s">
        <v>8734</v>
      </c>
      <c r="T1778" s="2" t="s">
        <v>415</v>
      </c>
      <c r="U1778" s="2" t="s">
        <v>228</v>
      </c>
      <c r="V1778" s="2" t="s">
        <v>3717</v>
      </c>
      <c r="W1778" s="2" t="s">
        <v>269</v>
      </c>
      <c r="X1778" s="2" t="s">
        <v>228</v>
      </c>
      <c r="Y1778" s="2" t="s">
        <v>6785</v>
      </c>
      <c r="Z1778" s="4">
        <v>61</v>
      </c>
      <c r="AA1778" s="4">
        <f>=ROUNDDOWN(12.2,0)</f>
      </c>
      <c r="AB1778" s="5">
        <v>5</v>
      </c>
      <c r="AC1778" s="2" t="s">
        <v>218</v>
      </c>
      <c r="AD1778" s="4">
        <v>150</v>
      </c>
      <c r="AE1778" s="4">
        <v>150</v>
      </c>
      <c r="AF1778" s="6">
        <v>65</v>
      </c>
      <c r="AG1778" s="6"/>
      <c r="AH1778" s="7">
        <v>1</v>
      </c>
      <c r="AI1778" s="4"/>
      <c r="AJ1778" s="4">
        <f>=ROUNDDOWN({0},0)</f>
      </c>
      <c r="AK1778" s="5"/>
      <c r="AL1778" s="2" t="s">
        <v>228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 t="s">
        <v>228</v>
      </c>
      <c r="AW1778" s="8" t="s">
        <v>228</v>
      </c>
      <c r="AX1778" s="4" t="s">
        <v>228</v>
      </c>
      <c r="AY1778" s="8" t="s">
        <v>228</v>
      </c>
      <c r="AZ1778" s="7" t="s">
        <v>228</v>
      </c>
      <c r="BA1778" s="7" t="s">
        <v>228</v>
      </c>
      <c r="BB1778" s="7"/>
      <c r="BC1778" s="4" t="s">
        <v>228</v>
      </c>
      <c r="BD1778" s="8" t="s">
        <v>228</v>
      </c>
      <c r="BE1778" s="4" t="s">
        <v>228</v>
      </c>
      <c r="BF1778" s="8" t="s">
        <v>228</v>
      </c>
      <c r="BG1778" s="7" t="s">
        <v>228</v>
      </c>
      <c r="BH1778" s="7" t="s">
        <v>228</v>
      </c>
      <c r="BI1778" s="7"/>
      <c r="BJ1778" s="4">
        <v>23</v>
      </c>
      <c r="BK1778" s="8">
        <v>321.15</v>
      </c>
      <c r="BL1778" s="2" t="s">
        <v>681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8735</v>
      </c>
      <c r="BV1778" s="2" t="s">
        <v>228</v>
      </c>
      <c r="BW1778" s="2" t="s">
        <v>228</v>
      </c>
      <c r="BX1778" s="2" t="s">
        <v>273</v>
      </c>
      <c r="BY1778" s="2" t="s">
        <v>274</v>
      </c>
      <c r="BZ1778" s="2" t="s">
        <v>240</v>
      </c>
      <c r="CA1778" s="2" t="s">
        <v>8736</v>
      </c>
      <c r="CB1778" s="2" t="s">
        <v>8737</v>
      </c>
      <c r="CC1778" s="2" t="s">
        <v>241</v>
      </c>
      <c r="CD1778" s="2" t="s">
        <v>228</v>
      </c>
      <c r="CE1778" s="4">
        <v>61</v>
      </c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/>
      <c r="EN1778" s="4"/>
      <c r="EO1778" s="4"/>
      <c r="EP1778" s="4"/>
      <c r="EQ1778" s="4"/>
      <c r="ER1778" s="4"/>
      <c r="ES1778" s="4"/>
      <c r="ET1778" s="4"/>
      <c r="EU1778" s="4"/>
      <c r="EV1778" s="4"/>
      <c r="EW1778" s="4"/>
      <c r="EX1778" s="4"/>
      <c r="EY1778" s="4"/>
      <c r="EZ1778" s="4"/>
      <c r="FA1778" s="4"/>
      <c r="FB1778" s="4"/>
      <c r="FC1778" s="4"/>
      <c r="FD1778" s="4"/>
      <c r="FE1778" s="4"/>
      <c r="FF1778" s="4"/>
      <c r="FG1778" s="4"/>
      <c r="FH1778" s="4"/>
      <c r="FI1778" s="4"/>
      <c r="FJ1778" s="4"/>
      <c r="FK1778" s="4"/>
      <c r="FL1778" s="4"/>
      <c r="FM1778" s="4"/>
      <c r="FN1778" s="4"/>
      <c r="FO1778" s="4"/>
      <c r="FP1778" s="4"/>
      <c r="FQ1778" s="4"/>
      <c r="FR1778" s="4"/>
      <c r="FS1778" s="4"/>
      <c r="FT1778" s="4"/>
      <c r="FU1778" s="4"/>
      <c r="FV1778" s="4"/>
      <c r="FW1778" s="4"/>
      <c r="FX1778" s="4"/>
      <c r="FY1778" s="4"/>
      <c r="FZ1778" s="4"/>
      <c r="GA1778" s="4"/>
      <c r="GB1778" s="4"/>
      <c r="GC1778" s="4"/>
      <c r="GD1778" s="4"/>
      <c r="GE1778" s="4"/>
      <c r="GF1778" s="4"/>
      <c r="GG1778" s="4"/>
      <c r="GH1778" s="4"/>
      <c r="GI1778" s="4"/>
      <c r="GJ1778" s="4"/>
      <c r="GK1778" s="4"/>
      <c r="GL1778" s="4"/>
      <c r="GM1778" s="4"/>
      <c r="GN1778" s="4"/>
      <c r="GO1778" s="4"/>
      <c r="GP1778" s="4"/>
      <c r="GQ1778" s="4"/>
      <c r="GR1778" s="4"/>
      <c r="GS1778" s="4"/>
      <c r="GT1778" s="4"/>
      <c r="GU1778" s="4"/>
      <c r="GV1778" s="4"/>
      <c r="GW1778" s="4"/>
      <c r="GX1778" s="4"/>
      <c r="GY1778" s="4"/>
      <c r="GZ1778" s="4"/>
      <c r="HA1778" s="4"/>
      <c r="HB1778" s="4">
        <v>150</v>
      </c>
      <c r="HC1778" s="4"/>
      <c r="HD1778" s="4"/>
      <c r="HE1778" s="4"/>
    </row>
    <row r="1779">
      <c r="A1779" s="2" t="s">
        <v>8738</v>
      </c>
      <c r="B1779" s="2" t="s">
        <v>299</v>
      </c>
      <c r="C1779" s="2" t="s">
        <v>849</v>
      </c>
      <c r="D1779" s="2" t="s">
        <v>301</v>
      </c>
      <c r="E1779" s="2" t="s">
        <v>302</v>
      </c>
      <c r="F1779" s="2" t="s">
        <v>3717</v>
      </c>
      <c r="G1779" s="2" t="s">
        <v>3717</v>
      </c>
      <c r="H1779" s="2" t="s">
        <v>3717</v>
      </c>
      <c r="I1779" s="2" t="s">
        <v>8732</v>
      </c>
      <c r="J1779" s="2" t="s">
        <v>8739</v>
      </c>
      <c r="K1779" s="2" t="s">
        <v>8733</v>
      </c>
      <c r="L1779" s="3">
        <v>12.6</v>
      </c>
      <c r="M1779" s="3">
        <v>13.23</v>
      </c>
      <c r="N1779" s="3">
        <v>27.99</v>
      </c>
      <c r="O1779" s="2" t="s">
        <v>240</v>
      </c>
      <c r="P1779" s="2" t="s">
        <v>266</v>
      </c>
      <c r="Q1779" s="2" t="s">
        <v>234</v>
      </c>
      <c r="R1779" s="2" t="s">
        <v>228</v>
      </c>
      <c r="S1779" s="2" t="s">
        <v>8734</v>
      </c>
      <c r="T1779" s="2" t="s">
        <v>415</v>
      </c>
      <c r="U1779" s="2" t="s">
        <v>228</v>
      </c>
      <c r="V1779" s="2" t="s">
        <v>3717</v>
      </c>
      <c r="W1779" s="2" t="s">
        <v>269</v>
      </c>
      <c r="X1779" s="2" t="s">
        <v>228</v>
      </c>
      <c r="Y1779" s="2" t="s">
        <v>6785</v>
      </c>
      <c r="Z1779" s="4">
        <v>78</v>
      </c>
      <c r="AA1779" s="4">
        <f>=ROUNDDOWN(15.6,0)</f>
      </c>
      <c r="AB1779" s="5">
        <v>5</v>
      </c>
      <c r="AC1779" s="2" t="s">
        <v>218</v>
      </c>
      <c r="AD1779" s="4">
        <v>150</v>
      </c>
      <c r="AE1779" s="4">
        <v>150</v>
      </c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228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 t="s">
        <v>228</v>
      </c>
      <c r="AW1779" s="8" t="s">
        <v>228</v>
      </c>
      <c r="AX1779" s="4" t="s">
        <v>228</v>
      </c>
      <c r="AY1779" s="8" t="s">
        <v>228</v>
      </c>
      <c r="AZ1779" s="7" t="s">
        <v>228</v>
      </c>
      <c r="BA1779" s="7" t="s">
        <v>228</v>
      </c>
      <c r="BB1779" s="7"/>
      <c r="BC1779" s="4" t="s">
        <v>228</v>
      </c>
      <c r="BD1779" s="8" t="s">
        <v>228</v>
      </c>
      <c r="BE1779" s="4" t="s">
        <v>228</v>
      </c>
      <c r="BF1779" s="8" t="s">
        <v>228</v>
      </c>
      <c r="BG1779" s="7" t="s">
        <v>228</v>
      </c>
      <c r="BH1779" s="7" t="s">
        <v>228</v>
      </c>
      <c r="BI1779" s="7"/>
      <c r="BJ1779" s="4">
        <v>28</v>
      </c>
      <c r="BK1779" s="8">
        <v>397.51</v>
      </c>
      <c r="BL1779" s="2" t="s">
        <v>8740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8741</v>
      </c>
      <c r="BV1779" s="2" t="s">
        <v>228</v>
      </c>
      <c r="BW1779" s="2" t="s">
        <v>228</v>
      </c>
      <c r="BX1779" s="2" t="s">
        <v>273</v>
      </c>
      <c r="BY1779" s="2" t="s">
        <v>274</v>
      </c>
      <c r="BZ1779" s="2" t="s">
        <v>240</v>
      </c>
      <c r="CA1779" s="2" t="s">
        <v>8736</v>
      </c>
      <c r="CB1779" s="2" t="s">
        <v>8663</v>
      </c>
      <c r="CC1779" s="2" t="s">
        <v>241</v>
      </c>
      <c r="CD1779" s="2" t="s">
        <v>228</v>
      </c>
      <c r="CE1779" s="4">
        <v>78</v>
      </c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  <c r="ES1779" s="4"/>
      <c r="ET1779" s="4"/>
      <c r="EU1779" s="4"/>
      <c r="EV1779" s="4"/>
      <c r="EW1779" s="4"/>
      <c r="EX1779" s="4"/>
      <c r="EY1779" s="4"/>
      <c r="EZ1779" s="4"/>
      <c r="FA1779" s="4"/>
      <c r="FB1779" s="4"/>
      <c r="FC1779" s="4"/>
      <c r="FD1779" s="4"/>
      <c r="FE1779" s="4"/>
      <c r="FF1779" s="4"/>
      <c r="FG1779" s="4"/>
      <c r="FH1779" s="4"/>
      <c r="FI1779" s="4"/>
      <c r="FJ1779" s="4"/>
      <c r="FK1779" s="4"/>
      <c r="FL1779" s="4"/>
      <c r="FM1779" s="4"/>
      <c r="FN1779" s="4"/>
      <c r="FO1779" s="4"/>
      <c r="FP1779" s="4"/>
      <c r="FQ1779" s="4"/>
      <c r="FR1779" s="4"/>
      <c r="FS1779" s="4"/>
      <c r="FT1779" s="4"/>
      <c r="FU1779" s="4"/>
      <c r="FV1779" s="4"/>
      <c r="FW1779" s="4"/>
      <c r="FX1779" s="4"/>
      <c r="FY1779" s="4"/>
      <c r="FZ1779" s="4"/>
      <c r="GA1779" s="4"/>
      <c r="GB1779" s="4"/>
      <c r="GC1779" s="4"/>
      <c r="GD1779" s="4"/>
      <c r="GE1779" s="4"/>
      <c r="GF1779" s="4"/>
      <c r="GG1779" s="4"/>
      <c r="GH1779" s="4"/>
      <c r="GI1779" s="4"/>
      <c r="GJ1779" s="4"/>
      <c r="GK1779" s="4"/>
      <c r="GL1779" s="4"/>
      <c r="GM1779" s="4"/>
      <c r="GN1779" s="4"/>
      <c r="GO1779" s="4"/>
      <c r="GP1779" s="4"/>
      <c r="GQ1779" s="4"/>
      <c r="GR1779" s="4"/>
      <c r="GS1779" s="4"/>
      <c r="GT1779" s="4"/>
      <c r="GU1779" s="4"/>
      <c r="GV1779" s="4"/>
      <c r="GW1779" s="4"/>
      <c r="GX1779" s="4"/>
      <c r="GY1779" s="4"/>
      <c r="GZ1779" s="4"/>
      <c r="HA1779" s="4"/>
      <c r="HB1779" s="4">
        <v>150</v>
      </c>
      <c r="HC1779" s="4"/>
      <c r="HD1779" s="4"/>
      <c r="HE1779" s="4"/>
    </row>
    <row r="1780">
      <c r="A1780" s="2" t="s">
        <v>8742</v>
      </c>
      <c r="B1780" s="2" t="s">
        <v>299</v>
      </c>
      <c r="C1780" s="2" t="s">
        <v>849</v>
      </c>
      <c r="D1780" s="2" t="s">
        <v>301</v>
      </c>
      <c r="E1780" s="2" t="s">
        <v>302</v>
      </c>
      <c r="F1780" s="2" t="s">
        <v>3717</v>
      </c>
      <c r="G1780" s="2" t="s">
        <v>3717</v>
      </c>
      <c r="H1780" s="2" t="s">
        <v>3717</v>
      </c>
      <c r="I1780" s="2" t="s">
        <v>8732</v>
      </c>
      <c r="J1780" s="2" t="s">
        <v>8739</v>
      </c>
      <c r="K1780" s="2" t="s">
        <v>8743</v>
      </c>
      <c r="L1780" s="3">
        <v>12.6</v>
      </c>
      <c r="M1780" s="3">
        <v>13.23</v>
      </c>
      <c r="N1780" s="3">
        <v>27.99</v>
      </c>
      <c r="O1780" s="2" t="s">
        <v>240</v>
      </c>
      <c r="P1780" s="2" t="s">
        <v>266</v>
      </c>
      <c r="Q1780" s="2" t="s">
        <v>234</v>
      </c>
      <c r="R1780" s="2" t="s">
        <v>228</v>
      </c>
      <c r="S1780" s="2" t="s">
        <v>8744</v>
      </c>
      <c r="T1780" s="2" t="s">
        <v>415</v>
      </c>
      <c r="U1780" s="2" t="s">
        <v>500</v>
      </c>
      <c r="V1780" s="2" t="s">
        <v>3717</v>
      </c>
      <c r="W1780" s="2" t="s">
        <v>269</v>
      </c>
      <c r="X1780" s="2" t="s">
        <v>228</v>
      </c>
      <c r="Y1780" s="2" t="s">
        <v>6785</v>
      </c>
      <c r="Z1780" s="4">
        <v>137</v>
      </c>
      <c r="AA1780" s="4">
        <f>=ROUNDDOWN(45.6666666666667,0)</f>
      </c>
      <c r="AB1780" s="5">
        <v>3</v>
      </c>
      <c r="AC1780" s="2" t="s">
        <v>1461</v>
      </c>
      <c r="AD1780" s="4">
        <v>80</v>
      </c>
      <c r="AE1780" s="4">
        <v>80</v>
      </c>
      <c r="AF1780" s="6">
        <v>65</v>
      </c>
      <c r="AG1780" s="6"/>
      <c r="AH1780" s="7">
        <v>1</v>
      </c>
      <c r="AI1780" s="4"/>
      <c r="AJ1780" s="4">
        <f>=ROUNDDOWN({0},0)</f>
      </c>
      <c r="AK1780" s="5"/>
      <c r="AL1780" s="2" t="s">
        <v>228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 t="s">
        <v>228</v>
      </c>
      <c r="AW1780" s="8" t="s">
        <v>228</v>
      </c>
      <c r="AX1780" s="4" t="s">
        <v>228</v>
      </c>
      <c r="AY1780" s="8" t="s">
        <v>228</v>
      </c>
      <c r="AZ1780" s="7" t="s">
        <v>228</v>
      </c>
      <c r="BA1780" s="7" t="s">
        <v>228</v>
      </c>
      <c r="BB1780" s="7"/>
      <c r="BC1780" s="4" t="s">
        <v>228</v>
      </c>
      <c r="BD1780" s="8" t="s">
        <v>228</v>
      </c>
      <c r="BE1780" s="4" t="s">
        <v>228</v>
      </c>
      <c r="BF1780" s="8" t="s">
        <v>228</v>
      </c>
      <c r="BG1780" s="7" t="s">
        <v>228</v>
      </c>
      <c r="BH1780" s="7" t="s">
        <v>228</v>
      </c>
      <c r="BI1780" s="7"/>
      <c r="BJ1780" s="4">
        <v>13</v>
      </c>
      <c r="BK1780" s="8">
        <v>181.4</v>
      </c>
      <c r="BL1780" s="2" t="s">
        <v>4915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8745</v>
      </c>
      <c r="BV1780" s="2" t="s">
        <v>228</v>
      </c>
      <c r="BW1780" s="2" t="s">
        <v>228</v>
      </c>
      <c r="BX1780" s="2" t="s">
        <v>273</v>
      </c>
      <c r="BY1780" s="2" t="s">
        <v>274</v>
      </c>
      <c r="BZ1780" s="2" t="s">
        <v>240</v>
      </c>
      <c r="CA1780" s="2" t="s">
        <v>8736</v>
      </c>
      <c r="CB1780" s="2" t="s">
        <v>8647</v>
      </c>
      <c r="CC1780" s="2" t="s">
        <v>241</v>
      </c>
      <c r="CD1780" s="2" t="s">
        <v>228</v>
      </c>
      <c r="CE1780" s="4">
        <v>137</v>
      </c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>
        <v>80</v>
      </c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/>
      <c r="ER1780" s="4"/>
      <c r="ES1780" s="4"/>
      <c r="ET1780" s="4"/>
      <c r="EU1780" s="4"/>
      <c r="EV1780" s="4"/>
      <c r="EW1780" s="4"/>
      <c r="EX1780" s="4"/>
      <c r="EY1780" s="4"/>
      <c r="EZ1780" s="4"/>
      <c r="FA1780" s="4"/>
      <c r="FB1780" s="4"/>
      <c r="FC1780" s="4"/>
      <c r="FD1780" s="4"/>
      <c r="FE1780" s="4"/>
      <c r="FF1780" s="4"/>
      <c r="FG1780" s="4"/>
      <c r="FH1780" s="4"/>
      <c r="FI1780" s="4"/>
      <c r="FJ1780" s="4"/>
      <c r="FK1780" s="4"/>
      <c r="FL1780" s="4"/>
      <c r="FM1780" s="4"/>
      <c r="FN1780" s="4"/>
      <c r="FO1780" s="4"/>
      <c r="FP1780" s="4"/>
      <c r="FQ1780" s="4"/>
      <c r="FR1780" s="4"/>
      <c r="FS1780" s="4"/>
      <c r="FT1780" s="4"/>
      <c r="FU1780" s="4"/>
      <c r="FV1780" s="4"/>
      <c r="FW1780" s="4"/>
      <c r="FX1780" s="4"/>
      <c r="FY1780" s="4"/>
      <c r="FZ1780" s="4"/>
      <c r="GA1780" s="4"/>
      <c r="GB1780" s="4"/>
      <c r="GC1780" s="4"/>
      <c r="GD1780" s="4"/>
      <c r="GE1780" s="4"/>
      <c r="GF1780" s="4"/>
      <c r="GG1780" s="4"/>
      <c r="GH1780" s="4"/>
      <c r="GI1780" s="4"/>
      <c r="GJ1780" s="4"/>
      <c r="GK1780" s="4"/>
      <c r="GL1780" s="4"/>
      <c r="GM1780" s="4"/>
      <c r="GN1780" s="4"/>
      <c r="GO1780" s="4"/>
      <c r="GP1780" s="4"/>
      <c r="GQ1780" s="4"/>
      <c r="GR1780" s="4"/>
      <c r="GS1780" s="4"/>
      <c r="GT1780" s="4"/>
      <c r="GU1780" s="4"/>
      <c r="GV1780" s="4"/>
      <c r="GW1780" s="4"/>
      <c r="GX1780" s="4"/>
      <c r="GY1780" s="4"/>
      <c r="GZ1780" s="4"/>
      <c r="HA1780" s="4"/>
      <c r="HB1780" s="4"/>
      <c r="HC1780" s="4"/>
      <c r="HD1780" s="4"/>
      <c r="HE1780" s="4"/>
    </row>
    <row r="1781">
      <c r="A1781" s="2" t="s">
        <v>8746</v>
      </c>
      <c r="B1781" s="2" t="s">
        <v>299</v>
      </c>
      <c r="C1781" s="2" t="s">
        <v>849</v>
      </c>
      <c r="D1781" s="2" t="s">
        <v>301</v>
      </c>
      <c r="E1781" s="2" t="s">
        <v>302</v>
      </c>
      <c r="F1781" s="2" t="s">
        <v>3717</v>
      </c>
      <c r="G1781" s="2" t="s">
        <v>3717</v>
      </c>
      <c r="H1781" s="2" t="s">
        <v>3717</v>
      </c>
      <c r="I1781" s="2" t="s">
        <v>8732</v>
      </c>
      <c r="J1781" s="2" t="s">
        <v>289</v>
      </c>
      <c r="K1781" s="2" t="s">
        <v>8743</v>
      </c>
      <c r="L1781" s="3">
        <v>14.85</v>
      </c>
      <c r="M1781" s="3">
        <v>15.59</v>
      </c>
      <c r="N1781" s="3">
        <v>32.99</v>
      </c>
      <c r="O1781" s="2" t="s">
        <v>240</v>
      </c>
      <c r="P1781" s="2" t="s">
        <v>266</v>
      </c>
      <c r="Q1781" s="2" t="s">
        <v>234</v>
      </c>
      <c r="R1781" s="2" t="s">
        <v>228</v>
      </c>
      <c r="S1781" s="2" t="s">
        <v>8744</v>
      </c>
      <c r="T1781" s="2" t="s">
        <v>415</v>
      </c>
      <c r="U1781" s="2" t="s">
        <v>308</v>
      </c>
      <c r="V1781" s="2" t="s">
        <v>3717</v>
      </c>
      <c r="W1781" s="2" t="s">
        <v>269</v>
      </c>
      <c r="X1781" s="2" t="s">
        <v>228</v>
      </c>
      <c r="Y1781" s="2" t="s">
        <v>6785</v>
      </c>
      <c r="Z1781" s="4">
        <v>174</v>
      </c>
      <c r="AA1781" s="4">
        <f>=ROUNDDOWN(9.15789473684211,0)</f>
      </c>
      <c r="AB1781" s="5">
        <v>19</v>
      </c>
      <c r="AC1781" s="2" t="s">
        <v>1461</v>
      </c>
      <c r="AD1781" s="4">
        <v>380</v>
      </c>
      <c r="AE1781" s="4">
        <v>380</v>
      </c>
      <c r="AF1781" s="6">
        <v>65</v>
      </c>
      <c r="AG1781" s="6"/>
      <c r="AH1781" s="7">
        <v>1</v>
      </c>
      <c r="AI1781" s="4"/>
      <c r="AJ1781" s="4">
        <f>=ROUNDDOWN({0},0)</f>
      </c>
      <c r="AK1781" s="5"/>
      <c r="AL1781" s="2" t="s">
        <v>228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 t="s">
        <v>228</v>
      </c>
      <c r="AW1781" s="8" t="s">
        <v>228</v>
      </c>
      <c r="AX1781" s="4" t="s">
        <v>228</v>
      </c>
      <c r="AY1781" s="8" t="s">
        <v>228</v>
      </c>
      <c r="AZ1781" s="7" t="s">
        <v>228</v>
      </c>
      <c r="BA1781" s="7" t="s">
        <v>228</v>
      </c>
      <c r="BB1781" s="7"/>
      <c r="BC1781" s="4" t="s">
        <v>228</v>
      </c>
      <c r="BD1781" s="8" t="s">
        <v>228</v>
      </c>
      <c r="BE1781" s="4" t="s">
        <v>228</v>
      </c>
      <c r="BF1781" s="8" t="s">
        <v>228</v>
      </c>
      <c r="BG1781" s="7" t="s">
        <v>228</v>
      </c>
      <c r="BH1781" s="7" t="s">
        <v>228</v>
      </c>
      <c r="BI1781" s="7"/>
      <c r="BJ1781" s="4">
        <v>29</v>
      </c>
      <c r="BK1781" s="8">
        <v>493.04</v>
      </c>
      <c r="BL1781" s="2" t="s">
        <v>8740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8747</v>
      </c>
      <c r="BV1781" s="2" t="s">
        <v>228</v>
      </c>
      <c r="BW1781" s="2" t="s">
        <v>228</v>
      </c>
      <c r="BX1781" s="2" t="s">
        <v>273</v>
      </c>
      <c r="BY1781" s="2" t="s">
        <v>274</v>
      </c>
      <c r="BZ1781" s="2" t="s">
        <v>240</v>
      </c>
      <c r="CA1781" s="2" t="s">
        <v>8736</v>
      </c>
      <c r="CB1781" s="2" t="s">
        <v>7078</v>
      </c>
      <c r="CC1781" s="2" t="s">
        <v>241</v>
      </c>
      <c r="CD1781" s="2" t="s">
        <v>228</v>
      </c>
      <c r="CE1781" s="4">
        <v>174</v>
      </c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>
        <v>380</v>
      </c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  <c r="ES1781" s="4"/>
      <c r="ET1781" s="4"/>
      <c r="EU1781" s="4"/>
      <c r="EV1781" s="4"/>
      <c r="EW1781" s="4"/>
      <c r="EX1781" s="4"/>
      <c r="EY1781" s="4"/>
      <c r="EZ1781" s="4"/>
      <c r="FA1781" s="4"/>
      <c r="FB1781" s="4"/>
      <c r="FC1781" s="4"/>
      <c r="FD1781" s="4"/>
      <c r="FE1781" s="4"/>
      <c r="FF1781" s="4"/>
      <c r="FG1781" s="4"/>
      <c r="FH1781" s="4"/>
      <c r="FI1781" s="4"/>
      <c r="FJ1781" s="4"/>
      <c r="FK1781" s="4"/>
      <c r="FL1781" s="4"/>
      <c r="FM1781" s="4"/>
      <c r="FN1781" s="4"/>
      <c r="FO1781" s="4"/>
      <c r="FP1781" s="4"/>
      <c r="FQ1781" s="4"/>
      <c r="FR1781" s="4"/>
      <c r="FS1781" s="4"/>
      <c r="FT1781" s="4"/>
      <c r="FU1781" s="4"/>
      <c r="FV1781" s="4"/>
      <c r="FW1781" s="4"/>
      <c r="FX1781" s="4"/>
      <c r="FY1781" s="4"/>
      <c r="FZ1781" s="4"/>
      <c r="GA1781" s="4"/>
      <c r="GB1781" s="4"/>
      <c r="GC1781" s="4"/>
      <c r="GD1781" s="4"/>
      <c r="GE1781" s="4"/>
      <c r="GF1781" s="4"/>
      <c r="GG1781" s="4"/>
      <c r="GH1781" s="4"/>
      <c r="GI1781" s="4"/>
      <c r="GJ1781" s="4"/>
      <c r="GK1781" s="4"/>
      <c r="GL1781" s="4"/>
      <c r="GM1781" s="4"/>
      <c r="GN1781" s="4"/>
      <c r="GO1781" s="4"/>
      <c r="GP1781" s="4"/>
      <c r="GQ1781" s="4"/>
      <c r="GR1781" s="4"/>
      <c r="GS1781" s="4"/>
      <c r="GT1781" s="4"/>
      <c r="GU1781" s="4"/>
      <c r="GV1781" s="4"/>
      <c r="GW1781" s="4"/>
      <c r="GX1781" s="4"/>
      <c r="GY1781" s="4"/>
      <c r="GZ1781" s="4"/>
      <c r="HA1781" s="4"/>
      <c r="HB1781" s="4"/>
      <c r="HC1781" s="4"/>
      <c r="HD1781" s="4"/>
      <c r="HE1781" s="4"/>
    </row>
    <row r="1782">
      <c r="A1782" s="2" t="s">
        <v>8748</v>
      </c>
      <c r="B1782" s="2" t="s">
        <v>299</v>
      </c>
      <c r="C1782" s="2" t="s">
        <v>849</v>
      </c>
      <c r="D1782" s="2" t="s">
        <v>301</v>
      </c>
      <c r="E1782" s="2" t="s">
        <v>302</v>
      </c>
      <c r="F1782" s="2" t="s">
        <v>3717</v>
      </c>
      <c r="G1782" s="2" t="s">
        <v>3717</v>
      </c>
      <c r="H1782" s="2" t="s">
        <v>3717</v>
      </c>
      <c r="I1782" s="2" t="s">
        <v>8732</v>
      </c>
      <c r="J1782" s="2" t="s">
        <v>289</v>
      </c>
      <c r="K1782" s="2" t="s">
        <v>8749</v>
      </c>
      <c r="L1782" s="3">
        <v>14.85</v>
      </c>
      <c r="M1782" s="3">
        <v>15.59</v>
      </c>
      <c r="N1782" s="3">
        <v>32.99</v>
      </c>
      <c r="O1782" s="2" t="s">
        <v>240</v>
      </c>
      <c r="P1782" s="2" t="s">
        <v>266</v>
      </c>
      <c r="Q1782" s="2" t="s">
        <v>234</v>
      </c>
      <c r="R1782" s="2" t="s">
        <v>228</v>
      </c>
      <c r="S1782" s="2" t="s">
        <v>8750</v>
      </c>
      <c r="T1782" s="2" t="s">
        <v>415</v>
      </c>
      <c r="U1782" s="2" t="s">
        <v>228</v>
      </c>
      <c r="V1782" s="2" t="s">
        <v>3717</v>
      </c>
      <c r="W1782" s="2" t="s">
        <v>269</v>
      </c>
      <c r="X1782" s="2" t="s">
        <v>228</v>
      </c>
      <c r="Y1782" s="2" t="s">
        <v>6785</v>
      </c>
      <c r="Z1782" s="4">
        <v>265</v>
      </c>
      <c r="AA1782" s="4">
        <f>=ROUNDDOWN(50.9615384615385,0)</f>
      </c>
      <c r="AB1782" s="5">
        <v>5.2</v>
      </c>
      <c r="AC1782" s="2" t="s">
        <v>218</v>
      </c>
      <c r="AD1782" s="4">
        <v>100</v>
      </c>
      <c r="AE1782" s="4">
        <v>100</v>
      </c>
      <c r="AF1782" s="6">
        <v>65</v>
      </c>
      <c r="AG1782" s="6"/>
      <c r="AH1782" s="7">
        <v>1</v>
      </c>
      <c r="AI1782" s="4"/>
      <c r="AJ1782" s="4">
        <f>=ROUNDDOWN({0},0)</f>
      </c>
      <c r="AK1782" s="5"/>
      <c r="AL1782" s="2" t="s">
        <v>228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/>
      <c r="AW1782" s="8"/>
      <c r="AX1782" s="4"/>
      <c r="AY1782" s="8"/>
      <c r="AZ1782" s="7"/>
      <c r="BA1782" s="7"/>
      <c r="BB1782" s="7"/>
      <c r="BC1782" s="4" t="s">
        <v>228</v>
      </c>
      <c r="BD1782" s="8" t="s">
        <v>228</v>
      </c>
      <c r="BE1782" s="4" t="s">
        <v>228</v>
      </c>
      <c r="BF1782" s="8" t="s">
        <v>228</v>
      </c>
      <c r="BG1782" s="7" t="s">
        <v>228</v>
      </c>
      <c r="BH1782" s="7" t="s">
        <v>228</v>
      </c>
      <c r="BI1782" s="7"/>
      <c r="BJ1782" s="4">
        <v>27</v>
      </c>
      <c r="BK1782" s="8">
        <v>446.74</v>
      </c>
      <c r="BL1782" s="2" t="s">
        <v>8751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8752</v>
      </c>
      <c r="BV1782" s="2" t="s">
        <v>228</v>
      </c>
      <c r="BW1782" s="2" t="s">
        <v>228</v>
      </c>
      <c r="BX1782" s="2" t="s">
        <v>273</v>
      </c>
      <c r="BY1782" s="2" t="s">
        <v>274</v>
      </c>
      <c r="BZ1782" s="2" t="s">
        <v>240</v>
      </c>
      <c r="CA1782" s="2" t="s">
        <v>8736</v>
      </c>
      <c r="CB1782" s="2" t="s">
        <v>7078</v>
      </c>
      <c r="CC1782" s="2" t="s">
        <v>241</v>
      </c>
      <c r="CD1782" s="2" t="s">
        <v>228</v>
      </c>
      <c r="CE1782" s="4">
        <v>265</v>
      </c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  <c r="ES1782" s="4"/>
      <c r="ET1782" s="4"/>
      <c r="EU1782" s="4"/>
      <c r="EV1782" s="4"/>
      <c r="EW1782" s="4"/>
      <c r="EX1782" s="4"/>
      <c r="EY1782" s="4"/>
      <c r="EZ1782" s="4"/>
      <c r="FA1782" s="4"/>
      <c r="FB1782" s="4"/>
      <c r="FC1782" s="4"/>
      <c r="FD1782" s="4"/>
      <c r="FE1782" s="4"/>
      <c r="FF1782" s="4"/>
      <c r="FG1782" s="4"/>
      <c r="FH1782" s="4"/>
      <c r="FI1782" s="4"/>
      <c r="FJ1782" s="4"/>
      <c r="FK1782" s="4"/>
      <c r="FL1782" s="4"/>
      <c r="FM1782" s="4"/>
      <c r="FN1782" s="4"/>
      <c r="FO1782" s="4"/>
      <c r="FP1782" s="4"/>
      <c r="FQ1782" s="4"/>
      <c r="FR1782" s="4"/>
      <c r="FS1782" s="4"/>
      <c r="FT1782" s="4"/>
      <c r="FU1782" s="4"/>
      <c r="FV1782" s="4"/>
      <c r="FW1782" s="4"/>
      <c r="FX1782" s="4"/>
      <c r="FY1782" s="4"/>
      <c r="FZ1782" s="4"/>
      <c r="GA1782" s="4"/>
      <c r="GB1782" s="4"/>
      <c r="GC1782" s="4"/>
      <c r="GD1782" s="4"/>
      <c r="GE1782" s="4"/>
      <c r="GF1782" s="4"/>
      <c r="GG1782" s="4"/>
      <c r="GH1782" s="4"/>
      <c r="GI1782" s="4"/>
      <c r="GJ1782" s="4"/>
      <c r="GK1782" s="4"/>
      <c r="GL1782" s="4"/>
      <c r="GM1782" s="4"/>
      <c r="GN1782" s="4"/>
      <c r="GO1782" s="4"/>
      <c r="GP1782" s="4"/>
      <c r="GQ1782" s="4"/>
      <c r="GR1782" s="4"/>
      <c r="GS1782" s="4"/>
      <c r="GT1782" s="4"/>
      <c r="GU1782" s="4"/>
      <c r="GV1782" s="4"/>
      <c r="GW1782" s="4"/>
      <c r="GX1782" s="4"/>
      <c r="GY1782" s="4"/>
      <c r="GZ1782" s="4"/>
      <c r="HA1782" s="4"/>
      <c r="HB1782" s="4">
        <v>100</v>
      </c>
      <c r="HC1782" s="4"/>
      <c r="HD1782" s="4"/>
      <c r="HE1782" s="4"/>
    </row>
    <row r="1783">
      <c r="A1783" s="2" t="s">
        <v>8753</v>
      </c>
      <c r="B1783" s="2" t="s">
        <v>772</v>
      </c>
      <c r="C1783" s="2" t="s">
        <v>731</v>
      </c>
      <c r="D1783" s="2" t="s">
        <v>774</v>
      </c>
      <c r="E1783" s="2" t="s">
        <v>775</v>
      </c>
      <c r="F1783" s="2" t="s">
        <v>8754</v>
      </c>
      <c r="G1783" s="2" t="s">
        <v>8754</v>
      </c>
      <c r="H1783" s="2" t="s">
        <v>8754</v>
      </c>
      <c r="I1783" s="2" t="s">
        <v>8755</v>
      </c>
      <c r="J1783" s="2" t="s">
        <v>1053</v>
      </c>
      <c r="K1783" s="2" t="s">
        <v>1466</v>
      </c>
      <c r="L1783" s="3">
        <v>36.5</v>
      </c>
      <c r="M1783" s="3">
        <v>38.33</v>
      </c>
      <c r="N1783" s="3">
        <v>79.99</v>
      </c>
      <c r="O1783" s="2" t="s">
        <v>240</v>
      </c>
      <c r="P1783" s="2" t="s">
        <v>1012</v>
      </c>
      <c r="Q1783" s="2" t="s">
        <v>234</v>
      </c>
      <c r="R1783" s="2" t="s">
        <v>228</v>
      </c>
      <c r="S1783" s="2" t="s">
        <v>8756</v>
      </c>
      <c r="T1783" s="2" t="s">
        <v>350</v>
      </c>
      <c r="U1783" s="2" t="s">
        <v>1054</v>
      </c>
      <c r="V1783" s="2" t="s">
        <v>236</v>
      </c>
      <c r="W1783" s="2" t="s">
        <v>309</v>
      </c>
      <c r="X1783" s="2" t="s">
        <v>228</v>
      </c>
      <c r="Y1783" s="2" t="s">
        <v>3224</v>
      </c>
      <c r="Z1783" s="4">
        <v>354</v>
      </c>
      <c r="AA1783" s="4">
        <f>=ROUNDDOWN(44.25,0)</f>
      </c>
      <c r="AB1783" s="5">
        <v>8</v>
      </c>
      <c r="AC1783" s="2" t="s">
        <v>228</v>
      </c>
      <c r="AD1783" s="4"/>
      <c r="AE1783" s="4"/>
      <c r="AF1783" s="6">
        <v>65</v>
      </c>
      <c r="AG1783" s="6"/>
      <c r="AH1783" s="7">
        <v>1</v>
      </c>
      <c r="AI1783" s="4"/>
      <c r="AJ1783" s="4">
        <f>=ROUNDDOWN({0},0)</f>
      </c>
      <c r="AK1783" s="5"/>
      <c r="AL1783" s="2" t="s">
        <v>228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/>
      <c r="AW1783" s="8"/>
      <c r="AX1783" s="4"/>
      <c r="AY1783" s="8"/>
      <c r="AZ1783" s="7"/>
      <c r="BA1783" s="7"/>
      <c r="BB1783" s="7"/>
      <c r="BC1783" s="4" t="s">
        <v>228</v>
      </c>
      <c r="BD1783" s="8" t="s">
        <v>228</v>
      </c>
      <c r="BE1783" s="4" t="s">
        <v>228</v>
      </c>
      <c r="BF1783" s="8" t="s">
        <v>228</v>
      </c>
      <c r="BG1783" s="7" t="s">
        <v>228</v>
      </c>
      <c r="BH1783" s="7" t="s">
        <v>228</v>
      </c>
      <c r="BI1783" s="7"/>
      <c r="BJ1783" s="4">
        <v>16</v>
      </c>
      <c r="BK1783" s="8">
        <v>645.4</v>
      </c>
      <c r="BL1783" s="2" t="s">
        <v>6317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8757</v>
      </c>
      <c r="BV1783" s="2" t="s">
        <v>228</v>
      </c>
      <c r="BW1783" s="2" t="s">
        <v>228</v>
      </c>
      <c r="BX1783" s="2" t="s">
        <v>273</v>
      </c>
      <c r="BY1783" s="2" t="s">
        <v>274</v>
      </c>
      <c r="BZ1783" s="2" t="s">
        <v>240</v>
      </c>
      <c r="CA1783" s="2" t="s">
        <v>1480</v>
      </c>
      <c r="CB1783" s="2" t="s">
        <v>2700</v>
      </c>
      <c r="CC1783" s="2" t="s">
        <v>241</v>
      </c>
      <c r="CD1783" s="2" t="s">
        <v>228</v>
      </c>
      <c r="CE1783" s="4">
        <v>354</v>
      </c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  <c r="ES1783" s="4"/>
      <c r="ET1783" s="4"/>
      <c r="EU1783" s="4"/>
      <c r="EV1783" s="4"/>
      <c r="EW1783" s="4"/>
      <c r="EX1783" s="4"/>
      <c r="EY1783" s="4"/>
      <c r="EZ1783" s="4"/>
      <c r="FA1783" s="4"/>
      <c r="FB1783" s="4"/>
      <c r="FC1783" s="4"/>
      <c r="FD1783" s="4"/>
      <c r="FE1783" s="4"/>
      <c r="FF1783" s="4"/>
      <c r="FG1783" s="4"/>
      <c r="FH1783" s="4"/>
      <c r="FI1783" s="4"/>
      <c r="FJ1783" s="4"/>
      <c r="FK1783" s="4"/>
      <c r="FL1783" s="4"/>
      <c r="FM1783" s="4"/>
      <c r="FN1783" s="4"/>
      <c r="FO1783" s="4"/>
      <c r="FP1783" s="4"/>
      <c r="FQ1783" s="4"/>
      <c r="FR1783" s="4"/>
      <c r="FS1783" s="4"/>
      <c r="FT1783" s="4"/>
      <c r="FU1783" s="4"/>
      <c r="FV1783" s="4"/>
      <c r="FW1783" s="4"/>
      <c r="FX1783" s="4"/>
      <c r="FY1783" s="4"/>
      <c r="FZ1783" s="4"/>
      <c r="GA1783" s="4"/>
      <c r="GB1783" s="4"/>
      <c r="GC1783" s="4"/>
      <c r="GD1783" s="4"/>
      <c r="GE1783" s="4"/>
      <c r="GF1783" s="4"/>
      <c r="GG1783" s="4"/>
      <c r="GH1783" s="4"/>
      <c r="GI1783" s="4"/>
      <c r="GJ1783" s="4"/>
      <c r="GK1783" s="4"/>
      <c r="GL1783" s="4"/>
      <c r="GM1783" s="4"/>
      <c r="GN1783" s="4"/>
      <c r="GO1783" s="4"/>
      <c r="GP1783" s="4"/>
      <c r="GQ1783" s="4"/>
      <c r="GR1783" s="4"/>
      <c r="GS1783" s="4"/>
      <c r="GT1783" s="4"/>
      <c r="GU1783" s="4"/>
      <c r="GV1783" s="4"/>
      <c r="GW1783" s="4"/>
      <c r="GX1783" s="4"/>
      <c r="GY1783" s="4"/>
      <c r="GZ1783" s="4"/>
      <c r="HA1783" s="4"/>
      <c r="HB1783" s="4"/>
      <c r="HC1783" s="4"/>
      <c r="HD1783" s="4"/>
      <c r="HE1783" s="4"/>
    </row>
    <row r="1784">
      <c r="A1784" s="2" t="s">
        <v>8758</v>
      </c>
      <c r="B1784" s="2" t="s">
        <v>772</v>
      </c>
      <c r="C1784" s="2" t="s">
        <v>731</v>
      </c>
      <c r="D1784" s="2" t="s">
        <v>774</v>
      </c>
      <c r="E1784" s="2" t="s">
        <v>775</v>
      </c>
      <c r="F1784" s="2" t="s">
        <v>8754</v>
      </c>
      <c r="G1784" s="2" t="s">
        <v>8754</v>
      </c>
      <c r="H1784" s="2" t="s">
        <v>8754</v>
      </c>
      <c r="I1784" s="2" t="s">
        <v>8755</v>
      </c>
      <c r="J1784" s="2" t="s">
        <v>1053</v>
      </c>
      <c r="K1784" s="2" t="s">
        <v>249</v>
      </c>
      <c r="L1784" s="3">
        <v>36.5</v>
      </c>
      <c r="M1784" s="3">
        <v>38.33</v>
      </c>
      <c r="N1784" s="3">
        <v>79.99</v>
      </c>
      <c r="O1784" s="2" t="s">
        <v>240</v>
      </c>
      <c r="P1784" s="2" t="s">
        <v>1012</v>
      </c>
      <c r="Q1784" s="2" t="s">
        <v>234</v>
      </c>
      <c r="R1784" s="2" t="s">
        <v>228</v>
      </c>
      <c r="S1784" s="2" t="s">
        <v>8759</v>
      </c>
      <c r="T1784" s="2" t="s">
        <v>350</v>
      </c>
      <c r="U1784" s="2" t="s">
        <v>1054</v>
      </c>
      <c r="V1784" s="2" t="s">
        <v>236</v>
      </c>
      <c r="W1784" s="2" t="s">
        <v>309</v>
      </c>
      <c r="X1784" s="2" t="s">
        <v>228</v>
      </c>
      <c r="Y1784" s="2" t="s">
        <v>3224</v>
      </c>
      <c r="Z1784" s="4">
        <v>483</v>
      </c>
      <c r="AA1784" s="4">
        <f>=ROUNDDOWN(53.6666666666667,0)</f>
      </c>
      <c r="AB1784" s="5">
        <v>9</v>
      </c>
      <c r="AC1784" s="2" t="s">
        <v>228</v>
      </c>
      <c r="AD1784" s="4"/>
      <c r="AE1784" s="4"/>
      <c r="AF1784" s="6">
        <v>65</v>
      </c>
      <c r="AG1784" s="6"/>
      <c r="AH1784" s="7">
        <v>1</v>
      </c>
      <c r="AI1784" s="4"/>
      <c r="AJ1784" s="4">
        <f>=ROUNDDOWN({0},0)</f>
      </c>
      <c r="AK1784" s="5"/>
      <c r="AL1784" s="2" t="s">
        <v>228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/>
      <c r="AW1784" s="8"/>
      <c r="AX1784" s="4"/>
      <c r="AY1784" s="8"/>
      <c r="AZ1784" s="7"/>
      <c r="BA1784" s="7"/>
      <c r="BB1784" s="7"/>
      <c r="BC1784" s="4" t="s">
        <v>228</v>
      </c>
      <c r="BD1784" s="8" t="s">
        <v>228</v>
      </c>
      <c r="BE1784" s="4" t="s">
        <v>228</v>
      </c>
      <c r="BF1784" s="8" t="s">
        <v>228</v>
      </c>
      <c r="BG1784" s="7" t="s">
        <v>228</v>
      </c>
      <c r="BH1784" s="7" t="s">
        <v>228</v>
      </c>
      <c r="BI1784" s="7"/>
      <c r="BJ1784" s="4">
        <v>18</v>
      </c>
      <c r="BK1784" s="8">
        <v>739.83</v>
      </c>
      <c r="BL1784" s="2" t="s">
        <v>8760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8761</v>
      </c>
      <c r="BV1784" s="2" t="s">
        <v>228</v>
      </c>
      <c r="BW1784" s="2" t="s">
        <v>228</v>
      </c>
      <c r="BX1784" s="2" t="s">
        <v>273</v>
      </c>
      <c r="BY1784" s="2" t="s">
        <v>274</v>
      </c>
      <c r="BZ1784" s="2" t="s">
        <v>240</v>
      </c>
      <c r="CA1784" s="2" t="s">
        <v>1480</v>
      </c>
      <c r="CB1784" s="2" t="s">
        <v>8762</v>
      </c>
      <c r="CC1784" s="2" t="s">
        <v>241</v>
      </c>
      <c r="CD1784" s="2" t="s">
        <v>228</v>
      </c>
      <c r="CE1784" s="4">
        <v>483</v>
      </c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/>
      <c r="EP1784" s="4"/>
      <c r="EQ1784" s="4"/>
      <c r="ER1784" s="4"/>
      <c r="ES1784" s="4"/>
      <c r="ET1784" s="4"/>
      <c r="EU1784" s="4"/>
      <c r="EV1784" s="4"/>
      <c r="EW1784" s="4"/>
      <c r="EX1784" s="4"/>
      <c r="EY1784" s="4"/>
      <c r="EZ1784" s="4"/>
      <c r="FA1784" s="4"/>
      <c r="FB1784" s="4"/>
      <c r="FC1784" s="4"/>
      <c r="FD1784" s="4"/>
      <c r="FE1784" s="4"/>
      <c r="FF1784" s="4"/>
      <c r="FG1784" s="4"/>
      <c r="FH1784" s="4"/>
      <c r="FI1784" s="4"/>
      <c r="FJ1784" s="4"/>
      <c r="FK1784" s="4"/>
      <c r="FL1784" s="4"/>
      <c r="FM1784" s="4"/>
      <c r="FN1784" s="4"/>
      <c r="FO1784" s="4"/>
      <c r="FP1784" s="4"/>
      <c r="FQ1784" s="4"/>
      <c r="FR1784" s="4"/>
      <c r="FS1784" s="4"/>
      <c r="FT1784" s="4"/>
      <c r="FU1784" s="4"/>
      <c r="FV1784" s="4"/>
      <c r="FW1784" s="4"/>
      <c r="FX1784" s="4"/>
      <c r="FY1784" s="4"/>
      <c r="FZ1784" s="4"/>
      <c r="GA1784" s="4"/>
      <c r="GB1784" s="4"/>
      <c r="GC1784" s="4"/>
      <c r="GD1784" s="4"/>
      <c r="GE1784" s="4"/>
      <c r="GF1784" s="4"/>
      <c r="GG1784" s="4"/>
      <c r="GH1784" s="4"/>
      <c r="GI1784" s="4"/>
      <c r="GJ1784" s="4"/>
      <c r="GK1784" s="4"/>
      <c r="GL1784" s="4"/>
      <c r="GM1784" s="4"/>
      <c r="GN1784" s="4"/>
      <c r="GO1784" s="4"/>
      <c r="GP1784" s="4"/>
      <c r="GQ1784" s="4"/>
      <c r="GR1784" s="4"/>
      <c r="GS1784" s="4"/>
      <c r="GT1784" s="4"/>
      <c r="GU1784" s="4"/>
      <c r="GV1784" s="4"/>
      <c r="GW1784" s="4"/>
      <c r="GX1784" s="4"/>
      <c r="GY1784" s="4"/>
      <c r="GZ1784" s="4"/>
      <c r="HA1784" s="4"/>
      <c r="HB1784" s="4"/>
      <c r="HC1784" s="4"/>
      <c r="HD1784" s="4"/>
      <c r="HE1784" s="4"/>
    </row>
    <row r="1785">
      <c r="A1785" s="2" t="s">
        <v>8763</v>
      </c>
      <c r="B1785" s="2" t="s">
        <v>772</v>
      </c>
      <c r="C1785" s="2" t="s">
        <v>457</v>
      </c>
      <c r="D1785" s="2" t="s">
        <v>774</v>
      </c>
      <c r="E1785" s="2" t="s">
        <v>775</v>
      </c>
      <c r="F1785" s="2" t="s">
        <v>8764</v>
      </c>
      <c r="G1785" s="2" t="s">
        <v>8764</v>
      </c>
      <c r="H1785" s="2" t="s">
        <v>8764</v>
      </c>
      <c r="I1785" s="2" t="s">
        <v>8765</v>
      </c>
      <c r="J1785" s="2" t="s">
        <v>1053</v>
      </c>
      <c r="K1785" s="2" t="s">
        <v>316</v>
      </c>
      <c r="L1785" s="3">
        <v>23.09</v>
      </c>
      <c r="M1785" s="3">
        <v>24.24</v>
      </c>
      <c r="N1785" s="3">
        <v>54.99</v>
      </c>
      <c r="O1785" s="2" t="s">
        <v>240</v>
      </c>
      <c r="P1785" s="2" t="s">
        <v>266</v>
      </c>
      <c r="Q1785" s="2" t="s">
        <v>234</v>
      </c>
      <c r="R1785" s="2" t="s">
        <v>228</v>
      </c>
      <c r="S1785" s="2" t="s">
        <v>8766</v>
      </c>
      <c r="T1785" s="2" t="s">
        <v>350</v>
      </c>
      <c r="U1785" s="2" t="s">
        <v>1054</v>
      </c>
      <c r="V1785" s="2" t="s">
        <v>236</v>
      </c>
      <c r="W1785" s="2" t="s">
        <v>269</v>
      </c>
      <c r="X1785" s="2" t="s">
        <v>417</v>
      </c>
      <c r="Y1785" s="2" t="s">
        <v>8767</v>
      </c>
      <c r="Z1785" s="4">
        <v>36</v>
      </c>
      <c r="AA1785" s="4">
        <f>=ROUNDDOWN(2.76923076923077,0)</f>
      </c>
      <c r="AB1785" s="5">
        <v>13</v>
      </c>
      <c r="AC1785" s="2" t="s">
        <v>159</v>
      </c>
      <c r="AD1785" s="4">
        <v>380</v>
      </c>
      <c r="AE1785" s="4">
        <v>570</v>
      </c>
      <c r="AF1785" s="6">
        <v>73</v>
      </c>
      <c r="AG1785" s="6"/>
      <c r="AH1785" s="7">
        <v>1</v>
      </c>
      <c r="AI1785" s="4"/>
      <c r="AJ1785" s="4">
        <f>=ROUNDDOWN({0},0)</f>
      </c>
      <c r="AK1785" s="5"/>
      <c r="AL1785" s="2" t="s">
        <v>228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/>
      <c r="AW1785" s="8"/>
      <c r="AX1785" s="4"/>
      <c r="AY1785" s="8"/>
      <c r="AZ1785" s="7"/>
      <c r="BA1785" s="7"/>
      <c r="BB1785" s="7"/>
      <c r="BC1785" s="4"/>
      <c r="BD1785" s="8"/>
      <c r="BE1785" s="4"/>
      <c r="BF1785" s="8"/>
      <c r="BG1785" s="7"/>
      <c r="BH1785" s="7"/>
      <c r="BI1785" s="7"/>
      <c r="BJ1785" s="4">
        <v>34</v>
      </c>
      <c r="BK1785" s="8">
        <v>924.02</v>
      </c>
      <c r="BL1785" s="2" t="s">
        <v>8768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8769</v>
      </c>
      <c r="BV1785" s="2" t="s">
        <v>228</v>
      </c>
      <c r="BW1785" s="2" t="s">
        <v>228</v>
      </c>
      <c r="BX1785" s="2" t="s">
        <v>273</v>
      </c>
      <c r="BY1785" s="2" t="s">
        <v>274</v>
      </c>
      <c r="BZ1785" s="2" t="s">
        <v>240</v>
      </c>
      <c r="CA1785" s="2" t="s">
        <v>8770</v>
      </c>
      <c r="CB1785" s="2" t="s">
        <v>2219</v>
      </c>
      <c r="CC1785" s="2" t="s">
        <v>241</v>
      </c>
      <c r="CD1785" s="2" t="s">
        <v>228</v>
      </c>
      <c r="CE1785" s="4">
        <v>36</v>
      </c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  <c r="ES1785" s="4"/>
      <c r="ET1785" s="4"/>
      <c r="EU1785" s="4">
        <v>380</v>
      </c>
      <c r="EV1785" s="4"/>
      <c r="EW1785" s="4"/>
      <c r="EX1785" s="4"/>
      <c r="EY1785" s="4"/>
      <c r="EZ1785" s="4"/>
      <c r="FA1785" s="4"/>
      <c r="FB1785" s="4"/>
      <c r="FC1785" s="4"/>
      <c r="FD1785" s="4"/>
      <c r="FE1785" s="4"/>
      <c r="FF1785" s="4"/>
      <c r="FG1785" s="4"/>
      <c r="FH1785" s="4"/>
      <c r="FI1785" s="4"/>
      <c r="FJ1785" s="4"/>
      <c r="FK1785" s="4"/>
      <c r="FL1785" s="4"/>
      <c r="FM1785" s="4"/>
      <c r="FN1785" s="4"/>
      <c r="FO1785" s="4"/>
      <c r="FP1785" s="4"/>
      <c r="FQ1785" s="4"/>
      <c r="FR1785" s="4"/>
      <c r="FS1785" s="4"/>
      <c r="FT1785" s="4"/>
      <c r="FU1785" s="4"/>
      <c r="FV1785" s="4"/>
      <c r="FW1785" s="4"/>
      <c r="FX1785" s="4"/>
      <c r="FY1785" s="4"/>
      <c r="FZ1785" s="4"/>
      <c r="GA1785" s="4"/>
      <c r="GB1785" s="4"/>
      <c r="GC1785" s="4"/>
      <c r="GD1785" s="4"/>
      <c r="GE1785" s="4"/>
      <c r="GF1785" s="4"/>
      <c r="GG1785" s="4"/>
      <c r="GH1785" s="4"/>
      <c r="GI1785" s="4"/>
      <c r="GJ1785" s="4"/>
      <c r="GK1785" s="4"/>
      <c r="GL1785" s="4"/>
      <c r="GM1785" s="4">
        <v>190</v>
      </c>
      <c r="GN1785" s="4"/>
      <c r="GO1785" s="4"/>
      <c r="GP1785" s="4"/>
      <c r="GQ1785" s="4"/>
      <c r="GR1785" s="4"/>
      <c r="GS1785" s="4"/>
      <c r="GT1785" s="4"/>
      <c r="GU1785" s="4"/>
      <c r="GV1785" s="4"/>
      <c r="GW1785" s="4"/>
      <c r="GX1785" s="4"/>
      <c r="GY1785" s="4"/>
      <c r="GZ1785" s="4"/>
      <c r="HA1785" s="4"/>
      <c r="HB1785" s="4"/>
      <c r="HC1785" s="4"/>
      <c r="HD1785" s="4"/>
      <c r="HE1785" s="4"/>
    </row>
    <row r="1786">
      <c r="A1786" s="2" t="s">
        <v>8771</v>
      </c>
      <c r="B1786" s="2" t="s">
        <v>1150</v>
      </c>
      <c r="C1786" s="2" t="s">
        <v>1743</v>
      </c>
      <c r="D1786" s="2" t="s">
        <v>1316</v>
      </c>
      <c r="E1786" s="2" t="s">
        <v>8772</v>
      </c>
      <c r="F1786" s="2" t="s">
        <v>8773</v>
      </c>
      <c r="G1786" s="2" t="s">
        <v>8774</v>
      </c>
      <c r="H1786" s="2" t="s">
        <v>8775</v>
      </c>
      <c r="I1786" s="2" t="s">
        <v>8776</v>
      </c>
      <c r="J1786" s="2" t="s">
        <v>1189</v>
      </c>
      <c r="K1786" s="2" t="s">
        <v>251</v>
      </c>
      <c r="L1786" s="3">
        <v>32</v>
      </c>
      <c r="M1786" s="3">
        <v>33.6</v>
      </c>
      <c r="N1786" s="3">
        <v>79.99</v>
      </c>
      <c r="O1786" s="2" t="s">
        <v>240</v>
      </c>
      <c r="P1786" s="2" t="s">
        <v>266</v>
      </c>
      <c r="Q1786" s="2" t="s">
        <v>234</v>
      </c>
      <c r="R1786" s="2" t="s">
        <v>228</v>
      </c>
      <c r="S1786" s="2" t="s">
        <v>8777</v>
      </c>
      <c r="T1786" s="2" t="s">
        <v>415</v>
      </c>
      <c r="U1786" s="2" t="s">
        <v>500</v>
      </c>
      <c r="V1786" s="2" t="s">
        <v>236</v>
      </c>
      <c r="W1786" s="2" t="s">
        <v>269</v>
      </c>
      <c r="X1786" s="2" t="s">
        <v>463</v>
      </c>
      <c r="Y1786" s="2" t="s">
        <v>8778</v>
      </c>
      <c r="Z1786" s="4">
        <v>631</v>
      </c>
      <c r="AA1786" s="4">
        <f>=ROUNDDOWN(33.2105263157895,0)</f>
      </c>
      <c r="AB1786" s="5">
        <v>19</v>
      </c>
      <c r="AC1786" s="2" t="s">
        <v>228</v>
      </c>
      <c r="AD1786" s="4"/>
      <c r="AE1786" s="4"/>
      <c r="AF1786" s="6">
        <v>65</v>
      </c>
      <c r="AG1786" s="6"/>
      <c r="AH1786" s="7">
        <v>1</v>
      </c>
      <c r="AI1786" s="4"/>
      <c r="AJ1786" s="4">
        <f>=ROUNDDOWN({0},0)</f>
      </c>
      <c r="AK1786" s="5"/>
      <c r="AL1786" s="2" t="s">
        <v>228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/>
      <c r="AW1786" s="8"/>
      <c r="AX1786" s="4"/>
      <c r="AY1786" s="8"/>
      <c r="AZ1786" s="7"/>
      <c r="BA1786" s="7"/>
      <c r="BB1786" s="7"/>
      <c r="BC1786" s="4" t="s">
        <v>228</v>
      </c>
      <c r="BD1786" s="8" t="s">
        <v>228</v>
      </c>
      <c r="BE1786" s="4" t="s">
        <v>228</v>
      </c>
      <c r="BF1786" s="8" t="s">
        <v>228</v>
      </c>
      <c r="BG1786" s="7" t="s">
        <v>228</v>
      </c>
      <c r="BH1786" s="7" t="s">
        <v>228</v>
      </c>
      <c r="BI1786" s="7"/>
      <c r="BJ1786" s="4">
        <v>52</v>
      </c>
      <c r="BK1786" s="8">
        <v>1754.96</v>
      </c>
      <c r="BL1786" s="2" t="s">
        <v>600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8779</v>
      </c>
      <c r="BV1786" s="2" t="s">
        <v>228</v>
      </c>
      <c r="BW1786" s="2" t="s">
        <v>228</v>
      </c>
      <c r="BX1786" s="2" t="s">
        <v>273</v>
      </c>
      <c r="BY1786" s="2" t="s">
        <v>274</v>
      </c>
      <c r="BZ1786" s="2" t="s">
        <v>240</v>
      </c>
      <c r="CA1786" s="2" t="s">
        <v>2169</v>
      </c>
      <c r="CB1786" s="2" t="s">
        <v>2540</v>
      </c>
      <c r="CC1786" s="2" t="s">
        <v>241</v>
      </c>
      <c r="CD1786" s="2" t="s">
        <v>228</v>
      </c>
      <c r="CE1786" s="4">
        <v>406</v>
      </c>
      <c r="CF1786" s="4"/>
      <c r="CG1786" s="4"/>
      <c r="CH1786" s="4"/>
      <c r="CI1786" s="4"/>
      <c r="CJ1786" s="4"/>
      <c r="CK1786" s="4">
        <v>225</v>
      </c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  <c r="EE1786" s="4"/>
      <c r="EF1786" s="4"/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  <c r="ES1786" s="4"/>
      <c r="ET1786" s="4"/>
      <c r="EU1786" s="4"/>
      <c r="EV1786" s="4"/>
      <c r="EW1786" s="4"/>
      <c r="EX1786" s="4"/>
      <c r="EY1786" s="4"/>
      <c r="EZ1786" s="4"/>
      <c r="FA1786" s="4"/>
      <c r="FB1786" s="4"/>
      <c r="FC1786" s="4"/>
      <c r="FD1786" s="4"/>
      <c r="FE1786" s="4"/>
      <c r="FF1786" s="4"/>
      <c r="FG1786" s="4"/>
      <c r="FH1786" s="4"/>
      <c r="FI1786" s="4"/>
      <c r="FJ1786" s="4"/>
      <c r="FK1786" s="4"/>
      <c r="FL1786" s="4"/>
      <c r="FM1786" s="4"/>
      <c r="FN1786" s="4"/>
      <c r="FO1786" s="4"/>
      <c r="FP1786" s="4"/>
      <c r="FQ1786" s="4"/>
      <c r="FR1786" s="4"/>
      <c r="FS1786" s="4"/>
      <c r="FT1786" s="4"/>
      <c r="FU1786" s="4"/>
      <c r="FV1786" s="4"/>
      <c r="FW1786" s="4"/>
      <c r="FX1786" s="4"/>
      <c r="FY1786" s="4"/>
      <c r="FZ1786" s="4"/>
      <c r="GA1786" s="4"/>
      <c r="GB1786" s="4"/>
      <c r="GC1786" s="4"/>
      <c r="GD1786" s="4"/>
      <c r="GE1786" s="4"/>
      <c r="GF1786" s="4"/>
      <c r="GG1786" s="4"/>
      <c r="GH1786" s="4"/>
      <c r="GI1786" s="4"/>
      <c r="GJ1786" s="4"/>
      <c r="GK1786" s="4"/>
      <c r="GL1786" s="4"/>
      <c r="GM1786" s="4"/>
      <c r="GN1786" s="4"/>
      <c r="GO1786" s="4"/>
      <c r="GP1786" s="4"/>
      <c r="GQ1786" s="4"/>
      <c r="GR1786" s="4"/>
      <c r="GS1786" s="4"/>
      <c r="GT1786" s="4"/>
      <c r="GU1786" s="4"/>
      <c r="GV1786" s="4"/>
      <c r="GW1786" s="4"/>
      <c r="GX1786" s="4"/>
      <c r="GY1786" s="4"/>
      <c r="GZ1786" s="4"/>
      <c r="HA1786" s="4"/>
      <c r="HB1786" s="4"/>
      <c r="HC1786" s="4"/>
      <c r="HD1786" s="4"/>
      <c r="HE1786" s="4"/>
    </row>
    <row r="1787">
      <c r="A1787" s="2" t="s">
        <v>8780</v>
      </c>
      <c r="B1787" s="2" t="s">
        <v>1150</v>
      </c>
      <c r="C1787" s="2" t="s">
        <v>1743</v>
      </c>
      <c r="D1787" s="2" t="s">
        <v>1316</v>
      </c>
      <c r="E1787" s="2" t="s">
        <v>8772</v>
      </c>
      <c r="F1787" s="2" t="s">
        <v>8773</v>
      </c>
      <c r="G1787" s="2" t="s">
        <v>8774</v>
      </c>
      <c r="H1787" s="2" t="s">
        <v>8775</v>
      </c>
      <c r="I1787" s="2" t="s">
        <v>8776</v>
      </c>
      <c r="J1787" s="2" t="s">
        <v>1189</v>
      </c>
      <c r="K1787" s="2" t="s">
        <v>316</v>
      </c>
      <c r="L1787" s="3">
        <v>32</v>
      </c>
      <c r="M1787" s="3">
        <v>33.6</v>
      </c>
      <c r="N1787" s="3">
        <v>79.99</v>
      </c>
      <c r="O1787" s="2" t="s">
        <v>240</v>
      </c>
      <c r="P1787" s="2" t="s">
        <v>266</v>
      </c>
      <c r="Q1787" s="2" t="s">
        <v>234</v>
      </c>
      <c r="R1787" s="2" t="s">
        <v>228</v>
      </c>
      <c r="S1787" s="2" t="s">
        <v>8781</v>
      </c>
      <c r="T1787" s="2" t="s">
        <v>415</v>
      </c>
      <c r="U1787" s="2" t="s">
        <v>500</v>
      </c>
      <c r="V1787" s="2" t="s">
        <v>236</v>
      </c>
      <c r="W1787" s="2" t="s">
        <v>269</v>
      </c>
      <c r="X1787" s="2" t="s">
        <v>463</v>
      </c>
      <c r="Y1787" s="2" t="s">
        <v>8778</v>
      </c>
      <c r="Z1787" s="4">
        <v>323</v>
      </c>
      <c r="AA1787" s="4">
        <f>=ROUNDDOWN(29.3636363636364,0)</f>
      </c>
      <c r="AB1787" s="5">
        <v>11</v>
      </c>
      <c r="AC1787" s="2" t="s">
        <v>228</v>
      </c>
      <c r="AD1787" s="4"/>
      <c r="AE1787" s="4"/>
      <c r="AF1787" s="6">
        <v>65</v>
      </c>
      <c r="AG1787" s="6"/>
      <c r="AH1787" s="7">
        <v>1</v>
      </c>
      <c r="AI1787" s="4"/>
      <c r="AJ1787" s="4">
        <f>=ROUNDDOWN({0},0)</f>
      </c>
      <c r="AK1787" s="5"/>
      <c r="AL1787" s="2" t="s">
        <v>228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 t="s">
        <v>228</v>
      </c>
      <c r="AW1787" s="8" t="s">
        <v>228</v>
      </c>
      <c r="AX1787" s="4" t="s">
        <v>228</v>
      </c>
      <c r="AY1787" s="8" t="s">
        <v>228</v>
      </c>
      <c r="AZ1787" s="7" t="s">
        <v>228</v>
      </c>
      <c r="BA1787" s="7" t="s">
        <v>228</v>
      </c>
      <c r="BB1787" s="7"/>
      <c r="BC1787" s="4" t="s">
        <v>228</v>
      </c>
      <c r="BD1787" s="8" t="s">
        <v>228</v>
      </c>
      <c r="BE1787" s="4" t="s">
        <v>228</v>
      </c>
      <c r="BF1787" s="8" t="s">
        <v>228</v>
      </c>
      <c r="BG1787" s="7" t="s">
        <v>228</v>
      </c>
      <c r="BH1787" s="7" t="s">
        <v>228</v>
      </c>
      <c r="BI1787" s="7"/>
      <c r="BJ1787" s="4">
        <v>22</v>
      </c>
      <c r="BK1787" s="8">
        <v>761.48</v>
      </c>
      <c r="BL1787" s="2" t="s">
        <v>509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8782</v>
      </c>
      <c r="BV1787" s="2" t="s">
        <v>228</v>
      </c>
      <c r="BW1787" s="2" t="s">
        <v>228</v>
      </c>
      <c r="BX1787" s="2" t="s">
        <v>273</v>
      </c>
      <c r="BY1787" s="2" t="s">
        <v>274</v>
      </c>
      <c r="BZ1787" s="2" t="s">
        <v>240</v>
      </c>
      <c r="CA1787" s="2" t="s">
        <v>2169</v>
      </c>
      <c r="CB1787" s="2" t="s">
        <v>2488</v>
      </c>
      <c r="CC1787" s="2" t="s">
        <v>241</v>
      </c>
      <c r="CD1787" s="2" t="s">
        <v>228</v>
      </c>
      <c r="CE1787" s="4">
        <v>323</v>
      </c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  <c r="ES1787" s="4"/>
      <c r="ET1787" s="4"/>
      <c r="EU1787" s="4"/>
      <c r="EV1787" s="4"/>
      <c r="EW1787" s="4"/>
      <c r="EX1787" s="4"/>
      <c r="EY1787" s="4"/>
      <c r="EZ1787" s="4"/>
      <c r="FA1787" s="4"/>
      <c r="FB1787" s="4"/>
      <c r="FC1787" s="4"/>
      <c r="FD1787" s="4"/>
      <c r="FE1787" s="4"/>
      <c r="FF1787" s="4"/>
      <c r="FG1787" s="4"/>
      <c r="FH1787" s="4"/>
      <c r="FI1787" s="4"/>
      <c r="FJ1787" s="4"/>
      <c r="FK1787" s="4"/>
      <c r="FL1787" s="4"/>
      <c r="FM1787" s="4"/>
      <c r="FN1787" s="4"/>
      <c r="FO1787" s="4"/>
      <c r="FP1787" s="4"/>
      <c r="FQ1787" s="4"/>
      <c r="FR1787" s="4"/>
      <c r="FS1787" s="4"/>
      <c r="FT1787" s="4"/>
      <c r="FU1787" s="4"/>
      <c r="FV1787" s="4"/>
      <c r="FW1787" s="4"/>
      <c r="FX1787" s="4"/>
      <c r="FY1787" s="4"/>
      <c r="FZ1787" s="4"/>
      <c r="GA1787" s="4"/>
      <c r="GB1787" s="4"/>
      <c r="GC1787" s="4"/>
      <c r="GD1787" s="4"/>
      <c r="GE1787" s="4"/>
      <c r="GF1787" s="4"/>
      <c r="GG1787" s="4"/>
      <c r="GH1787" s="4"/>
      <c r="GI1787" s="4"/>
      <c r="GJ1787" s="4"/>
      <c r="GK1787" s="4"/>
      <c r="GL1787" s="4"/>
      <c r="GM1787" s="4"/>
      <c r="GN1787" s="4"/>
      <c r="GO1787" s="4"/>
      <c r="GP1787" s="4"/>
      <c r="GQ1787" s="4"/>
      <c r="GR1787" s="4"/>
      <c r="GS1787" s="4"/>
      <c r="GT1787" s="4"/>
      <c r="GU1787" s="4"/>
      <c r="GV1787" s="4"/>
      <c r="GW1787" s="4"/>
      <c r="GX1787" s="4"/>
      <c r="GY1787" s="4"/>
      <c r="GZ1787" s="4"/>
      <c r="HA1787" s="4"/>
      <c r="HB1787" s="4"/>
      <c r="HC1787" s="4"/>
      <c r="HD1787" s="4"/>
      <c r="HE1787" s="4"/>
    </row>
    <row r="1788">
      <c r="A1788" s="2" t="s">
        <v>8783</v>
      </c>
      <c r="B1788" s="2" t="s">
        <v>1150</v>
      </c>
      <c r="C1788" s="2" t="s">
        <v>1743</v>
      </c>
      <c r="D1788" s="2" t="s">
        <v>1316</v>
      </c>
      <c r="E1788" s="2" t="s">
        <v>8772</v>
      </c>
      <c r="F1788" s="2" t="s">
        <v>8773</v>
      </c>
      <c r="G1788" s="2" t="s">
        <v>8774</v>
      </c>
      <c r="H1788" s="2" t="s">
        <v>8775</v>
      </c>
      <c r="I1788" s="2" t="s">
        <v>8776</v>
      </c>
      <c r="J1788" s="2" t="s">
        <v>1043</v>
      </c>
      <c r="K1788" s="2" t="s">
        <v>316</v>
      </c>
      <c r="L1788" s="3">
        <v>37.8</v>
      </c>
      <c r="M1788" s="3">
        <v>39.69</v>
      </c>
      <c r="N1788" s="3">
        <v>89.99</v>
      </c>
      <c r="O1788" s="2" t="s">
        <v>240</v>
      </c>
      <c r="P1788" s="2" t="s">
        <v>266</v>
      </c>
      <c r="Q1788" s="2" t="s">
        <v>234</v>
      </c>
      <c r="R1788" s="2" t="s">
        <v>228</v>
      </c>
      <c r="S1788" s="2" t="s">
        <v>8781</v>
      </c>
      <c r="T1788" s="2" t="s">
        <v>415</v>
      </c>
      <c r="U1788" s="2" t="s">
        <v>500</v>
      </c>
      <c r="V1788" s="2" t="s">
        <v>236</v>
      </c>
      <c r="W1788" s="2" t="s">
        <v>269</v>
      </c>
      <c r="X1788" s="2" t="s">
        <v>463</v>
      </c>
      <c r="Y1788" s="2" t="s">
        <v>8778</v>
      </c>
      <c r="Z1788" s="4">
        <v>579</v>
      </c>
      <c r="AA1788" s="4">
        <f>=ROUNDDOWN(28.95,0)</f>
      </c>
      <c r="AB1788" s="5">
        <v>20</v>
      </c>
      <c r="AC1788" s="2" t="s">
        <v>228</v>
      </c>
      <c r="AD1788" s="4"/>
      <c r="AE1788" s="4"/>
      <c r="AF1788" s="6">
        <v>65</v>
      </c>
      <c r="AG1788" s="6"/>
      <c r="AH1788" s="7">
        <v>1</v>
      </c>
      <c r="AI1788" s="4"/>
      <c r="AJ1788" s="4">
        <f>=ROUNDDOWN({0},0)</f>
      </c>
      <c r="AK1788" s="5"/>
      <c r="AL1788" s="2" t="s">
        <v>228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 t="s">
        <v>228</v>
      </c>
      <c r="AW1788" s="8" t="s">
        <v>228</v>
      </c>
      <c r="AX1788" s="4" t="s">
        <v>228</v>
      </c>
      <c r="AY1788" s="8" t="s">
        <v>228</v>
      </c>
      <c r="AZ1788" s="7" t="s">
        <v>228</v>
      </c>
      <c r="BA1788" s="7" t="s">
        <v>228</v>
      </c>
      <c r="BB1788" s="7"/>
      <c r="BC1788" s="4" t="s">
        <v>228</v>
      </c>
      <c r="BD1788" s="8" t="s">
        <v>228</v>
      </c>
      <c r="BE1788" s="4" t="s">
        <v>228</v>
      </c>
      <c r="BF1788" s="8" t="s">
        <v>228</v>
      </c>
      <c r="BG1788" s="7" t="s">
        <v>228</v>
      </c>
      <c r="BH1788" s="7" t="s">
        <v>228</v>
      </c>
      <c r="BI1788" s="7"/>
      <c r="BJ1788" s="4">
        <v>37</v>
      </c>
      <c r="BK1788" s="8">
        <v>1481.61</v>
      </c>
      <c r="BL1788" s="2" t="s">
        <v>600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8784</v>
      </c>
      <c r="BV1788" s="2" t="s">
        <v>228</v>
      </c>
      <c r="BW1788" s="2" t="s">
        <v>228</v>
      </c>
      <c r="BX1788" s="2" t="s">
        <v>273</v>
      </c>
      <c r="BY1788" s="2" t="s">
        <v>274</v>
      </c>
      <c r="BZ1788" s="2" t="s">
        <v>240</v>
      </c>
      <c r="CA1788" s="2" t="s">
        <v>2169</v>
      </c>
      <c r="CB1788" s="2" t="s">
        <v>1840</v>
      </c>
      <c r="CC1788" s="2" t="s">
        <v>241</v>
      </c>
      <c r="CD1788" s="2" t="s">
        <v>228</v>
      </c>
      <c r="CE1788" s="4">
        <v>579</v>
      </c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  <c r="ES1788" s="4"/>
      <c r="ET1788" s="4"/>
      <c r="EU1788" s="4"/>
      <c r="EV1788" s="4"/>
      <c r="EW1788" s="4"/>
      <c r="EX1788" s="4"/>
      <c r="EY1788" s="4"/>
      <c r="EZ1788" s="4"/>
      <c r="FA1788" s="4"/>
      <c r="FB1788" s="4"/>
      <c r="FC1788" s="4"/>
      <c r="FD1788" s="4"/>
      <c r="FE1788" s="4"/>
      <c r="FF1788" s="4"/>
      <c r="FG1788" s="4"/>
      <c r="FH1788" s="4"/>
      <c r="FI1788" s="4"/>
      <c r="FJ1788" s="4"/>
      <c r="FK1788" s="4"/>
      <c r="FL1788" s="4"/>
      <c r="FM1788" s="4"/>
      <c r="FN1788" s="4"/>
      <c r="FO1788" s="4"/>
      <c r="FP1788" s="4"/>
      <c r="FQ1788" s="4"/>
      <c r="FR1788" s="4"/>
      <c r="FS1788" s="4"/>
      <c r="FT1788" s="4"/>
      <c r="FU1788" s="4"/>
      <c r="FV1788" s="4"/>
      <c r="FW1788" s="4"/>
      <c r="FX1788" s="4"/>
      <c r="FY1788" s="4"/>
      <c r="FZ1788" s="4"/>
      <c r="GA1788" s="4"/>
      <c r="GB1788" s="4"/>
      <c r="GC1788" s="4"/>
      <c r="GD1788" s="4"/>
      <c r="GE1788" s="4"/>
      <c r="GF1788" s="4"/>
      <c r="GG1788" s="4"/>
      <c r="GH1788" s="4"/>
      <c r="GI1788" s="4"/>
      <c r="GJ1788" s="4"/>
      <c r="GK1788" s="4"/>
      <c r="GL1788" s="4"/>
      <c r="GM1788" s="4"/>
      <c r="GN1788" s="4"/>
      <c r="GO1788" s="4"/>
      <c r="GP1788" s="4"/>
      <c r="GQ1788" s="4"/>
      <c r="GR1788" s="4"/>
      <c r="GS1788" s="4"/>
      <c r="GT1788" s="4"/>
      <c r="GU1788" s="4"/>
      <c r="GV1788" s="4"/>
      <c r="GW1788" s="4"/>
      <c r="GX1788" s="4"/>
      <c r="GY1788" s="4"/>
      <c r="GZ1788" s="4"/>
      <c r="HA1788" s="4"/>
      <c r="HB1788" s="4"/>
      <c r="HC1788" s="4"/>
      <c r="HD1788" s="4"/>
      <c r="HE1788" s="4"/>
    </row>
    <row r="1789">
      <c r="A1789" s="2" t="s">
        <v>8785</v>
      </c>
      <c r="B1789" s="2" t="s">
        <v>958</v>
      </c>
      <c r="C1789" s="2" t="s">
        <v>835</v>
      </c>
      <c r="D1789" s="2" t="s">
        <v>1790</v>
      </c>
      <c r="E1789" s="2" t="s">
        <v>3370</v>
      </c>
      <c r="F1789" s="2" t="s">
        <v>8786</v>
      </c>
      <c r="G1789" s="2" t="s">
        <v>8786</v>
      </c>
      <c r="H1789" s="2" t="s">
        <v>8786</v>
      </c>
      <c r="I1789" s="2" t="s">
        <v>8787</v>
      </c>
      <c r="J1789" s="2" t="s">
        <v>840</v>
      </c>
      <c r="K1789" s="2" t="s">
        <v>2350</v>
      </c>
      <c r="L1789" s="3">
        <v>85.5</v>
      </c>
      <c r="M1789" s="3">
        <v>89.78</v>
      </c>
      <c r="N1789" s="3">
        <v>179</v>
      </c>
      <c r="O1789" s="2" t="s">
        <v>240</v>
      </c>
      <c r="P1789" s="2" t="s">
        <v>1012</v>
      </c>
      <c r="Q1789" s="2" t="s">
        <v>234</v>
      </c>
      <c r="R1789" s="2" t="s">
        <v>228</v>
      </c>
      <c r="S1789" s="2" t="s">
        <v>8788</v>
      </c>
      <c r="T1789" s="2" t="s">
        <v>228</v>
      </c>
      <c r="U1789" s="2" t="s">
        <v>228</v>
      </c>
      <c r="V1789" s="2" t="s">
        <v>236</v>
      </c>
      <c r="W1789" s="2" t="s">
        <v>3057</v>
      </c>
      <c r="X1789" s="2" t="s">
        <v>228</v>
      </c>
      <c r="Y1789" s="2" t="s">
        <v>8789</v>
      </c>
      <c r="Z1789" s="4">
        <v>238</v>
      </c>
      <c r="AA1789" s="4">
        <f>=ROUNDDOWN(79.3333333333333,0)</f>
      </c>
      <c r="AB1789" s="5">
        <v>3</v>
      </c>
      <c r="AC1789" s="2" t="s">
        <v>228</v>
      </c>
      <c r="AD1789" s="4"/>
      <c r="AE1789" s="4"/>
      <c r="AF1789" s="6">
        <v>74</v>
      </c>
      <c r="AG1789" s="6"/>
      <c r="AH1789" s="7">
        <v>1</v>
      </c>
      <c r="AI1789" s="4"/>
      <c r="AJ1789" s="4">
        <f>=ROUNDDOWN({0},0)</f>
      </c>
      <c r="AK1789" s="5"/>
      <c r="AL1789" s="2" t="s">
        <v>228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/>
      <c r="AW1789" s="8"/>
      <c r="AX1789" s="4"/>
      <c r="AY1789" s="8"/>
      <c r="AZ1789" s="7"/>
      <c r="BA1789" s="7"/>
      <c r="BB1789" s="7"/>
      <c r="BC1789" s="4"/>
      <c r="BD1789" s="8"/>
      <c r="BE1789" s="4"/>
      <c r="BF1789" s="8"/>
      <c r="BG1789" s="7"/>
      <c r="BH1789" s="7"/>
      <c r="BI1789" s="7"/>
      <c r="BJ1789" s="4">
        <v>10</v>
      </c>
      <c r="BK1789" s="8">
        <v>832.56</v>
      </c>
      <c r="BL1789" s="2" t="s">
        <v>8790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8791</v>
      </c>
      <c r="BV1789" s="2" t="s">
        <v>228</v>
      </c>
      <c r="BW1789" s="2" t="s">
        <v>228</v>
      </c>
      <c r="BX1789" s="2" t="s">
        <v>273</v>
      </c>
      <c r="BY1789" s="2" t="s">
        <v>274</v>
      </c>
      <c r="BZ1789" s="2" t="s">
        <v>240</v>
      </c>
      <c r="CA1789" s="2" t="s">
        <v>8792</v>
      </c>
      <c r="CB1789" s="2" t="s">
        <v>8737</v>
      </c>
      <c r="CC1789" s="2" t="s">
        <v>241</v>
      </c>
      <c r="CD1789" s="2" t="s">
        <v>228</v>
      </c>
      <c r="CE1789" s="4"/>
      <c r="CF1789" s="4">
        <v>238</v>
      </c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  <c r="ES1789" s="4"/>
      <c r="ET1789" s="4"/>
      <c r="EU1789" s="4"/>
      <c r="EV1789" s="4"/>
      <c r="EW1789" s="4"/>
      <c r="EX1789" s="4"/>
      <c r="EY1789" s="4"/>
      <c r="EZ1789" s="4"/>
      <c r="FA1789" s="4"/>
      <c r="FB1789" s="4"/>
      <c r="FC1789" s="4"/>
      <c r="FD1789" s="4"/>
      <c r="FE1789" s="4"/>
      <c r="FF1789" s="4"/>
      <c r="FG1789" s="4"/>
      <c r="FH1789" s="4"/>
      <c r="FI1789" s="4"/>
      <c r="FJ1789" s="4"/>
      <c r="FK1789" s="4"/>
      <c r="FL1789" s="4"/>
      <c r="FM1789" s="4"/>
      <c r="FN1789" s="4"/>
      <c r="FO1789" s="4"/>
      <c r="FP1789" s="4"/>
      <c r="FQ1789" s="4"/>
      <c r="FR1789" s="4"/>
      <c r="FS1789" s="4"/>
      <c r="FT1789" s="4"/>
      <c r="FU1789" s="4"/>
      <c r="FV1789" s="4"/>
      <c r="FW1789" s="4"/>
      <c r="FX1789" s="4"/>
      <c r="FY1789" s="4"/>
      <c r="FZ1789" s="4"/>
      <c r="GA1789" s="4"/>
      <c r="GB1789" s="4"/>
      <c r="GC1789" s="4"/>
      <c r="GD1789" s="4"/>
      <c r="GE1789" s="4"/>
      <c r="GF1789" s="4"/>
      <c r="GG1789" s="4"/>
      <c r="GH1789" s="4"/>
      <c r="GI1789" s="4"/>
      <c r="GJ1789" s="4"/>
      <c r="GK1789" s="4"/>
      <c r="GL1789" s="4"/>
      <c r="GM1789" s="4"/>
      <c r="GN1789" s="4"/>
      <c r="GO1789" s="4"/>
      <c r="GP1789" s="4"/>
      <c r="GQ1789" s="4"/>
      <c r="GR1789" s="4"/>
      <c r="GS1789" s="4"/>
      <c r="GT1789" s="4"/>
      <c r="GU1789" s="4"/>
      <c r="GV1789" s="4"/>
      <c r="GW1789" s="4"/>
      <c r="GX1789" s="4"/>
      <c r="GY1789" s="4"/>
      <c r="GZ1789" s="4"/>
      <c r="HA1789" s="4"/>
      <c r="HB1789" s="4"/>
      <c r="HC1789" s="4"/>
      <c r="HD1789" s="4"/>
      <c r="HE1789" s="4"/>
    </row>
    <row r="1790">
      <c r="A1790" s="2" t="s">
        <v>8793</v>
      </c>
      <c r="B1790" s="2" t="s">
        <v>866</v>
      </c>
      <c r="C1790" s="2" t="s">
        <v>300</v>
      </c>
      <c r="D1790" s="2" t="s">
        <v>899</v>
      </c>
      <c r="E1790" s="2" t="s">
        <v>877</v>
      </c>
      <c r="F1790" s="2" t="s">
        <v>8794</v>
      </c>
      <c r="G1790" s="2" t="s">
        <v>228</v>
      </c>
      <c r="H1790" s="2" t="s">
        <v>228</v>
      </c>
      <c r="I1790" s="2" t="s">
        <v>8795</v>
      </c>
      <c r="J1790" s="2" t="s">
        <v>840</v>
      </c>
      <c r="K1790" s="2" t="s">
        <v>265</v>
      </c>
      <c r="L1790" s="3">
        <v>24.5</v>
      </c>
      <c r="M1790" s="3">
        <v>25.72</v>
      </c>
      <c r="N1790" s="3">
        <v>50.99</v>
      </c>
      <c r="O1790" s="2" t="s">
        <v>240</v>
      </c>
      <c r="P1790" s="2" t="s">
        <v>266</v>
      </c>
      <c r="Q1790" s="2" t="s">
        <v>234</v>
      </c>
      <c r="R1790" s="2" t="s">
        <v>228</v>
      </c>
      <c r="S1790" s="2" t="s">
        <v>8796</v>
      </c>
      <c r="T1790" s="2" t="s">
        <v>228</v>
      </c>
      <c r="U1790" s="2" t="s">
        <v>308</v>
      </c>
      <c r="V1790" s="2" t="s">
        <v>351</v>
      </c>
      <c r="W1790" s="2" t="s">
        <v>351</v>
      </c>
      <c r="X1790" s="2" t="s">
        <v>228</v>
      </c>
      <c r="Y1790" s="2" t="s">
        <v>2782</v>
      </c>
      <c r="Z1790" s="4">
        <v>71</v>
      </c>
      <c r="AA1790" s="4">
        <f>=ROUNDDOWN(10.1428571428571,0)</f>
      </c>
      <c r="AB1790" s="5">
        <v>7</v>
      </c>
      <c r="AC1790" s="2" t="s">
        <v>157</v>
      </c>
      <c r="AD1790" s="4">
        <v>120</v>
      </c>
      <c r="AE1790" s="4">
        <v>120</v>
      </c>
      <c r="AF1790" s="6">
        <v>63</v>
      </c>
      <c r="AG1790" s="6"/>
      <c r="AH1790" s="7">
        <v>1</v>
      </c>
      <c r="AI1790" s="4"/>
      <c r="AJ1790" s="4">
        <f>=ROUNDDOWN({0},0)</f>
      </c>
      <c r="AK1790" s="5"/>
      <c r="AL1790" s="2" t="s">
        <v>228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/>
      <c r="AW1790" s="8"/>
      <c r="AX1790" s="4"/>
      <c r="AY1790" s="8"/>
      <c r="AZ1790" s="7"/>
      <c r="BA1790" s="7"/>
      <c r="BB1790" s="7"/>
      <c r="BC1790" s="4"/>
      <c r="BD1790" s="8"/>
      <c r="BE1790" s="4"/>
      <c r="BF1790" s="8"/>
      <c r="BG1790" s="7"/>
      <c r="BH1790" s="7"/>
      <c r="BI1790" s="7"/>
      <c r="BJ1790" s="4">
        <v>37</v>
      </c>
      <c r="BK1790" s="8">
        <v>1033.3</v>
      </c>
      <c r="BL1790" s="2" t="s">
        <v>8797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8798</v>
      </c>
      <c r="BV1790" s="2" t="s">
        <v>228</v>
      </c>
      <c r="BW1790" s="2" t="s">
        <v>228</v>
      </c>
      <c r="BX1790" s="2" t="s">
        <v>273</v>
      </c>
      <c r="BY1790" s="2" t="s">
        <v>274</v>
      </c>
      <c r="BZ1790" s="2" t="s">
        <v>240</v>
      </c>
      <c r="CA1790" s="2" t="s">
        <v>281</v>
      </c>
      <c r="CB1790" s="2" t="s">
        <v>2633</v>
      </c>
      <c r="CC1790" s="2" t="s">
        <v>241</v>
      </c>
      <c r="CD1790" s="2" t="s">
        <v>228</v>
      </c>
      <c r="CE1790" s="4"/>
      <c r="CF1790" s="4">
        <v>71</v>
      </c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  <c r="ES1790" s="4">
        <v>120</v>
      </c>
      <c r="ET1790" s="4"/>
      <c r="EU1790" s="4"/>
      <c r="EV1790" s="4"/>
      <c r="EW1790" s="4"/>
      <c r="EX1790" s="4"/>
      <c r="EY1790" s="4"/>
      <c r="EZ1790" s="4"/>
      <c r="FA1790" s="4"/>
      <c r="FB1790" s="4"/>
      <c r="FC1790" s="4"/>
      <c r="FD1790" s="4"/>
      <c r="FE1790" s="4"/>
      <c r="FF1790" s="4"/>
      <c r="FG1790" s="4"/>
      <c r="FH1790" s="4"/>
      <c r="FI1790" s="4"/>
      <c r="FJ1790" s="4"/>
      <c r="FK1790" s="4"/>
      <c r="FL1790" s="4"/>
      <c r="FM1790" s="4"/>
      <c r="FN1790" s="4"/>
      <c r="FO1790" s="4"/>
      <c r="FP1790" s="4"/>
      <c r="FQ1790" s="4"/>
      <c r="FR1790" s="4"/>
      <c r="FS1790" s="4"/>
      <c r="FT1790" s="4"/>
      <c r="FU1790" s="4"/>
      <c r="FV1790" s="4"/>
      <c r="FW1790" s="4"/>
      <c r="FX1790" s="4"/>
      <c r="FY1790" s="4"/>
      <c r="FZ1790" s="4"/>
      <c r="GA1790" s="4"/>
      <c r="GB1790" s="4"/>
      <c r="GC1790" s="4"/>
      <c r="GD1790" s="4"/>
      <c r="GE1790" s="4"/>
      <c r="GF1790" s="4"/>
      <c r="GG1790" s="4"/>
      <c r="GH1790" s="4"/>
      <c r="GI1790" s="4"/>
      <c r="GJ1790" s="4"/>
      <c r="GK1790" s="4"/>
      <c r="GL1790" s="4"/>
      <c r="GM1790" s="4"/>
      <c r="GN1790" s="4"/>
      <c r="GO1790" s="4"/>
      <c r="GP1790" s="4"/>
      <c r="GQ1790" s="4"/>
      <c r="GR1790" s="4"/>
      <c r="GS1790" s="4"/>
      <c r="GT1790" s="4"/>
      <c r="GU1790" s="4"/>
      <c r="GV1790" s="4"/>
      <c r="GW1790" s="4"/>
      <c r="GX1790" s="4"/>
      <c r="GY1790" s="4"/>
      <c r="GZ1790" s="4"/>
      <c r="HA1790" s="4"/>
      <c r="HB1790" s="4"/>
      <c r="HC1790" s="4"/>
      <c r="HD1790" s="4"/>
      <c r="HE1790" s="4"/>
    </row>
    <row r="1791">
      <c r="A1791" s="2" t="s">
        <v>8799</v>
      </c>
      <c r="B1791" s="2" t="s">
        <v>223</v>
      </c>
      <c r="C1791" s="2" t="s">
        <v>300</v>
      </c>
      <c r="D1791" s="2" t="s">
        <v>1601</v>
      </c>
      <c r="E1791" s="2" t="s">
        <v>2421</v>
      </c>
      <c r="F1791" s="2" t="s">
        <v>8800</v>
      </c>
      <c r="G1791" s="2" t="s">
        <v>8800</v>
      </c>
      <c r="H1791" s="2" t="s">
        <v>8800</v>
      </c>
      <c r="I1791" s="2" t="s">
        <v>8251</v>
      </c>
      <c r="J1791" s="2" t="s">
        <v>4972</v>
      </c>
      <c r="K1791" s="2" t="s">
        <v>305</v>
      </c>
      <c r="L1791" s="3">
        <v>11.64</v>
      </c>
      <c r="M1791" s="3">
        <v>12.22</v>
      </c>
      <c r="N1791" s="3">
        <v>25.99</v>
      </c>
      <c r="O1791" s="2" t="s">
        <v>240</v>
      </c>
      <c r="P1791" s="2" t="s">
        <v>266</v>
      </c>
      <c r="Q1791" s="2" t="s">
        <v>234</v>
      </c>
      <c r="R1791" s="2" t="s">
        <v>228</v>
      </c>
      <c r="S1791" s="2" t="s">
        <v>8801</v>
      </c>
      <c r="T1791" s="2" t="s">
        <v>3112</v>
      </c>
      <c r="U1791" s="2" t="s">
        <v>228</v>
      </c>
      <c r="V1791" s="2" t="s">
        <v>980</v>
      </c>
      <c r="W1791" s="2" t="s">
        <v>269</v>
      </c>
      <c r="X1791" s="2" t="s">
        <v>463</v>
      </c>
      <c r="Y1791" s="2" t="s">
        <v>270</v>
      </c>
      <c r="Z1791" s="4">
        <v>464</v>
      </c>
      <c r="AA1791" s="4">
        <f>=ROUNDDOWN(42.1818181818182,0)</f>
      </c>
      <c r="AB1791" s="5">
        <v>11</v>
      </c>
      <c r="AC1791" s="2" t="s">
        <v>1014</v>
      </c>
      <c r="AD1791" s="4">
        <v>500</v>
      </c>
      <c r="AE1791" s="4">
        <v>500</v>
      </c>
      <c r="AF1791" s="6">
        <v>64</v>
      </c>
      <c r="AG1791" s="6"/>
      <c r="AH1791" s="7">
        <v>1</v>
      </c>
      <c r="AI1791" s="4"/>
      <c r="AJ1791" s="4">
        <f>=ROUNDDOWN({0},0)</f>
      </c>
      <c r="AK1791" s="5"/>
      <c r="AL1791" s="2" t="s">
        <v>228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/>
      <c r="AW1791" s="8"/>
      <c r="AX1791" s="4"/>
      <c r="AY1791" s="8"/>
      <c r="AZ1791" s="7"/>
      <c r="BA1791" s="7"/>
      <c r="BB1791" s="7"/>
      <c r="BC1791" s="4" t="s">
        <v>228</v>
      </c>
      <c r="BD1791" s="8" t="s">
        <v>228</v>
      </c>
      <c r="BE1791" s="4" t="s">
        <v>228</v>
      </c>
      <c r="BF1791" s="8" t="s">
        <v>228</v>
      </c>
      <c r="BG1791" s="7" t="s">
        <v>228</v>
      </c>
      <c r="BH1791" s="7" t="s">
        <v>228</v>
      </c>
      <c r="BI1791" s="7"/>
      <c r="BJ1791" s="4">
        <v>46</v>
      </c>
      <c r="BK1791" s="8">
        <v>520.31</v>
      </c>
      <c r="BL1791" s="2" t="s">
        <v>8802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8803</v>
      </c>
      <c r="BV1791" s="2" t="s">
        <v>228</v>
      </c>
      <c r="BW1791" s="2" t="s">
        <v>228</v>
      </c>
      <c r="BX1791" s="2" t="s">
        <v>273</v>
      </c>
      <c r="BY1791" s="2" t="s">
        <v>274</v>
      </c>
      <c r="BZ1791" s="2" t="s">
        <v>240</v>
      </c>
      <c r="CA1791" s="2" t="s">
        <v>1950</v>
      </c>
      <c r="CB1791" s="2" t="s">
        <v>2633</v>
      </c>
      <c r="CC1791" s="2" t="s">
        <v>241</v>
      </c>
      <c r="CD1791" s="2" t="s">
        <v>228</v>
      </c>
      <c r="CE1791" s="4">
        <v>464</v>
      </c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>
        <v>500</v>
      </c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/>
      <c r="EP1791" s="4"/>
      <c r="EQ1791" s="4"/>
      <c r="ER1791" s="4"/>
      <c r="ES1791" s="4"/>
      <c r="ET1791" s="4"/>
      <c r="EU1791" s="4"/>
      <c r="EV1791" s="4"/>
      <c r="EW1791" s="4"/>
      <c r="EX1791" s="4"/>
      <c r="EY1791" s="4"/>
      <c r="EZ1791" s="4"/>
      <c r="FA1791" s="4"/>
      <c r="FB1791" s="4"/>
      <c r="FC1791" s="4"/>
      <c r="FD1791" s="4"/>
      <c r="FE1791" s="4"/>
      <c r="FF1791" s="4"/>
      <c r="FG1791" s="4"/>
      <c r="FH1791" s="4"/>
      <c r="FI1791" s="4"/>
      <c r="FJ1791" s="4"/>
      <c r="FK1791" s="4"/>
      <c r="FL1791" s="4"/>
      <c r="FM1791" s="4"/>
      <c r="FN1791" s="4"/>
      <c r="FO1791" s="4"/>
      <c r="FP1791" s="4"/>
      <c r="FQ1791" s="4"/>
      <c r="FR1791" s="4"/>
      <c r="FS1791" s="4"/>
      <c r="FT1791" s="4"/>
      <c r="FU1791" s="4"/>
      <c r="FV1791" s="4"/>
      <c r="FW1791" s="4"/>
      <c r="FX1791" s="4"/>
      <c r="FY1791" s="4"/>
      <c r="FZ1791" s="4"/>
      <c r="GA1791" s="4"/>
      <c r="GB1791" s="4"/>
      <c r="GC1791" s="4"/>
      <c r="GD1791" s="4"/>
      <c r="GE1791" s="4"/>
      <c r="GF1791" s="4"/>
      <c r="GG1791" s="4"/>
      <c r="GH1791" s="4"/>
      <c r="GI1791" s="4"/>
      <c r="GJ1791" s="4"/>
      <c r="GK1791" s="4"/>
      <c r="GL1791" s="4"/>
      <c r="GM1791" s="4"/>
      <c r="GN1791" s="4"/>
      <c r="GO1791" s="4"/>
      <c r="GP1791" s="4"/>
      <c r="GQ1791" s="4"/>
      <c r="GR1791" s="4"/>
      <c r="GS1791" s="4"/>
      <c r="GT1791" s="4"/>
      <c r="GU1791" s="4"/>
      <c r="GV1791" s="4"/>
      <c r="GW1791" s="4"/>
      <c r="GX1791" s="4"/>
      <c r="GY1791" s="4"/>
      <c r="GZ1791" s="4"/>
      <c r="HA1791" s="4"/>
      <c r="HB1791" s="4"/>
      <c r="HC1791" s="4"/>
      <c r="HD1791" s="4"/>
      <c r="HE1791" s="4"/>
    </row>
    <row r="1792">
      <c r="A1792" s="2" t="s">
        <v>8804</v>
      </c>
      <c r="B1792" s="2" t="s">
        <v>223</v>
      </c>
      <c r="C1792" s="2" t="s">
        <v>300</v>
      </c>
      <c r="D1792" s="2" t="s">
        <v>1601</v>
      </c>
      <c r="E1792" s="2" t="s">
        <v>2421</v>
      </c>
      <c r="F1792" s="2" t="s">
        <v>8800</v>
      </c>
      <c r="G1792" s="2" t="s">
        <v>8800</v>
      </c>
      <c r="H1792" s="2" t="s">
        <v>8800</v>
      </c>
      <c r="I1792" s="2" t="s">
        <v>8251</v>
      </c>
      <c r="J1792" s="2" t="s">
        <v>4972</v>
      </c>
      <c r="K1792" s="2" t="s">
        <v>249</v>
      </c>
      <c r="L1792" s="3">
        <v>11.64</v>
      </c>
      <c r="M1792" s="3">
        <v>12.22</v>
      </c>
      <c r="N1792" s="3">
        <v>25.99</v>
      </c>
      <c r="O1792" s="2" t="s">
        <v>240</v>
      </c>
      <c r="P1792" s="2" t="s">
        <v>266</v>
      </c>
      <c r="Q1792" s="2" t="s">
        <v>234</v>
      </c>
      <c r="R1792" s="2" t="s">
        <v>228</v>
      </c>
      <c r="S1792" s="2" t="s">
        <v>8805</v>
      </c>
      <c r="T1792" s="2" t="s">
        <v>3112</v>
      </c>
      <c r="U1792" s="2" t="s">
        <v>228</v>
      </c>
      <c r="V1792" s="2" t="s">
        <v>980</v>
      </c>
      <c r="W1792" s="2" t="s">
        <v>269</v>
      </c>
      <c r="X1792" s="2" t="s">
        <v>463</v>
      </c>
      <c r="Y1792" s="2" t="s">
        <v>270</v>
      </c>
      <c r="Z1792" s="4">
        <v>1038</v>
      </c>
      <c r="AA1792" s="4">
        <f>=ROUNDDOWN(49.4285714285714,0)</f>
      </c>
      <c r="AB1792" s="5">
        <v>21</v>
      </c>
      <c r="AC1792" s="2" t="s">
        <v>1014</v>
      </c>
      <c r="AD1792" s="4">
        <v>800</v>
      </c>
      <c r="AE1792" s="4">
        <v>800</v>
      </c>
      <c r="AF1792" s="6">
        <v>64</v>
      </c>
      <c r="AG1792" s="6"/>
      <c r="AH1792" s="7">
        <v>1</v>
      </c>
      <c r="AI1792" s="4"/>
      <c r="AJ1792" s="4">
        <f>=ROUNDDOWN({0},0)</f>
      </c>
      <c r="AK1792" s="5"/>
      <c r="AL1792" s="2" t="s">
        <v>228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/>
      <c r="AW1792" s="8"/>
      <c r="AX1792" s="4"/>
      <c r="AY1792" s="8"/>
      <c r="AZ1792" s="7"/>
      <c r="BA1792" s="7"/>
      <c r="BB1792" s="7"/>
      <c r="BC1792" s="4" t="s">
        <v>228</v>
      </c>
      <c r="BD1792" s="8" t="s">
        <v>228</v>
      </c>
      <c r="BE1792" s="4" t="s">
        <v>228</v>
      </c>
      <c r="BF1792" s="8" t="s">
        <v>228</v>
      </c>
      <c r="BG1792" s="7" t="s">
        <v>228</v>
      </c>
      <c r="BH1792" s="7" t="s">
        <v>228</v>
      </c>
      <c r="BI1792" s="7"/>
      <c r="BJ1792" s="4">
        <v>107</v>
      </c>
      <c r="BK1792" s="8">
        <v>1255.51</v>
      </c>
      <c r="BL1792" s="2" t="s">
        <v>8806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8807</v>
      </c>
      <c r="BV1792" s="2" t="s">
        <v>228</v>
      </c>
      <c r="BW1792" s="2" t="s">
        <v>228</v>
      </c>
      <c r="BX1792" s="2" t="s">
        <v>273</v>
      </c>
      <c r="BY1792" s="2" t="s">
        <v>274</v>
      </c>
      <c r="BZ1792" s="2" t="s">
        <v>240</v>
      </c>
      <c r="CA1792" s="2" t="s">
        <v>275</v>
      </c>
      <c r="CB1792" s="2" t="s">
        <v>8808</v>
      </c>
      <c r="CC1792" s="2" t="s">
        <v>241</v>
      </c>
      <c r="CD1792" s="2" t="s">
        <v>228</v>
      </c>
      <c r="CE1792" s="4">
        <v>1038</v>
      </c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>
        <v>800</v>
      </c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  <c r="EM1792" s="4"/>
      <c r="EN1792" s="4"/>
      <c r="EO1792" s="4"/>
      <c r="EP1792" s="4"/>
      <c r="EQ1792" s="4"/>
      <c r="ER1792" s="4"/>
      <c r="ES1792" s="4"/>
      <c r="ET1792" s="4"/>
      <c r="EU1792" s="4"/>
      <c r="EV1792" s="4"/>
      <c r="EW1792" s="4"/>
      <c r="EX1792" s="4"/>
      <c r="EY1792" s="4"/>
      <c r="EZ1792" s="4"/>
      <c r="FA1792" s="4"/>
      <c r="FB1792" s="4"/>
      <c r="FC1792" s="4"/>
      <c r="FD1792" s="4"/>
      <c r="FE1792" s="4"/>
      <c r="FF1792" s="4"/>
      <c r="FG1792" s="4"/>
      <c r="FH1792" s="4"/>
      <c r="FI1792" s="4"/>
      <c r="FJ1792" s="4"/>
      <c r="FK1792" s="4"/>
      <c r="FL1792" s="4"/>
      <c r="FM1792" s="4"/>
      <c r="FN1792" s="4"/>
      <c r="FO1792" s="4"/>
      <c r="FP1792" s="4"/>
      <c r="FQ1792" s="4"/>
      <c r="FR1792" s="4"/>
      <c r="FS1792" s="4"/>
      <c r="FT1792" s="4"/>
      <c r="FU1792" s="4"/>
      <c r="FV1792" s="4"/>
      <c r="FW1792" s="4"/>
      <c r="FX1792" s="4"/>
      <c r="FY1792" s="4"/>
      <c r="FZ1792" s="4"/>
      <c r="GA1792" s="4"/>
      <c r="GB1792" s="4"/>
      <c r="GC1792" s="4"/>
      <c r="GD1792" s="4"/>
      <c r="GE1792" s="4"/>
      <c r="GF1792" s="4"/>
      <c r="GG1792" s="4"/>
      <c r="GH1792" s="4"/>
      <c r="GI1792" s="4"/>
      <c r="GJ1792" s="4"/>
      <c r="GK1792" s="4"/>
      <c r="GL1792" s="4"/>
      <c r="GM1792" s="4"/>
      <c r="GN1792" s="4"/>
      <c r="GO1792" s="4"/>
      <c r="GP1792" s="4"/>
      <c r="GQ1792" s="4"/>
      <c r="GR1792" s="4"/>
      <c r="GS1792" s="4"/>
      <c r="GT1792" s="4"/>
      <c r="GU1792" s="4"/>
      <c r="GV1792" s="4"/>
      <c r="GW1792" s="4"/>
      <c r="GX1792" s="4"/>
      <c r="GY1792" s="4"/>
      <c r="GZ1792" s="4"/>
      <c r="HA1792" s="4"/>
      <c r="HB1792" s="4"/>
      <c r="HC1792" s="4"/>
      <c r="HD1792" s="4"/>
      <c r="HE1792" s="4"/>
    </row>
    <row r="1793">
      <c r="A1793" s="2" t="s">
        <v>8809</v>
      </c>
      <c r="B1793" s="2" t="s">
        <v>866</v>
      </c>
      <c r="C1793" s="2" t="s">
        <v>300</v>
      </c>
      <c r="D1793" s="2" t="s">
        <v>899</v>
      </c>
      <c r="E1793" s="2" t="s">
        <v>1891</v>
      </c>
      <c r="F1793" s="2" t="s">
        <v>8810</v>
      </c>
      <c r="G1793" s="2" t="s">
        <v>8810</v>
      </c>
      <c r="H1793" s="2" t="s">
        <v>8810</v>
      </c>
      <c r="I1793" s="2" t="s">
        <v>8811</v>
      </c>
      <c r="J1793" s="2" t="s">
        <v>840</v>
      </c>
      <c r="K1793" s="2" t="s">
        <v>8812</v>
      </c>
      <c r="L1793" s="3">
        <v>28.33</v>
      </c>
      <c r="M1793" s="3">
        <v>29.75</v>
      </c>
      <c r="N1793" s="3">
        <v>59.49</v>
      </c>
      <c r="O1793" s="2" t="s">
        <v>240</v>
      </c>
      <c r="P1793" s="2" t="s">
        <v>333</v>
      </c>
      <c r="Q1793" s="2" t="s">
        <v>234</v>
      </c>
      <c r="R1793" s="2" t="s">
        <v>228</v>
      </c>
      <c r="S1793" s="2" t="s">
        <v>228</v>
      </c>
      <c r="T1793" s="2" t="s">
        <v>228</v>
      </c>
      <c r="U1793" s="2" t="s">
        <v>416</v>
      </c>
      <c r="V1793" s="2" t="s">
        <v>2042</v>
      </c>
      <c r="W1793" s="2" t="s">
        <v>743</v>
      </c>
      <c r="X1793" s="2" t="s">
        <v>1761</v>
      </c>
      <c r="Y1793" s="2" t="s">
        <v>3642</v>
      </c>
      <c r="Z1793" s="4">
        <v>8</v>
      </c>
      <c r="AA1793" s="4">
        <f>=ROUNDDOWN(4,0)</f>
      </c>
      <c r="AB1793" s="5">
        <v>2</v>
      </c>
      <c r="AC1793" s="2" t="s">
        <v>228</v>
      </c>
      <c r="AD1793" s="4"/>
      <c r="AE1793" s="4"/>
      <c r="AF1793" s="6">
        <v>63</v>
      </c>
      <c r="AG1793" s="6"/>
      <c r="AH1793" s="7">
        <v>1</v>
      </c>
      <c r="AI1793" s="4"/>
      <c r="AJ1793" s="4">
        <f>=ROUNDDOWN({0},0)</f>
      </c>
      <c r="AK1793" s="5"/>
      <c r="AL1793" s="2" t="s">
        <v>228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/>
      <c r="AW1793" s="8"/>
      <c r="AX1793" s="4"/>
      <c r="AY1793" s="8"/>
      <c r="AZ1793" s="7"/>
      <c r="BA1793" s="7"/>
      <c r="BB1793" s="7"/>
      <c r="BC1793" s="4"/>
      <c r="BD1793" s="8"/>
      <c r="BE1793" s="4"/>
      <c r="BF1793" s="8"/>
      <c r="BG1793" s="7"/>
      <c r="BH1793" s="7"/>
      <c r="BI1793" s="7"/>
      <c r="BJ1793" s="4">
        <v>7</v>
      </c>
      <c r="BK1793" s="8">
        <v>246.58</v>
      </c>
      <c r="BL1793" s="2" t="s">
        <v>8813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8814</v>
      </c>
      <c r="BV1793" s="2" t="s">
        <v>228</v>
      </c>
      <c r="BW1793" s="2" t="s">
        <v>228</v>
      </c>
      <c r="BX1793" s="2" t="s">
        <v>337</v>
      </c>
      <c r="BY1793" s="2" t="s">
        <v>274</v>
      </c>
      <c r="BZ1793" s="2" t="s">
        <v>240</v>
      </c>
      <c r="CA1793" s="2" t="s">
        <v>3642</v>
      </c>
      <c r="CB1793" s="2" t="s">
        <v>228</v>
      </c>
      <c r="CC1793" s="2" t="s">
        <v>241</v>
      </c>
      <c r="CD1793" s="2" t="s">
        <v>228</v>
      </c>
      <c r="CE1793" s="4"/>
      <c r="CF1793" s="4">
        <v>8</v>
      </c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  <c r="ES1793" s="4"/>
      <c r="ET1793" s="4"/>
      <c r="EU1793" s="4"/>
      <c r="EV1793" s="4"/>
      <c r="EW1793" s="4"/>
      <c r="EX1793" s="4"/>
      <c r="EY1793" s="4"/>
      <c r="EZ1793" s="4"/>
      <c r="FA1793" s="4"/>
      <c r="FB1793" s="4"/>
      <c r="FC1793" s="4"/>
      <c r="FD1793" s="4"/>
      <c r="FE1793" s="4"/>
      <c r="FF1793" s="4"/>
      <c r="FG1793" s="4"/>
      <c r="FH1793" s="4"/>
      <c r="FI1793" s="4"/>
      <c r="FJ1793" s="4"/>
      <c r="FK1793" s="4"/>
      <c r="FL1793" s="4"/>
      <c r="FM1793" s="4"/>
      <c r="FN1793" s="4"/>
      <c r="FO1793" s="4"/>
      <c r="FP1793" s="4"/>
      <c r="FQ1793" s="4"/>
      <c r="FR1793" s="4"/>
      <c r="FS1793" s="4"/>
      <c r="FT1793" s="4"/>
      <c r="FU1793" s="4"/>
      <c r="FV1793" s="4"/>
      <c r="FW1793" s="4"/>
      <c r="FX1793" s="4"/>
      <c r="FY1793" s="4"/>
      <c r="FZ1793" s="4"/>
      <c r="GA1793" s="4"/>
      <c r="GB1793" s="4"/>
      <c r="GC1793" s="4"/>
      <c r="GD1793" s="4"/>
      <c r="GE1793" s="4"/>
      <c r="GF1793" s="4"/>
      <c r="GG1793" s="4"/>
      <c r="GH1793" s="4"/>
      <c r="GI1793" s="4"/>
      <c r="GJ1793" s="4"/>
      <c r="GK1793" s="4"/>
      <c r="GL1793" s="4"/>
      <c r="GM1793" s="4"/>
      <c r="GN1793" s="4"/>
      <c r="GO1793" s="4"/>
      <c r="GP1793" s="4"/>
      <c r="GQ1793" s="4"/>
      <c r="GR1793" s="4"/>
      <c r="GS1793" s="4"/>
      <c r="GT1793" s="4"/>
      <c r="GU1793" s="4"/>
      <c r="GV1793" s="4"/>
      <c r="GW1793" s="4"/>
      <c r="GX1793" s="4"/>
      <c r="GY1793" s="4"/>
      <c r="GZ1793" s="4"/>
      <c r="HA1793" s="4"/>
      <c r="HB1793" s="4"/>
      <c r="HC1793" s="4"/>
      <c r="HD1793" s="4"/>
      <c r="HE1793" s="4"/>
    </row>
    <row r="1794">
      <c r="A1794" s="2" t="s">
        <v>8815</v>
      </c>
      <c r="B1794" s="2" t="s">
        <v>848</v>
      </c>
      <c r="C1794" s="2" t="s">
        <v>849</v>
      </c>
      <c r="D1794" s="2" t="s">
        <v>850</v>
      </c>
      <c r="E1794" s="2" t="s">
        <v>851</v>
      </c>
      <c r="F1794" s="2" t="s">
        <v>8816</v>
      </c>
      <c r="G1794" s="2" t="s">
        <v>8311</v>
      </c>
      <c r="H1794" s="2" t="s">
        <v>6101</v>
      </c>
      <c r="I1794" s="2" t="s">
        <v>8817</v>
      </c>
      <c r="J1794" s="2" t="s">
        <v>856</v>
      </c>
      <c r="K1794" s="2" t="s">
        <v>231</v>
      </c>
      <c r="L1794" s="3">
        <v>19.04</v>
      </c>
      <c r="M1794" s="3">
        <v>19.99</v>
      </c>
      <c r="N1794" s="3">
        <v>39.99</v>
      </c>
      <c r="O1794" s="2" t="s">
        <v>240</v>
      </c>
      <c r="P1794" s="2" t="s">
        <v>233</v>
      </c>
      <c r="Q1794" s="2" t="s">
        <v>234</v>
      </c>
      <c r="R1794" s="2" t="s">
        <v>228</v>
      </c>
      <c r="S1794" s="2" t="s">
        <v>8818</v>
      </c>
      <c r="T1794" s="2" t="s">
        <v>1414</v>
      </c>
      <c r="U1794" s="2" t="s">
        <v>500</v>
      </c>
      <c r="V1794" s="2" t="s">
        <v>236</v>
      </c>
      <c r="W1794" s="2" t="s">
        <v>417</v>
      </c>
      <c r="X1794" s="2" t="s">
        <v>269</v>
      </c>
      <c r="Y1794" s="2" t="s">
        <v>2384</v>
      </c>
      <c r="Z1794" s="4">
        <v>65</v>
      </c>
      <c r="AA1794" s="4">
        <f>=ROUNDDOWN(36.1111111111111,0)</f>
      </c>
      <c r="AB1794" s="5">
        <v>1.8</v>
      </c>
      <c r="AC1794" s="2" t="s">
        <v>228</v>
      </c>
      <c r="AD1794" s="4"/>
      <c r="AE1794" s="4"/>
      <c r="AF1794" s="6">
        <v>64</v>
      </c>
      <c r="AG1794" s="6"/>
      <c r="AH1794" s="7">
        <v>1</v>
      </c>
      <c r="AI1794" s="4"/>
      <c r="AJ1794" s="4">
        <f>=ROUNDDOWN({0},0)</f>
      </c>
      <c r="AK1794" s="5"/>
      <c r="AL1794" s="2" t="s">
        <v>228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 t="s">
        <v>228</v>
      </c>
      <c r="AW1794" s="8" t="s">
        <v>228</v>
      </c>
      <c r="AX1794" s="4" t="s">
        <v>228</v>
      </c>
      <c r="AY1794" s="8" t="s">
        <v>228</v>
      </c>
      <c r="AZ1794" s="7" t="s">
        <v>228</v>
      </c>
      <c r="BA1794" s="7" t="s">
        <v>228</v>
      </c>
      <c r="BB1794" s="7"/>
      <c r="BC1794" s="4" t="s">
        <v>228</v>
      </c>
      <c r="BD1794" s="8" t="s">
        <v>228</v>
      </c>
      <c r="BE1794" s="4" t="s">
        <v>228</v>
      </c>
      <c r="BF1794" s="8" t="s">
        <v>228</v>
      </c>
      <c r="BG1794" s="7" t="s">
        <v>228</v>
      </c>
      <c r="BH1794" s="7" t="s">
        <v>228</v>
      </c>
      <c r="BI1794" s="7"/>
      <c r="BJ1794" s="4">
        <v>13</v>
      </c>
      <c r="BK1794" s="8">
        <v>277.87</v>
      </c>
      <c r="BL1794" s="2" t="s">
        <v>1045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8819</v>
      </c>
      <c r="BV1794" s="2" t="s">
        <v>228</v>
      </c>
      <c r="BW1794" s="2" t="s">
        <v>228</v>
      </c>
      <c r="BX1794" s="2" t="s">
        <v>273</v>
      </c>
      <c r="BY1794" s="2" t="s">
        <v>274</v>
      </c>
      <c r="BZ1794" s="2" t="s">
        <v>240</v>
      </c>
      <c r="CA1794" s="2" t="s">
        <v>2295</v>
      </c>
      <c r="CB1794" s="2" t="s">
        <v>8820</v>
      </c>
      <c r="CC1794" s="2" t="s">
        <v>241</v>
      </c>
      <c r="CD1794" s="2" t="s">
        <v>228</v>
      </c>
      <c r="CE1794" s="4">
        <v>65</v>
      </c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  <c r="EM1794" s="4"/>
      <c r="EN1794" s="4"/>
      <c r="EO1794" s="4"/>
      <c r="EP1794" s="4"/>
      <c r="EQ1794" s="4"/>
      <c r="ER1794" s="4"/>
      <c r="ES1794" s="4"/>
      <c r="ET1794" s="4"/>
      <c r="EU1794" s="4"/>
      <c r="EV1794" s="4"/>
      <c r="EW1794" s="4"/>
      <c r="EX1794" s="4"/>
      <c r="EY1794" s="4"/>
      <c r="EZ1794" s="4"/>
      <c r="FA1794" s="4"/>
      <c r="FB1794" s="4"/>
      <c r="FC1794" s="4"/>
      <c r="FD1794" s="4"/>
      <c r="FE1794" s="4"/>
      <c r="FF1794" s="4"/>
      <c r="FG1794" s="4"/>
      <c r="FH1794" s="4"/>
      <c r="FI1794" s="4"/>
      <c r="FJ1794" s="4"/>
      <c r="FK1794" s="4"/>
      <c r="FL1794" s="4"/>
      <c r="FM1794" s="4"/>
      <c r="FN1794" s="4"/>
      <c r="FO1794" s="4"/>
      <c r="FP1794" s="4"/>
      <c r="FQ1794" s="4"/>
      <c r="FR1794" s="4"/>
      <c r="FS1794" s="4"/>
      <c r="FT1794" s="4"/>
      <c r="FU1794" s="4"/>
      <c r="FV1794" s="4"/>
      <c r="FW1794" s="4"/>
      <c r="FX1794" s="4"/>
      <c r="FY1794" s="4"/>
      <c r="FZ1794" s="4"/>
      <c r="GA1794" s="4"/>
      <c r="GB1794" s="4"/>
      <c r="GC1794" s="4"/>
      <c r="GD1794" s="4"/>
      <c r="GE1794" s="4"/>
      <c r="GF1794" s="4"/>
      <c r="GG1794" s="4"/>
      <c r="GH1794" s="4"/>
      <c r="GI1794" s="4"/>
      <c r="GJ1794" s="4"/>
      <c r="GK1794" s="4"/>
      <c r="GL1794" s="4"/>
      <c r="GM1794" s="4"/>
      <c r="GN1794" s="4"/>
      <c r="GO1794" s="4"/>
      <c r="GP1794" s="4"/>
      <c r="GQ1794" s="4"/>
      <c r="GR1794" s="4"/>
      <c r="GS1794" s="4"/>
      <c r="GT1794" s="4"/>
      <c r="GU1794" s="4"/>
      <c r="GV1794" s="4"/>
      <c r="GW1794" s="4"/>
      <c r="GX1794" s="4"/>
      <c r="GY1794" s="4"/>
      <c r="GZ1794" s="4"/>
      <c r="HA1794" s="4"/>
      <c r="HB1794" s="4"/>
      <c r="HC1794" s="4"/>
      <c r="HD1794" s="4"/>
      <c r="HE1794" s="4"/>
    </row>
    <row r="1795">
      <c r="A1795" s="2" t="s">
        <v>8821</v>
      </c>
      <c r="B1795" s="2" t="s">
        <v>848</v>
      </c>
      <c r="C1795" s="2" t="s">
        <v>849</v>
      </c>
      <c r="D1795" s="2" t="s">
        <v>1112</v>
      </c>
      <c r="E1795" s="2" t="s">
        <v>1165</v>
      </c>
      <c r="F1795" s="2" t="s">
        <v>8816</v>
      </c>
      <c r="G1795" s="2" t="s">
        <v>8311</v>
      </c>
      <c r="H1795" s="2" t="s">
        <v>6101</v>
      </c>
      <c r="I1795" s="2" t="s">
        <v>8822</v>
      </c>
      <c r="J1795" s="2" t="s">
        <v>1189</v>
      </c>
      <c r="K1795" s="2" t="s">
        <v>231</v>
      </c>
      <c r="L1795" s="3">
        <v>28.57</v>
      </c>
      <c r="M1795" s="3">
        <v>30</v>
      </c>
      <c r="N1795" s="3">
        <v>59.99</v>
      </c>
      <c r="O1795" s="2" t="s">
        <v>240</v>
      </c>
      <c r="P1795" s="2" t="s">
        <v>233</v>
      </c>
      <c r="Q1795" s="2" t="s">
        <v>234</v>
      </c>
      <c r="R1795" s="2" t="s">
        <v>228</v>
      </c>
      <c r="S1795" s="2" t="s">
        <v>8818</v>
      </c>
      <c r="T1795" s="2" t="s">
        <v>1414</v>
      </c>
      <c r="U1795" s="2" t="s">
        <v>308</v>
      </c>
      <c r="V1795" s="2" t="s">
        <v>236</v>
      </c>
      <c r="W1795" s="2" t="s">
        <v>417</v>
      </c>
      <c r="X1795" s="2" t="s">
        <v>269</v>
      </c>
      <c r="Y1795" s="2" t="s">
        <v>2384</v>
      </c>
      <c r="Z1795" s="4">
        <v>346</v>
      </c>
      <c r="AA1795" s="4">
        <f>=ROUNDDOWN(43.25,0)</f>
      </c>
      <c r="AB1795" s="5">
        <v>8</v>
      </c>
      <c r="AC1795" s="2" t="s">
        <v>228</v>
      </c>
      <c r="AD1795" s="4"/>
      <c r="AE1795" s="4"/>
      <c r="AF1795" s="6">
        <v>64</v>
      </c>
      <c r="AG1795" s="6"/>
      <c r="AH1795" s="7">
        <v>1</v>
      </c>
      <c r="AI1795" s="4"/>
      <c r="AJ1795" s="4">
        <f>=ROUNDDOWN({0},0)</f>
      </c>
      <c r="AK1795" s="5"/>
      <c r="AL1795" s="2" t="s">
        <v>228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 t="s">
        <v>228</v>
      </c>
      <c r="AW1795" s="8" t="s">
        <v>228</v>
      </c>
      <c r="AX1795" s="4" t="s">
        <v>228</v>
      </c>
      <c r="AY1795" s="8" t="s">
        <v>228</v>
      </c>
      <c r="AZ1795" s="7" t="s">
        <v>228</v>
      </c>
      <c r="BA1795" s="7" t="s">
        <v>228</v>
      </c>
      <c r="BB1795" s="7" t="s">
        <v>228</v>
      </c>
      <c r="BC1795" s="4" t="s">
        <v>228</v>
      </c>
      <c r="BD1795" s="8" t="s">
        <v>228</v>
      </c>
      <c r="BE1795" s="4" t="s">
        <v>228</v>
      </c>
      <c r="BF1795" s="8" t="s">
        <v>228</v>
      </c>
      <c r="BG1795" s="7" t="s">
        <v>228</v>
      </c>
      <c r="BH1795" s="7" t="s">
        <v>228</v>
      </c>
      <c r="BI1795" s="7"/>
      <c r="BJ1795" s="4">
        <v>14</v>
      </c>
      <c r="BK1795" s="8">
        <v>452.26</v>
      </c>
      <c r="BL1795" s="2" t="s">
        <v>3816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8823</v>
      </c>
      <c r="BV1795" s="2" t="s">
        <v>228</v>
      </c>
      <c r="BW1795" s="2" t="s">
        <v>228</v>
      </c>
      <c r="BX1795" s="2" t="s">
        <v>273</v>
      </c>
      <c r="BY1795" s="2" t="s">
        <v>274</v>
      </c>
      <c r="BZ1795" s="2" t="s">
        <v>240</v>
      </c>
      <c r="CA1795" s="2" t="s">
        <v>2295</v>
      </c>
      <c r="CB1795" s="2" t="s">
        <v>2491</v>
      </c>
      <c r="CC1795" s="2" t="s">
        <v>241</v>
      </c>
      <c r="CD1795" s="2" t="s">
        <v>228</v>
      </c>
      <c r="CE1795" s="4">
        <v>346</v>
      </c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  <c r="ES1795" s="4"/>
      <c r="ET1795" s="4"/>
      <c r="EU1795" s="4"/>
      <c r="EV1795" s="4"/>
      <c r="EW1795" s="4"/>
      <c r="EX1795" s="4"/>
      <c r="EY1795" s="4"/>
      <c r="EZ1795" s="4"/>
      <c r="FA1795" s="4"/>
      <c r="FB1795" s="4"/>
      <c r="FC1795" s="4"/>
      <c r="FD1795" s="4"/>
      <c r="FE1795" s="4"/>
      <c r="FF1795" s="4"/>
      <c r="FG1795" s="4"/>
      <c r="FH1795" s="4"/>
      <c r="FI1795" s="4"/>
      <c r="FJ1795" s="4"/>
      <c r="FK1795" s="4"/>
      <c r="FL1795" s="4"/>
      <c r="FM1795" s="4"/>
      <c r="FN1795" s="4"/>
      <c r="FO1795" s="4"/>
      <c r="FP1795" s="4"/>
      <c r="FQ1795" s="4"/>
      <c r="FR1795" s="4"/>
      <c r="FS1795" s="4"/>
      <c r="FT1795" s="4"/>
      <c r="FU1795" s="4"/>
      <c r="FV1795" s="4"/>
      <c r="FW1795" s="4"/>
      <c r="FX1795" s="4"/>
      <c r="FY1795" s="4"/>
      <c r="FZ1795" s="4"/>
      <c r="GA1795" s="4"/>
      <c r="GB1795" s="4"/>
      <c r="GC1795" s="4"/>
      <c r="GD1795" s="4"/>
      <c r="GE1795" s="4"/>
      <c r="GF1795" s="4"/>
      <c r="GG1795" s="4"/>
      <c r="GH1795" s="4"/>
      <c r="GI1795" s="4"/>
      <c r="GJ1795" s="4"/>
      <c r="GK1795" s="4"/>
      <c r="GL1795" s="4"/>
      <c r="GM1795" s="4"/>
      <c r="GN1795" s="4"/>
      <c r="GO1795" s="4"/>
      <c r="GP1795" s="4"/>
      <c r="GQ1795" s="4"/>
      <c r="GR1795" s="4"/>
      <c r="GS1795" s="4"/>
      <c r="GT1795" s="4"/>
      <c r="GU1795" s="4"/>
      <c r="GV1795" s="4"/>
      <c r="GW1795" s="4"/>
      <c r="GX1795" s="4"/>
      <c r="GY1795" s="4"/>
      <c r="GZ1795" s="4"/>
      <c r="HA1795" s="4"/>
      <c r="HB1795" s="4"/>
      <c r="HC1795" s="4"/>
      <c r="HD1795" s="4"/>
      <c r="HE1795" s="4"/>
    </row>
    <row r="1796">
      <c r="A1796" s="2" t="s">
        <v>8824</v>
      </c>
      <c r="B1796" s="2" t="s">
        <v>848</v>
      </c>
      <c r="C1796" s="2" t="s">
        <v>849</v>
      </c>
      <c r="D1796" s="2" t="s">
        <v>850</v>
      </c>
      <c r="E1796" s="2" t="s">
        <v>851</v>
      </c>
      <c r="F1796" s="2" t="s">
        <v>8816</v>
      </c>
      <c r="G1796" s="2" t="s">
        <v>8311</v>
      </c>
      <c r="H1796" s="2" t="s">
        <v>6101</v>
      </c>
      <c r="I1796" s="2" t="s">
        <v>8817</v>
      </c>
      <c r="J1796" s="2" t="s">
        <v>1189</v>
      </c>
      <c r="K1796" s="2" t="s">
        <v>231</v>
      </c>
      <c r="L1796" s="3">
        <v>23.8</v>
      </c>
      <c r="M1796" s="3">
        <v>24.99</v>
      </c>
      <c r="N1796" s="3">
        <v>49.99</v>
      </c>
      <c r="O1796" s="2" t="s">
        <v>240</v>
      </c>
      <c r="P1796" s="2" t="s">
        <v>233</v>
      </c>
      <c r="Q1796" s="2" t="s">
        <v>234</v>
      </c>
      <c r="R1796" s="2" t="s">
        <v>228</v>
      </c>
      <c r="S1796" s="2" t="s">
        <v>8818</v>
      </c>
      <c r="T1796" s="2" t="s">
        <v>1414</v>
      </c>
      <c r="U1796" s="2" t="s">
        <v>308</v>
      </c>
      <c r="V1796" s="2" t="s">
        <v>236</v>
      </c>
      <c r="W1796" s="2" t="s">
        <v>417</v>
      </c>
      <c r="X1796" s="2" t="s">
        <v>269</v>
      </c>
      <c r="Y1796" s="2" t="s">
        <v>2384</v>
      </c>
      <c r="Z1796" s="4">
        <v>111</v>
      </c>
      <c r="AA1796" s="4">
        <f>=ROUNDDOWN(35.8064516129032,0)</f>
      </c>
      <c r="AB1796" s="5">
        <v>3.1</v>
      </c>
      <c r="AC1796" s="2" t="s">
        <v>228</v>
      </c>
      <c r="AD1796" s="4"/>
      <c r="AE1796" s="4"/>
      <c r="AF1796" s="6">
        <v>64</v>
      </c>
      <c r="AG1796" s="6"/>
      <c r="AH1796" s="7">
        <v>1</v>
      </c>
      <c r="AI1796" s="4"/>
      <c r="AJ1796" s="4">
        <f>=ROUNDDOWN({0},0)</f>
      </c>
      <c r="AK1796" s="5"/>
      <c r="AL1796" s="2" t="s">
        <v>228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 t="s">
        <v>228</v>
      </c>
      <c r="AW1796" s="8" t="s">
        <v>228</v>
      </c>
      <c r="AX1796" s="4" t="s">
        <v>228</v>
      </c>
      <c r="AY1796" s="8" t="s">
        <v>228</v>
      </c>
      <c r="AZ1796" s="7" t="s">
        <v>228</v>
      </c>
      <c r="BA1796" s="7" t="s">
        <v>228</v>
      </c>
      <c r="BB1796" s="7" t="s">
        <v>228</v>
      </c>
      <c r="BC1796" s="4" t="s">
        <v>228</v>
      </c>
      <c r="BD1796" s="8" t="s">
        <v>228</v>
      </c>
      <c r="BE1796" s="4" t="s">
        <v>228</v>
      </c>
      <c r="BF1796" s="8" t="s">
        <v>228</v>
      </c>
      <c r="BG1796" s="7" t="s">
        <v>228</v>
      </c>
      <c r="BH1796" s="7" t="s">
        <v>228</v>
      </c>
      <c r="BI1796" s="7"/>
      <c r="BJ1796" s="4">
        <v>13</v>
      </c>
      <c r="BK1796" s="8">
        <v>339.12</v>
      </c>
      <c r="BL1796" s="2" t="s">
        <v>1045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8825</v>
      </c>
      <c r="BV1796" s="2" t="s">
        <v>228</v>
      </c>
      <c r="BW1796" s="2" t="s">
        <v>228</v>
      </c>
      <c r="BX1796" s="2" t="s">
        <v>273</v>
      </c>
      <c r="BY1796" s="2" t="s">
        <v>274</v>
      </c>
      <c r="BZ1796" s="2" t="s">
        <v>240</v>
      </c>
      <c r="CA1796" s="2" t="s">
        <v>2295</v>
      </c>
      <c r="CB1796" s="2" t="s">
        <v>228</v>
      </c>
      <c r="CC1796" s="2" t="s">
        <v>241</v>
      </c>
      <c r="CD1796" s="2" t="s">
        <v>228</v>
      </c>
      <c r="CE1796" s="4">
        <v>111</v>
      </c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  <c r="ES1796" s="4"/>
      <c r="ET1796" s="4"/>
      <c r="EU1796" s="4"/>
      <c r="EV1796" s="4"/>
      <c r="EW1796" s="4"/>
      <c r="EX1796" s="4"/>
      <c r="EY1796" s="4"/>
      <c r="EZ1796" s="4"/>
      <c r="FA1796" s="4"/>
      <c r="FB1796" s="4"/>
      <c r="FC1796" s="4"/>
      <c r="FD1796" s="4"/>
      <c r="FE1796" s="4"/>
      <c r="FF1796" s="4"/>
      <c r="FG1796" s="4"/>
      <c r="FH1796" s="4"/>
      <c r="FI1796" s="4"/>
      <c r="FJ1796" s="4"/>
      <c r="FK1796" s="4"/>
      <c r="FL1796" s="4"/>
      <c r="FM1796" s="4"/>
      <c r="FN1796" s="4"/>
      <c r="FO1796" s="4"/>
      <c r="FP1796" s="4"/>
      <c r="FQ1796" s="4"/>
      <c r="FR1796" s="4"/>
      <c r="FS1796" s="4"/>
      <c r="FT1796" s="4"/>
      <c r="FU1796" s="4"/>
      <c r="FV1796" s="4"/>
      <c r="FW1796" s="4"/>
      <c r="FX1796" s="4"/>
      <c r="FY1796" s="4"/>
      <c r="FZ1796" s="4"/>
      <c r="GA1796" s="4"/>
      <c r="GB1796" s="4"/>
      <c r="GC1796" s="4"/>
      <c r="GD1796" s="4"/>
      <c r="GE1796" s="4"/>
      <c r="GF1796" s="4"/>
      <c r="GG1796" s="4"/>
      <c r="GH1796" s="4"/>
      <c r="GI1796" s="4"/>
      <c r="GJ1796" s="4"/>
      <c r="GK1796" s="4"/>
      <c r="GL1796" s="4"/>
      <c r="GM1796" s="4"/>
      <c r="GN1796" s="4"/>
      <c r="GO1796" s="4"/>
      <c r="GP1796" s="4"/>
      <c r="GQ1796" s="4"/>
      <c r="GR1796" s="4"/>
      <c r="GS1796" s="4"/>
      <c r="GT1796" s="4"/>
      <c r="GU1796" s="4"/>
      <c r="GV1796" s="4"/>
      <c r="GW1796" s="4"/>
      <c r="GX1796" s="4"/>
      <c r="GY1796" s="4"/>
      <c r="GZ1796" s="4"/>
      <c r="HA1796" s="4"/>
      <c r="HB1796" s="4"/>
      <c r="HC1796" s="4"/>
      <c r="HD1796" s="4"/>
      <c r="HE1796" s="4"/>
    </row>
    <row r="1797">
      <c r="A1797" s="2" t="s">
        <v>8826</v>
      </c>
      <c r="B1797" s="2" t="s">
        <v>848</v>
      </c>
      <c r="C1797" s="2" t="s">
        <v>849</v>
      </c>
      <c r="D1797" s="2" t="s">
        <v>1112</v>
      </c>
      <c r="E1797" s="2" t="s">
        <v>1165</v>
      </c>
      <c r="F1797" s="2" t="s">
        <v>8827</v>
      </c>
      <c r="G1797" s="2" t="s">
        <v>1707</v>
      </c>
      <c r="H1797" s="2" t="s">
        <v>8828</v>
      </c>
      <c r="I1797" s="2" t="s">
        <v>8829</v>
      </c>
      <c r="J1797" s="2" t="s">
        <v>856</v>
      </c>
      <c r="K1797" s="2" t="s">
        <v>2780</v>
      </c>
      <c r="L1797" s="3">
        <v>31.29</v>
      </c>
      <c r="M1797" s="3">
        <v>32.85</v>
      </c>
      <c r="N1797" s="3">
        <v>64.99</v>
      </c>
      <c r="O1797" s="2" t="s">
        <v>240</v>
      </c>
      <c r="P1797" s="2" t="s">
        <v>266</v>
      </c>
      <c r="Q1797" s="2" t="s">
        <v>234</v>
      </c>
      <c r="R1797" s="2" t="s">
        <v>228</v>
      </c>
      <c r="S1797" s="2" t="s">
        <v>8830</v>
      </c>
      <c r="T1797" s="2" t="s">
        <v>415</v>
      </c>
      <c r="U1797" s="2" t="s">
        <v>308</v>
      </c>
      <c r="V1797" s="2" t="s">
        <v>1156</v>
      </c>
      <c r="W1797" s="2" t="s">
        <v>269</v>
      </c>
      <c r="X1797" s="2" t="s">
        <v>463</v>
      </c>
      <c r="Y1797" s="2" t="s">
        <v>270</v>
      </c>
      <c r="Z1797" s="4">
        <v>541</v>
      </c>
      <c r="AA1797" s="4">
        <f>=ROUNDDOWN(108.2,0)</f>
      </c>
      <c r="AB1797" s="5">
        <v>5</v>
      </c>
      <c r="AC1797" s="2" t="s">
        <v>228</v>
      </c>
      <c r="AD1797" s="4"/>
      <c r="AE1797" s="4"/>
      <c r="AF1797" s="6">
        <v>64</v>
      </c>
      <c r="AG1797" s="6"/>
      <c r="AH1797" s="7">
        <v>1</v>
      </c>
      <c r="AI1797" s="4"/>
      <c r="AJ1797" s="4">
        <f>=ROUNDDOWN({0},0)</f>
      </c>
      <c r="AK1797" s="5"/>
      <c r="AL1797" s="2" t="s">
        <v>228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/>
      <c r="AW1797" s="8"/>
      <c r="AX1797" s="4"/>
      <c r="AY1797" s="8"/>
      <c r="AZ1797" s="7"/>
      <c r="BA1797" s="7"/>
      <c r="BB1797" s="7"/>
      <c r="BC1797" s="4"/>
      <c r="BD1797" s="8"/>
      <c r="BE1797" s="4"/>
      <c r="BF1797" s="8"/>
      <c r="BG1797" s="7"/>
      <c r="BH1797" s="7"/>
      <c r="BI1797" s="7"/>
      <c r="BJ1797" s="4">
        <v>36</v>
      </c>
      <c r="BK1797" s="8">
        <v>1332.63</v>
      </c>
      <c r="BL1797" s="2" t="s">
        <v>8831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8832</v>
      </c>
      <c r="BV1797" s="2" t="s">
        <v>228</v>
      </c>
      <c r="BW1797" s="2" t="s">
        <v>228</v>
      </c>
      <c r="BX1797" s="2" t="s">
        <v>273</v>
      </c>
      <c r="BY1797" s="2" t="s">
        <v>274</v>
      </c>
      <c r="BZ1797" s="2" t="s">
        <v>240</v>
      </c>
      <c r="CA1797" s="2" t="s">
        <v>275</v>
      </c>
      <c r="CB1797" s="2" t="s">
        <v>8833</v>
      </c>
      <c r="CC1797" s="2" t="s">
        <v>241</v>
      </c>
      <c r="CD1797" s="2" t="s">
        <v>228</v>
      </c>
      <c r="CE1797" s="4">
        <v>541</v>
      </c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  <c r="ES1797" s="4"/>
      <c r="ET1797" s="4"/>
      <c r="EU1797" s="4"/>
      <c r="EV1797" s="4"/>
      <c r="EW1797" s="4"/>
      <c r="EX1797" s="4"/>
      <c r="EY1797" s="4"/>
      <c r="EZ1797" s="4"/>
      <c r="FA1797" s="4"/>
      <c r="FB1797" s="4"/>
      <c r="FC1797" s="4"/>
      <c r="FD1797" s="4"/>
      <c r="FE1797" s="4"/>
      <c r="FF1797" s="4"/>
      <c r="FG1797" s="4"/>
      <c r="FH1797" s="4"/>
      <c r="FI1797" s="4"/>
      <c r="FJ1797" s="4"/>
      <c r="FK1797" s="4"/>
      <c r="FL1797" s="4"/>
      <c r="FM1797" s="4"/>
      <c r="FN1797" s="4"/>
      <c r="FO1797" s="4"/>
      <c r="FP1797" s="4"/>
      <c r="FQ1797" s="4"/>
      <c r="FR1797" s="4"/>
      <c r="FS1797" s="4"/>
      <c r="FT1797" s="4"/>
      <c r="FU1797" s="4"/>
      <c r="FV1797" s="4"/>
      <c r="FW1797" s="4"/>
      <c r="FX1797" s="4"/>
      <c r="FY1797" s="4"/>
      <c r="FZ1797" s="4"/>
      <c r="GA1797" s="4"/>
      <c r="GB1797" s="4"/>
      <c r="GC1797" s="4"/>
      <c r="GD1797" s="4"/>
      <c r="GE1797" s="4"/>
      <c r="GF1797" s="4"/>
      <c r="GG1797" s="4"/>
      <c r="GH1797" s="4"/>
      <c r="GI1797" s="4"/>
      <c r="GJ1797" s="4"/>
      <c r="GK1797" s="4"/>
      <c r="GL1797" s="4"/>
      <c r="GM1797" s="4"/>
      <c r="GN1797" s="4"/>
      <c r="GO1797" s="4"/>
      <c r="GP1797" s="4"/>
      <c r="GQ1797" s="4"/>
      <c r="GR1797" s="4"/>
      <c r="GS1797" s="4"/>
      <c r="GT1797" s="4"/>
      <c r="GU1797" s="4"/>
      <c r="GV1797" s="4"/>
      <c r="GW1797" s="4"/>
      <c r="GX1797" s="4"/>
      <c r="GY1797" s="4"/>
      <c r="GZ1797" s="4"/>
      <c r="HA1797" s="4"/>
      <c r="HB1797" s="4"/>
      <c r="HC1797" s="4"/>
      <c r="HD1797" s="4"/>
      <c r="HE1797" s="4"/>
    </row>
    <row r="1798">
      <c r="A1798" s="2" t="s">
        <v>8834</v>
      </c>
      <c r="B1798" s="2" t="s">
        <v>834</v>
      </c>
      <c r="C1798" s="2" t="s">
        <v>1142</v>
      </c>
      <c r="D1798" s="2" t="s">
        <v>836</v>
      </c>
      <c r="E1798" s="2" t="s">
        <v>837</v>
      </c>
      <c r="F1798" s="2" t="s">
        <v>8835</v>
      </c>
      <c r="G1798" s="2" t="s">
        <v>8835</v>
      </c>
      <c r="H1798" s="2" t="s">
        <v>8835</v>
      </c>
      <c r="I1798" s="2" t="s">
        <v>8836</v>
      </c>
      <c r="J1798" s="2" t="s">
        <v>840</v>
      </c>
      <c r="K1798" s="2" t="s">
        <v>2964</v>
      </c>
      <c r="L1798" s="3">
        <v>180</v>
      </c>
      <c r="M1798" s="3">
        <v>189</v>
      </c>
      <c r="N1798" s="3">
        <v>379.99</v>
      </c>
      <c r="O1798" s="2" t="s">
        <v>240</v>
      </c>
      <c r="P1798" s="2" t="s">
        <v>233</v>
      </c>
      <c r="Q1798" s="2" t="s">
        <v>234</v>
      </c>
      <c r="R1798" s="2" t="s">
        <v>228</v>
      </c>
      <c r="S1798" s="2" t="s">
        <v>228</v>
      </c>
      <c r="T1798" s="2" t="s">
        <v>228</v>
      </c>
      <c r="U1798" s="2" t="s">
        <v>416</v>
      </c>
      <c r="V1798" s="2" t="s">
        <v>842</v>
      </c>
      <c r="W1798" s="2" t="s">
        <v>417</v>
      </c>
      <c r="X1798" s="2" t="s">
        <v>463</v>
      </c>
      <c r="Y1798" s="2" t="s">
        <v>228</v>
      </c>
      <c r="Z1798" s="4"/>
      <c r="AA1798" s="4">
        <f>=ROUNDDOWN({0},0)</f>
      </c>
      <c r="AB1798" s="5"/>
      <c r="AC1798" s="2" t="s">
        <v>1416</v>
      </c>
      <c r="AD1798" s="4">
        <v>119</v>
      </c>
      <c r="AE1798" s="4">
        <v>119</v>
      </c>
      <c r="AF1798" s="6">
        <v>72</v>
      </c>
      <c r="AG1798" s="6"/>
      <c r="AH1798" s="7"/>
      <c r="AI1798" s="4"/>
      <c r="AJ1798" s="4">
        <f>=ROUNDDOWN({0},0)</f>
      </c>
      <c r="AK1798" s="5"/>
      <c r="AL1798" s="2" t="s">
        <v>228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/>
      <c r="AW1798" s="8"/>
      <c r="AX1798" s="4"/>
      <c r="AY1798" s="8"/>
      <c r="AZ1798" s="7"/>
      <c r="BA1798" s="7"/>
      <c r="BB1798" s="7"/>
      <c r="BC1798" s="4"/>
      <c r="BD1798" s="8"/>
      <c r="BE1798" s="4"/>
      <c r="BF1798" s="8"/>
      <c r="BG1798" s="7"/>
      <c r="BH1798" s="7"/>
      <c r="BI1798" s="7"/>
      <c r="BJ1798" s="4"/>
      <c r="BK1798" s="8"/>
      <c r="BL1798" s="2" t="s">
        <v>228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238</v>
      </c>
      <c r="BV1798" s="2" t="s">
        <v>228</v>
      </c>
      <c r="BW1798" s="2" t="s">
        <v>228</v>
      </c>
      <c r="BX1798" s="2" t="s">
        <v>238</v>
      </c>
      <c r="BY1798" s="2" t="s">
        <v>239</v>
      </c>
      <c r="BZ1798" s="2" t="s">
        <v>240</v>
      </c>
      <c r="CA1798" s="2" t="s">
        <v>228</v>
      </c>
      <c r="CB1798" s="2" t="s">
        <v>228</v>
      </c>
      <c r="CC1798" s="2" t="s">
        <v>241</v>
      </c>
      <c r="CD1798" s="2" t="s">
        <v>228</v>
      </c>
      <c r="CE1798" s="4"/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>
        <v>119</v>
      </c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  <c r="ES1798" s="4"/>
      <c r="ET1798" s="4"/>
      <c r="EU1798" s="4"/>
      <c r="EV1798" s="4"/>
      <c r="EW1798" s="4"/>
      <c r="EX1798" s="4"/>
      <c r="EY1798" s="4"/>
      <c r="EZ1798" s="4"/>
      <c r="FA1798" s="4"/>
      <c r="FB1798" s="4"/>
      <c r="FC1798" s="4"/>
      <c r="FD1798" s="4"/>
      <c r="FE1798" s="4"/>
      <c r="FF1798" s="4"/>
      <c r="FG1798" s="4"/>
      <c r="FH1798" s="4"/>
      <c r="FI1798" s="4"/>
      <c r="FJ1798" s="4"/>
      <c r="FK1798" s="4"/>
      <c r="FL1798" s="4"/>
      <c r="FM1798" s="4"/>
      <c r="FN1798" s="4"/>
      <c r="FO1798" s="4"/>
      <c r="FP1798" s="4"/>
      <c r="FQ1798" s="4"/>
      <c r="FR1798" s="4"/>
      <c r="FS1798" s="4"/>
      <c r="FT1798" s="4"/>
      <c r="FU1798" s="4"/>
      <c r="FV1798" s="4"/>
      <c r="FW1798" s="4"/>
      <c r="FX1798" s="4"/>
      <c r="FY1798" s="4"/>
      <c r="FZ1798" s="4"/>
      <c r="GA1798" s="4"/>
      <c r="GB1798" s="4"/>
      <c r="GC1798" s="4"/>
      <c r="GD1798" s="4"/>
      <c r="GE1798" s="4"/>
      <c r="GF1798" s="4"/>
      <c r="GG1798" s="4"/>
      <c r="GH1798" s="4"/>
      <c r="GI1798" s="4"/>
      <c r="GJ1798" s="4"/>
      <c r="GK1798" s="4"/>
      <c r="GL1798" s="4"/>
      <c r="GM1798" s="4"/>
      <c r="GN1798" s="4"/>
      <c r="GO1798" s="4"/>
      <c r="GP1798" s="4"/>
      <c r="GQ1798" s="4"/>
      <c r="GR1798" s="4"/>
      <c r="GS1798" s="4"/>
      <c r="GT1798" s="4"/>
      <c r="GU1798" s="4"/>
      <c r="GV1798" s="4"/>
      <c r="GW1798" s="4"/>
      <c r="GX1798" s="4"/>
      <c r="GY1798" s="4"/>
      <c r="GZ1798" s="4"/>
      <c r="HA1798" s="4"/>
      <c r="HB1798" s="4"/>
      <c r="HC1798" s="4"/>
      <c r="HD1798" s="4"/>
      <c r="HE1798" s="4"/>
    </row>
    <row r="1799">
      <c r="A1799" s="2" t="s">
        <v>8837</v>
      </c>
      <c r="B1799" s="2" t="s">
        <v>772</v>
      </c>
      <c r="C1799" s="2" t="s">
        <v>300</v>
      </c>
      <c r="D1799" s="2" t="s">
        <v>774</v>
      </c>
      <c r="E1799" s="2" t="s">
        <v>775</v>
      </c>
      <c r="F1799" s="2" t="s">
        <v>8838</v>
      </c>
      <c r="G1799" s="2" t="s">
        <v>8838</v>
      </c>
      <c r="H1799" s="2" t="s">
        <v>8838</v>
      </c>
      <c r="I1799" s="2" t="s">
        <v>8839</v>
      </c>
      <c r="J1799" s="2" t="s">
        <v>1053</v>
      </c>
      <c r="K1799" s="2" t="s">
        <v>1466</v>
      </c>
      <c r="L1799" s="3">
        <v>26.4</v>
      </c>
      <c r="M1799" s="3">
        <v>27.72</v>
      </c>
      <c r="N1799" s="3">
        <v>54.99</v>
      </c>
      <c r="O1799" s="2" t="s">
        <v>240</v>
      </c>
      <c r="P1799" s="2" t="s">
        <v>266</v>
      </c>
      <c r="Q1799" s="2" t="s">
        <v>234</v>
      </c>
      <c r="R1799" s="2" t="s">
        <v>228</v>
      </c>
      <c r="S1799" s="2" t="s">
        <v>8840</v>
      </c>
      <c r="T1799" s="2" t="s">
        <v>350</v>
      </c>
      <c r="U1799" s="2" t="s">
        <v>1054</v>
      </c>
      <c r="V1799" s="2" t="s">
        <v>236</v>
      </c>
      <c r="W1799" s="2" t="s">
        <v>417</v>
      </c>
      <c r="X1799" s="2" t="s">
        <v>228</v>
      </c>
      <c r="Y1799" s="2" t="s">
        <v>8841</v>
      </c>
      <c r="Z1799" s="4">
        <v>3</v>
      </c>
      <c r="AA1799" s="4">
        <f>=ROUNDDOWN(0.0769230769230769,0)</f>
      </c>
      <c r="AB1799" s="5">
        <v>39</v>
      </c>
      <c r="AC1799" s="2" t="s">
        <v>6045</v>
      </c>
      <c r="AD1799" s="4">
        <v>345</v>
      </c>
      <c r="AE1799" s="4">
        <v>1575</v>
      </c>
      <c r="AF1799" s="6">
        <v>73</v>
      </c>
      <c r="AG1799" s="6"/>
      <c r="AH1799" s="7">
        <v>0.4194</v>
      </c>
      <c r="AI1799" s="4"/>
      <c r="AJ1799" s="4">
        <f>=ROUNDDOWN({0},0)</f>
      </c>
      <c r="AK1799" s="5"/>
      <c r="AL1799" s="2" t="s">
        <v>228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/>
      <c r="AW1799" s="8"/>
      <c r="AX1799" s="4"/>
      <c r="AY1799" s="8"/>
      <c r="AZ1799" s="7"/>
      <c r="BA1799" s="7"/>
      <c r="BB1799" s="7"/>
      <c r="BC1799" s="4" t="s">
        <v>228</v>
      </c>
      <c r="BD1799" s="8" t="s">
        <v>228</v>
      </c>
      <c r="BE1799" s="4" t="s">
        <v>228</v>
      </c>
      <c r="BF1799" s="8" t="s">
        <v>228</v>
      </c>
      <c r="BG1799" s="7" t="s">
        <v>228</v>
      </c>
      <c r="BH1799" s="7" t="s">
        <v>228</v>
      </c>
      <c r="BI1799" s="7"/>
      <c r="BJ1799" s="4">
        <v>103</v>
      </c>
      <c r="BK1799" s="8">
        <v>2891.34</v>
      </c>
      <c r="BL1799" s="2" t="s">
        <v>4805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8842</v>
      </c>
      <c r="BV1799" s="2" t="s">
        <v>228</v>
      </c>
      <c r="BW1799" s="2" t="s">
        <v>228</v>
      </c>
      <c r="BX1799" s="2" t="s">
        <v>735</v>
      </c>
      <c r="BY1799" s="2" t="s">
        <v>274</v>
      </c>
      <c r="BZ1799" s="2" t="s">
        <v>240</v>
      </c>
      <c r="CA1799" s="2" t="s">
        <v>8843</v>
      </c>
      <c r="CB1799" s="2" t="s">
        <v>5007</v>
      </c>
      <c r="CC1799" s="2" t="s">
        <v>241</v>
      </c>
      <c r="CD1799" s="2" t="s">
        <v>228</v>
      </c>
      <c r="CE1799" s="4">
        <v>3</v>
      </c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>
        <v>345</v>
      </c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/>
      <c r="FI1799" s="4"/>
      <c r="FJ1799" s="4"/>
      <c r="FK1799" s="4"/>
      <c r="FL1799" s="4"/>
      <c r="FM1799" s="4"/>
      <c r="FN1799" s="4">
        <v>530</v>
      </c>
      <c r="FO1799" s="4"/>
      <c r="FP1799" s="4"/>
      <c r="FQ1799" s="4"/>
      <c r="FR1799" s="4"/>
      <c r="FS1799" s="4"/>
      <c r="FT1799" s="4"/>
      <c r="FU1799" s="4">
        <v>350</v>
      </c>
      <c r="FV1799" s="4"/>
      <c r="FW1799" s="4"/>
      <c r="FX1799" s="4"/>
      <c r="FY1799" s="4"/>
      <c r="FZ1799" s="4"/>
      <c r="GA1799" s="4"/>
      <c r="GB1799" s="4"/>
      <c r="GC1799" s="4"/>
      <c r="GD1799" s="4"/>
      <c r="GE1799" s="4"/>
      <c r="GF1799" s="4">
        <v>350</v>
      </c>
      <c r="GG1799" s="4"/>
      <c r="GH1799" s="4"/>
      <c r="GI1799" s="4"/>
      <c r="GJ1799" s="4"/>
      <c r="GK1799" s="4"/>
      <c r="GL1799" s="4"/>
      <c r="GM1799" s="4"/>
      <c r="GN1799" s="4"/>
      <c r="GO1799" s="4"/>
      <c r="GP1799" s="4"/>
      <c r="GQ1799" s="4"/>
      <c r="GR1799" s="4"/>
      <c r="GS1799" s="4"/>
      <c r="GT1799" s="4"/>
      <c r="GU1799" s="4"/>
      <c r="GV1799" s="4"/>
      <c r="GW1799" s="4"/>
      <c r="GX1799" s="4"/>
      <c r="GY1799" s="4"/>
      <c r="GZ1799" s="4"/>
      <c r="HA1799" s="4"/>
      <c r="HB1799" s="4"/>
      <c r="HC1799" s="4"/>
      <c r="HD1799" s="4"/>
      <c r="HE1799" s="4"/>
    </row>
    <row r="1800">
      <c r="A1800" s="2" t="s">
        <v>8844</v>
      </c>
      <c r="B1800" s="2" t="s">
        <v>772</v>
      </c>
      <c r="C1800" s="2" t="s">
        <v>300</v>
      </c>
      <c r="D1800" s="2" t="s">
        <v>774</v>
      </c>
      <c r="E1800" s="2" t="s">
        <v>775</v>
      </c>
      <c r="F1800" s="2" t="s">
        <v>8838</v>
      </c>
      <c r="G1800" s="2" t="s">
        <v>8838</v>
      </c>
      <c r="H1800" s="2" t="s">
        <v>8838</v>
      </c>
      <c r="I1800" s="2" t="s">
        <v>8839</v>
      </c>
      <c r="J1800" s="2" t="s">
        <v>1053</v>
      </c>
      <c r="K1800" s="2" t="s">
        <v>480</v>
      </c>
      <c r="L1800" s="3">
        <v>26.4</v>
      </c>
      <c r="M1800" s="3">
        <v>27.72</v>
      </c>
      <c r="N1800" s="3">
        <v>54.99</v>
      </c>
      <c r="O1800" s="2" t="s">
        <v>240</v>
      </c>
      <c r="P1800" s="2" t="s">
        <v>266</v>
      </c>
      <c r="Q1800" s="2" t="s">
        <v>234</v>
      </c>
      <c r="R1800" s="2" t="s">
        <v>228</v>
      </c>
      <c r="S1800" s="2" t="s">
        <v>228</v>
      </c>
      <c r="T1800" s="2" t="s">
        <v>228</v>
      </c>
      <c r="U1800" s="2" t="s">
        <v>1054</v>
      </c>
      <c r="V1800" s="2" t="s">
        <v>236</v>
      </c>
      <c r="W1800" s="2" t="s">
        <v>417</v>
      </c>
      <c r="X1800" s="2" t="s">
        <v>228</v>
      </c>
      <c r="Y1800" s="2" t="s">
        <v>1055</v>
      </c>
      <c r="Z1800" s="4">
        <v>173</v>
      </c>
      <c r="AA1800" s="4">
        <f>=ROUNDDOWN(4.11904761904762,0)</f>
      </c>
      <c r="AB1800" s="5">
        <v>42</v>
      </c>
      <c r="AC1800" s="2" t="s">
        <v>159</v>
      </c>
      <c r="AD1800" s="4">
        <v>350</v>
      </c>
      <c r="AE1800" s="4">
        <v>1400</v>
      </c>
      <c r="AF1800" s="6">
        <v>73</v>
      </c>
      <c r="AG1800" s="6"/>
      <c r="AH1800" s="7">
        <v>1</v>
      </c>
      <c r="AI1800" s="4"/>
      <c r="AJ1800" s="4">
        <f>=ROUNDDOWN({0},0)</f>
      </c>
      <c r="AK1800" s="5"/>
      <c r="AL1800" s="2" t="s">
        <v>228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/>
      <c r="AW1800" s="8"/>
      <c r="AX1800" s="4"/>
      <c r="AY1800" s="8"/>
      <c r="AZ1800" s="7"/>
      <c r="BA1800" s="7"/>
      <c r="BB1800" s="7"/>
      <c r="BC1800" s="4" t="s">
        <v>228</v>
      </c>
      <c r="BD1800" s="8" t="s">
        <v>228</v>
      </c>
      <c r="BE1800" s="4" t="s">
        <v>228</v>
      </c>
      <c r="BF1800" s="8" t="s">
        <v>228</v>
      </c>
      <c r="BG1800" s="7" t="s">
        <v>228</v>
      </c>
      <c r="BH1800" s="7" t="s">
        <v>228</v>
      </c>
      <c r="BI1800" s="7"/>
      <c r="BJ1800" s="4">
        <v>241</v>
      </c>
      <c r="BK1800" s="8">
        <v>6932.74</v>
      </c>
      <c r="BL1800" s="2" t="s">
        <v>8845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8846</v>
      </c>
      <c r="BV1800" s="2" t="s">
        <v>228</v>
      </c>
      <c r="BW1800" s="2" t="s">
        <v>228</v>
      </c>
      <c r="BX1800" s="2" t="s">
        <v>735</v>
      </c>
      <c r="BY1800" s="2" t="s">
        <v>274</v>
      </c>
      <c r="BZ1800" s="2" t="s">
        <v>240</v>
      </c>
      <c r="CA1800" s="2" t="s">
        <v>4191</v>
      </c>
      <c r="CB1800" s="2" t="s">
        <v>7835</v>
      </c>
      <c r="CC1800" s="2" t="s">
        <v>241</v>
      </c>
      <c r="CD1800" s="2" t="s">
        <v>228</v>
      </c>
      <c r="CE1800" s="4">
        <v>173</v>
      </c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/>
      <c r="EL1800" s="4"/>
      <c r="EM1800" s="4"/>
      <c r="EN1800" s="4"/>
      <c r="EO1800" s="4"/>
      <c r="EP1800" s="4"/>
      <c r="EQ1800" s="4"/>
      <c r="ER1800" s="4"/>
      <c r="ES1800" s="4"/>
      <c r="ET1800" s="4"/>
      <c r="EU1800" s="4">
        <v>350</v>
      </c>
      <c r="EV1800" s="4"/>
      <c r="EW1800" s="4"/>
      <c r="EX1800" s="4"/>
      <c r="EY1800" s="4"/>
      <c r="EZ1800" s="4"/>
      <c r="FA1800" s="4"/>
      <c r="FB1800" s="4"/>
      <c r="FC1800" s="4"/>
      <c r="FD1800" s="4"/>
      <c r="FE1800" s="4"/>
      <c r="FF1800" s="4"/>
      <c r="FG1800" s="4"/>
      <c r="FH1800" s="4"/>
      <c r="FI1800" s="4"/>
      <c r="FJ1800" s="4"/>
      <c r="FK1800" s="4"/>
      <c r="FL1800" s="4"/>
      <c r="FM1800" s="4"/>
      <c r="FN1800" s="4">
        <v>350</v>
      </c>
      <c r="FO1800" s="4"/>
      <c r="FP1800" s="4"/>
      <c r="FQ1800" s="4"/>
      <c r="FR1800" s="4"/>
      <c r="FS1800" s="4"/>
      <c r="FT1800" s="4"/>
      <c r="FU1800" s="4"/>
      <c r="FV1800" s="4"/>
      <c r="FW1800" s="4"/>
      <c r="FX1800" s="4"/>
      <c r="FY1800" s="4"/>
      <c r="FZ1800" s="4"/>
      <c r="GA1800" s="4"/>
      <c r="GB1800" s="4"/>
      <c r="GC1800" s="4"/>
      <c r="GD1800" s="4"/>
      <c r="GE1800" s="4"/>
      <c r="GF1800" s="4">
        <v>350</v>
      </c>
      <c r="GG1800" s="4"/>
      <c r="GH1800" s="4"/>
      <c r="GI1800" s="4"/>
      <c r="GJ1800" s="4"/>
      <c r="GK1800" s="4"/>
      <c r="GL1800" s="4"/>
      <c r="GM1800" s="4"/>
      <c r="GN1800" s="4"/>
      <c r="GO1800" s="4"/>
      <c r="GP1800" s="4"/>
      <c r="GQ1800" s="4"/>
      <c r="GR1800" s="4"/>
      <c r="GS1800" s="4"/>
      <c r="GT1800" s="4"/>
      <c r="GU1800" s="4"/>
      <c r="GV1800" s="4"/>
      <c r="GW1800" s="4"/>
      <c r="GX1800" s="4">
        <v>350</v>
      </c>
      <c r="GY1800" s="4"/>
      <c r="GZ1800" s="4"/>
      <c r="HA1800" s="4"/>
      <c r="HB1800" s="4"/>
      <c r="HC1800" s="4"/>
      <c r="HD1800" s="4"/>
      <c r="HE1800" s="4"/>
    </row>
    <row r="1801">
      <c r="A1801" s="2" t="s">
        <v>8847</v>
      </c>
      <c r="B1801" s="2" t="s">
        <v>772</v>
      </c>
      <c r="C1801" s="2" t="s">
        <v>300</v>
      </c>
      <c r="D1801" s="2" t="s">
        <v>774</v>
      </c>
      <c r="E1801" s="2" t="s">
        <v>775</v>
      </c>
      <c r="F1801" s="2" t="s">
        <v>8838</v>
      </c>
      <c r="G1801" s="2" t="s">
        <v>8838</v>
      </c>
      <c r="H1801" s="2" t="s">
        <v>8838</v>
      </c>
      <c r="I1801" s="2" t="s">
        <v>8839</v>
      </c>
      <c r="J1801" s="2" t="s">
        <v>1053</v>
      </c>
      <c r="K1801" s="2" t="s">
        <v>316</v>
      </c>
      <c r="L1801" s="3">
        <v>26.4</v>
      </c>
      <c r="M1801" s="3">
        <v>27.72</v>
      </c>
      <c r="N1801" s="3">
        <v>54.99</v>
      </c>
      <c r="O1801" s="2" t="s">
        <v>240</v>
      </c>
      <c r="P1801" s="2" t="s">
        <v>715</v>
      </c>
      <c r="Q1801" s="2" t="s">
        <v>234</v>
      </c>
      <c r="R1801" s="2" t="s">
        <v>228</v>
      </c>
      <c r="S1801" s="2" t="s">
        <v>8840</v>
      </c>
      <c r="T1801" s="2" t="s">
        <v>350</v>
      </c>
      <c r="U1801" s="2" t="s">
        <v>1054</v>
      </c>
      <c r="V1801" s="2" t="s">
        <v>236</v>
      </c>
      <c r="W1801" s="2" t="s">
        <v>417</v>
      </c>
      <c r="X1801" s="2" t="s">
        <v>228</v>
      </c>
      <c r="Y1801" s="2" t="s">
        <v>8848</v>
      </c>
      <c r="Z1801" s="4">
        <v>9</v>
      </c>
      <c r="AA1801" s="4">
        <f>=ROUNDDOWN(0.176470588235294,0)</f>
      </c>
      <c r="AB1801" s="5">
        <v>51</v>
      </c>
      <c r="AC1801" s="2" t="s">
        <v>6045</v>
      </c>
      <c r="AD1801" s="4">
        <v>342</v>
      </c>
      <c r="AE1801" s="4">
        <v>2092</v>
      </c>
      <c r="AF1801" s="6">
        <v>73</v>
      </c>
      <c r="AG1801" s="6"/>
      <c r="AH1801" s="7">
        <v>0.0645</v>
      </c>
      <c r="AI1801" s="4"/>
      <c r="AJ1801" s="4">
        <f>=ROUNDDOWN({0},0)</f>
      </c>
      <c r="AK1801" s="5"/>
      <c r="AL1801" s="2" t="s">
        <v>228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/>
      <c r="AW1801" s="8"/>
      <c r="AX1801" s="4"/>
      <c r="AY1801" s="8"/>
      <c r="AZ1801" s="7"/>
      <c r="BA1801" s="7"/>
      <c r="BB1801" s="7"/>
      <c r="BC1801" s="4" t="s">
        <v>228</v>
      </c>
      <c r="BD1801" s="8" t="s">
        <v>228</v>
      </c>
      <c r="BE1801" s="4" t="s">
        <v>228</v>
      </c>
      <c r="BF1801" s="8" t="s">
        <v>228</v>
      </c>
      <c r="BG1801" s="7" t="s">
        <v>228</v>
      </c>
      <c r="BH1801" s="7" t="s">
        <v>228</v>
      </c>
      <c r="BI1801" s="7"/>
      <c r="BJ1801" s="4">
        <v>18</v>
      </c>
      <c r="BK1801" s="8">
        <v>518.41</v>
      </c>
      <c r="BL1801" s="2" t="s">
        <v>8849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8850</v>
      </c>
      <c r="BV1801" s="2" t="s">
        <v>228</v>
      </c>
      <c r="BW1801" s="2" t="s">
        <v>228</v>
      </c>
      <c r="BX1801" s="2" t="s">
        <v>735</v>
      </c>
      <c r="BY1801" s="2" t="s">
        <v>274</v>
      </c>
      <c r="BZ1801" s="2" t="s">
        <v>240</v>
      </c>
      <c r="CA1801" s="2" t="s">
        <v>8851</v>
      </c>
      <c r="CB1801" s="2" t="s">
        <v>3998</v>
      </c>
      <c r="CC1801" s="2" t="s">
        <v>241</v>
      </c>
      <c r="CD1801" s="2" t="s">
        <v>228</v>
      </c>
      <c r="CE1801" s="4">
        <v>9</v>
      </c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>
        <v>342</v>
      </c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>
        <v>350</v>
      </c>
      <c r="EV1801" s="4"/>
      <c r="EW1801" s="4"/>
      <c r="EX1801" s="4"/>
      <c r="EY1801" s="4"/>
      <c r="EZ1801" s="4"/>
      <c r="FA1801" s="4"/>
      <c r="FB1801" s="4"/>
      <c r="FC1801" s="4"/>
      <c r="FD1801" s="4"/>
      <c r="FE1801" s="4"/>
      <c r="FF1801" s="4"/>
      <c r="FG1801" s="4"/>
      <c r="FH1801" s="4"/>
      <c r="FI1801" s="4"/>
      <c r="FJ1801" s="4"/>
      <c r="FK1801" s="4"/>
      <c r="FL1801" s="4"/>
      <c r="FM1801" s="4"/>
      <c r="FN1801" s="4">
        <v>350</v>
      </c>
      <c r="FO1801" s="4"/>
      <c r="FP1801" s="4"/>
      <c r="FQ1801" s="4"/>
      <c r="FR1801" s="4"/>
      <c r="FS1801" s="4"/>
      <c r="FT1801" s="4"/>
      <c r="FU1801" s="4">
        <v>700</v>
      </c>
      <c r="FV1801" s="4"/>
      <c r="FW1801" s="4"/>
      <c r="FX1801" s="4"/>
      <c r="FY1801" s="4"/>
      <c r="FZ1801" s="4"/>
      <c r="GA1801" s="4"/>
      <c r="GB1801" s="4"/>
      <c r="GC1801" s="4"/>
      <c r="GD1801" s="4"/>
      <c r="GE1801" s="4"/>
      <c r="GF1801" s="4"/>
      <c r="GG1801" s="4"/>
      <c r="GH1801" s="4"/>
      <c r="GI1801" s="4"/>
      <c r="GJ1801" s="4"/>
      <c r="GK1801" s="4"/>
      <c r="GL1801" s="4"/>
      <c r="GM1801" s="4"/>
      <c r="GN1801" s="4"/>
      <c r="GO1801" s="4"/>
      <c r="GP1801" s="4"/>
      <c r="GQ1801" s="4"/>
      <c r="GR1801" s="4"/>
      <c r="GS1801" s="4"/>
      <c r="GT1801" s="4"/>
      <c r="GU1801" s="4"/>
      <c r="GV1801" s="4"/>
      <c r="GW1801" s="4"/>
      <c r="GX1801" s="4">
        <v>350</v>
      </c>
      <c r="GY1801" s="4"/>
      <c r="GZ1801" s="4"/>
      <c r="HA1801" s="4"/>
      <c r="HB1801" s="4"/>
      <c r="HC1801" s="4"/>
      <c r="HD1801" s="4"/>
      <c r="HE1801" s="4"/>
    </row>
    <row r="1802">
      <c r="A1802" s="2" t="s">
        <v>8852</v>
      </c>
      <c r="B1802" s="2" t="s">
        <v>1150</v>
      </c>
      <c r="C1802" s="2" t="s">
        <v>3315</v>
      </c>
      <c r="D1802" s="2" t="s">
        <v>1112</v>
      </c>
      <c r="E1802" s="2" t="s">
        <v>1113</v>
      </c>
      <c r="F1802" s="2" t="s">
        <v>8853</v>
      </c>
      <c r="G1802" s="2" t="s">
        <v>8853</v>
      </c>
      <c r="H1802" s="2" t="s">
        <v>8853</v>
      </c>
      <c r="I1802" s="2" t="s">
        <v>8854</v>
      </c>
      <c r="J1802" s="2" t="s">
        <v>1189</v>
      </c>
      <c r="K1802" s="2" t="s">
        <v>249</v>
      </c>
      <c r="L1802" s="3">
        <v>72</v>
      </c>
      <c r="M1802" s="3">
        <v>75.6</v>
      </c>
      <c r="N1802" s="3">
        <v>159.99</v>
      </c>
      <c r="O1802" s="2" t="s">
        <v>491</v>
      </c>
      <c r="P1802" s="2" t="s">
        <v>333</v>
      </c>
      <c r="Q1802" s="2" t="s">
        <v>234</v>
      </c>
      <c r="R1802" s="2" t="s">
        <v>228</v>
      </c>
      <c r="S1802" s="2" t="s">
        <v>8855</v>
      </c>
      <c r="T1802" s="2" t="s">
        <v>228</v>
      </c>
      <c r="U1802" s="2" t="s">
        <v>500</v>
      </c>
      <c r="V1802" s="2" t="s">
        <v>236</v>
      </c>
      <c r="W1802" s="2" t="s">
        <v>417</v>
      </c>
      <c r="X1802" s="2" t="s">
        <v>3008</v>
      </c>
      <c r="Y1802" s="2" t="s">
        <v>5399</v>
      </c>
      <c r="Z1802" s="4">
        <v>15</v>
      </c>
      <c r="AA1802" s="4">
        <f>=ROUNDDOWN(25,0)</f>
      </c>
      <c r="AB1802" s="5">
        <v>0.6</v>
      </c>
      <c r="AC1802" s="2" t="s">
        <v>228</v>
      </c>
      <c r="AD1802" s="4"/>
      <c r="AE1802" s="4"/>
      <c r="AF1802" s="6">
        <v>65</v>
      </c>
      <c r="AG1802" s="6"/>
      <c r="AH1802" s="7">
        <v>1</v>
      </c>
      <c r="AI1802" s="4"/>
      <c r="AJ1802" s="4">
        <f>=ROUNDDOWN({0},0)</f>
      </c>
      <c r="AK1802" s="5"/>
      <c r="AL1802" s="2" t="s">
        <v>228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 t="s">
        <v>228</v>
      </c>
      <c r="AW1802" s="8" t="s">
        <v>228</v>
      </c>
      <c r="AX1802" s="4" t="s">
        <v>228</v>
      </c>
      <c r="AY1802" s="8" t="s">
        <v>228</v>
      </c>
      <c r="AZ1802" s="7" t="s">
        <v>228</v>
      </c>
      <c r="BA1802" s="7" t="s">
        <v>228</v>
      </c>
      <c r="BB1802" s="7"/>
      <c r="BC1802" s="4" t="s">
        <v>228</v>
      </c>
      <c r="BD1802" s="8" t="s">
        <v>228</v>
      </c>
      <c r="BE1802" s="4" t="s">
        <v>228</v>
      </c>
      <c r="BF1802" s="8" t="s">
        <v>228</v>
      </c>
      <c r="BG1802" s="7" t="s">
        <v>228</v>
      </c>
      <c r="BH1802" s="7" t="s">
        <v>228</v>
      </c>
      <c r="BI1802" s="7"/>
      <c r="BJ1802" s="4">
        <v>2</v>
      </c>
      <c r="BK1802" s="8">
        <v>103.2</v>
      </c>
      <c r="BL1802" s="2" t="s">
        <v>3646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8856</v>
      </c>
      <c r="BV1802" s="2" t="s">
        <v>228</v>
      </c>
      <c r="BW1802" s="2" t="s">
        <v>228</v>
      </c>
      <c r="BX1802" s="2" t="s">
        <v>337</v>
      </c>
      <c r="BY1802" s="2" t="s">
        <v>274</v>
      </c>
      <c r="BZ1802" s="2" t="s">
        <v>240</v>
      </c>
      <c r="CA1802" s="2" t="s">
        <v>7747</v>
      </c>
      <c r="CB1802" s="2" t="s">
        <v>2643</v>
      </c>
      <c r="CC1802" s="2" t="s">
        <v>241</v>
      </c>
      <c r="CD1802" s="2" t="s">
        <v>228</v>
      </c>
      <c r="CE1802" s="4">
        <v>15</v>
      </c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/>
      <c r="DW1802" s="4"/>
      <c r="DX1802" s="4"/>
      <c r="DY1802" s="4"/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  <c r="EM1802" s="4"/>
      <c r="EN1802" s="4"/>
      <c r="EO1802" s="4"/>
      <c r="EP1802" s="4"/>
      <c r="EQ1802" s="4"/>
      <c r="ER1802" s="4"/>
      <c r="ES1802" s="4"/>
      <c r="ET1802" s="4"/>
      <c r="EU1802" s="4"/>
      <c r="EV1802" s="4"/>
      <c r="EW1802" s="4"/>
      <c r="EX1802" s="4"/>
      <c r="EY1802" s="4"/>
      <c r="EZ1802" s="4"/>
      <c r="FA1802" s="4"/>
      <c r="FB1802" s="4"/>
      <c r="FC1802" s="4"/>
      <c r="FD1802" s="4"/>
      <c r="FE1802" s="4"/>
      <c r="FF1802" s="4"/>
      <c r="FG1802" s="4"/>
      <c r="FH1802" s="4"/>
      <c r="FI1802" s="4"/>
      <c r="FJ1802" s="4"/>
      <c r="FK1802" s="4"/>
      <c r="FL1802" s="4"/>
      <c r="FM1802" s="4"/>
      <c r="FN1802" s="4"/>
      <c r="FO1802" s="4"/>
      <c r="FP1802" s="4"/>
      <c r="FQ1802" s="4"/>
      <c r="FR1802" s="4"/>
      <c r="FS1802" s="4"/>
      <c r="FT1802" s="4"/>
      <c r="FU1802" s="4"/>
      <c r="FV1802" s="4"/>
      <c r="FW1802" s="4"/>
      <c r="FX1802" s="4"/>
      <c r="FY1802" s="4"/>
      <c r="FZ1802" s="4"/>
      <c r="GA1802" s="4"/>
      <c r="GB1802" s="4"/>
      <c r="GC1802" s="4"/>
      <c r="GD1802" s="4"/>
      <c r="GE1802" s="4"/>
      <c r="GF1802" s="4"/>
      <c r="GG1802" s="4"/>
      <c r="GH1802" s="4"/>
      <c r="GI1802" s="4"/>
      <c r="GJ1802" s="4"/>
      <c r="GK1802" s="4"/>
      <c r="GL1802" s="4"/>
      <c r="GM1802" s="4"/>
      <c r="GN1802" s="4"/>
      <c r="GO1802" s="4"/>
      <c r="GP1802" s="4"/>
      <c r="GQ1802" s="4"/>
      <c r="GR1802" s="4"/>
      <c r="GS1802" s="4"/>
      <c r="GT1802" s="4"/>
      <c r="GU1802" s="4"/>
      <c r="GV1802" s="4"/>
      <c r="GW1802" s="4"/>
      <c r="GX1802" s="4"/>
      <c r="GY1802" s="4"/>
      <c r="GZ1802" s="4"/>
      <c r="HA1802" s="4"/>
      <c r="HB1802" s="4"/>
      <c r="HC1802" s="4"/>
      <c r="HD1802" s="4"/>
      <c r="HE1802" s="4"/>
    </row>
    <row r="1803">
      <c r="A1803" s="2" t="s">
        <v>8857</v>
      </c>
      <c r="B1803" s="2" t="s">
        <v>1150</v>
      </c>
      <c r="C1803" s="2" t="s">
        <v>3315</v>
      </c>
      <c r="D1803" s="2" t="s">
        <v>1862</v>
      </c>
      <c r="E1803" s="2" t="s">
        <v>1863</v>
      </c>
      <c r="F1803" s="2" t="s">
        <v>8853</v>
      </c>
      <c r="G1803" s="2" t="s">
        <v>8853</v>
      </c>
      <c r="H1803" s="2" t="s">
        <v>8853</v>
      </c>
      <c r="I1803" s="2" t="s">
        <v>8858</v>
      </c>
      <c r="J1803" s="2" t="s">
        <v>2317</v>
      </c>
      <c r="K1803" s="2" t="s">
        <v>249</v>
      </c>
      <c r="L1803" s="3">
        <v>18</v>
      </c>
      <c r="M1803" s="3">
        <v>18.9</v>
      </c>
      <c r="N1803" s="3">
        <v>39.99</v>
      </c>
      <c r="O1803" s="2" t="s">
        <v>491</v>
      </c>
      <c r="P1803" s="2" t="s">
        <v>333</v>
      </c>
      <c r="Q1803" s="2" t="s">
        <v>234</v>
      </c>
      <c r="R1803" s="2" t="s">
        <v>228</v>
      </c>
      <c r="S1803" s="2" t="s">
        <v>8855</v>
      </c>
      <c r="T1803" s="2" t="s">
        <v>228</v>
      </c>
      <c r="U1803" s="2" t="s">
        <v>416</v>
      </c>
      <c r="V1803" s="2" t="s">
        <v>236</v>
      </c>
      <c r="W1803" s="2" t="s">
        <v>417</v>
      </c>
      <c r="X1803" s="2" t="s">
        <v>8859</v>
      </c>
      <c r="Y1803" s="2" t="s">
        <v>2080</v>
      </c>
      <c r="Z1803" s="4">
        <v>34</v>
      </c>
      <c r="AA1803" s="4">
        <f>=ROUNDDOWN({0},0)</f>
      </c>
      <c r="AB1803" s="5"/>
      <c r="AC1803" s="2" t="s">
        <v>228</v>
      </c>
      <c r="AD1803" s="4"/>
      <c r="AE1803" s="4"/>
      <c r="AF1803" s="6">
        <v>65</v>
      </c>
      <c r="AG1803" s="6"/>
      <c r="AH1803" s="7">
        <v>1</v>
      </c>
      <c r="AI1803" s="4"/>
      <c r="AJ1803" s="4">
        <f>=ROUNDDOWN({0},0)</f>
      </c>
      <c r="AK1803" s="5"/>
      <c r="AL1803" s="2" t="s">
        <v>228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 t="s">
        <v>228</v>
      </c>
      <c r="AW1803" s="8" t="s">
        <v>228</v>
      </c>
      <c r="AX1803" s="4" t="s">
        <v>228</v>
      </c>
      <c r="AY1803" s="8" t="s">
        <v>228</v>
      </c>
      <c r="AZ1803" s="7" t="s">
        <v>228</v>
      </c>
      <c r="BA1803" s="7" t="s">
        <v>228</v>
      </c>
      <c r="BB1803" s="7"/>
      <c r="BC1803" s="4" t="s">
        <v>228</v>
      </c>
      <c r="BD1803" s="8" t="s">
        <v>228</v>
      </c>
      <c r="BE1803" s="4" t="s">
        <v>228</v>
      </c>
      <c r="BF1803" s="8" t="s">
        <v>228</v>
      </c>
      <c r="BG1803" s="7" t="s">
        <v>228</v>
      </c>
      <c r="BH1803" s="7" t="s">
        <v>228</v>
      </c>
      <c r="BI1803" s="7"/>
      <c r="BJ1803" s="4"/>
      <c r="BK1803" s="8"/>
      <c r="BL1803" s="2" t="s">
        <v>622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8860</v>
      </c>
      <c r="BV1803" s="2" t="s">
        <v>228</v>
      </c>
      <c r="BW1803" s="2" t="s">
        <v>228</v>
      </c>
      <c r="BX1803" s="2" t="s">
        <v>337</v>
      </c>
      <c r="BY1803" s="2" t="s">
        <v>274</v>
      </c>
      <c r="BZ1803" s="2" t="s">
        <v>240</v>
      </c>
      <c r="CA1803" s="2" t="s">
        <v>8861</v>
      </c>
      <c r="CB1803" s="2" t="s">
        <v>2295</v>
      </c>
      <c r="CC1803" s="2" t="s">
        <v>241</v>
      </c>
      <c r="CD1803" s="2" t="s">
        <v>228</v>
      </c>
      <c r="CE1803" s="4">
        <v>34</v>
      </c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  <c r="ES1803" s="4"/>
      <c r="ET1803" s="4"/>
      <c r="EU1803" s="4"/>
      <c r="EV1803" s="4"/>
      <c r="EW1803" s="4"/>
      <c r="EX1803" s="4"/>
      <c r="EY1803" s="4"/>
      <c r="EZ1803" s="4"/>
      <c r="FA1803" s="4"/>
      <c r="FB1803" s="4"/>
      <c r="FC1803" s="4"/>
      <c r="FD1803" s="4"/>
      <c r="FE1803" s="4"/>
      <c r="FF1803" s="4"/>
      <c r="FG1803" s="4"/>
      <c r="FH1803" s="4"/>
      <c r="FI1803" s="4"/>
      <c r="FJ1803" s="4"/>
      <c r="FK1803" s="4"/>
      <c r="FL1803" s="4"/>
      <c r="FM1803" s="4"/>
      <c r="FN1803" s="4"/>
      <c r="FO1803" s="4"/>
      <c r="FP1803" s="4"/>
      <c r="FQ1803" s="4"/>
      <c r="FR1803" s="4"/>
      <c r="FS1803" s="4"/>
      <c r="FT1803" s="4"/>
      <c r="FU1803" s="4"/>
      <c r="FV1803" s="4"/>
      <c r="FW1803" s="4"/>
      <c r="FX1803" s="4"/>
      <c r="FY1803" s="4"/>
      <c r="FZ1803" s="4"/>
      <c r="GA1803" s="4"/>
      <c r="GB1803" s="4"/>
      <c r="GC1803" s="4"/>
      <c r="GD1803" s="4"/>
      <c r="GE1803" s="4"/>
      <c r="GF1803" s="4"/>
      <c r="GG1803" s="4"/>
      <c r="GH1803" s="4"/>
      <c r="GI1803" s="4"/>
      <c r="GJ1803" s="4"/>
      <c r="GK1803" s="4"/>
      <c r="GL1803" s="4"/>
      <c r="GM1803" s="4"/>
      <c r="GN1803" s="4"/>
      <c r="GO1803" s="4"/>
      <c r="GP1803" s="4"/>
      <c r="GQ1803" s="4"/>
      <c r="GR1803" s="4"/>
      <c r="GS1803" s="4"/>
      <c r="GT1803" s="4"/>
      <c r="GU1803" s="4"/>
      <c r="GV1803" s="4"/>
      <c r="GW1803" s="4"/>
      <c r="GX1803" s="4"/>
      <c r="GY1803" s="4"/>
      <c r="GZ1803" s="4"/>
      <c r="HA1803" s="4"/>
      <c r="HB1803" s="4"/>
      <c r="HC1803" s="4"/>
      <c r="HD1803" s="4"/>
      <c r="HE1803" s="4"/>
    </row>
    <row r="1804">
      <c r="A1804" s="2" t="s">
        <v>8862</v>
      </c>
      <c r="B1804" s="2" t="s">
        <v>834</v>
      </c>
      <c r="C1804" s="2" t="s">
        <v>835</v>
      </c>
      <c r="D1804" s="2" t="s">
        <v>1028</v>
      </c>
      <c r="E1804" s="2" t="s">
        <v>1029</v>
      </c>
      <c r="F1804" s="2" t="s">
        <v>8863</v>
      </c>
      <c r="G1804" s="2" t="s">
        <v>8863</v>
      </c>
      <c r="H1804" s="2" t="s">
        <v>8863</v>
      </c>
      <c r="I1804" s="2" t="s">
        <v>8864</v>
      </c>
      <c r="J1804" s="2" t="s">
        <v>840</v>
      </c>
      <c r="K1804" s="2" t="s">
        <v>8865</v>
      </c>
      <c r="L1804" s="3">
        <v>62</v>
      </c>
      <c r="M1804" s="3">
        <v>65.1</v>
      </c>
      <c r="N1804" s="3">
        <v>129.99</v>
      </c>
      <c r="O1804" s="2" t="s">
        <v>461</v>
      </c>
      <c r="P1804" s="2" t="s">
        <v>333</v>
      </c>
      <c r="Q1804" s="2" t="s">
        <v>234</v>
      </c>
      <c r="R1804" s="2" t="s">
        <v>228</v>
      </c>
      <c r="S1804" s="2" t="s">
        <v>228</v>
      </c>
      <c r="T1804" s="2" t="s">
        <v>228</v>
      </c>
      <c r="U1804" s="2" t="s">
        <v>416</v>
      </c>
      <c r="V1804" s="2" t="s">
        <v>842</v>
      </c>
      <c r="W1804" s="2" t="s">
        <v>417</v>
      </c>
      <c r="X1804" s="2" t="s">
        <v>1628</v>
      </c>
      <c r="Y1804" s="2" t="s">
        <v>1467</v>
      </c>
      <c r="Z1804" s="4">
        <v>84</v>
      </c>
      <c r="AA1804" s="4">
        <f>=ROUNDDOWN(840,0)</f>
      </c>
      <c r="AB1804" s="5">
        <v>0.1</v>
      </c>
      <c r="AC1804" s="2" t="s">
        <v>228</v>
      </c>
      <c r="AD1804" s="4"/>
      <c r="AE1804" s="4"/>
      <c r="AF1804" s="6">
        <v>63</v>
      </c>
      <c r="AG1804" s="6"/>
      <c r="AH1804" s="7">
        <v>1</v>
      </c>
      <c r="AI1804" s="4"/>
      <c r="AJ1804" s="4">
        <f>=ROUNDDOWN({0},0)</f>
      </c>
      <c r="AK1804" s="5"/>
      <c r="AL1804" s="2" t="s">
        <v>228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/>
      <c r="AW1804" s="8"/>
      <c r="AX1804" s="4"/>
      <c r="AY1804" s="8"/>
      <c r="AZ1804" s="7"/>
      <c r="BA1804" s="7"/>
      <c r="BB1804" s="7"/>
      <c r="BC1804" s="4"/>
      <c r="BD1804" s="8"/>
      <c r="BE1804" s="4"/>
      <c r="BF1804" s="8"/>
      <c r="BG1804" s="7"/>
      <c r="BH1804" s="7"/>
      <c r="BI1804" s="7"/>
      <c r="BJ1804" s="4"/>
      <c r="BK1804" s="8"/>
      <c r="BL1804" s="2" t="s">
        <v>228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8866</v>
      </c>
      <c r="BV1804" s="2" t="s">
        <v>228</v>
      </c>
      <c r="BW1804" s="2" t="s">
        <v>228</v>
      </c>
      <c r="BX1804" s="2" t="s">
        <v>337</v>
      </c>
      <c r="BY1804" s="2" t="s">
        <v>274</v>
      </c>
      <c r="BZ1804" s="2" t="s">
        <v>240</v>
      </c>
      <c r="CA1804" s="2" t="s">
        <v>1631</v>
      </c>
      <c r="CB1804" s="2" t="s">
        <v>927</v>
      </c>
      <c r="CC1804" s="2" t="s">
        <v>241</v>
      </c>
      <c r="CD1804" s="2" t="s">
        <v>228</v>
      </c>
      <c r="CE1804" s="4"/>
      <c r="CF1804" s="4">
        <v>84</v>
      </c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  <c r="ES1804" s="4"/>
      <c r="ET1804" s="4"/>
      <c r="EU1804" s="4"/>
      <c r="EV1804" s="4"/>
      <c r="EW1804" s="4"/>
      <c r="EX1804" s="4"/>
      <c r="EY1804" s="4"/>
      <c r="EZ1804" s="4"/>
      <c r="FA1804" s="4"/>
      <c r="FB1804" s="4"/>
      <c r="FC1804" s="4"/>
      <c r="FD1804" s="4"/>
      <c r="FE1804" s="4"/>
      <c r="FF1804" s="4"/>
      <c r="FG1804" s="4"/>
      <c r="FH1804" s="4"/>
      <c r="FI1804" s="4"/>
      <c r="FJ1804" s="4"/>
      <c r="FK1804" s="4"/>
      <c r="FL1804" s="4"/>
      <c r="FM1804" s="4"/>
      <c r="FN1804" s="4"/>
      <c r="FO1804" s="4"/>
      <c r="FP1804" s="4"/>
      <c r="FQ1804" s="4"/>
      <c r="FR1804" s="4"/>
      <c r="FS1804" s="4"/>
      <c r="FT1804" s="4"/>
      <c r="FU1804" s="4"/>
      <c r="FV1804" s="4"/>
      <c r="FW1804" s="4"/>
      <c r="FX1804" s="4"/>
      <c r="FY1804" s="4"/>
      <c r="FZ1804" s="4"/>
      <c r="GA1804" s="4"/>
      <c r="GB1804" s="4"/>
      <c r="GC1804" s="4"/>
      <c r="GD1804" s="4"/>
      <c r="GE1804" s="4"/>
      <c r="GF1804" s="4"/>
      <c r="GG1804" s="4"/>
      <c r="GH1804" s="4"/>
      <c r="GI1804" s="4"/>
      <c r="GJ1804" s="4"/>
      <c r="GK1804" s="4"/>
      <c r="GL1804" s="4"/>
      <c r="GM1804" s="4"/>
      <c r="GN1804" s="4"/>
      <c r="GO1804" s="4"/>
      <c r="GP1804" s="4"/>
      <c r="GQ1804" s="4"/>
      <c r="GR1804" s="4"/>
      <c r="GS1804" s="4"/>
      <c r="GT1804" s="4"/>
      <c r="GU1804" s="4"/>
      <c r="GV1804" s="4"/>
      <c r="GW1804" s="4"/>
      <c r="GX1804" s="4"/>
      <c r="GY1804" s="4"/>
      <c r="GZ1804" s="4"/>
      <c r="HA1804" s="4"/>
      <c r="HB1804" s="4"/>
      <c r="HC1804" s="4"/>
      <c r="HD1804" s="4"/>
      <c r="HE1804" s="4"/>
    </row>
    <row r="1805">
      <c r="A1805" s="2" t="s">
        <v>8867</v>
      </c>
      <c r="B1805" s="2" t="s">
        <v>958</v>
      </c>
      <c r="C1805" s="2" t="s">
        <v>885</v>
      </c>
      <c r="D1805" s="2" t="s">
        <v>1006</v>
      </c>
      <c r="E1805" s="2" t="s">
        <v>1007</v>
      </c>
      <c r="F1805" s="2" t="s">
        <v>8868</v>
      </c>
      <c r="G1805" s="2" t="s">
        <v>8868</v>
      </c>
      <c r="H1805" s="2" t="s">
        <v>8868</v>
      </c>
      <c r="I1805" s="2" t="s">
        <v>8869</v>
      </c>
      <c r="J1805" s="2" t="s">
        <v>840</v>
      </c>
      <c r="K1805" s="2" t="s">
        <v>480</v>
      </c>
      <c r="L1805" s="3">
        <v>256.5</v>
      </c>
      <c r="M1805" s="3">
        <v>269.32</v>
      </c>
      <c r="N1805" s="3">
        <v>539</v>
      </c>
      <c r="O1805" s="2" t="s">
        <v>240</v>
      </c>
      <c r="P1805" s="2" t="s">
        <v>333</v>
      </c>
      <c r="Q1805" s="2" t="s">
        <v>234</v>
      </c>
      <c r="R1805" s="2" t="s">
        <v>228</v>
      </c>
      <c r="S1805" s="2" t="s">
        <v>228</v>
      </c>
      <c r="T1805" s="2" t="s">
        <v>228</v>
      </c>
      <c r="U1805" s="2" t="s">
        <v>416</v>
      </c>
      <c r="V1805" s="2" t="s">
        <v>842</v>
      </c>
      <c r="W1805" s="2" t="s">
        <v>228</v>
      </c>
      <c r="X1805" s="2" t="s">
        <v>1514</v>
      </c>
      <c r="Y1805" s="2" t="s">
        <v>2911</v>
      </c>
      <c r="Z1805" s="4">
        <v>166</v>
      </c>
      <c r="AA1805" s="4">
        <f>=ROUNDDOWN(150.909090909091,0)</f>
      </c>
      <c r="AB1805" s="5">
        <v>1.1</v>
      </c>
      <c r="AC1805" s="2" t="s">
        <v>228</v>
      </c>
      <c r="AD1805" s="4"/>
      <c r="AE1805" s="4"/>
      <c r="AF1805" s="6">
        <v>74</v>
      </c>
      <c r="AG1805" s="6"/>
      <c r="AH1805" s="7">
        <v>1</v>
      </c>
      <c r="AI1805" s="4"/>
      <c r="AJ1805" s="4">
        <f>=ROUNDDOWN({0},0)</f>
      </c>
      <c r="AK1805" s="5"/>
      <c r="AL1805" s="2" t="s">
        <v>228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/>
      <c r="AW1805" s="8"/>
      <c r="AX1805" s="4"/>
      <c r="AY1805" s="8"/>
      <c r="AZ1805" s="7"/>
      <c r="BA1805" s="7"/>
      <c r="BB1805" s="7"/>
      <c r="BC1805" s="4"/>
      <c r="BD1805" s="8"/>
      <c r="BE1805" s="4"/>
      <c r="BF1805" s="8"/>
      <c r="BG1805" s="7"/>
      <c r="BH1805" s="7"/>
      <c r="BI1805" s="7"/>
      <c r="BJ1805" s="4">
        <v>7</v>
      </c>
      <c r="BK1805" s="8">
        <v>1083.04</v>
      </c>
      <c r="BL1805" s="2" t="s">
        <v>995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8870</v>
      </c>
      <c r="BV1805" s="2" t="s">
        <v>228</v>
      </c>
      <c r="BW1805" s="2" t="s">
        <v>228</v>
      </c>
      <c r="BX1805" s="2" t="s">
        <v>337</v>
      </c>
      <c r="BY1805" s="2" t="s">
        <v>274</v>
      </c>
      <c r="BZ1805" s="2" t="s">
        <v>240</v>
      </c>
      <c r="CA1805" s="2" t="s">
        <v>5617</v>
      </c>
      <c r="CB1805" s="2" t="s">
        <v>3382</v>
      </c>
      <c r="CC1805" s="2" t="s">
        <v>241</v>
      </c>
      <c r="CD1805" s="2" t="s">
        <v>228</v>
      </c>
      <c r="CE1805" s="4"/>
      <c r="CF1805" s="4">
        <v>166</v>
      </c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/>
      <c r="ES1805" s="4"/>
      <c r="ET1805" s="4"/>
      <c r="EU1805" s="4"/>
      <c r="EV1805" s="4"/>
      <c r="EW1805" s="4"/>
      <c r="EX1805" s="4"/>
      <c r="EY1805" s="4"/>
      <c r="EZ1805" s="4"/>
      <c r="FA1805" s="4"/>
      <c r="FB1805" s="4"/>
      <c r="FC1805" s="4"/>
      <c r="FD1805" s="4"/>
      <c r="FE1805" s="4"/>
      <c r="FF1805" s="4"/>
      <c r="FG1805" s="4"/>
      <c r="FH1805" s="4"/>
      <c r="FI1805" s="4"/>
      <c r="FJ1805" s="4"/>
      <c r="FK1805" s="4"/>
      <c r="FL1805" s="4"/>
      <c r="FM1805" s="4"/>
      <c r="FN1805" s="4"/>
      <c r="FO1805" s="4"/>
      <c r="FP1805" s="4"/>
      <c r="FQ1805" s="4"/>
      <c r="FR1805" s="4"/>
      <c r="FS1805" s="4"/>
      <c r="FT1805" s="4"/>
      <c r="FU1805" s="4"/>
      <c r="FV1805" s="4"/>
      <c r="FW1805" s="4"/>
      <c r="FX1805" s="4"/>
      <c r="FY1805" s="4"/>
      <c r="FZ1805" s="4"/>
      <c r="GA1805" s="4"/>
      <c r="GB1805" s="4"/>
      <c r="GC1805" s="4"/>
      <c r="GD1805" s="4"/>
      <c r="GE1805" s="4"/>
      <c r="GF1805" s="4"/>
      <c r="GG1805" s="4"/>
      <c r="GH1805" s="4"/>
      <c r="GI1805" s="4"/>
      <c r="GJ1805" s="4"/>
      <c r="GK1805" s="4"/>
      <c r="GL1805" s="4"/>
      <c r="GM1805" s="4"/>
      <c r="GN1805" s="4"/>
      <c r="GO1805" s="4"/>
      <c r="GP1805" s="4"/>
      <c r="GQ1805" s="4"/>
      <c r="GR1805" s="4"/>
      <c r="GS1805" s="4"/>
      <c r="GT1805" s="4"/>
      <c r="GU1805" s="4"/>
      <c r="GV1805" s="4"/>
      <c r="GW1805" s="4"/>
      <c r="GX1805" s="4"/>
      <c r="GY1805" s="4"/>
      <c r="GZ1805" s="4"/>
      <c r="HA1805" s="4"/>
      <c r="HB1805" s="4"/>
      <c r="HC1805" s="4"/>
      <c r="HD1805" s="4"/>
      <c r="HE1805" s="4"/>
    </row>
    <row r="1806">
      <c r="A1806" s="2" t="s">
        <v>8871</v>
      </c>
      <c r="B1806" s="2" t="s">
        <v>958</v>
      </c>
      <c r="C1806" s="2" t="s">
        <v>835</v>
      </c>
      <c r="D1806" s="2" t="s">
        <v>959</v>
      </c>
      <c r="E1806" s="2" t="s">
        <v>2560</v>
      </c>
      <c r="F1806" s="2" t="s">
        <v>8872</v>
      </c>
      <c r="G1806" s="2" t="s">
        <v>8872</v>
      </c>
      <c r="H1806" s="2" t="s">
        <v>8872</v>
      </c>
      <c r="I1806" s="2" t="s">
        <v>8873</v>
      </c>
      <c r="J1806" s="2" t="s">
        <v>840</v>
      </c>
      <c r="K1806" s="2" t="s">
        <v>1421</v>
      </c>
      <c r="L1806" s="3">
        <v>133.24</v>
      </c>
      <c r="M1806" s="3">
        <v>139.9</v>
      </c>
      <c r="N1806" s="3">
        <v>279</v>
      </c>
      <c r="O1806" s="2" t="s">
        <v>240</v>
      </c>
      <c r="P1806" s="2" t="s">
        <v>333</v>
      </c>
      <c r="Q1806" s="2" t="s">
        <v>234</v>
      </c>
      <c r="R1806" s="2" t="s">
        <v>228</v>
      </c>
      <c r="S1806" s="2" t="s">
        <v>228</v>
      </c>
      <c r="T1806" s="2" t="s">
        <v>228</v>
      </c>
      <c r="U1806" s="2" t="s">
        <v>416</v>
      </c>
      <c r="V1806" s="2" t="s">
        <v>842</v>
      </c>
      <c r="W1806" s="2" t="s">
        <v>269</v>
      </c>
      <c r="X1806" s="2" t="s">
        <v>843</v>
      </c>
      <c r="Y1806" s="2" t="s">
        <v>6697</v>
      </c>
      <c r="Z1806" s="4">
        <v>77</v>
      </c>
      <c r="AA1806" s="4">
        <f>=ROUNDDOWN(77,0)</f>
      </c>
      <c r="AB1806" s="5">
        <v>1</v>
      </c>
      <c r="AC1806" s="2" t="s">
        <v>228</v>
      </c>
      <c r="AD1806" s="4"/>
      <c r="AE1806" s="4"/>
      <c r="AF1806" s="6">
        <v>69</v>
      </c>
      <c r="AG1806" s="6"/>
      <c r="AH1806" s="7">
        <v>1</v>
      </c>
      <c r="AI1806" s="4"/>
      <c r="AJ1806" s="4">
        <f>=ROUNDDOWN({0},0)</f>
      </c>
      <c r="AK1806" s="5"/>
      <c r="AL1806" s="2" t="s">
        <v>228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/>
      <c r="AW1806" s="8"/>
      <c r="AX1806" s="4"/>
      <c r="AY1806" s="8"/>
      <c r="AZ1806" s="7"/>
      <c r="BA1806" s="7"/>
      <c r="BB1806" s="7"/>
      <c r="BC1806" s="4"/>
      <c r="BD1806" s="8"/>
      <c r="BE1806" s="4"/>
      <c r="BF1806" s="8"/>
      <c r="BG1806" s="7"/>
      <c r="BH1806" s="7"/>
      <c r="BI1806" s="7"/>
      <c r="BJ1806" s="4">
        <v>13</v>
      </c>
      <c r="BK1806" s="8">
        <v>1859.58</v>
      </c>
      <c r="BL1806" s="2" t="s">
        <v>1921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8874</v>
      </c>
      <c r="BV1806" s="2" t="s">
        <v>228</v>
      </c>
      <c r="BW1806" s="2" t="s">
        <v>228</v>
      </c>
      <c r="BX1806" s="2" t="s">
        <v>337</v>
      </c>
      <c r="BY1806" s="2" t="s">
        <v>274</v>
      </c>
      <c r="BZ1806" s="2" t="s">
        <v>240</v>
      </c>
      <c r="CA1806" s="2" t="s">
        <v>1541</v>
      </c>
      <c r="CB1806" s="2" t="s">
        <v>2912</v>
      </c>
      <c r="CC1806" s="2" t="s">
        <v>241</v>
      </c>
      <c r="CD1806" s="2" t="s">
        <v>228</v>
      </c>
      <c r="CE1806" s="4"/>
      <c r="CF1806" s="4">
        <v>77</v>
      </c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  <c r="EM1806" s="4"/>
      <c r="EN1806" s="4"/>
      <c r="EO1806" s="4"/>
      <c r="EP1806" s="4"/>
      <c r="EQ1806" s="4"/>
      <c r="ER1806" s="4"/>
      <c r="ES1806" s="4"/>
      <c r="ET1806" s="4"/>
      <c r="EU1806" s="4"/>
      <c r="EV1806" s="4"/>
      <c r="EW1806" s="4"/>
      <c r="EX1806" s="4"/>
      <c r="EY1806" s="4"/>
      <c r="EZ1806" s="4"/>
      <c r="FA1806" s="4"/>
      <c r="FB1806" s="4"/>
      <c r="FC1806" s="4"/>
      <c r="FD1806" s="4"/>
      <c r="FE1806" s="4"/>
      <c r="FF1806" s="4"/>
      <c r="FG1806" s="4"/>
      <c r="FH1806" s="4"/>
      <c r="FI1806" s="4"/>
      <c r="FJ1806" s="4"/>
      <c r="FK1806" s="4"/>
      <c r="FL1806" s="4"/>
      <c r="FM1806" s="4"/>
      <c r="FN1806" s="4"/>
      <c r="FO1806" s="4"/>
      <c r="FP1806" s="4"/>
      <c r="FQ1806" s="4"/>
      <c r="FR1806" s="4"/>
      <c r="FS1806" s="4"/>
      <c r="FT1806" s="4"/>
      <c r="FU1806" s="4"/>
      <c r="FV1806" s="4"/>
      <c r="FW1806" s="4"/>
      <c r="FX1806" s="4"/>
      <c r="FY1806" s="4"/>
      <c r="FZ1806" s="4"/>
      <c r="GA1806" s="4"/>
      <c r="GB1806" s="4"/>
      <c r="GC1806" s="4"/>
      <c r="GD1806" s="4"/>
      <c r="GE1806" s="4"/>
      <c r="GF1806" s="4"/>
      <c r="GG1806" s="4"/>
      <c r="GH1806" s="4"/>
      <c r="GI1806" s="4"/>
      <c r="GJ1806" s="4"/>
      <c r="GK1806" s="4"/>
      <c r="GL1806" s="4"/>
      <c r="GM1806" s="4"/>
      <c r="GN1806" s="4"/>
      <c r="GO1806" s="4"/>
      <c r="GP1806" s="4"/>
      <c r="GQ1806" s="4"/>
      <c r="GR1806" s="4"/>
      <c r="GS1806" s="4"/>
      <c r="GT1806" s="4"/>
      <c r="GU1806" s="4"/>
      <c r="GV1806" s="4"/>
      <c r="GW1806" s="4"/>
      <c r="GX1806" s="4"/>
      <c r="GY1806" s="4"/>
      <c r="GZ1806" s="4"/>
      <c r="HA1806" s="4"/>
      <c r="HB1806" s="4"/>
      <c r="HC1806" s="4"/>
      <c r="HD1806" s="4"/>
      <c r="HE1806" s="4"/>
    </row>
    <row r="1807">
      <c r="A1807" s="2" t="s">
        <v>8875</v>
      </c>
      <c r="B1807" s="2" t="s">
        <v>970</v>
      </c>
      <c r="C1807" s="2" t="s">
        <v>300</v>
      </c>
      <c r="D1807" s="2" t="s">
        <v>971</v>
      </c>
      <c r="E1807" s="2" t="s">
        <v>3486</v>
      </c>
      <c r="F1807" s="2" t="s">
        <v>8876</v>
      </c>
      <c r="G1807" s="2" t="s">
        <v>8877</v>
      </c>
      <c r="H1807" s="2" t="s">
        <v>8878</v>
      </c>
      <c r="I1807" s="2" t="s">
        <v>8879</v>
      </c>
      <c r="J1807" s="2" t="s">
        <v>3491</v>
      </c>
      <c r="K1807" s="2" t="s">
        <v>249</v>
      </c>
      <c r="L1807" s="3">
        <v>35.1</v>
      </c>
      <c r="M1807" s="3">
        <v>36.86</v>
      </c>
      <c r="N1807" s="3">
        <v>76.99</v>
      </c>
      <c r="O1807" s="2" t="s">
        <v>491</v>
      </c>
      <c r="P1807" s="2" t="s">
        <v>333</v>
      </c>
      <c r="Q1807" s="2" t="s">
        <v>234</v>
      </c>
      <c r="R1807" s="2" t="s">
        <v>228</v>
      </c>
      <c r="S1807" s="2" t="s">
        <v>8880</v>
      </c>
      <c r="T1807" s="2" t="s">
        <v>415</v>
      </c>
      <c r="U1807" s="2" t="s">
        <v>416</v>
      </c>
      <c r="V1807" s="2" t="s">
        <v>236</v>
      </c>
      <c r="W1807" s="2" t="s">
        <v>269</v>
      </c>
      <c r="X1807" s="2" t="s">
        <v>417</v>
      </c>
      <c r="Y1807" s="2" t="s">
        <v>7589</v>
      </c>
      <c r="Z1807" s="4">
        <v>2</v>
      </c>
      <c r="AA1807" s="4">
        <f>=ROUNDDOWN(2,0)</f>
      </c>
      <c r="AB1807" s="5">
        <v>1</v>
      </c>
      <c r="AC1807" s="2" t="s">
        <v>228</v>
      </c>
      <c r="AD1807" s="4"/>
      <c r="AE1807" s="4"/>
      <c r="AF1807" s="6">
        <v>75</v>
      </c>
      <c r="AG1807" s="6"/>
      <c r="AH1807" s="7">
        <v>0.9355</v>
      </c>
      <c r="AI1807" s="4"/>
      <c r="AJ1807" s="4">
        <f>=ROUNDDOWN({0},0)</f>
      </c>
      <c r="AK1807" s="5"/>
      <c r="AL1807" s="2" t="s">
        <v>228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 t="s">
        <v>228</v>
      </c>
      <c r="AW1807" s="8" t="s">
        <v>228</v>
      </c>
      <c r="AX1807" s="4" t="s">
        <v>228</v>
      </c>
      <c r="AY1807" s="8" t="s">
        <v>228</v>
      </c>
      <c r="AZ1807" s="7" t="s">
        <v>228</v>
      </c>
      <c r="BA1807" s="7" t="s">
        <v>228</v>
      </c>
      <c r="BB1807" s="7"/>
      <c r="BC1807" s="4" t="s">
        <v>228</v>
      </c>
      <c r="BD1807" s="8" t="s">
        <v>228</v>
      </c>
      <c r="BE1807" s="4" t="s">
        <v>228</v>
      </c>
      <c r="BF1807" s="8" t="s">
        <v>228</v>
      </c>
      <c r="BG1807" s="7" t="s">
        <v>228</v>
      </c>
      <c r="BH1807" s="7" t="s">
        <v>228</v>
      </c>
      <c r="BI1807" s="7"/>
      <c r="BJ1807" s="4">
        <v>5</v>
      </c>
      <c r="BK1807" s="8">
        <v>154.32</v>
      </c>
      <c r="BL1807" s="2" t="s">
        <v>3256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8881</v>
      </c>
      <c r="BV1807" s="2" t="s">
        <v>228</v>
      </c>
      <c r="BW1807" s="2" t="s">
        <v>228</v>
      </c>
      <c r="BX1807" s="2" t="s">
        <v>337</v>
      </c>
      <c r="BY1807" s="2" t="s">
        <v>274</v>
      </c>
      <c r="BZ1807" s="2" t="s">
        <v>240</v>
      </c>
      <c r="CA1807" s="2" t="s">
        <v>378</v>
      </c>
      <c r="CB1807" s="2" t="s">
        <v>7007</v>
      </c>
      <c r="CC1807" s="2" t="s">
        <v>241</v>
      </c>
      <c r="CD1807" s="2" t="s">
        <v>228</v>
      </c>
      <c r="CE1807" s="4">
        <v>2</v>
      </c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  <c r="EM1807" s="4"/>
      <c r="EN1807" s="4"/>
      <c r="EO1807" s="4"/>
      <c r="EP1807" s="4"/>
      <c r="EQ1807" s="4"/>
      <c r="ER1807" s="4"/>
      <c r="ES1807" s="4"/>
      <c r="ET1807" s="4"/>
      <c r="EU1807" s="4"/>
      <c r="EV1807" s="4"/>
      <c r="EW1807" s="4"/>
      <c r="EX1807" s="4"/>
      <c r="EY1807" s="4"/>
      <c r="EZ1807" s="4"/>
      <c r="FA1807" s="4"/>
      <c r="FB1807" s="4"/>
      <c r="FC1807" s="4"/>
      <c r="FD1807" s="4"/>
      <c r="FE1807" s="4"/>
      <c r="FF1807" s="4"/>
      <c r="FG1807" s="4"/>
      <c r="FH1807" s="4"/>
      <c r="FI1807" s="4"/>
      <c r="FJ1807" s="4"/>
      <c r="FK1807" s="4"/>
      <c r="FL1807" s="4"/>
      <c r="FM1807" s="4"/>
      <c r="FN1807" s="4"/>
      <c r="FO1807" s="4"/>
      <c r="FP1807" s="4"/>
      <c r="FQ1807" s="4"/>
      <c r="FR1807" s="4"/>
      <c r="FS1807" s="4"/>
      <c r="FT1807" s="4"/>
      <c r="FU1807" s="4"/>
      <c r="FV1807" s="4"/>
      <c r="FW1807" s="4"/>
      <c r="FX1807" s="4"/>
      <c r="FY1807" s="4"/>
      <c r="FZ1807" s="4"/>
      <c r="GA1807" s="4"/>
      <c r="GB1807" s="4"/>
      <c r="GC1807" s="4"/>
      <c r="GD1807" s="4"/>
      <c r="GE1807" s="4"/>
      <c r="GF1807" s="4"/>
      <c r="GG1807" s="4"/>
      <c r="GH1807" s="4"/>
      <c r="GI1807" s="4"/>
      <c r="GJ1807" s="4"/>
      <c r="GK1807" s="4"/>
      <c r="GL1807" s="4"/>
      <c r="GM1807" s="4"/>
      <c r="GN1807" s="4"/>
      <c r="GO1807" s="4"/>
      <c r="GP1807" s="4"/>
      <c r="GQ1807" s="4"/>
      <c r="GR1807" s="4"/>
      <c r="GS1807" s="4"/>
      <c r="GT1807" s="4"/>
      <c r="GU1807" s="4"/>
      <c r="GV1807" s="4"/>
      <c r="GW1807" s="4"/>
      <c r="GX1807" s="4"/>
      <c r="GY1807" s="4"/>
      <c r="GZ1807" s="4"/>
      <c r="HA1807" s="4"/>
      <c r="HB1807" s="4"/>
      <c r="HC1807" s="4"/>
      <c r="HD1807" s="4"/>
      <c r="HE1807" s="4"/>
    </row>
    <row r="1808">
      <c r="A1808" s="2" t="s">
        <v>8882</v>
      </c>
      <c r="B1808" s="2" t="s">
        <v>970</v>
      </c>
      <c r="C1808" s="2" t="s">
        <v>300</v>
      </c>
      <c r="D1808" s="2" t="s">
        <v>971</v>
      </c>
      <c r="E1808" s="2" t="s">
        <v>3486</v>
      </c>
      <c r="F1808" s="2" t="s">
        <v>8876</v>
      </c>
      <c r="G1808" s="2" t="s">
        <v>8877</v>
      </c>
      <c r="H1808" s="2" t="s">
        <v>8878</v>
      </c>
      <c r="I1808" s="2" t="s">
        <v>8879</v>
      </c>
      <c r="J1808" s="2" t="s">
        <v>3506</v>
      </c>
      <c r="K1808" s="2" t="s">
        <v>249</v>
      </c>
      <c r="L1808" s="3">
        <v>38</v>
      </c>
      <c r="M1808" s="3">
        <v>39.9</v>
      </c>
      <c r="N1808" s="3">
        <v>81.99</v>
      </c>
      <c r="O1808" s="2" t="s">
        <v>491</v>
      </c>
      <c r="P1808" s="2" t="s">
        <v>333</v>
      </c>
      <c r="Q1808" s="2" t="s">
        <v>234</v>
      </c>
      <c r="R1808" s="2" t="s">
        <v>228</v>
      </c>
      <c r="S1808" s="2" t="s">
        <v>8880</v>
      </c>
      <c r="T1808" s="2" t="s">
        <v>415</v>
      </c>
      <c r="U1808" s="2" t="s">
        <v>416</v>
      </c>
      <c r="V1808" s="2" t="s">
        <v>236</v>
      </c>
      <c r="W1808" s="2" t="s">
        <v>269</v>
      </c>
      <c r="X1808" s="2" t="s">
        <v>417</v>
      </c>
      <c r="Y1808" s="2" t="s">
        <v>7589</v>
      </c>
      <c r="Z1808" s="4">
        <v>2</v>
      </c>
      <c r="AA1808" s="4">
        <f>=ROUNDDOWN(1.33333333333333,0)</f>
      </c>
      <c r="AB1808" s="5">
        <v>1.5</v>
      </c>
      <c r="AC1808" s="2" t="s">
        <v>228</v>
      </c>
      <c r="AD1808" s="4"/>
      <c r="AE1808" s="4"/>
      <c r="AF1808" s="6">
        <v>75</v>
      </c>
      <c r="AG1808" s="6"/>
      <c r="AH1808" s="7">
        <v>0.9355</v>
      </c>
      <c r="AI1808" s="4"/>
      <c r="AJ1808" s="4">
        <f>=ROUNDDOWN({0},0)</f>
      </c>
      <c r="AK1808" s="5"/>
      <c r="AL1808" s="2" t="s">
        <v>228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 t="s">
        <v>228</v>
      </c>
      <c r="AW1808" s="8" t="s">
        <v>228</v>
      </c>
      <c r="AX1808" s="4" t="s">
        <v>228</v>
      </c>
      <c r="AY1808" s="8" t="s">
        <v>228</v>
      </c>
      <c r="AZ1808" s="7" t="s">
        <v>228</v>
      </c>
      <c r="BA1808" s="7" t="s">
        <v>228</v>
      </c>
      <c r="BB1808" s="7"/>
      <c r="BC1808" s="4" t="s">
        <v>228</v>
      </c>
      <c r="BD1808" s="8" t="s">
        <v>228</v>
      </c>
      <c r="BE1808" s="4" t="s">
        <v>228</v>
      </c>
      <c r="BF1808" s="8" t="s">
        <v>228</v>
      </c>
      <c r="BG1808" s="7" t="s">
        <v>228</v>
      </c>
      <c r="BH1808" s="7" t="s">
        <v>228</v>
      </c>
      <c r="BI1808" s="7"/>
      <c r="BJ1808" s="4">
        <v>2</v>
      </c>
      <c r="BK1808" s="8">
        <v>83.8</v>
      </c>
      <c r="BL1808" s="2" t="s">
        <v>2986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8883</v>
      </c>
      <c r="BV1808" s="2" t="s">
        <v>228</v>
      </c>
      <c r="BW1808" s="2" t="s">
        <v>228</v>
      </c>
      <c r="BX1808" s="2" t="s">
        <v>337</v>
      </c>
      <c r="BY1808" s="2" t="s">
        <v>274</v>
      </c>
      <c r="BZ1808" s="2" t="s">
        <v>240</v>
      </c>
      <c r="CA1808" s="2" t="s">
        <v>378</v>
      </c>
      <c r="CB1808" s="2" t="s">
        <v>1824</v>
      </c>
      <c r="CC1808" s="2" t="s">
        <v>241</v>
      </c>
      <c r="CD1808" s="2" t="s">
        <v>228</v>
      </c>
      <c r="CE1808" s="4">
        <v>2</v>
      </c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  <c r="EM1808" s="4"/>
      <c r="EN1808" s="4"/>
      <c r="EO1808" s="4"/>
      <c r="EP1808" s="4"/>
      <c r="EQ1808" s="4"/>
      <c r="ER1808" s="4"/>
      <c r="ES1808" s="4"/>
      <c r="ET1808" s="4"/>
      <c r="EU1808" s="4"/>
      <c r="EV1808" s="4"/>
      <c r="EW1808" s="4"/>
      <c r="EX1808" s="4"/>
      <c r="EY1808" s="4"/>
      <c r="EZ1808" s="4"/>
      <c r="FA1808" s="4"/>
      <c r="FB1808" s="4"/>
      <c r="FC1808" s="4"/>
      <c r="FD1808" s="4"/>
      <c r="FE1808" s="4"/>
      <c r="FF1808" s="4"/>
      <c r="FG1808" s="4"/>
      <c r="FH1808" s="4"/>
      <c r="FI1808" s="4"/>
      <c r="FJ1808" s="4"/>
      <c r="FK1808" s="4"/>
      <c r="FL1808" s="4"/>
      <c r="FM1808" s="4"/>
      <c r="FN1808" s="4"/>
      <c r="FO1808" s="4"/>
      <c r="FP1808" s="4"/>
      <c r="FQ1808" s="4"/>
      <c r="FR1808" s="4"/>
      <c r="FS1808" s="4"/>
      <c r="FT1808" s="4"/>
      <c r="FU1808" s="4"/>
      <c r="FV1808" s="4"/>
      <c r="FW1808" s="4"/>
      <c r="FX1808" s="4"/>
      <c r="FY1808" s="4"/>
      <c r="FZ1808" s="4"/>
      <c r="GA1808" s="4"/>
      <c r="GB1808" s="4"/>
      <c r="GC1808" s="4"/>
      <c r="GD1808" s="4"/>
      <c r="GE1808" s="4"/>
      <c r="GF1808" s="4"/>
      <c r="GG1808" s="4"/>
      <c r="GH1808" s="4"/>
      <c r="GI1808" s="4"/>
      <c r="GJ1808" s="4"/>
      <c r="GK1808" s="4"/>
      <c r="GL1808" s="4"/>
      <c r="GM1808" s="4"/>
      <c r="GN1808" s="4"/>
      <c r="GO1808" s="4"/>
      <c r="GP1808" s="4"/>
      <c r="GQ1808" s="4"/>
      <c r="GR1808" s="4"/>
      <c r="GS1808" s="4"/>
      <c r="GT1808" s="4"/>
      <c r="GU1808" s="4"/>
      <c r="GV1808" s="4"/>
      <c r="GW1808" s="4"/>
      <c r="GX1808" s="4"/>
      <c r="GY1808" s="4"/>
      <c r="GZ1808" s="4"/>
      <c r="HA1808" s="4"/>
      <c r="HB1808" s="4"/>
      <c r="HC1808" s="4"/>
      <c r="HD1808" s="4"/>
      <c r="HE1808" s="4"/>
    </row>
    <row r="1809">
      <c r="A1809" s="2" t="s">
        <v>8884</v>
      </c>
      <c r="B1809" s="2" t="s">
        <v>970</v>
      </c>
      <c r="C1809" s="2" t="s">
        <v>300</v>
      </c>
      <c r="D1809" s="2" t="s">
        <v>971</v>
      </c>
      <c r="E1809" s="2" t="s">
        <v>3486</v>
      </c>
      <c r="F1809" s="2" t="s">
        <v>8876</v>
      </c>
      <c r="G1809" s="2" t="s">
        <v>8877</v>
      </c>
      <c r="H1809" s="2" t="s">
        <v>8878</v>
      </c>
      <c r="I1809" s="2" t="s">
        <v>8879</v>
      </c>
      <c r="J1809" s="2" t="s">
        <v>3511</v>
      </c>
      <c r="K1809" s="2" t="s">
        <v>249</v>
      </c>
      <c r="L1809" s="3">
        <v>43.5</v>
      </c>
      <c r="M1809" s="3">
        <v>45.68</v>
      </c>
      <c r="N1809" s="3">
        <v>91.99</v>
      </c>
      <c r="O1809" s="2" t="s">
        <v>491</v>
      </c>
      <c r="P1809" s="2" t="s">
        <v>333</v>
      </c>
      <c r="Q1809" s="2" t="s">
        <v>234</v>
      </c>
      <c r="R1809" s="2" t="s">
        <v>228</v>
      </c>
      <c r="S1809" s="2" t="s">
        <v>8880</v>
      </c>
      <c r="T1809" s="2" t="s">
        <v>415</v>
      </c>
      <c r="U1809" s="2" t="s">
        <v>416</v>
      </c>
      <c r="V1809" s="2" t="s">
        <v>236</v>
      </c>
      <c r="W1809" s="2" t="s">
        <v>269</v>
      </c>
      <c r="X1809" s="2" t="s">
        <v>417</v>
      </c>
      <c r="Y1809" s="2" t="s">
        <v>7589</v>
      </c>
      <c r="Z1809" s="4">
        <v>53</v>
      </c>
      <c r="AA1809" s="4">
        <f>=ROUNDDOWN(10.6,0)</f>
      </c>
      <c r="AB1809" s="5">
        <v>5</v>
      </c>
      <c r="AC1809" s="2" t="s">
        <v>228</v>
      </c>
      <c r="AD1809" s="4"/>
      <c r="AE1809" s="4"/>
      <c r="AF1809" s="6">
        <v>75</v>
      </c>
      <c r="AG1809" s="6"/>
      <c r="AH1809" s="7">
        <v>1</v>
      </c>
      <c r="AI1809" s="4"/>
      <c r="AJ1809" s="4">
        <f>=ROUNDDOWN({0},0)</f>
      </c>
      <c r="AK1809" s="5"/>
      <c r="AL1809" s="2" t="s">
        <v>228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 t="s">
        <v>228</v>
      </c>
      <c r="AW1809" s="8" t="s">
        <v>228</v>
      </c>
      <c r="AX1809" s="4" t="s">
        <v>228</v>
      </c>
      <c r="AY1809" s="8" t="s">
        <v>228</v>
      </c>
      <c r="AZ1809" s="7" t="s">
        <v>228</v>
      </c>
      <c r="BA1809" s="7" t="s">
        <v>228</v>
      </c>
      <c r="BB1809" s="7"/>
      <c r="BC1809" s="4" t="s">
        <v>228</v>
      </c>
      <c r="BD1809" s="8" t="s">
        <v>228</v>
      </c>
      <c r="BE1809" s="4" t="s">
        <v>228</v>
      </c>
      <c r="BF1809" s="8" t="s">
        <v>228</v>
      </c>
      <c r="BG1809" s="7" t="s">
        <v>228</v>
      </c>
      <c r="BH1809" s="7" t="s">
        <v>228</v>
      </c>
      <c r="BI1809" s="7"/>
      <c r="BJ1809" s="4">
        <v>7</v>
      </c>
      <c r="BK1809" s="8">
        <v>193.09</v>
      </c>
      <c r="BL1809" s="2" t="s">
        <v>8885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8886</v>
      </c>
      <c r="BV1809" s="2" t="s">
        <v>228</v>
      </c>
      <c r="BW1809" s="2" t="s">
        <v>228</v>
      </c>
      <c r="BX1809" s="2" t="s">
        <v>337</v>
      </c>
      <c r="BY1809" s="2" t="s">
        <v>274</v>
      </c>
      <c r="BZ1809" s="2" t="s">
        <v>240</v>
      </c>
      <c r="CA1809" s="2" t="s">
        <v>378</v>
      </c>
      <c r="CB1809" s="2" t="s">
        <v>228</v>
      </c>
      <c r="CC1809" s="2" t="s">
        <v>241</v>
      </c>
      <c r="CD1809" s="2" t="s">
        <v>228</v>
      </c>
      <c r="CE1809" s="4">
        <v>53</v>
      </c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/>
      <c r="EO1809" s="4"/>
      <c r="EP1809" s="4"/>
      <c r="EQ1809" s="4"/>
      <c r="ER1809" s="4"/>
      <c r="ES1809" s="4"/>
      <c r="ET1809" s="4"/>
      <c r="EU1809" s="4"/>
      <c r="EV1809" s="4"/>
      <c r="EW1809" s="4"/>
      <c r="EX1809" s="4"/>
      <c r="EY1809" s="4"/>
      <c r="EZ1809" s="4"/>
      <c r="FA1809" s="4"/>
      <c r="FB1809" s="4"/>
      <c r="FC1809" s="4"/>
      <c r="FD1809" s="4"/>
      <c r="FE1809" s="4"/>
      <c r="FF1809" s="4"/>
      <c r="FG1809" s="4"/>
      <c r="FH1809" s="4"/>
      <c r="FI1809" s="4"/>
      <c r="FJ1809" s="4"/>
      <c r="FK1809" s="4"/>
      <c r="FL1809" s="4"/>
      <c r="FM1809" s="4"/>
      <c r="FN1809" s="4"/>
      <c r="FO1809" s="4"/>
      <c r="FP1809" s="4"/>
      <c r="FQ1809" s="4"/>
      <c r="FR1809" s="4"/>
      <c r="FS1809" s="4"/>
      <c r="FT1809" s="4"/>
      <c r="FU1809" s="4"/>
      <c r="FV1809" s="4"/>
      <c r="FW1809" s="4"/>
      <c r="FX1809" s="4"/>
      <c r="FY1809" s="4"/>
      <c r="FZ1809" s="4"/>
      <c r="GA1809" s="4"/>
      <c r="GB1809" s="4"/>
      <c r="GC1809" s="4"/>
      <c r="GD1809" s="4"/>
      <c r="GE1809" s="4"/>
      <c r="GF1809" s="4"/>
      <c r="GG1809" s="4"/>
      <c r="GH1809" s="4"/>
      <c r="GI1809" s="4"/>
      <c r="GJ1809" s="4"/>
      <c r="GK1809" s="4"/>
      <c r="GL1809" s="4"/>
      <c r="GM1809" s="4"/>
      <c r="GN1809" s="4"/>
      <c r="GO1809" s="4"/>
      <c r="GP1809" s="4"/>
      <c r="GQ1809" s="4"/>
      <c r="GR1809" s="4"/>
      <c r="GS1809" s="4"/>
      <c r="GT1809" s="4"/>
      <c r="GU1809" s="4"/>
      <c r="GV1809" s="4"/>
      <c r="GW1809" s="4"/>
      <c r="GX1809" s="4"/>
      <c r="GY1809" s="4"/>
      <c r="GZ1809" s="4"/>
      <c r="HA1809" s="4"/>
      <c r="HB1809" s="4"/>
      <c r="HC1809" s="4"/>
      <c r="HD1809" s="4"/>
      <c r="HE1809" s="4"/>
    </row>
    <row r="1810">
      <c r="A1810" s="2" t="s">
        <v>8887</v>
      </c>
      <c r="B1810" s="2" t="s">
        <v>970</v>
      </c>
      <c r="C1810" s="2" t="s">
        <v>300</v>
      </c>
      <c r="D1810" s="2" t="s">
        <v>971</v>
      </c>
      <c r="E1810" s="2" t="s">
        <v>3486</v>
      </c>
      <c r="F1810" s="2" t="s">
        <v>8876</v>
      </c>
      <c r="G1810" s="2" t="s">
        <v>8877</v>
      </c>
      <c r="H1810" s="2" t="s">
        <v>8878</v>
      </c>
      <c r="I1810" s="2" t="s">
        <v>8879</v>
      </c>
      <c r="J1810" s="2" t="s">
        <v>3511</v>
      </c>
      <c r="K1810" s="2" t="s">
        <v>1357</v>
      </c>
      <c r="L1810" s="3">
        <v>43.5</v>
      </c>
      <c r="M1810" s="3">
        <v>45.68</v>
      </c>
      <c r="N1810" s="3">
        <v>91.99</v>
      </c>
      <c r="O1810" s="2" t="s">
        <v>491</v>
      </c>
      <c r="P1810" s="2" t="s">
        <v>333</v>
      </c>
      <c r="Q1810" s="2" t="s">
        <v>234</v>
      </c>
      <c r="R1810" s="2" t="s">
        <v>228</v>
      </c>
      <c r="S1810" s="2" t="s">
        <v>8888</v>
      </c>
      <c r="T1810" s="2" t="s">
        <v>415</v>
      </c>
      <c r="U1810" s="2" t="s">
        <v>416</v>
      </c>
      <c r="V1810" s="2" t="s">
        <v>236</v>
      </c>
      <c r="W1810" s="2" t="s">
        <v>269</v>
      </c>
      <c r="X1810" s="2" t="s">
        <v>417</v>
      </c>
      <c r="Y1810" s="2" t="s">
        <v>7589</v>
      </c>
      <c r="Z1810" s="4">
        <v>19</v>
      </c>
      <c r="AA1810" s="4">
        <f>=ROUNDDOWN(9.5,0)</f>
      </c>
      <c r="AB1810" s="5">
        <v>2</v>
      </c>
      <c r="AC1810" s="2" t="s">
        <v>228</v>
      </c>
      <c r="AD1810" s="4"/>
      <c r="AE1810" s="4"/>
      <c r="AF1810" s="6">
        <v>75</v>
      </c>
      <c r="AG1810" s="6"/>
      <c r="AH1810" s="7">
        <v>0.9355</v>
      </c>
      <c r="AI1810" s="4"/>
      <c r="AJ1810" s="4">
        <f>=ROUNDDOWN({0},0)</f>
      </c>
      <c r="AK1810" s="5"/>
      <c r="AL1810" s="2" t="s">
        <v>228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/>
      <c r="AW1810" s="8"/>
      <c r="AX1810" s="4"/>
      <c r="AY1810" s="8"/>
      <c r="AZ1810" s="7"/>
      <c r="BA1810" s="7"/>
      <c r="BB1810" s="7"/>
      <c r="BC1810" s="4" t="s">
        <v>228</v>
      </c>
      <c r="BD1810" s="8" t="s">
        <v>228</v>
      </c>
      <c r="BE1810" s="4" t="s">
        <v>228</v>
      </c>
      <c r="BF1810" s="8" t="s">
        <v>228</v>
      </c>
      <c r="BG1810" s="7" t="s">
        <v>228</v>
      </c>
      <c r="BH1810" s="7" t="s">
        <v>228</v>
      </c>
      <c r="BI1810" s="7"/>
      <c r="BJ1810" s="4">
        <v>4</v>
      </c>
      <c r="BK1810" s="8">
        <v>184.32</v>
      </c>
      <c r="BL1810" s="2" t="s">
        <v>8889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8890</v>
      </c>
      <c r="BV1810" s="2" t="s">
        <v>228</v>
      </c>
      <c r="BW1810" s="2" t="s">
        <v>228</v>
      </c>
      <c r="BX1810" s="2" t="s">
        <v>337</v>
      </c>
      <c r="BY1810" s="2" t="s">
        <v>274</v>
      </c>
      <c r="BZ1810" s="2" t="s">
        <v>240</v>
      </c>
      <c r="CA1810" s="2" t="s">
        <v>378</v>
      </c>
      <c r="CB1810" s="2" t="s">
        <v>2196</v>
      </c>
      <c r="CC1810" s="2" t="s">
        <v>241</v>
      </c>
      <c r="CD1810" s="2" t="s">
        <v>228</v>
      </c>
      <c r="CE1810" s="4">
        <v>19</v>
      </c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  <c r="EM1810" s="4"/>
      <c r="EN1810" s="4"/>
      <c r="EO1810" s="4"/>
      <c r="EP1810" s="4"/>
      <c r="EQ1810" s="4"/>
      <c r="ER1810" s="4"/>
      <c r="ES1810" s="4"/>
      <c r="ET1810" s="4"/>
      <c r="EU1810" s="4"/>
      <c r="EV1810" s="4"/>
      <c r="EW1810" s="4"/>
      <c r="EX1810" s="4"/>
      <c r="EY1810" s="4"/>
      <c r="EZ1810" s="4"/>
      <c r="FA1810" s="4"/>
      <c r="FB1810" s="4"/>
      <c r="FC1810" s="4"/>
      <c r="FD1810" s="4"/>
      <c r="FE1810" s="4"/>
      <c r="FF1810" s="4"/>
      <c r="FG1810" s="4"/>
      <c r="FH1810" s="4"/>
      <c r="FI1810" s="4"/>
      <c r="FJ1810" s="4"/>
      <c r="FK1810" s="4"/>
      <c r="FL1810" s="4"/>
      <c r="FM1810" s="4"/>
      <c r="FN1810" s="4"/>
      <c r="FO1810" s="4"/>
      <c r="FP1810" s="4"/>
      <c r="FQ1810" s="4"/>
      <c r="FR1810" s="4"/>
      <c r="FS1810" s="4"/>
      <c r="FT1810" s="4"/>
      <c r="FU1810" s="4"/>
      <c r="FV1810" s="4"/>
      <c r="FW1810" s="4"/>
      <c r="FX1810" s="4"/>
      <c r="FY1810" s="4"/>
      <c r="FZ1810" s="4"/>
      <c r="GA1810" s="4"/>
      <c r="GB1810" s="4"/>
      <c r="GC1810" s="4"/>
      <c r="GD1810" s="4"/>
      <c r="GE1810" s="4"/>
      <c r="GF1810" s="4"/>
      <c r="GG1810" s="4"/>
      <c r="GH1810" s="4"/>
      <c r="GI1810" s="4"/>
      <c r="GJ1810" s="4"/>
      <c r="GK1810" s="4"/>
      <c r="GL1810" s="4"/>
      <c r="GM1810" s="4"/>
      <c r="GN1810" s="4"/>
      <c r="GO1810" s="4"/>
      <c r="GP1810" s="4"/>
      <c r="GQ1810" s="4"/>
      <c r="GR1810" s="4"/>
      <c r="GS1810" s="4"/>
      <c r="GT1810" s="4"/>
      <c r="GU1810" s="4"/>
      <c r="GV1810" s="4"/>
      <c r="GW1810" s="4"/>
      <c r="GX1810" s="4"/>
      <c r="GY1810" s="4"/>
      <c r="GZ1810" s="4"/>
      <c r="HA1810" s="4"/>
      <c r="HB1810" s="4"/>
      <c r="HC1810" s="4"/>
      <c r="HD1810" s="4"/>
      <c r="HE1810" s="4"/>
    </row>
    <row r="1811">
      <c r="A1811" s="2" t="s">
        <v>8891</v>
      </c>
      <c r="B1811" s="2" t="s">
        <v>1150</v>
      </c>
      <c r="C1811" s="2" t="s">
        <v>1743</v>
      </c>
      <c r="D1811" s="2" t="s">
        <v>1316</v>
      </c>
      <c r="E1811" s="2" t="s">
        <v>2876</v>
      </c>
      <c r="F1811" s="2" t="s">
        <v>8892</v>
      </c>
      <c r="G1811" s="2" t="s">
        <v>8893</v>
      </c>
      <c r="H1811" s="2" t="s">
        <v>8894</v>
      </c>
      <c r="I1811" s="2" t="s">
        <v>8895</v>
      </c>
      <c r="J1811" s="2" t="s">
        <v>1189</v>
      </c>
      <c r="K1811" s="2" t="s">
        <v>598</v>
      </c>
      <c r="L1811" s="3">
        <v>21.6</v>
      </c>
      <c r="M1811" s="3">
        <v>22.68</v>
      </c>
      <c r="N1811" s="3">
        <v>59.99</v>
      </c>
      <c r="O1811" s="2" t="s">
        <v>240</v>
      </c>
      <c r="P1811" s="2" t="s">
        <v>266</v>
      </c>
      <c r="Q1811" s="2" t="s">
        <v>234</v>
      </c>
      <c r="R1811" s="2" t="s">
        <v>228</v>
      </c>
      <c r="S1811" s="2" t="s">
        <v>8896</v>
      </c>
      <c r="T1811" s="2" t="s">
        <v>228</v>
      </c>
      <c r="U1811" s="2" t="s">
        <v>500</v>
      </c>
      <c r="V1811" s="2" t="s">
        <v>236</v>
      </c>
      <c r="W1811" s="2" t="s">
        <v>269</v>
      </c>
      <c r="X1811" s="2" t="s">
        <v>1628</v>
      </c>
      <c r="Y1811" s="2" t="s">
        <v>6782</v>
      </c>
      <c r="Z1811" s="4">
        <v>366</v>
      </c>
      <c r="AA1811" s="4">
        <f>=ROUNDDOWN(33.2727272727273,0)</f>
      </c>
      <c r="AB1811" s="5">
        <v>11</v>
      </c>
      <c r="AC1811" s="2" t="s">
        <v>2513</v>
      </c>
      <c r="AD1811" s="4">
        <v>170</v>
      </c>
      <c r="AE1811" s="4">
        <v>320</v>
      </c>
      <c r="AF1811" s="6">
        <v>65</v>
      </c>
      <c r="AG1811" s="6">
        <v>48</v>
      </c>
      <c r="AH1811" s="7">
        <v>1</v>
      </c>
      <c r="AI1811" s="4"/>
      <c r="AJ1811" s="4">
        <f>=ROUNDDOWN({0},0)</f>
      </c>
      <c r="AK1811" s="5"/>
      <c r="AL1811" s="2" t="s">
        <v>228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/>
      <c r="AW1811" s="8"/>
      <c r="AX1811" s="4"/>
      <c r="AY1811" s="8"/>
      <c r="AZ1811" s="7"/>
      <c r="BA1811" s="7"/>
      <c r="BB1811" s="7"/>
      <c r="BC1811" s="4"/>
      <c r="BD1811" s="8"/>
      <c r="BE1811" s="4"/>
      <c r="BF1811" s="8"/>
      <c r="BG1811" s="7"/>
      <c r="BH1811" s="7"/>
      <c r="BI1811" s="7"/>
      <c r="BJ1811" s="4">
        <v>27</v>
      </c>
      <c r="BK1811" s="8">
        <v>628.95</v>
      </c>
      <c r="BL1811" s="2" t="s">
        <v>8897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8898</v>
      </c>
      <c r="BV1811" s="2" t="s">
        <v>228</v>
      </c>
      <c r="BW1811" s="2" t="s">
        <v>228</v>
      </c>
      <c r="BX1811" s="2" t="s">
        <v>273</v>
      </c>
      <c r="BY1811" s="2" t="s">
        <v>274</v>
      </c>
      <c r="BZ1811" s="2" t="s">
        <v>240</v>
      </c>
      <c r="CA1811" s="2" t="s">
        <v>6346</v>
      </c>
      <c r="CB1811" s="2" t="s">
        <v>8899</v>
      </c>
      <c r="CC1811" s="2" t="s">
        <v>241</v>
      </c>
      <c r="CD1811" s="2" t="s">
        <v>228</v>
      </c>
      <c r="CE1811" s="4">
        <v>287</v>
      </c>
      <c r="CF1811" s="4"/>
      <c r="CG1811" s="4"/>
      <c r="CH1811" s="4">
        <v>79</v>
      </c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/>
      <c r="EQ1811" s="4"/>
      <c r="ER1811" s="4"/>
      <c r="ES1811" s="4"/>
      <c r="ET1811" s="4"/>
      <c r="EU1811" s="4"/>
      <c r="EV1811" s="4"/>
      <c r="EW1811" s="4"/>
      <c r="EX1811" s="4"/>
      <c r="EY1811" s="4"/>
      <c r="EZ1811" s="4"/>
      <c r="FA1811" s="4"/>
      <c r="FB1811" s="4"/>
      <c r="FC1811" s="4"/>
      <c r="FD1811" s="4"/>
      <c r="FE1811" s="4"/>
      <c r="FF1811" s="4"/>
      <c r="FG1811" s="4"/>
      <c r="FH1811" s="4"/>
      <c r="FI1811" s="4"/>
      <c r="FJ1811" s="4"/>
      <c r="FK1811" s="4"/>
      <c r="FL1811" s="4"/>
      <c r="FM1811" s="4"/>
      <c r="FN1811" s="4"/>
      <c r="FO1811" s="4"/>
      <c r="FP1811" s="4"/>
      <c r="FQ1811" s="4"/>
      <c r="FR1811" s="4">
        <v>170</v>
      </c>
      <c r="FS1811" s="4"/>
      <c r="FT1811" s="4"/>
      <c r="FU1811" s="4"/>
      <c r="FV1811" s="4"/>
      <c r="FW1811" s="4"/>
      <c r="FX1811" s="4"/>
      <c r="FY1811" s="4"/>
      <c r="FZ1811" s="4"/>
      <c r="GA1811" s="4"/>
      <c r="GB1811" s="4"/>
      <c r="GC1811" s="4"/>
      <c r="GD1811" s="4"/>
      <c r="GE1811" s="4"/>
      <c r="GF1811" s="4"/>
      <c r="GG1811" s="4">
        <v>150</v>
      </c>
      <c r="GH1811" s="4"/>
      <c r="GI1811" s="4"/>
      <c r="GJ1811" s="4"/>
      <c r="GK1811" s="4"/>
      <c r="GL1811" s="4"/>
      <c r="GM1811" s="4"/>
      <c r="GN1811" s="4"/>
      <c r="GO1811" s="4"/>
      <c r="GP1811" s="4"/>
      <c r="GQ1811" s="4"/>
      <c r="GR1811" s="4"/>
      <c r="GS1811" s="4"/>
      <c r="GT1811" s="4"/>
      <c r="GU1811" s="4"/>
      <c r="GV1811" s="4"/>
      <c r="GW1811" s="4"/>
      <c r="GX1811" s="4"/>
      <c r="GY1811" s="4"/>
      <c r="GZ1811" s="4"/>
      <c r="HA1811" s="4"/>
      <c r="HB1811" s="4"/>
      <c r="HC1811" s="4"/>
      <c r="HD1811" s="4"/>
      <c r="HE1811" s="4"/>
    </row>
    <row r="1812">
      <c r="A1812" s="2" t="s">
        <v>8900</v>
      </c>
      <c r="B1812" s="2" t="s">
        <v>299</v>
      </c>
      <c r="C1812" s="2" t="s">
        <v>731</v>
      </c>
      <c r="D1812" s="2" t="s">
        <v>301</v>
      </c>
      <c r="E1812" s="2" t="s">
        <v>302</v>
      </c>
      <c r="F1812" s="2" t="s">
        <v>8901</v>
      </c>
      <c r="G1812" s="2" t="s">
        <v>8901</v>
      </c>
      <c r="H1812" s="2" t="s">
        <v>8901</v>
      </c>
      <c r="I1812" s="2" t="s">
        <v>8902</v>
      </c>
      <c r="J1812" s="2" t="s">
        <v>312</v>
      </c>
      <c r="K1812" s="2" t="s">
        <v>8903</v>
      </c>
      <c r="L1812" s="3">
        <v>28.68</v>
      </c>
      <c r="M1812" s="3">
        <v>30.11</v>
      </c>
      <c r="N1812" s="3">
        <v>62.99</v>
      </c>
      <c r="O1812" s="2" t="s">
        <v>240</v>
      </c>
      <c r="P1812" s="2" t="s">
        <v>266</v>
      </c>
      <c r="Q1812" s="2" t="s">
        <v>234</v>
      </c>
      <c r="R1812" s="2" t="s">
        <v>228</v>
      </c>
      <c r="S1812" s="2" t="s">
        <v>8904</v>
      </c>
      <c r="T1812" s="2" t="s">
        <v>3810</v>
      </c>
      <c r="U1812" s="2" t="s">
        <v>308</v>
      </c>
      <c r="V1812" s="2" t="s">
        <v>1644</v>
      </c>
      <c r="W1812" s="2" t="s">
        <v>269</v>
      </c>
      <c r="X1812" s="2" t="s">
        <v>417</v>
      </c>
      <c r="Y1812" s="2" t="s">
        <v>5687</v>
      </c>
      <c r="Z1812" s="4">
        <v>272</v>
      </c>
      <c r="AA1812" s="4">
        <f>=ROUNDDOWN(34,0)</f>
      </c>
      <c r="AB1812" s="5">
        <v>8</v>
      </c>
      <c r="AC1812" s="2" t="s">
        <v>1381</v>
      </c>
      <c r="AD1812" s="4">
        <v>78</v>
      </c>
      <c r="AE1812" s="4">
        <v>215</v>
      </c>
      <c r="AF1812" s="6">
        <v>65</v>
      </c>
      <c r="AG1812" s="6"/>
      <c r="AH1812" s="7">
        <v>1</v>
      </c>
      <c r="AI1812" s="4"/>
      <c r="AJ1812" s="4">
        <f>=ROUNDDOWN({0},0)</f>
      </c>
      <c r="AK1812" s="5"/>
      <c r="AL1812" s="2" t="s">
        <v>228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/>
      <c r="AW1812" s="8"/>
      <c r="AX1812" s="4"/>
      <c r="AY1812" s="8"/>
      <c r="AZ1812" s="7"/>
      <c r="BA1812" s="7"/>
      <c r="BB1812" s="7"/>
      <c r="BC1812" s="4" t="s">
        <v>228</v>
      </c>
      <c r="BD1812" s="8" t="s">
        <v>228</v>
      </c>
      <c r="BE1812" s="4" t="s">
        <v>228</v>
      </c>
      <c r="BF1812" s="8" t="s">
        <v>228</v>
      </c>
      <c r="BG1812" s="7" t="s">
        <v>228</v>
      </c>
      <c r="BH1812" s="7" t="s">
        <v>228</v>
      </c>
      <c r="BI1812" s="7"/>
      <c r="BJ1812" s="4">
        <v>8</v>
      </c>
      <c r="BK1812" s="8">
        <v>265.66</v>
      </c>
      <c r="BL1812" s="2" t="s">
        <v>8905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8906</v>
      </c>
      <c r="BV1812" s="2" t="s">
        <v>228</v>
      </c>
      <c r="BW1812" s="2" t="s">
        <v>228</v>
      </c>
      <c r="BX1812" s="2" t="s">
        <v>273</v>
      </c>
      <c r="BY1812" s="2" t="s">
        <v>274</v>
      </c>
      <c r="BZ1812" s="2" t="s">
        <v>240</v>
      </c>
      <c r="CA1812" s="2" t="s">
        <v>5687</v>
      </c>
      <c r="CB1812" s="2" t="s">
        <v>6166</v>
      </c>
      <c r="CC1812" s="2" t="s">
        <v>241</v>
      </c>
      <c r="CD1812" s="2" t="s">
        <v>228</v>
      </c>
      <c r="CE1812" s="4">
        <v>272</v>
      </c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>
        <v>78</v>
      </c>
      <c r="DY1812" s="4"/>
      <c r="DZ1812" s="4"/>
      <c r="EA1812" s="4"/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  <c r="EM1812" s="4"/>
      <c r="EN1812" s="4"/>
      <c r="EO1812" s="4"/>
      <c r="EP1812" s="4"/>
      <c r="EQ1812" s="4"/>
      <c r="ER1812" s="4"/>
      <c r="ES1812" s="4"/>
      <c r="ET1812" s="4"/>
      <c r="EU1812" s="4"/>
      <c r="EV1812" s="4"/>
      <c r="EW1812" s="4"/>
      <c r="EX1812" s="4"/>
      <c r="EY1812" s="4"/>
      <c r="EZ1812" s="4"/>
      <c r="FA1812" s="4"/>
      <c r="FB1812" s="4"/>
      <c r="FC1812" s="4"/>
      <c r="FD1812" s="4"/>
      <c r="FE1812" s="4"/>
      <c r="FF1812" s="4"/>
      <c r="FG1812" s="4"/>
      <c r="FH1812" s="4"/>
      <c r="FI1812" s="4">
        <v>90</v>
      </c>
      <c r="FJ1812" s="4"/>
      <c r="FK1812" s="4"/>
      <c r="FL1812" s="4"/>
      <c r="FM1812" s="4"/>
      <c r="FN1812" s="4"/>
      <c r="FO1812" s="4"/>
      <c r="FP1812" s="4"/>
      <c r="FQ1812" s="4"/>
      <c r="FR1812" s="4"/>
      <c r="FS1812" s="4"/>
      <c r="FT1812" s="4"/>
      <c r="FU1812" s="4"/>
      <c r="FV1812" s="4"/>
      <c r="FW1812" s="4">
        <v>47</v>
      </c>
      <c r="FX1812" s="4"/>
      <c r="FY1812" s="4"/>
      <c r="FZ1812" s="4"/>
      <c r="GA1812" s="4"/>
      <c r="GB1812" s="4"/>
      <c r="GC1812" s="4"/>
      <c r="GD1812" s="4"/>
      <c r="GE1812" s="4"/>
      <c r="GF1812" s="4"/>
      <c r="GG1812" s="4"/>
      <c r="GH1812" s="4"/>
      <c r="GI1812" s="4"/>
      <c r="GJ1812" s="4"/>
      <c r="GK1812" s="4"/>
      <c r="GL1812" s="4"/>
      <c r="GM1812" s="4"/>
      <c r="GN1812" s="4"/>
      <c r="GO1812" s="4"/>
      <c r="GP1812" s="4"/>
      <c r="GQ1812" s="4"/>
      <c r="GR1812" s="4"/>
      <c r="GS1812" s="4"/>
      <c r="GT1812" s="4"/>
      <c r="GU1812" s="4"/>
      <c r="GV1812" s="4"/>
      <c r="GW1812" s="4"/>
      <c r="GX1812" s="4"/>
      <c r="GY1812" s="4"/>
      <c r="GZ1812" s="4"/>
      <c r="HA1812" s="4"/>
      <c r="HB1812" s="4"/>
      <c r="HC1812" s="4"/>
      <c r="HD1812" s="4"/>
      <c r="HE1812" s="4"/>
    </row>
    <row r="1813">
      <c r="A1813" s="2" t="s">
        <v>8907</v>
      </c>
      <c r="B1813" s="2" t="s">
        <v>299</v>
      </c>
      <c r="C1813" s="2" t="s">
        <v>731</v>
      </c>
      <c r="D1813" s="2" t="s">
        <v>301</v>
      </c>
      <c r="E1813" s="2" t="s">
        <v>302</v>
      </c>
      <c r="F1813" s="2" t="s">
        <v>8901</v>
      </c>
      <c r="G1813" s="2" t="s">
        <v>8901</v>
      </c>
      <c r="H1813" s="2" t="s">
        <v>8901</v>
      </c>
      <c r="I1813" s="2" t="s">
        <v>8902</v>
      </c>
      <c r="J1813" s="2" t="s">
        <v>284</v>
      </c>
      <c r="K1813" s="2" t="s">
        <v>8908</v>
      </c>
      <c r="L1813" s="3">
        <v>22</v>
      </c>
      <c r="M1813" s="3">
        <v>23.1</v>
      </c>
      <c r="N1813" s="3">
        <v>47.99</v>
      </c>
      <c r="O1813" s="2" t="s">
        <v>240</v>
      </c>
      <c r="P1813" s="2" t="s">
        <v>266</v>
      </c>
      <c r="Q1813" s="2" t="s">
        <v>234</v>
      </c>
      <c r="R1813" s="2" t="s">
        <v>228</v>
      </c>
      <c r="S1813" s="2" t="s">
        <v>8909</v>
      </c>
      <c r="T1813" s="2" t="s">
        <v>3810</v>
      </c>
      <c r="U1813" s="2" t="s">
        <v>308</v>
      </c>
      <c r="V1813" s="2" t="s">
        <v>374</v>
      </c>
      <c r="W1813" s="2" t="s">
        <v>269</v>
      </c>
      <c r="X1813" s="2" t="s">
        <v>417</v>
      </c>
      <c r="Y1813" s="2" t="s">
        <v>4116</v>
      </c>
      <c r="Z1813" s="4">
        <v>2</v>
      </c>
      <c r="AA1813" s="4">
        <f>=ROUNDDOWN(0.10989010989011,0)</f>
      </c>
      <c r="AB1813" s="5">
        <v>18.2</v>
      </c>
      <c r="AC1813" s="2" t="s">
        <v>1381</v>
      </c>
      <c r="AD1813" s="4">
        <v>30</v>
      </c>
      <c r="AE1813" s="4">
        <v>462</v>
      </c>
      <c r="AF1813" s="6">
        <v>74</v>
      </c>
      <c r="AG1813" s="6"/>
      <c r="AH1813" s="7">
        <v>0</v>
      </c>
      <c r="AI1813" s="4"/>
      <c r="AJ1813" s="4">
        <f>=ROUNDDOWN({0},0)</f>
      </c>
      <c r="AK1813" s="5"/>
      <c r="AL1813" s="2" t="s">
        <v>228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 t="s">
        <v>228</v>
      </c>
      <c r="AW1813" s="8" t="s">
        <v>228</v>
      </c>
      <c r="AX1813" s="4" t="s">
        <v>228</v>
      </c>
      <c r="AY1813" s="8" t="s">
        <v>228</v>
      </c>
      <c r="AZ1813" s="7" t="s">
        <v>228</v>
      </c>
      <c r="BA1813" s="7" t="s">
        <v>228</v>
      </c>
      <c r="BB1813" s="7"/>
      <c r="BC1813" s="4" t="s">
        <v>228</v>
      </c>
      <c r="BD1813" s="8" t="s">
        <v>228</v>
      </c>
      <c r="BE1813" s="4" t="s">
        <v>228</v>
      </c>
      <c r="BF1813" s="8" t="s">
        <v>228</v>
      </c>
      <c r="BG1813" s="7" t="s">
        <v>228</v>
      </c>
      <c r="BH1813" s="7" t="s">
        <v>228</v>
      </c>
      <c r="BI1813" s="7"/>
      <c r="BJ1813" s="4"/>
      <c r="BK1813" s="8"/>
      <c r="BL1813" s="2" t="s">
        <v>228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8910</v>
      </c>
      <c r="BV1813" s="2" t="s">
        <v>228</v>
      </c>
      <c r="BW1813" s="2" t="s">
        <v>228</v>
      </c>
      <c r="BX1813" s="2" t="s">
        <v>273</v>
      </c>
      <c r="BY1813" s="2" t="s">
        <v>274</v>
      </c>
      <c r="BZ1813" s="2" t="s">
        <v>240</v>
      </c>
      <c r="CA1813" s="2" t="s">
        <v>1749</v>
      </c>
      <c r="CB1813" s="2" t="s">
        <v>1443</v>
      </c>
      <c r="CC1813" s="2" t="s">
        <v>241</v>
      </c>
      <c r="CD1813" s="2" t="s">
        <v>228</v>
      </c>
      <c r="CE1813" s="4">
        <v>2</v>
      </c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/>
      <c r="DV1813" s="4"/>
      <c r="DW1813" s="4"/>
      <c r="DX1813" s="4">
        <v>30</v>
      </c>
      <c r="DY1813" s="4"/>
      <c r="DZ1813" s="4">
        <v>20</v>
      </c>
      <c r="EA1813" s="4"/>
      <c r="EB1813" s="4"/>
      <c r="EC1813" s="4"/>
      <c r="ED1813" s="4"/>
      <c r="EE1813" s="4"/>
      <c r="EF1813" s="4"/>
      <c r="EG1813" s="4"/>
      <c r="EH1813" s="4"/>
      <c r="EI1813" s="4"/>
      <c r="EJ1813" s="4"/>
      <c r="EK1813" s="4"/>
      <c r="EL1813" s="4"/>
      <c r="EM1813" s="4"/>
      <c r="EN1813" s="4"/>
      <c r="EO1813" s="4"/>
      <c r="EP1813" s="4"/>
      <c r="EQ1813" s="4"/>
      <c r="ER1813" s="4"/>
      <c r="ES1813" s="4"/>
      <c r="ET1813" s="4"/>
      <c r="EU1813" s="4"/>
      <c r="EV1813" s="4"/>
      <c r="EW1813" s="4"/>
      <c r="EX1813" s="4"/>
      <c r="EY1813" s="4"/>
      <c r="EZ1813" s="4"/>
      <c r="FA1813" s="4"/>
      <c r="FB1813" s="4"/>
      <c r="FC1813" s="4"/>
      <c r="FD1813" s="4"/>
      <c r="FE1813" s="4"/>
      <c r="FF1813" s="4"/>
      <c r="FG1813" s="4"/>
      <c r="FH1813" s="4"/>
      <c r="FI1813" s="4">
        <v>52</v>
      </c>
      <c r="FJ1813" s="4"/>
      <c r="FK1813" s="4"/>
      <c r="FL1813" s="4"/>
      <c r="FM1813" s="4"/>
      <c r="FN1813" s="4"/>
      <c r="FO1813" s="4"/>
      <c r="FP1813" s="4"/>
      <c r="FQ1813" s="4"/>
      <c r="FR1813" s="4"/>
      <c r="FS1813" s="4"/>
      <c r="FT1813" s="4"/>
      <c r="FU1813" s="4"/>
      <c r="FV1813" s="4"/>
      <c r="FW1813" s="4"/>
      <c r="FX1813" s="4"/>
      <c r="FY1813" s="4"/>
      <c r="FZ1813" s="4"/>
      <c r="GA1813" s="4"/>
      <c r="GB1813" s="4"/>
      <c r="GC1813" s="4"/>
      <c r="GD1813" s="4"/>
      <c r="GE1813" s="4"/>
      <c r="GF1813" s="4"/>
      <c r="GG1813" s="4"/>
      <c r="GH1813" s="4"/>
      <c r="GI1813" s="4"/>
      <c r="GJ1813" s="4"/>
      <c r="GK1813" s="4">
        <v>252</v>
      </c>
      <c r="GL1813" s="4"/>
      <c r="GM1813" s="4"/>
      <c r="GN1813" s="4"/>
      <c r="GO1813" s="4"/>
      <c r="GP1813" s="4"/>
      <c r="GQ1813" s="4"/>
      <c r="GR1813" s="4"/>
      <c r="GS1813" s="4"/>
      <c r="GT1813" s="4"/>
      <c r="GU1813" s="4"/>
      <c r="GV1813" s="4"/>
      <c r="GW1813" s="4"/>
      <c r="GX1813" s="4"/>
      <c r="GY1813" s="4"/>
      <c r="GZ1813" s="4">
        <v>108</v>
      </c>
      <c r="HA1813" s="4"/>
      <c r="HB1813" s="4"/>
      <c r="HC1813" s="4"/>
      <c r="HD1813" s="4"/>
      <c r="HE1813" s="4"/>
    </row>
    <row r="1814">
      <c r="A1814" s="2" t="s">
        <v>8911</v>
      </c>
      <c r="B1814" s="2" t="s">
        <v>299</v>
      </c>
      <c r="C1814" s="2" t="s">
        <v>731</v>
      </c>
      <c r="D1814" s="2" t="s">
        <v>301</v>
      </c>
      <c r="E1814" s="2" t="s">
        <v>302</v>
      </c>
      <c r="F1814" s="2" t="s">
        <v>8901</v>
      </c>
      <c r="G1814" s="2" t="s">
        <v>8901</v>
      </c>
      <c r="H1814" s="2" t="s">
        <v>8901</v>
      </c>
      <c r="I1814" s="2" t="s">
        <v>8902</v>
      </c>
      <c r="J1814" s="2" t="s">
        <v>289</v>
      </c>
      <c r="K1814" s="2" t="s">
        <v>8908</v>
      </c>
      <c r="L1814" s="3">
        <v>25.85</v>
      </c>
      <c r="M1814" s="3">
        <v>27.14</v>
      </c>
      <c r="N1814" s="3">
        <v>55.99</v>
      </c>
      <c r="O1814" s="2" t="s">
        <v>240</v>
      </c>
      <c r="P1814" s="2" t="s">
        <v>266</v>
      </c>
      <c r="Q1814" s="2" t="s">
        <v>234</v>
      </c>
      <c r="R1814" s="2" t="s">
        <v>228</v>
      </c>
      <c r="S1814" s="2" t="s">
        <v>8909</v>
      </c>
      <c r="T1814" s="2" t="s">
        <v>3810</v>
      </c>
      <c r="U1814" s="2" t="s">
        <v>308</v>
      </c>
      <c r="V1814" s="2" t="s">
        <v>374</v>
      </c>
      <c r="W1814" s="2" t="s">
        <v>269</v>
      </c>
      <c r="X1814" s="2" t="s">
        <v>417</v>
      </c>
      <c r="Y1814" s="2" t="s">
        <v>4116</v>
      </c>
      <c r="Z1814" s="4"/>
      <c r="AA1814" s="4">
        <f>=ROUNDDOWN({0},0)</f>
      </c>
      <c r="AB1814" s="5">
        <v>134.4</v>
      </c>
      <c r="AC1814" s="2" t="s">
        <v>1381</v>
      </c>
      <c r="AD1814" s="4">
        <v>50</v>
      </c>
      <c r="AE1814" s="4">
        <v>2376</v>
      </c>
      <c r="AF1814" s="6">
        <v>74</v>
      </c>
      <c r="AG1814" s="6"/>
      <c r="AH1814" s="7">
        <v>0</v>
      </c>
      <c r="AI1814" s="4"/>
      <c r="AJ1814" s="4">
        <f>=ROUNDDOWN({0},0)</f>
      </c>
      <c r="AK1814" s="5"/>
      <c r="AL1814" s="2" t="s">
        <v>228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 t="s">
        <v>228</v>
      </c>
      <c r="AW1814" s="8" t="s">
        <v>228</v>
      </c>
      <c r="AX1814" s="4" t="s">
        <v>228</v>
      </c>
      <c r="AY1814" s="8" t="s">
        <v>228</v>
      </c>
      <c r="AZ1814" s="7" t="s">
        <v>228</v>
      </c>
      <c r="BA1814" s="7" t="s">
        <v>228</v>
      </c>
      <c r="BB1814" s="7"/>
      <c r="BC1814" s="4" t="s">
        <v>228</v>
      </c>
      <c r="BD1814" s="8" t="s">
        <v>228</v>
      </c>
      <c r="BE1814" s="4" t="s">
        <v>228</v>
      </c>
      <c r="BF1814" s="8" t="s">
        <v>228</v>
      </c>
      <c r="BG1814" s="7" t="s">
        <v>228</v>
      </c>
      <c r="BH1814" s="7" t="s">
        <v>228</v>
      </c>
      <c r="BI1814" s="7"/>
      <c r="BJ1814" s="4"/>
      <c r="BK1814" s="8"/>
      <c r="BL1814" s="2" t="s">
        <v>228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8912</v>
      </c>
      <c r="BV1814" s="2" t="s">
        <v>228</v>
      </c>
      <c r="BW1814" s="2" t="s">
        <v>228</v>
      </c>
      <c r="BX1814" s="2" t="s">
        <v>273</v>
      </c>
      <c r="BY1814" s="2" t="s">
        <v>274</v>
      </c>
      <c r="BZ1814" s="2" t="s">
        <v>240</v>
      </c>
      <c r="CA1814" s="2" t="s">
        <v>1749</v>
      </c>
      <c r="CB1814" s="2" t="s">
        <v>8222</v>
      </c>
      <c r="CC1814" s="2" t="s">
        <v>241</v>
      </c>
      <c r="CD1814" s="2" t="s">
        <v>228</v>
      </c>
      <c r="CE1814" s="4"/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  <c r="DT1814" s="4"/>
      <c r="DU1814" s="4"/>
      <c r="DV1814" s="4"/>
      <c r="DW1814" s="4"/>
      <c r="DX1814" s="4">
        <v>50</v>
      </c>
      <c r="DY1814" s="4"/>
      <c r="DZ1814" s="4">
        <v>50</v>
      </c>
      <c r="EA1814" s="4"/>
      <c r="EB1814" s="4"/>
      <c r="EC1814" s="4"/>
      <c r="ED1814" s="4"/>
      <c r="EE1814" s="4"/>
      <c r="EF1814" s="4"/>
      <c r="EG1814" s="4"/>
      <c r="EH1814" s="4"/>
      <c r="EI1814" s="4"/>
      <c r="EJ1814" s="4"/>
      <c r="EK1814" s="4"/>
      <c r="EL1814" s="4"/>
      <c r="EM1814" s="4"/>
      <c r="EN1814" s="4"/>
      <c r="EO1814" s="4"/>
      <c r="EP1814" s="4"/>
      <c r="EQ1814" s="4"/>
      <c r="ER1814" s="4"/>
      <c r="ES1814" s="4"/>
      <c r="ET1814" s="4"/>
      <c r="EU1814" s="4"/>
      <c r="EV1814" s="4"/>
      <c r="EW1814" s="4"/>
      <c r="EX1814" s="4"/>
      <c r="EY1814" s="4"/>
      <c r="EZ1814" s="4"/>
      <c r="FA1814" s="4"/>
      <c r="FB1814" s="4"/>
      <c r="FC1814" s="4"/>
      <c r="FD1814" s="4"/>
      <c r="FE1814" s="4"/>
      <c r="FF1814" s="4"/>
      <c r="FG1814" s="4"/>
      <c r="FH1814" s="4"/>
      <c r="FI1814" s="4">
        <v>176</v>
      </c>
      <c r="FJ1814" s="4"/>
      <c r="FK1814" s="4"/>
      <c r="FL1814" s="4"/>
      <c r="FM1814" s="4"/>
      <c r="FN1814" s="4"/>
      <c r="FO1814" s="4"/>
      <c r="FP1814" s="4"/>
      <c r="FQ1814" s="4"/>
      <c r="FR1814" s="4"/>
      <c r="FS1814" s="4"/>
      <c r="FT1814" s="4"/>
      <c r="FU1814" s="4"/>
      <c r="FV1814" s="4"/>
      <c r="FW1814" s="4"/>
      <c r="FX1814" s="4"/>
      <c r="FY1814" s="4"/>
      <c r="FZ1814" s="4"/>
      <c r="GA1814" s="4"/>
      <c r="GB1814" s="4"/>
      <c r="GC1814" s="4"/>
      <c r="GD1814" s="4"/>
      <c r="GE1814" s="4"/>
      <c r="GF1814" s="4"/>
      <c r="GG1814" s="4"/>
      <c r="GH1814" s="4"/>
      <c r="GI1814" s="4"/>
      <c r="GJ1814" s="4"/>
      <c r="GK1814" s="4">
        <v>1470</v>
      </c>
      <c r="GL1814" s="4"/>
      <c r="GM1814" s="4"/>
      <c r="GN1814" s="4"/>
      <c r="GO1814" s="4"/>
      <c r="GP1814" s="4"/>
      <c r="GQ1814" s="4"/>
      <c r="GR1814" s="4"/>
      <c r="GS1814" s="4"/>
      <c r="GT1814" s="4"/>
      <c r="GU1814" s="4"/>
      <c r="GV1814" s="4"/>
      <c r="GW1814" s="4"/>
      <c r="GX1814" s="4"/>
      <c r="GY1814" s="4"/>
      <c r="GZ1814" s="4">
        <v>630</v>
      </c>
      <c r="HA1814" s="4"/>
      <c r="HB1814" s="4"/>
      <c r="HC1814" s="4"/>
      <c r="HD1814" s="4"/>
      <c r="HE1814" s="4"/>
    </row>
    <row r="1815">
      <c r="A1815" s="2" t="s">
        <v>8913</v>
      </c>
      <c r="B1815" s="2" t="s">
        <v>299</v>
      </c>
      <c r="C1815" s="2" t="s">
        <v>731</v>
      </c>
      <c r="D1815" s="2" t="s">
        <v>301</v>
      </c>
      <c r="E1815" s="2" t="s">
        <v>302</v>
      </c>
      <c r="F1815" s="2" t="s">
        <v>8901</v>
      </c>
      <c r="G1815" s="2" t="s">
        <v>8901</v>
      </c>
      <c r="H1815" s="2" t="s">
        <v>8901</v>
      </c>
      <c r="I1815" s="2" t="s">
        <v>8902</v>
      </c>
      <c r="J1815" s="2" t="s">
        <v>294</v>
      </c>
      <c r="K1815" s="2" t="s">
        <v>8908</v>
      </c>
      <c r="L1815" s="3">
        <v>28.68</v>
      </c>
      <c r="M1815" s="3">
        <v>30.11</v>
      </c>
      <c r="N1815" s="3">
        <v>62.99</v>
      </c>
      <c r="O1815" s="2" t="s">
        <v>240</v>
      </c>
      <c r="P1815" s="2" t="s">
        <v>266</v>
      </c>
      <c r="Q1815" s="2" t="s">
        <v>234</v>
      </c>
      <c r="R1815" s="2" t="s">
        <v>228</v>
      </c>
      <c r="S1815" s="2" t="s">
        <v>8909</v>
      </c>
      <c r="T1815" s="2" t="s">
        <v>3810</v>
      </c>
      <c r="U1815" s="2" t="s">
        <v>308</v>
      </c>
      <c r="V1815" s="2" t="s">
        <v>374</v>
      </c>
      <c r="W1815" s="2" t="s">
        <v>269</v>
      </c>
      <c r="X1815" s="2" t="s">
        <v>417</v>
      </c>
      <c r="Y1815" s="2" t="s">
        <v>4116</v>
      </c>
      <c r="Z1815" s="4">
        <v>194</v>
      </c>
      <c r="AA1815" s="4">
        <f>=ROUNDDOWN(12.7631578947368,0)</f>
      </c>
      <c r="AB1815" s="5">
        <v>15.2</v>
      </c>
      <c r="AC1815" s="2" t="s">
        <v>1381</v>
      </c>
      <c r="AD1815" s="4">
        <v>20</v>
      </c>
      <c r="AE1815" s="4">
        <v>453</v>
      </c>
      <c r="AF1815" s="6">
        <v>74</v>
      </c>
      <c r="AG1815" s="6"/>
      <c r="AH1815" s="7">
        <v>1</v>
      </c>
      <c r="AI1815" s="4"/>
      <c r="AJ1815" s="4">
        <f>=ROUNDDOWN({0},0)</f>
      </c>
      <c r="AK1815" s="5"/>
      <c r="AL1815" s="2" t="s">
        <v>228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 t="s">
        <v>228</v>
      </c>
      <c r="AW1815" s="8" t="s">
        <v>228</v>
      </c>
      <c r="AX1815" s="4" t="s">
        <v>228</v>
      </c>
      <c r="AY1815" s="8" t="s">
        <v>228</v>
      </c>
      <c r="AZ1815" s="7" t="s">
        <v>228</v>
      </c>
      <c r="BA1815" s="7" t="s">
        <v>228</v>
      </c>
      <c r="BB1815" s="7"/>
      <c r="BC1815" s="4" t="s">
        <v>228</v>
      </c>
      <c r="BD1815" s="8" t="s">
        <v>228</v>
      </c>
      <c r="BE1815" s="4" t="s">
        <v>228</v>
      </c>
      <c r="BF1815" s="8" t="s">
        <v>228</v>
      </c>
      <c r="BG1815" s="7" t="s">
        <v>228</v>
      </c>
      <c r="BH1815" s="7" t="s">
        <v>228</v>
      </c>
      <c r="BI1815" s="7"/>
      <c r="BJ1815" s="4">
        <v>15</v>
      </c>
      <c r="BK1815" s="8">
        <v>489.84</v>
      </c>
      <c r="BL1815" s="2" t="s">
        <v>6302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8914</v>
      </c>
      <c r="BV1815" s="2" t="s">
        <v>228</v>
      </c>
      <c r="BW1815" s="2" t="s">
        <v>228</v>
      </c>
      <c r="BX1815" s="2" t="s">
        <v>273</v>
      </c>
      <c r="BY1815" s="2" t="s">
        <v>274</v>
      </c>
      <c r="BZ1815" s="2" t="s">
        <v>240</v>
      </c>
      <c r="CA1815" s="2" t="s">
        <v>1749</v>
      </c>
      <c r="CB1815" s="2" t="s">
        <v>729</v>
      </c>
      <c r="CC1815" s="2" t="s">
        <v>241</v>
      </c>
      <c r="CD1815" s="2" t="s">
        <v>228</v>
      </c>
      <c r="CE1815" s="4">
        <v>194</v>
      </c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/>
      <c r="DX1815" s="4">
        <v>20</v>
      </c>
      <c r="DY1815" s="4"/>
      <c r="DZ1815" s="4">
        <v>20</v>
      </c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/>
      <c r="EQ1815" s="4"/>
      <c r="ER1815" s="4"/>
      <c r="ES1815" s="4"/>
      <c r="ET1815" s="4"/>
      <c r="EU1815" s="4"/>
      <c r="EV1815" s="4"/>
      <c r="EW1815" s="4"/>
      <c r="EX1815" s="4"/>
      <c r="EY1815" s="4"/>
      <c r="EZ1815" s="4"/>
      <c r="FA1815" s="4"/>
      <c r="FB1815" s="4"/>
      <c r="FC1815" s="4"/>
      <c r="FD1815" s="4"/>
      <c r="FE1815" s="4"/>
      <c r="FF1815" s="4"/>
      <c r="FG1815" s="4"/>
      <c r="FH1815" s="4"/>
      <c r="FI1815" s="4">
        <v>93</v>
      </c>
      <c r="FJ1815" s="4"/>
      <c r="FK1815" s="4"/>
      <c r="FL1815" s="4"/>
      <c r="FM1815" s="4"/>
      <c r="FN1815" s="4"/>
      <c r="FO1815" s="4"/>
      <c r="FP1815" s="4"/>
      <c r="FQ1815" s="4"/>
      <c r="FR1815" s="4"/>
      <c r="FS1815" s="4"/>
      <c r="FT1815" s="4"/>
      <c r="FU1815" s="4"/>
      <c r="FV1815" s="4"/>
      <c r="FW1815" s="4"/>
      <c r="FX1815" s="4"/>
      <c r="FY1815" s="4"/>
      <c r="FZ1815" s="4"/>
      <c r="GA1815" s="4"/>
      <c r="GB1815" s="4"/>
      <c r="GC1815" s="4"/>
      <c r="GD1815" s="4"/>
      <c r="GE1815" s="4"/>
      <c r="GF1815" s="4"/>
      <c r="GG1815" s="4"/>
      <c r="GH1815" s="4"/>
      <c r="GI1815" s="4"/>
      <c r="GJ1815" s="4"/>
      <c r="GK1815" s="4">
        <v>224</v>
      </c>
      <c r="GL1815" s="4"/>
      <c r="GM1815" s="4"/>
      <c r="GN1815" s="4"/>
      <c r="GO1815" s="4"/>
      <c r="GP1815" s="4"/>
      <c r="GQ1815" s="4"/>
      <c r="GR1815" s="4"/>
      <c r="GS1815" s="4"/>
      <c r="GT1815" s="4"/>
      <c r="GU1815" s="4"/>
      <c r="GV1815" s="4"/>
      <c r="GW1815" s="4"/>
      <c r="GX1815" s="4"/>
      <c r="GY1815" s="4"/>
      <c r="GZ1815" s="4">
        <v>96</v>
      </c>
      <c r="HA1815" s="4"/>
      <c r="HB1815" s="4"/>
      <c r="HC1815" s="4"/>
      <c r="HD1815" s="4"/>
      <c r="HE1815" s="4"/>
    </row>
    <row r="1816">
      <c r="A1816" s="2" t="s">
        <v>8915</v>
      </c>
      <c r="B1816" s="2" t="s">
        <v>299</v>
      </c>
      <c r="C1816" s="2" t="s">
        <v>731</v>
      </c>
      <c r="D1816" s="2" t="s">
        <v>301</v>
      </c>
      <c r="E1816" s="2" t="s">
        <v>302</v>
      </c>
      <c r="F1816" s="2" t="s">
        <v>8901</v>
      </c>
      <c r="G1816" s="2" t="s">
        <v>8901</v>
      </c>
      <c r="H1816" s="2" t="s">
        <v>8901</v>
      </c>
      <c r="I1816" s="2" t="s">
        <v>8902</v>
      </c>
      <c r="J1816" s="2" t="s">
        <v>312</v>
      </c>
      <c r="K1816" s="2" t="s">
        <v>8908</v>
      </c>
      <c r="L1816" s="3">
        <v>28.68</v>
      </c>
      <c r="M1816" s="3">
        <v>30.11</v>
      </c>
      <c r="N1816" s="3">
        <v>62.99</v>
      </c>
      <c r="O1816" s="2" t="s">
        <v>240</v>
      </c>
      <c r="P1816" s="2" t="s">
        <v>266</v>
      </c>
      <c r="Q1816" s="2" t="s">
        <v>234</v>
      </c>
      <c r="R1816" s="2" t="s">
        <v>228</v>
      </c>
      <c r="S1816" s="2" t="s">
        <v>8909</v>
      </c>
      <c r="T1816" s="2" t="s">
        <v>3810</v>
      </c>
      <c r="U1816" s="2" t="s">
        <v>308</v>
      </c>
      <c r="V1816" s="2" t="s">
        <v>374</v>
      </c>
      <c r="W1816" s="2" t="s">
        <v>269</v>
      </c>
      <c r="X1816" s="2" t="s">
        <v>417</v>
      </c>
      <c r="Y1816" s="2" t="s">
        <v>4116</v>
      </c>
      <c r="Z1816" s="4">
        <v>97</v>
      </c>
      <c r="AA1816" s="4">
        <f>=ROUNDDOWN(32.3333333333333,0)</f>
      </c>
      <c r="AB1816" s="5">
        <v>3</v>
      </c>
      <c r="AC1816" s="2" t="s">
        <v>1381</v>
      </c>
      <c r="AD1816" s="4">
        <v>20</v>
      </c>
      <c r="AE1816" s="4">
        <v>360</v>
      </c>
      <c r="AF1816" s="6">
        <v>74</v>
      </c>
      <c r="AG1816" s="6"/>
      <c r="AH1816" s="7">
        <v>1</v>
      </c>
      <c r="AI1816" s="4"/>
      <c r="AJ1816" s="4">
        <f>=ROUNDDOWN({0},0)</f>
      </c>
      <c r="AK1816" s="5"/>
      <c r="AL1816" s="2" t="s">
        <v>228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 t="s">
        <v>228</v>
      </c>
      <c r="AW1816" s="8" t="s">
        <v>228</v>
      </c>
      <c r="AX1816" s="4" t="s">
        <v>228</v>
      </c>
      <c r="AY1816" s="8" t="s">
        <v>228</v>
      </c>
      <c r="AZ1816" s="7" t="s">
        <v>228</v>
      </c>
      <c r="BA1816" s="7" t="s">
        <v>228</v>
      </c>
      <c r="BB1816" s="7"/>
      <c r="BC1816" s="4" t="s">
        <v>228</v>
      </c>
      <c r="BD1816" s="8" t="s">
        <v>228</v>
      </c>
      <c r="BE1816" s="4" t="s">
        <v>228</v>
      </c>
      <c r="BF1816" s="8" t="s">
        <v>228</v>
      </c>
      <c r="BG1816" s="7" t="s">
        <v>228</v>
      </c>
      <c r="BH1816" s="7" t="s">
        <v>228</v>
      </c>
      <c r="BI1816" s="7"/>
      <c r="BJ1816" s="4">
        <v>4</v>
      </c>
      <c r="BK1816" s="8">
        <v>132.73</v>
      </c>
      <c r="BL1816" s="2" t="s">
        <v>4127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8916</v>
      </c>
      <c r="BV1816" s="2" t="s">
        <v>228</v>
      </c>
      <c r="BW1816" s="2" t="s">
        <v>228</v>
      </c>
      <c r="BX1816" s="2" t="s">
        <v>273</v>
      </c>
      <c r="BY1816" s="2" t="s">
        <v>274</v>
      </c>
      <c r="BZ1816" s="2" t="s">
        <v>240</v>
      </c>
      <c r="CA1816" s="2" t="s">
        <v>1749</v>
      </c>
      <c r="CB1816" s="2" t="s">
        <v>400</v>
      </c>
      <c r="CC1816" s="2" t="s">
        <v>241</v>
      </c>
      <c r="CD1816" s="2" t="s">
        <v>228</v>
      </c>
      <c r="CE1816" s="4">
        <v>97</v>
      </c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>
        <v>20</v>
      </c>
      <c r="DY1816" s="4"/>
      <c r="DZ1816" s="4">
        <v>20</v>
      </c>
      <c r="EA1816" s="4"/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  <c r="EM1816" s="4"/>
      <c r="EN1816" s="4"/>
      <c r="EO1816" s="4"/>
      <c r="EP1816" s="4"/>
      <c r="EQ1816" s="4"/>
      <c r="ER1816" s="4"/>
      <c r="ES1816" s="4"/>
      <c r="ET1816" s="4"/>
      <c r="EU1816" s="4"/>
      <c r="EV1816" s="4"/>
      <c r="EW1816" s="4"/>
      <c r="EX1816" s="4"/>
      <c r="EY1816" s="4"/>
      <c r="EZ1816" s="4"/>
      <c r="FA1816" s="4"/>
      <c r="FB1816" s="4"/>
      <c r="FC1816" s="4"/>
      <c r="FD1816" s="4"/>
      <c r="FE1816" s="4"/>
      <c r="FF1816" s="4"/>
      <c r="FG1816" s="4"/>
      <c r="FH1816" s="4"/>
      <c r="FI1816" s="4">
        <v>50</v>
      </c>
      <c r="FJ1816" s="4"/>
      <c r="FK1816" s="4"/>
      <c r="FL1816" s="4"/>
      <c r="FM1816" s="4"/>
      <c r="FN1816" s="4"/>
      <c r="FO1816" s="4"/>
      <c r="FP1816" s="4"/>
      <c r="FQ1816" s="4"/>
      <c r="FR1816" s="4"/>
      <c r="FS1816" s="4"/>
      <c r="FT1816" s="4"/>
      <c r="FU1816" s="4"/>
      <c r="FV1816" s="4"/>
      <c r="FW1816" s="4"/>
      <c r="FX1816" s="4"/>
      <c r="FY1816" s="4"/>
      <c r="FZ1816" s="4"/>
      <c r="GA1816" s="4"/>
      <c r="GB1816" s="4"/>
      <c r="GC1816" s="4"/>
      <c r="GD1816" s="4"/>
      <c r="GE1816" s="4"/>
      <c r="GF1816" s="4"/>
      <c r="GG1816" s="4"/>
      <c r="GH1816" s="4"/>
      <c r="GI1816" s="4"/>
      <c r="GJ1816" s="4"/>
      <c r="GK1816" s="4">
        <v>189</v>
      </c>
      <c r="GL1816" s="4"/>
      <c r="GM1816" s="4"/>
      <c r="GN1816" s="4"/>
      <c r="GO1816" s="4"/>
      <c r="GP1816" s="4"/>
      <c r="GQ1816" s="4"/>
      <c r="GR1816" s="4"/>
      <c r="GS1816" s="4"/>
      <c r="GT1816" s="4"/>
      <c r="GU1816" s="4"/>
      <c r="GV1816" s="4"/>
      <c r="GW1816" s="4"/>
      <c r="GX1816" s="4"/>
      <c r="GY1816" s="4"/>
      <c r="GZ1816" s="4">
        <v>81</v>
      </c>
      <c r="HA1816" s="4"/>
      <c r="HB1816" s="4"/>
      <c r="HC1816" s="4"/>
      <c r="HD1816" s="4"/>
      <c r="HE1816" s="4"/>
    </row>
    <row r="1817">
      <c r="A1817" s="2" t="s">
        <v>8917</v>
      </c>
      <c r="B1817" s="2" t="s">
        <v>299</v>
      </c>
      <c r="C1817" s="2" t="s">
        <v>731</v>
      </c>
      <c r="D1817" s="2" t="s">
        <v>301</v>
      </c>
      <c r="E1817" s="2" t="s">
        <v>302</v>
      </c>
      <c r="F1817" s="2" t="s">
        <v>8901</v>
      </c>
      <c r="G1817" s="2" t="s">
        <v>8901</v>
      </c>
      <c r="H1817" s="2" t="s">
        <v>8901</v>
      </c>
      <c r="I1817" s="2" t="s">
        <v>8902</v>
      </c>
      <c r="J1817" s="2" t="s">
        <v>284</v>
      </c>
      <c r="K1817" s="2" t="s">
        <v>8918</v>
      </c>
      <c r="L1817" s="3">
        <v>22</v>
      </c>
      <c r="M1817" s="3">
        <v>23.1</v>
      </c>
      <c r="N1817" s="3">
        <v>47.99</v>
      </c>
      <c r="O1817" s="2" t="s">
        <v>240</v>
      </c>
      <c r="P1817" s="2" t="s">
        <v>233</v>
      </c>
      <c r="Q1817" s="2" t="s">
        <v>234</v>
      </c>
      <c r="R1817" s="2" t="s">
        <v>228</v>
      </c>
      <c r="S1817" s="2" t="s">
        <v>8919</v>
      </c>
      <c r="T1817" s="2" t="s">
        <v>3810</v>
      </c>
      <c r="U1817" s="2" t="s">
        <v>308</v>
      </c>
      <c r="V1817" s="2" t="s">
        <v>3717</v>
      </c>
      <c r="W1817" s="2" t="s">
        <v>269</v>
      </c>
      <c r="X1817" s="2" t="s">
        <v>417</v>
      </c>
      <c r="Y1817" s="2" t="s">
        <v>228</v>
      </c>
      <c r="Z1817" s="4"/>
      <c r="AA1817" s="4">
        <f>=ROUNDDOWN({0},0)</f>
      </c>
      <c r="AB1817" s="5"/>
      <c r="AC1817" s="2" t="s">
        <v>3854</v>
      </c>
      <c r="AD1817" s="4">
        <v>152</v>
      </c>
      <c r="AE1817" s="4">
        <v>506</v>
      </c>
      <c r="AF1817" s="6">
        <v>69</v>
      </c>
      <c r="AG1817" s="6"/>
      <c r="AH1817" s="7"/>
      <c r="AI1817" s="4"/>
      <c r="AJ1817" s="4">
        <f>=ROUNDDOWN({0},0)</f>
      </c>
      <c r="AK1817" s="5"/>
      <c r="AL1817" s="2" t="s">
        <v>228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 t="s">
        <v>228</v>
      </c>
      <c r="AW1817" s="8" t="s">
        <v>228</v>
      </c>
      <c r="AX1817" s="4" t="s">
        <v>228</v>
      </c>
      <c r="AY1817" s="8" t="s">
        <v>228</v>
      </c>
      <c r="AZ1817" s="7" t="s">
        <v>228</v>
      </c>
      <c r="BA1817" s="7" t="s">
        <v>228</v>
      </c>
      <c r="BB1817" s="7"/>
      <c r="BC1817" s="4" t="s">
        <v>228</v>
      </c>
      <c r="BD1817" s="8" t="s">
        <v>228</v>
      </c>
      <c r="BE1817" s="4" t="s">
        <v>228</v>
      </c>
      <c r="BF1817" s="8" t="s">
        <v>228</v>
      </c>
      <c r="BG1817" s="7" t="s">
        <v>228</v>
      </c>
      <c r="BH1817" s="7" t="s">
        <v>228</v>
      </c>
      <c r="BI1817" s="7"/>
      <c r="BJ1817" s="4"/>
      <c r="BK1817" s="8"/>
      <c r="BL1817" s="2" t="s">
        <v>228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238</v>
      </c>
      <c r="BV1817" s="2" t="s">
        <v>228</v>
      </c>
      <c r="BW1817" s="2" t="s">
        <v>228</v>
      </c>
      <c r="BX1817" s="2" t="s">
        <v>238</v>
      </c>
      <c r="BY1817" s="2" t="s">
        <v>239</v>
      </c>
      <c r="BZ1817" s="2" t="s">
        <v>240</v>
      </c>
      <c r="CA1817" s="2" t="s">
        <v>228</v>
      </c>
      <c r="CB1817" s="2" t="s">
        <v>228</v>
      </c>
      <c r="CC1817" s="2" t="s">
        <v>241</v>
      </c>
      <c r="CD1817" s="2" t="s">
        <v>228</v>
      </c>
      <c r="CE1817" s="4"/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>
        <v>152</v>
      </c>
      <c r="DW1817" s="4"/>
      <c r="DX1817" s="4"/>
      <c r="DY1817" s="4"/>
      <c r="DZ1817" s="4">
        <v>253</v>
      </c>
      <c r="EA1817" s="4"/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  <c r="EM1817" s="4"/>
      <c r="EN1817" s="4"/>
      <c r="EO1817" s="4"/>
      <c r="EP1817" s="4"/>
      <c r="EQ1817" s="4"/>
      <c r="ER1817" s="4"/>
      <c r="ES1817" s="4"/>
      <c r="ET1817" s="4"/>
      <c r="EU1817" s="4"/>
      <c r="EV1817" s="4"/>
      <c r="EW1817" s="4"/>
      <c r="EX1817" s="4"/>
      <c r="EY1817" s="4"/>
      <c r="EZ1817" s="4"/>
      <c r="FA1817" s="4">
        <v>101</v>
      </c>
      <c r="FB1817" s="4"/>
      <c r="FC1817" s="4"/>
      <c r="FD1817" s="4"/>
      <c r="FE1817" s="4"/>
      <c r="FF1817" s="4"/>
      <c r="FG1817" s="4"/>
      <c r="FH1817" s="4"/>
      <c r="FI1817" s="4"/>
      <c r="FJ1817" s="4"/>
      <c r="FK1817" s="4"/>
      <c r="FL1817" s="4"/>
      <c r="FM1817" s="4"/>
      <c r="FN1817" s="4"/>
      <c r="FO1817" s="4"/>
      <c r="FP1817" s="4"/>
      <c r="FQ1817" s="4"/>
      <c r="FR1817" s="4"/>
      <c r="FS1817" s="4"/>
      <c r="FT1817" s="4"/>
      <c r="FU1817" s="4"/>
      <c r="FV1817" s="4"/>
      <c r="FW1817" s="4"/>
      <c r="FX1817" s="4"/>
      <c r="FY1817" s="4"/>
      <c r="FZ1817" s="4"/>
      <c r="GA1817" s="4"/>
      <c r="GB1817" s="4"/>
      <c r="GC1817" s="4"/>
      <c r="GD1817" s="4"/>
      <c r="GE1817" s="4"/>
      <c r="GF1817" s="4"/>
      <c r="GG1817" s="4"/>
      <c r="GH1817" s="4"/>
      <c r="GI1817" s="4"/>
      <c r="GJ1817" s="4"/>
      <c r="GK1817" s="4"/>
      <c r="GL1817" s="4"/>
      <c r="GM1817" s="4"/>
      <c r="GN1817" s="4"/>
      <c r="GO1817" s="4"/>
      <c r="GP1817" s="4"/>
      <c r="GQ1817" s="4"/>
      <c r="GR1817" s="4"/>
      <c r="GS1817" s="4"/>
      <c r="GT1817" s="4"/>
      <c r="GU1817" s="4"/>
      <c r="GV1817" s="4"/>
      <c r="GW1817" s="4"/>
      <c r="GX1817" s="4"/>
      <c r="GY1817" s="4"/>
      <c r="GZ1817" s="4"/>
      <c r="HA1817" s="4"/>
      <c r="HB1817" s="4"/>
      <c r="HC1817" s="4"/>
      <c r="HD1817" s="4"/>
      <c r="HE1817" s="4"/>
    </row>
    <row r="1818">
      <c r="A1818" s="2" t="s">
        <v>8920</v>
      </c>
      <c r="B1818" s="2" t="s">
        <v>299</v>
      </c>
      <c r="C1818" s="2" t="s">
        <v>731</v>
      </c>
      <c r="D1818" s="2" t="s">
        <v>301</v>
      </c>
      <c r="E1818" s="2" t="s">
        <v>302</v>
      </c>
      <c r="F1818" s="2" t="s">
        <v>8901</v>
      </c>
      <c r="G1818" s="2" t="s">
        <v>8901</v>
      </c>
      <c r="H1818" s="2" t="s">
        <v>8901</v>
      </c>
      <c r="I1818" s="2" t="s">
        <v>8902</v>
      </c>
      <c r="J1818" s="2" t="s">
        <v>289</v>
      </c>
      <c r="K1818" s="2" t="s">
        <v>8918</v>
      </c>
      <c r="L1818" s="3">
        <v>25.85</v>
      </c>
      <c r="M1818" s="3">
        <v>27.14</v>
      </c>
      <c r="N1818" s="3">
        <v>55.99</v>
      </c>
      <c r="O1818" s="2" t="s">
        <v>240</v>
      </c>
      <c r="P1818" s="2" t="s">
        <v>233</v>
      </c>
      <c r="Q1818" s="2" t="s">
        <v>234</v>
      </c>
      <c r="R1818" s="2" t="s">
        <v>228</v>
      </c>
      <c r="S1818" s="2" t="s">
        <v>8919</v>
      </c>
      <c r="T1818" s="2" t="s">
        <v>3810</v>
      </c>
      <c r="U1818" s="2" t="s">
        <v>308</v>
      </c>
      <c r="V1818" s="2" t="s">
        <v>3717</v>
      </c>
      <c r="W1818" s="2" t="s">
        <v>269</v>
      </c>
      <c r="X1818" s="2" t="s">
        <v>417</v>
      </c>
      <c r="Y1818" s="2" t="s">
        <v>228</v>
      </c>
      <c r="Z1818" s="4"/>
      <c r="AA1818" s="4">
        <f>=ROUNDDOWN({0},0)</f>
      </c>
      <c r="AB1818" s="5"/>
      <c r="AC1818" s="2" t="s">
        <v>3854</v>
      </c>
      <c r="AD1818" s="4">
        <v>287</v>
      </c>
      <c r="AE1818" s="4">
        <v>957</v>
      </c>
      <c r="AF1818" s="6">
        <v>69</v>
      </c>
      <c r="AG1818" s="6"/>
      <c r="AH1818" s="7"/>
      <c r="AI1818" s="4"/>
      <c r="AJ1818" s="4">
        <f>=ROUNDDOWN({0},0)</f>
      </c>
      <c r="AK1818" s="5"/>
      <c r="AL1818" s="2" t="s">
        <v>228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 t="s">
        <v>228</v>
      </c>
      <c r="AW1818" s="8" t="s">
        <v>228</v>
      </c>
      <c r="AX1818" s="4" t="s">
        <v>228</v>
      </c>
      <c r="AY1818" s="8" t="s">
        <v>228</v>
      </c>
      <c r="AZ1818" s="7" t="s">
        <v>228</v>
      </c>
      <c r="BA1818" s="7" t="s">
        <v>228</v>
      </c>
      <c r="BB1818" s="7"/>
      <c r="BC1818" s="4" t="s">
        <v>228</v>
      </c>
      <c r="BD1818" s="8" t="s">
        <v>228</v>
      </c>
      <c r="BE1818" s="4" t="s">
        <v>228</v>
      </c>
      <c r="BF1818" s="8" t="s">
        <v>228</v>
      </c>
      <c r="BG1818" s="7" t="s">
        <v>228</v>
      </c>
      <c r="BH1818" s="7" t="s">
        <v>228</v>
      </c>
      <c r="BI1818" s="7"/>
      <c r="BJ1818" s="4"/>
      <c r="BK1818" s="8"/>
      <c r="BL1818" s="2" t="s">
        <v>228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238</v>
      </c>
      <c r="BV1818" s="2" t="s">
        <v>228</v>
      </c>
      <c r="BW1818" s="2" t="s">
        <v>228</v>
      </c>
      <c r="BX1818" s="2" t="s">
        <v>238</v>
      </c>
      <c r="BY1818" s="2" t="s">
        <v>239</v>
      </c>
      <c r="BZ1818" s="2" t="s">
        <v>240</v>
      </c>
      <c r="CA1818" s="2" t="s">
        <v>228</v>
      </c>
      <c r="CB1818" s="2" t="s">
        <v>228</v>
      </c>
      <c r="CC1818" s="2" t="s">
        <v>241</v>
      </c>
      <c r="CD1818" s="2" t="s">
        <v>228</v>
      </c>
      <c r="CE1818" s="4"/>
      <c r="CF1818" s="4"/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>
        <v>287</v>
      </c>
      <c r="DW1818" s="4"/>
      <c r="DX1818" s="4"/>
      <c r="DY1818" s="4"/>
      <c r="DZ1818" s="4">
        <v>479</v>
      </c>
      <c r="EA1818" s="4"/>
      <c r="EB1818" s="4"/>
      <c r="EC1818" s="4"/>
      <c r="ED1818" s="4"/>
      <c r="EE1818" s="4"/>
      <c r="EF1818" s="4"/>
      <c r="EG1818" s="4"/>
      <c r="EH1818" s="4"/>
      <c r="EI1818" s="4"/>
      <c r="EJ1818" s="4"/>
      <c r="EK1818" s="4"/>
      <c r="EL1818" s="4"/>
      <c r="EM1818" s="4"/>
      <c r="EN1818" s="4"/>
      <c r="EO1818" s="4"/>
      <c r="EP1818" s="4"/>
      <c r="EQ1818" s="4"/>
      <c r="ER1818" s="4"/>
      <c r="ES1818" s="4"/>
      <c r="ET1818" s="4"/>
      <c r="EU1818" s="4"/>
      <c r="EV1818" s="4"/>
      <c r="EW1818" s="4"/>
      <c r="EX1818" s="4"/>
      <c r="EY1818" s="4"/>
      <c r="EZ1818" s="4"/>
      <c r="FA1818" s="4">
        <v>191</v>
      </c>
      <c r="FB1818" s="4"/>
      <c r="FC1818" s="4"/>
      <c r="FD1818" s="4"/>
      <c r="FE1818" s="4"/>
      <c r="FF1818" s="4"/>
      <c r="FG1818" s="4"/>
      <c r="FH1818" s="4"/>
      <c r="FI1818" s="4"/>
      <c r="FJ1818" s="4"/>
      <c r="FK1818" s="4"/>
      <c r="FL1818" s="4"/>
      <c r="FM1818" s="4"/>
      <c r="FN1818" s="4"/>
      <c r="FO1818" s="4"/>
      <c r="FP1818" s="4"/>
      <c r="FQ1818" s="4"/>
      <c r="FR1818" s="4"/>
      <c r="FS1818" s="4"/>
      <c r="FT1818" s="4"/>
      <c r="FU1818" s="4"/>
      <c r="FV1818" s="4"/>
      <c r="FW1818" s="4"/>
      <c r="FX1818" s="4"/>
      <c r="FY1818" s="4"/>
      <c r="FZ1818" s="4"/>
      <c r="GA1818" s="4"/>
      <c r="GB1818" s="4"/>
      <c r="GC1818" s="4"/>
      <c r="GD1818" s="4"/>
      <c r="GE1818" s="4"/>
      <c r="GF1818" s="4"/>
      <c r="GG1818" s="4"/>
      <c r="GH1818" s="4"/>
      <c r="GI1818" s="4"/>
      <c r="GJ1818" s="4"/>
      <c r="GK1818" s="4"/>
      <c r="GL1818" s="4"/>
      <c r="GM1818" s="4"/>
      <c r="GN1818" s="4"/>
      <c r="GO1818" s="4"/>
      <c r="GP1818" s="4"/>
      <c r="GQ1818" s="4"/>
      <c r="GR1818" s="4"/>
      <c r="GS1818" s="4"/>
      <c r="GT1818" s="4"/>
      <c r="GU1818" s="4"/>
      <c r="GV1818" s="4"/>
      <c r="GW1818" s="4"/>
      <c r="GX1818" s="4"/>
      <c r="GY1818" s="4"/>
      <c r="GZ1818" s="4"/>
      <c r="HA1818" s="4"/>
      <c r="HB1818" s="4"/>
      <c r="HC1818" s="4"/>
      <c r="HD1818" s="4"/>
      <c r="HE1818" s="4"/>
    </row>
    <row r="1819">
      <c r="A1819" s="2" t="s">
        <v>8921</v>
      </c>
      <c r="B1819" s="2" t="s">
        <v>299</v>
      </c>
      <c r="C1819" s="2" t="s">
        <v>731</v>
      </c>
      <c r="D1819" s="2" t="s">
        <v>301</v>
      </c>
      <c r="E1819" s="2" t="s">
        <v>302</v>
      </c>
      <c r="F1819" s="2" t="s">
        <v>8901</v>
      </c>
      <c r="G1819" s="2" t="s">
        <v>8901</v>
      </c>
      <c r="H1819" s="2" t="s">
        <v>8901</v>
      </c>
      <c r="I1819" s="2" t="s">
        <v>8902</v>
      </c>
      <c r="J1819" s="2" t="s">
        <v>294</v>
      </c>
      <c r="K1819" s="2" t="s">
        <v>8918</v>
      </c>
      <c r="L1819" s="3">
        <v>28.68</v>
      </c>
      <c r="M1819" s="3">
        <v>30.11</v>
      </c>
      <c r="N1819" s="3">
        <v>62.99</v>
      </c>
      <c r="O1819" s="2" t="s">
        <v>240</v>
      </c>
      <c r="P1819" s="2" t="s">
        <v>233</v>
      </c>
      <c r="Q1819" s="2" t="s">
        <v>234</v>
      </c>
      <c r="R1819" s="2" t="s">
        <v>228</v>
      </c>
      <c r="S1819" s="2" t="s">
        <v>8919</v>
      </c>
      <c r="T1819" s="2" t="s">
        <v>3810</v>
      </c>
      <c r="U1819" s="2" t="s">
        <v>308</v>
      </c>
      <c r="V1819" s="2" t="s">
        <v>3717</v>
      </c>
      <c r="W1819" s="2" t="s">
        <v>269</v>
      </c>
      <c r="X1819" s="2" t="s">
        <v>417</v>
      </c>
      <c r="Y1819" s="2" t="s">
        <v>228</v>
      </c>
      <c r="Z1819" s="4"/>
      <c r="AA1819" s="4">
        <f>=ROUNDDOWN({0},0)</f>
      </c>
      <c r="AB1819" s="5"/>
      <c r="AC1819" s="2" t="s">
        <v>3854</v>
      </c>
      <c r="AD1819" s="4">
        <v>148</v>
      </c>
      <c r="AE1819" s="4">
        <v>494</v>
      </c>
      <c r="AF1819" s="6">
        <v>69</v>
      </c>
      <c r="AG1819" s="6"/>
      <c r="AH1819" s="7"/>
      <c r="AI1819" s="4"/>
      <c r="AJ1819" s="4">
        <f>=ROUNDDOWN({0},0)</f>
      </c>
      <c r="AK1819" s="5"/>
      <c r="AL1819" s="2" t="s">
        <v>228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 t="s">
        <v>228</v>
      </c>
      <c r="AW1819" s="8" t="s">
        <v>228</v>
      </c>
      <c r="AX1819" s="4" t="s">
        <v>228</v>
      </c>
      <c r="AY1819" s="8" t="s">
        <v>228</v>
      </c>
      <c r="AZ1819" s="7" t="s">
        <v>228</v>
      </c>
      <c r="BA1819" s="7" t="s">
        <v>228</v>
      </c>
      <c r="BB1819" s="7"/>
      <c r="BC1819" s="4" t="s">
        <v>228</v>
      </c>
      <c r="BD1819" s="8" t="s">
        <v>228</v>
      </c>
      <c r="BE1819" s="4" t="s">
        <v>228</v>
      </c>
      <c r="BF1819" s="8" t="s">
        <v>228</v>
      </c>
      <c r="BG1819" s="7" t="s">
        <v>228</v>
      </c>
      <c r="BH1819" s="7" t="s">
        <v>228</v>
      </c>
      <c r="BI1819" s="7"/>
      <c r="BJ1819" s="4"/>
      <c r="BK1819" s="8"/>
      <c r="BL1819" s="2" t="s">
        <v>228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238</v>
      </c>
      <c r="BV1819" s="2" t="s">
        <v>228</v>
      </c>
      <c r="BW1819" s="2" t="s">
        <v>228</v>
      </c>
      <c r="BX1819" s="2" t="s">
        <v>238</v>
      </c>
      <c r="BY1819" s="2" t="s">
        <v>239</v>
      </c>
      <c r="BZ1819" s="2" t="s">
        <v>240</v>
      </c>
      <c r="CA1819" s="2" t="s">
        <v>228</v>
      </c>
      <c r="CB1819" s="2" t="s">
        <v>228</v>
      </c>
      <c r="CC1819" s="2" t="s">
        <v>241</v>
      </c>
      <c r="CD1819" s="2" t="s">
        <v>228</v>
      </c>
      <c r="CE1819" s="4"/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>
        <v>148</v>
      </c>
      <c r="DW1819" s="4"/>
      <c r="DX1819" s="4"/>
      <c r="DY1819" s="4"/>
      <c r="DZ1819" s="4">
        <v>247</v>
      </c>
      <c r="EA1819" s="4"/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  <c r="EM1819" s="4"/>
      <c r="EN1819" s="4"/>
      <c r="EO1819" s="4"/>
      <c r="EP1819" s="4"/>
      <c r="EQ1819" s="4"/>
      <c r="ER1819" s="4"/>
      <c r="ES1819" s="4"/>
      <c r="ET1819" s="4"/>
      <c r="EU1819" s="4"/>
      <c r="EV1819" s="4"/>
      <c r="EW1819" s="4"/>
      <c r="EX1819" s="4"/>
      <c r="EY1819" s="4"/>
      <c r="EZ1819" s="4"/>
      <c r="FA1819" s="4">
        <v>99</v>
      </c>
      <c r="FB1819" s="4"/>
      <c r="FC1819" s="4"/>
      <c r="FD1819" s="4"/>
      <c r="FE1819" s="4"/>
      <c r="FF1819" s="4"/>
      <c r="FG1819" s="4"/>
      <c r="FH1819" s="4"/>
      <c r="FI1819" s="4"/>
      <c r="FJ1819" s="4"/>
      <c r="FK1819" s="4"/>
      <c r="FL1819" s="4"/>
      <c r="FM1819" s="4"/>
      <c r="FN1819" s="4"/>
      <c r="FO1819" s="4"/>
      <c r="FP1819" s="4"/>
      <c r="FQ1819" s="4"/>
      <c r="FR1819" s="4"/>
      <c r="FS1819" s="4"/>
      <c r="FT1819" s="4"/>
      <c r="FU1819" s="4"/>
      <c r="FV1819" s="4"/>
      <c r="FW1819" s="4"/>
      <c r="FX1819" s="4"/>
      <c r="FY1819" s="4"/>
      <c r="FZ1819" s="4"/>
      <c r="GA1819" s="4"/>
      <c r="GB1819" s="4"/>
      <c r="GC1819" s="4"/>
      <c r="GD1819" s="4"/>
      <c r="GE1819" s="4"/>
      <c r="GF1819" s="4"/>
      <c r="GG1819" s="4"/>
      <c r="GH1819" s="4"/>
      <c r="GI1819" s="4"/>
      <c r="GJ1819" s="4"/>
      <c r="GK1819" s="4"/>
      <c r="GL1819" s="4"/>
      <c r="GM1819" s="4"/>
      <c r="GN1819" s="4"/>
      <c r="GO1819" s="4"/>
      <c r="GP1819" s="4"/>
      <c r="GQ1819" s="4"/>
      <c r="GR1819" s="4"/>
      <c r="GS1819" s="4"/>
      <c r="GT1819" s="4"/>
      <c r="GU1819" s="4"/>
      <c r="GV1819" s="4"/>
      <c r="GW1819" s="4"/>
      <c r="GX1819" s="4"/>
      <c r="GY1819" s="4"/>
      <c r="GZ1819" s="4"/>
      <c r="HA1819" s="4"/>
      <c r="HB1819" s="4"/>
      <c r="HC1819" s="4"/>
      <c r="HD1819" s="4"/>
      <c r="HE1819" s="4"/>
    </row>
    <row r="1820">
      <c r="A1820" s="2" t="s">
        <v>8922</v>
      </c>
      <c r="B1820" s="2" t="s">
        <v>299</v>
      </c>
      <c r="C1820" s="2" t="s">
        <v>731</v>
      </c>
      <c r="D1820" s="2" t="s">
        <v>301</v>
      </c>
      <c r="E1820" s="2" t="s">
        <v>302</v>
      </c>
      <c r="F1820" s="2" t="s">
        <v>8901</v>
      </c>
      <c r="G1820" s="2" t="s">
        <v>8901</v>
      </c>
      <c r="H1820" s="2" t="s">
        <v>8901</v>
      </c>
      <c r="I1820" s="2" t="s">
        <v>8902</v>
      </c>
      <c r="J1820" s="2" t="s">
        <v>312</v>
      </c>
      <c r="K1820" s="2" t="s">
        <v>8918</v>
      </c>
      <c r="L1820" s="3">
        <v>28.68</v>
      </c>
      <c r="M1820" s="3">
        <v>30.11</v>
      </c>
      <c r="N1820" s="3">
        <v>62.99</v>
      </c>
      <c r="O1820" s="2" t="s">
        <v>240</v>
      </c>
      <c r="P1820" s="2" t="s">
        <v>233</v>
      </c>
      <c r="Q1820" s="2" t="s">
        <v>234</v>
      </c>
      <c r="R1820" s="2" t="s">
        <v>228</v>
      </c>
      <c r="S1820" s="2" t="s">
        <v>8919</v>
      </c>
      <c r="T1820" s="2" t="s">
        <v>3810</v>
      </c>
      <c r="U1820" s="2" t="s">
        <v>308</v>
      </c>
      <c r="V1820" s="2" t="s">
        <v>3717</v>
      </c>
      <c r="W1820" s="2" t="s">
        <v>269</v>
      </c>
      <c r="X1820" s="2" t="s">
        <v>417</v>
      </c>
      <c r="Y1820" s="2" t="s">
        <v>228</v>
      </c>
      <c r="Z1820" s="4"/>
      <c r="AA1820" s="4">
        <f>=ROUNDDOWN({0},0)</f>
      </c>
      <c r="AB1820" s="5"/>
      <c r="AC1820" s="2" t="s">
        <v>3854</v>
      </c>
      <c r="AD1820" s="4">
        <v>87</v>
      </c>
      <c r="AE1820" s="4">
        <v>290</v>
      </c>
      <c r="AF1820" s="6">
        <v>69</v>
      </c>
      <c r="AG1820" s="6"/>
      <c r="AH1820" s="7"/>
      <c r="AI1820" s="4"/>
      <c r="AJ1820" s="4">
        <f>=ROUNDDOWN({0},0)</f>
      </c>
      <c r="AK1820" s="5"/>
      <c r="AL1820" s="2" t="s">
        <v>228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 t="s">
        <v>228</v>
      </c>
      <c r="AW1820" s="8" t="s">
        <v>228</v>
      </c>
      <c r="AX1820" s="4" t="s">
        <v>228</v>
      </c>
      <c r="AY1820" s="8" t="s">
        <v>228</v>
      </c>
      <c r="AZ1820" s="7" t="s">
        <v>228</v>
      </c>
      <c r="BA1820" s="7" t="s">
        <v>228</v>
      </c>
      <c r="BB1820" s="7"/>
      <c r="BC1820" s="4" t="s">
        <v>228</v>
      </c>
      <c r="BD1820" s="8" t="s">
        <v>228</v>
      </c>
      <c r="BE1820" s="4" t="s">
        <v>228</v>
      </c>
      <c r="BF1820" s="8" t="s">
        <v>228</v>
      </c>
      <c r="BG1820" s="7" t="s">
        <v>228</v>
      </c>
      <c r="BH1820" s="7" t="s">
        <v>228</v>
      </c>
      <c r="BI1820" s="7"/>
      <c r="BJ1820" s="4"/>
      <c r="BK1820" s="8"/>
      <c r="BL1820" s="2" t="s">
        <v>228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238</v>
      </c>
      <c r="BV1820" s="2" t="s">
        <v>228</v>
      </c>
      <c r="BW1820" s="2" t="s">
        <v>228</v>
      </c>
      <c r="BX1820" s="2" t="s">
        <v>238</v>
      </c>
      <c r="BY1820" s="2" t="s">
        <v>239</v>
      </c>
      <c r="BZ1820" s="2" t="s">
        <v>240</v>
      </c>
      <c r="CA1820" s="2" t="s">
        <v>228</v>
      </c>
      <c r="CB1820" s="2" t="s">
        <v>228</v>
      </c>
      <c r="CC1820" s="2" t="s">
        <v>241</v>
      </c>
      <c r="CD1820" s="2" t="s">
        <v>228</v>
      </c>
      <c r="CE1820" s="4"/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  <c r="DT1820" s="4"/>
      <c r="DU1820" s="4"/>
      <c r="DV1820" s="4">
        <v>87</v>
      </c>
      <c r="DW1820" s="4"/>
      <c r="DX1820" s="4"/>
      <c r="DY1820" s="4"/>
      <c r="DZ1820" s="4">
        <v>145</v>
      </c>
      <c r="EA1820" s="4"/>
      <c r="EB1820" s="4"/>
      <c r="EC1820" s="4"/>
      <c r="ED1820" s="4"/>
      <c r="EE1820" s="4"/>
      <c r="EF1820" s="4"/>
      <c r="EG1820" s="4"/>
      <c r="EH1820" s="4"/>
      <c r="EI1820" s="4"/>
      <c r="EJ1820" s="4"/>
      <c r="EK1820" s="4"/>
      <c r="EL1820" s="4"/>
      <c r="EM1820" s="4"/>
      <c r="EN1820" s="4"/>
      <c r="EO1820" s="4"/>
      <c r="EP1820" s="4"/>
      <c r="EQ1820" s="4"/>
      <c r="ER1820" s="4"/>
      <c r="ES1820" s="4"/>
      <c r="ET1820" s="4"/>
      <c r="EU1820" s="4"/>
      <c r="EV1820" s="4"/>
      <c r="EW1820" s="4"/>
      <c r="EX1820" s="4"/>
      <c r="EY1820" s="4"/>
      <c r="EZ1820" s="4"/>
      <c r="FA1820" s="4">
        <v>58</v>
      </c>
      <c r="FB1820" s="4"/>
      <c r="FC1820" s="4"/>
      <c r="FD1820" s="4"/>
      <c r="FE1820" s="4"/>
      <c r="FF1820" s="4"/>
      <c r="FG1820" s="4"/>
      <c r="FH1820" s="4"/>
      <c r="FI1820" s="4"/>
      <c r="FJ1820" s="4"/>
      <c r="FK1820" s="4"/>
      <c r="FL1820" s="4"/>
      <c r="FM1820" s="4"/>
      <c r="FN1820" s="4"/>
      <c r="FO1820" s="4"/>
      <c r="FP1820" s="4"/>
      <c r="FQ1820" s="4"/>
      <c r="FR1820" s="4"/>
      <c r="FS1820" s="4"/>
      <c r="FT1820" s="4"/>
      <c r="FU1820" s="4"/>
      <c r="FV1820" s="4"/>
      <c r="FW1820" s="4"/>
      <c r="FX1820" s="4"/>
      <c r="FY1820" s="4"/>
      <c r="FZ1820" s="4"/>
      <c r="GA1820" s="4"/>
      <c r="GB1820" s="4"/>
      <c r="GC1820" s="4"/>
      <c r="GD1820" s="4"/>
      <c r="GE1820" s="4"/>
      <c r="GF1820" s="4"/>
      <c r="GG1820" s="4"/>
      <c r="GH1820" s="4"/>
      <c r="GI1820" s="4"/>
      <c r="GJ1820" s="4"/>
      <c r="GK1820" s="4"/>
      <c r="GL1820" s="4"/>
      <c r="GM1820" s="4"/>
      <c r="GN1820" s="4"/>
      <c r="GO1820" s="4"/>
      <c r="GP1820" s="4"/>
      <c r="GQ1820" s="4"/>
      <c r="GR1820" s="4"/>
      <c r="GS1820" s="4"/>
      <c r="GT1820" s="4"/>
      <c r="GU1820" s="4"/>
      <c r="GV1820" s="4"/>
      <c r="GW1820" s="4"/>
      <c r="GX1820" s="4"/>
      <c r="GY1820" s="4"/>
      <c r="GZ1820" s="4"/>
      <c r="HA1820" s="4"/>
      <c r="HB1820" s="4"/>
      <c r="HC1820" s="4"/>
      <c r="HD1820" s="4"/>
      <c r="HE1820" s="4"/>
    </row>
    <row r="1821">
      <c r="A1821" s="2" t="s">
        <v>8923</v>
      </c>
      <c r="B1821" s="2" t="s">
        <v>299</v>
      </c>
      <c r="C1821" s="2" t="s">
        <v>731</v>
      </c>
      <c r="D1821" s="2" t="s">
        <v>301</v>
      </c>
      <c r="E1821" s="2" t="s">
        <v>302</v>
      </c>
      <c r="F1821" s="2" t="s">
        <v>8901</v>
      </c>
      <c r="G1821" s="2" t="s">
        <v>8901</v>
      </c>
      <c r="H1821" s="2" t="s">
        <v>8901</v>
      </c>
      <c r="I1821" s="2" t="s">
        <v>8902</v>
      </c>
      <c r="J1821" s="2" t="s">
        <v>312</v>
      </c>
      <c r="K1821" s="2" t="s">
        <v>8924</v>
      </c>
      <c r="L1821" s="3">
        <v>28.68</v>
      </c>
      <c r="M1821" s="3">
        <v>30.11</v>
      </c>
      <c r="N1821" s="3">
        <v>62.99</v>
      </c>
      <c r="O1821" s="2" t="s">
        <v>240</v>
      </c>
      <c r="P1821" s="2" t="s">
        <v>266</v>
      </c>
      <c r="Q1821" s="2" t="s">
        <v>234</v>
      </c>
      <c r="R1821" s="2" t="s">
        <v>228</v>
      </c>
      <c r="S1821" s="2" t="s">
        <v>8925</v>
      </c>
      <c r="T1821" s="2" t="s">
        <v>3810</v>
      </c>
      <c r="U1821" s="2" t="s">
        <v>308</v>
      </c>
      <c r="V1821" s="2" t="s">
        <v>1644</v>
      </c>
      <c r="W1821" s="2" t="s">
        <v>269</v>
      </c>
      <c r="X1821" s="2" t="s">
        <v>417</v>
      </c>
      <c r="Y1821" s="2" t="s">
        <v>5687</v>
      </c>
      <c r="Z1821" s="4">
        <v>58</v>
      </c>
      <c r="AA1821" s="4">
        <f>=ROUNDDOWN(8.28571428571428,0)</f>
      </c>
      <c r="AB1821" s="5">
        <v>7</v>
      </c>
      <c r="AC1821" s="2" t="s">
        <v>1381</v>
      </c>
      <c r="AD1821" s="4">
        <v>58</v>
      </c>
      <c r="AE1821" s="4">
        <v>280</v>
      </c>
      <c r="AF1821" s="6">
        <v>65</v>
      </c>
      <c r="AG1821" s="6"/>
      <c r="AH1821" s="7">
        <v>1</v>
      </c>
      <c r="AI1821" s="4"/>
      <c r="AJ1821" s="4">
        <f>=ROUNDDOWN({0},0)</f>
      </c>
      <c r="AK1821" s="5"/>
      <c r="AL1821" s="2" t="s">
        <v>228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/>
      <c r="AW1821" s="8"/>
      <c r="AX1821" s="4"/>
      <c r="AY1821" s="8"/>
      <c r="AZ1821" s="7"/>
      <c r="BA1821" s="7"/>
      <c r="BB1821" s="7"/>
      <c r="BC1821" s="4" t="s">
        <v>228</v>
      </c>
      <c r="BD1821" s="8" t="s">
        <v>228</v>
      </c>
      <c r="BE1821" s="4" t="s">
        <v>228</v>
      </c>
      <c r="BF1821" s="8" t="s">
        <v>228</v>
      </c>
      <c r="BG1821" s="7" t="s">
        <v>228</v>
      </c>
      <c r="BH1821" s="7" t="s">
        <v>228</v>
      </c>
      <c r="BI1821" s="7"/>
      <c r="BJ1821" s="4">
        <v>5</v>
      </c>
      <c r="BK1821" s="8">
        <v>162.47</v>
      </c>
      <c r="BL1821" s="2" t="s">
        <v>8926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8927</v>
      </c>
      <c r="BV1821" s="2" t="s">
        <v>228</v>
      </c>
      <c r="BW1821" s="2" t="s">
        <v>228</v>
      </c>
      <c r="BX1821" s="2" t="s">
        <v>273</v>
      </c>
      <c r="BY1821" s="2" t="s">
        <v>274</v>
      </c>
      <c r="BZ1821" s="2" t="s">
        <v>240</v>
      </c>
      <c r="CA1821" s="2" t="s">
        <v>5687</v>
      </c>
      <c r="CB1821" s="2" t="s">
        <v>8928</v>
      </c>
      <c r="CC1821" s="2" t="s">
        <v>241</v>
      </c>
      <c r="CD1821" s="2" t="s">
        <v>228</v>
      </c>
      <c r="CE1821" s="4">
        <v>58</v>
      </c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>
        <v>58</v>
      </c>
      <c r="DY1821" s="4"/>
      <c r="DZ1821" s="4">
        <v>143</v>
      </c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  <c r="EM1821" s="4"/>
      <c r="EN1821" s="4"/>
      <c r="EO1821" s="4"/>
      <c r="EP1821" s="4"/>
      <c r="EQ1821" s="4"/>
      <c r="ER1821" s="4"/>
      <c r="ES1821" s="4"/>
      <c r="ET1821" s="4"/>
      <c r="EU1821" s="4"/>
      <c r="EV1821" s="4"/>
      <c r="EW1821" s="4"/>
      <c r="EX1821" s="4"/>
      <c r="EY1821" s="4"/>
      <c r="EZ1821" s="4"/>
      <c r="FA1821" s="4"/>
      <c r="FB1821" s="4"/>
      <c r="FC1821" s="4"/>
      <c r="FD1821" s="4"/>
      <c r="FE1821" s="4"/>
      <c r="FF1821" s="4"/>
      <c r="FG1821" s="4"/>
      <c r="FH1821" s="4"/>
      <c r="FI1821" s="4">
        <v>36</v>
      </c>
      <c r="FJ1821" s="4"/>
      <c r="FK1821" s="4"/>
      <c r="FL1821" s="4"/>
      <c r="FM1821" s="4"/>
      <c r="FN1821" s="4"/>
      <c r="FO1821" s="4"/>
      <c r="FP1821" s="4"/>
      <c r="FQ1821" s="4"/>
      <c r="FR1821" s="4"/>
      <c r="FS1821" s="4"/>
      <c r="FT1821" s="4"/>
      <c r="FU1821" s="4"/>
      <c r="FV1821" s="4"/>
      <c r="FW1821" s="4">
        <v>43</v>
      </c>
      <c r="FX1821" s="4"/>
      <c r="FY1821" s="4"/>
      <c r="FZ1821" s="4"/>
      <c r="GA1821" s="4"/>
      <c r="GB1821" s="4"/>
      <c r="GC1821" s="4"/>
      <c r="GD1821" s="4"/>
      <c r="GE1821" s="4"/>
      <c r="GF1821" s="4"/>
      <c r="GG1821" s="4"/>
      <c r="GH1821" s="4"/>
      <c r="GI1821" s="4"/>
      <c r="GJ1821" s="4"/>
      <c r="GK1821" s="4"/>
      <c r="GL1821" s="4"/>
      <c r="GM1821" s="4"/>
      <c r="GN1821" s="4"/>
      <c r="GO1821" s="4"/>
      <c r="GP1821" s="4"/>
      <c r="GQ1821" s="4"/>
      <c r="GR1821" s="4"/>
      <c r="GS1821" s="4"/>
      <c r="GT1821" s="4"/>
      <c r="GU1821" s="4"/>
      <c r="GV1821" s="4"/>
      <c r="GW1821" s="4"/>
      <c r="GX1821" s="4"/>
      <c r="GY1821" s="4"/>
      <c r="GZ1821" s="4"/>
      <c r="HA1821" s="4"/>
      <c r="HB1821" s="4"/>
      <c r="HC1821" s="4"/>
      <c r="HD1821" s="4"/>
      <c r="HE1821" s="4"/>
    </row>
    <row r="1822">
      <c r="A1822" s="2" t="s">
        <v>8929</v>
      </c>
      <c r="B1822" s="2" t="s">
        <v>299</v>
      </c>
      <c r="C1822" s="2" t="s">
        <v>731</v>
      </c>
      <c r="D1822" s="2" t="s">
        <v>301</v>
      </c>
      <c r="E1822" s="2" t="s">
        <v>302</v>
      </c>
      <c r="F1822" s="2" t="s">
        <v>8901</v>
      </c>
      <c r="G1822" s="2" t="s">
        <v>8901</v>
      </c>
      <c r="H1822" s="2" t="s">
        <v>8901</v>
      </c>
      <c r="I1822" s="2" t="s">
        <v>8902</v>
      </c>
      <c r="J1822" s="2" t="s">
        <v>289</v>
      </c>
      <c r="K1822" s="2" t="s">
        <v>8930</v>
      </c>
      <c r="L1822" s="3">
        <v>25.85</v>
      </c>
      <c r="M1822" s="3">
        <v>27.14</v>
      </c>
      <c r="N1822" s="3">
        <v>55.99</v>
      </c>
      <c r="O1822" s="2" t="s">
        <v>240</v>
      </c>
      <c r="P1822" s="2" t="s">
        <v>715</v>
      </c>
      <c r="Q1822" s="2" t="s">
        <v>234</v>
      </c>
      <c r="R1822" s="2" t="s">
        <v>228</v>
      </c>
      <c r="S1822" s="2" t="s">
        <v>8931</v>
      </c>
      <c r="T1822" s="2" t="s">
        <v>3810</v>
      </c>
      <c r="U1822" s="2" t="s">
        <v>308</v>
      </c>
      <c r="V1822" s="2" t="s">
        <v>1644</v>
      </c>
      <c r="W1822" s="2" t="s">
        <v>269</v>
      </c>
      <c r="X1822" s="2" t="s">
        <v>417</v>
      </c>
      <c r="Y1822" s="2" t="s">
        <v>5687</v>
      </c>
      <c r="Z1822" s="4">
        <v>632</v>
      </c>
      <c r="AA1822" s="4">
        <f>=ROUNDDOWN(19.1515151515152,0)</f>
      </c>
      <c r="AB1822" s="5">
        <v>33</v>
      </c>
      <c r="AC1822" s="2" t="s">
        <v>1381</v>
      </c>
      <c r="AD1822" s="4">
        <v>253</v>
      </c>
      <c r="AE1822" s="4">
        <v>534</v>
      </c>
      <c r="AF1822" s="6">
        <v>65</v>
      </c>
      <c r="AG1822" s="6"/>
      <c r="AH1822" s="7">
        <v>1</v>
      </c>
      <c r="AI1822" s="4"/>
      <c r="AJ1822" s="4">
        <f>=ROUNDDOWN({0},0)</f>
      </c>
      <c r="AK1822" s="5"/>
      <c r="AL1822" s="2" t="s">
        <v>228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 t="s">
        <v>228</v>
      </c>
      <c r="AW1822" s="8" t="s">
        <v>228</v>
      </c>
      <c r="AX1822" s="4" t="s">
        <v>228</v>
      </c>
      <c r="AY1822" s="8" t="s">
        <v>228</v>
      </c>
      <c r="AZ1822" s="7" t="s">
        <v>228</v>
      </c>
      <c r="BA1822" s="7" t="s">
        <v>228</v>
      </c>
      <c r="BB1822" s="7"/>
      <c r="BC1822" s="4" t="s">
        <v>228</v>
      </c>
      <c r="BD1822" s="8" t="s">
        <v>228</v>
      </c>
      <c r="BE1822" s="4" t="s">
        <v>228</v>
      </c>
      <c r="BF1822" s="8" t="s">
        <v>228</v>
      </c>
      <c r="BG1822" s="7" t="s">
        <v>228</v>
      </c>
      <c r="BH1822" s="7" t="s">
        <v>228</v>
      </c>
      <c r="BI1822" s="7"/>
      <c r="BJ1822" s="4">
        <v>18</v>
      </c>
      <c r="BK1822" s="8">
        <v>517.79</v>
      </c>
      <c r="BL1822" s="2" t="s">
        <v>8932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8933</v>
      </c>
      <c r="BV1822" s="2" t="s">
        <v>228</v>
      </c>
      <c r="BW1822" s="2" t="s">
        <v>228</v>
      </c>
      <c r="BX1822" s="2" t="s">
        <v>273</v>
      </c>
      <c r="BY1822" s="2" t="s">
        <v>274</v>
      </c>
      <c r="BZ1822" s="2" t="s">
        <v>240</v>
      </c>
      <c r="CA1822" s="2" t="s">
        <v>5687</v>
      </c>
      <c r="CB1822" s="2" t="s">
        <v>8934</v>
      </c>
      <c r="CC1822" s="2" t="s">
        <v>241</v>
      </c>
      <c r="CD1822" s="2" t="s">
        <v>228</v>
      </c>
      <c r="CE1822" s="4">
        <v>632</v>
      </c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  <c r="DT1822" s="4"/>
      <c r="DU1822" s="4"/>
      <c r="DV1822" s="4"/>
      <c r="DW1822" s="4"/>
      <c r="DX1822" s="4">
        <v>253</v>
      </c>
      <c r="DY1822" s="4"/>
      <c r="DZ1822" s="4"/>
      <c r="EA1822" s="4"/>
      <c r="EB1822" s="4"/>
      <c r="EC1822" s="4"/>
      <c r="ED1822" s="4"/>
      <c r="EE1822" s="4"/>
      <c r="EF1822" s="4"/>
      <c r="EG1822" s="4"/>
      <c r="EH1822" s="4"/>
      <c r="EI1822" s="4"/>
      <c r="EJ1822" s="4"/>
      <c r="EK1822" s="4"/>
      <c r="EL1822" s="4"/>
      <c r="EM1822" s="4"/>
      <c r="EN1822" s="4"/>
      <c r="EO1822" s="4"/>
      <c r="EP1822" s="4"/>
      <c r="EQ1822" s="4"/>
      <c r="ER1822" s="4"/>
      <c r="ES1822" s="4"/>
      <c r="ET1822" s="4"/>
      <c r="EU1822" s="4"/>
      <c r="EV1822" s="4"/>
      <c r="EW1822" s="4"/>
      <c r="EX1822" s="4"/>
      <c r="EY1822" s="4"/>
      <c r="EZ1822" s="4"/>
      <c r="FA1822" s="4"/>
      <c r="FB1822" s="4"/>
      <c r="FC1822" s="4"/>
      <c r="FD1822" s="4"/>
      <c r="FE1822" s="4"/>
      <c r="FF1822" s="4"/>
      <c r="FG1822" s="4"/>
      <c r="FH1822" s="4"/>
      <c r="FI1822" s="4">
        <v>181</v>
      </c>
      <c r="FJ1822" s="4"/>
      <c r="FK1822" s="4"/>
      <c r="FL1822" s="4"/>
      <c r="FM1822" s="4"/>
      <c r="FN1822" s="4"/>
      <c r="FO1822" s="4"/>
      <c r="FP1822" s="4"/>
      <c r="FQ1822" s="4"/>
      <c r="FR1822" s="4"/>
      <c r="FS1822" s="4"/>
      <c r="FT1822" s="4"/>
      <c r="FU1822" s="4"/>
      <c r="FV1822" s="4"/>
      <c r="FW1822" s="4">
        <v>100</v>
      </c>
      <c r="FX1822" s="4"/>
      <c r="FY1822" s="4"/>
      <c r="FZ1822" s="4"/>
      <c r="GA1822" s="4"/>
      <c r="GB1822" s="4"/>
      <c r="GC1822" s="4"/>
      <c r="GD1822" s="4"/>
      <c r="GE1822" s="4"/>
      <c r="GF1822" s="4"/>
      <c r="GG1822" s="4"/>
      <c r="GH1822" s="4"/>
      <c r="GI1822" s="4"/>
      <c r="GJ1822" s="4"/>
      <c r="GK1822" s="4"/>
      <c r="GL1822" s="4"/>
      <c r="GM1822" s="4"/>
      <c r="GN1822" s="4"/>
      <c r="GO1822" s="4"/>
      <c r="GP1822" s="4"/>
      <c r="GQ1822" s="4"/>
      <c r="GR1822" s="4"/>
      <c r="GS1822" s="4"/>
      <c r="GT1822" s="4"/>
      <c r="GU1822" s="4"/>
      <c r="GV1822" s="4"/>
      <c r="GW1822" s="4"/>
      <c r="GX1822" s="4"/>
      <c r="GY1822" s="4"/>
      <c r="GZ1822" s="4"/>
      <c r="HA1822" s="4"/>
      <c r="HB1822" s="4"/>
      <c r="HC1822" s="4"/>
      <c r="HD1822" s="4"/>
      <c r="HE1822" s="4"/>
    </row>
    <row r="1823">
      <c r="A1823" s="2" t="s">
        <v>8935</v>
      </c>
      <c r="B1823" s="2" t="s">
        <v>299</v>
      </c>
      <c r="C1823" s="2" t="s">
        <v>731</v>
      </c>
      <c r="D1823" s="2" t="s">
        <v>301</v>
      </c>
      <c r="E1823" s="2" t="s">
        <v>302</v>
      </c>
      <c r="F1823" s="2" t="s">
        <v>8901</v>
      </c>
      <c r="G1823" s="2" t="s">
        <v>8901</v>
      </c>
      <c r="H1823" s="2" t="s">
        <v>8901</v>
      </c>
      <c r="I1823" s="2" t="s">
        <v>8902</v>
      </c>
      <c r="J1823" s="2" t="s">
        <v>294</v>
      </c>
      <c r="K1823" s="2" t="s">
        <v>8930</v>
      </c>
      <c r="L1823" s="3">
        <v>28.68</v>
      </c>
      <c r="M1823" s="3">
        <v>30.11</v>
      </c>
      <c r="N1823" s="3">
        <v>62.99</v>
      </c>
      <c r="O1823" s="2" t="s">
        <v>240</v>
      </c>
      <c r="P1823" s="2" t="s">
        <v>266</v>
      </c>
      <c r="Q1823" s="2" t="s">
        <v>234</v>
      </c>
      <c r="R1823" s="2" t="s">
        <v>228</v>
      </c>
      <c r="S1823" s="2" t="s">
        <v>8931</v>
      </c>
      <c r="T1823" s="2" t="s">
        <v>3810</v>
      </c>
      <c r="U1823" s="2" t="s">
        <v>308</v>
      </c>
      <c r="V1823" s="2" t="s">
        <v>1644</v>
      </c>
      <c r="W1823" s="2" t="s">
        <v>269</v>
      </c>
      <c r="X1823" s="2" t="s">
        <v>417</v>
      </c>
      <c r="Y1823" s="2" t="s">
        <v>5687</v>
      </c>
      <c r="Z1823" s="4">
        <v>122</v>
      </c>
      <c r="AA1823" s="4">
        <f>=ROUNDDOWN(13.5555555555556,0)</f>
      </c>
      <c r="AB1823" s="5">
        <v>9</v>
      </c>
      <c r="AC1823" s="2" t="s">
        <v>1381</v>
      </c>
      <c r="AD1823" s="4">
        <v>142</v>
      </c>
      <c r="AE1823" s="4">
        <v>613</v>
      </c>
      <c r="AF1823" s="6">
        <v>65</v>
      </c>
      <c r="AG1823" s="6"/>
      <c r="AH1823" s="7">
        <v>1</v>
      </c>
      <c r="AI1823" s="4"/>
      <c r="AJ1823" s="4">
        <f>=ROUNDDOWN({0},0)</f>
      </c>
      <c r="AK1823" s="5"/>
      <c r="AL1823" s="2" t="s">
        <v>228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 t="s">
        <v>228</v>
      </c>
      <c r="AW1823" s="8" t="s">
        <v>228</v>
      </c>
      <c r="AX1823" s="4" t="s">
        <v>228</v>
      </c>
      <c r="AY1823" s="8" t="s">
        <v>228</v>
      </c>
      <c r="AZ1823" s="7" t="s">
        <v>228</v>
      </c>
      <c r="BA1823" s="7" t="s">
        <v>228</v>
      </c>
      <c r="BB1823" s="7"/>
      <c r="BC1823" s="4" t="s">
        <v>228</v>
      </c>
      <c r="BD1823" s="8" t="s">
        <v>228</v>
      </c>
      <c r="BE1823" s="4" t="s">
        <v>228</v>
      </c>
      <c r="BF1823" s="8" t="s">
        <v>228</v>
      </c>
      <c r="BG1823" s="7" t="s">
        <v>228</v>
      </c>
      <c r="BH1823" s="7" t="s">
        <v>228</v>
      </c>
      <c r="BI1823" s="7"/>
      <c r="BJ1823" s="4">
        <v>8</v>
      </c>
      <c r="BK1823" s="8">
        <v>263.86</v>
      </c>
      <c r="BL1823" s="2" t="s">
        <v>474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8936</v>
      </c>
      <c r="BV1823" s="2" t="s">
        <v>228</v>
      </c>
      <c r="BW1823" s="2" t="s">
        <v>228</v>
      </c>
      <c r="BX1823" s="2" t="s">
        <v>273</v>
      </c>
      <c r="BY1823" s="2" t="s">
        <v>274</v>
      </c>
      <c r="BZ1823" s="2" t="s">
        <v>240</v>
      </c>
      <c r="CA1823" s="2" t="s">
        <v>5687</v>
      </c>
      <c r="CB1823" s="2" t="s">
        <v>8937</v>
      </c>
      <c r="CC1823" s="2" t="s">
        <v>241</v>
      </c>
      <c r="CD1823" s="2" t="s">
        <v>228</v>
      </c>
      <c r="CE1823" s="4">
        <v>122</v>
      </c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>
        <v>142</v>
      </c>
      <c r="DY1823" s="4"/>
      <c r="DZ1823" s="4">
        <v>248</v>
      </c>
      <c r="EA1823" s="4"/>
      <c r="EB1823" s="4"/>
      <c r="EC1823" s="4"/>
      <c r="ED1823" s="4"/>
      <c r="EE1823" s="4"/>
      <c r="EF1823" s="4"/>
      <c r="EG1823" s="4"/>
      <c r="EH1823" s="4"/>
      <c r="EI1823" s="4"/>
      <c r="EJ1823" s="4"/>
      <c r="EK1823" s="4"/>
      <c r="EL1823" s="4"/>
      <c r="EM1823" s="4"/>
      <c r="EN1823" s="4"/>
      <c r="EO1823" s="4"/>
      <c r="EP1823" s="4"/>
      <c r="EQ1823" s="4"/>
      <c r="ER1823" s="4"/>
      <c r="ES1823" s="4"/>
      <c r="ET1823" s="4"/>
      <c r="EU1823" s="4"/>
      <c r="EV1823" s="4"/>
      <c r="EW1823" s="4"/>
      <c r="EX1823" s="4"/>
      <c r="EY1823" s="4"/>
      <c r="EZ1823" s="4"/>
      <c r="FA1823" s="4"/>
      <c r="FB1823" s="4"/>
      <c r="FC1823" s="4"/>
      <c r="FD1823" s="4"/>
      <c r="FE1823" s="4"/>
      <c r="FF1823" s="4"/>
      <c r="FG1823" s="4"/>
      <c r="FH1823" s="4"/>
      <c r="FI1823" s="4">
        <v>103</v>
      </c>
      <c r="FJ1823" s="4"/>
      <c r="FK1823" s="4"/>
      <c r="FL1823" s="4"/>
      <c r="FM1823" s="4"/>
      <c r="FN1823" s="4"/>
      <c r="FO1823" s="4"/>
      <c r="FP1823" s="4"/>
      <c r="FQ1823" s="4"/>
      <c r="FR1823" s="4"/>
      <c r="FS1823" s="4"/>
      <c r="FT1823" s="4"/>
      <c r="FU1823" s="4"/>
      <c r="FV1823" s="4"/>
      <c r="FW1823" s="4">
        <v>120</v>
      </c>
      <c r="FX1823" s="4"/>
      <c r="FY1823" s="4"/>
      <c r="FZ1823" s="4"/>
      <c r="GA1823" s="4"/>
      <c r="GB1823" s="4"/>
      <c r="GC1823" s="4"/>
      <c r="GD1823" s="4"/>
      <c r="GE1823" s="4"/>
      <c r="GF1823" s="4"/>
      <c r="GG1823" s="4"/>
      <c r="GH1823" s="4"/>
      <c r="GI1823" s="4"/>
      <c r="GJ1823" s="4"/>
      <c r="GK1823" s="4"/>
      <c r="GL1823" s="4"/>
      <c r="GM1823" s="4"/>
      <c r="GN1823" s="4"/>
      <c r="GO1823" s="4"/>
      <c r="GP1823" s="4"/>
      <c r="GQ1823" s="4"/>
      <c r="GR1823" s="4"/>
      <c r="GS1823" s="4"/>
      <c r="GT1823" s="4"/>
      <c r="GU1823" s="4"/>
      <c r="GV1823" s="4"/>
      <c r="GW1823" s="4"/>
      <c r="GX1823" s="4"/>
      <c r="GY1823" s="4"/>
      <c r="GZ1823" s="4"/>
      <c r="HA1823" s="4"/>
      <c r="HB1823" s="4"/>
      <c r="HC1823" s="4"/>
      <c r="HD1823" s="4"/>
      <c r="HE1823" s="4"/>
    </row>
    <row r="1824">
      <c r="A1824" s="2" t="s">
        <v>8938</v>
      </c>
      <c r="B1824" s="2" t="s">
        <v>299</v>
      </c>
      <c r="C1824" s="2" t="s">
        <v>731</v>
      </c>
      <c r="D1824" s="2" t="s">
        <v>301</v>
      </c>
      <c r="E1824" s="2" t="s">
        <v>302</v>
      </c>
      <c r="F1824" s="2" t="s">
        <v>8901</v>
      </c>
      <c r="G1824" s="2" t="s">
        <v>8901</v>
      </c>
      <c r="H1824" s="2" t="s">
        <v>8901</v>
      </c>
      <c r="I1824" s="2" t="s">
        <v>8902</v>
      </c>
      <c r="J1824" s="2" t="s">
        <v>312</v>
      </c>
      <c r="K1824" s="2" t="s">
        <v>8930</v>
      </c>
      <c r="L1824" s="3">
        <v>28.68</v>
      </c>
      <c r="M1824" s="3">
        <v>30.11</v>
      </c>
      <c r="N1824" s="3">
        <v>62.99</v>
      </c>
      <c r="O1824" s="2" t="s">
        <v>240</v>
      </c>
      <c r="P1824" s="2" t="s">
        <v>266</v>
      </c>
      <c r="Q1824" s="2" t="s">
        <v>234</v>
      </c>
      <c r="R1824" s="2" t="s">
        <v>228</v>
      </c>
      <c r="S1824" s="2" t="s">
        <v>8931</v>
      </c>
      <c r="T1824" s="2" t="s">
        <v>3810</v>
      </c>
      <c r="U1824" s="2" t="s">
        <v>308</v>
      </c>
      <c r="V1824" s="2" t="s">
        <v>1644</v>
      </c>
      <c r="W1824" s="2" t="s">
        <v>269</v>
      </c>
      <c r="X1824" s="2" t="s">
        <v>417</v>
      </c>
      <c r="Y1824" s="2" t="s">
        <v>5687</v>
      </c>
      <c r="Z1824" s="4">
        <v>65</v>
      </c>
      <c r="AA1824" s="4">
        <f>=ROUNDDOWN(5,0)</f>
      </c>
      <c r="AB1824" s="5">
        <v>13</v>
      </c>
      <c r="AC1824" s="2" t="s">
        <v>1381</v>
      </c>
      <c r="AD1824" s="4">
        <v>67</v>
      </c>
      <c r="AE1824" s="4">
        <v>318</v>
      </c>
      <c r="AF1824" s="6">
        <v>65</v>
      </c>
      <c r="AG1824" s="6"/>
      <c r="AH1824" s="7">
        <v>1</v>
      </c>
      <c r="AI1824" s="4"/>
      <c r="AJ1824" s="4">
        <f>=ROUNDDOWN({0},0)</f>
      </c>
      <c r="AK1824" s="5"/>
      <c r="AL1824" s="2" t="s">
        <v>228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 t="s">
        <v>228</v>
      </c>
      <c r="AW1824" s="8" t="s">
        <v>228</v>
      </c>
      <c r="AX1824" s="4" t="s">
        <v>228</v>
      </c>
      <c r="AY1824" s="8" t="s">
        <v>228</v>
      </c>
      <c r="AZ1824" s="7" t="s">
        <v>228</v>
      </c>
      <c r="BA1824" s="7" t="s">
        <v>228</v>
      </c>
      <c r="BB1824" s="7"/>
      <c r="BC1824" s="4" t="s">
        <v>228</v>
      </c>
      <c r="BD1824" s="8" t="s">
        <v>228</v>
      </c>
      <c r="BE1824" s="4" t="s">
        <v>228</v>
      </c>
      <c r="BF1824" s="8" t="s">
        <v>228</v>
      </c>
      <c r="BG1824" s="7" t="s">
        <v>228</v>
      </c>
      <c r="BH1824" s="7" t="s">
        <v>228</v>
      </c>
      <c r="BI1824" s="7"/>
      <c r="BJ1824" s="4">
        <v>10</v>
      </c>
      <c r="BK1824" s="8">
        <v>326.32</v>
      </c>
      <c r="BL1824" s="2" t="s">
        <v>509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8939</v>
      </c>
      <c r="BV1824" s="2" t="s">
        <v>228</v>
      </c>
      <c r="BW1824" s="2" t="s">
        <v>228</v>
      </c>
      <c r="BX1824" s="2" t="s">
        <v>273</v>
      </c>
      <c r="BY1824" s="2" t="s">
        <v>274</v>
      </c>
      <c r="BZ1824" s="2" t="s">
        <v>240</v>
      </c>
      <c r="CA1824" s="2" t="s">
        <v>5687</v>
      </c>
      <c r="CB1824" s="2" t="s">
        <v>2097</v>
      </c>
      <c r="CC1824" s="2" t="s">
        <v>241</v>
      </c>
      <c r="CD1824" s="2" t="s">
        <v>228</v>
      </c>
      <c r="CE1824" s="4">
        <v>65</v>
      </c>
      <c r="CF1824" s="4"/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/>
      <c r="DV1824" s="4"/>
      <c r="DW1824" s="4"/>
      <c r="DX1824" s="4">
        <v>67</v>
      </c>
      <c r="DY1824" s="4"/>
      <c r="DZ1824" s="4">
        <v>160</v>
      </c>
      <c r="EA1824" s="4"/>
      <c r="EB1824" s="4"/>
      <c r="EC1824" s="4"/>
      <c r="ED1824" s="4"/>
      <c r="EE1824" s="4"/>
      <c r="EF1824" s="4"/>
      <c r="EG1824" s="4"/>
      <c r="EH1824" s="4"/>
      <c r="EI1824" s="4"/>
      <c r="EJ1824" s="4"/>
      <c r="EK1824" s="4"/>
      <c r="EL1824" s="4"/>
      <c r="EM1824" s="4"/>
      <c r="EN1824" s="4"/>
      <c r="EO1824" s="4"/>
      <c r="EP1824" s="4"/>
      <c r="EQ1824" s="4"/>
      <c r="ER1824" s="4"/>
      <c r="ES1824" s="4"/>
      <c r="ET1824" s="4"/>
      <c r="EU1824" s="4"/>
      <c r="EV1824" s="4"/>
      <c r="EW1824" s="4"/>
      <c r="EX1824" s="4"/>
      <c r="EY1824" s="4"/>
      <c r="EZ1824" s="4"/>
      <c r="FA1824" s="4"/>
      <c r="FB1824" s="4"/>
      <c r="FC1824" s="4"/>
      <c r="FD1824" s="4"/>
      <c r="FE1824" s="4"/>
      <c r="FF1824" s="4"/>
      <c r="FG1824" s="4"/>
      <c r="FH1824" s="4"/>
      <c r="FI1824" s="4">
        <v>51</v>
      </c>
      <c r="FJ1824" s="4"/>
      <c r="FK1824" s="4"/>
      <c r="FL1824" s="4"/>
      <c r="FM1824" s="4"/>
      <c r="FN1824" s="4"/>
      <c r="FO1824" s="4"/>
      <c r="FP1824" s="4"/>
      <c r="FQ1824" s="4"/>
      <c r="FR1824" s="4"/>
      <c r="FS1824" s="4"/>
      <c r="FT1824" s="4"/>
      <c r="FU1824" s="4"/>
      <c r="FV1824" s="4"/>
      <c r="FW1824" s="4">
        <v>40</v>
      </c>
      <c r="FX1824" s="4"/>
      <c r="FY1824" s="4"/>
      <c r="FZ1824" s="4"/>
      <c r="GA1824" s="4"/>
      <c r="GB1824" s="4"/>
      <c r="GC1824" s="4"/>
      <c r="GD1824" s="4"/>
      <c r="GE1824" s="4"/>
      <c r="GF1824" s="4"/>
      <c r="GG1824" s="4"/>
      <c r="GH1824" s="4"/>
      <c r="GI1824" s="4"/>
      <c r="GJ1824" s="4"/>
      <c r="GK1824" s="4"/>
      <c r="GL1824" s="4"/>
      <c r="GM1824" s="4"/>
      <c r="GN1824" s="4"/>
      <c r="GO1824" s="4"/>
      <c r="GP1824" s="4"/>
      <c r="GQ1824" s="4"/>
      <c r="GR1824" s="4"/>
      <c r="GS1824" s="4"/>
      <c r="GT1824" s="4"/>
      <c r="GU1824" s="4"/>
      <c r="GV1824" s="4"/>
      <c r="GW1824" s="4"/>
      <c r="GX1824" s="4"/>
      <c r="GY1824" s="4"/>
      <c r="GZ1824" s="4"/>
      <c r="HA1824" s="4"/>
      <c r="HB1824" s="4"/>
      <c r="HC1824" s="4"/>
      <c r="HD1824" s="4"/>
      <c r="HE1824" s="4"/>
    </row>
    <row r="1825">
      <c r="A1825" s="2" t="s">
        <v>8940</v>
      </c>
      <c r="B1825" s="2" t="s">
        <v>299</v>
      </c>
      <c r="C1825" s="2" t="s">
        <v>731</v>
      </c>
      <c r="D1825" s="2" t="s">
        <v>301</v>
      </c>
      <c r="E1825" s="2" t="s">
        <v>302</v>
      </c>
      <c r="F1825" s="2" t="s">
        <v>8901</v>
      </c>
      <c r="G1825" s="2" t="s">
        <v>8901</v>
      </c>
      <c r="H1825" s="2" t="s">
        <v>8901</v>
      </c>
      <c r="I1825" s="2" t="s">
        <v>8902</v>
      </c>
      <c r="J1825" s="2" t="s">
        <v>312</v>
      </c>
      <c r="K1825" s="2" t="s">
        <v>4183</v>
      </c>
      <c r="L1825" s="3">
        <v>28.68</v>
      </c>
      <c r="M1825" s="3">
        <v>30.11</v>
      </c>
      <c r="N1825" s="3">
        <v>62.99</v>
      </c>
      <c r="O1825" s="2" t="s">
        <v>240</v>
      </c>
      <c r="P1825" s="2" t="s">
        <v>266</v>
      </c>
      <c r="Q1825" s="2" t="s">
        <v>234</v>
      </c>
      <c r="R1825" s="2" t="s">
        <v>228</v>
      </c>
      <c r="S1825" s="2" t="s">
        <v>8941</v>
      </c>
      <c r="T1825" s="2" t="s">
        <v>3810</v>
      </c>
      <c r="U1825" s="2" t="s">
        <v>308</v>
      </c>
      <c r="V1825" s="2" t="s">
        <v>236</v>
      </c>
      <c r="W1825" s="2" t="s">
        <v>269</v>
      </c>
      <c r="X1825" s="2" t="s">
        <v>417</v>
      </c>
      <c r="Y1825" s="2" t="s">
        <v>5687</v>
      </c>
      <c r="Z1825" s="4">
        <v>157</v>
      </c>
      <c r="AA1825" s="4">
        <f>=ROUNDDOWN(22.4285714285714,0)</f>
      </c>
      <c r="AB1825" s="5">
        <v>7</v>
      </c>
      <c r="AC1825" s="2" t="s">
        <v>1381</v>
      </c>
      <c r="AD1825" s="4">
        <v>44</v>
      </c>
      <c r="AE1825" s="4">
        <v>103</v>
      </c>
      <c r="AF1825" s="6">
        <v>65</v>
      </c>
      <c r="AG1825" s="6"/>
      <c r="AH1825" s="7">
        <v>1</v>
      </c>
      <c r="AI1825" s="4"/>
      <c r="AJ1825" s="4">
        <f>=ROUNDDOWN({0},0)</f>
      </c>
      <c r="AK1825" s="5"/>
      <c r="AL1825" s="2" t="s">
        <v>228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/>
      <c r="AW1825" s="8"/>
      <c r="AX1825" s="4"/>
      <c r="AY1825" s="8"/>
      <c r="AZ1825" s="7"/>
      <c r="BA1825" s="7"/>
      <c r="BB1825" s="7"/>
      <c r="BC1825" s="4" t="s">
        <v>228</v>
      </c>
      <c r="BD1825" s="8" t="s">
        <v>228</v>
      </c>
      <c r="BE1825" s="4" t="s">
        <v>228</v>
      </c>
      <c r="BF1825" s="8" t="s">
        <v>228</v>
      </c>
      <c r="BG1825" s="7" t="s">
        <v>228</v>
      </c>
      <c r="BH1825" s="7" t="s">
        <v>228</v>
      </c>
      <c r="BI1825" s="7"/>
      <c r="BJ1825" s="4">
        <v>2</v>
      </c>
      <c r="BK1825" s="8">
        <v>70.44</v>
      </c>
      <c r="BL1825" s="2" t="s">
        <v>8942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8943</v>
      </c>
      <c r="BV1825" s="2" t="s">
        <v>228</v>
      </c>
      <c r="BW1825" s="2" t="s">
        <v>228</v>
      </c>
      <c r="BX1825" s="2" t="s">
        <v>273</v>
      </c>
      <c r="BY1825" s="2" t="s">
        <v>274</v>
      </c>
      <c r="BZ1825" s="2" t="s">
        <v>240</v>
      </c>
      <c r="CA1825" s="2" t="s">
        <v>5687</v>
      </c>
      <c r="CB1825" s="2" t="s">
        <v>8944</v>
      </c>
      <c r="CC1825" s="2" t="s">
        <v>241</v>
      </c>
      <c r="CD1825" s="2" t="s">
        <v>228</v>
      </c>
      <c r="CE1825" s="4">
        <v>157</v>
      </c>
      <c r="CF1825" s="4"/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>
        <v>44</v>
      </c>
      <c r="DY1825" s="4"/>
      <c r="DZ1825" s="4"/>
      <c r="EA1825" s="4"/>
      <c r="EB1825" s="4"/>
      <c r="EC1825" s="4"/>
      <c r="ED1825" s="4"/>
      <c r="EE1825" s="4"/>
      <c r="EF1825" s="4"/>
      <c r="EG1825" s="4"/>
      <c r="EH1825" s="4"/>
      <c r="EI1825" s="4"/>
      <c r="EJ1825" s="4"/>
      <c r="EK1825" s="4"/>
      <c r="EL1825" s="4"/>
      <c r="EM1825" s="4"/>
      <c r="EN1825" s="4"/>
      <c r="EO1825" s="4"/>
      <c r="EP1825" s="4"/>
      <c r="EQ1825" s="4"/>
      <c r="ER1825" s="4"/>
      <c r="ES1825" s="4"/>
      <c r="ET1825" s="4"/>
      <c r="EU1825" s="4"/>
      <c r="EV1825" s="4"/>
      <c r="EW1825" s="4"/>
      <c r="EX1825" s="4"/>
      <c r="EY1825" s="4"/>
      <c r="EZ1825" s="4"/>
      <c r="FA1825" s="4"/>
      <c r="FB1825" s="4"/>
      <c r="FC1825" s="4"/>
      <c r="FD1825" s="4"/>
      <c r="FE1825" s="4"/>
      <c r="FF1825" s="4"/>
      <c r="FG1825" s="4"/>
      <c r="FH1825" s="4"/>
      <c r="FI1825" s="4">
        <v>33</v>
      </c>
      <c r="FJ1825" s="4"/>
      <c r="FK1825" s="4"/>
      <c r="FL1825" s="4"/>
      <c r="FM1825" s="4"/>
      <c r="FN1825" s="4"/>
      <c r="FO1825" s="4"/>
      <c r="FP1825" s="4"/>
      <c r="FQ1825" s="4"/>
      <c r="FR1825" s="4"/>
      <c r="FS1825" s="4"/>
      <c r="FT1825" s="4"/>
      <c r="FU1825" s="4"/>
      <c r="FV1825" s="4"/>
      <c r="FW1825" s="4">
        <v>26</v>
      </c>
      <c r="FX1825" s="4"/>
      <c r="FY1825" s="4"/>
      <c r="FZ1825" s="4"/>
      <c r="GA1825" s="4"/>
      <c r="GB1825" s="4"/>
      <c r="GC1825" s="4"/>
      <c r="GD1825" s="4"/>
      <c r="GE1825" s="4"/>
      <c r="GF1825" s="4"/>
      <c r="GG1825" s="4"/>
      <c r="GH1825" s="4"/>
      <c r="GI1825" s="4"/>
      <c r="GJ1825" s="4"/>
      <c r="GK1825" s="4"/>
      <c r="GL1825" s="4"/>
      <c r="GM1825" s="4"/>
      <c r="GN1825" s="4"/>
      <c r="GO1825" s="4"/>
      <c r="GP1825" s="4"/>
      <c r="GQ1825" s="4"/>
      <c r="GR1825" s="4"/>
      <c r="GS1825" s="4"/>
      <c r="GT1825" s="4"/>
      <c r="GU1825" s="4"/>
      <c r="GV1825" s="4"/>
      <c r="GW1825" s="4"/>
      <c r="GX1825" s="4"/>
      <c r="GY1825" s="4"/>
      <c r="GZ1825" s="4"/>
      <c r="HA1825" s="4"/>
      <c r="HB1825" s="4"/>
      <c r="HC1825" s="4"/>
      <c r="HD1825" s="4"/>
      <c r="HE1825" s="4"/>
    </row>
    <row r="1826">
      <c r="A1826" s="2" t="s">
        <v>8945</v>
      </c>
      <c r="B1826" s="2" t="s">
        <v>299</v>
      </c>
      <c r="C1826" s="2" t="s">
        <v>731</v>
      </c>
      <c r="D1826" s="2" t="s">
        <v>301</v>
      </c>
      <c r="E1826" s="2" t="s">
        <v>302</v>
      </c>
      <c r="F1826" s="2" t="s">
        <v>8901</v>
      </c>
      <c r="G1826" s="2" t="s">
        <v>8901</v>
      </c>
      <c r="H1826" s="2" t="s">
        <v>8901</v>
      </c>
      <c r="I1826" s="2" t="s">
        <v>8902</v>
      </c>
      <c r="J1826" s="2" t="s">
        <v>284</v>
      </c>
      <c r="K1826" s="2" t="s">
        <v>8946</v>
      </c>
      <c r="L1826" s="3">
        <v>22</v>
      </c>
      <c r="M1826" s="3">
        <v>23.1</v>
      </c>
      <c r="N1826" s="3">
        <v>47.99</v>
      </c>
      <c r="O1826" s="2" t="s">
        <v>240</v>
      </c>
      <c r="P1826" s="2" t="s">
        <v>233</v>
      </c>
      <c r="Q1826" s="2" t="s">
        <v>234</v>
      </c>
      <c r="R1826" s="2" t="s">
        <v>228</v>
      </c>
      <c r="S1826" s="2" t="s">
        <v>8947</v>
      </c>
      <c r="T1826" s="2" t="s">
        <v>3810</v>
      </c>
      <c r="U1826" s="2" t="s">
        <v>308</v>
      </c>
      <c r="V1826" s="2" t="s">
        <v>1156</v>
      </c>
      <c r="W1826" s="2" t="s">
        <v>269</v>
      </c>
      <c r="X1826" s="2" t="s">
        <v>417</v>
      </c>
      <c r="Y1826" s="2" t="s">
        <v>228</v>
      </c>
      <c r="Z1826" s="4"/>
      <c r="AA1826" s="4">
        <f>=ROUNDDOWN({0},0)</f>
      </c>
      <c r="AB1826" s="5"/>
      <c r="AC1826" s="2" t="s">
        <v>3854</v>
      </c>
      <c r="AD1826" s="4">
        <v>152</v>
      </c>
      <c r="AE1826" s="4">
        <v>506</v>
      </c>
      <c r="AF1826" s="6">
        <v>69</v>
      </c>
      <c r="AG1826" s="6"/>
      <c r="AH1826" s="7"/>
      <c r="AI1826" s="4"/>
      <c r="AJ1826" s="4">
        <f>=ROUNDDOWN({0},0)</f>
      </c>
      <c r="AK1826" s="5"/>
      <c r="AL1826" s="2" t="s">
        <v>228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 t="s">
        <v>228</v>
      </c>
      <c r="AW1826" s="8" t="s">
        <v>228</v>
      </c>
      <c r="AX1826" s="4" t="s">
        <v>228</v>
      </c>
      <c r="AY1826" s="8" t="s">
        <v>228</v>
      </c>
      <c r="AZ1826" s="7" t="s">
        <v>228</v>
      </c>
      <c r="BA1826" s="7" t="s">
        <v>228</v>
      </c>
      <c r="BB1826" s="7"/>
      <c r="BC1826" s="4" t="s">
        <v>228</v>
      </c>
      <c r="BD1826" s="8" t="s">
        <v>228</v>
      </c>
      <c r="BE1826" s="4" t="s">
        <v>228</v>
      </c>
      <c r="BF1826" s="8" t="s">
        <v>228</v>
      </c>
      <c r="BG1826" s="7" t="s">
        <v>228</v>
      </c>
      <c r="BH1826" s="7" t="s">
        <v>228</v>
      </c>
      <c r="BI1826" s="7"/>
      <c r="BJ1826" s="4"/>
      <c r="BK1826" s="8"/>
      <c r="BL1826" s="2" t="s">
        <v>228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238</v>
      </c>
      <c r="BV1826" s="2" t="s">
        <v>228</v>
      </c>
      <c r="BW1826" s="2" t="s">
        <v>228</v>
      </c>
      <c r="BX1826" s="2" t="s">
        <v>238</v>
      </c>
      <c r="BY1826" s="2" t="s">
        <v>239</v>
      </c>
      <c r="BZ1826" s="2" t="s">
        <v>240</v>
      </c>
      <c r="CA1826" s="2" t="s">
        <v>228</v>
      </c>
      <c r="CB1826" s="2" t="s">
        <v>228</v>
      </c>
      <c r="CC1826" s="2" t="s">
        <v>241</v>
      </c>
      <c r="CD1826" s="2" t="s">
        <v>228</v>
      </c>
      <c r="CE1826" s="4"/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  <c r="DT1826" s="4"/>
      <c r="DU1826" s="4"/>
      <c r="DV1826" s="4">
        <v>152</v>
      </c>
      <c r="DW1826" s="4"/>
      <c r="DX1826" s="4"/>
      <c r="DY1826" s="4"/>
      <c r="DZ1826" s="4">
        <v>253</v>
      </c>
      <c r="EA1826" s="4"/>
      <c r="EB1826" s="4"/>
      <c r="EC1826" s="4"/>
      <c r="ED1826" s="4"/>
      <c r="EE1826" s="4"/>
      <c r="EF1826" s="4"/>
      <c r="EG1826" s="4"/>
      <c r="EH1826" s="4"/>
      <c r="EI1826" s="4"/>
      <c r="EJ1826" s="4"/>
      <c r="EK1826" s="4"/>
      <c r="EL1826" s="4"/>
      <c r="EM1826" s="4"/>
      <c r="EN1826" s="4"/>
      <c r="EO1826" s="4"/>
      <c r="EP1826" s="4"/>
      <c r="EQ1826" s="4"/>
      <c r="ER1826" s="4"/>
      <c r="ES1826" s="4"/>
      <c r="ET1826" s="4"/>
      <c r="EU1826" s="4"/>
      <c r="EV1826" s="4"/>
      <c r="EW1826" s="4"/>
      <c r="EX1826" s="4"/>
      <c r="EY1826" s="4"/>
      <c r="EZ1826" s="4"/>
      <c r="FA1826" s="4">
        <v>101</v>
      </c>
      <c r="FB1826" s="4"/>
      <c r="FC1826" s="4"/>
      <c r="FD1826" s="4"/>
      <c r="FE1826" s="4"/>
      <c r="FF1826" s="4"/>
      <c r="FG1826" s="4"/>
      <c r="FH1826" s="4"/>
      <c r="FI1826" s="4"/>
      <c r="FJ1826" s="4"/>
      <c r="FK1826" s="4"/>
      <c r="FL1826" s="4"/>
      <c r="FM1826" s="4"/>
      <c r="FN1826" s="4"/>
      <c r="FO1826" s="4"/>
      <c r="FP1826" s="4"/>
      <c r="FQ1826" s="4"/>
      <c r="FR1826" s="4"/>
      <c r="FS1826" s="4"/>
      <c r="FT1826" s="4"/>
      <c r="FU1826" s="4"/>
      <c r="FV1826" s="4"/>
      <c r="FW1826" s="4"/>
      <c r="FX1826" s="4"/>
      <c r="FY1826" s="4"/>
      <c r="FZ1826" s="4"/>
      <c r="GA1826" s="4"/>
      <c r="GB1826" s="4"/>
      <c r="GC1826" s="4"/>
      <c r="GD1826" s="4"/>
      <c r="GE1826" s="4"/>
      <c r="GF1826" s="4"/>
      <c r="GG1826" s="4"/>
      <c r="GH1826" s="4"/>
      <c r="GI1826" s="4"/>
      <c r="GJ1826" s="4"/>
      <c r="GK1826" s="4"/>
      <c r="GL1826" s="4"/>
      <c r="GM1826" s="4"/>
      <c r="GN1826" s="4"/>
      <c r="GO1826" s="4"/>
      <c r="GP1826" s="4"/>
      <c r="GQ1826" s="4"/>
      <c r="GR1826" s="4"/>
      <c r="GS1826" s="4"/>
      <c r="GT1826" s="4"/>
      <c r="GU1826" s="4"/>
      <c r="GV1826" s="4"/>
      <c r="GW1826" s="4"/>
      <c r="GX1826" s="4"/>
      <c r="GY1826" s="4"/>
      <c r="GZ1826" s="4"/>
      <c r="HA1826" s="4"/>
      <c r="HB1826" s="4"/>
      <c r="HC1826" s="4"/>
      <c r="HD1826" s="4"/>
      <c r="HE1826" s="4"/>
    </row>
    <row r="1827">
      <c r="A1827" s="2" t="s">
        <v>8948</v>
      </c>
      <c r="B1827" s="2" t="s">
        <v>299</v>
      </c>
      <c r="C1827" s="2" t="s">
        <v>731</v>
      </c>
      <c r="D1827" s="2" t="s">
        <v>301</v>
      </c>
      <c r="E1827" s="2" t="s">
        <v>302</v>
      </c>
      <c r="F1827" s="2" t="s">
        <v>8901</v>
      </c>
      <c r="G1827" s="2" t="s">
        <v>8901</v>
      </c>
      <c r="H1827" s="2" t="s">
        <v>8901</v>
      </c>
      <c r="I1827" s="2" t="s">
        <v>8902</v>
      </c>
      <c r="J1827" s="2" t="s">
        <v>289</v>
      </c>
      <c r="K1827" s="2" t="s">
        <v>8946</v>
      </c>
      <c r="L1827" s="3">
        <v>25.85</v>
      </c>
      <c r="M1827" s="3">
        <v>27.14</v>
      </c>
      <c r="N1827" s="3">
        <v>55.99</v>
      </c>
      <c r="O1827" s="2" t="s">
        <v>240</v>
      </c>
      <c r="P1827" s="2" t="s">
        <v>233</v>
      </c>
      <c r="Q1827" s="2" t="s">
        <v>234</v>
      </c>
      <c r="R1827" s="2" t="s">
        <v>228</v>
      </c>
      <c r="S1827" s="2" t="s">
        <v>8947</v>
      </c>
      <c r="T1827" s="2" t="s">
        <v>3810</v>
      </c>
      <c r="U1827" s="2" t="s">
        <v>308</v>
      </c>
      <c r="V1827" s="2" t="s">
        <v>1156</v>
      </c>
      <c r="W1827" s="2" t="s">
        <v>269</v>
      </c>
      <c r="X1827" s="2" t="s">
        <v>417</v>
      </c>
      <c r="Y1827" s="2" t="s">
        <v>228</v>
      </c>
      <c r="Z1827" s="4"/>
      <c r="AA1827" s="4">
        <f>=ROUNDDOWN({0},0)</f>
      </c>
      <c r="AB1827" s="5"/>
      <c r="AC1827" s="2" t="s">
        <v>3854</v>
      </c>
      <c r="AD1827" s="4">
        <v>287</v>
      </c>
      <c r="AE1827" s="4">
        <v>957</v>
      </c>
      <c r="AF1827" s="6">
        <v>69</v>
      </c>
      <c r="AG1827" s="6"/>
      <c r="AH1827" s="7"/>
      <c r="AI1827" s="4"/>
      <c r="AJ1827" s="4">
        <f>=ROUNDDOWN({0},0)</f>
      </c>
      <c r="AK1827" s="5"/>
      <c r="AL1827" s="2" t="s">
        <v>228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 t="s">
        <v>228</v>
      </c>
      <c r="AW1827" s="8" t="s">
        <v>228</v>
      </c>
      <c r="AX1827" s="4" t="s">
        <v>228</v>
      </c>
      <c r="AY1827" s="8" t="s">
        <v>228</v>
      </c>
      <c r="AZ1827" s="7" t="s">
        <v>228</v>
      </c>
      <c r="BA1827" s="7" t="s">
        <v>228</v>
      </c>
      <c r="BB1827" s="7"/>
      <c r="BC1827" s="4" t="s">
        <v>228</v>
      </c>
      <c r="BD1827" s="8" t="s">
        <v>228</v>
      </c>
      <c r="BE1827" s="4" t="s">
        <v>228</v>
      </c>
      <c r="BF1827" s="8" t="s">
        <v>228</v>
      </c>
      <c r="BG1827" s="7" t="s">
        <v>228</v>
      </c>
      <c r="BH1827" s="7" t="s">
        <v>228</v>
      </c>
      <c r="BI1827" s="7"/>
      <c r="BJ1827" s="4"/>
      <c r="BK1827" s="8"/>
      <c r="BL1827" s="2" t="s">
        <v>228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238</v>
      </c>
      <c r="BV1827" s="2" t="s">
        <v>228</v>
      </c>
      <c r="BW1827" s="2" t="s">
        <v>228</v>
      </c>
      <c r="BX1827" s="2" t="s">
        <v>238</v>
      </c>
      <c r="BY1827" s="2" t="s">
        <v>239</v>
      </c>
      <c r="BZ1827" s="2" t="s">
        <v>240</v>
      </c>
      <c r="CA1827" s="2" t="s">
        <v>228</v>
      </c>
      <c r="CB1827" s="2" t="s">
        <v>228</v>
      </c>
      <c r="CC1827" s="2" t="s">
        <v>241</v>
      </c>
      <c r="CD1827" s="2" t="s">
        <v>228</v>
      </c>
      <c r="CE1827" s="4"/>
      <c r="CF1827" s="4"/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>
        <v>287</v>
      </c>
      <c r="DW1827" s="4"/>
      <c r="DX1827" s="4"/>
      <c r="DY1827" s="4"/>
      <c r="DZ1827" s="4">
        <v>479</v>
      </c>
      <c r="EA1827" s="4"/>
      <c r="EB1827" s="4"/>
      <c r="EC1827" s="4"/>
      <c r="ED1827" s="4"/>
      <c r="EE1827" s="4"/>
      <c r="EF1827" s="4"/>
      <c r="EG1827" s="4"/>
      <c r="EH1827" s="4"/>
      <c r="EI1827" s="4"/>
      <c r="EJ1827" s="4"/>
      <c r="EK1827" s="4"/>
      <c r="EL1827" s="4"/>
      <c r="EM1827" s="4"/>
      <c r="EN1827" s="4"/>
      <c r="EO1827" s="4"/>
      <c r="EP1827" s="4"/>
      <c r="EQ1827" s="4"/>
      <c r="ER1827" s="4"/>
      <c r="ES1827" s="4"/>
      <c r="ET1827" s="4"/>
      <c r="EU1827" s="4"/>
      <c r="EV1827" s="4"/>
      <c r="EW1827" s="4"/>
      <c r="EX1827" s="4"/>
      <c r="EY1827" s="4"/>
      <c r="EZ1827" s="4"/>
      <c r="FA1827" s="4">
        <v>191</v>
      </c>
      <c r="FB1827" s="4"/>
      <c r="FC1827" s="4"/>
      <c r="FD1827" s="4"/>
      <c r="FE1827" s="4"/>
      <c r="FF1827" s="4"/>
      <c r="FG1827" s="4"/>
      <c r="FH1827" s="4"/>
      <c r="FI1827" s="4"/>
      <c r="FJ1827" s="4"/>
      <c r="FK1827" s="4"/>
      <c r="FL1827" s="4"/>
      <c r="FM1827" s="4"/>
      <c r="FN1827" s="4"/>
      <c r="FO1827" s="4"/>
      <c r="FP1827" s="4"/>
      <c r="FQ1827" s="4"/>
      <c r="FR1827" s="4"/>
      <c r="FS1827" s="4"/>
      <c r="FT1827" s="4"/>
      <c r="FU1827" s="4"/>
      <c r="FV1827" s="4"/>
      <c r="FW1827" s="4"/>
      <c r="FX1827" s="4"/>
      <c r="FY1827" s="4"/>
      <c r="FZ1827" s="4"/>
      <c r="GA1827" s="4"/>
      <c r="GB1827" s="4"/>
      <c r="GC1827" s="4"/>
      <c r="GD1827" s="4"/>
      <c r="GE1827" s="4"/>
      <c r="GF1827" s="4"/>
      <c r="GG1827" s="4"/>
      <c r="GH1827" s="4"/>
      <c r="GI1827" s="4"/>
      <c r="GJ1827" s="4"/>
      <c r="GK1827" s="4"/>
      <c r="GL1827" s="4"/>
      <c r="GM1827" s="4"/>
      <c r="GN1827" s="4"/>
      <c r="GO1827" s="4"/>
      <c r="GP1827" s="4"/>
      <c r="GQ1827" s="4"/>
      <c r="GR1827" s="4"/>
      <c r="GS1827" s="4"/>
      <c r="GT1827" s="4"/>
      <c r="GU1827" s="4"/>
      <c r="GV1827" s="4"/>
      <c r="GW1827" s="4"/>
      <c r="GX1827" s="4"/>
      <c r="GY1827" s="4"/>
      <c r="GZ1827" s="4"/>
      <c r="HA1827" s="4"/>
      <c r="HB1827" s="4"/>
      <c r="HC1827" s="4"/>
      <c r="HD1827" s="4"/>
      <c r="HE1827" s="4"/>
    </row>
    <row r="1828">
      <c r="A1828" s="2" t="s">
        <v>8949</v>
      </c>
      <c r="B1828" s="2" t="s">
        <v>299</v>
      </c>
      <c r="C1828" s="2" t="s">
        <v>731</v>
      </c>
      <c r="D1828" s="2" t="s">
        <v>301</v>
      </c>
      <c r="E1828" s="2" t="s">
        <v>302</v>
      </c>
      <c r="F1828" s="2" t="s">
        <v>8901</v>
      </c>
      <c r="G1828" s="2" t="s">
        <v>8901</v>
      </c>
      <c r="H1828" s="2" t="s">
        <v>8901</v>
      </c>
      <c r="I1828" s="2" t="s">
        <v>8902</v>
      </c>
      <c r="J1828" s="2" t="s">
        <v>294</v>
      </c>
      <c r="K1828" s="2" t="s">
        <v>8946</v>
      </c>
      <c r="L1828" s="3">
        <v>28.68</v>
      </c>
      <c r="M1828" s="3">
        <v>30.11</v>
      </c>
      <c r="N1828" s="3">
        <v>62.99</v>
      </c>
      <c r="O1828" s="2" t="s">
        <v>240</v>
      </c>
      <c r="P1828" s="2" t="s">
        <v>233</v>
      </c>
      <c r="Q1828" s="2" t="s">
        <v>234</v>
      </c>
      <c r="R1828" s="2" t="s">
        <v>228</v>
      </c>
      <c r="S1828" s="2" t="s">
        <v>8947</v>
      </c>
      <c r="T1828" s="2" t="s">
        <v>3810</v>
      </c>
      <c r="U1828" s="2" t="s">
        <v>308</v>
      </c>
      <c r="V1828" s="2" t="s">
        <v>1156</v>
      </c>
      <c r="W1828" s="2" t="s">
        <v>269</v>
      </c>
      <c r="X1828" s="2" t="s">
        <v>417</v>
      </c>
      <c r="Y1828" s="2" t="s">
        <v>228</v>
      </c>
      <c r="Z1828" s="4"/>
      <c r="AA1828" s="4">
        <f>=ROUNDDOWN({0},0)</f>
      </c>
      <c r="AB1828" s="5"/>
      <c r="AC1828" s="2" t="s">
        <v>3854</v>
      </c>
      <c r="AD1828" s="4">
        <v>148</v>
      </c>
      <c r="AE1828" s="4">
        <v>494</v>
      </c>
      <c r="AF1828" s="6">
        <v>69</v>
      </c>
      <c r="AG1828" s="6"/>
      <c r="AH1828" s="7"/>
      <c r="AI1828" s="4"/>
      <c r="AJ1828" s="4">
        <f>=ROUNDDOWN({0},0)</f>
      </c>
      <c r="AK1828" s="5"/>
      <c r="AL1828" s="2" t="s">
        <v>228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 t="s">
        <v>228</v>
      </c>
      <c r="AW1828" s="8" t="s">
        <v>228</v>
      </c>
      <c r="AX1828" s="4" t="s">
        <v>228</v>
      </c>
      <c r="AY1828" s="8" t="s">
        <v>228</v>
      </c>
      <c r="AZ1828" s="7" t="s">
        <v>228</v>
      </c>
      <c r="BA1828" s="7" t="s">
        <v>228</v>
      </c>
      <c r="BB1828" s="7"/>
      <c r="BC1828" s="4" t="s">
        <v>228</v>
      </c>
      <c r="BD1828" s="8" t="s">
        <v>228</v>
      </c>
      <c r="BE1828" s="4" t="s">
        <v>228</v>
      </c>
      <c r="BF1828" s="8" t="s">
        <v>228</v>
      </c>
      <c r="BG1828" s="7" t="s">
        <v>228</v>
      </c>
      <c r="BH1828" s="7" t="s">
        <v>228</v>
      </c>
      <c r="BI1828" s="7"/>
      <c r="BJ1828" s="4"/>
      <c r="BK1828" s="8"/>
      <c r="BL1828" s="2" t="s">
        <v>228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238</v>
      </c>
      <c r="BV1828" s="2" t="s">
        <v>228</v>
      </c>
      <c r="BW1828" s="2" t="s">
        <v>228</v>
      </c>
      <c r="BX1828" s="2" t="s">
        <v>238</v>
      </c>
      <c r="BY1828" s="2" t="s">
        <v>239</v>
      </c>
      <c r="BZ1828" s="2" t="s">
        <v>240</v>
      </c>
      <c r="CA1828" s="2" t="s">
        <v>228</v>
      </c>
      <c r="CB1828" s="2" t="s">
        <v>228</v>
      </c>
      <c r="CC1828" s="2" t="s">
        <v>241</v>
      </c>
      <c r="CD1828" s="2" t="s">
        <v>228</v>
      </c>
      <c r="CE1828" s="4"/>
      <c r="CF1828" s="4"/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>
        <v>148</v>
      </c>
      <c r="DW1828" s="4"/>
      <c r="DX1828" s="4"/>
      <c r="DY1828" s="4"/>
      <c r="DZ1828" s="4">
        <v>247</v>
      </c>
      <c r="EA1828" s="4"/>
      <c r="EB1828" s="4"/>
      <c r="EC1828" s="4"/>
      <c r="ED1828" s="4"/>
      <c r="EE1828" s="4"/>
      <c r="EF1828" s="4"/>
      <c r="EG1828" s="4"/>
      <c r="EH1828" s="4"/>
      <c r="EI1828" s="4"/>
      <c r="EJ1828" s="4"/>
      <c r="EK1828" s="4"/>
      <c r="EL1828" s="4"/>
      <c r="EM1828" s="4"/>
      <c r="EN1828" s="4"/>
      <c r="EO1828" s="4"/>
      <c r="EP1828" s="4"/>
      <c r="EQ1828" s="4"/>
      <c r="ER1828" s="4"/>
      <c r="ES1828" s="4"/>
      <c r="ET1828" s="4"/>
      <c r="EU1828" s="4"/>
      <c r="EV1828" s="4"/>
      <c r="EW1828" s="4"/>
      <c r="EX1828" s="4"/>
      <c r="EY1828" s="4"/>
      <c r="EZ1828" s="4"/>
      <c r="FA1828" s="4">
        <v>99</v>
      </c>
      <c r="FB1828" s="4"/>
      <c r="FC1828" s="4"/>
      <c r="FD1828" s="4"/>
      <c r="FE1828" s="4"/>
      <c r="FF1828" s="4"/>
      <c r="FG1828" s="4"/>
      <c r="FH1828" s="4"/>
      <c r="FI1828" s="4"/>
      <c r="FJ1828" s="4"/>
      <c r="FK1828" s="4"/>
      <c r="FL1828" s="4"/>
      <c r="FM1828" s="4"/>
      <c r="FN1828" s="4"/>
      <c r="FO1828" s="4"/>
      <c r="FP1828" s="4"/>
      <c r="FQ1828" s="4"/>
      <c r="FR1828" s="4"/>
      <c r="FS1828" s="4"/>
      <c r="FT1828" s="4"/>
      <c r="FU1828" s="4"/>
      <c r="FV1828" s="4"/>
      <c r="FW1828" s="4"/>
      <c r="FX1828" s="4"/>
      <c r="FY1828" s="4"/>
      <c r="FZ1828" s="4"/>
      <c r="GA1828" s="4"/>
      <c r="GB1828" s="4"/>
      <c r="GC1828" s="4"/>
      <c r="GD1828" s="4"/>
      <c r="GE1828" s="4"/>
      <c r="GF1828" s="4"/>
      <c r="GG1828" s="4"/>
      <c r="GH1828" s="4"/>
      <c r="GI1828" s="4"/>
      <c r="GJ1828" s="4"/>
      <c r="GK1828" s="4"/>
      <c r="GL1828" s="4"/>
      <c r="GM1828" s="4"/>
      <c r="GN1828" s="4"/>
      <c r="GO1828" s="4"/>
      <c r="GP1828" s="4"/>
      <c r="GQ1828" s="4"/>
      <c r="GR1828" s="4"/>
      <c r="GS1828" s="4"/>
      <c r="GT1828" s="4"/>
      <c r="GU1828" s="4"/>
      <c r="GV1828" s="4"/>
      <c r="GW1828" s="4"/>
      <c r="GX1828" s="4"/>
      <c r="GY1828" s="4"/>
      <c r="GZ1828" s="4"/>
      <c r="HA1828" s="4"/>
      <c r="HB1828" s="4"/>
      <c r="HC1828" s="4"/>
      <c r="HD1828" s="4"/>
      <c r="HE1828" s="4"/>
    </row>
    <row r="1829">
      <c r="A1829" s="2" t="s">
        <v>8950</v>
      </c>
      <c r="B1829" s="2" t="s">
        <v>299</v>
      </c>
      <c r="C1829" s="2" t="s">
        <v>731</v>
      </c>
      <c r="D1829" s="2" t="s">
        <v>301</v>
      </c>
      <c r="E1829" s="2" t="s">
        <v>302</v>
      </c>
      <c r="F1829" s="2" t="s">
        <v>8901</v>
      </c>
      <c r="G1829" s="2" t="s">
        <v>8901</v>
      </c>
      <c r="H1829" s="2" t="s">
        <v>8901</v>
      </c>
      <c r="I1829" s="2" t="s">
        <v>8902</v>
      </c>
      <c r="J1829" s="2" t="s">
        <v>312</v>
      </c>
      <c r="K1829" s="2" t="s">
        <v>8946</v>
      </c>
      <c r="L1829" s="3">
        <v>28.68</v>
      </c>
      <c r="M1829" s="3">
        <v>30.11</v>
      </c>
      <c r="N1829" s="3">
        <v>62.99</v>
      </c>
      <c r="O1829" s="2" t="s">
        <v>240</v>
      </c>
      <c r="P1829" s="2" t="s">
        <v>233</v>
      </c>
      <c r="Q1829" s="2" t="s">
        <v>234</v>
      </c>
      <c r="R1829" s="2" t="s">
        <v>228</v>
      </c>
      <c r="S1829" s="2" t="s">
        <v>8947</v>
      </c>
      <c r="T1829" s="2" t="s">
        <v>3810</v>
      </c>
      <c r="U1829" s="2" t="s">
        <v>308</v>
      </c>
      <c r="V1829" s="2" t="s">
        <v>1156</v>
      </c>
      <c r="W1829" s="2" t="s">
        <v>269</v>
      </c>
      <c r="X1829" s="2" t="s">
        <v>417</v>
      </c>
      <c r="Y1829" s="2" t="s">
        <v>228</v>
      </c>
      <c r="Z1829" s="4"/>
      <c r="AA1829" s="4">
        <f>=ROUNDDOWN({0},0)</f>
      </c>
      <c r="AB1829" s="5"/>
      <c r="AC1829" s="2" t="s">
        <v>3854</v>
      </c>
      <c r="AD1829" s="4">
        <v>87</v>
      </c>
      <c r="AE1829" s="4">
        <v>290</v>
      </c>
      <c r="AF1829" s="6">
        <v>69</v>
      </c>
      <c r="AG1829" s="6"/>
      <c r="AH1829" s="7"/>
      <c r="AI1829" s="4"/>
      <c r="AJ1829" s="4">
        <f>=ROUNDDOWN({0},0)</f>
      </c>
      <c r="AK1829" s="5"/>
      <c r="AL1829" s="2" t="s">
        <v>228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 t="s">
        <v>228</v>
      </c>
      <c r="AW1829" s="8" t="s">
        <v>228</v>
      </c>
      <c r="AX1829" s="4" t="s">
        <v>228</v>
      </c>
      <c r="AY1829" s="8" t="s">
        <v>228</v>
      </c>
      <c r="AZ1829" s="7" t="s">
        <v>228</v>
      </c>
      <c r="BA1829" s="7" t="s">
        <v>228</v>
      </c>
      <c r="BB1829" s="7"/>
      <c r="BC1829" s="4" t="s">
        <v>228</v>
      </c>
      <c r="BD1829" s="8" t="s">
        <v>228</v>
      </c>
      <c r="BE1829" s="4" t="s">
        <v>228</v>
      </c>
      <c r="BF1829" s="8" t="s">
        <v>228</v>
      </c>
      <c r="BG1829" s="7" t="s">
        <v>228</v>
      </c>
      <c r="BH1829" s="7" t="s">
        <v>228</v>
      </c>
      <c r="BI1829" s="7"/>
      <c r="BJ1829" s="4"/>
      <c r="BK1829" s="8"/>
      <c r="BL1829" s="2" t="s">
        <v>228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238</v>
      </c>
      <c r="BV1829" s="2" t="s">
        <v>228</v>
      </c>
      <c r="BW1829" s="2" t="s">
        <v>228</v>
      </c>
      <c r="BX1829" s="2" t="s">
        <v>238</v>
      </c>
      <c r="BY1829" s="2" t="s">
        <v>239</v>
      </c>
      <c r="BZ1829" s="2" t="s">
        <v>240</v>
      </c>
      <c r="CA1829" s="2" t="s">
        <v>228</v>
      </c>
      <c r="CB1829" s="2" t="s">
        <v>228</v>
      </c>
      <c r="CC1829" s="2" t="s">
        <v>241</v>
      </c>
      <c r="CD1829" s="2" t="s">
        <v>228</v>
      </c>
      <c r="CE1829" s="4"/>
      <c r="CF1829" s="4"/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>
        <v>87</v>
      </c>
      <c r="DW1829" s="4"/>
      <c r="DX1829" s="4"/>
      <c r="DY1829" s="4"/>
      <c r="DZ1829" s="4">
        <v>145</v>
      </c>
      <c r="EA1829" s="4"/>
      <c r="EB1829" s="4"/>
      <c r="EC1829" s="4"/>
      <c r="ED1829" s="4"/>
      <c r="EE1829" s="4"/>
      <c r="EF1829" s="4"/>
      <c r="EG1829" s="4"/>
      <c r="EH1829" s="4"/>
      <c r="EI1829" s="4"/>
      <c r="EJ1829" s="4"/>
      <c r="EK1829" s="4"/>
      <c r="EL1829" s="4"/>
      <c r="EM1829" s="4"/>
      <c r="EN1829" s="4"/>
      <c r="EO1829" s="4"/>
      <c r="EP1829" s="4"/>
      <c r="EQ1829" s="4"/>
      <c r="ER1829" s="4"/>
      <c r="ES1829" s="4"/>
      <c r="ET1829" s="4"/>
      <c r="EU1829" s="4"/>
      <c r="EV1829" s="4"/>
      <c r="EW1829" s="4"/>
      <c r="EX1829" s="4"/>
      <c r="EY1829" s="4"/>
      <c r="EZ1829" s="4"/>
      <c r="FA1829" s="4">
        <v>58</v>
      </c>
      <c r="FB1829" s="4"/>
      <c r="FC1829" s="4"/>
      <c r="FD1829" s="4"/>
      <c r="FE1829" s="4"/>
      <c r="FF1829" s="4"/>
      <c r="FG1829" s="4"/>
      <c r="FH1829" s="4"/>
      <c r="FI1829" s="4"/>
      <c r="FJ1829" s="4"/>
      <c r="FK1829" s="4"/>
      <c r="FL1829" s="4"/>
      <c r="FM1829" s="4"/>
      <c r="FN1829" s="4"/>
      <c r="FO1829" s="4"/>
      <c r="FP1829" s="4"/>
      <c r="FQ1829" s="4"/>
      <c r="FR1829" s="4"/>
      <c r="FS1829" s="4"/>
      <c r="FT1829" s="4"/>
      <c r="FU1829" s="4"/>
      <c r="FV1829" s="4"/>
      <c r="FW1829" s="4"/>
      <c r="FX1829" s="4"/>
      <c r="FY1829" s="4"/>
      <c r="FZ1829" s="4"/>
      <c r="GA1829" s="4"/>
      <c r="GB1829" s="4"/>
      <c r="GC1829" s="4"/>
      <c r="GD1829" s="4"/>
      <c r="GE1829" s="4"/>
      <c r="GF1829" s="4"/>
      <c r="GG1829" s="4"/>
      <c r="GH1829" s="4"/>
      <c r="GI1829" s="4"/>
      <c r="GJ1829" s="4"/>
      <c r="GK1829" s="4"/>
      <c r="GL1829" s="4"/>
      <c r="GM1829" s="4"/>
      <c r="GN1829" s="4"/>
      <c r="GO1829" s="4"/>
      <c r="GP1829" s="4"/>
      <c r="GQ1829" s="4"/>
      <c r="GR1829" s="4"/>
      <c r="GS1829" s="4"/>
      <c r="GT1829" s="4"/>
      <c r="GU1829" s="4"/>
      <c r="GV1829" s="4"/>
      <c r="GW1829" s="4"/>
      <c r="GX1829" s="4"/>
      <c r="GY1829" s="4"/>
      <c r="GZ1829" s="4"/>
      <c r="HA1829" s="4"/>
      <c r="HB1829" s="4"/>
      <c r="HC1829" s="4"/>
      <c r="HD1829" s="4"/>
      <c r="HE1829" s="4"/>
    </row>
    <row r="1830">
      <c r="A1830" s="2" t="s">
        <v>8951</v>
      </c>
      <c r="B1830" s="2" t="s">
        <v>299</v>
      </c>
      <c r="C1830" s="2" t="s">
        <v>731</v>
      </c>
      <c r="D1830" s="2" t="s">
        <v>301</v>
      </c>
      <c r="E1830" s="2" t="s">
        <v>302</v>
      </c>
      <c r="F1830" s="2" t="s">
        <v>8901</v>
      </c>
      <c r="G1830" s="2" t="s">
        <v>8901</v>
      </c>
      <c r="H1830" s="2" t="s">
        <v>8901</v>
      </c>
      <c r="I1830" s="2" t="s">
        <v>8902</v>
      </c>
      <c r="J1830" s="2" t="s">
        <v>284</v>
      </c>
      <c r="K1830" s="2" t="s">
        <v>8952</v>
      </c>
      <c r="L1830" s="3">
        <v>22</v>
      </c>
      <c r="M1830" s="3">
        <v>23.1</v>
      </c>
      <c r="N1830" s="3">
        <v>47.99</v>
      </c>
      <c r="O1830" s="2" t="s">
        <v>240</v>
      </c>
      <c r="P1830" s="2" t="s">
        <v>233</v>
      </c>
      <c r="Q1830" s="2" t="s">
        <v>234</v>
      </c>
      <c r="R1830" s="2" t="s">
        <v>228</v>
      </c>
      <c r="S1830" s="2" t="s">
        <v>8953</v>
      </c>
      <c r="T1830" s="2" t="s">
        <v>3810</v>
      </c>
      <c r="U1830" s="2" t="s">
        <v>308</v>
      </c>
      <c r="V1830" s="2" t="s">
        <v>2042</v>
      </c>
      <c r="W1830" s="2" t="s">
        <v>269</v>
      </c>
      <c r="X1830" s="2" t="s">
        <v>417</v>
      </c>
      <c r="Y1830" s="2" t="s">
        <v>228</v>
      </c>
      <c r="Z1830" s="4"/>
      <c r="AA1830" s="4">
        <f>=ROUNDDOWN({0},0)</f>
      </c>
      <c r="AB1830" s="5"/>
      <c r="AC1830" s="2" t="s">
        <v>3854</v>
      </c>
      <c r="AD1830" s="4">
        <v>152</v>
      </c>
      <c r="AE1830" s="4">
        <v>506</v>
      </c>
      <c r="AF1830" s="6">
        <v>69</v>
      </c>
      <c r="AG1830" s="6"/>
      <c r="AH1830" s="7"/>
      <c r="AI1830" s="4"/>
      <c r="AJ1830" s="4">
        <f>=ROUNDDOWN({0},0)</f>
      </c>
      <c r="AK1830" s="5"/>
      <c r="AL1830" s="2" t="s">
        <v>228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 t="s">
        <v>228</v>
      </c>
      <c r="AW1830" s="8" t="s">
        <v>228</v>
      </c>
      <c r="AX1830" s="4" t="s">
        <v>228</v>
      </c>
      <c r="AY1830" s="8" t="s">
        <v>228</v>
      </c>
      <c r="AZ1830" s="7" t="s">
        <v>228</v>
      </c>
      <c r="BA1830" s="7" t="s">
        <v>228</v>
      </c>
      <c r="BB1830" s="7"/>
      <c r="BC1830" s="4" t="s">
        <v>228</v>
      </c>
      <c r="BD1830" s="8" t="s">
        <v>228</v>
      </c>
      <c r="BE1830" s="4" t="s">
        <v>228</v>
      </c>
      <c r="BF1830" s="8" t="s">
        <v>228</v>
      </c>
      <c r="BG1830" s="7" t="s">
        <v>228</v>
      </c>
      <c r="BH1830" s="7" t="s">
        <v>228</v>
      </c>
      <c r="BI1830" s="7"/>
      <c r="BJ1830" s="4"/>
      <c r="BK1830" s="8"/>
      <c r="BL1830" s="2" t="s">
        <v>228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238</v>
      </c>
      <c r="BV1830" s="2" t="s">
        <v>228</v>
      </c>
      <c r="BW1830" s="2" t="s">
        <v>228</v>
      </c>
      <c r="BX1830" s="2" t="s">
        <v>238</v>
      </c>
      <c r="BY1830" s="2" t="s">
        <v>239</v>
      </c>
      <c r="BZ1830" s="2" t="s">
        <v>240</v>
      </c>
      <c r="CA1830" s="2" t="s">
        <v>228</v>
      </c>
      <c r="CB1830" s="2" t="s">
        <v>228</v>
      </c>
      <c r="CC1830" s="2" t="s">
        <v>241</v>
      </c>
      <c r="CD1830" s="2" t="s">
        <v>228</v>
      </c>
      <c r="CE1830" s="4"/>
      <c r="CF1830" s="4"/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>
        <v>152</v>
      </c>
      <c r="DW1830" s="4"/>
      <c r="DX1830" s="4"/>
      <c r="DY1830" s="4"/>
      <c r="DZ1830" s="4">
        <v>253</v>
      </c>
      <c r="EA1830" s="4"/>
      <c r="EB1830" s="4"/>
      <c r="EC1830" s="4"/>
      <c r="ED1830" s="4"/>
      <c r="EE1830" s="4"/>
      <c r="EF1830" s="4"/>
      <c r="EG1830" s="4"/>
      <c r="EH1830" s="4"/>
      <c r="EI1830" s="4"/>
      <c r="EJ1830" s="4"/>
      <c r="EK1830" s="4"/>
      <c r="EL1830" s="4"/>
      <c r="EM1830" s="4"/>
      <c r="EN1830" s="4"/>
      <c r="EO1830" s="4"/>
      <c r="EP1830" s="4"/>
      <c r="EQ1830" s="4"/>
      <c r="ER1830" s="4"/>
      <c r="ES1830" s="4"/>
      <c r="ET1830" s="4"/>
      <c r="EU1830" s="4"/>
      <c r="EV1830" s="4"/>
      <c r="EW1830" s="4"/>
      <c r="EX1830" s="4"/>
      <c r="EY1830" s="4"/>
      <c r="EZ1830" s="4"/>
      <c r="FA1830" s="4">
        <v>101</v>
      </c>
      <c r="FB1830" s="4"/>
      <c r="FC1830" s="4"/>
      <c r="FD1830" s="4"/>
      <c r="FE1830" s="4"/>
      <c r="FF1830" s="4"/>
      <c r="FG1830" s="4"/>
      <c r="FH1830" s="4"/>
      <c r="FI1830" s="4"/>
      <c r="FJ1830" s="4"/>
      <c r="FK1830" s="4"/>
      <c r="FL1830" s="4"/>
      <c r="FM1830" s="4"/>
      <c r="FN1830" s="4"/>
      <c r="FO1830" s="4"/>
      <c r="FP1830" s="4"/>
      <c r="FQ1830" s="4"/>
      <c r="FR1830" s="4"/>
      <c r="FS1830" s="4"/>
      <c r="FT1830" s="4"/>
      <c r="FU1830" s="4"/>
      <c r="FV1830" s="4"/>
      <c r="FW1830" s="4"/>
      <c r="FX1830" s="4"/>
      <c r="FY1830" s="4"/>
      <c r="FZ1830" s="4"/>
      <c r="GA1830" s="4"/>
      <c r="GB1830" s="4"/>
      <c r="GC1830" s="4"/>
      <c r="GD1830" s="4"/>
      <c r="GE1830" s="4"/>
      <c r="GF1830" s="4"/>
      <c r="GG1830" s="4"/>
      <c r="GH1830" s="4"/>
      <c r="GI1830" s="4"/>
      <c r="GJ1830" s="4"/>
      <c r="GK1830" s="4"/>
      <c r="GL1830" s="4"/>
      <c r="GM1830" s="4"/>
      <c r="GN1830" s="4"/>
      <c r="GO1830" s="4"/>
      <c r="GP1830" s="4"/>
      <c r="GQ1830" s="4"/>
      <c r="GR1830" s="4"/>
      <c r="GS1830" s="4"/>
      <c r="GT1830" s="4"/>
      <c r="GU1830" s="4"/>
      <c r="GV1830" s="4"/>
      <c r="GW1830" s="4"/>
      <c r="GX1830" s="4"/>
      <c r="GY1830" s="4"/>
      <c r="GZ1830" s="4"/>
      <c r="HA1830" s="4"/>
      <c r="HB1830" s="4"/>
      <c r="HC1830" s="4"/>
      <c r="HD1830" s="4"/>
      <c r="HE1830" s="4"/>
    </row>
    <row r="1831">
      <c r="A1831" s="2" t="s">
        <v>8954</v>
      </c>
      <c r="B1831" s="2" t="s">
        <v>299</v>
      </c>
      <c r="C1831" s="2" t="s">
        <v>731</v>
      </c>
      <c r="D1831" s="2" t="s">
        <v>301</v>
      </c>
      <c r="E1831" s="2" t="s">
        <v>302</v>
      </c>
      <c r="F1831" s="2" t="s">
        <v>8901</v>
      </c>
      <c r="G1831" s="2" t="s">
        <v>8901</v>
      </c>
      <c r="H1831" s="2" t="s">
        <v>8901</v>
      </c>
      <c r="I1831" s="2" t="s">
        <v>8902</v>
      </c>
      <c r="J1831" s="2" t="s">
        <v>289</v>
      </c>
      <c r="K1831" s="2" t="s">
        <v>8952</v>
      </c>
      <c r="L1831" s="3">
        <v>25.85</v>
      </c>
      <c r="M1831" s="3">
        <v>27.14</v>
      </c>
      <c r="N1831" s="3">
        <v>55.99</v>
      </c>
      <c r="O1831" s="2" t="s">
        <v>240</v>
      </c>
      <c r="P1831" s="2" t="s">
        <v>233</v>
      </c>
      <c r="Q1831" s="2" t="s">
        <v>234</v>
      </c>
      <c r="R1831" s="2" t="s">
        <v>228</v>
      </c>
      <c r="S1831" s="2" t="s">
        <v>8953</v>
      </c>
      <c r="T1831" s="2" t="s">
        <v>3810</v>
      </c>
      <c r="U1831" s="2" t="s">
        <v>308</v>
      </c>
      <c r="V1831" s="2" t="s">
        <v>2042</v>
      </c>
      <c r="W1831" s="2" t="s">
        <v>269</v>
      </c>
      <c r="X1831" s="2" t="s">
        <v>417</v>
      </c>
      <c r="Y1831" s="2" t="s">
        <v>228</v>
      </c>
      <c r="Z1831" s="4"/>
      <c r="AA1831" s="4">
        <f>=ROUNDDOWN({0},0)</f>
      </c>
      <c r="AB1831" s="5"/>
      <c r="AC1831" s="2" t="s">
        <v>3854</v>
      </c>
      <c r="AD1831" s="4">
        <v>287</v>
      </c>
      <c r="AE1831" s="4">
        <v>957</v>
      </c>
      <c r="AF1831" s="6">
        <v>69</v>
      </c>
      <c r="AG1831" s="6"/>
      <c r="AH1831" s="7"/>
      <c r="AI1831" s="4"/>
      <c r="AJ1831" s="4">
        <f>=ROUNDDOWN({0},0)</f>
      </c>
      <c r="AK1831" s="5"/>
      <c r="AL1831" s="2" t="s">
        <v>228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 t="s">
        <v>228</v>
      </c>
      <c r="AW1831" s="8" t="s">
        <v>228</v>
      </c>
      <c r="AX1831" s="4" t="s">
        <v>228</v>
      </c>
      <c r="AY1831" s="8" t="s">
        <v>228</v>
      </c>
      <c r="AZ1831" s="7" t="s">
        <v>228</v>
      </c>
      <c r="BA1831" s="7" t="s">
        <v>228</v>
      </c>
      <c r="BB1831" s="7"/>
      <c r="BC1831" s="4" t="s">
        <v>228</v>
      </c>
      <c r="BD1831" s="8" t="s">
        <v>228</v>
      </c>
      <c r="BE1831" s="4" t="s">
        <v>228</v>
      </c>
      <c r="BF1831" s="8" t="s">
        <v>228</v>
      </c>
      <c r="BG1831" s="7" t="s">
        <v>228</v>
      </c>
      <c r="BH1831" s="7" t="s">
        <v>228</v>
      </c>
      <c r="BI1831" s="7"/>
      <c r="BJ1831" s="4"/>
      <c r="BK1831" s="8"/>
      <c r="BL1831" s="2" t="s">
        <v>228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238</v>
      </c>
      <c r="BV1831" s="2" t="s">
        <v>228</v>
      </c>
      <c r="BW1831" s="2" t="s">
        <v>228</v>
      </c>
      <c r="BX1831" s="2" t="s">
        <v>238</v>
      </c>
      <c r="BY1831" s="2" t="s">
        <v>239</v>
      </c>
      <c r="BZ1831" s="2" t="s">
        <v>240</v>
      </c>
      <c r="CA1831" s="2" t="s">
        <v>228</v>
      </c>
      <c r="CB1831" s="2" t="s">
        <v>228</v>
      </c>
      <c r="CC1831" s="2" t="s">
        <v>241</v>
      </c>
      <c r="CD1831" s="2" t="s">
        <v>228</v>
      </c>
      <c r="CE1831" s="4"/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>
        <v>287</v>
      </c>
      <c r="DW1831" s="4"/>
      <c r="DX1831" s="4"/>
      <c r="DY1831" s="4"/>
      <c r="DZ1831" s="4">
        <v>479</v>
      </c>
      <c r="EA1831" s="4"/>
      <c r="EB1831" s="4"/>
      <c r="EC1831" s="4"/>
      <c r="ED1831" s="4"/>
      <c r="EE1831" s="4"/>
      <c r="EF1831" s="4"/>
      <c r="EG1831" s="4"/>
      <c r="EH1831" s="4"/>
      <c r="EI1831" s="4"/>
      <c r="EJ1831" s="4"/>
      <c r="EK1831" s="4"/>
      <c r="EL1831" s="4"/>
      <c r="EM1831" s="4"/>
      <c r="EN1831" s="4"/>
      <c r="EO1831" s="4"/>
      <c r="EP1831" s="4"/>
      <c r="EQ1831" s="4"/>
      <c r="ER1831" s="4"/>
      <c r="ES1831" s="4"/>
      <c r="ET1831" s="4"/>
      <c r="EU1831" s="4"/>
      <c r="EV1831" s="4"/>
      <c r="EW1831" s="4"/>
      <c r="EX1831" s="4"/>
      <c r="EY1831" s="4"/>
      <c r="EZ1831" s="4"/>
      <c r="FA1831" s="4">
        <v>191</v>
      </c>
      <c r="FB1831" s="4"/>
      <c r="FC1831" s="4"/>
      <c r="FD1831" s="4"/>
      <c r="FE1831" s="4"/>
      <c r="FF1831" s="4"/>
      <c r="FG1831" s="4"/>
      <c r="FH1831" s="4"/>
      <c r="FI1831" s="4"/>
      <c r="FJ1831" s="4"/>
      <c r="FK1831" s="4"/>
      <c r="FL1831" s="4"/>
      <c r="FM1831" s="4"/>
      <c r="FN1831" s="4"/>
      <c r="FO1831" s="4"/>
      <c r="FP1831" s="4"/>
      <c r="FQ1831" s="4"/>
      <c r="FR1831" s="4"/>
      <c r="FS1831" s="4"/>
      <c r="FT1831" s="4"/>
      <c r="FU1831" s="4"/>
      <c r="FV1831" s="4"/>
      <c r="FW1831" s="4"/>
      <c r="FX1831" s="4"/>
      <c r="FY1831" s="4"/>
      <c r="FZ1831" s="4"/>
      <c r="GA1831" s="4"/>
      <c r="GB1831" s="4"/>
      <c r="GC1831" s="4"/>
      <c r="GD1831" s="4"/>
      <c r="GE1831" s="4"/>
      <c r="GF1831" s="4"/>
      <c r="GG1831" s="4"/>
      <c r="GH1831" s="4"/>
      <c r="GI1831" s="4"/>
      <c r="GJ1831" s="4"/>
      <c r="GK1831" s="4"/>
      <c r="GL1831" s="4"/>
      <c r="GM1831" s="4"/>
      <c r="GN1831" s="4"/>
      <c r="GO1831" s="4"/>
      <c r="GP1831" s="4"/>
      <c r="GQ1831" s="4"/>
      <c r="GR1831" s="4"/>
      <c r="GS1831" s="4"/>
      <c r="GT1831" s="4"/>
      <c r="GU1831" s="4"/>
      <c r="GV1831" s="4"/>
      <c r="GW1831" s="4"/>
      <c r="GX1831" s="4"/>
      <c r="GY1831" s="4"/>
      <c r="GZ1831" s="4"/>
      <c r="HA1831" s="4"/>
      <c r="HB1831" s="4"/>
      <c r="HC1831" s="4"/>
      <c r="HD1831" s="4"/>
      <c r="HE1831" s="4"/>
    </row>
    <row r="1832">
      <c r="A1832" s="2" t="s">
        <v>8955</v>
      </c>
      <c r="B1832" s="2" t="s">
        <v>299</v>
      </c>
      <c r="C1832" s="2" t="s">
        <v>731</v>
      </c>
      <c r="D1832" s="2" t="s">
        <v>301</v>
      </c>
      <c r="E1832" s="2" t="s">
        <v>302</v>
      </c>
      <c r="F1832" s="2" t="s">
        <v>8901</v>
      </c>
      <c r="G1832" s="2" t="s">
        <v>8901</v>
      </c>
      <c r="H1832" s="2" t="s">
        <v>8901</v>
      </c>
      <c r="I1832" s="2" t="s">
        <v>8902</v>
      </c>
      <c r="J1832" s="2" t="s">
        <v>294</v>
      </c>
      <c r="K1832" s="2" t="s">
        <v>8952</v>
      </c>
      <c r="L1832" s="3">
        <v>28.68</v>
      </c>
      <c r="M1832" s="3">
        <v>30.11</v>
      </c>
      <c r="N1832" s="3">
        <v>62.99</v>
      </c>
      <c r="O1832" s="2" t="s">
        <v>240</v>
      </c>
      <c r="P1832" s="2" t="s">
        <v>233</v>
      </c>
      <c r="Q1832" s="2" t="s">
        <v>234</v>
      </c>
      <c r="R1832" s="2" t="s">
        <v>228</v>
      </c>
      <c r="S1832" s="2" t="s">
        <v>8953</v>
      </c>
      <c r="T1832" s="2" t="s">
        <v>3810</v>
      </c>
      <c r="U1832" s="2" t="s">
        <v>308</v>
      </c>
      <c r="V1832" s="2" t="s">
        <v>2042</v>
      </c>
      <c r="W1832" s="2" t="s">
        <v>269</v>
      </c>
      <c r="X1832" s="2" t="s">
        <v>417</v>
      </c>
      <c r="Y1832" s="2" t="s">
        <v>228</v>
      </c>
      <c r="Z1832" s="4"/>
      <c r="AA1832" s="4">
        <f>=ROUNDDOWN({0},0)</f>
      </c>
      <c r="AB1832" s="5"/>
      <c r="AC1832" s="2" t="s">
        <v>3854</v>
      </c>
      <c r="AD1832" s="4">
        <v>148</v>
      </c>
      <c r="AE1832" s="4">
        <v>494</v>
      </c>
      <c r="AF1832" s="6">
        <v>69</v>
      </c>
      <c r="AG1832" s="6"/>
      <c r="AH1832" s="7"/>
      <c r="AI1832" s="4"/>
      <c r="AJ1832" s="4">
        <f>=ROUNDDOWN({0},0)</f>
      </c>
      <c r="AK1832" s="5"/>
      <c r="AL1832" s="2" t="s">
        <v>228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 t="s">
        <v>228</v>
      </c>
      <c r="AW1832" s="8" t="s">
        <v>228</v>
      </c>
      <c r="AX1832" s="4" t="s">
        <v>228</v>
      </c>
      <c r="AY1832" s="8" t="s">
        <v>228</v>
      </c>
      <c r="AZ1832" s="7" t="s">
        <v>228</v>
      </c>
      <c r="BA1832" s="7" t="s">
        <v>228</v>
      </c>
      <c r="BB1832" s="7"/>
      <c r="BC1832" s="4" t="s">
        <v>228</v>
      </c>
      <c r="BD1832" s="8" t="s">
        <v>228</v>
      </c>
      <c r="BE1832" s="4" t="s">
        <v>228</v>
      </c>
      <c r="BF1832" s="8" t="s">
        <v>228</v>
      </c>
      <c r="BG1832" s="7" t="s">
        <v>228</v>
      </c>
      <c r="BH1832" s="7" t="s">
        <v>228</v>
      </c>
      <c r="BI1832" s="7"/>
      <c r="BJ1832" s="4"/>
      <c r="BK1832" s="8"/>
      <c r="BL1832" s="2" t="s">
        <v>228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238</v>
      </c>
      <c r="BV1832" s="2" t="s">
        <v>228</v>
      </c>
      <c r="BW1832" s="2" t="s">
        <v>228</v>
      </c>
      <c r="BX1832" s="2" t="s">
        <v>238</v>
      </c>
      <c r="BY1832" s="2" t="s">
        <v>239</v>
      </c>
      <c r="BZ1832" s="2" t="s">
        <v>240</v>
      </c>
      <c r="CA1832" s="2" t="s">
        <v>228</v>
      </c>
      <c r="CB1832" s="2" t="s">
        <v>228</v>
      </c>
      <c r="CC1832" s="2" t="s">
        <v>241</v>
      </c>
      <c r="CD1832" s="2" t="s">
        <v>228</v>
      </c>
      <c r="CE1832" s="4"/>
      <c r="CF1832" s="4"/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  <c r="DT1832" s="4"/>
      <c r="DU1832" s="4"/>
      <c r="DV1832" s="4">
        <v>148</v>
      </c>
      <c r="DW1832" s="4"/>
      <c r="DX1832" s="4"/>
      <c r="DY1832" s="4"/>
      <c r="DZ1832" s="4">
        <v>247</v>
      </c>
      <c r="EA1832" s="4"/>
      <c r="EB1832" s="4"/>
      <c r="EC1832" s="4"/>
      <c r="ED1832" s="4"/>
      <c r="EE1832" s="4"/>
      <c r="EF1832" s="4"/>
      <c r="EG1832" s="4"/>
      <c r="EH1832" s="4"/>
      <c r="EI1832" s="4"/>
      <c r="EJ1832" s="4"/>
      <c r="EK1832" s="4"/>
      <c r="EL1832" s="4"/>
      <c r="EM1832" s="4"/>
      <c r="EN1832" s="4"/>
      <c r="EO1832" s="4"/>
      <c r="EP1832" s="4"/>
      <c r="EQ1832" s="4"/>
      <c r="ER1832" s="4"/>
      <c r="ES1832" s="4"/>
      <c r="ET1832" s="4"/>
      <c r="EU1832" s="4"/>
      <c r="EV1832" s="4"/>
      <c r="EW1832" s="4"/>
      <c r="EX1832" s="4"/>
      <c r="EY1832" s="4"/>
      <c r="EZ1832" s="4"/>
      <c r="FA1832" s="4">
        <v>99</v>
      </c>
      <c r="FB1832" s="4"/>
      <c r="FC1832" s="4"/>
      <c r="FD1832" s="4"/>
      <c r="FE1832" s="4"/>
      <c r="FF1832" s="4"/>
      <c r="FG1832" s="4"/>
      <c r="FH1832" s="4"/>
      <c r="FI1832" s="4"/>
      <c r="FJ1832" s="4"/>
      <c r="FK1832" s="4"/>
      <c r="FL1832" s="4"/>
      <c r="FM1832" s="4"/>
      <c r="FN1832" s="4"/>
      <c r="FO1832" s="4"/>
      <c r="FP1832" s="4"/>
      <c r="FQ1832" s="4"/>
      <c r="FR1832" s="4"/>
      <c r="FS1832" s="4"/>
      <c r="FT1832" s="4"/>
      <c r="FU1832" s="4"/>
      <c r="FV1832" s="4"/>
      <c r="FW1832" s="4"/>
      <c r="FX1832" s="4"/>
      <c r="FY1832" s="4"/>
      <c r="FZ1832" s="4"/>
      <c r="GA1832" s="4"/>
      <c r="GB1832" s="4"/>
      <c r="GC1832" s="4"/>
      <c r="GD1832" s="4"/>
      <c r="GE1832" s="4"/>
      <c r="GF1832" s="4"/>
      <c r="GG1832" s="4"/>
      <c r="GH1832" s="4"/>
      <c r="GI1832" s="4"/>
      <c r="GJ1832" s="4"/>
      <c r="GK1832" s="4"/>
      <c r="GL1832" s="4"/>
      <c r="GM1832" s="4"/>
      <c r="GN1832" s="4"/>
      <c r="GO1832" s="4"/>
      <c r="GP1832" s="4"/>
      <c r="GQ1832" s="4"/>
      <c r="GR1832" s="4"/>
      <c r="GS1832" s="4"/>
      <c r="GT1832" s="4"/>
      <c r="GU1832" s="4"/>
      <c r="GV1832" s="4"/>
      <c r="GW1832" s="4"/>
      <c r="GX1832" s="4"/>
      <c r="GY1832" s="4"/>
      <c r="GZ1832" s="4"/>
      <c r="HA1832" s="4"/>
      <c r="HB1832" s="4"/>
      <c r="HC1832" s="4"/>
      <c r="HD1832" s="4"/>
      <c r="HE1832" s="4"/>
    </row>
    <row r="1833">
      <c r="A1833" s="2" t="s">
        <v>8956</v>
      </c>
      <c r="B1833" s="2" t="s">
        <v>299</v>
      </c>
      <c r="C1833" s="2" t="s">
        <v>731</v>
      </c>
      <c r="D1833" s="2" t="s">
        <v>301</v>
      </c>
      <c r="E1833" s="2" t="s">
        <v>302</v>
      </c>
      <c r="F1833" s="2" t="s">
        <v>8901</v>
      </c>
      <c r="G1833" s="2" t="s">
        <v>8901</v>
      </c>
      <c r="H1833" s="2" t="s">
        <v>8901</v>
      </c>
      <c r="I1833" s="2" t="s">
        <v>8902</v>
      </c>
      <c r="J1833" s="2" t="s">
        <v>312</v>
      </c>
      <c r="K1833" s="2" t="s">
        <v>8952</v>
      </c>
      <c r="L1833" s="3">
        <v>28.68</v>
      </c>
      <c r="M1833" s="3">
        <v>30.11</v>
      </c>
      <c r="N1833" s="3">
        <v>62.99</v>
      </c>
      <c r="O1833" s="2" t="s">
        <v>240</v>
      </c>
      <c r="P1833" s="2" t="s">
        <v>233</v>
      </c>
      <c r="Q1833" s="2" t="s">
        <v>234</v>
      </c>
      <c r="R1833" s="2" t="s">
        <v>228</v>
      </c>
      <c r="S1833" s="2" t="s">
        <v>8953</v>
      </c>
      <c r="T1833" s="2" t="s">
        <v>3810</v>
      </c>
      <c r="U1833" s="2" t="s">
        <v>308</v>
      </c>
      <c r="V1833" s="2" t="s">
        <v>2042</v>
      </c>
      <c r="W1833" s="2" t="s">
        <v>269</v>
      </c>
      <c r="X1833" s="2" t="s">
        <v>417</v>
      </c>
      <c r="Y1833" s="2" t="s">
        <v>228</v>
      </c>
      <c r="Z1833" s="4"/>
      <c r="AA1833" s="4">
        <f>=ROUNDDOWN({0},0)</f>
      </c>
      <c r="AB1833" s="5"/>
      <c r="AC1833" s="2" t="s">
        <v>3854</v>
      </c>
      <c r="AD1833" s="4">
        <v>87</v>
      </c>
      <c r="AE1833" s="4">
        <v>290</v>
      </c>
      <c r="AF1833" s="6">
        <v>69</v>
      </c>
      <c r="AG1833" s="6"/>
      <c r="AH1833" s="7"/>
      <c r="AI1833" s="4"/>
      <c r="AJ1833" s="4">
        <f>=ROUNDDOWN({0},0)</f>
      </c>
      <c r="AK1833" s="5"/>
      <c r="AL1833" s="2" t="s">
        <v>228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 t="s">
        <v>228</v>
      </c>
      <c r="AW1833" s="8" t="s">
        <v>228</v>
      </c>
      <c r="AX1833" s="4" t="s">
        <v>228</v>
      </c>
      <c r="AY1833" s="8" t="s">
        <v>228</v>
      </c>
      <c r="AZ1833" s="7" t="s">
        <v>228</v>
      </c>
      <c r="BA1833" s="7" t="s">
        <v>228</v>
      </c>
      <c r="BB1833" s="7"/>
      <c r="BC1833" s="4" t="s">
        <v>228</v>
      </c>
      <c r="BD1833" s="8" t="s">
        <v>228</v>
      </c>
      <c r="BE1833" s="4" t="s">
        <v>228</v>
      </c>
      <c r="BF1833" s="8" t="s">
        <v>228</v>
      </c>
      <c r="BG1833" s="7" t="s">
        <v>228</v>
      </c>
      <c r="BH1833" s="7" t="s">
        <v>228</v>
      </c>
      <c r="BI1833" s="7"/>
      <c r="BJ1833" s="4"/>
      <c r="BK1833" s="8"/>
      <c r="BL1833" s="2" t="s">
        <v>228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238</v>
      </c>
      <c r="BV1833" s="2" t="s">
        <v>228</v>
      </c>
      <c r="BW1833" s="2" t="s">
        <v>228</v>
      </c>
      <c r="BX1833" s="2" t="s">
        <v>238</v>
      </c>
      <c r="BY1833" s="2" t="s">
        <v>239</v>
      </c>
      <c r="BZ1833" s="2" t="s">
        <v>240</v>
      </c>
      <c r="CA1833" s="2" t="s">
        <v>228</v>
      </c>
      <c r="CB1833" s="2" t="s">
        <v>228</v>
      </c>
      <c r="CC1833" s="2" t="s">
        <v>241</v>
      </c>
      <c r="CD1833" s="2" t="s">
        <v>228</v>
      </c>
      <c r="CE1833" s="4"/>
      <c r="CF1833" s="4"/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>
        <v>87</v>
      </c>
      <c r="DW1833" s="4"/>
      <c r="DX1833" s="4"/>
      <c r="DY1833" s="4"/>
      <c r="DZ1833" s="4">
        <v>145</v>
      </c>
      <c r="EA1833" s="4"/>
      <c r="EB1833" s="4"/>
      <c r="EC1833" s="4"/>
      <c r="ED1833" s="4"/>
      <c r="EE1833" s="4"/>
      <c r="EF1833" s="4"/>
      <c r="EG1833" s="4"/>
      <c r="EH1833" s="4"/>
      <c r="EI1833" s="4"/>
      <c r="EJ1833" s="4"/>
      <c r="EK1833" s="4"/>
      <c r="EL1833" s="4"/>
      <c r="EM1833" s="4"/>
      <c r="EN1833" s="4"/>
      <c r="EO1833" s="4"/>
      <c r="EP1833" s="4"/>
      <c r="EQ1833" s="4"/>
      <c r="ER1833" s="4"/>
      <c r="ES1833" s="4"/>
      <c r="ET1833" s="4"/>
      <c r="EU1833" s="4"/>
      <c r="EV1833" s="4"/>
      <c r="EW1833" s="4"/>
      <c r="EX1833" s="4"/>
      <c r="EY1833" s="4"/>
      <c r="EZ1833" s="4"/>
      <c r="FA1833" s="4">
        <v>58</v>
      </c>
      <c r="FB1833" s="4"/>
      <c r="FC1833" s="4"/>
      <c r="FD1833" s="4"/>
      <c r="FE1833" s="4"/>
      <c r="FF1833" s="4"/>
      <c r="FG1833" s="4"/>
      <c r="FH1833" s="4"/>
      <c r="FI1833" s="4"/>
      <c r="FJ1833" s="4"/>
      <c r="FK1833" s="4"/>
      <c r="FL1833" s="4"/>
      <c r="FM1833" s="4"/>
      <c r="FN1833" s="4"/>
      <c r="FO1833" s="4"/>
      <c r="FP1833" s="4"/>
      <c r="FQ1833" s="4"/>
      <c r="FR1833" s="4"/>
      <c r="FS1833" s="4"/>
      <c r="FT1833" s="4"/>
      <c r="FU1833" s="4"/>
      <c r="FV1833" s="4"/>
      <c r="FW1833" s="4"/>
      <c r="FX1833" s="4"/>
      <c r="FY1833" s="4"/>
      <c r="FZ1833" s="4"/>
      <c r="GA1833" s="4"/>
      <c r="GB1833" s="4"/>
      <c r="GC1833" s="4"/>
      <c r="GD1833" s="4"/>
      <c r="GE1833" s="4"/>
      <c r="GF1833" s="4"/>
      <c r="GG1833" s="4"/>
      <c r="GH1833" s="4"/>
      <c r="GI1833" s="4"/>
      <c r="GJ1833" s="4"/>
      <c r="GK1833" s="4"/>
      <c r="GL1833" s="4"/>
      <c r="GM1833" s="4"/>
      <c r="GN1833" s="4"/>
      <c r="GO1833" s="4"/>
      <c r="GP1833" s="4"/>
      <c r="GQ1833" s="4"/>
      <c r="GR1833" s="4"/>
      <c r="GS1833" s="4"/>
      <c r="GT1833" s="4"/>
      <c r="GU1833" s="4"/>
      <c r="GV1833" s="4"/>
      <c r="GW1833" s="4"/>
      <c r="GX1833" s="4"/>
      <c r="GY1833" s="4"/>
      <c r="GZ1833" s="4"/>
      <c r="HA1833" s="4"/>
      <c r="HB1833" s="4"/>
      <c r="HC1833" s="4"/>
      <c r="HD1833" s="4"/>
      <c r="HE1833" s="4"/>
    </row>
    <row r="1834">
      <c r="A1834" s="2" t="s">
        <v>8957</v>
      </c>
      <c r="B1834" s="2" t="s">
        <v>299</v>
      </c>
      <c r="C1834" s="2" t="s">
        <v>731</v>
      </c>
      <c r="D1834" s="2" t="s">
        <v>301</v>
      </c>
      <c r="E1834" s="2" t="s">
        <v>302</v>
      </c>
      <c r="F1834" s="2" t="s">
        <v>8901</v>
      </c>
      <c r="G1834" s="2" t="s">
        <v>8901</v>
      </c>
      <c r="H1834" s="2" t="s">
        <v>8901</v>
      </c>
      <c r="I1834" s="2" t="s">
        <v>8902</v>
      </c>
      <c r="J1834" s="2" t="s">
        <v>294</v>
      </c>
      <c r="K1834" s="2" t="s">
        <v>8958</v>
      </c>
      <c r="L1834" s="3">
        <v>28.68</v>
      </c>
      <c r="M1834" s="3">
        <v>30.11</v>
      </c>
      <c r="N1834" s="3">
        <v>62.99</v>
      </c>
      <c r="O1834" s="2" t="s">
        <v>240</v>
      </c>
      <c r="P1834" s="2" t="s">
        <v>266</v>
      </c>
      <c r="Q1834" s="2" t="s">
        <v>234</v>
      </c>
      <c r="R1834" s="2" t="s">
        <v>228</v>
      </c>
      <c r="S1834" s="2" t="s">
        <v>8959</v>
      </c>
      <c r="T1834" s="2" t="s">
        <v>3810</v>
      </c>
      <c r="U1834" s="2" t="s">
        <v>308</v>
      </c>
      <c r="V1834" s="2" t="s">
        <v>236</v>
      </c>
      <c r="W1834" s="2" t="s">
        <v>269</v>
      </c>
      <c r="X1834" s="2" t="s">
        <v>417</v>
      </c>
      <c r="Y1834" s="2" t="s">
        <v>5687</v>
      </c>
      <c r="Z1834" s="4">
        <v>277</v>
      </c>
      <c r="AA1834" s="4">
        <f>=ROUNDDOWN(25.1818181818182,0)</f>
      </c>
      <c r="AB1834" s="5">
        <v>11</v>
      </c>
      <c r="AC1834" s="2" t="s">
        <v>1381</v>
      </c>
      <c r="AD1834" s="4">
        <v>103</v>
      </c>
      <c r="AE1834" s="4">
        <v>234</v>
      </c>
      <c r="AF1834" s="6">
        <v>65</v>
      </c>
      <c r="AG1834" s="6"/>
      <c r="AH1834" s="7">
        <v>1</v>
      </c>
      <c r="AI1834" s="4"/>
      <c r="AJ1834" s="4">
        <f>=ROUNDDOWN({0},0)</f>
      </c>
      <c r="AK1834" s="5"/>
      <c r="AL1834" s="2" t="s">
        <v>228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 t="s">
        <v>228</v>
      </c>
      <c r="AW1834" s="8" t="s">
        <v>228</v>
      </c>
      <c r="AX1834" s="4" t="s">
        <v>228</v>
      </c>
      <c r="AY1834" s="8" t="s">
        <v>228</v>
      </c>
      <c r="AZ1834" s="7" t="s">
        <v>228</v>
      </c>
      <c r="BA1834" s="7" t="s">
        <v>228</v>
      </c>
      <c r="BB1834" s="7"/>
      <c r="BC1834" s="4" t="s">
        <v>228</v>
      </c>
      <c r="BD1834" s="8" t="s">
        <v>228</v>
      </c>
      <c r="BE1834" s="4" t="s">
        <v>228</v>
      </c>
      <c r="BF1834" s="8" t="s">
        <v>228</v>
      </c>
      <c r="BG1834" s="7" t="s">
        <v>228</v>
      </c>
      <c r="BH1834" s="7" t="s">
        <v>228</v>
      </c>
      <c r="BI1834" s="7"/>
      <c r="BJ1834" s="4">
        <v>7</v>
      </c>
      <c r="BK1834" s="8">
        <v>231.91</v>
      </c>
      <c r="BL1834" s="2" t="s">
        <v>8960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8961</v>
      </c>
      <c r="BV1834" s="2" t="s">
        <v>228</v>
      </c>
      <c r="BW1834" s="2" t="s">
        <v>228</v>
      </c>
      <c r="BX1834" s="2" t="s">
        <v>273</v>
      </c>
      <c r="BY1834" s="2" t="s">
        <v>274</v>
      </c>
      <c r="BZ1834" s="2" t="s">
        <v>240</v>
      </c>
      <c r="CA1834" s="2" t="s">
        <v>5687</v>
      </c>
      <c r="CB1834" s="2" t="s">
        <v>2095</v>
      </c>
      <c r="CC1834" s="2" t="s">
        <v>241</v>
      </c>
      <c r="CD1834" s="2" t="s">
        <v>228</v>
      </c>
      <c r="CE1834" s="4">
        <v>277</v>
      </c>
      <c r="CF1834" s="4"/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>
        <v>103</v>
      </c>
      <c r="DY1834" s="4"/>
      <c r="DZ1834" s="4"/>
      <c r="EA1834" s="4"/>
      <c r="EB1834" s="4"/>
      <c r="EC1834" s="4"/>
      <c r="ED1834" s="4"/>
      <c r="EE1834" s="4"/>
      <c r="EF1834" s="4"/>
      <c r="EG1834" s="4"/>
      <c r="EH1834" s="4"/>
      <c r="EI1834" s="4"/>
      <c r="EJ1834" s="4"/>
      <c r="EK1834" s="4"/>
      <c r="EL1834" s="4"/>
      <c r="EM1834" s="4"/>
      <c r="EN1834" s="4"/>
      <c r="EO1834" s="4"/>
      <c r="EP1834" s="4"/>
      <c r="EQ1834" s="4"/>
      <c r="ER1834" s="4"/>
      <c r="ES1834" s="4"/>
      <c r="ET1834" s="4"/>
      <c r="EU1834" s="4"/>
      <c r="EV1834" s="4"/>
      <c r="EW1834" s="4"/>
      <c r="EX1834" s="4"/>
      <c r="EY1834" s="4"/>
      <c r="EZ1834" s="4"/>
      <c r="FA1834" s="4"/>
      <c r="FB1834" s="4"/>
      <c r="FC1834" s="4"/>
      <c r="FD1834" s="4"/>
      <c r="FE1834" s="4"/>
      <c r="FF1834" s="4"/>
      <c r="FG1834" s="4"/>
      <c r="FH1834" s="4"/>
      <c r="FI1834" s="4">
        <v>53</v>
      </c>
      <c r="FJ1834" s="4"/>
      <c r="FK1834" s="4"/>
      <c r="FL1834" s="4"/>
      <c r="FM1834" s="4"/>
      <c r="FN1834" s="4"/>
      <c r="FO1834" s="4"/>
      <c r="FP1834" s="4"/>
      <c r="FQ1834" s="4"/>
      <c r="FR1834" s="4"/>
      <c r="FS1834" s="4"/>
      <c r="FT1834" s="4"/>
      <c r="FU1834" s="4"/>
      <c r="FV1834" s="4"/>
      <c r="FW1834" s="4">
        <v>78</v>
      </c>
      <c r="FX1834" s="4"/>
      <c r="FY1834" s="4"/>
      <c r="FZ1834" s="4"/>
      <c r="GA1834" s="4"/>
      <c r="GB1834" s="4"/>
      <c r="GC1834" s="4"/>
      <c r="GD1834" s="4"/>
      <c r="GE1834" s="4"/>
      <c r="GF1834" s="4"/>
      <c r="GG1834" s="4"/>
      <c r="GH1834" s="4"/>
      <c r="GI1834" s="4"/>
      <c r="GJ1834" s="4"/>
      <c r="GK1834" s="4"/>
      <c r="GL1834" s="4"/>
      <c r="GM1834" s="4"/>
      <c r="GN1834" s="4"/>
      <c r="GO1834" s="4"/>
      <c r="GP1834" s="4"/>
      <c r="GQ1834" s="4"/>
      <c r="GR1834" s="4"/>
      <c r="GS1834" s="4"/>
      <c r="GT1834" s="4"/>
      <c r="GU1834" s="4"/>
      <c r="GV1834" s="4"/>
      <c r="GW1834" s="4"/>
      <c r="GX1834" s="4"/>
      <c r="GY1834" s="4"/>
      <c r="GZ1834" s="4"/>
      <c r="HA1834" s="4"/>
      <c r="HB1834" s="4"/>
      <c r="HC1834" s="4"/>
      <c r="HD1834" s="4"/>
      <c r="HE1834" s="4"/>
    </row>
    <row r="1835">
      <c r="A1835" s="2" t="s">
        <v>8962</v>
      </c>
      <c r="B1835" s="2" t="s">
        <v>299</v>
      </c>
      <c r="C1835" s="2" t="s">
        <v>731</v>
      </c>
      <c r="D1835" s="2" t="s">
        <v>301</v>
      </c>
      <c r="E1835" s="2" t="s">
        <v>302</v>
      </c>
      <c r="F1835" s="2" t="s">
        <v>8901</v>
      </c>
      <c r="G1835" s="2" t="s">
        <v>8901</v>
      </c>
      <c r="H1835" s="2" t="s">
        <v>8901</v>
      </c>
      <c r="I1835" s="2" t="s">
        <v>8902</v>
      </c>
      <c r="J1835" s="2" t="s">
        <v>312</v>
      </c>
      <c r="K1835" s="2" t="s">
        <v>8958</v>
      </c>
      <c r="L1835" s="3">
        <v>28.68</v>
      </c>
      <c r="M1835" s="3">
        <v>30.11</v>
      </c>
      <c r="N1835" s="3">
        <v>62.99</v>
      </c>
      <c r="O1835" s="2" t="s">
        <v>240</v>
      </c>
      <c r="P1835" s="2" t="s">
        <v>266</v>
      </c>
      <c r="Q1835" s="2" t="s">
        <v>234</v>
      </c>
      <c r="R1835" s="2" t="s">
        <v>228</v>
      </c>
      <c r="S1835" s="2" t="s">
        <v>8959</v>
      </c>
      <c r="T1835" s="2" t="s">
        <v>3810</v>
      </c>
      <c r="U1835" s="2" t="s">
        <v>308</v>
      </c>
      <c r="V1835" s="2" t="s">
        <v>236</v>
      </c>
      <c r="W1835" s="2" t="s">
        <v>269</v>
      </c>
      <c r="X1835" s="2" t="s">
        <v>417</v>
      </c>
      <c r="Y1835" s="2" t="s">
        <v>5687</v>
      </c>
      <c r="Z1835" s="4">
        <v>115</v>
      </c>
      <c r="AA1835" s="4">
        <f>=ROUNDDOWN(28.75,0)</f>
      </c>
      <c r="AB1835" s="5">
        <v>4</v>
      </c>
      <c r="AC1835" s="2" t="s">
        <v>1381</v>
      </c>
      <c r="AD1835" s="4">
        <v>34</v>
      </c>
      <c r="AE1835" s="4">
        <v>80</v>
      </c>
      <c r="AF1835" s="6">
        <v>65</v>
      </c>
      <c r="AG1835" s="6"/>
      <c r="AH1835" s="7">
        <v>1</v>
      </c>
      <c r="AI1835" s="4"/>
      <c r="AJ1835" s="4">
        <f>=ROUNDDOWN({0},0)</f>
      </c>
      <c r="AK1835" s="5"/>
      <c r="AL1835" s="2" t="s">
        <v>228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 t="s">
        <v>228</v>
      </c>
      <c r="AW1835" s="8" t="s">
        <v>228</v>
      </c>
      <c r="AX1835" s="4" t="s">
        <v>228</v>
      </c>
      <c r="AY1835" s="8" t="s">
        <v>228</v>
      </c>
      <c r="AZ1835" s="7" t="s">
        <v>228</v>
      </c>
      <c r="BA1835" s="7" t="s">
        <v>228</v>
      </c>
      <c r="BB1835" s="7"/>
      <c r="BC1835" s="4" t="s">
        <v>228</v>
      </c>
      <c r="BD1835" s="8" t="s">
        <v>228</v>
      </c>
      <c r="BE1835" s="4" t="s">
        <v>228</v>
      </c>
      <c r="BF1835" s="8" t="s">
        <v>228</v>
      </c>
      <c r="BG1835" s="7" t="s">
        <v>228</v>
      </c>
      <c r="BH1835" s="7" t="s">
        <v>228</v>
      </c>
      <c r="BI1835" s="7"/>
      <c r="BJ1835" s="4">
        <v>3</v>
      </c>
      <c r="BK1835" s="8">
        <v>94.68</v>
      </c>
      <c r="BL1835" s="2" t="s">
        <v>8963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8964</v>
      </c>
      <c r="BV1835" s="2" t="s">
        <v>228</v>
      </c>
      <c r="BW1835" s="2" t="s">
        <v>228</v>
      </c>
      <c r="BX1835" s="2" t="s">
        <v>273</v>
      </c>
      <c r="BY1835" s="2" t="s">
        <v>274</v>
      </c>
      <c r="BZ1835" s="2" t="s">
        <v>240</v>
      </c>
      <c r="CA1835" s="2" t="s">
        <v>5687</v>
      </c>
      <c r="CB1835" s="2" t="s">
        <v>8965</v>
      </c>
      <c r="CC1835" s="2" t="s">
        <v>241</v>
      </c>
      <c r="CD1835" s="2" t="s">
        <v>228</v>
      </c>
      <c r="CE1835" s="4">
        <v>115</v>
      </c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>
        <v>34</v>
      </c>
      <c r="DY1835" s="4"/>
      <c r="DZ1835" s="4"/>
      <c r="EA1835" s="4"/>
      <c r="EB1835" s="4"/>
      <c r="EC1835" s="4"/>
      <c r="ED1835" s="4"/>
      <c r="EE1835" s="4"/>
      <c r="EF1835" s="4"/>
      <c r="EG1835" s="4"/>
      <c r="EH1835" s="4"/>
      <c r="EI1835" s="4"/>
      <c r="EJ1835" s="4"/>
      <c r="EK1835" s="4"/>
      <c r="EL1835" s="4"/>
      <c r="EM1835" s="4"/>
      <c r="EN1835" s="4"/>
      <c r="EO1835" s="4"/>
      <c r="EP1835" s="4"/>
      <c r="EQ1835" s="4"/>
      <c r="ER1835" s="4"/>
      <c r="ES1835" s="4"/>
      <c r="ET1835" s="4"/>
      <c r="EU1835" s="4"/>
      <c r="EV1835" s="4"/>
      <c r="EW1835" s="4"/>
      <c r="EX1835" s="4"/>
      <c r="EY1835" s="4"/>
      <c r="EZ1835" s="4"/>
      <c r="FA1835" s="4"/>
      <c r="FB1835" s="4"/>
      <c r="FC1835" s="4"/>
      <c r="FD1835" s="4"/>
      <c r="FE1835" s="4"/>
      <c r="FF1835" s="4"/>
      <c r="FG1835" s="4"/>
      <c r="FH1835" s="4"/>
      <c r="FI1835" s="4">
        <v>26</v>
      </c>
      <c r="FJ1835" s="4"/>
      <c r="FK1835" s="4"/>
      <c r="FL1835" s="4"/>
      <c r="FM1835" s="4"/>
      <c r="FN1835" s="4"/>
      <c r="FO1835" s="4"/>
      <c r="FP1835" s="4"/>
      <c r="FQ1835" s="4"/>
      <c r="FR1835" s="4"/>
      <c r="FS1835" s="4"/>
      <c r="FT1835" s="4"/>
      <c r="FU1835" s="4"/>
      <c r="FV1835" s="4"/>
      <c r="FW1835" s="4">
        <v>20</v>
      </c>
      <c r="FX1835" s="4"/>
      <c r="FY1835" s="4"/>
      <c r="FZ1835" s="4"/>
      <c r="GA1835" s="4"/>
      <c r="GB1835" s="4"/>
      <c r="GC1835" s="4"/>
      <c r="GD1835" s="4"/>
      <c r="GE1835" s="4"/>
      <c r="GF1835" s="4"/>
      <c r="GG1835" s="4"/>
      <c r="GH1835" s="4"/>
      <c r="GI1835" s="4"/>
      <c r="GJ1835" s="4"/>
      <c r="GK1835" s="4"/>
      <c r="GL1835" s="4"/>
      <c r="GM1835" s="4"/>
      <c r="GN1835" s="4"/>
      <c r="GO1835" s="4"/>
      <c r="GP1835" s="4"/>
      <c r="GQ1835" s="4"/>
      <c r="GR1835" s="4"/>
      <c r="GS1835" s="4"/>
      <c r="GT1835" s="4"/>
      <c r="GU1835" s="4"/>
      <c r="GV1835" s="4"/>
      <c r="GW1835" s="4"/>
      <c r="GX1835" s="4"/>
      <c r="GY1835" s="4"/>
      <c r="GZ1835" s="4"/>
      <c r="HA1835" s="4"/>
      <c r="HB1835" s="4"/>
      <c r="HC1835" s="4"/>
      <c r="HD1835" s="4"/>
      <c r="HE1835" s="4"/>
    </row>
    <row r="1836">
      <c r="A1836" s="2" t="s">
        <v>8966</v>
      </c>
      <c r="B1836" s="2" t="s">
        <v>299</v>
      </c>
      <c r="C1836" s="2" t="s">
        <v>731</v>
      </c>
      <c r="D1836" s="2" t="s">
        <v>301</v>
      </c>
      <c r="E1836" s="2" t="s">
        <v>302</v>
      </c>
      <c r="F1836" s="2" t="s">
        <v>8901</v>
      </c>
      <c r="G1836" s="2" t="s">
        <v>8901</v>
      </c>
      <c r="H1836" s="2" t="s">
        <v>8901</v>
      </c>
      <c r="I1836" s="2" t="s">
        <v>8902</v>
      </c>
      <c r="J1836" s="2" t="s">
        <v>284</v>
      </c>
      <c r="K1836" s="2" t="s">
        <v>8967</v>
      </c>
      <c r="L1836" s="3">
        <v>22</v>
      </c>
      <c r="M1836" s="3">
        <v>23.1</v>
      </c>
      <c r="N1836" s="3">
        <v>47.99</v>
      </c>
      <c r="O1836" s="2" t="s">
        <v>240</v>
      </c>
      <c r="P1836" s="2" t="s">
        <v>266</v>
      </c>
      <c r="Q1836" s="2" t="s">
        <v>234</v>
      </c>
      <c r="R1836" s="2" t="s">
        <v>228</v>
      </c>
      <c r="S1836" s="2" t="s">
        <v>8968</v>
      </c>
      <c r="T1836" s="2" t="s">
        <v>3810</v>
      </c>
      <c r="U1836" s="2" t="s">
        <v>308</v>
      </c>
      <c r="V1836" s="2" t="s">
        <v>387</v>
      </c>
      <c r="W1836" s="2" t="s">
        <v>269</v>
      </c>
      <c r="X1836" s="2" t="s">
        <v>417</v>
      </c>
      <c r="Y1836" s="2" t="s">
        <v>4133</v>
      </c>
      <c r="Z1836" s="4">
        <v>3</v>
      </c>
      <c r="AA1836" s="4">
        <f>=ROUNDDOWN(0.09375,0)</f>
      </c>
      <c r="AB1836" s="5">
        <v>32</v>
      </c>
      <c r="AC1836" s="2" t="s">
        <v>1381</v>
      </c>
      <c r="AD1836" s="4">
        <v>40</v>
      </c>
      <c r="AE1836" s="4">
        <v>590</v>
      </c>
      <c r="AF1836" s="6">
        <v>74</v>
      </c>
      <c r="AG1836" s="6"/>
      <c r="AH1836" s="7">
        <v>0.4194</v>
      </c>
      <c r="AI1836" s="4"/>
      <c r="AJ1836" s="4">
        <f>=ROUNDDOWN({0},0)</f>
      </c>
      <c r="AK1836" s="5"/>
      <c r="AL1836" s="2" t="s">
        <v>228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 t="s">
        <v>228</v>
      </c>
      <c r="AW1836" s="8" t="s">
        <v>228</v>
      </c>
      <c r="AX1836" s="4" t="s">
        <v>228</v>
      </c>
      <c r="AY1836" s="8" t="s">
        <v>228</v>
      </c>
      <c r="AZ1836" s="7" t="s">
        <v>228</v>
      </c>
      <c r="BA1836" s="7" t="s">
        <v>228</v>
      </c>
      <c r="BB1836" s="7"/>
      <c r="BC1836" s="4" t="s">
        <v>228</v>
      </c>
      <c r="BD1836" s="8" t="s">
        <v>228</v>
      </c>
      <c r="BE1836" s="4" t="s">
        <v>228</v>
      </c>
      <c r="BF1836" s="8" t="s">
        <v>228</v>
      </c>
      <c r="BG1836" s="7" t="s">
        <v>228</v>
      </c>
      <c r="BH1836" s="7" t="s">
        <v>228</v>
      </c>
      <c r="BI1836" s="7"/>
      <c r="BJ1836" s="4">
        <v>16</v>
      </c>
      <c r="BK1836" s="8">
        <v>421.05</v>
      </c>
      <c r="BL1836" s="2" t="s">
        <v>509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8969</v>
      </c>
      <c r="BV1836" s="2" t="s">
        <v>228</v>
      </c>
      <c r="BW1836" s="2" t="s">
        <v>228</v>
      </c>
      <c r="BX1836" s="2" t="s">
        <v>273</v>
      </c>
      <c r="BY1836" s="2" t="s">
        <v>274</v>
      </c>
      <c r="BZ1836" s="2" t="s">
        <v>240</v>
      </c>
      <c r="CA1836" s="2" t="s">
        <v>1749</v>
      </c>
      <c r="CB1836" s="2" t="s">
        <v>1869</v>
      </c>
      <c r="CC1836" s="2" t="s">
        <v>241</v>
      </c>
      <c r="CD1836" s="2" t="s">
        <v>228</v>
      </c>
      <c r="CE1836" s="4">
        <v>3</v>
      </c>
      <c r="CF1836" s="4"/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>
        <v>40</v>
      </c>
      <c r="DY1836" s="4"/>
      <c r="DZ1836" s="4">
        <v>70</v>
      </c>
      <c r="EA1836" s="4"/>
      <c r="EB1836" s="4"/>
      <c r="EC1836" s="4"/>
      <c r="ED1836" s="4"/>
      <c r="EE1836" s="4"/>
      <c r="EF1836" s="4"/>
      <c r="EG1836" s="4"/>
      <c r="EH1836" s="4"/>
      <c r="EI1836" s="4"/>
      <c r="EJ1836" s="4"/>
      <c r="EK1836" s="4"/>
      <c r="EL1836" s="4"/>
      <c r="EM1836" s="4"/>
      <c r="EN1836" s="4"/>
      <c r="EO1836" s="4"/>
      <c r="EP1836" s="4"/>
      <c r="EQ1836" s="4"/>
      <c r="ER1836" s="4"/>
      <c r="ES1836" s="4"/>
      <c r="ET1836" s="4"/>
      <c r="EU1836" s="4"/>
      <c r="EV1836" s="4"/>
      <c r="EW1836" s="4"/>
      <c r="EX1836" s="4"/>
      <c r="EY1836" s="4"/>
      <c r="EZ1836" s="4"/>
      <c r="FA1836" s="4"/>
      <c r="FB1836" s="4"/>
      <c r="FC1836" s="4"/>
      <c r="FD1836" s="4"/>
      <c r="FE1836" s="4"/>
      <c r="FF1836" s="4"/>
      <c r="FG1836" s="4"/>
      <c r="FH1836" s="4"/>
      <c r="FI1836" s="4">
        <v>80</v>
      </c>
      <c r="FJ1836" s="4"/>
      <c r="FK1836" s="4"/>
      <c r="FL1836" s="4"/>
      <c r="FM1836" s="4"/>
      <c r="FN1836" s="4"/>
      <c r="FO1836" s="4"/>
      <c r="FP1836" s="4"/>
      <c r="FQ1836" s="4"/>
      <c r="FR1836" s="4"/>
      <c r="FS1836" s="4"/>
      <c r="FT1836" s="4"/>
      <c r="FU1836" s="4"/>
      <c r="FV1836" s="4"/>
      <c r="FW1836" s="4"/>
      <c r="FX1836" s="4"/>
      <c r="FY1836" s="4"/>
      <c r="FZ1836" s="4"/>
      <c r="GA1836" s="4"/>
      <c r="GB1836" s="4"/>
      <c r="GC1836" s="4"/>
      <c r="GD1836" s="4"/>
      <c r="GE1836" s="4"/>
      <c r="GF1836" s="4"/>
      <c r="GG1836" s="4"/>
      <c r="GH1836" s="4"/>
      <c r="GI1836" s="4"/>
      <c r="GJ1836" s="4"/>
      <c r="GK1836" s="4">
        <v>280</v>
      </c>
      <c r="GL1836" s="4"/>
      <c r="GM1836" s="4"/>
      <c r="GN1836" s="4"/>
      <c r="GO1836" s="4"/>
      <c r="GP1836" s="4"/>
      <c r="GQ1836" s="4"/>
      <c r="GR1836" s="4"/>
      <c r="GS1836" s="4"/>
      <c r="GT1836" s="4"/>
      <c r="GU1836" s="4"/>
      <c r="GV1836" s="4"/>
      <c r="GW1836" s="4"/>
      <c r="GX1836" s="4"/>
      <c r="GY1836" s="4"/>
      <c r="GZ1836" s="4">
        <v>120</v>
      </c>
      <c r="HA1836" s="4"/>
      <c r="HB1836" s="4"/>
      <c r="HC1836" s="4"/>
      <c r="HD1836" s="4"/>
      <c r="HE1836" s="4"/>
    </row>
    <row r="1837">
      <c r="A1837" s="2" t="s">
        <v>8970</v>
      </c>
      <c r="B1837" s="2" t="s">
        <v>299</v>
      </c>
      <c r="C1837" s="2" t="s">
        <v>731</v>
      </c>
      <c r="D1837" s="2" t="s">
        <v>301</v>
      </c>
      <c r="E1837" s="2" t="s">
        <v>302</v>
      </c>
      <c r="F1837" s="2" t="s">
        <v>8901</v>
      </c>
      <c r="G1837" s="2" t="s">
        <v>8901</v>
      </c>
      <c r="H1837" s="2" t="s">
        <v>8901</v>
      </c>
      <c r="I1837" s="2" t="s">
        <v>8902</v>
      </c>
      <c r="J1837" s="2" t="s">
        <v>289</v>
      </c>
      <c r="K1837" s="2" t="s">
        <v>8967</v>
      </c>
      <c r="L1837" s="3">
        <v>25.85</v>
      </c>
      <c r="M1837" s="3">
        <v>27.14</v>
      </c>
      <c r="N1837" s="3">
        <v>55.99</v>
      </c>
      <c r="O1837" s="2" t="s">
        <v>240</v>
      </c>
      <c r="P1837" s="2" t="s">
        <v>266</v>
      </c>
      <c r="Q1837" s="2" t="s">
        <v>234</v>
      </c>
      <c r="R1837" s="2" t="s">
        <v>228</v>
      </c>
      <c r="S1837" s="2" t="s">
        <v>8968</v>
      </c>
      <c r="T1837" s="2" t="s">
        <v>3810</v>
      </c>
      <c r="U1837" s="2" t="s">
        <v>308</v>
      </c>
      <c r="V1837" s="2" t="s">
        <v>387</v>
      </c>
      <c r="W1837" s="2" t="s">
        <v>269</v>
      </c>
      <c r="X1837" s="2" t="s">
        <v>417</v>
      </c>
      <c r="Y1837" s="2" t="s">
        <v>4133</v>
      </c>
      <c r="Z1837" s="4"/>
      <c r="AA1837" s="4">
        <f>=ROUNDDOWN({0},0)</f>
      </c>
      <c r="AB1837" s="5">
        <v>129</v>
      </c>
      <c r="AC1837" s="2" t="s">
        <v>1381</v>
      </c>
      <c r="AD1837" s="4">
        <v>60</v>
      </c>
      <c r="AE1837" s="4">
        <v>2220</v>
      </c>
      <c r="AF1837" s="6">
        <v>74</v>
      </c>
      <c r="AG1837" s="6"/>
      <c r="AH1837" s="7">
        <v>0</v>
      </c>
      <c r="AI1837" s="4"/>
      <c r="AJ1837" s="4">
        <f>=ROUNDDOWN({0},0)</f>
      </c>
      <c r="AK1837" s="5"/>
      <c r="AL1837" s="2" t="s">
        <v>228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 t="s">
        <v>228</v>
      </c>
      <c r="AW1837" s="8" t="s">
        <v>228</v>
      </c>
      <c r="AX1837" s="4" t="s">
        <v>228</v>
      </c>
      <c r="AY1837" s="8" t="s">
        <v>228</v>
      </c>
      <c r="AZ1837" s="7" t="s">
        <v>228</v>
      </c>
      <c r="BA1837" s="7" t="s">
        <v>228</v>
      </c>
      <c r="BB1837" s="7"/>
      <c r="BC1837" s="4" t="s">
        <v>228</v>
      </c>
      <c r="BD1837" s="8" t="s">
        <v>228</v>
      </c>
      <c r="BE1837" s="4" t="s">
        <v>228</v>
      </c>
      <c r="BF1837" s="8" t="s">
        <v>228</v>
      </c>
      <c r="BG1837" s="7" t="s">
        <v>228</v>
      </c>
      <c r="BH1837" s="7" t="s">
        <v>228</v>
      </c>
      <c r="BI1837" s="7"/>
      <c r="BJ1837" s="4">
        <v>2</v>
      </c>
      <c r="BK1837" s="8">
        <v>59.46</v>
      </c>
      <c r="BL1837" s="2" t="s">
        <v>727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8971</v>
      </c>
      <c r="BV1837" s="2" t="s">
        <v>228</v>
      </c>
      <c r="BW1837" s="2" t="s">
        <v>228</v>
      </c>
      <c r="BX1837" s="2" t="s">
        <v>273</v>
      </c>
      <c r="BY1837" s="2" t="s">
        <v>274</v>
      </c>
      <c r="BZ1837" s="2" t="s">
        <v>240</v>
      </c>
      <c r="CA1837" s="2" t="s">
        <v>1749</v>
      </c>
      <c r="CB1837" s="2" t="s">
        <v>4120</v>
      </c>
      <c r="CC1837" s="2" t="s">
        <v>241</v>
      </c>
      <c r="CD1837" s="2" t="s">
        <v>228</v>
      </c>
      <c r="CE1837" s="4"/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>
        <v>60</v>
      </c>
      <c r="DY1837" s="4"/>
      <c r="DZ1837" s="4">
        <v>20</v>
      </c>
      <c r="EA1837" s="4"/>
      <c r="EB1837" s="4"/>
      <c r="EC1837" s="4"/>
      <c r="ED1837" s="4"/>
      <c r="EE1837" s="4"/>
      <c r="EF1837" s="4"/>
      <c r="EG1837" s="4"/>
      <c r="EH1837" s="4"/>
      <c r="EI1837" s="4"/>
      <c r="EJ1837" s="4"/>
      <c r="EK1837" s="4"/>
      <c r="EL1837" s="4"/>
      <c r="EM1837" s="4"/>
      <c r="EN1837" s="4"/>
      <c r="EO1837" s="4"/>
      <c r="EP1837" s="4"/>
      <c r="EQ1837" s="4"/>
      <c r="ER1837" s="4"/>
      <c r="ES1837" s="4"/>
      <c r="ET1837" s="4"/>
      <c r="EU1837" s="4"/>
      <c r="EV1837" s="4"/>
      <c r="EW1837" s="4"/>
      <c r="EX1837" s="4"/>
      <c r="EY1837" s="4"/>
      <c r="EZ1837" s="4"/>
      <c r="FA1837" s="4"/>
      <c r="FB1837" s="4"/>
      <c r="FC1837" s="4"/>
      <c r="FD1837" s="4"/>
      <c r="FE1837" s="4"/>
      <c r="FF1837" s="4"/>
      <c r="FG1837" s="4"/>
      <c r="FH1837" s="4"/>
      <c r="FI1837" s="4">
        <v>140</v>
      </c>
      <c r="FJ1837" s="4"/>
      <c r="FK1837" s="4"/>
      <c r="FL1837" s="4"/>
      <c r="FM1837" s="4"/>
      <c r="FN1837" s="4"/>
      <c r="FO1837" s="4"/>
      <c r="FP1837" s="4"/>
      <c r="FQ1837" s="4"/>
      <c r="FR1837" s="4"/>
      <c r="FS1837" s="4"/>
      <c r="FT1837" s="4"/>
      <c r="FU1837" s="4"/>
      <c r="FV1837" s="4"/>
      <c r="FW1837" s="4"/>
      <c r="FX1837" s="4"/>
      <c r="FY1837" s="4"/>
      <c r="FZ1837" s="4"/>
      <c r="GA1837" s="4"/>
      <c r="GB1837" s="4"/>
      <c r="GC1837" s="4"/>
      <c r="GD1837" s="4"/>
      <c r="GE1837" s="4"/>
      <c r="GF1837" s="4"/>
      <c r="GG1837" s="4"/>
      <c r="GH1837" s="4"/>
      <c r="GI1837" s="4"/>
      <c r="GJ1837" s="4"/>
      <c r="GK1837" s="4">
        <v>1400</v>
      </c>
      <c r="GL1837" s="4"/>
      <c r="GM1837" s="4"/>
      <c r="GN1837" s="4"/>
      <c r="GO1837" s="4"/>
      <c r="GP1837" s="4"/>
      <c r="GQ1837" s="4"/>
      <c r="GR1837" s="4"/>
      <c r="GS1837" s="4"/>
      <c r="GT1837" s="4"/>
      <c r="GU1837" s="4"/>
      <c r="GV1837" s="4"/>
      <c r="GW1837" s="4"/>
      <c r="GX1837" s="4"/>
      <c r="GY1837" s="4"/>
      <c r="GZ1837" s="4">
        <v>600</v>
      </c>
      <c r="HA1837" s="4"/>
      <c r="HB1837" s="4"/>
      <c r="HC1837" s="4"/>
      <c r="HD1837" s="4"/>
      <c r="HE1837" s="4"/>
    </row>
    <row r="1838">
      <c r="A1838" s="2" t="s">
        <v>8972</v>
      </c>
      <c r="B1838" s="2" t="s">
        <v>299</v>
      </c>
      <c r="C1838" s="2" t="s">
        <v>731</v>
      </c>
      <c r="D1838" s="2" t="s">
        <v>301</v>
      </c>
      <c r="E1838" s="2" t="s">
        <v>302</v>
      </c>
      <c r="F1838" s="2" t="s">
        <v>8901</v>
      </c>
      <c r="G1838" s="2" t="s">
        <v>8901</v>
      </c>
      <c r="H1838" s="2" t="s">
        <v>8901</v>
      </c>
      <c r="I1838" s="2" t="s">
        <v>8902</v>
      </c>
      <c r="J1838" s="2" t="s">
        <v>294</v>
      </c>
      <c r="K1838" s="2" t="s">
        <v>8967</v>
      </c>
      <c r="L1838" s="3">
        <v>28.68</v>
      </c>
      <c r="M1838" s="3">
        <v>30.11</v>
      </c>
      <c r="N1838" s="3">
        <v>62.99</v>
      </c>
      <c r="O1838" s="2" t="s">
        <v>240</v>
      </c>
      <c r="P1838" s="2" t="s">
        <v>266</v>
      </c>
      <c r="Q1838" s="2" t="s">
        <v>234</v>
      </c>
      <c r="R1838" s="2" t="s">
        <v>228</v>
      </c>
      <c r="S1838" s="2" t="s">
        <v>8968</v>
      </c>
      <c r="T1838" s="2" t="s">
        <v>3810</v>
      </c>
      <c r="U1838" s="2" t="s">
        <v>308</v>
      </c>
      <c r="V1838" s="2" t="s">
        <v>387</v>
      </c>
      <c r="W1838" s="2" t="s">
        <v>269</v>
      </c>
      <c r="X1838" s="2" t="s">
        <v>417</v>
      </c>
      <c r="Y1838" s="2" t="s">
        <v>4133</v>
      </c>
      <c r="Z1838" s="4">
        <v>55</v>
      </c>
      <c r="AA1838" s="4">
        <f>=ROUNDDOWN(2.39130434782609,0)</f>
      </c>
      <c r="AB1838" s="5">
        <v>23</v>
      </c>
      <c r="AC1838" s="2" t="s">
        <v>1381</v>
      </c>
      <c r="AD1838" s="4">
        <v>20</v>
      </c>
      <c r="AE1838" s="4">
        <v>480</v>
      </c>
      <c r="AF1838" s="6">
        <v>74</v>
      </c>
      <c r="AG1838" s="6"/>
      <c r="AH1838" s="7">
        <v>1</v>
      </c>
      <c r="AI1838" s="4"/>
      <c r="AJ1838" s="4">
        <f>=ROUNDDOWN({0},0)</f>
      </c>
      <c r="AK1838" s="5"/>
      <c r="AL1838" s="2" t="s">
        <v>228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 t="s">
        <v>228</v>
      </c>
      <c r="AW1838" s="8" t="s">
        <v>228</v>
      </c>
      <c r="AX1838" s="4" t="s">
        <v>228</v>
      </c>
      <c r="AY1838" s="8" t="s">
        <v>228</v>
      </c>
      <c r="AZ1838" s="7" t="s">
        <v>228</v>
      </c>
      <c r="BA1838" s="7" t="s">
        <v>228</v>
      </c>
      <c r="BB1838" s="7"/>
      <c r="BC1838" s="4" t="s">
        <v>228</v>
      </c>
      <c r="BD1838" s="8" t="s">
        <v>228</v>
      </c>
      <c r="BE1838" s="4" t="s">
        <v>228</v>
      </c>
      <c r="BF1838" s="8" t="s">
        <v>228</v>
      </c>
      <c r="BG1838" s="7" t="s">
        <v>228</v>
      </c>
      <c r="BH1838" s="7" t="s">
        <v>228</v>
      </c>
      <c r="BI1838" s="7"/>
      <c r="BJ1838" s="4">
        <v>23</v>
      </c>
      <c r="BK1838" s="8">
        <v>740.08</v>
      </c>
      <c r="BL1838" s="2" t="s">
        <v>404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8973</v>
      </c>
      <c r="BV1838" s="2" t="s">
        <v>228</v>
      </c>
      <c r="BW1838" s="2" t="s">
        <v>228</v>
      </c>
      <c r="BX1838" s="2" t="s">
        <v>273</v>
      </c>
      <c r="BY1838" s="2" t="s">
        <v>274</v>
      </c>
      <c r="BZ1838" s="2" t="s">
        <v>240</v>
      </c>
      <c r="CA1838" s="2" t="s">
        <v>1749</v>
      </c>
      <c r="CB1838" s="2" t="s">
        <v>5745</v>
      </c>
      <c r="CC1838" s="2" t="s">
        <v>241</v>
      </c>
      <c r="CD1838" s="2" t="s">
        <v>228</v>
      </c>
      <c r="CE1838" s="4">
        <v>55</v>
      </c>
      <c r="CF1838" s="4"/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  <c r="DT1838" s="4"/>
      <c r="DU1838" s="4"/>
      <c r="DV1838" s="4"/>
      <c r="DW1838" s="4"/>
      <c r="DX1838" s="4">
        <v>20</v>
      </c>
      <c r="DY1838" s="4"/>
      <c r="DZ1838" s="4">
        <v>20</v>
      </c>
      <c r="EA1838" s="4"/>
      <c r="EB1838" s="4"/>
      <c r="EC1838" s="4"/>
      <c r="ED1838" s="4"/>
      <c r="EE1838" s="4"/>
      <c r="EF1838" s="4"/>
      <c r="EG1838" s="4"/>
      <c r="EH1838" s="4"/>
      <c r="EI1838" s="4"/>
      <c r="EJ1838" s="4"/>
      <c r="EK1838" s="4"/>
      <c r="EL1838" s="4"/>
      <c r="EM1838" s="4"/>
      <c r="EN1838" s="4"/>
      <c r="EO1838" s="4"/>
      <c r="EP1838" s="4"/>
      <c r="EQ1838" s="4"/>
      <c r="ER1838" s="4"/>
      <c r="ES1838" s="4"/>
      <c r="ET1838" s="4"/>
      <c r="EU1838" s="4"/>
      <c r="EV1838" s="4"/>
      <c r="EW1838" s="4"/>
      <c r="EX1838" s="4"/>
      <c r="EY1838" s="4"/>
      <c r="EZ1838" s="4"/>
      <c r="FA1838" s="4"/>
      <c r="FB1838" s="4"/>
      <c r="FC1838" s="4"/>
      <c r="FD1838" s="4"/>
      <c r="FE1838" s="4"/>
      <c r="FF1838" s="4"/>
      <c r="FG1838" s="4"/>
      <c r="FH1838" s="4"/>
      <c r="FI1838" s="4">
        <v>40</v>
      </c>
      <c r="FJ1838" s="4"/>
      <c r="FK1838" s="4"/>
      <c r="FL1838" s="4"/>
      <c r="FM1838" s="4"/>
      <c r="FN1838" s="4"/>
      <c r="FO1838" s="4"/>
      <c r="FP1838" s="4"/>
      <c r="FQ1838" s="4"/>
      <c r="FR1838" s="4"/>
      <c r="FS1838" s="4"/>
      <c r="FT1838" s="4"/>
      <c r="FU1838" s="4"/>
      <c r="FV1838" s="4"/>
      <c r="FW1838" s="4"/>
      <c r="FX1838" s="4"/>
      <c r="FY1838" s="4"/>
      <c r="FZ1838" s="4"/>
      <c r="GA1838" s="4"/>
      <c r="GB1838" s="4"/>
      <c r="GC1838" s="4"/>
      <c r="GD1838" s="4"/>
      <c r="GE1838" s="4"/>
      <c r="GF1838" s="4"/>
      <c r="GG1838" s="4"/>
      <c r="GH1838" s="4"/>
      <c r="GI1838" s="4"/>
      <c r="GJ1838" s="4"/>
      <c r="GK1838" s="4">
        <v>280</v>
      </c>
      <c r="GL1838" s="4"/>
      <c r="GM1838" s="4"/>
      <c r="GN1838" s="4"/>
      <c r="GO1838" s="4"/>
      <c r="GP1838" s="4"/>
      <c r="GQ1838" s="4"/>
      <c r="GR1838" s="4"/>
      <c r="GS1838" s="4"/>
      <c r="GT1838" s="4"/>
      <c r="GU1838" s="4"/>
      <c r="GV1838" s="4"/>
      <c r="GW1838" s="4"/>
      <c r="GX1838" s="4"/>
      <c r="GY1838" s="4"/>
      <c r="GZ1838" s="4">
        <v>120</v>
      </c>
      <c r="HA1838" s="4"/>
      <c r="HB1838" s="4"/>
      <c r="HC1838" s="4"/>
      <c r="HD1838" s="4"/>
      <c r="HE1838" s="4"/>
    </row>
    <row r="1839">
      <c r="A1839" s="2" t="s">
        <v>8974</v>
      </c>
      <c r="B1839" s="2" t="s">
        <v>299</v>
      </c>
      <c r="C1839" s="2" t="s">
        <v>731</v>
      </c>
      <c r="D1839" s="2" t="s">
        <v>301</v>
      </c>
      <c r="E1839" s="2" t="s">
        <v>302</v>
      </c>
      <c r="F1839" s="2" t="s">
        <v>8901</v>
      </c>
      <c r="G1839" s="2" t="s">
        <v>8901</v>
      </c>
      <c r="H1839" s="2" t="s">
        <v>8901</v>
      </c>
      <c r="I1839" s="2" t="s">
        <v>8902</v>
      </c>
      <c r="J1839" s="2" t="s">
        <v>312</v>
      </c>
      <c r="K1839" s="2" t="s">
        <v>8967</v>
      </c>
      <c r="L1839" s="3">
        <v>28.68</v>
      </c>
      <c r="M1839" s="3">
        <v>30.11</v>
      </c>
      <c r="N1839" s="3">
        <v>62.99</v>
      </c>
      <c r="O1839" s="2" t="s">
        <v>240</v>
      </c>
      <c r="P1839" s="2" t="s">
        <v>266</v>
      </c>
      <c r="Q1839" s="2" t="s">
        <v>234</v>
      </c>
      <c r="R1839" s="2" t="s">
        <v>228</v>
      </c>
      <c r="S1839" s="2" t="s">
        <v>8968</v>
      </c>
      <c r="T1839" s="2" t="s">
        <v>3810</v>
      </c>
      <c r="U1839" s="2" t="s">
        <v>308</v>
      </c>
      <c r="V1839" s="2" t="s">
        <v>387</v>
      </c>
      <c r="W1839" s="2" t="s">
        <v>269</v>
      </c>
      <c r="X1839" s="2" t="s">
        <v>417</v>
      </c>
      <c r="Y1839" s="2" t="s">
        <v>4133</v>
      </c>
      <c r="Z1839" s="4">
        <v>49</v>
      </c>
      <c r="AA1839" s="4">
        <f>=ROUNDDOWN(4.01639344262295,0)</f>
      </c>
      <c r="AB1839" s="5">
        <v>12.2</v>
      </c>
      <c r="AC1839" s="2" t="s">
        <v>1381</v>
      </c>
      <c r="AD1839" s="4">
        <v>20</v>
      </c>
      <c r="AE1839" s="4">
        <v>280</v>
      </c>
      <c r="AF1839" s="6">
        <v>74</v>
      </c>
      <c r="AG1839" s="6"/>
      <c r="AH1839" s="7">
        <v>1</v>
      </c>
      <c r="AI1839" s="4"/>
      <c r="AJ1839" s="4">
        <f>=ROUNDDOWN({0},0)</f>
      </c>
      <c r="AK1839" s="5"/>
      <c r="AL1839" s="2" t="s">
        <v>228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 t="s">
        <v>228</v>
      </c>
      <c r="AW1839" s="8" t="s">
        <v>228</v>
      </c>
      <c r="AX1839" s="4" t="s">
        <v>228</v>
      </c>
      <c r="AY1839" s="8" t="s">
        <v>228</v>
      </c>
      <c r="AZ1839" s="7" t="s">
        <v>228</v>
      </c>
      <c r="BA1839" s="7" t="s">
        <v>228</v>
      </c>
      <c r="BB1839" s="7"/>
      <c r="BC1839" s="4" t="s">
        <v>228</v>
      </c>
      <c r="BD1839" s="8" t="s">
        <v>228</v>
      </c>
      <c r="BE1839" s="4" t="s">
        <v>228</v>
      </c>
      <c r="BF1839" s="8" t="s">
        <v>228</v>
      </c>
      <c r="BG1839" s="7" t="s">
        <v>228</v>
      </c>
      <c r="BH1839" s="7" t="s">
        <v>228</v>
      </c>
      <c r="BI1839" s="7"/>
      <c r="BJ1839" s="4">
        <v>10</v>
      </c>
      <c r="BK1839" s="8">
        <v>344.65</v>
      </c>
      <c r="BL1839" s="2" t="s">
        <v>3157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8975</v>
      </c>
      <c r="BV1839" s="2" t="s">
        <v>228</v>
      </c>
      <c r="BW1839" s="2" t="s">
        <v>228</v>
      </c>
      <c r="BX1839" s="2" t="s">
        <v>273</v>
      </c>
      <c r="BY1839" s="2" t="s">
        <v>274</v>
      </c>
      <c r="BZ1839" s="2" t="s">
        <v>240</v>
      </c>
      <c r="CA1839" s="2" t="s">
        <v>1749</v>
      </c>
      <c r="CB1839" s="2" t="s">
        <v>8976</v>
      </c>
      <c r="CC1839" s="2" t="s">
        <v>241</v>
      </c>
      <c r="CD1839" s="2" t="s">
        <v>228</v>
      </c>
      <c r="CE1839" s="4">
        <v>49</v>
      </c>
      <c r="CF1839" s="4"/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/>
      <c r="DT1839" s="4"/>
      <c r="DU1839" s="4"/>
      <c r="DV1839" s="4"/>
      <c r="DW1839" s="4"/>
      <c r="DX1839" s="4">
        <v>20</v>
      </c>
      <c r="DY1839" s="4"/>
      <c r="DZ1839" s="4">
        <v>20</v>
      </c>
      <c r="EA1839" s="4"/>
      <c r="EB1839" s="4"/>
      <c r="EC1839" s="4"/>
      <c r="ED1839" s="4"/>
      <c r="EE1839" s="4"/>
      <c r="EF1839" s="4"/>
      <c r="EG1839" s="4"/>
      <c r="EH1839" s="4"/>
      <c r="EI1839" s="4"/>
      <c r="EJ1839" s="4"/>
      <c r="EK1839" s="4"/>
      <c r="EL1839" s="4"/>
      <c r="EM1839" s="4"/>
      <c r="EN1839" s="4"/>
      <c r="EO1839" s="4"/>
      <c r="EP1839" s="4"/>
      <c r="EQ1839" s="4"/>
      <c r="ER1839" s="4"/>
      <c r="ES1839" s="4"/>
      <c r="ET1839" s="4"/>
      <c r="EU1839" s="4"/>
      <c r="EV1839" s="4"/>
      <c r="EW1839" s="4"/>
      <c r="EX1839" s="4"/>
      <c r="EY1839" s="4"/>
      <c r="EZ1839" s="4"/>
      <c r="FA1839" s="4"/>
      <c r="FB1839" s="4"/>
      <c r="FC1839" s="4"/>
      <c r="FD1839" s="4"/>
      <c r="FE1839" s="4"/>
      <c r="FF1839" s="4"/>
      <c r="FG1839" s="4"/>
      <c r="FH1839" s="4"/>
      <c r="FI1839" s="4">
        <v>40</v>
      </c>
      <c r="FJ1839" s="4"/>
      <c r="FK1839" s="4"/>
      <c r="FL1839" s="4"/>
      <c r="FM1839" s="4"/>
      <c r="FN1839" s="4"/>
      <c r="FO1839" s="4"/>
      <c r="FP1839" s="4"/>
      <c r="FQ1839" s="4"/>
      <c r="FR1839" s="4"/>
      <c r="FS1839" s="4"/>
      <c r="FT1839" s="4"/>
      <c r="FU1839" s="4"/>
      <c r="FV1839" s="4"/>
      <c r="FW1839" s="4"/>
      <c r="FX1839" s="4"/>
      <c r="FY1839" s="4"/>
      <c r="FZ1839" s="4"/>
      <c r="GA1839" s="4"/>
      <c r="GB1839" s="4"/>
      <c r="GC1839" s="4"/>
      <c r="GD1839" s="4"/>
      <c r="GE1839" s="4"/>
      <c r="GF1839" s="4"/>
      <c r="GG1839" s="4"/>
      <c r="GH1839" s="4"/>
      <c r="GI1839" s="4"/>
      <c r="GJ1839" s="4"/>
      <c r="GK1839" s="4">
        <v>140</v>
      </c>
      <c r="GL1839" s="4"/>
      <c r="GM1839" s="4"/>
      <c r="GN1839" s="4"/>
      <c r="GO1839" s="4"/>
      <c r="GP1839" s="4"/>
      <c r="GQ1839" s="4"/>
      <c r="GR1839" s="4"/>
      <c r="GS1839" s="4"/>
      <c r="GT1839" s="4"/>
      <c r="GU1839" s="4"/>
      <c r="GV1839" s="4"/>
      <c r="GW1839" s="4"/>
      <c r="GX1839" s="4"/>
      <c r="GY1839" s="4"/>
      <c r="GZ1839" s="4">
        <v>60</v>
      </c>
      <c r="HA1839" s="4"/>
      <c r="HB1839" s="4"/>
      <c r="HC1839" s="4"/>
      <c r="HD1839" s="4"/>
      <c r="HE1839" s="4"/>
    </row>
    <row r="1840">
      <c r="A1840" s="2" t="s">
        <v>8977</v>
      </c>
      <c r="B1840" s="2" t="s">
        <v>223</v>
      </c>
      <c r="C1840" s="2" t="s">
        <v>731</v>
      </c>
      <c r="D1840" s="2" t="s">
        <v>1407</v>
      </c>
      <c r="E1840" s="2" t="s">
        <v>1408</v>
      </c>
      <c r="F1840" s="2" t="s">
        <v>8978</v>
      </c>
      <c r="G1840" s="2" t="s">
        <v>8978</v>
      </c>
      <c r="H1840" s="2" t="s">
        <v>8978</v>
      </c>
      <c r="I1840" s="2" t="s">
        <v>8979</v>
      </c>
      <c r="J1840" s="2" t="s">
        <v>4972</v>
      </c>
      <c r="K1840" s="2" t="s">
        <v>4300</v>
      </c>
      <c r="L1840" s="3">
        <v>40</v>
      </c>
      <c r="M1840" s="3">
        <v>42</v>
      </c>
      <c r="N1840" s="3">
        <v>79.99</v>
      </c>
      <c r="O1840" s="2" t="s">
        <v>461</v>
      </c>
      <c r="P1840" s="2" t="s">
        <v>922</v>
      </c>
      <c r="Q1840" s="2" t="s">
        <v>234</v>
      </c>
      <c r="R1840" s="2" t="s">
        <v>228</v>
      </c>
      <c r="S1840" s="2" t="s">
        <v>8980</v>
      </c>
      <c r="T1840" s="2" t="s">
        <v>3112</v>
      </c>
      <c r="U1840" s="2" t="s">
        <v>416</v>
      </c>
      <c r="V1840" s="2" t="s">
        <v>3717</v>
      </c>
      <c r="W1840" s="2" t="s">
        <v>269</v>
      </c>
      <c r="X1840" s="2" t="s">
        <v>228</v>
      </c>
      <c r="Y1840" s="2" t="s">
        <v>4031</v>
      </c>
      <c r="Z1840" s="4">
        <v>470</v>
      </c>
      <c r="AA1840" s="4">
        <f>=ROUNDDOWN(52.2222222222222,0)</f>
      </c>
      <c r="AB1840" s="5">
        <v>9</v>
      </c>
      <c r="AC1840" s="2" t="s">
        <v>228</v>
      </c>
      <c r="AD1840" s="4"/>
      <c r="AE1840" s="4"/>
      <c r="AF1840" s="6">
        <v>61</v>
      </c>
      <c r="AG1840" s="6"/>
      <c r="AH1840" s="7">
        <v>1</v>
      </c>
      <c r="AI1840" s="4"/>
      <c r="AJ1840" s="4">
        <f>=ROUNDDOWN({0},0)</f>
      </c>
      <c r="AK1840" s="5"/>
      <c r="AL1840" s="2" t="s">
        <v>228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/>
      <c r="AW1840" s="8"/>
      <c r="AX1840" s="4"/>
      <c r="AY1840" s="8"/>
      <c r="AZ1840" s="7"/>
      <c r="BA1840" s="7"/>
      <c r="BB1840" s="7"/>
      <c r="BC1840" s="4"/>
      <c r="BD1840" s="8"/>
      <c r="BE1840" s="4"/>
      <c r="BF1840" s="8"/>
      <c r="BG1840" s="7"/>
      <c r="BH1840" s="7"/>
      <c r="BI1840" s="7"/>
      <c r="BJ1840" s="4">
        <v>36</v>
      </c>
      <c r="BK1840" s="8">
        <v>881.97</v>
      </c>
      <c r="BL1840" s="2" t="s">
        <v>8981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8982</v>
      </c>
      <c r="BV1840" s="2" t="s">
        <v>228</v>
      </c>
      <c r="BW1840" s="2" t="s">
        <v>228</v>
      </c>
      <c r="BX1840" s="2" t="s">
        <v>337</v>
      </c>
      <c r="BY1840" s="2" t="s">
        <v>274</v>
      </c>
      <c r="BZ1840" s="2" t="s">
        <v>240</v>
      </c>
      <c r="CA1840" s="2" t="s">
        <v>4103</v>
      </c>
      <c r="CB1840" s="2" t="s">
        <v>5367</v>
      </c>
      <c r="CC1840" s="2" t="s">
        <v>241</v>
      </c>
      <c r="CD1840" s="2" t="s">
        <v>228</v>
      </c>
      <c r="CE1840" s="4">
        <v>470</v>
      </c>
      <c r="CF1840" s="4"/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  <c r="EE1840" s="4"/>
      <c r="EF1840" s="4"/>
      <c r="EG1840" s="4"/>
      <c r="EH1840" s="4"/>
      <c r="EI1840" s="4"/>
      <c r="EJ1840" s="4"/>
      <c r="EK1840" s="4"/>
      <c r="EL1840" s="4"/>
      <c r="EM1840" s="4"/>
      <c r="EN1840" s="4"/>
      <c r="EO1840" s="4"/>
      <c r="EP1840" s="4"/>
      <c r="EQ1840" s="4"/>
      <c r="ER1840" s="4"/>
      <c r="ES1840" s="4"/>
      <c r="ET1840" s="4"/>
      <c r="EU1840" s="4"/>
      <c r="EV1840" s="4"/>
      <c r="EW1840" s="4"/>
      <c r="EX1840" s="4"/>
      <c r="EY1840" s="4"/>
      <c r="EZ1840" s="4"/>
      <c r="FA1840" s="4"/>
      <c r="FB1840" s="4"/>
      <c r="FC1840" s="4"/>
      <c r="FD1840" s="4"/>
      <c r="FE1840" s="4"/>
      <c r="FF1840" s="4"/>
      <c r="FG1840" s="4"/>
      <c r="FH1840" s="4"/>
      <c r="FI1840" s="4"/>
      <c r="FJ1840" s="4"/>
      <c r="FK1840" s="4"/>
      <c r="FL1840" s="4"/>
      <c r="FM1840" s="4"/>
      <c r="FN1840" s="4"/>
      <c r="FO1840" s="4"/>
      <c r="FP1840" s="4"/>
      <c r="FQ1840" s="4"/>
      <c r="FR1840" s="4"/>
      <c r="FS1840" s="4"/>
      <c r="FT1840" s="4"/>
      <c r="FU1840" s="4"/>
      <c r="FV1840" s="4"/>
      <c r="FW1840" s="4"/>
      <c r="FX1840" s="4"/>
      <c r="FY1840" s="4"/>
      <c r="FZ1840" s="4"/>
      <c r="GA1840" s="4"/>
      <c r="GB1840" s="4"/>
      <c r="GC1840" s="4"/>
      <c r="GD1840" s="4"/>
      <c r="GE1840" s="4"/>
      <c r="GF1840" s="4"/>
      <c r="GG1840" s="4"/>
      <c r="GH1840" s="4"/>
      <c r="GI1840" s="4"/>
      <c r="GJ1840" s="4"/>
      <c r="GK1840" s="4"/>
      <c r="GL1840" s="4"/>
      <c r="GM1840" s="4"/>
      <c r="GN1840" s="4"/>
      <c r="GO1840" s="4"/>
      <c r="GP1840" s="4"/>
      <c r="GQ1840" s="4"/>
      <c r="GR1840" s="4"/>
      <c r="GS1840" s="4"/>
      <c r="GT1840" s="4"/>
      <c r="GU1840" s="4"/>
      <c r="GV1840" s="4"/>
      <c r="GW1840" s="4"/>
      <c r="GX1840" s="4"/>
      <c r="GY1840" s="4"/>
      <c r="GZ1840" s="4"/>
      <c r="HA1840" s="4"/>
      <c r="HB1840" s="4"/>
      <c r="HC1840" s="4"/>
      <c r="HD1840" s="4"/>
      <c r="HE1840" s="4"/>
    </row>
    <row r="1841">
      <c r="A1841" s="2" t="s">
        <v>8983</v>
      </c>
      <c r="B1841" s="2" t="s">
        <v>958</v>
      </c>
      <c r="C1841" s="2" t="s">
        <v>300</v>
      </c>
      <c r="D1841" s="2" t="s">
        <v>1006</v>
      </c>
      <c r="E1841" s="2" t="s">
        <v>1007</v>
      </c>
      <c r="F1841" s="2" t="s">
        <v>8984</v>
      </c>
      <c r="G1841" s="2" t="s">
        <v>8985</v>
      </c>
      <c r="H1841" s="2" t="s">
        <v>8986</v>
      </c>
      <c r="I1841" s="2" t="s">
        <v>1011</v>
      </c>
      <c r="J1841" s="2" t="s">
        <v>840</v>
      </c>
      <c r="K1841" s="2" t="s">
        <v>2480</v>
      </c>
      <c r="L1841" s="3">
        <v>265</v>
      </c>
      <c r="M1841" s="3">
        <v>278.25</v>
      </c>
      <c r="N1841" s="3">
        <v>559</v>
      </c>
      <c r="O1841" s="2" t="s">
        <v>491</v>
      </c>
      <c r="P1841" s="2" t="s">
        <v>333</v>
      </c>
      <c r="Q1841" s="2" t="s">
        <v>234</v>
      </c>
      <c r="R1841" s="2" t="s">
        <v>228</v>
      </c>
      <c r="S1841" s="2" t="s">
        <v>228</v>
      </c>
      <c r="T1841" s="2" t="s">
        <v>228</v>
      </c>
      <c r="U1841" s="2" t="s">
        <v>416</v>
      </c>
      <c r="V1841" s="2" t="s">
        <v>236</v>
      </c>
      <c r="W1841" s="2" t="s">
        <v>463</v>
      </c>
      <c r="X1841" s="2" t="s">
        <v>228</v>
      </c>
      <c r="Y1841" s="2" t="s">
        <v>2029</v>
      </c>
      <c r="Z1841" s="4">
        <v>109</v>
      </c>
      <c r="AA1841" s="4">
        <f>=ROUNDDOWN(60.5555555555556,0)</f>
      </c>
      <c r="AB1841" s="5">
        <v>1.8</v>
      </c>
      <c r="AC1841" s="2" t="s">
        <v>228</v>
      </c>
      <c r="AD1841" s="4"/>
      <c r="AE1841" s="4"/>
      <c r="AF1841" s="6">
        <v>66</v>
      </c>
      <c r="AG1841" s="6">
        <v>49</v>
      </c>
      <c r="AH1841" s="7">
        <v>1</v>
      </c>
      <c r="AI1841" s="4"/>
      <c r="AJ1841" s="4">
        <f>=ROUNDDOWN({0},0)</f>
      </c>
      <c r="AK1841" s="5"/>
      <c r="AL1841" s="2" t="s">
        <v>228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/>
      <c r="AW1841" s="8"/>
      <c r="AX1841" s="4"/>
      <c r="AY1841" s="8"/>
      <c r="AZ1841" s="7"/>
      <c r="BA1841" s="7"/>
      <c r="BB1841" s="7"/>
      <c r="BC1841" s="4"/>
      <c r="BD1841" s="8"/>
      <c r="BE1841" s="4"/>
      <c r="BF1841" s="8"/>
      <c r="BG1841" s="7"/>
      <c r="BH1841" s="7"/>
      <c r="BI1841" s="7"/>
      <c r="BJ1841" s="4">
        <v>8</v>
      </c>
      <c r="BK1841" s="8">
        <v>1177.18</v>
      </c>
      <c r="BL1841" s="2" t="s">
        <v>1933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8987</v>
      </c>
      <c r="BV1841" s="2" t="s">
        <v>228</v>
      </c>
      <c r="BW1841" s="2" t="s">
        <v>228</v>
      </c>
      <c r="BX1841" s="2" t="s">
        <v>337</v>
      </c>
      <c r="BY1841" s="2" t="s">
        <v>274</v>
      </c>
      <c r="BZ1841" s="2" t="s">
        <v>240</v>
      </c>
      <c r="CA1841" s="2" t="s">
        <v>7149</v>
      </c>
      <c r="CB1841" s="2" t="s">
        <v>8988</v>
      </c>
      <c r="CC1841" s="2" t="s">
        <v>241</v>
      </c>
      <c r="CD1841" s="2" t="s">
        <v>228</v>
      </c>
      <c r="CE1841" s="4"/>
      <c r="CF1841" s="4">
        <v>103</v>
      </c>
      <c r="CG1841" s="4"/>
      <c r="CH1841" s="4">
        <v>6</v>
      </c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/>
      <c r="EG1841" s="4"/>
      <c r="EH1841" s="4"/>
      <c r="EI1841" s="4"/>
      <c r="EJ1841" s="4"/>
      <c r="EK1841" s="4"/>
      <c r="EL1841" s="4"/>
      <c r="EM1841" s="4"/>
      <c r="EN1841" s="4"/>
      <c r="EO1841" s="4"/>
      <c r="EP1841" s="4"/>
      <c r="EQ1841" s="4"/>
      <c r="ER1841" s="4"/>
      <c r="ES1841" s="4"/>
      <c r="ET1841" s="4"/>
      <c r="EU1841" s="4"/>
      <c r="EV1841" s="4"/>
      <c r="EW1841" s="4"/>
      <c r="EX1841" s="4"/>
      <c r="EY1841" s="4"/>
      <c r="EZ1841" s="4"/>
      <c r="FA1841" s="4"/>
      <c r="FB1841" s="4"/>
      <c r="FC1841" s="4"/>
      <c r="FD1841" s="4"/>
      <c r="FE1841" s="4"/>
      <c r="FF1841" s="4"/>
      <c r="FG1841" s="4"/>
      <c r="FH1841" s="4"/>
      <c r="FI1841" s="4"/>
      <c r="FJ1841" s="4"/>
      <c r="FK1841" s="4"/>
      <c r="FL1841" s="4"/>
      <c r="FM1841" s="4"/>
      <c r="FN1841" s="4"/>
      <c r="FO1841" s="4"/>
      <c r="FP1841" s="4"/>
      <c r="FQ1841" s="4"/>
      <c r="FR1841" s="4"/>
      <c r="FS1841" s="4"/>
      <c r="FT1841" s="4"/>
      <c r="FU1841" s="4"/>
      <c r="FV1841" s="4"/>
      <c r="FW1841" s="4"/>
      <c r="FX1841" s="4"/>
      <c r="FY1841" s="4"/>
      <c r="FZ1841" s="4"/>
      <c r="GA1841" s="4"/>
      <c r="GB1841" s="4"/>
      <c r="GC1841" s="4"/>
      <c r="GD1841" s="4"/>
      <c r="GE1841" s="4"/>
      <c r="GF1841" s="4"/>
      <c r="GG1841" s="4"/>
      <c r="GH1841" s="4"/>
      <c r="GI1841" s="4"/>
      <c r="GJ1841" s="4"/>
      <c r="GK1841" s="4"/>
      <c r="GL1841" s="4"/>
      <c r="GM1841" s="4"/>
      <c r="GN1841" s="4"/>
      <c r="GO1841" s="4"/>
      <c r="GP1841" s="4"/>
      <c r="GQ1841" s="4"/>
      <c r="GR1841" s="4"/>
      <c r="GS1841" s="4"/>
      <c r="GT1841" s="4"/>
      <c r="GU1841" s="4"/>
      <c r="GV1841" s="4"/>
      <c r="GW1841" s="4"/>
      <c r="GX1841" s="4"/>
      <c r="GY1841" s="4"/>
      <c r="GZ1841" s="4"/>
      <c r="HA1841" s="4"/>
      <c r="HB1841" s="4"/>
      <c r="HC1841" s="4"/>
      <c r="HD1841" s="4"/>
      <c r="HE1841" s="4"/>
    </row>
    <row r="1842">
      <c r="A1842" s="2" t="s">
        <v>8989</v>
      </c>
      <c r="B1842" s="2" t="s">
        <v>958</v>
      </c>
      <c r="C1842" s="2" t="s">
        <v>300</v>
      </c>
      <c r="D1842" s="2" t="s">
        <v>959</v>
      </c>
      <c r="E1842" s="2" t="s">
        <v>960</v>
      </c>
      <c r="F1842" s="2" t="s">
        <v>8990</v>
      </c>
      <c r="G1842" s="2" t="s">
        <v>2362</v>
      </c>
      <c r="H1842" s="2" t="s">
        <v>8544</v>
      </c>
      <c r="I1842" s="2" t="s">
        <v>8991</v>
      </c>
      <c r="J1842" s="2" t="s">
        <v>840</v>
      </c>
      <c r="K1842" s="2" t="s">
        <v>8992</v>
      </c>
      <c r="L1842" s="3">
        <v>199.5</v>
      </c>
      <c r="M1842" s="3">
        <v>209.48</v>
      </c>
      <c r="N1842" s="3">
        <v>419</v>
      </c>
      <c r="O1842" s="2" t="s">
        <v>240</v>
      </c>
      <c r="P1842" s="2" t="s">
        <v>266</v>
      </c>
      <c r="Q1842" s="2" t="s">
        <v>234</v>
      </c>
      <c r="R1842" s="2" t="s">
        <v>228</v>
      </c>
      <c r="S1842" s="2" t="s">
        <v>8993</v>
      </c>
      <c r="T1842" s="2" t="s">
        <v>228</v>
      </c>
      <c r="U1842" s="2" t="s">
        <v>228</v>
      </c>
      <c r="V1842" s="2" t="s">
        <v>236</v>
      </c>
      <c r="W1842" s="2" t="s">
        <v>843</v>
      </c>
      <c r="X1842" s="2" t="s">
        <v>228</v>
      </c>
      <c r="Y1842" s="2" t="s">
        <v>270</v>
      </c>
      <c r="Z1842" s="4">
        <v>207</v>
      </c>
      <c r="AA1842" s="4">
        <f>=ROUNDDOWN(34.5,0)</f>
      </c>
      <c r="AB1842" s="5">
        <v>6</v>
      </c>
      <c r="AC1842" s="2" t="s">
        <v>228</v>
      </c>
      <c r="AD1842" s="4"/>
      <c r="AE1842" s="4"/>
      <c r="AF1842" s="6">
        <v>66</v>
      </c>
      <c r="AG1842" s="6"/>
      <c r="AH1842" s="7">
        <v>1</v>
      </c>
      <c r="AI1842" s="4"/>
      <c r="AJ1842" s="4">
        <f>=ROUNDDOWN({0},0)</f>
      </c>
      <c r="AK1842" s="5"/>
      <c r="AL1842" s="2" t="s">
        <v>228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/>
      <c r="AW1842" s="8"/>
      <c r="AX1842" s="4"/>
      <c r="AY1842" s="8"/>
      <c r="AZ1842" s="7"/>
      <c r="BA1842" s="7"/>
      <c r="BB1842" s="7"/>
      <c r="BC1842" s="4" t="s">
        <v>228</v>
      </c>
      <c r="BD1842" s="8" t="s">
        <v>228</v>
      </c>
      <c r="BE1842" s="4" t="s">
        <v>228</v>
      </c>
      <c r="BF1842" s="8" t="s">
        <v>228</v>
      </c>
      <c r="BG1842" s="7" t="s">
        <v>228</v>
      </c>
      <c r="BH1842" s="7" t="s">
        <v>228</v>
      </c>
      <c r="BI1842" s="7"/>
      <c r="BJ1842" s="4">
        <v>39</v>
      </c>
      <c r="BK1842" s="8">
        <v>6770.41</v>
      </c>
      <c r="BL1842" s="2" t="s">
        <v>8994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8995</v>
      </c>
      <c r="BV1842" s="2" t="s">
        <v>228</v>
      </c>
      <c r="BW1842" s="2" t="s">
        <v>228</v>
      </c>
      <c r="BX1842" s="2" t="s">
        <v>273</v>
      </c>
      <c r="BY1842" s="2" t="s">
        <v>274</v>
      </c>
      <c r="BZ1842" s="2" t="s">
        <v>240</v>
      </c>
      <c r="CA1842" s="2" t="s">
        <v>275</v>
      </c>
      <c r="CB1842" s="2" t="s">
        <v>8996</v>
      </c>
      <c r="CC1842" s="2" t="s">
        <v>241</v>
      </c>
      <c r="CD1842" s="2" t="s">
        <v>228</v>
      </c>
      <c r="CE1842" s="4"/>
      <c r="CF1842" s="4">
        <v>207</v>
      </c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  <c r="EE1842" s="4"/>
      <c r="EF1842" s="4"/>
      <c r="EG1842" s="4"/>
      <c r="EH1842" s="4"/>
      <c r="EI1842" s="4"/>
      <c r="EJ1842" s="4"/>
      <c r="EK1842" s="4"/>
      <c r="EL1842" s="4"/>
      <c r="EM1842" s="4"/>
      <c r="EN1842" s="4"/>
      <c r="EO1842" s="4"/>
      <c r="EP1842" s="4"/>
      <c r="EQ1842" s="4"/>
      <c r="ER1842" s="4"/>
      <c r="ES1842" s="4"/>
      <c r="ET1842" s="4"/>
      <c r="EU1842" s="4"/>
      <c r="EV1842" s="4"/>
      <c r="EW1842" s="4"/>
      <c r="EX1842" s="4"/>
      <c r="EY1842" s="4"/>
      <c r="EZ1842" s="4"/>
      <c r="FA1842" s="4"/>
      <c r="FB1842" s="4"/>
      <c r="FC1842" s="4"/>
      <c r="FD1842" s="4"/>
      <c r="FE1842" s="4"/>
      <c r="FF1842" s="4"/>
      <c r="FG1842" s="4"/>
      <c r="FH1842" s="4"/>
      <c r="FI1842" s="4"/>
      <c r="FJ1842" s="4"/>
      <c r="FK1842" s="4"/>
      <c r="FL1842" s="4"/>
      <c r="FM1842" s="4"/>
      <c r="FN1842" s="4"/>
      <c r="FO1842" s="4"/>
      <c r="FP1842" s="4"/>
      <c r="FQ1842" s="4"/>
      <c r="FR1842" s="4"/>
      <c r="FS1842" s="4"/>
      <c r="FT1842" s="4"/>
      <c r="FU1842" s="4"/>
      <c r="FV1842" s="4"/>
      <c r="FW1842" s="4"/>
      <c r="FX1842" s="4"/>
      <c r="FY1842" s="4"/>
      <c r="FZ1842" s="4"/>
      <c r="GA1842" s="4"/>
      <c r="GB1842" s="4"/>
      <c r="GC1842" s="4"/>
      <c r="GD1842" s="4"/>
      <c r="GE1842" s="4"/>
      <c r="GF1842" s="4"/>
      <c r="GG1842" s="4"/>
      <c r="GH1842" s="4"/>
      <c r="GI1842" s="4"/>
      <c r="GJ1842" s="4"/>
      <c r="GK1842" s="4"/>
      <c r="GL1842" s="4"/>
      <c r="GM1842" s="4"/>
      <c r="GN1842" s="4"/>
      <c r="GO1842" s="4"/>
      <c r="GP1842" s="4"/>
      <c r="GQ1842" s="4"/>
      <c r="GR1842" s="4"/>
      <c r="GS1842" s="4"/>
      <c r="GT1842" s="4"/>
      <c r="GU1842" s="4"/>
      <c r="GV1842" s="4"/>
      <c r="GW1842" s="4"/>
      <c r="GX1842" s="4"/>
      <c r="GY1842" s="4"/>
      <c r="GZ1842" s="4"/>
      <c r="HA1842" s="4"/>
      <c r="HB1842" s="4"/>
      <c r="HC1842" s="4"/>
      <c r="HD1842" s="4"/>
      <c r="HE1842" s="4"/>
    </row>
    <row r="1843">
      <c r="A1843" s="2" t="s">
        <v>8997</v>
      </c>
      <c r="B1843" s="2" t="s">
        <v>958</v>
      </c>
      <c r="C1843" s="2" t="s">
        <v>300</v>
      </c>
      <c r="D1843" s="2" t="s">
        <v>959</v>
      </c>
      <c r="E1843" s="2" t="s">
        <v>960</v>
      </c>
      <c r="F1843" s="2" t="s">
        <v>8990</v>
      </c>
      <c r="G1843" s="2" t="s">
        <v>2362</v>
      </c>
      <c r="H1843" s="2" t="s">
        <v>8544</v>
      </c>
      <c r="I1843" s="2" t="s">
        <v>8991</v>
      </c>
      <c r="J1843" s="2" t="s">
        <v>840</v>
      </c>
      <c r="K1843" s="2" t="s">
        <v>460</v>
      </c>
      <c r="L1843" s="3">
        <v>199.5</v>
      </c>
      <c r="M1843" s="3">
        <v>209.48</v>
      </c>
      <c r="N1843" s="3">
        <v>419</v>
      </c>
      <c r="O1843" s="2" t="s">
        <v>240</v>
      </c>
      <c r="P1843" s="2" t="s">
        <v>1012</v>
      </c>
      <c r="Q1843" s="2" t="s">
        <v>234</v>
      </c>
      <c r="R1843" s="2" t="s">
        <v>228</v>
      </c>
      <c r="S1843" s="2" t="s">
        <v>8998</v>
      </c>
      <c r="T1843" s="2" t="s">
        <v>228</v>
      </c>
      <c r="U1843" s="2" t="s">
        <v>228</v>
      </c>
      <c r="V1843" s="2" t="s">
        <v>236</v>
      </c>
      <c r="W1843" s="2" t="s">
        <v>843</v>
      </c>
      <c r="X1843" s="2" t="s">
        <v>228</v>
      </c>
      <c r="Y1843" s="2" t="s">
        <v>270</v>
      </c>
      <c r="Z1843" s="4">
        <v>110</v>
      </c>
      <c r="AA1843" s="4">
        <f>=ROUNDDOWN(110,0)</f>
      </c>
      <c r="AB1843" s="5">
        <v>1</v>
      </c>
      <c r="AC1843" s="2" t="s">
        <v>228</v>
      </c>
      <c r="AD1843" s="4"/>
      <c r="AE1843" s="4"/>
      <c r="AF1843" s="6">
        <v>66</v>
      </c>
      <c r="AG1843" s="6">
        <v>49</v>
      </c>
      <c r="AH1843" s="7">
        <v>1</v>
      </c>
      <c r="AI1843" s="4"/>
      <c r="AJ1843" s="4">
        <f>=ROUNDDOWN({0},0)</f>
      </c>
      <c r="AK1843" s="5"/>
      <c r="AL1843" s="2" t="s">
        <v>228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/>
      <c r="AW1843" s="8"/>
      <c r="AX1843" s="4"/>
      <c r="AY1843" s="8"/>
      <c r="AZ1843" s="7"/>
      <c r="BA1843" s="7"/>
      <c r="BB1843" s="7"/>
      <c r="BC1843" s="4" t="s">
        <v>228</v>
      </c>
      <c r="BD1843" s="8" t="s">
        <v>228</v>
      </c>
      <c r="BE1843" s="4" t="s">
        <v>228</v>
      </c>
      <c r="BF1843" s="8" t="s">
        <v>228</v>
      </c>
      <c r="BG1843" s="7" t="s">
        <v>228</v>
      </c>
      <c r="BH1843" s="7" t="s">
        <v>228</v>
      </c>
      <c r="BI1843" s="7"/>
      <c r="BJ1843" s="4">
        <v>2</v>
      </c>
      <c r="BK1843" s="8">
        <v>355.66</v>
      </c>
      <c r="BL1843" s="2" t="s">
        <v>5716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8999</v>
      </c>
      <c r="BV1843" s="2" t="s">
        <v>228</v>
      </c>
      <c r="BW1843" s="2" t="s">
        <v>228</v>
      </c>
      <c r="BX1843" s="2" t="s">
        <v>273</v>
      </c>
      <c r="BY1843" s="2" t="s">
        <v>274</v>
      </c>
      <c r="BZ1843" s="2" t="s">
        <v>240</v>
      </c>
      <c r="CA1843" s="2" t="s">
        <v>275</v>
      </c>
      <c r="CB1843" s="2" t="s">
        <v>9000</v>
      </c>
      <c r="CC1843" s="2" t="s">
        <v>241</v>
      </c>
      <c r="CD1843" s="2" t="s">
        <v>228</v>
      </c>
      <c r="CE1843" s="4"/>
      <c r="CF1843" s="4">
        <v>110</v>
      </c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  <c r="EM1843" s="4"/>
      <c r="EN1843" s="4"/>
      <c r="EO1843" s="4"/>
      <c r="EP1843" s="4"/>
      <c r="EQ1843" s="4"/>
      <c r="ER1843" s="4"/>
      <c r="ES1843" s="4"/>
      <c r="ET1843" s="4"/>
      <c r="EU1843" s="4"/>
      <c r="EV1843" s="4"/>
      <c r="EW1843" s="4"/>
      <c r="EX1843" s="4"/>
      <c r="EY1843" s="4"/>
      <c r="EZ1843" s="4"/>
      <c r="FA1843" s="4"/>
      <c r="FB1843" s="4"/>
      <c r="FC1843" s="4"/>
      <c r="FD1843" s="4"/>
      <c r="FE1843" s="4"/>
      <c r="FF1843" s="4"/>
      <c r="FG1843" s="4"/>
      <c r="FH1843" s="4"/>
      <c r="FI1843" s="4"/>
      <c r="FJ1843" s="4"/>
      <c r="FK1843" s="4"/>
      <c r="FL1843" s="4"/>
      <c r="FM1843" s="4"/>
      <c r="FN1843" s="4"/>
      <c r="FO1843" s="4"/>
      <c r="FP1843" s="4"/>
      <c r="FQ1843" s="4"/>
      <c r="FR1843" s="4"/>
      <c r="FS1843" s="4"/>
      <c r="FT1843" s="4"/>
      <c r="FU1843" s="4"/>
      <c r="FV1843" s="4"/>
      <c r="FW1843" s="4"/>
      <c r="FX1843" s="4"/>
      <c r="FY1843" s="4"/>
      <c r="FZ1843" s="4"/>
      <c r="GA1843" s="4"/>
      <c r="GB1843" s="4"/>
      <c r="GC1843" s="4"/>
      <c r="GD1843" s="4"/>
      <c r="GE1843" s="4"/>
      <c r="GF1843" s="4"/>
      <c r="GG1843" s="4"/>
      <c r="GH1843" s="4"/>
      <c r="GI1843" s="4"/>
      <c r="GJ1843" s="4"/>
      <c r="GK1843" s="4"/>
      <c r="GL1843" s="4"/>
      <c r="GM1843" s="4"/>
      <c r="GN1843" s="4"/>
      <c r="GO1843" s="4"/>
      <c r="GP1843" s="4"/>
      <c r="GQ1843" s="4"/>
      <c r="GR1843" s="4"/>
      <c r="GS1843" s="4"/>
      <c r="GT1843" s="4"/>
      <c r="GU1843" s="4"/>
      <c r="GV1843" s="4"/>
      <c r="GW1843" s="4"/>
      <c r="GX1843" s="4"/>
      <c r="GY1843" s="4"/>
      <c r="GZ1843" s="4"/>
      <c r="HA1843" s="4"/>
      <c r="HB1843" s="4"/>
      <c r="HC1843" s="4"/>
      <c r="HD1843" s="4"/>
      <c r="HE1843" s="4"/>
    </row>
    <row r="1844">
      <c r="A1844" s="2" t="s">
        <v>9001</v>
      </c>
      <c r="B1844" s="2" t="s">
        <v>848</v>
      </c>
      <c r="C1844" s="2" t="s">
        <v>849</v>
      </c>
      <c r="D1844" s="2" t="s">
        <v>1112</v>
      </c>
      <c r="E1844" s="2" t="s">
        <v>1113</v>
      </c>
      <c r="F1844" s="2" t="s">
        <v>8990</v>
      </c>
      <c r="G1844" s="2" t="s">
        <v>8984</v>
      </c>
      <c r="H1844" s="2" t="s">
        <v>9002</v>
      </c>
      <c r="I1844" s="2" t="s">
        <v>9003</v>
      </c>
      <c r="J1844" s="2" t="s">
        <v>856</v>
      </c>
      <c r="K1844" s="2" t="s">
        <v>251</v>
      </c>
      <c r="L1844" s="3">
        <v>25.3</v>
      </c>
      <c r="M1844" s="3">
        <v>26.56</v>
      </c>
      <c r="N1844" s="3">
        <v>54.99</v>
      </c>
      <c r="O1844" s="2" t="s">
        <v>240</v>
      </c>
      <c r="P1844" s="2" t="s">
        <v>333</v>
      </c>
      <c r="Q1844" s="2" t="s">
        <v>234</v>
      </c>
      <c r="R1844" s="2" t="s">
        <v>228</v>
      </c>
      <c r="S1844" s="2" t="s">
        <v>9004</v>
      </c>
      <c r="T1844" s="2" t="s">
        <v>415</v>
      </c>
      <c r="U1844" s="2" t="s">
        <v>520</v>
      </c>
      <c r="V1844" s="2" t="s">
        <v>374</v>
      </c>
      <c r="W1844" s="2" t="s">
        <v>269</v>
      </c>
      <c r="X1844" s="2" t="s">
        <v>228</v>
      </c>
      <c r="Y1844" s="2" t="s">
        <v>9005</v>
      </c>
      <c r="Z1844" s="4">
        <v>10</v>
      </c>
      <c r="AA1844" s="4">
        <f>=ROUNDDOWN(0.806451612903226,0)</f>
      </c>
      <c r="AB1844" s="5">
        <v>12.4</v>
      </c>
      <c r="AC1844" s="2" t="s">
        <v>228</v>
      </c>
      <c r="AD1844" s="4"/>
      <c r="AE1844" s="4"/>
      <c r="AF1844" s="6">
        <v>64</v>
      </c>
      <c r="AG1844" s="6"/>
      <c r="AH1844" s="7">
        <v>1</v>
      </c>
      <c r="AI1844" s="4"/>
      <c r="AJ1844" s="4">
        <f>=ROUNDDOWN({0},0)</f>
      </c>
      <c r="AK1844" s="5"/>
      <c r="AL1844" s="2" t="s">
        <v>228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/>
      <c r="AW1844" s="8"/>
      <c r="AX1844" s="4"/>
      <c r="AY1844" s="8"/>
      <c r="AZ1844" s="7"/>
      <c r="BA1844" s="7"/>
      <c r="BB1844" s="7"/>
      <c r="BC1844" s="4" t="s">
        <v>228</v>
      </c>
      <c r="BD1844" s="8" t="s">
        <v>228</v>
      </c>
      <c r="BE1844" s="4" t="s">
        <v>228</v>
      </c>
      <c r="BF1844" s="8" t="s">
        <v>228</v>
      </c>
      <c r="BG1844" s="7" t="s">
        <v>228</v>
      </c>
      <c r="BH1844" s="7" t="s">
        <v>228</v>
      </c>
      <c r="BI1844" s="7"/>
      <c r="BJ1844" s="4">
        <v>86</v>
      </c>
      <c r="BK1844" s="8">
        <v>2139.02</v>
      </c>
      <c r="BL1844" s="2" t="s">
        <v>9006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9007</v>
      </c>
      <c r="BV1844" s="2" t="s">
        <v>228</v>
      </c>
      <c r="BW1844" s="2" t="s">
        <v>228</v>
      </c>
      <c r="BX1844" s="2" t="s">
        <v>337</v>
      </c>
      <c r="BY1844" s="2" t="s">
        <v>274</v>
      </c>
      <c r="BZ1844" s="2" t="s">
        <v>240</v>
      </c>
      <c r="CA1844" s="2" t="s">
        <v>9008</v>
      </c>
      <c r="CB1844" s="2" t="s">
        <v>7860</v>
      </c>
      <c r="CC1844" s="2" t="s">
        <v>241</v>
      </c>
      <c r="CD1844" s="2" t="s">
        <v>228</v>
      </c>
      <c r="CE1844" s="4">
        <v>10</v>
      </c>
      <c r="CF1844" s="4"/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/>
      <c r="ED1844" s="4"/>
      <c r="EE1844" s="4"/>
      <c r="EF1844" s="4"/>
      <c r="EG1844" s="4"/>
      <c r="EH1844" s="4"/>
      <c r="EI1844" s="4"/>
      <c r="EJ1844" s="4"/>
      <c r="EK1844" s="4"/>
      <c r="EL1844" s="4"/>
      <c r="EM1844" s="4"/>
      <c r="EN1844" s="4"/>
      <c r="EO1844" s="4"/>
      <c r="EP1844" s="4"/>
      <c r="EQ1844" s="4"/>
      <c r="ER1844" s="4"/>
      <c r="ES1844" s="4"/>
      <c r="ET1844" s="4"/>
      <c r="EU1844" s="4"/>
      <c r="EV1844" s="4"/>
      <c r="EW1844" s="4"/>
      <c r="EX1844" s="4"/>
      <c r="EY1844" s="4"/>
      <c r="EZ1844" s="4"/>
      <c r="FA1844" s="4"/>
      <c r="FB1844" s="4"/>
      <c r="FC1844" s="4"/>
      <c r="FD1844" s="4"/>
      <c r="FE1844" s="4"/>
      <c r="FF1844" s="4"/>
      <c r="FG1844" s="4"/>
      <c r="FH1844" s="4"/>
      <c r="FI1844" s="4"/>
      <c r="FJ1844" s="4"/>
      <c r="FK1844" s="4"/>
      <c r="FL1844" s="4"/>
      <c r="FM1844" s="4"/>
      <c r="FN1844" s="4"/>
      <c r="FO1844" s="4"/>
      <c r="FP1844" s="4"/>
      <c r="FQ1844" s="4"/>
      <c r="FR1844" s="4"/>
      <c r="FS1844" s="4"/>
      <c r="FT1844" s="4"/>
      <c r="FU1844" s="4"/>
      <c r="FV1844" s="4"/>
      <c r="FW1844" s="4"/>
      <c r="FX1844" s="4"/>
      <c r="FY1844" s="4"/>
      <c r="FZ1844" s="4"/>
      <c r="GA1844" s="4"/>
      <c r="GB1844" s="4"/>
      <c r="GC1844" s="4"/>
      <c r="GD1844" s="4"/>
      <c r="GE1844" s="4"/>
      <c r="GF1844" s="4"/>
      <c r="GG1844" s="4"/>
      <c r="GH1844" s="4"/>
      <c r="GI1844" s="4"/>
      <c r="GJ1844" s="4"/>
      <c r="GK1844" s="4"/>
      <c r="GL1844" s="4"/>
      <c r="GM1844" s="4"/>
      <c r="GN1844" s="4"/>
      <c r="GO1844" s="4"/>
      <c r="GP1844" s="4"/>
      <c r="GQ1844" s="4"/>
      <c r="GR1844" s="4"/>
      <c r="GS1844" s="4"/>
      <c r="GT1844" s="4"/>
      <c r="GU1844" s="4"/>
      <c r="GV1844" s="4"/>
      <c r="GW1844" s="4"/>
      <c r="GX1844" s="4"/>
      <c r="GY1844" s="4"/>
      <c r="GZ1844" s="4"/>
      <c r="HA1844" s="4"/>
      <c r="HB1844" s="4"/>
      <c r="HC1844" s="4"/>
      <c r="HD1844" s="4"/>
      <c r="HE1844" s="4"/>
    </row>
    <row r="1845">
      <c r="A1845" s="2" t="s">
        <v>9009</v>
      </c>
      <c r="B1845" s="2" t="s">
        <v>958</v>
      </c>
      <c r="C1845" s="2" t="s">
        <v>300</v>
      </c>
      <c r="D1845" s="2" t="s">
        <v>959</v>
      </c>
      <c r="E1845" s="2" t="s">
        <v>960</v>
      </c>
      <c r="F1845" s="2" t="s">
        <v>8990</v>
      </c>
      <c r="G1845" s="2" t="s">
        <v>2362</v>
      </c>
      <c r="H1845" s="2" t="s">
        <v>8544</v>
      </c>
      <c r="I1845" s="2" t="s">
        <v>8991</v>
      </c>
      <c r="J1845" s="2" t="s">
        <v>840</v>
      </c>
      <c r="K1845" s="2" t="s">
        <v>9010</v>
      </c>
      <c r="L1845" s="3">
        <v>199.5</v>
      </c>
      <c r="M1845" s="3">
        <v>209.48</v>
      </c>
      <c r="N1845" s="3">
        <v>419</v>
      </c>
      <c r="O1845" s="2" t="s">
        <v>240</v>
      </c>
      <c r="P1845" s="2" t="s">
        <v>1012</v>
      </c>
      <c r="Q1845" s="2" t="s">
        <v>234</v>
      </c>
      <c r="R1845" s="2" t="s">
        <v>228</v>
      </c>
      <c r="S1845" s="2" t="s">
        <v>228</v>
      </c>
      <c r="T1845" s="2" t="s">
        <v>228</v>
      </c>
      <c r="U1845" s="2" t="s">
        <v>416</v>
      </c>
      <c r="V1845" s="2" t="s">
        <v>236</v>
      </c>
      <c r="W1845" s="2" t="s">
        <v>843</v>
      </c>
      <c r="X1845" s="2" t="s">
        <v>417</v>
      </c>
      <c r="Y1845" s="2" t="s">
        <v>9011</v>
      </c>
      <c r="Z1845" s="4">
        <v>144</v>
      </c>
      <c r="AA1845" s="4">
        <f>=ROUNDDOWN(72,0)</f>
      </c>
      <c r="AB1845" s="5">
        <v>2</v>
      </c>
      <c r="AC1845" s="2" t="s">
        <v>228</v>
      </c>
      <c r="AD1845" s="4"/>
      <c r="AE1845" s="4"/>
      <c r="AF1845" s="6">
        <v>66</v>
      </c>
      <c r="AG1845" s="6">
        <v>49</v>
      </c>
      <c r="AH1845" s="7">
        <v>1</v>
      </c>
      <c r="AI1845" s="4"/>
      <c r="AJ1845" s="4">
        <f>=ROUNDDOWN({0},0)</f>
      </c>
      <c r="AK1845" s="5"/>
      <c r="AL1845" s="2" t="s">
        <v>228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/>
      <c r="AW1845" s="8"/>
      <c r="AX1845" s="4"/>
      <c r="AY1845" s="8"/>
      <c r="AZ1845" s="7"/>
      <c r="BA1845" s="7"/>
      <c r="BB1845" s="7"/>
      <c r="BC1845" s="4" t="s">
        <v>228</v>
      </c>
      <c r="BD1845" s="8" t="s">
        <v>228</v>
      </c>
      <c r="BE1845" s="4" t="s">
        <v>228</v>
      </c>
      <c r="BF1845" s="8" t="s">
        <v>228</v>
      </c>
      <c r="BG1845" s="7" t="s">
        <v>228</v>
      </c>
      <c r="BH1845" s="7" t="s">
        <v>228</v>
      </c>
      <c r="BI1845" s="7"/>
      <c r="BJ1845" s="4">
        <v>3</v>
      </c>
      <c r="BK1845" s="8">
        <v>497</v>
      </c>
      <c r="BL1845" s="2" t="s">
        <v>2018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9012</v>
      </c>
      <c r="BV1845" s="2" t="s">
        <v>228</v>
      </c>
      <c r="BW1845" s="2" t="s">
        <v>228</v>
      </c>
      <c r="BX1845" s="2" t="s">
        <v>273</v>
      </c>
      <c r="BY1845" s="2" t="s">
        <v>274</v>
      </c>
      <c r="BZ1845" s="2" t="s">
        <v>240</v>
      </c>
      <c r="CA1845" s="2" t="s">
        <v>7753</v>
      </c>
      <c r="CB1845" s="2" t="s">
        <v>9013</v>
      </c>
      <c r="CC1845" s="2" t="s">
        <v>241</v>
      </c>
      <c r="CD1845" s="2" t="s">
        <v>228</v>
      </c>
      <c r="CE1845" s="4"/>
      <c r="CF1845" s="4">
        <v>123</v>
      </c>
      <c r="CG1845" s="4"/>
      <c r="CH1845" s="4">
        <v>21</v>
      </c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  <c r="EE1845" s="4"/>
      <c r="EF1845" s="4"/>
      <c r="EG1845" s="4"/>
      <c r="EH1845" s="4"/>
      <c r="EI1845" s="4"/>
      <c r="EJ1845" s="4"/>
      <c r="EK1845" s="4"/>
      <c r="EL1845" s="4"/>
      <c r="EM1845" s="4"/>
      <c r="EN1845" s="4"/>
      <c r="EO1845" s="4"/>
      <c r="EP1845" s="4"/>
      <c r="EQ1845" s="4"/>
      <c r="ER1845" s="4"/>
      <c r="ES1845" s="4"/>
      <c r="ET1845" s="4"/>
      <c r="EU1845" s="4"/>
      <c r="EV1845" s="4"/>
      <c r="EW1845" s="4"/>
      <c r="EX1845" s="4"/>
      <c r="EY1845" s="4"/>
      <c r="EZ1845" s="4"/>
      <c r="FA1845" s="4"/>
      <c r="FB1845" s="4"/>
      <c r="FC1845" s="4"/>
      <c r="FD1845" s="4"/>
      <c r="FE1845" s="4"/>
      <c r="FF1845" s="4"/>
      <c r="FG1845" s="4"/>
      <c r="FH1845" s="4"/>
      <c r="FI1845" s="4"/>
      <c r="FJ1845" s="4"/>
      <c r="FK1845" s="4"/>
      <c r="FL1845" s="4"/>
      <c r="FM1845" s="4"/>
      <c r="FN1845" s="4"/>
      <c r="FO1845" s="4"/>
      <c r="FP1845" s="4"/>
      <c r="FQ1845" s="4"/>
      <c r="FR1845" s="4"/>
      <c r="FS1845" s="4"/>
      <c r="FT1845" s="4"/>
      <c r="FU1845" s="4"/>
      <c r="FV1845" s="4"/>
      <c r="FW1845" s="4"/>
      <c r="FX1845" s="4"/>
      <c r="FY1845" s="4"/>
      <c r="FZ1845" s="4"/>
      <c r="GA1845" s="4"/>
      <c r="GB1845" s="4"/>
      <c r="GC1845" s="4"/>
      <c r="GD1845" s="4"/>
      <c r="GE1845" s="4"/>
      <c r="GF1845" s="4"/>
      <c r="GG1845" s="4"/>
      <c r="GH1845" s="4"/>
      <c r="GI1845" s="4"/>
      <c r="GJ1845" s="4"/>
      <c r="GK1845" s="4"/>
      <c r="GL1845" s="4"/>
      <c r="GM1845" s="4"/>
      <c r="GN1845" s="4"/>
      <c r="GO1845" s="4"/>
      <c r="GP1845" s="4"/>
      <c r="GQ1845" s="4"/>
      <c r="GR1845" s="4"/>
      <c r="GS1845" s="4"/>
      <c r="GT1845" s="4"/>
      <c r="GU1845" s="4"/>
      <c r="GV1845" s="4"/>
      <c r="GW1845" s="4"/>
      <c r="GX1845" s="4"/>
      <c r="GY1845" s="4"/>
      <c r="GZ1845" s="4"/>
      <c r="HA1845" s="4"/>
      <c r="HB1845" s="4"/>
      <c r="HC1845" s="4"/>
      <c r="HD1845" s="4"/>
      <c r="HE1845" s="4"/>
    </row>
    <row r="1846">
      <c r="A1846" s="2" t="s">
        <v>9014</v>
      </c>
      <c r="B1846" s="2" t="s">
        <v>834</v>
      </c>
      <c r="C1846" s="2" t="s">
        <v>835</v>
      </c>
      <c r="D1846" s="2" t="s">
        <v>1028</v>
      </c>
      <c r="E1846" s="2" t="s">
        <v>1029</v>
      </c>
      <c r="F1846" s="2" t="s">
        <v>9015</v>
      </c>
      <c r="G1846" s="2" t="s">
        <v>9015</v>
      </c>
      <c r="H1846" s="2" t="s">
        <v>9015</v>
      </c>
      <c r="I1846" s="2" t="s">
        <v>9016</v>
      </c>
      <c r="J1846" s="2" t="s">
        <v>840</v>
      </c>
      <c r="K1846" s="2" t="s">
        <v>9017</v>
      </c>
      <c r="L1846" s="3">
        <v>85.81</v>
      </c>
      <c r="M1846" s="3">
        <v>90.1</v>
      </c>
      <c r="N1846" s="3">
        <v>179.99</v>
      </c>
      <c r="O1846" s="2" t="s">
        <v>461</v>
      </c>
      <c r="P1846" s="2" t="s">
        <v>333</v>
      </c>
      <c r="Q1846" s="2" t="s">
        <v>234</v>
      </c>
      <c r="R1846" s="2" t="s">
        <v>228</v>
      </c>
      <c r="S1846" s="2" t="s">
        <v>228</v>
      </c>
      <c r="T1846" s="2" t="s">
        <v>228</v>
      </c>
      <c r="U1846" s="2" t="s">
        <v>416</v>
      </c>
      <c r="V1846" s="2" t="s">
        <v>842</v>
      </c>
      <c r="W1846" s="2" t="s">
        <v>417</v>
      </c>
      <c r="X1846" s="2" t="s">
        <v>228</v>
      </c>
      <c r="Y1846" s="2" t="s">
        <v>2624</v>
      </c>
      <c r="Z1846" s="4">
        <v>180</v>
      </c>
      <c r="AA1846" s="4">
        <f>=ROUNDDOWN({0},0)</f>
      </c>
      <c r="AB1846" s="5"/>
      <c r="AC1846" s="2" t="s">
        <v>228</v>
      </c>
      <c r="AD1846" s="4"/>
      <c r="AE1846" s="4"/>
      <c r="AF1846" s="6">
        <v>65</v>
      </c>
      <c r="AG1846" s="6"/>
      <c r="AH1846" s="7">
        <v>1</v>
      </c>
      <c r="AI1846" s="4"/>
      <c r="AJ1846" s="4">
        <f>=ROUNDDOWN({0},0)</f>
      </c>
      <c r="AK1846" s="5"/>
      <c r="AL1846" s="2" t="s">
        <v>228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7"/>
      <c r="BC1846" s="4" t="s">
        <v>228</v>
      </c>
      <c r="BD1846" s="8" t="s">
        <v>228</v>
      </c>
      <c r="BE1846" s="4" t="s">
        <v>228</v>
      </c>
      <c r="BF1846" s="8" t="s">
        <v>228</v>
      </c>
      <c r="BG1846" s="7" t="s">
        <v>228</v>
      </c>
      <c r="BH1846" s="7" t="s">
        <v>228</v>
      </c>
      <c r="BI1846" s="7"/>
      <c r="BJ1846" s="4"/>
      <c r="BK1846" s="8"/>
      <c r="BL1846" s="2" t="s">
        <v>484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9018</v>
      </c>
      <c r="BV1846" s="2" t="s">
        <v>228</v>
      </c>
      <c r="BW1846" s="2" t="s">
        <v>228</v>
      </c>
      <c r="BX1846" s="2" t="s">
        <v>337</v>
      </c>
      <c r="BY1846" s="2" t="s">
        <v>274</v>
      </c>
      <c r="BZ1846" s="2" t="s">
        <v>240</v>
      </c>
      <c r="CA1846" s="2" t="s">
        <v>2624</v>
      </c>
      <c r="CB1846" s="2" t="s">
        <v>2481</v>
      </c>
      <c r="CC1846" s="2" t="s">
        <v>241</v>
      </c>
      <c r="CD1846" s="2" t="s">
        <v>228</v>
      </c>
      <c r="CE1846" s="4"/>
      <c r="CF1846" s="4">
        <v>180</v>
      </c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/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  <c r="EE1846" s="4"/>
      <c r="EF1846" s="4"/>
      <c r="EG1846" s="4"/>
      <c r="EH1846" s="4"/>
      <c r="EI1846" s="4"/>
      <c r="EJ1846" s="4"/>
      <c r="EK1846" s="4"/>
      <c r="EL1846" s="4"/>
      <c r="EM1846" s="4"/>
      <c r="EN1846" s="4"/>
      <c r="EO1846" s="4"/>
      <c r="EP1846" s="4"/>
      <c r="EQ1846" s="4"/>
      <c r="ER1846" s="4"/>
      <c r="ES1846" s="4"/>
      <c r="ET1846" s="4"/>
      <c r="EU1846" s="4"/>
      <c r="EV1846" s="4"/>
      <c r="EW1846" s="4"/>
      <c r="EX1846" s="4"/>
      <c r="EY1846" s="4"/>
      <c r="EZ1846" s="4"/>
      <c r="FA1846" s="4"/>
      <c r="FB1846" s="4"/>
      <c r="FC1846" s="4"/>
      <c r="FD1846" s="4"/>
      <c r="FE1846" s="4"/>
      <c r="FF1846" s="4"/>
      <c r="FG1846" s="4"/>
      <c r="FH1846" s="4"/>
      <c r="FI1846" s="4"/>
      <c r="FJ1846" s="4"/>
      <c r="FK1846" s="4"/>
      <c r="FL1846" s="4"/>
      <c r="FM1846" s="4"/>
      <c r="FN1846" s="4"/>
      <c r="FO1846" s="4"/>
      <c r="FP1846" s="4"/>
      <c r="FQ1846" s="4"/>
      <c r="FR1846" s="4"/>
      <c r="FS1846" s="4"/>
      <c r="FT1846" s="4"/>
      <c r="FU1846" s="4"/>
      <c r="FV1846" s="4"/>
      <c r="FW1846" s="4"/>
      <c r="FX1846" s="4"/>
      <c r="FY1846" s="4"/>
      <c r="FZ1846" s="4"/>
      <c r="GA1846" s="4"/>
      <c r="GB1846" s="4"/>
      <c r="GC1846" s="4"/>
      <c r="GD1846" s="4"/>
      <c r="GE1846" s="4"/>
      <c r="GF1846" s="4"/>
      <c r="GG1846" s="4"/>
      <c r="GH1846" s="4"/>
      <c r="GI1846" s="4"/>
      <c r="GJ1846" s="4"/>
      <c r="GK1846" s="4"/>
      <c r="GL1846" s="4"/>
      <c r="GM1846" s="4"/>
      <c r="GN1846" s="4"/>
      <c r="GO1846" s="4"/>
      <c r="GP1846" s="4"/>
      <c r="GQ1846" s="4"/>
      <c r="GR1846" s="4"/>
      <c r="GS1846" s="4"/>
      <c r="GT1846" s="4"/>
      <c r="GU1846" s="4"/>
      <c r="GV1846" s="4"/>
      <c r="GW1846" s="4"/>
      <c r="GX1846" s="4"/>
      <c r="GY1846" s="4"/>
      <c r="GZ1846" s="4"/>
      <c r="HA1846" s="4"/>
      <c r="HB1846" s="4"/>
      <c r="HC1846" s="4"/>
      <c r="HD1846" s="4"/>
      <c r="HE1846" s="4"/>
    </row>
    <row r="1847">
      <c r="A1847" s="2" t="s">
        <v>9019</v>
      </c>
      <c r="B1847" s="2" t="s">
        <v>834</v>
      </c>
      <c r="C1847" s="2" t="s">
        <v>835</v>
      </c>
      <c r="D1847" s="2" t="s">
        <v>1744</v>
      </c>
      <c r="E1847" s="2" t="s">
        <v>1745</v>
      </c>
      <c r="F1847" s="2" t="s">
        <v>9015</v>
      </c>
      <c r="G1847" s="2" t="s">
        <v>9015</v>
      </c>
      <c r="H1847" s="2" t="s">
        <v>9015</v>
      </c>
      <c r="I1847" s="2" t="s">
        <v>9020</v>
      </c>
      <c r="J1847" s="2" t="s">
        <v>840</v>
      </c>
      <c r="K1847" s="2" t="s">
        <v>823</v>
      </c>
      <c r="L1847" s="3">
        <v>89.35</v>
      </c>
      <c r="M1847" s="3">
        <v>93.82</v>
      </c>
      <c r="N1847" s="3">
        <v>199.99</v>
      </c>
      <c r="O1847" s="2" t="s">
        <v>240</v>
      </c>
      <c r="P1847" s="2" t="s">
        <v>1012</v>
      </c>
      <c r="Q1847" s="2" t="s">
        <v>234</v>
      </c>
      <c r="R1847" s="2" t="s">
        <v>228</v>
      </c>
      <c r="S1847" s="2" t="s">
        <v>228</v>
      </c>
      <c r="T1847" s="2" t="s">
        <v>228</v>
      </c>
      <c r="U1847" s="2" t="s">
        <v>228</v>
      </c>
      <c r="V1847" s="2" t="s">
        <v>236</v>
      </c>
      <c r="W1847" s="2" t="s">
        <v>3057</v>
      </c>
      <c r="X1847" s="2" t="s">
        <v>228</v>
      </c>
      <c r="Y1847" s="2" t="s">
        <v>4362</v>
      </c>
      <c r="Z1847" s="4">
        <v>136</v>
      </c>
      <c r="AA1847" s="4">
        <f>=ROUNDDOWN(151.111111111111,0)</f>
      </c>
      <c r="AB1847" s="5">
        <v>0.9</v>
      </c>
      <c r="AC1847" s="2" t="s">
        <v>228</v>
      </c>
      <c r="AD1847" s="4"/>
      <c r="AE1847" s="4"/>
      <c r="AF1847" s="6">
        <v>65</v>
      </c>
      <c r="AG1847" s="6"/>
      <c r="AH1847" s="7">
        <v>1</v>
      </c>
      <c r="AI1847" s="4"/>
      <c r="AJ1847" s="4">
        <f>=ROUNDDOWN({0},0)</f>
      </c>
      <c r="AK1847" s="5"/>
      <c r="AL1847" s="2" t="s">
        <v>228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/>
      <c r="AW1847" s="8"/>
      <c r="AX1847" s="4"/>
      <c r="AY1847" s="8"/>
      <c r="AZ1847" s="7"/>
      <c r="BA1847" s="7"/>
      <c r="BB1847" s="7"/>
      <c r="BC1847" s="4" t="s">
        <v>228</v>
      </c>
      <c r="BD1847" s="8" t="s">
        <v>228</v>
      </c>
      <c r="BE1847" s="4" t="s">
        <v>228</v>
      </c>
      <c r="BF1847" s="8" t="s">
        <v>228</v>
      </c>
      <c r="BG1847" s="7" t="s">
        <v>228</v>
      </c>
      <c r="BH1847" s="7" t="s">
        <v>228</v>
      </c>
      <c r="BI1847" s="7"/>
      <c r="BJ1847" s="4">
        <v>5</v>
      </c>
      <c r="BK1847" s="8">
        <v>462.24</v>
      </c>
      <c r="BL1847" s="2" t="s">
        <v>9021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9022</v>
      </c>
      <c r="BV1847" s="2" t="s">
        <v>228</v>
      </c>
      <c r="BW1847" s="2" t="s">
        <v>228</v>
      </c>
      <c r="BX1847" s="2" t="s">
        <v>273</v>
      </c>
      <c r="BY1847" s="2" t="s">
        <v>274</v>
      </c>
      <c r="BZ1847" s="2" t="s">
        <v>240</v>
      </c>
      <c r="CA1847" s="2" t="s">
        <v>9023</v>
      </c>
      <c r="CB1847" s="2" t="s">
        <v>3433</v>
      </c>
      <c r="CC1847" s="2" t="s">
        <v>241</v>
      </c>
      <c r="CD1847" s="2" t="s">
        <v>228</v>
      </c>
      <c r="CE1847" s="4">
        <v>2</v>
      </c>
      <c r="CF1847" s="4">
        <v>134</v>
      </c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/>
      <c r="DK1847" s="4"/>
      <c r="DL1847" s="4"/>
      <c r="DM1847" s="4"/>
      <c r="DN1847" s="4"/>
      <c r="DO1847" s="4"/>
      <c r="DP1847" s="4"/>
      <c r="DQ1847" s="4"/>
      <c r="DR1847" s="4"/>
      <c r="DS1847" s="4"/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  <c r="EE1847" s="4"/>
      <c r="EF1847" s="4"/>
      <c r="EG1847" s="4"/>
      <c r="EH1847" s="4"/>
      <c r="EI1847" s="4"/>
      <c r="EJ1847" s="4"/>
      <c r="EK1847" s="4"/>
      <c r="EL1847" s="4"/>
      <c r="EM1847" s="4"/>
      <c r="EN1847" s="4"/>
      <c r="EO1847" s="4"/>
      <c r="EP1847" s="4"/>
      <c r="EQ1847" s="4"/>
      <c r="ER1847" s="4"/>
      <c r="ES1847" s="4"/>
      <c r="ET1847" s="4"/>
      <c r="EU1847" s="4"/>
      <c r="EV1847" s="4"/>
      <c r="EW1847" s="4"/>
      <c r="EX1847" s="4"/>
      <c r="EY1847" s="4"/>
      <c r="EZ1847" s="4"/>
      <c r="FA1847" s="4"/>
      <c r="FB1847" s="4"/>
      <c r="FC1847" s="4"/>
      <c r="FD1847" s="4"/>
      <c r="FE1847" s="4"/>
      <c r="FF1847" s="4"/>
      <c r="FG1847" s="4"/>
      <c r="FH1847" s="4"/>
      <c r="FI1847" s="4"/>
      <c r="FJ1847" s="4"/>
      <c r="FK1847" s="4"/>
      <c r="FL1847" s="4"/>
      <c r="FM1847" s="4"/>
      <c r="FN1847" s="4"/>
      <c r="FO1847" s="4"/>
      <c r="FP1847" s="4"/>
      <c r="FQ1847" s="4"/>
      <c r="FR1847" s="4"/>
      <c r="FS1847" s="4"/>
      <c r="FT1847" s="4"/>
      <c r="FU1847" s="4"/>
      <c r="FV1847" s="4"/>
      <c r="FW1847" s="4"/>
      <c r="FX1847" s="4"/>
      <c r="FY1847" s="4"/>
      <c r="FZ1847" s="4"/>
      <c r="GA1847" s="4"/>
      <c r="GB1847" s="4"/>
      <c r="GC1847" s="4"/>
      <c r="GD1847" s="4"/>
      <c r="GE1847" s="4"/>
      <c r="GF1847" s="4"/>
      <c r="GG1847" s="4"/>
      <c r="GH1847" s="4"/>
      <c r="GI1847" s="4"/>
      <c r="GJ1847" s="4"/>
      <c r="GK1847" s="4"/>
      <c r="GL1847" s="4"/>
      <c r="GM1847" s="4"/>
      <c r="GN1847" s="4"/>
      <c r="GO1847" s="4"/>
      <c r="GP1847" s="4"/>
      <c r="GQ1847" s="4"/>
      <c r="GR1847" s="4"/>
      <c r="GS1847" s="4"/>
      <c r="GT1847" s="4"/>
      <c r="GU1847" s="4"/>
      <c r="GV1847" s="4"/>
      <c r="GW1847" s="4"/>
      <c r="GX1847" s="4"/>
      <c r="GY1847" s="4"/>
      <c r="GZ1847" s="4"/>
      <c r="HA1847" s="4"/>
      <c r="HB1847" s="4"/>
      <c r="HC1847" s="4"/>
      <c r="HD1847" s="4"/>
      <c r="HE1847" s="4"/>
    </row>
    <row r="1848">
      <c r="A1848" s="2" t="s">
        <v>9024</v>
      </c>
      <c r="B1848" s="2" t="s">
        <v>1150</v>
      </c>
      <c r="C1848" s="2" t="s">
        <v>300</v>
      </c>
      <c r="D1848" s="2" t="s">
        <v>1112</v>
      </c>
      <c r="E1848" s="2" t="s">
        <v>1165</v>
      </c>
      <c r="F1848" s="2" t="s">
        <v>9025</v>
      </c>
      <c r="G1848" s="2" t="s">
        <v>9026</v>
      </c>
      <c r="H1848" s="2" t="s">
        <v>9027</v>
      </c>
      <c r="I1848" s="2" t="s">
        <v>9028</v>
      </c>
      <c r="J1848" s="2" t="s">
        <v>312</v>
      </c>
      <c r="K1848" s="2" t="s">
        <v>614</v>
      </c>
      <c r="L1848" s="3">
        <v>81.21</v>
      </c>
      <c r="M1848" s="3">
        <v>85.27</v>
      </c>
      <c r="N1848" s="3">
        <v>169.99</v>
      </c>
      <c r="O1848" s="2" t="s">
        <v>240</v>
      </c>
      <c r="P1848" s="2" t="s">
        <v>333</v>
      </c>
      <c r="Q1848" s="2" t="s">
        <v>234</v>
      </c>
      <c r="R1848" s="2" t="s">
        <v>228</v>
      </c>
      <c r="S1848" s="2" t="s">
        <v>9029</v>
      </c>
      <c r="T1848" s="2" t="s">
        <v>228</v>
      </c>
      <c r="U1848" s="2" t="s">
        <v>1331</v>
      </c>
      <c r="V1848" s="2" t="s">
        <v>1344</v>
      </c>
      <c r="W1848" s="2" t="s">
        <v>463</v>
      </c>
      <c r="X1848" s="2" t="s">
        <v>9030</v>
      </c>
      <c r="Y1848" s="2" t="s">
        <v>9031</v>
      </c>
      <c r="Z1848" s="4">
        <v>148</v>
      </c>
      <c r="AA1848" s="4">
        <f>=ROUNDDOWN(29.6,0)</f>
      </c>
      <c r="AB1848" s="5">
        <v>5</v>
      </c>
      <c r="AC1848" s="2" t="s">
        <v>228</v>
      </c>
      <c r="AD1848" s="4"/>
      <c r="AE1848" s="4"/>
      <c r="AF1848" s="6">
        <v>65</v>
      </c>
      <c r="AG1848" s="6">
        <v>48</v>
      </c>
      <c r="AH1848" s="7">
        <v>1</v>
      </c>
      <c r="AI1848" s="4"/>
      <c r="AJ1848" s="4">
        <f>=ROUNDDOWN({0},0)</f>
      </c>
      <c r="AK1848" s="5"/>
      <c r="AL1848" s="2" t="s">
        <v>228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/>
      <c r="AW1848" s="8"/>
      <c r="AX1848" s="4"/>
      <c r="AY1848" s="8"/>
      <c r="AZ1848" s="7"/>
      <c r="BA1848" s="7"/>
      <c r="BB1848" s="7"/>
      <c r="BC1848" s="4"/>
      <c r="BD1848" s="8"/>
      <c r="BE1848" s="4"/>
      <c r="BF1848" s="8"/>
      <c r="BG1848" s="7"/>
      <c r="BH1848" s="7"/>
      <c r="BI1848" s="7"/>
      <c r="BJ1848" s="4">
        <v>7</v>
      </c>
      <c r="BK1848" s="8">
        <v>493</v>
      </c>
      <c r="BL1848" s="2" t="s">
        <v>9032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9033</v>
      </c>
      <c r="BV1848" s="2" t="s">
        <v>228</v>
      </c>
      <c r="BW1848" s="2" t="s">
        <v>228</v>
      </c>
      <c r="BX1848" s="2" t="s">
        <v>337</v>
      </c>
      <c r="BY1848" s="2" t="s">
        <v>274</v>
      </c>
      <c r="BZ1848" s="2" t="s">
        <v>240</v>
      </c>
      <c r="CA1848" s="2" t="s">
        <v>9034</v>
      </c>
      <c r="CB1848" s="2" t="s">
        <v>9035</v>
      </c>
      <c r="CC1848" s="2" t="s">
        <v>241</v>
      </c>
      <c r="CD1848" s="2" t="s">
        <v>228</v>
      </c>
      <c r="CE1848" s="4">
        <v>44</v>
      </c>
      <c r="CF1848" s="4">
        <v>47</v>
      </c>
      <c r="CG1848" s="4"/>
      <c r="CH1848" s="4">
        <v>57</v>
      </c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/>
      <c r="DI1848" s="4"/>
      <c r="DJ1848" s="4"/>
      <c r="DK1848" s="4"/>
      <c r="DL1848" s="4"/>
      <c r="DM1848" s="4"/>
      <c r="DN1848" s="4"/>
      <c r="DO1848" s="4"/>
      <c r="DP1848" s="4"/>
      <c r="DQ1848" s="4"/>
      <c r="DR1848" s="4"/>
      <c r="DS1848" s="4"/>
      <c r="DT1848" s="4"/>
      <c r="DU1848" s="4"/>
      <c r="DV1848" s="4"/>
      <c r="DW1848" s="4"/>
      <c r="DX1848" s="4"/>
      <c r="DY1848" s="4"/>
      <c r="DZ1848" s="4"/>
      <c r="EA1848" s="4"/>
      <c r="EB1848" s="4"/>
      <c r="EC1848" s="4"/>
      <c r="ED1848" s="4"/>
      <c r="EE1848" s="4"/>
      <c r="EF1848" s="4"/>
      <c r="EG1848" s="4"/>
      <c r="EH1848" s="4"/>
      <c r="EI1848" s="4"/>
      <c r="EJ1848" s="4"/>
      <c r="EK1848" s="4"/>
      <c r="EL1848" s="4"/>
      <c r="EM1848" s="4"/>
      <c r="EN1848" s="4"/>
      <c r="EO1848" s="4"/>
      <c r="EP1848" s="4"/>
      <c r="EQ1848" s="4"/>
      <c r="ER1848" s="4"/>
      <c r="ES1848" s="4"/>
      <c r="ET1848" s="4"/>
      <c r="EU1848" s="4"/>
      <c r="EV1848" s="4"/>
      <c r="EW1848" s="4"/>
      <c r="EX1848" s="4"/>
      <c r="EY1848" s="4"/>
      <c r="EZ1848" s="4"/>
      <c r="FA1848" s="4"/>
      <c r="FB1848" s="4"/>
      <c r="FC1848" s="4"/>
      <c r="FD1848" s="4"/>
      <c r="FE1848" s="4"/>
      <c r="FF1848" s="4"/>
      <c r="FG1848" s="4"/>
      <c r="FH1848" s="4"/>
      <c r="FI1848" s="4"/>
      <c r="FJ1848" s="4"/>
      <c r="FK1848" s="4"/>
      <c r="FL1848" s="4"/>
      <c r="FM1848" s="4"/>
      <c r="FN1848" s="4"/>
      <c r="FO1848" s="4"/>
      <c r="FP1848" s="4"/>
      <c r="FQ1848" s="4"/>
      <c r="FR1848" s="4"/>
      <c r="FS1848" s="4"/>
      <c r="FT1848" s="4"/>
      <c r="FU1848" s="4"/>
      <c r="FV1848" s="4"/>
      <c r="FW1848" s="4"/>
      <c r="FX1848" s="4"/>
      <c r="FY1848" s="4"/>
      <c r="FZ1848" s="4"/>
      <c r="GA1848" s="4"/>
      <c r="GB1848" s="4"/>
      <c r="GC1848" s="4"/>
      <c r="GD1848" s="4"/>
      <c r="GE1848" s="4"/>
      <c r="GF1848" s="4"/>
      <c r="GG1848" s="4"/>
      <c r="GH1848" s="4"/>
      <c r="GI1848" s="4"/>
      <c r="GJ1848" s="4"/>
      <c r="GK1848" s="4"/>
      <c r="GL1848" s="4"/>
      <c r="GM1848" s="4"/>
      <c r="GN1848" s="4"/>
      <c r="GO1848" s="4"/>
      <c r="GP1848" s="4"/>
      <c r="GQ1848" s="4"/>
      <c r="GR1848" s="4"/>
      <c r="GS1848" s="4"/>
      <c r="GT1848" s="4"/>
      <c r="GU1848" s="4"/>
      <c r="GV1848" s="4"/>
      <c r="GW1848" s="4"/>
      <c r="GX1848" s="4"/>
      <c r="GY1848" s="4"/>
      <c r="GZ1848" s="4"/>
      <c r="HA1848" s="4"/>
      <c r="HB1848" s="4"/>
      <c r="HC1848" s="4"/>
      <c r="HD1848" s="4"/>
      <c r="HE1848" s="4"/>
    </row>
    <row r="1849">
      <c r="A1849" s="2" t="s">
        <v>9036</v>
      </c>
      <c r="B1849" s="2" t="s">
        <v>958</v>
      </c>
      <c r="C1849" s="2" t="s">
        <v>300</v>
      </c>
      <c r="D1849" s="2" t="s">
        <v>959</v>
      </c>
      <c r="E1849" s="2" t="s">
        <v>960</v>
      </c>
      <c r="F1849" s="2" t="s">
        <v>9037</v>
      </c>
      <c r="G1849" s="2" t="s">
        <v>9038</v>
      </c>
      <c r="H1849" s="2" t="s">
        <v>9039</v>
      </c>
      <c r="I1849" s="2" t="s">
        <v>2560</v>
      </c>
      <c r="J1849" s="2" t="s">
        <v>840</v>
      </c>
      <c r="K1849" s="2" t="s">
        <v>1105</v>
      </c>
      <c r="L1849" s="3">
        <v>171</v>
      </c>
      <c r="M1849" s="3">
        <v>179.55</v>
      </c>
      <c r="N1849" s="3">
        <v>359</v>
      </c>
      <c r="O1849" s="2" t="s">
        <v>240</v>
      </c>
      <c r="P1849" s="2" t="s">
        <v>266</v>
      </c>
      <c r="Q1849" s="2" t="s">
        <v>234</v>
      </c>
      <c r="R1849" s="2" t="s">
        <v>228</v>
      </c>
      <c r="S1849" s="2" t="s">
        <v>9040</v>
      </c>
      <c r="T1849" s="2" t="s">
        <v>228</v>
      </c>
      <c r="U1849" s="2" t="s">
        <v>228</v>
      </c>
      <c r="V1849" s="2" t="s">
        <v>236</v>
      </c>
      <c r="W1849" s="2" t="s">
        <v>463</v>
      </c>
      <c r="X1849" s="2" t="s">
        <v>228</v>
      </c>
      <c r="Y1849" s="2" t="s">
        <v>9041</v>
      </c>
      <c r="Z1849" s="4">
        <v>164</v>
      </c>
      <c r="AA1849" s="4">
        <f>=ROUNDDOWN(33.469387755102,0)</f>
      </c>
      <c r="AB1849" s="5">
        <v>4.9</v>
      </c>
      <c r="AC1849" s="2" t="s">
        <v>228</v>
      </c>
      <c r="AD1849" s="4"/>
      <c r="AE1849" s="4"/>
      <c r="AF1849" s="6">
        <v>74</v>
      </c>
      <c r="AG1849" s="6"/>
      <c r="AH1849" s="7">
        <v>1</v>
      </c>
      <c r="AI1849" s="4"/>
      <c r="AJ1849" s="4">
        <f>=ROUNDDOWN({0},0)</f>
      </c>
      <c r="AK1849" s="5"/>
      <c r="AL1849" s="2" t="s">
        <v>228</v>
      </c>
      <c r="AM1849" s="4"/>
      <c r="AN1849" s="4"/>
      <c r="AO1849" s="7"/>
      <c r="AP1849" s="4"/>
      <c r="AQ1849" s="8"/>
      <c r="AR1849" s="4"/>
      <c r="AS1849" s="8"/>
      <c r="AT1849" s="7"/>
      <c r="AU1849" s="7"/>
      <c r="AV1849" s="4"/>
      <c r="AW1849" s="8"/>
      <c r="AX1849" s="4"/>
      <c r="AY1849" s="8"/>
      <c r="AZ1849" s="7"/>
      <c r="BA1849" s="7"/>
      <c r="BB1849" s="7"/>
      <c r="BC1849" s="4"/>
      <c r="BD1849" s="8"/>
      <c r="BE1849" s="4"/>
      <c r="BF1849" s="8"/>
      <c r="BG1849" s="7"/>
      <c r="BH1849" s="7"/>
      <c r="BI1849" s="7"/>
      <c r="BJ1849" s="4">
        <v>7</v>
      </c>
      <c r="BK1849" s="8">
        <v>1279.6</v>
      </c>
      <c r="BL1849" s="2" t="s">
        <v>3390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9042</v>
      </c>
      <c r="BV1849" s="2" t="s">
        <v>228</v>
      </c>
      <c r="BW1849" s="2" t="s">
        <v>228</v>
      </c>
      <c r="BX1849" s="2" t="s">
        <v>273</v>
      </c>
      <c r="BY1849" s="2" t="s">
        <v>274</v>
      </c>
      <c r="BZ1849" s="2" t="s">
        <v>240</v>
      </c>
      <c r="CA1849" s="2" t="s">
        <v>1923</v>
      </c>
      <c r="CB1849" s="2" t="s">
        <v>3967</v>
      </c>
      <c r="CC1849" s="2" t="s">
        <v>241</v>
      </c>
      <c r="CD1849" s="2" t="s">
        <v>228</v>
      </c>
      <c r="CE1849" s="4"/>
      <c r="CF1849" s="4">
        <v>164</v>
      </c>
      <c r="CG1849" s="4"/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  <c r="DT1849" s="4"/>
      <c r="DU1849" s="4"/>
      <c r="DV1849" s="4"/>
      <c r="DW1849" s="4"/>
      <c r="DX1849" s="4"/>
      <c r="DY1849" s="4"/>
      <c r="DZ1849" s="4"/>
      <c r="EA1849" s="4"/>
      <c r="EB1849" s="4"/>
      <c r="EC1849" s="4"/>
      <c r="ED1849" s="4"/>
      <c r="EE1849" s="4"/>
      <c r="EF1849" s="4"/>
      <c r="EG1849" s="4"/>
      <c r="EH1849" s="4"/>
      <c r="EI1849" s="4"/>
      <c r="EJ1849" s="4"/>
      <c r="EK1849" s="4"/>
      <c r="EL1849" s="4"/>
      <c r="EM1849" s="4"/>
      <c r="EN1849" s="4"/>
      <c r="EO1849" s="4"/>
      <c r="EP1849" s="4"/>
      <c r="EQ1849" s="4"/>
      <c r="ER1849" s="4"/>
      <c r="ES1849" s="4"/>
      <c r="ET1849" s="4"/>
      <c r="EU1849" s="4"/>
      <c r="EV1849" s="4"/>
      <c r="EW1849" s="4"/>
      <c r="EX1849" s="4"/>
      <c r="EY1849" s="4"/>
      <c r="EZ1849" s="4"/>
      <c r="FA1849" s="4"/>
      <c r="FB1849" s="4"/>
      <c r="FC1849" s="4"/>
      <c r="FD1849" s="4"/>
      <c r="FE1849" s="4"/>
      <c r="FF1849" s="4"/>
      <c r="FG1849" s="4"/>
      <c r="FH1849" s="4"/>
      <c r="FI1849" s="4"/>
      <c r="FJ1849" s="4"/>
      <c r="FK1849" s="4"/>
      <c r="FL1849" s="4"/>
      <c r="FM1849" s="4"/>
      <c r="FN1849" s="4"/>
      <c r="FO1849" s="4"/>
      <c r="FP1849" s="4"/>
      <c r="FQ1849" s="4"/>
      <c r="FR1849" s="4"/>
      <c r="FS1849" s="4"/>
      <c r="FT1849" s="4"/>
      <c r="FU1849" s="4"/>
      <c r="FV1849" s="4"/>
      <c r="FW1849" s="4"/>
      <c r="FX1849" s="4"/>
      <c r="FY1849" s="4"/>
      <c r="FZ1849" s="4"/>
      <c r="GA1849" s="4"/>
      <c r="GB1849" s="4"/>
      <c r="GC1849" s="4"/>
      <c r="GD1849" s="4"/>
      <c r="GE1849" s="4"/>
      <c r="GF1849" s="4"/>
      <c r="GG1849" s="4"/>
      <c r="GH1849" s="4"/>
      <c r="GI1849" s="4"/>
      <c r="GJ1849" s="4"/>
      <c r="GK1849" s="4"/>
      <c r="GL1849" s="4"/>
      <c r="GM1849" s="4"/>
      <c r="GN1849" s="4"/>
      <c r="GO1849" s="4"/>
      <c r="GP1849" s="4"/>
      <c r="GQ1849" s="4"/>
      <c r="GR1849" s="4"/>
      <c r="GS1849" s="4"/>
      <c r="GT1849" s="4"/>
      <c r="GU1849" s="4"/>
      <c r="GV1849" s="4"/>
      <c r="GW1849" s="4"/>
      <c r="GX1849" s="4"/>
      <c r="GY1849" s="4"/>
      <c r="GZ1849" s="4"/>
      <c r="HA1849" s="4"/>
      <c r="HB1849" s="4"/>
      <c r="HC1849" s="4"/>
      <c r="HD1849" s="4"/>
      <c r="HE1849" s="4"/>
    </row>
    <row r="1850">
      <c r="A1850" s="2" t="s">
        <v>9043</v>
      </c>
      <c r="B1850" s="2" t="s">
        <v>1150</v>
      </c>
      <c r="C1850" s="2" t="s">
        <v>300</v>
      </c>
      <c r="D1850" s="2" t="s">
        <v>1112</v>
      </c>
      <c r="E1850" s="2" t="s">
        <v>1165</v>
      </c>
      <c r="F1850" s="2" t="s">
        <v>9044</v>
      </c>
      <c r="G1850" s="2" t="s">
        <v>7444</v>
      </c>
      <c r="H1850" s="2" t="s">
        <v>8316</v>
      </c>
      <c r="I1850" s="2" t="s">
        <v>9045</v>
      </c>
      <c r="J1850" s="2" t="s">
        <v>294</v>
      </c>
      <c r="K1850" s="2" t="s">
        <v>265</v>
      </c>
      <c r="L1850" s="3">
        <v>61.9</v>
      </c>
      <c r="M1850" s="3">
        <v>65</v>
      </c>
      <c r="N1850" s="3">
        <v>129.99</v>
      </c>
      <c r="O1850" s="2" t="s">
        <v>240</v>
      </c>
      <c r="P1850" s="2" t="s">
        <v>333</v>
      </c>
      <c r="Q1850" s="2" t="s">
        <v>234</v>
      </c>
      <c r="R1850" s="2" t="s">
        <v>228</v>
      </c>
      <c r="S1850" s="2" t="s">
        <v>9046</v>
      </c>
      <c r="T1850" s="2" t="s">
        <v>228</v>
      </c>
      <c r="U1850" s="2" t="s">
        <v>791</v>
      </c>
      <c r="V1850" s="2" t="s">
        <v>1332</v>
      </c>
      <c r="W1850" s="2" t="s">
        <v>463</v>
      </c>
      <c r="X1850" s="2" t="s">
        <v>309</v>
      </c>
      <c r="Y1850" s="2" t="s">
        <v>4896</v>
      </c>
      <c r="Z1850" s="4">
        <v>77</v>
      </c>
      <c r="AA1850" s="4">
        <f>=ROUNDDOWN(20.2631578947368,0)</f>
      </c>
      <c r="AB1850" s="5">
        <v>3.8</v>
      </c>
      <c r="AC1850" s="2" t="s">
        <v>228</v>
      </c>
      <c r="AD1850" s="4"/>
      <c r="AE1850" s="4"/>
      <c r="AF1850" s="6">
        <v>64</v>
      </c>
      <c r="AG1850" s="6"/>
      <c r="AH1850" s="7">
        <v>1</v>
      </c>
      <c r="AI1850" s="4"/>
      <c r="AJ1850" s="4">
        <f>=ROUNDDOWN({0},0)</f>
      </c>
      <c r="AK1850" s="5"/>
      <c r="AL1850" s="2" t="s">
        <v>228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/>
      <c r="AW1850" s="8"/>
      <c r="AX1850" s="4"/>
      <c r="AY1850" s="8"/>
      <c r="AZ1850" s="7"/>
      <c r="BA1850" s="7"/>
      <c r="BB1850" s="7"/>
      <c r="BC1850" s="4"/>
      <c r="BD1850" s="8"/>
      <c r="BE1850" s="4"/>
      <c r="BF1850" s="8"/>
      <c r="BG1850" s="7"/>
      <c r="BH1850" s="7"/>
      <c r="BI1850" s="7"/>
      <c r="BJ1850" s="4">
        <v>18</v>
      </c>
      <c r="BK1850" s="8">
        <v>968.63</v>
      </c>
      <c r="BL1850" s="2" t="s">
        <v>9047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9048</v>
      </c>
      <c r="BV1850" s="2" t="s">
        <v>228</v>
      </c>
      <c r="BW1850" s="2" t="s">
        <v>228</v>
      </c>
      <c r="BX1850" s="2" t="s">
        <v>337</v>
      </c>
      <c r="BY1850" s="2" t="s">
        <v>274</v>
      </c>
      <c r="BZ1850" s="2" t="s">
        <v>240</v>
      </c>
      <c r="CA1850" s="2" t="s">
        <v>1829</v>
      </c>
      <c r="CB1850" s="2" t="s">
        <v>2347</v>
      </c>
      <c r="CC1850" s="2" t="s">
        <v>241</v>
      </c>
      <c r="CD1850" s="2" t="s">
        <v>228</v>
      </c>
      <c r="CE1850" s="4">
        <v>77</v>
      </c>
      <c r="CF1850" s="4"/>
      <c r="CG1850" s="4"/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  <c r="DP1850" s="4"/>
      <c r="DQ1850" s="4"/>
      <c r="DR1850" s="4"/>
      <c r="DS1850" s="4"/>
      <c r="DT1850" s="4"/>
      <c r="DU1850" s="4"/>
      <c r="DV1850" s="4"/>
      <c r="DW1850" s="4"/>
      <c r="DX1850" s="4"/>
      <c r="DY1850" s="4"/>
      <c r="DZ1850" s="4"/>
      <c r="EA1850" s="4"/>
      <c r="EB1850" s="4"/>
      <c r="EC1850" s="4"/>
      <c r="ED1850" s="4"/>
      <c r="EE1850" s="4"/>
      <c r="EF1850" s="4"/>
      <c r="EG1850" s="4"/>
      <c r="EH1850" s="4"/>
      <c r="EI1850" s="4"/>
      <c r="EJ1850" s="4"/>
      <c r="EK1850" s="4"/>
      <c r="EL1850" s="4"/>
      <c r="EM1850" s="4"/>
      <c r="EN1850" s="4"/>
      <c r="EO1850" s="4"/>
      <c r="EP1850" s="4"/>
      <c r="EQ1850" s="4"/>
      <c r="ER1850" s="4"/>
      <c r="ES1850" s="4"/>
      <c r="ET1850" s="4"/>
      <c r="EU1850" s="4"/>
      <c r="EV1850" s="4"/>
      <c r="EW1850" s="4"/>
      <c r="EX1850" s="4"/>
      <c r="EY1850" s="4"/>
      <c r="EZ1850" s="4"/>
      <c r="FA1850" s="4"/>
      <c r="FB1850" s="4"/>
      <c r="FC1850" s="4"/>
      <c r="FD1850" s="4"/>
      <c r="FE1850" s="4"/>
      <c r="FF1850" s="4"/>
      <c r="FG1850" s="4"/>
      <c r="FH1850" s="4"/>
      <c r="FI1850" s="4"/>
      <c r="FJ1850" s="4"/>
      <c r="FK1850" s="4"/>
      <c r="FL1850" s="4"/>
      <c r="FM1850" s="4"/>
      <c r="FN1850" s="4"/>
      <c r="FO1850" s="4"/>
      <c r="FP1850" s="4"/>
      <c r="FQ1850" s="4"/>
      <c r="FR1850" s="4"/>
      <c r="FS1850" s="4"/>
      <c r="FT1850" s="4"/>
      <c r="FU1850" s="4"/>
      <c r="FV1850" s="4"/>
      <c r="FW1850" s="4"/>
      <c r="FX1850" s="4"/>
      <c r="FY1850" s="4"/>
      <c r="FZ1850" s="4"/>
      <c r="GA1850" s="4"/>
      <c r="GB1850" s="4"/>
      <c r="GC1850" s="4"/>
      <c r="GD1850" s="4"/>
      <c r="GE1850" s="4"/>
      <c r="GF1850" s="4"/>
      <c r="GG1850" s="4"/>
      <c r="GH1850" s="4"/>
      <c r="GI1850" s="4"/>
      <c r="GJ1850" s="4"/>
      <c r="GK1850" s="4"/>
      <c r="GL1850" s="4"/>
      <c r="GM1850" s="4"/>
      <c r="GN1850" s="4"/>
      <c r="GO1850" s="4"/>
      <c r="GP1850" s="4"/>
      <c r="GQ1850" s="4"/>
      <c r="GR1850" s="4"/>
      <c r="GS1850" s="4"/>
      <c r="GT1850" s="4"/>
      <c r="GU1850" s="4"/>
      <c r="GV1850" s="4"/>
      <c r="GW1850" s="4"/>
      <c r="GX1850" s="4"/>
      <c r="GY1850" s="4"/>
      <c r="GZ1850" s="4"/>
      <c r="HA1850" s="4"/>
      <c r="HB1850" s="4"/>
      <c r="HC1850" s="4"/>
      <c r="HD1850" s="4"/>
      <c r="HE1850" s="4"/>
    </row>
    <row r="1851">
      <c r="A1851" s="2" t="s">
        <v>9049</v>
      </c>
      <c r="B1851" s="2" t="s">
        <v>223</v>
      </c>
      <c r="C1851" s="2" t="s">
        <v>300</v>
      </c>
      <c r="D1851" s="2" t="s">
        <v>1601</v>
      </c>
      <c r="E1851" s="2" t="s">
        <v>1602</v>
      </c>
      <c r="F1851" s="2" t="s">
        <v>9050</v>
      </c>
      <c r="G1851" s="2" t="s">
        <v>9051</v>
      </c>
      <c r="H1851" s="2" t="s">
        <v>9051</v>
      </c>
      <c r="I1851" s="2" t="s">
        <v>9052</v>
      </c>
      <c r="J1851" s="2" t="s">
        <v>4972</v>
      </c>
      <c r="K1851" s="2" t="s">
        <v>249</v>
      </c>
      <c r="L1851" s="3">
        <v>15.18</v>
      </c>
      <c r="M1851" s="3">
        <v>15.94</v>
      </c>
      <c r="N1851" s="3">
        <v>32.99</v>
      </c>
      <c r="O1851" s="2" t="s">
        <v>240</v>
      </c>
      <c r="P1851" s="2" t="s">
        <v>266</v>
      </c>
      <c r="Q1851" s="2" t="s">
        <v>234</v>
      </c>
      <c r="R1851" s="2" t="s">
        <v>228</v>
      </c>
      <c r="S1851" s="2" t="s">
        <v>9053</v>
      </c>
      <c r="T1851" s="2" t="s">
        <v>3112</v>
      </c>
      <c r="U1851" s="2" t="s">
        <v>228</v>
      </c>
      <c r="V1851" s="2" t="s">
        <v>236</v>
      </c>
      <c r="W1851" s="2" t="s">
        <v>269</v>
      </c>
      <c r="X1851" s="2" t="s">
        <v>228</v>
      </c>
      <c r="Y1851" s="2" t="s">
        <v>270</v>
      </c>
      <c r="Z1851" s="4">
        <v>825</v>
      </c>
      <c r="AA1851" s="4">
        <f>=ROUNDDOWN(8.00970873786408,0)</f>
      </c>
      <c r="AB1851" s="5">
        <v>103</v>
      </c>
      <c r="AC1851" s="2" t="s">
        <v>2305</v>
      </c>
      <c r="AD1851" s="4">
        <v>578</v>
      </c>
      <c r="AE1851" s="4">
        <v>7120</v>
      </c>
      <c r="AF1851" s="6">
        <v>65</v>
      </c>
      <c r="AG1851" s="6"/>
      <c r="AH1851" s="7">
        <v>1</v>
      </c>
      <c r="AI1851" s="4"/>
      <c r="AJ1851" s="4">
        <f>=ROUNDDOWN({0},0)</f>
      </c>
      <c r="AK1851" s="5"/>
      <c r="AL1851" s="2" t="s">
        <v>228</v>
      </c>
      <c r="AM1851" s="4"/>
      <c r="AN1851" s="4"/>
      <c r="AO1851" s="7"/>
      <c r="AP1851" s="4"/>
      <c r="AQ1851" s="8"/>
      <c r="AR1851" s="4"/>
      <c r="AS1851" s="8"/>
      <c r="AT1851" s="7"/>
      <c r="AU1851" s="7"/>
      <c r="AV1851" s="4"/>
      <c r="AW1851" s="8"/>
      <c r="AX1851" s="4"/>
      <c r="AY1851" s="8"/>
      <c r="AZ1851" s="7"/>
      <c r="BA1851" s="7"/>
      <c r="BB1851" s="7"/>
      <c r="BC1851" s="4" t="s">
        <v>228</v>
      </c>
      <c r="BD1851" s="8" t="s">
        <v>228</v>
      </c>
      <c r="BE1851" s="4" t="s">
        <v>228</v>
      </c>
      <c r="BF1851" s="8" t="s">
        <v>228</v>
      </c>
      <c r="BG1851" s="7" t="s">
        <v>228</v>
      </c>
      <c r="BH1851" s="7" t="s">
        <v>228</v>
      </c>
      <c r="BI1851" s="7"/>
      <c r="BJ1851" s="4">
        <v>179</v>
      </c>
      <c r="BK1851" s="8">
        <v>2555.48</v>
      </c>
      <c r="BL1851" s="2" t="s">
        <v>9054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9055</v>
      </c>
      <c r="BV1851" s="2" t="s">
        <v>228</v>
      </c>
      <c r="BW1851" s="2" t="s">
        <v>228</v>
      </c>
      <c r="BX1851" s="2" t="s">
        <v>273</v>
      </c>
      <c r="BY1851" s="2" t="s">
        <v>274</v>
      </c>
      <c r="BZ1851" s="2" t="s">
        <v>240</v>
      </c>
      <c r="CA1851" s="2" t="s">
        <v>9056</v>
      </c>
      <c r="CB1851" s="2" t="s">
        <v>985</v>
      </c>
      <c r="CC1851" s="2" t="s">
        <v>241</v>
      </c>
      <c r="CD1851" s="2" t="s">
        <v>228</v>
      </c>
      <c r="CE1851" s="4">
        <v>825</v>
      </c>
      <c r="CF1851" s="4"/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>
        <v>578</v>
      </c>
      <c r="DT1851" s="4"/>
      <c r="DU1851" s="4"/>
      <c r="DV1851" s="4"/>
      <c r="DW1851" s="4"/>
      <c r="DX1851" s="4"/>
      <c r="DY1851" s="4"/>
      <c r="DZ1851" s="4">
        <v>1642</v>
      </c>
      <c r="EA1851" s="4"/>
      <c r="EB1851" s="4"/>
      <c r="EC1851" s="4"/>
      <c r="ED1851" s="4"/>
      <c r="EE1851" s="4"/>
      <c r="EF1851" s="4"/>
      <c r="EG1851" s="4"/>
      <c r="EH1851" s="4"/>
      <c r="EI1851" s="4"/>
      <c r="EJ1851" s="4"/>
      <c r="EK1851" s="4"/>
      <c r="EL1851" s="4"/>
      <c r="EM1851" s="4"/>
      <c r="EN1851" s="4"/>
      <c r="EO1851" s="4"/>
      <c r="EP1851" s="4"/>
      <c r="EQ1851" s="4"/>
      <c r="ER1851" s="4"/>
      <c r="ES1851" s="4"/>
      <c r="ET1851" s="4"/>
      <c r="EU1851" s="4"/>
      <c r="EV1851" s="4"/>
      <c r="EW1851" s="4"/>
      <c r="EX1851" s="4"/>
      <c r="EY1851" s="4"/>
      <c r="EZ1851" s="4"/>
      <c r="FA1851" s="4"/>
      <c r="FB1851" s="4">
        <v>90</v>
      </c>
      <c r="FC1851" s="4"/>
      <c r="FD1851" s="4"/>
      <c r="FE1851" s="4"/>
      <c r="FF1851" s="4"/>
      <c r="FG1851" s="4"/>
      <c r="FH1851" s="4"/>
      <c r="FI1851" s="4"/>
      <c r="FJ1851" s="4"/>
      <c r="FK1851" s="4"/>
      <c r="FL1851" s="4">
        <v>1750</v>
      </c>
      <c r="FM1851" s="4"/>
      <c r="FN1851" s="4"/>
      <c r="FO1851" s="4"/>
      <c r="FP1851" s="4">
        <v>2430</v>
      </c>
      <c r="FQ1851" s="4"/>
      <c r="FR1851" s="4"/>
      <c r="FS1851" s="4"/>
      <c r="FT1851" s="4"/>
      <c r="FU1851" s="4"/>
      <c r="FV1851" s="4"/>
      <c r="FW1851" s="4"/>
      <c r="FX1851" s="4"/>
      <c r="FY1851" s="4"/>
      <c r="FZ1851" s="4"/>
      <c r="GA1851" s="4"/>
      <c r="GB1851" s="4"/>
      <c r="GC1851" s="4"/>
      <c r="GD1851" s="4"/>
      <c r="GE1851" s="4"/>
      <c r="GF1851" s="4"/>
      <c r="GG1851" s="4"/>
      <c r="GH1851" s="4"/>
      <c r="GI1851" s="4"/>
      <c r="GJ1851" s="4"/>
      <c r="GK1851" s="4"/>
      <c r="GL1851" s="4"/>
      <c r="GM1851" s="4"/>
      <c r="GN1851" s="4">
        <v>630</v>
      </c>
      <c r="GO1851" s="4"/>
      <c r="GP1851" s="4"/>
      <c r="GQ1851" s="4"/>
      <c r="GR1851" s="4"/>
      <c r="GS1851" s="4"/>
      <c r="GT1851" s="4"/>
      <c r="GU1851" s="4"/>
      <c r="GV1851" s="4"/>
      <c r="GW1851" s="4"/>
      <c r="GX1851" s="4"/>
      <c r="GY1851" s="4"/>
      <c r="GZ1851" s="4"/>
      <c r="HA1851" s="4"/>
      <c r="HB1851" s="4"/>
      <c r="HC1851" s="4"/>
      <c r="HD1851" s="4"/>
      <c r="HE1851" s="4"/>
    </row>
    <row r="1852">
      <c r="A1852" s="2" t="s">
        <v>9057</v>
      </c>
      <c r="B1852" s="2" t="s">
        <v>223</v>
      </c>
      <c r="C1852" s="2" t="s">
        <v>300</v>
      </c>
      <c r="D1852" s="2" t="s">
        <v>1601</v>
      </c>
      <c r="E1852" s="2" t="s">
        <v>1602</v>
      </c>
      <c r="F1852" s="2" t="s">
        <v>9050</v>
      </c>
      <c r="G1852" s="2" t="s">
        <v>9051</v>
      </c>
      <c r="H1852" s="2" t="s">
        <v>9051</v>
      </c>
      <c r="I1852" s="2" t="s">
        <v>9052</v>
      </c>
      <c r="J1852" s="2" t="s">
        <v>4972</v>
      </c>
      <c r="K1852" s="2" t="s">
        <v>480</v>
      </c>
      <c r="L1852" s="3">
        <v>15.18</v>
      </c>
      <c r="M1852" s="3">
        <v>15.94</v>
      </c>
      <c r="N1852" s="3">
        <v>32.99</v>
      </c>
      <c r="O1852" s="2" t="s">
        <v>240</v>
      </c>
      <c r="P1852" s="2" t="s">
        <v>266</v>
      </c>
      <c r="Q1852" s="2" t="s">
        <v>234</v>
      </c>
      <c r="R1852" s="2" t="s">
        <v>228</v>
      </c>
      <c r="S1852" s="2" t="s">
        <v>9058</v>
      </c>
      <c r="T1852" s="2" t="s">
        <v>3112</v>
      </c>
      <c r="U1852" s="2" t="s">
        <v>228</v>
      </c>
      <c r="V1852" s="2" t="s">
        <v>236</v>
      </c>
      <c r="W1852" s="2" t="s">
        <v>269</v>
      </c>
      <c r="X1852" s="2" t="s">
        <v>228</v>
      </c>
      <c r="Y1852" s="2" t="s">
        <v>270</v>
      </c>
      <c r="Z1852" s="4">
        <v>501</v>
      </c>
      <c r="AA1852" s="4">
        <f>=ROUNDDOWN(7.90220820189274,0)</f>
      </c>
      <c r="AB1852" s="5">
        <v>63.4</v>
      </c>
      <c r="AC1852" s="2" t="s">
        <v>2305</v>
      </c>
      <c r="AD1852" s="4">
        <v>360</v>
      </c>
      <c r="AE1852" s="4">
        <v>4430</v>
      </c>
      <c r="AF1852" s="6">
        <v>65</v>
      </c>
      <c r="AG1852" s="6"/>
      <c r="AH1852" s="7">
        <v>1</v>
      </c>
      <c r="AI1852" s="4"/>
      <c r="AJ1852" s="4">
        <f>=ROUNDDOWN({0},0)</f>
      </c>
      <c r="AK1852" s="5"/>
      <c r="AL1852" s="2" t="s">
        <v>228</v>
      </c>
      <c r="AM1852" s="4"/>
      <c r="AN1852" s="4"/>
      <c r="AO1852" s="7"/>
      <c r="AP1852" s="4"/>
      <c r="AQ1852" s="8"/>
      <c r="AR1852" s="4"/>
      <c r="AS1852" s="8"/>
      <c r="AT1852" s="7"/>
      <c r="AU1852" s="7"/>
      <c r="AV1852" s="4"/>
      <c r="AW1852" s="8"/>
      <c r="AX1852" s="4"/>
      <c r="AY1852" s="8"/>
      <c r="AZ1852" s="7"/>
      <c r="BA1852" s="7"/>
      <c r="BB1852" s="7"/>
      <c r="BC1852" s="4" t="s">
        <v>228</v>
      </c>
      <c r="BD1852" s="8" t="s">
        <v>228</v>
      </c>
      <c r="BE1852" s="4" t="s">
        <v>228</v>
      </c>
      <c r="BF1852" s="8" t="s">
        <v>228</v>
      </c>
      <c r="BG1852" s="7" t="s">
        <v>228</v>
      </c>
      <c r="BH1852" s="7" t="s">
        <v>228</v>
      </c>
      <c r="BI1852" s="7"/>
      <c r="BJ1852" s="4">
        <v>105</v>
      </c>
      <c r="BK1852" s="8">
        <v>1530.06</v>
      </c>
      <c r="BL1852" s="2" t="s">
        <v>9054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9059</v>
      </c>
      <c r="BV1852" s="2" t="s">
        <v>228</v>
      </c>
      <c r="BW1852" s="2" t="s">
        <v>228</v>
      </c>
      <c r="BX1852" s="2" t="s">
        <v>273</v>
      </c>
      <c r="BY1852" s="2" t="s">
        <v>274</v>
      </c>
      <c r="BZ1852" s="2" t="s">
        <v>240</v>
      </c>
      <c r="CA1852" s="2" t="s">
        <v>9056</v>
      </c>
      <c r="CB1852" s="2" t="s">
        <v>9060</v>
      </c>
      <c r="CC1852" s="2" t="s">
        <v>241</v>
      </c>
      <c r="CD1852" s="2" t="s">
        <v>228</v>
      </c>
      <c r="CE1852" s="4">
        <v>501</v>
      </c>
      <c r="CF1852" s="4"/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  <c r="DP1852" s="4"/>
      <c r="DQ1852" s="4"/>
      <c r="DR1852" s="4"/>
      <c r="DS1852" s="4">
        <v>360</v>
      </c>
      <c r="DT1852" s="4"/>
      <c r="DU1852" s="4"/>
      <c r="DV1852" s="4"/>
      <c r="DW1852" s="4"/>
      <c r="DX1852" s="4"/>
      <c r="DY1852" s="4"/>
      <c r="DZ1852" s="4">
        <v>1080</v>
      </c>
      <c r="EA1852" s="4"/>
      <c r="EB1852" s="4"/>
      <c r="EC1852" s="4"/>
      <c r="ED1852" s="4"/>
      <c r="EE1852" s="4"/>
      <c r="EF1852" s="4"/>
      <c r="EG1852" s="4"/>
      <c r="EH1852" s="4"/>
      <c r="EI1852" s="4"/>
      <c r="EJ1852" s="4"/>
      <c r="EK1852" s="4"/>
      <c r="EL1852" s="4"/>
      <c r="EM1852" s="4"/>
      <c r="EN1852" s="4"/>
      <c r="EO1852" s="4"/>
      <c r="EP1852" s="4"/>
      <c r="EQ1852" s="4"/>
      <c r="ER1852" s="4"/>
      <c r="ES1852" s="4"/>
      <c r="ET1852" s="4"/>
      <c r="EU1852" s="4"/>
      <c r="EV1852" s="4"/>
      <c r="EW1852" s="4"/>
      <c r="EX1852" s="4"/>
      <c r="EY1852" s="4"/>
      <c r="EZ1852" s="4"/>
      <c r="FA1852" s="4"/>
      <c r="FB1852" s="4"/>
      <c r="FC1852" s="4"/>
      <c r="FD1852" s="4"/>
      <c r="FE1852" s="4"/>
      <c r="FF1852" s="4"/>
      <c r="FG1852" s="4"/>
      <c r="FH1852" s="4"/>
      <c r="FI1852" s="4"/>
      <c r="FJ1852" s="4"/>
      <c r="FK1852" s="4"/>
      <c r="FL1852" s="4">
        <v>1090</v>
      </c>
      <c r="FM1852" s="4"/>
      <c r="FN1852" s="4"/>
      <c r="FO1852" s="4"/>
      <c r="FP1852" s="4">
        <v>1510</v>
      </c>
      <c r="FQ1852" s="4"/>
      <c r="FR1852" s="4"/>
      <c r="FS1852" s="4"/>
      <c r="FT1852" s="4"/>
      <c r="FU1852" s="4"/>
      <c r="FV1852" s="4"/>
      <c r="FW1852" s="4"/>
      <c r="FX1852" s="4"/>
      <c r="FY1852" s="4"/>
      <c r="FZ1852" s="4"/>
      <c r="GA1852" s="4"/>
      <c r="GB1852" s="4"/>
      <c r="GC1852" s="4"/>
      <c r="GD1852" s="4"/>
      <c r="GE1852" s="4"/>
      <c r="GF1852" s="4"/>
      <c r="GG1852" s="4"/>
      <c r="GH1852" s="4"/>
      <c r="GI1852" s="4"/>
      <c r="GJ1852" s="4"/>
      <c r="GK1852" s="4"/>
      <c r="GL1852" s="4"/>
      <c r="GM1852" s="4"/>
      <c r="GN1852" s="4">
        <v>390</v>
      </c>
      <c r="GO1852" s="4"/>
      <c r="GP1852" s="4"/>
      <c r="GQ1852" s="4"/>
      <c r="GR1852" s="4"/>
      <c r="GS1852" s="4"/>
      <c r="GT1852" s="4"/>
      <c r="GU1852" s="4"/>
      <c r="GV1852" s="4"/>
      <c r="GW1852" s="4"/>
      <c r="GX1852" s="4"/>
      <c r="GY1852" s="4"/>
      <c r="GZ1852" s="4"/>
      <c r="HA1852" s="4"/>
      <c r="HB1852" s="4"/>
      <c r="HC1852" s="4"/>
      <c r="HD1852" s="4"/>
      <c r="HE1852" s="4"/>
    </row>
    <row r="1853">
      <c r="A1853" s="2" t="s">
        <v>9061</v>
      </c>
      <c r="B1853" s="2" t="s">
        <v>223</v>
      </c>
      <c r="C1853" s="2" t="s">
        <v>300</v>
      </c>
      <c r="D1853" s="2" t="s">
        <v>1601</v>
      </c>
      <c r="E1853" s="2" t="s">
        <v>1602</v>
      </c>
      <c r="F1853" s="2" t="s">
        <v>9050</v>
      </c>
      <c r="G1853" s="2" t="s">
        <v>9051</v>
      </c>
      <c r="H1853" s="2" t="s">
        <v>9051</v>
      </c>
      <c r="I1853" s="2" t="s">
        <v>9052</v>
      </c>
      <c r="J1853" s="2" t="s">
        <v>4972</v>
      </c>
      <c r="K1853" s="2" t="s">
        <v>251</v>
      </c>
      <c r="L1853" s="3">
        <v>15.18</v>
      </c>
      <c r="M1853" s="3">
        <v>15.94</v>
      </c>
      <c r="N1853" s="3">
        <v>32.99</v>
      </c>
      <c r="O1853" s="2" t="s">
        <v>240</v>
      </c>
      <c r="P1853" s="2" t="s">
        <v>266</v>
      </c>
      <c r="Q1853" s="2" t="s">
        <v>234</v>
      </c>
      <c r="R1853" s="2" t="s">
        <v>228</v>
      </c>
      <c r="S1853" s="2" t="s">
        <v>9062</v>
      </c>
      <c r="T1853" s="2" t="s">
        <v>3112</v>
      </c>
      <c r="U1853" s="2" t="s">
        <v>228</v>
      </c>
      <c r="V1853" s="2" t="s">
        <v>236</v>
      </c>
      <c r="W1853" s="2" t="s">
        <v>269</v>
      </c>
      <c r="X1853" s="2" t="s">
        <v>228</v>
      </c>
      <c r="Y1853" s="2" t="s">
        <v>270</v>
      </c>
      <c r="Z1853" s="4">
        <v>469</v>
      </c>
      <c r="AA1853" s="4">
        <f>=ROUNDDOWN(8.89943074003795,0)</f>
      </c>
      <c r="AB1853" s="5">
        <v>52.7</v>
      </c>
      <c r="AC1853" s="2" t="s">
        <v>2305</v>
      </c>
      <c r="AD1853" s="4">
        <v>327</v>
      </c>
      <c r="AE1853" s="4">
        <v>4030</v>
      </c>
      <c r="AF1853" s="6">
        <v>65</v>
      </c>
      <c r="AG1853" s="6"/>
      <c r="AH1853" s="7">
        <v>1</v>
      </c>
      <c r="AI1853" s="4"/>
      <c r="AJ1853" s="4">
        <f>=ROUNDDOWN({0},0)</f>
      </c>
      <c r="AK1853" s="5"/>
      <c r="AL1853" s="2" t="s">
        <v>228</v>
      </c>
      <c r="AM1853" s="4"/>
      <c r="AN1853" s="4"/>
      <c r="AO1853" s="7"/>
      <c r="AP1853" s="4"/>
      <c r="AQ1853" s="8"/>
      <c r="AR1853" s="4"/>
      <c r="AS1853" s="8"/>
      <c r="AT1853" s="7"/>
      <c r="AU1853" s="7"/>
      <c r="AV1853" s="4"/>
      <c r="AW1853" s="8"/>
      <c r="AX1853" s="4"/>
      <c r="AY1853" s="8"/>
      <c r="AZ1853" s="7"/>
      <c r="BA1853" s="7"/>
      <c r="BB1853" s="7"/>
      <c r="BC1853" s="4" t="s">
        <v>228</v>
      </c>
      <c r="BD1853" s="8" t="s">
        <v>228</v>
      </c>
      <c r="BE1853" s="4" t="s">
        <v>228</v>
      </c>
      <c r="BF1853" s="8" t="s">
        <v>228</v>
      </c>
      <c r="BG1853" s="7" t="s">
        <v>228</v>
      </c>
      <c r="BH1853" s="7" t="s">
        <v>228</v>
      </c>
      <c r="BI1853" s="7"/>
      <c r="BJ1853" s="4">
        <v>88</v>
      </c>
      <c r="BK1853" s="8">
        <v>1284.92</v>
      </c>
      <c r="BL1853" s="2" t="s">
        <v>1482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9063</v>
      </c>
      <c r="BV1853" s="2" t="s">
        <v>228</v>
      </c>
      <c r="BW1853" s="2" t="s">
        <v>228</v>
      </c>
      <c r="BX1853" s="2" t="s">
        <v>273</v>
      </c>
      <c r="BY1853" s="2" t="s">
        <v>274</v>
      </c>
      <c r="BZ1853" s="2" t="s">
        <v>240</v>
      </c>
      <c r="CA1853" s="2" t="s">
        <v>9056</v>
      </c>
      <c r="CB1853" s="2" t="s">
        <v>9064</v>
      </c>
      <c r="CC1853" s="2" t="s">
        <v>241</v>
      </c>
      <c r="CD1853" s="2" t="s">
        <v>228</v>
      </c>
      <c r="CE1853" s="4">
        <v>469</v>
      </c>
      <c r="CF1853" s="4"/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>
        <v>327</v>
      </c>
      <c r="DT1853" s="4"/>
      <c r="DU1853" s="4"/>
      <c r="DV1853" s="4"/>
      <c r="DW1853" s="4"/>
      <c r="DX1853" s="4"/>
      <c r="DY1853" s="4"/>
      <c r="DZ1853" s="4">
        <v>983</v>
      </c>
      <c r="EA1853" s="4"/>
      <c r="EB1853" s="4"/>
      <c r="EC1853" s="4"/>
      <c r="ED1853" s="4"/>
      <c r="EE1853" s="4"/>
      <c r="EF1853" s="4"/>
      <c r="EG1853" s="4"/>
      <c r="EH1853" s="4"/>
      <c r="EI1853" s="4"/>
      <c r="EJ1853" s="4"/>
      <c r="EK1853" s="4"/>
      <c r="EL1853" s="4"/>
      <c r="EM1853" s="4"/>
      <c r="EN1853" s="4"/>
      <c r="EO1853" s="4"/>
      <c r="EP1853" s="4"/>
      <c r="EQ1853" s="4"/>
      <c r="ER1853" s="4"/>
      <c r="ES1853" s="4"/>
      <c r="ET1853" s="4"/>
      <c r="EU1853" s="4"/>
      <c r="EV1853" s="4"/>
      <c r="EW1853" s="4"/>
      <c r="EX1853" s="4"/>
      <c r="EY1853" s="4"/>
      <c r="EZ1853" s="4"/>
      <c r="FA1853" s="4"/>
      <c r="FB1853" s="4"/>
      <c r="FC1853" s="4"/>
      <c r="FD1853" s="4"/>
      <c r="FE1853" s="4"/>
      <c r="FF1853" s="4"/>
      <c r="FG1853" s="4"/>
      <c r="FH1853" s="4"/>
      <c r="FI1853" s="4"/>
      <c r="FJ1853" s="4"/>
      <c r="FK1853" s="4"/>
      <c r="FL1853" s="4">
        <v>990</v>
      </c>
      <c r="FM1853" s="4"/>
      <c r="FN1853" s="4"/>
      <c r="FO1853" s="4"/>
      <c r="FP1853" s="4">
        <v>1370</v>
      </c>
      <c r="FQ1853" s="4"/>
      <c r="FR1853" s="4"/>
      <c r="FS1853" s="4"/>
      <c r="FT1853" s="4"/>
      <c r="FU1853" s="4"/>
      <c r="FV1853" s="4"/>
      <c r="FW1853" s="4"/>
      <c r="FX1853" s="4"/>
      <c r="FY1853" s="4"/>
      <c r="FZ1853" s="4"/>
      <c r="GA1853" s="4"/>
      <c r="GB1853" s="4"/>
      <c r="GC1853" s="4"/>
      <c r="GD1853" s="4"/>
      <c r="GE1853" s="4"/>
      <c r="GF1853" s="4"/>
      <c r="GG1853" s="4"/>
      <c r="GH1853" s="4"/>
      <c r="GI1853" s="4"/>
      <c r="GJ1853" s="4"/>
      <c r="GK1853" s="4"/>
      <c r="GL1853" s="4"/>
      <c r="GM1853" s="4"/>
      <c r="GN1853" s="4">
        <v>360</v>
      </c>
      <c r="GO1853" s="4"/>
      <c r="GP1853" s="4"/>
      <c r="GQ1853" s="4"/>
      <c r="GR1853" s="4"/>
      <c r="GS1853" s="4"/>
      <c r="GT1853" s="4"/>
      <c r="GU1853" s="4"/>
      <c r="GV1853" s="4"/>
      <c r="GW1853" s="4"/>
      <c r="GX1853" s="4"/>
      <c r="GY1853" s="4"/>
      <c r="GZ1853" s="4"/>
      <c r="HA1853" s="4"/>
      <c r="HB1853" s="4"/>
      <c r="HC1853" s="4"/>
      <c r="HD1853" s="4"/>
      <c r="HE1853" s="4"/>
    </row>
    <row r="1854">
      <c r="A1854" s="2" t="s">
        <v>9065</v>
      </c>
      <c r="B1854" s="2" t="s">
        <v>958</v>
      </c>
      <c r="C1854" s="2" t="s">
        <v>300</v>
      </c>
      <c r="D1854" s="2" t="s">
        <v>2144</v>
      </c>
      <c r="E1854" s="2" t="s">
        <v>7204</v>
      </c>
      <c r="F1854" s="2" t="s">
        <v>9050</v>
      </c>
      <c r="G1854" s="2" t="s">
        <v>1915</v>
      </c>
      <c r="H1854" s="2" t="s">
        <v>9066</v>
      </c>
      <c r="I1854" s="2" t="s">
        <v>9067</v>
      </c>
      <c r="J1854" s="2" t="s">
        <v>840</v>
      </c>
      <c r="K1854" s="2" t="s">
        <v>9068</v>
      </c>
      <c r="L1854" s="3">
        <v>126.35</v>
      </c>
      <c r="M1854" s="3">
        <v>132.67</v>
      </c>
      <c r="N1854" s="3">
        <v>269</v>
      </c>
      <c r="O1854" s="2" t="s">
        <v>240</v>
      </c>
      <c r="P1854" s="2" t="s">
        <v>266</v>
      </c>
      <c r="Q1854" s="2" t="s">
        <v>234</v>
      </c>
      <c r="R1854" s="2" t="s">
        <v>228</v>
      </c>
      <c r="S1854" s="2" t="s">
        <v>228</v>
      </c>
      <c r="T1854" s="2" t="s">
        <v>228</v>
      </c>
      <c r="U1854" s="2" t="s">
        <v>416</v>
      </c>
      <c r="V1854" s="2" t="s">
        <v>236</v>
      </c>
      <c r="W1854" s="2" t="s">
        <v>843</v>
      </c>
      <c r="X1854" s="2" t="s">
        <v>417</v>
      </c>
      <c r="Y1854" s="2" t="s">
        <v>7106</v>
      </c>
      <c r="Z1854" s="4">
        <v>63</v>
      </c>
      <c r="AA1854" s="4">
        <f>=ROUNDDOWN(9,0)</f>
      </c>
      <c r="AB1854" s="5">
        <v>7</v>
      </c>
      <c r="AC1854" s="2" t="s">
        <v>1516</v>
      </c>
      <c r="AD1854" s="4">
        <v>200</v>
      </c>
      <c r="AE1854" s="4">
        <v>200</v>
      </c>
      <c r="AF1854" s="6">
        <v>74</v>
      </c>
      <c r="AG1854" s="6">
        <v>60</v>
      </c>
      <c r="AH1854" s="7">
        <v>1</v>
      </c>
      <c r="AI1854" s="4"/>
      <c r="AJ1854" s="4">
        <f>=ROUNDDOWN({0},0)</f>
      </c>
      <c r="AK1854" s="5"/>
      <c r="AL1854" s="2" t="s">
        <v>228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/>
      <c r="AW1854" s="8"/>
      <c r="AX1854" s="4"/>
      <c r="AY1854" s="8"/>
      <c r="AZ1854" s="7"/>
      <c r="BA1854" s="7"/>
      <c r="BB1854" s="7"/>
      <c r="BC1854" s="4" t="s">
        <v>228</v>
      </c>
      <c r="BD1854" s="8" t="s">
        <v>228</v>
      </c>
      <c r="BE1854" s="4" t="s">
        <v>228</v>
      </c>
      <c r="BF1854" s="8" t="s">
        <v>228</v>
      </c>
      <c r="BG1854" s="7" t="s">
        <v>228</v>
      </c>
      <c r="BH1854" s="7" t="s">
        <v>228</v>
      </c>
      <c r="BI1854" s="7"/>
      <c r="BJ1854" s="4">
        <v>25</v>
      </c>
      <c r="BK1854" s="8">
        <v>2993.12</v>
      </c>
      <c r="BL1854" s="2" t="s">
        <v>9069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9070</v>
      </c>
      <c r="BV1854" s="2" t="s">
        <v>228</v>
      </c>
      <c r="BW1854" s="2" t="s">
        <v>228</v>
      </c>
      <c r="BX1854" s="2" t="s">
        <v>735</v>
      </c>
      <c r="BY1854" s="2" t="s">
        <v>274</v>
      </c>
      <c r="BZ1854" s="2" t="s">
        <v>240</v>
      </c>
      <c r="CA1854" s="2" t="s">
        <v>7106</v>
      </c>
      <c r="CB1854" s="2" t="s">
        <v>3404</v>
      </c>
      <c r="CC1854" s="2" t="s">
        <v>241</v>
      </c>
      <c r="CD1854" s="2" t="s">
        <v>228</v>
      </c>
      <c r="CE1854" s="4"/>
      <c r="CF1854" s="4">
        <v>63</v>
      </c>
      <c r="CG1854" s="4"/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/>
      <c r="DI1854" s="4"/>
      <c r="DJ1854" s="4"/>
      <c r="DK1854" s="4"/>
      <c r="DL1854" s="4"/>
      <c r="DM1854" s="4"/>
      <c r="DN1854" s="4"/>
      <c r="DO1854" s="4"/>
      <c r="DP1854" s="4"/>
      <c r="DQ1854" s="4"/>
      <c r="DR1854" s="4"/>
      <c r="DS1854" s="4"/>
      <c r="DT1854" s="4"/>
      <c r="DU1854" s="4"/>
      <c r="DV1854" s="4"/>
      <c r="DW1854" s="4"/>
      <c r="DX1854" s="4"/>
      <c r="DY1854" s="4"/>
      <c r="DZ1854" s="4"/>
      <c r="EA1854" s="4"/>
      <c r="EB1854" s="4"/>
      <c r="EC1854" s="4"/>
      <c r="ED1854" s="4"/>
      <c r="EE1854" s="4"/>
      <c r="EF1854" s="4"/>
      <c r="EG1854" s="4">
        <v>200</v>
      </c>
      <c r="EH1854" s="4"/>
      <c r="EI1854" s="4"/>
      <c r="EJ1854" s="4"/>
      <c r="EK1854" s="4"/>
      <c r="EL1854" s="4"/>
      <c r="EM1854" s="4"/>
      <c r="EN1854" s="4"/>
      <c r="EO1854" s="4"/>
      <c r="EP1854" s="4"/>
      <c r="EQ1854" s="4"/>
      <c r="ER1854" s="4"/>
      <c r="ES1854" s="4"/>
      <c r="ET1854" s="4"/>
      <c r="EU1854" s="4"/>
      <c r="EV1854" s="4"/>
      <c r="EW1854" s="4"/>
      <c r="EX1854" s="4"/>
      <c r="EY1854" s="4"/>
      <c r="EZ1854" s="4"/>
      <c r="FA1854" s="4"/>
      <c r="FB1854" s="4"/>
      <c r="FC1854" s="4"/>
      <c r="FD1854" s="4"/>
      <c r="FE1854" s="4"/>
      <c r="FF1854" s="4"/>
      <c r="FG1854" s="4"/>
      <c r="FH1854" s="4"/>
      <c r="FI1854" s="4"/>
      <c r="FJ1854" s="4"/>
      <c r="FK1854" s="4"/>
      <c r="FL1854" s="4"/>
      <c r="FM1854" s="4"/>
      <c r="FN1854" s="4"/>
      <c r="FO1854" s="4"/>
      <c r="FP1854" s="4"/>
      <c r="FQ1854" s="4"/>
      <c r="FR1854" s="4"/>
      <c r="FS1854" s="4"/>
      <c r="FT1854" s="4"/>
      <c r="FU1854" s="4"/>
      <c r="FV1854" s="4"/>
      <c r="FW1854" s="4"/>
      <c r="FX1854" s="4"/>
      <c r="FY1854" s="4"/>
      <c r="FZ1854" s="4"/>
      <c r="GA1854" s="4"/>
      <c r="GB1854" s="4"/>
      <c r="GC1854" s="4"/>
      <c r="GD1854" s="4"/>
      <c r="GE1854" s="4"/>
      <c r="GF1854" s="4"/>
      <c r="GG1854" s="4"/>
      <c r="GH1854" s="4"/>
      <c r="GI1854" s="4"/>
      <c r="GJ1854" s="4"/>
      <c r="GK1854" s="4"/>
      <c r="GL1854" s="4"/>
      <c r="GM1854" s="4"/>
      <c r="GN1854" s="4"/>
      <c r="GO1854" s="4"/>
      <c r="GP1854" s="4"/>
      <c r="GQ1854" s="4"/>
      <c r="GR1854" s="4"/>
      <c r="GS1854" s="4"/>
      <c r="GT1854" s="4"/>
      <c r="GU1854" s="4"/>
      <c r="GV1854" s="4"/>
      <c r="GW1854" s="4"/>
      <c r="GX1854" s="4"/>
      <c r="GY1854" s="4"/>
      <c r="GZ1854" s="4"/>
      <c r="HA1854" s="4"/>
      <c r="HB1854" s="4"/>
      <c r="HC1854" s="4"/>
      <c r="HD1854" s="4"/>
      <c r="HE1854" s="4"/>
    </row>
    <row r="1855">
      <c r="A1855" s="2" t="s">
        <v>9071</v>
      </c>
      <c r="B1855" s="2" t="s">
        <v>223</v>
      </c>
      <c r="C1855" s="2" t="s">
        <v>345</v>
      </c>
      <c r="D1855" s="2" t="s">
        <v>1112</v>
      </c>
      <c r="E1855" s="2" t="s">
        <v>1113</v>
      </c>
      <c r="F1855" s="2" t="s">
        <v>9072</v>
      </c>
      <c r="G1855" s="2" t="s">
        <v>9073</v>
      </c>
      <c r="H1855" s="2" t="s">
        <v>9073</v>
      </c>
      <c r="I1855" s="2" t="s">
        <v>9074</v>
      </c>
      <c r="J1855" s="2" t="s">
        <v>1043</v>
      </c>
      <c r="K1855" s="2" t="s">
        <v>3005</v>
      </c>
      <c r="L1855" s="3">
        <v>30</v>
      </c>
      <c r="M1855" s="3">
        <v>31.5</v>
      </c>
      <c r="N1855" s="3">
        <v>59.99</v>
      </c>
      <c r="O1855" s="2" t="s">
        <v>240</v>
      </c>
      <c r="P1855" s="2" t="s">
        <v>266</v>
      </c>
      <c r="Q1855" s="2" t="s">
        <v>234</v>
      </c>
      <c r="R1855" s="2" t="s">
        <v>228</v>
      </c>
      <c r="S1855" s="2" t="s">
        <v>9075</v>
      </c>
      <c r="T1855" s="2" t="s">
        <v>415</v>
      </c>
      <c r="U1855" s="2" t="s">
        <v>500</v>
      </c>
      <c r="V1855" s="2" t="s">
        <v>1438</v>
      </c>
      <c r="W1855" s="2" t="s">
        <v>1267</v>
      </c>
      <c r="X1855" s="2" t="s">
        <v>228</v>
      </c>
      <c r="Y1855" s="2" t="s">
        <v>4261</v>
      </c>
      <c r="Z1855" s="4">
        <v>211</v>
      </c>
      <c r="AA1855" s="4">
        <f>=ROUNDDOWN(30.1428571428571,0)</f>
      </c>
      <c r="AB1855" s="5">
        <v>7</v>
      </c>
      <c r="AC1855" s="2" t="s">
        <v>155</v>
      </c>
      <c r="AD1855" s="4">
        <v>30</v>
      </c>
      <c r="AE1855" s="4">
        <v>245</v>
      </c>
      <c r="AF1855" s="6">
        <v>65</v>
      </c>
      <c r="AG1855" s="6"/>
      <c r="AH1855" s="7">
        <v>1</v>
      </c>
      <c r="AI1855" s="4"/>
      <c r="AJ1855" s="4">
        <f>=ROUNDDOWN({0},0)</f>
      </c>
      <c r="AK1855" s="5"/>
      <c r="AL1855" s="2" t="s">
        <v>228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/>
      <c r="AW1855" s="8"/>
      <c r="AX1855" s="4"/>
      <c r="AY1855" s="8"/>
      <c r="AZ1855" s="7"/>
      <c r="BA1855" s="7"/>
      <c r="BB1855" s="7"/>
      <c r="BC1855" s="4" t="s">
        <v>228</v>
      </c>
      <c r="BD1855" s="8" t="s">
        <v>228</v>
      </c>
      <c r="BE1855" s="4" t="s">
        <v>228</v>
      </c>
      <c r="BF1855" s="8" t="s">
        <v>228</v>
      </c>
      <c r="BG1855" s="7" t="s">
        <v>228</v>
      </c>
      <c r="BH1855" s="7" t="s">
        <v>228</v>
      </c>
      <c r="BI1855" s="7"/>
      <c r="BJ1855" s="4">
        <v>15</v>
      </c>
      <c r="BK1855" s="8">
        <v>411.61</v>
      </c>
      <c r="BL1855" s="2" t="s">
        <v>3763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9076</v>
      </c>
      <c r="BV1855" s="2" t="s">
        <v>228</v>
      </c>
      <c r="BW1855" s="2" t="s">
        <v>228</v>
      </c>
      <c r="BX1855" s="2" t="s">
        <v>273</v>
      </c>
      <c r="BY1855" s="2" t="s">
        <v>274</v>
      </c>
      <c r="BZ1855" s="2" t="s">
        <v>240</v>
      </c>
      <c r="CA1855" s="2" t="s">
        <v>5116</v>
      </c>
      <c r="CB1855" s="2" t="s">
        <v>9077</v>
      </c>
      <c r="CC1855" s="2" t="s">
        <v>241</v>
      </c>
      <c r="CD1855" s="2" t="s">
        <v>228</v>
      </c>
      <c r="CE1855" s="4">
        <v>210</v>
      </c>
      <c r="CF1855" s="4"/>
      <c r="CG1855" s="4"/>
      <c r="CH1855" s="4">
        <v>1</v>
      </c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  <c r="DL1855" s="4"/>
      <c r="DM1855" s="4"/>
      <c r="DN1855" s="4"/>
      <c r="DO1855" s="4"/>
      <c r="DP1855" s="4"/>
      <c r="DQ1855" s="4"/>
      <c r="DR1855" s="4"/>
      <c r="DS1855" s="4"/>
      <c r="DT1855" s="4"/>
      <c r="DU1855" s="4"/>
      <c r="DV1855" s="4"/>
      <c r="DW1855" s="4"/>
      <c r="DX1855" s="4"/>
      <c r="DY1855" s="4"/>
      <c r="DZ1855" s="4"/>
      <c r="EA1855" s="4"/>
      <c r="EB1855" s="4"/>
      <c r="EC1855" s="4"/>
      <c r="ED1855" s="4"/>
      <c r="EE1855" s="4"/>
      <c r="EF1855" s="4"/>
      <c r="EG1855" s="4"/>
      <c r="EH1855" s="4"/>
      <c r="EI1855" s="4"/>
      <c r="EJ1855" s="4"/>
      <c r="EK1855" s="4"/>
      <c r="EL1855" s="4"/>
      <c r="EM1855" s="4"/>
      <c r="EN1855" s="4"/>
      <c r="EO1855" s="4"/>
      <c r="EP1855" s="4"/>
      <c r="EQ1855" s="4">
        <v>30</v>
      </c>
      <c r="ER1855" s="4"/>
      <c r="ES1855" s="4"/>
      <c r="ET1855" s="4"/>
      <c r="EU1855" s="4"/>
      <c r="EV1855" s="4"/>
      <c r="EW1855" s="4">
        <v>85</v>
      </c>
      <c r="EX1855" s="4"/>
      <c r="EY1855" s="4"/>
      <c r="EZ1855" s="4"/>
      <c r="FA1855" s="4"/>
      <c r="FB1855" s="4"/>
      <c r="FC1855" s="4"/>
      <c r="FD1855" s="4"/>
      <c r="FE1855" s="4"/>
      <c r="FF1855" s="4">
        <v>90</v>
      </c>
      <c r="FG1855" s="4"/>
      <c r="FH1855" s="4"/>
      <c r="FI1855" s="4"/>
      <c r="FJ1855" s="4"/>
      <c r="FK1855" s="4"/>
      <c r="FL1855" s="4"/>
      <c r="FM1855" s="4"/>
      <c r="FN1855" s="4"/>
      <c r="FO1855" s="4"/>
      <c r="FP1855" s="4"/>
      <c r="FQ1855" s="4"/>
      <c r="FR1855" s="4"/>
      <c r="FS1855" s="4"/>
      <c r="FT1855" s="4"/>
      <c r="FU1855" s="4"/>
      <c r="FV1855" s="4"/>
      <c r="FW1855" s="4"/>
      <c r="FX1855" s="4"/>
      <c r="FY1855" s="4"/>
      <c r="FZ1855" s="4"/>
      <c r="GA1855" s="4"/>
      <c r="GB1855" s="4"/>
      <c r="GC1855" s="4"/>
      <c r="GD1855" s="4"/>
      <c r="GE1855" s="4"/>
      <c r="GF1855" s="4"/>
      <c r="GG1855" s="4"/>
      <c r="GH1855" s="4"/>
      <c r="GI1855" s="4"/>
      <c r="GJ1855" s="4"/>
      <c r="GK1855" s="4"/>
      <c r="GL1855" s="4"/>
      <c r="GM1855" s="4"/>
      <c r="GN1855" s="4"/>
      <c r="GO1855" s="4"/>
      <c r="GP1855" s="4"/>
      <c r="GQ1855" s="4"/>
      <c r="GR1855" s="4"/>
      <c r="GS1855" s="4"/>
      <c r="GT1855" s="4"/>
      <c r="GU1855" s="4"/>
      <c r="GV1855" s="4"/>
      <c r="GW1855" s="4"/>
      <c r="GX1855" s="4"/>
      <c r="GY1855" s="4"/>
      <c r="GZ1855" s="4"/>
      <c r="HA1855" s="4"/>
      <c r="HB1855" s="4"/>
      <c r="HC1855" s="4"/>
      <c r="HD1855" s="4"/>
      <c r="HE1855" s="4">
        <v>40</v>
      </c>
    </row>
    <row r="1856">
      <c r="A1856" s="2" t="s">
        <v>9078</v>
      </c>
      <c r="B1856" s="2" t="s">
        <v>223</v>
      </c>
      <c r="C1856" s="2" t="s">
        <v>345</v>
      </c>
      <c r="D1856" s="2" t="s">
        <v>1112</v>
      </c>
      <c r="E1856" s="2" t="s">
        <v>1113</v>
      </c>
      <c r="F1856" s="2" t="s">
        <v>9072</v>
      </c>
      <c r="G1856" s="2" t="s">
        <v>9073</v>
      </c>
      <c r="H1856" s="2" t="s">
        <v>9073</v>
      </c>
      <c r="I1856" s="2" t="s">
        <v>9074</v>
      </c>
      <c r="J1856" s="2" t="s">
        <v>1189</v>
      </c>
      <c r="K1856" s="2" t="s">
        <v>249</v>
      </c>
      <c r="L1856" s="3">
        <v>25</v>
      </c>
      <c r="M1856" s="3">
        <v>26.25</v>
      </c>
      <c r="N1856" s="3">
        <v>49.99</v>
      </c>
      <c r="O1856" s="2" t="s">
        <v>240</v>
      </c>
      <c r="P1856" s="2" t="s">
        <v>266</v>
      </c>
      <c r="Q1856" s="2" t="s">
        <v>234</v>
      </c>
      <c r="R1856" s="2" t="s">
        <v>228</v>
      </c>
      <c r="S1856" s="2" t="s">
        <v>9079</v>
      </c>
      <c r="T1856" s="2" t="s">
        <v>415</v>
      </c>
      <c r="U1856" s="2" t="s">
        <v>500</v>
      </c>
      <c r="V1856" s="2" t="s">
        <v>1438</v>
      </c>
      <c r="W1856" s="2" t="s">
        <v>1267</v>
      </c>
      <c r="X1856" s="2" t="s">
        <v>228</v>
      </c>
      <c r="Y1856" s="2" t="s">
        <v>9080</v>
      </c>
      <c r="Z1856" s="4">
        <v>600</v>
      </c>
      <c r="AA1856" s="4">
        <f>=ROUNDDOWN(23.0769230769231,0)</f>
      </c>
      <c r="AB1856" s="5">
        <v>26</v>
      </c>
      <c r="AC1856" s="2" t="s">
        <v>1270</v>
      </c>
      <c r="AD1856" s="4">
        <v>150</v>
      </c>
      <c r="AE1856" s="4">
        <v>1090</v>
      </c>
      <c r="AF1856" s="6">
        <v>65</v>
      </c>
      <c r="AG1856" s="6">
        <v>48</v>
      </c>
      <c r="AH1856" s="7">
        <v>1</v>
      </c>
      <c r="AI1856" s="4"/>
      <c r="AJ1856" s="4">
        <f>=ROUNDDOWN({0},0)</f>
      </c>
      <c r="AK1856" s="5"/>
      <c r="AL1856" s="2" t="s">
        <v>228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 t="s">
        <v>228</v>
      </c>
      <c r="AW1856" s="8" t="s">
        <v>228</v>
      </c>
      <c r="AX1856" s="4" t="s">
        <v>228</v>
      </c>
      <c r="AY1856" s="8" t="s">
        <v>228</v>
      </c>
      <c r="AZ1856" s="7" t="s">
        <v>228</v>
      </c>
      <c r="BA1856" s="7" t="s">
        <v>228</v>
      </c>
      <c r="BB1856" s="7"/>
      <c r="BC1856" s="4" t="s">
        <v>228</v>
      </c>
      <c r="BD1856" s="8" t="s">
        <v>228</v>
      </c>
      <c r="BE1856" s="4" t="s">
        <v>228</v>
      </c>
      <c r="BF1856" s="8" t="s">
        <v>228</v>
      </c>
      <c r="BG1856" s="7" t="s">
        <v>228</v>
      </c>
      <c r="BH1856" s="7" t="s">
        <v>228</v>
      </c>
      <c r="BI1856" s="7"/>
      <c r="BJ1856" s="4">
        <v>117</v>
      </c>
      <c r="BK1856" s="8">
        <v>2744.45</v>
      </c>
      <c r="BL1856" s="2" t="s">
        <v>9081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9082</v>
      </c>
      <c r="BV1856" s="2" t="s">
        <v>228</v>
      </c>
      <c r="BW1856" s="2" t="s">
        <v>228</v>
      </c>
      <c r="BX1856" s="2" t="s">
        <v>273</v>
      </c>
      <c r="BY1856" s="2" t="s">
        <v>274</v>
      </c>
      <c r="BZ1856" s="2" t="s">
        <v>240</v>
      </c>
      <c r="CA1856" s="2" t="s">
        <v>9080</v>
      </c>
      <c r="CB1856" s="2" t="s">
        <v>4022</v>
      </c>
      <c r="CC1856" s="2" t="s">
        <v>241</v>
      </c>
      <c r="CD1856" s="2" t="s">
        <v>228</v>
      </c>
      <c r="CE1856" s="4">
        <v>465</v>
      </c>
      <c r="CF1856" s="4"/>
      <c r="CG1856" s="4"/>
      <c r="CH1856" s="4">
        <v>135</v>
      </c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>
        <v>150</v>
      </c>
      <c r="DA1856" s="4"/>
      <c r="DB1856" s="4"/>
      <c r="DC1856" s="4"/>
      <c r="DD1856" s="4"/>
      <c r="DE1856" s="4"/>
      <c r="DF1856" s="4"/>
      <c r="DG1856" s="4"/>
      <c r="DH1856" s="4"/>
      <c r="DI1856" s="4"/>
      <c r="DJ1856" s="4"/>
      <c r="DK1856" s="4"/>
      <c r="DL1856" s="4"/>
      <c r="DM1856" s="4"/>
      <c r="DN1856" s="4"/>
      <c r="DO1856" s="4"/>
      <c r="DP1856" s="4"/>
      <c r="DQ1856" s="4"/>
      <c r="DR1856" s="4"/>
      <c r="DS1856" s="4"/>
      <c r="DT1856" s="4"/>
      <c r="DU1856" s="4"/>
      <c r="DV1856" s="4"/>
      <c r="DW1856" s="4"/>
      <c r="DX1856" s="4"/>
      <c r="DY1856" s="4"/>
      <c r="DZ1856" s="4"/>
      <c r="EA1856" s="4"/>
      <c r="EB1856" s="4"/>
      <c r="EC1856" s="4"/>
      <c r="ED1856" s="4"/>
      <c r="EE1856" s="4"/>
      <c r="EF1856" s="4"/>
      <c r="EG1856" s="4">
        <v>100</v>
      </c>
      <c r="EH1856" s="4"/>
      <c r="EI1856" s="4"/>
      <c r="EJ1856" s="4"/>
      <c r="EK1856" s="4"/>
      <c r="EL1856" s="4"/>
      <c r="EM1856" s="4"/>
      <c r="EN1856" s="4"/>
      <c r="EO1856" s="4"/>
      <c r="EP1856" s="4"/>
      <c r="EQ1856" s="4">
        <v>190</v>
      </c>
      <c r="ER1856" s="4"/>
      <c r="ES1856" s="4"/>
      <c r="ET1856" s="4"/>
      <c r="EU1856" s="4"/>
      <c r="EV1856" s="4"/>
      <c r="EW1856" s="4"/>
      <c r="EX1856" s="4"/>
      <c r="EY1856" s="4"/>
      <c r="EZ1856" s="4"/>
      <c r="FA1856" s="4"/>
      <c r="FB1856" s="4"/>
      <c r="FC1856" s="4"/>
      <c r="FD1856" s="4"/>
      <c r="FE1856" s="4"/>
      <c r="FF1856" s="4">
        <v>400</v>
      </c>
      <c r="FG1856" s="4"/>
      <c r="FH1856" s="4"/>
      <c r="FI1856" s="4"/>
      <c r="FJ1856" s="4"/>
      <c r="FK1856" s="4">
        <v>250</v>
      </c>
      <c r="FL1856" s="4"/>
      <c r="FM1856" s="4"/>
      <c r="FN1856" s="4"/>
      <c r="FO1856" s="4"/>
      <c r="FP1856" s="4"/>
      <c r="FQ1856" s="4"/>
      <c r="FR1856" s="4"/>
      <c r="FS1856" s="4"/>
      <c r="FT1856" s="4"/>
      <c r="FU1856" s="4"/>
      <c r="FV1856" s="4"/>
      <c r="FW1856" s="4"/>
      <c r="FX1856" s="4"/>
      <c r="FY1856" s="4"/>
      <c r="FZ1856" s="4"/>
      <c r="GA1856" s="4"/>
      <c r="GB1856" s="4"/>
      <c r="GC1856" s="4"/>
      <c r="GD1856" s="4"/>
      <c r="GE1856" s="4"/>
      <c r="GF1856" s="4"/>
      <c r="GG1856" s="4"/>
      <c r="GH1856" s="4"/>
      <c r="GI1856" s="4"/>
      <c r="GJ1856" s="4"/>
      <c r="GK1856" s="4"/>
      <c r="GL1856" s="4"/>
      <c r="GM1856" s="4"/>
      <c r="GN1856" s="4"/>
      <c r="GO1856" s="4"/>
      <c r="GP1856" s="4"/>
      <c r="GQ1856" s="4"/>
      <c r="GR1856" s="4"/>
      <c r="GS1856" s="4"/>
      <c r="GT1856" s="4"/>
      <c r="GU1856" s="4"/>
      <c r="GV1856" s="4"/>
      <c r="GW1856" s="4"/>
      <c r="GX1856" s="4"/>
      <c r="GY1856" s="4"/>
      <c r="GZ1856" s="4"/>
      <c r="HA1856" s="4"/>
      <c r="HB1856" s="4"/>
      <c r="HC1856" s="4"/>
      <c r="HD1856" s="4"/>
      <c r="HE1856" s="4"/>
    </row>
    <row r="1857">
      <c r="A1857" s="2" t="s">
        <v>9083</v>
      </c>
      <c r="B1857" s="2" t="s">
        <v>223</v>
      </c>
      <c r="C1857" s="2" t="s">
        <v>345</v>
      </c>
      <c r="D1857" s="2" t="s">
        <v>1112</v>
      </c>
      <c r="E1857" s="2" t="s">
        <v>1113</v>
      </c>
      <c r="F1857" s="2" t="s">
        <v>9072</v>
      </c>
      <c r="G1857" s="2" t="s">
        <v>9073</v>
      </c>
      <c r="H1857" s="2" t="s">
        <v>9073</v>
      </c>
      <c r="I1857" s="2" t="s">
        <v>9074</v>
      </c>
      <c r="J1857" s="2" t="s">
        <v>1043</v>
      </c>
      <c r="K1857" s="2" t="s">
        <v>249</v>
      </c>
      <c r="L1857" s="3">
        <v>30</v>
      </c>
      <c r="M1857" s="3">
        <v>31.5</v>
      </c>
      <c r="N1857" s="3">
        <v>59.99</v>
      </c>
      <c r="O1857" s="2" t="s">
        <v>240</v>
      </c>
      <c r="P1857" s="2" t="s">
        <v>266</v>
      </c>
      <c r="Q1857" s="2" t="s">
        <v>234</v>
      </c>
      <c r="R1857" s="2" t="s">
        <v>228</v>
      </c>
      <c r="S1857" s="2" t="s">
        <v>9079</v>
      </c>
      <c r="T1857" s="2" t="s">
        <v>415</v>
      </c>
      <c r="U1857" s="2" t="s">
        <v>500</v>
      </c>
      <c r="V1857" s="2" t="s">
        <v>1438</v>
      </c>
      <c r="W1857" s="2" t="s">
        <v>1267</v>
      </c>
      <c r="X1857" s="2" t="s">
        <v>228</v>
      </c>
      <c r="Y1857" s="2" t="s">
        <v>9080</v>
      </c>
      <c r="Z1857" s="4">
        <v>323</v>
      </c>
      <c r="AA1857" s="4">
        <f>=ROUNDDOWN(24.8461538461538,0)</f>
      </c>
      <c r="AB1857" s="5">
        <v>13</v>
      </c>
      <c r="AC1857" s="2" t="s">
        <v>1270</v>
      </c>
      <c r="AD1857" s="4">
        <v>150</v>
      </c>
      <c r="AE1857" s="4">
        <v>400</v>
      </c>
      <c r="AF1857" s="6">
        <v>65</v>
      </c>
      <c r="AG1857" s="6"/>
      <c r="AH1857" s="7">
        <v>1</v>
      </c>
      <c r="AI1857" s="4"/>
      <c r="AJ1857" s="4">
        <f>=ROUNDDOWN({0},0)</f>
      </c>
      <c r="AK1857" s="5"/>
      <c r="AL1857" s="2" t="s">
        <v>228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 t="s">
        <v>228</v>
      </c>
      <c r="AW1857" s="8" t="s">
        <v>228</v>
      </c>
      <c r="AX1857" s="4" t="s">
        <v>228</v>
      </c>
      <c r="AY1857" s="8" t="s">
        <v>228</v>
      </c>
      <c r="AZ1857" s="7" t="s">
        <v>228</v>
      </c>
      <c r="BA1857" s="7" t="s">
        <v>228</v>
      </c>
      <c r="BB1857" s="7"/>
      <c r="BC1857" s="4" t="s">
        <v>228</v>
      </c>
      <c r="BD1857" s="8" t="s">
        <v>228</v>
      </c>
      <c r="BE1857" s="4" t="s">
        <v>228</v>
      </c>
      <c r="BF1857" s="8" t="s">
        <v>228</v>
      </c>
      <c r="BG1857" s="7" t="s">
        <v>228</v>
      </c>
      <c r="BH1857" s="7" t="s">
        <v>228</v>
      </c>
      <c r="BI1857" s="7"/>
      <c r="BJ1857" s="4">
        <v>36</v>
      </c>
      <c r="BK1857" s="8">
        <v>1030.2</v>
      </c>
      <c r="BL1857" s="2" t="s">
        <v>9084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9085</v>
      </c>
      <c r="BV1857" s="2" t="s">
        <v>228</v>
      </c>
      <c r="BW1857" s="2" t="s">
        <v>228</v>
      </c>
      <c r="BX1857" s="2" t="s">
        <v>273</v>
      </c>
      <c r="BY1857" s="2" t="s">
        <v>274</v>
      </c>
      <c r="BZ1857" s="2" t="s">
        <v>240</v>
      </c>
      <c r="CA1857" s="2" t="s">
        <v>9080</v>
      </c>
      <c r="CB1857" s="2" t="s">
        <v>3835</v>
      </c>
      <c r="CC1857" s="2" t="s">
        <v>241</v>
      </c>
      <c r="CD1857" s="2" t="s">
        <v>228</v>
      </c>
      <c r="CE1857" s="4">
        <v>323</v>
      </c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>
        <v>150</v>
      </c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/>
      <c r="DP1857" s="4"/>
      <c r="DQ1857" s="4"/>
      <c r="DR1857" s="4"/>
      <c r="DS1857" s="4"/>
      <c r="DT1857" s="4"/>
      <c r="DU1857" s="4"/>
      <c r="DV1857" s="4"/>
      <c r="DW1857" s="4"/>
      <c r="DX1857" s="4"/>
      <c r="DY1857" s="4"/>
      <c r="DZ1857" s="4"/>
      <c r="EA1857" s="4"/>
      <c r="EB1857" s="4"/>
      <c r="EC1857" s="4"/>
      <c r="ED1857" s="4"/>
      <c r="EE1857" s="4"/>
      <c r="EF1857" s="4"/>
      <c r="EG1857" s="4"/>
      <c r="EH1857" s="4"/>
      <c r="EI1857" s="4"/>
      <c r="EJ1857" s="4"/>
      <c r="EK1857" s="4"/>
      <c r="EL1857" s="4"/>
      <c r="EM1857" s="4"/>
      <c r="EN1857" s="4"/>
      <c r="EO1857" s="4"/>
      <c r="EP1857" s="4"/>
      <c r="EQ1857" s="4">
        <v>50</v>
      </c>
      <c r="ER1857" s="4"/>
      <c r="ES1857" s="4"/>
      <c r="ET1857" s="4"/>
      <c r="EU1857" s="4"/>
      <c r="EV1857" s="4"/>
      <c r="EW1857" s="4"/>
      <c r="EX1857" s="4"/>
      <c r="EY1857" s="4"/>
      <c r="EZ1857" s="4"/>
      <c r="FA1857" s="4"/>
      <c r="FB1857" s="4"/>
      <c r="FC1857" s="4"/>
      <c r="FD1857" s="4"/>
      <c r="FE1857" s="4"/>
      <c r="FF1857" s="4">
        <v>200</v>
      </c>
      <c r="FG1857" s="4"/>
      <c r="FH1857" s="4"/>
      <c r="FI1857" s="4"/>
      <c r="FJ1857" s="4"/>
      <c r="FK1857" s="4"/>
      <c r="FL1857" s="4"/>
      <c r="FM1857" s="4"/>
      <c r="FN1857" s="4"/>
      <c r="FO1857" s="4"/>
      <c r="FP1857" s="4"/>
      <c r="FQ1857" s="4"/>
      <c r="FR1857" s="4"/>
      <c r="FS1857" s="4"/>
      <c r="FT1857" s="4"/>
      <c r="FU1857" s="4"/>
      <c r="FV1857" s="4"/>
      <c r="FW1857" s="4"/>
      <c r="FX1857" s="4"/>
      <c r="FY1857" s="4"/>
      <c r="FZ1857" s="4"/>
      <c r="GA1857" s="4"/>
      <c r="GB1857" s="4"/>
      <c r="GC1857" s="4"/>
      <c r="GD1857" s="4"/>
      <c r="GE1857" s="4"/>
      <c r="GF1857" s="4"/>
      <c r="GG1857" s="4"/>
      <c r="GH1857" s="4"/>
      <c r="GI1857" s="4"/>
      <c r="GJ1857" s="4"/>
      <c r="GK1857" s="4"/>
      <c r="GL1857" s="4"/>
      <c r="GM1857" s="4"/>
      <c r="GN1857" s="4"/>
      <c r="GO1857" s="4"/>
      <c r="GP1857" s="4"/>
      <c r="GQ1857" s="4"/>
      <c r="GR1857" s="4"/>
      <c r="GS1857" s="4"/>
      <c r="GT1857" s="4"/>
      <c r="GU1857" s="4"/>
      <c r="GV1857" s="4"/>
      <c r="GW1857" s="4"/>
      <c r="GX1857" s="4"/>
      <c r="GY1857" s="4"/>
      <c r="GZ1857" s="4"/>
      <c r="HA1857" s="4"/>
      <c r="HB1857" s="4"/>
      <c r="HC1857" s="4"/>
      <c r="HD1857" s="4"/>
      <c r="HE1857" s="4"/>
    </row>
    <row r="1858">
      <c r="A1858" s="2" t="s">
        <v>9086</v>
      </c>
      <c r="B1858" s="2" t="s">
        <v>866</v>
      </c>
      <c r="C1858" s="2" t="s">
        <v>835</v>
      </c>
      <c r="D1858" s="2" t="s">
        <v>1880</v>
      </c>
      <c r="E1858" s="2" t="s">
        <v>868</v>
      </c>
      <c r="F1858" s="2" t="s">
        <v>9087</v>
      </c>
      <c r="G1858" s="2" t="s">
        <v>9087</v>
      </c>
      <c r="H1858" s="2" t="s">
        <v>9087</v>
      </c>
      <c r="I1858" s="2" t="s">
        <v>9088</v>
      </c>
      <c r="J1858" s="2" t="s">
        <v>840</v>
      </c>
      <c r="K1858" s="2" t="s">
        <v>7127</v>
      </c>
      <c r="L1858" s="3">
        <v>52.38</v>
      </c>
      <c r="M1858" s="3">
        <v>55</v>
      </c>
      <c r="N1858" s="3">
        <v>109.99</v>
      </c>
      <c r="O1858" s="2" t="s">
        <v>240</v>
      </c>
      <c r="P1858" s="2" t="s">
        <v>1012</v>
      </c>
      <c r="Q1858" s="2" t="s">
        <v>234</v>
      </c>
      <c r="R1858" s="2" t="s">
        <v>228</v>
      </c>
      <c r="S1858" s="2" t="s">
        <v>228</v>
      </c>
      <c r="T1858" s="2" t="s">
        <v>228</v>
      </c>
      <c r="U1858" s="2" t="s">
        <v>416</v>
      </c>
      <c r="V1858" s="2" t="s">
        <v>859</v>
      </c>
      <c r="W1858" s="2" t="s">
        <v>417</v>
      </c>
      <c r="X1858" s="2" t="s">
        <v>843</v>
      </c>
      <c r="Y1858" s="2" t="s">
        <v>5478</v>
      </c>
      <c r="Z1858" s="4">
        <v>59</v>
      </c>
      <c r="AA1858" s="4">
        <f>=ROUNDDOWN(29.5,0)</f>
      </c>
      <c r="AB1858" s="5">
        <v>2</v>
      </c>
      <c r="AC1858" s="2" t="s">
        <v>228</v>
      </c>
      <c r="AD1858" s="4"/>
      <c r="AE1858" s="4"/>
      <c r="AF1858" s="6">
        <v>63</v>
      </c>
      <c r="AG1858" s="6"/>
      <c r="AH1858" s="7">
        <v>1</v>
      </c>
      <c r="AI1858" s="4"/>
      <c r="AJ1858" s="4">
        <f>=ROUNDDOWN({0},0)</f>
      </c>
      <c r="AK1858" s="5"/>
      <c r="AL1858" s="2" t="s">
        <v>228</v>
      </c>
      <c r="AM1858" s="4"/>
      <c r="AN1858" s="4"/>
      <c r="AO1858" s="7"/>
      <c r="AP1858" s="4"/>
      <c r="AQ1858" s="8"/>
      <c r="AR1858" s="4"/>
      <c r="AS1858" s="8"/>
      <c r="AT1858" s="7"/>
      <c r="AU1858" s="7"/>
      <c r="AV1858" s="4"/>
      <c r="AW1858" s="8"/>
      <c r="AX1858" s="4"/>
      <c r="AY1858" s="8"/>
      <c r="AZ1858" s="7"/>
      <c r="BA1858" s="7"/>
      <c r="BB1858" s="7"/>
      <c r="BC1858" s="4"/>
      <c r="BD1858" s="8"/>
      <c r="BE1858" s="4"/>
      <c r="BF1858" s="8"/>
      <c r="BG1858" s="7"/>
      <c r="BH1858" s="7"/>
      <c r="BI1858" s="7"/>
      <c r="BJ1858" s="4">
        <v>12</v>
      </c>
      <c r="BK1858" s="8">
        <v>702.16</v>
      </c>
      <c r="BL1858" s="2" t="s">
        <v>807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9089</v>
      </c>
      <c r="BV1858" s="2" t="s">
        <v>228</v>
      </c>
      <c r="BW1858" s="2" t="s">
        <v>228</v>
      </c>
      <c r="BX1858" s="2" t="s">
        <v>273</v>
      </c>
      <c r="BY1858" s="2" t="s">
        <v>274</v>
      </c>
      <c r="BZ1858" s="2" t="s">
        <v>240</v>
      </c>
      <c r="CA1858" s="2" t="s">
        <v>1821</v>
      </c>
      <c r="CB1858" s="2" t="s">
        <v>5992</v>
      </c>
      <c r="CC1858" s="2" t="s">
        <v>241</v>
      </c>
      <c r="CD1858" s="2" t="s">
        <v>228</v>
      </c>
      <c r="CE1858" s="4"/>
      <c r="CF1858" s="4">
        <v>59</v>
      </c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  <c r="DL1858" s="4"/>
      <c r="DM1858" s="4"/>
      <c r="DN1858" s="4"/>
      <c r="DO1858" s="4"/>
      <c r="DP1858" s="4"/>
      <c r="DQ1858" s="4"/>
      <c r="DR1858" s="4"/>
      <c r="DS1858" s="4"/>
      <c r="DT1858" s="4"/>
      <c r="DU1858" s="4"/>
      <c r="DV1858" s="4"/>
      <c r="DW1858" s="4"/>
      <c r="DX1858" s="4"/>
      <c r="DY1858" s="4"/>
      <c r="DZ1858" s="4"/>
      <c r="EA1858" s="4"/>
      <c r="EB1858" s="4"/>
      <c r="EC1858" s="4"/>
      <c r="ED1858" s="4"/>
      <c r="EE1858" s="4"/>
      <c r="EF1858" s="4"/>
      <c r="EG1858" s="4"/>
      <c r="EH1858" s="4"/>
      <c r="EI1858" s="4"/>
      <c r="EJ1858" s="4"/>
      <c r="EK1858" s="4"/>
      <c r="EL1858" s="4"/>
      <c r="EM1858" s="4"/>
      <c r="EN1858" s="4"/>
      <c r="EO1858" s="4"/>
      <c r="EP1858" s="4"/>
      <c r="EQ1858" s="4"/>
      <c r="ER1858" s="4"/>
      <c r="ES1858" s="4"/>
      <c r="ET1858" s="4"/>
      <c r="EU1858" s="4"/>
      <c r="EV1858" s="4"/>
      <c r="EW1858" s="4"/>
      <c r="EX1858" s="4"/>
      <c r="EY1858" s="4"/>
      <c r="EZ1858" s="4"/>
      <c r="FA1858" s="4"/>
      <c r="FB1858" s="4"/>
      <c r="FC1858" s="4"/>
      <c r="FD1858" s="4"/>
      <c r="FE1858" s="4"/>
      <c r="FF1858" s="4"/>
      <c r="FG1858" s="4"/>
      <c r="FH1858" s="4"/>
      <c r="FI1858" s="4"/>
      <c r="FJ1858" s="4"/>
      <c r="FK1858" s="4"/>
      <c r="FL1858" s="4"/>
      <c r="FM1858" s="4"/>
      <c r="FN1858" s="4"/>
      <c r="FO1858" s="4"/>
      <c r="FP1858" s="4"/>
      <c r="FQ1858" s="4"/>
      <c r="FR1858" s="4"/>
      <c r="FS1858" s="4"/>
      <c r="FT1858" s="4"/>
      <c r="FU1858" s="4"/>
      <c r="FV1858" s="4"/>
      <c r="FW1858" s="4"/>
      <c r="FX1858" s="4"/>
      <c r="FY1858" s="4"/>
      <c r="FZ1858" s="4"/>
      <c r="GA1858" s="4"/>
      <c r="GB1858" s="4"/>
      <c r="GC1858" s="4"/>
      <c r="GD1858" s="4"/>
      <c r="GE1858" s="4"/>
      <c r="GF1858" s="4"/>
      <c r="GG1858" s="4"/>
      <c r="GH1858" s="4"/>
      <c r="GI1858" s="4"/>
      <c r="GJ1858" s="4"/>
      <c r="GK1858" s="4"/>
      <c r="GL1858" s="4"/>
      <c r="GM1858" s="4"/>
      <c r="GN1858" s="4"/>
      <c r="GO1858" s="4"/>
      <c r="GP1858" s="4"/>
      <c r="GQ1858" s="4"/>
      <c r="GR1858" s="4"/>
      <c r="GS1858" s="4"/>
      <c r="GT1858" s="4"/>
      <c r="GU1858" s="4"/>
      <c r="GV1858" s="4"/>
      <c r="GW1858" s="4"/>
      <c r="GX1858" s="4"/>
      <c r="GY1858" s="4"/>
      <c r="GZ1858" s="4"/>
      <c r="HA1858" s="4"/>
      <c r="HB1858" s="4"/>
      <c r="HC1858" s="4"/>
      <c r="HD1858" s="4"/>
      <c r="HE1858" s="4"/>
    </row>
    <row r="1859">
      <c r="A1859" s="2" t="s">
        <v>9090</v>
      </c>
      <c r="B1859" s="2" t="s">
        <v>958</v>
      </c>
      <c r="C1859" s="2" t="s">
        <v>1743</v>
      </c>
      <c r="D1859" s="2" t="s">
        <v>959</v>
      </c>
      <c r="E1859" s="2" t="s">
        <v>3094</v>
      </c>
      <c r="F1859" s="2" t="s">
        <v>9091</v>
      </c>
      <c r="G1859" s="2" t="s">
        <v>9091</v>
      </c>
      <c r="H1859" s="2" t="s">
        <v>9091</v>
      </c>
      <c r="I1859" s="2" t="s">
        <v>9092</v>
      </c>
      <c r="J1859" s="2" t="s">
        <v>840</v>
      </c>
      <c r="K1859" s="2" t="s">
        <v>1653</v>
      </c>
      <c r="L1859" s="3">
        <v>118.75</v>
      </c>
      <c r="M1859" s="3">
        <v>124.69</v>
      </c>
      <c r="N1859" s="3">
        <v>249</v>
      </c>
      <c r="O1859" s="2" t="s">
        <v>240</v>
      </c>
      <c r="P1859" s="2" t="s">
        <v>266</v>
      </c>
      <c r="Q1859" s="2" t="s">
        <v>234</v>
      </c>
      <c r="R1859" s="2" t="s">
        <v>228</v>
      </c>
      <c r="S1859" s="2" t="s">
        <v>228</v>
      </c>
      <c r="T1859" s="2" t="s">
        <v>228</v>
      </c>
      <c r="U1859" s="2" t="s">
        <v>416</v>
      </c>
      <c r="V1859" s="2" t="s">
        <v>842</v>
      </c>
      <c r="W1859" s="2" t="s">
        <v>463</v>
      </c>
      <c r="X1859" s="2" t="s">
        <v>269</v>
      </c>
      <c r="Y1859" s="2" t="s">
        <v>5309</v>
      </c>
      <c r="Z1859" s="4">
        <v>3</v>
      </c>
      <c r="AA1859" s="4">
        <f>=ROUNDDOWN(0.0967741935483871,0)</f>
      </c>
      <c r="AB1859" s="5">
        <v>31</v>
      </c>
      <c r="AC1859" s="2" t="s">
        <v>164</v>
      </c>
      <c r="AD1859" s="4">
        <v>280</v>
      </c>
      <c r="AE1859" s="4">
        <v>814</v>
      </c>
      <c r="AF1859" s="6">
        <v>74</v>
      </c>
      <c r="AG1859" s="6"/>
      <c r="AH1859" s="7">
        <v>0</v>
      </c>
      <c r="AI1859" s="4"/>
      <c r="AJ1859" s="4">
        <f>=ROUNDDOWN({0},0)</f>
      </c>
      <c r="AK1859" s="5"/>
      <c r="AL1859" s="2" t="s">
        <v>228</v>
      </c>
      <c r="AM1859" s="4"/>
      <c r="AN1859" s="4"/>
      <c r="AO1859" s="7"/>
      <c r="AP1859" s="4"/>
      <c r="AQ1859" s="8"/>
      <c r="AR1859" s="4"/>
      <c r="AS1859" s="8"/>
      <c r="AT1859" s="7"/>
      <c r="AU1859" s="7"/>
      <c r="AV1859" s="4"/>
      <c r="AW1859" s="8"/>
      <c r="AX1859" s="4"/>
      <c r="AY1859" s="8"/>
      <c r="AZ1859" s="7"/>
      <c r="BA1859" s="7"/>
      <c r="BB1859" s="7"/>
      <c r="BC1859" s="4" t="s">
        <v>228</v>
      </c>
      <c r="BD1859" s="8" t="s">
        <v>228</v>
      </c>
      <c r="BE1859" s="4" t="s">
        <v>228</v>
      </c>
      <c r="BF1859" s="8" t="s">
        <v>228</v>
      </c>
      <c r="BG1859" s="7" t="s">
        <v>228</v>
      </c>
      <c r="BH1859" s="7" t="s">
        <v>228</v>
      </c>
      <c r="BI1859" s="7"/>
      <c r="BJ1859" s="4">
        <v>1</v>
      </c>
      <c r="BK1859" s="8">
        <v>147</v>
      </c>
      <c r="BL1859" s="2" t="s">
        <v>484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238</v>
      </c>
      <c r="BV1859" s="2" t="s">
        <v>228</v>
      </c>
      <c r="BW1859" s="2" t="s">
        <v>228</v>
      </c>
      <c r="BX1859" s="2" t="s">
        <v>273</v>
      </c>
      <c r="BY1859" s="2" t="s">
        <v>2353</v>
      </c>
      <c r="BZ1859" s="2" t="s">
        <v>240</v>
      </c>
      <c r="CA1859" s="2" t="s">
        <v>228</v>
      </c>
      <c r="CB1859" s="2" t="s">
        <v>228</v>
      </c>
      <c r="CC1859" s="2" t="s">
        <v>241</v>
      </c>
      <c r="CD1859" s="2" t="s">
        <v>228</v>
      </c>
      <c r="CE1859" s="4"/>
      <c r="CF1859" s="4">
        <v>3</v>
      </c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/>
      <c r="DS1859" s="4"/>
      <c r="DT1859" s="4"/>
      <c r="DU1859" s="4"/>
      <c r="DV1859" s="4"/>
      <c r="DW1859" s="4"/>
      <c r="DX1859" s="4"/>
      <c r="DY1859" s="4"/>
      <c r="DZ1859" s="4"/>
      <c r="EA1859" s="4"/>
      <c r="EB1859" s="4"/>
      <c r="EC1859" s="4"/>
      <c r="ED1859" s="4"/>
      <c r="EE1859" s="4"/>
      <c r="EF1859" s="4"/>
      <c r="EG1859" s="4"/>
      <c r="EH1859" s="4"/>
      <c r="EI1859" s="4"/>
      <c r="EJ1859" s="4"/>
      <c r="EK1859" s="4"/>
      <c r="EL1859" s="4"/>
      <c r="EM1859" s="4"/>
      <c r="EN1859" s="4"/>
      <c r="EO1859" s="4"/>
      <c r="EP1859" s="4"/>
      <c r="EQ1859" s="4"/>
      <c r="ER1859" s="4"/>
      <c r="ES1859" s="4"/>
      <c r="ET1859" s="4"/>
      <c r="EU1859" s="4"/>
      <c r="EV1859" s="4"/>
      <c r="EW1859" s="4"/>
      <c r="EX1859" s="4"/>
      <c r="EY1859" s="4"/>
      <c r="EZ1859" s="4">
        <v>280</v>
      </c>
      <c r="FA1859" s="4"/>
      <c r="FB1859" s="4"/>
      <c r="FC1859" s="4"/>
      <c r="FD1859" s="4"/>
      <c r="FE1859" s="4"/>
      <c r="FF1859" s="4"/>
      <c r="FG1859" s="4"/>
      <c r="FH1859" s="4"/>
      <c r="FI1859" s="4"/>
      <c r="FJ1859" s="4"/>
      <c r="FK1859" s="4"/>
      <c r="FL1859" s="4"/>
      <c r="FM1859" s="4"/>
      <c r="FN1859" s="4"/>
      <c r="FO1859" s="4"/>
      <c r="FP1859" s="4"/>
      <c r="FQ1859" s="4"/>
      <c r="FR1859" s="4"/>
      <c r="FS1859" s="4"/>
      <c r="FT1859" s="4">
        <v>420</v>
      </c>
      <c r="FU1859" s="4"/>
      <c r="FV1859" s="4"/>
      <c r="FW1859" s="4">
        <v>114</v>
      </c>
      <c r="FX1859" s="4"/>
      <c r="FY1859" s="4"/>
      <c r="FZ1859" s="4"/>
      <c r="GA1859" s="4"/>
      <c r="GB1859" s="4"/>
      <c r="GC1859" s="4"/>
      <c r="GD1859" s="4"/>
      <c r="GE1859" s="4"/>
      <c r="GF1859" s="4"/>
      <c r="GG1859" s="4"/>
      <c r="GH1859" s="4"/>
      <c r="GI1859" s="4"/>
      <c r="GJ1859" s="4"/>
      <c r="GK1859" s="4"/>
      <c r="GL1859" s="4"/>
      <c r="GM1859" s="4"/>
      <c r="GN1859" s="4"/>
      <c r="GO1859" s="4"/>
      <c r="GP1859" s="4"/>
      <c r="GQ1859" s="4"/>
      <c r="GR1859" s="4"/>
      <c r="GS1859" s="4"/>
      <c r="GT1859" s="4"/>
      <c r="GU1859" s="4"/>
      <c r="GV1859" s="4"/>
      <c r="GW1859" s="4"/>
      <c r="GX1859" s="4"/>
      <c r="GY1859" s="4"/>
      <c r="GZ1859" s="4"/>
      <c r="HA1859" s="4"/>
      <c r="HB1859" s="4"/>
      <c r="HC1859" s="4"/>
      <c r="HD1859" s="4"/>
      <c r="HE1859" s="4"/>
    </row>
    <row r="1860">
      <c r="A1860" s="2" t="s">
        <v>9093</v>
      </c>
      <c r="B1860" s="2" t="s">
        <v>958</v>
      </c>
      <c r="C1860" s="2" t="s">
        <v>1743</v>
      </c>
      <c r="D1860" s="2" t="s">
        <v>959</v>
      </c>
      <c r="E1860" s="2" t="s">
        <v>3094</v>
      </c>
      <c r="F1860" s="2" t="s">
        <v>9091</v>
      </c>
      <c r="G1860" s="2" t="s">
        <v>9091</v>
      </c>
      <c r="H1860" s="2" t="s">
        <v>9091</v>
      </c>
      <c r="I1860" s="2" t="s">
        <v>9092</v>
      </c>
      <c r="J1860" s="2" t="s">
        <v>840</v>
      </c>
      <c r="K1860" s="2" t="s">
        <v>2358</v>
      </c>
      <c r="L1860" s="3">
        <v>118.75</v>
      </c>
      <c r="M1860" s="3">
        <v>124.69</v>
      </c>
      <c r="N1860" s="3">
        <v>249</v>
      </c>
      <c r="O1860" s="2" t="s">
        <v>240</v>
      </c>
      <c r="P1860" s="2" t="s">
        <v>233</v>
      </c>
      <c r="Q1860" s="2" t="s">
        <v>234</v>
      </c>
      <c r="R1860" s="2" t="s">
        <v>228</v>
      </c>
      <c r="S1860" s="2" t="s">
        <v>228</v>
      </c>
      <c r="T1860" s="2" t="s">
        <v>228</v>
      </c>
      <c r="U1860" s="2" t="s">
        <v>416</v>
      </c>
      <c r="V1860" s="2" t="s">
        <v>842</v>
      </c>
      <c r="W1860" s="2" t="s">
        <v>463</v>
      </c>
      <c r="X1860" s="2" t="s">
        <v>269</v>
      </c>
      <c r="Y1860" s="2" t="s">
        <v>831</v>
      </c>
      <c r="Z1860" s="4">
        <v>73</v>
      </c>
      <c r="AA1860" s="4">
        <f>=ROUNDDOWN(12.1666666666667,0)</f>
      </c>
      <c r="AB1860" s="5">
        <v>6</v>
      </c>
      <c r="AC1860" s="2" t="s">
        <v>156</v>
      </c>
      <c r="AD1860" s="4">
        <v>2</v>
      </c>
      <c r="AE1860" s="4">
        <v>2</v>
      </c>
      <c r="AF1860" s="6">
        <v>74</v>
      </c>
      <c r="AG1860" s="6"/>
      <c r="AH1860" s="7">
        <v>1</v>
      </c>
      <c r="AI1860" s="4"/>
      <c r="AJ1860" s="4">
        <f>=ROUNDDOWN({0},0)</f>
      </c>
      <c r="AK1860" s="5"/>
      <c r="AL1860" s="2" t="s">
        <v>228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/>
      <c r="AW1860" s="8"/>
      <c r="AX1860" s="4"/>
      <c r="AY1860" s="8"/>
      <c r="AZ1860" s="7"/>
      <c r="BA1860" s="7"/>
      <c r="BB1860" s="7"/>
      <c r="BC1860" s="4" t="s">
        <v>228</v>
      </c>
      <c r="BD1860" s="8" t="s">
        <v>228</v>
      </c>
      <c r="BE1860" s="4" t="s">
        <v>228</v>
      </c>
      <c r="BF1860" s="8" t="s">
        <v>228</v>
      </c>
      <c r="BG1860" s="7" t="s">
        <v>228</v>
      </c>
      <c r="BH1860" s="7" t="s">
        <v>228</v>
      </c>
      <c r="BI1860" s="7"/>
      <c r="BJ1860" s="4">
        <v>25</v>
      </c>
      <c r="BK1860" s="8">
        <v>3185.07</v>
      </c>
      <c r="BL1860" s="2" t="s">
        <v>1933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9094</v>
      </c>
      <c r="BV1860" s="2" t="s">
        <v>228</v>
      </c>
      <c r="BW1860" s="2" t="s">
        <v>228</v>
      </c>
      <c r="BX1860" s="2" t="s">
        <v>273</v>
      </c>
      <c r="BY1860" s="2" t="s">
        <v>274</v>
      </c>
      <c r="BZ1860" s="2" t="s">
        <v>240</v>
      </c>
      <c r="CA1860" s="2" t="s">
        <v>1788</v>
      </c>
      <c r="CB1860" s="2" t="s">
        <v>228</v>
      </c>
      <c r="CC1860" s="2" t="s">
        <v>241</v>
      </c>
      <c r="CD1860" s="2" t="s">
        <v>228</v>
      </c>
      <c r="CE1860" s="4"/>
      <c r="CF1860" s="4">
        <v>73</v>
      </c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/>
      <c r="DM1860" s="4"/>
      <c r="DN1860" s="4"/>
      <c r="DO1860" s="4"/>
      <c r="DP1860" s="4"/>
      <c r="DQ1860" s="4"/>
      <c r="DR1860" s="4"/>
      <c r="DS1860" s="4"/>
      <c r="DT1860" s="4"/>
      <c r="DU1860" s="4"/>
      <c r="DV1860" s="4"/>
      <c r="DW1860" s="4"/>
      <c r="DX1860" s="4"/>
      <c r="DY1860" s="4"/>
      <c r="DZ1860" s="4"/>
      <c r="EA1860" s="4"/>
      <c r="EB1860" s="4"/>
      <c r="EC1860" s="4"/>
      <c r="ED1860" s="4"/>
      <c r="EE1860" s="4"/>
      <c r="EF1860" s="4"/>
      <c r="EG1860" s="4"/>
      <c r="EH1860" s="4"/>
      <c r="EI1860" s="4"/>
      <c r="EJ1860" s="4"/>
      <c r="EK1860" s="4"/>
      <c r="EL1860" s="4"/>
      <c r="EM1860" s="4"/>
      <c r="EN1860" s="4"/>
      <c r="EO1860" s="4"/>
      <c r="EP1860" s="4"/>
      <c r="EQ1860" s="4"/>
      <c r="ER1860" s="4">
        <v>2</v>
      </c>
      <c r="ES1860" s="4"/>
      <c r="ET1860" s="4"/>
      <c r="EU1860" s="4"/>
      <c r="EV1860" s="4"/>
      <c r="EW1860" s="4"/>
      <c r="EX1860" s="4"/>
      <c r="EY1860" s="4"/>
      <c r="EZ1860" s="4"/>
      <c r="FA1860" s="4"/>
      <c r="FB1860" s="4"/>
      <c r="FC1860" s="4"/>
      <c r="FD1860" s="4"/>
      <c r="FE1860" s="4"/>
      <c r="FF1860" s="4"/>
      <c r="FG1860" s="4"/>
      <c r="FH1860" s="4"/>
      <c r="FI1860" s="4"/>
      <c r="FJ1860" s="4"/>
      <c r="FK1860" s="4"/>
      <c r="FL1860" s="4"/>
      <c r="FM1860" s="4"/>
      <c r="FN1860" s="4"/>
      <c r="FO1860" s="4"/>
      <c r="FP1860" s="4"/>
      <c r="FQ1860" s="4"/>
      <c r="FR1860" s="4"/>
      <c r="FS1860" s="4"/>
      <c r="FT1860" s="4"/>
      <c r="FU1860" s="4"/>
      <c r="FV1860" s="4"/>
      <c r="FW1860" s="4"/>
      <c r="FX1860" s="4"/>
      <c r="FY1860" s="4"/>
      <c r="FZ1860" s="4"/>
      <c r="GA1860" s="4"/>
      <c r="GB1860" s="4"/>
      <c r="GC1860" s="4"/>
      <c r="GD1860" s="4"/>
      <c r="GE1860" s="4"/>
      <c r="GF1860" s="4"/>
      <c r="GG1860" s="4"/>
      <c r="GH1860" s="4"/>
      <c r="GI1860" s="4"/>
      <c r="GJ1860" s="4"/>
      <c r="GK1860" s="4"/>
      <c r="GL1860" s="4"/>
      <c r="GM1860" s="4"/>
      <c r="GN1860" s="4"/>
      <c r="GO1860" s="4"/>
      <c r="GP1860" s="4"/>
      <c r="GQ1860" s="4"/>
      <c r="GR1860" s="4"/>
      <c r="GS1860" s="4"/>
      <c r="GT1860" s="4"/>
      <c r="GU1860" s="4"/>
      <c r="GV1860" s="4"/>
      <c r="GW1860" s="4"/>
      <c r="GX1860" s="4"/>
      <c r="GY1860" s="4"/>
      <c r="GZ1860" s="4"/>
      <c r="HA1860" s="4"/>
      <c r="HB1860" s="4"/>
      <c r="HC1860" s="4"/>
      <c r="HD1860" s="4"/>
      <c r="HE1860" s="4"/>
    </row>
    <row r="1861">
      <c r="A1861" s="2" t="s">
        <v>9095</v>
      </c>
      <c r="B1861" s="2" t="s">
        <v>299</v>
      </c>
      <c r="C1861" s="2" t="s">
        <v>300</v>
      </c>
      <c r="D1861" s="2" t="s">
        <v>301</v>
      </c>
      <c r="E1861" s="2" t="s">
        <v>302</v>
      </c>
      <c r="F1861" s="2" t="s">
        <v>9096</v>
      </c>
      <c r="G1861" s="2" t="s">
        <v>9096</v>
      </c>
      <c r="H1861" s="2" t="s">
        <v>9096</v>
      </c>
      <c r="I1861" s="2" t="s">
        <v>9097</v>
      </c>
      <c r="J1861" s="2" t="s">
        <v>289</v>
      </c>
      <c r="K1861" s="2" t="s">
        <v>249</v>
      </c>
      <c r="L1861" s="3">
        <v>29.9</v>
      </c>
      <c r="M1861" s="3">
        <v>31.4</v>
      </c>
      <c r="N1861" s="3">
        <v>64.99</v>
      </c>
      <c r="O1861" s="2" t="s">
        <v>240</v>
      </c>
      <c r="P1861" s="2" t="s">
        <v>266</v>
      </c>
      <c r="Q1861" s="2" t="s">
        <v>234</v>
      </c>
      <c r="R1861" s="2" t="s">
        <v>228</v>
      </c>
      <c r="S1861" s="2" t="s">
        <v>9098</v>
      </c>
      <c r="T1861" s="2" t="s">
        <v>350</v>
      </c>
      <c r="U1861" s="2" t="s">
        <v>308</v>
      </c>
      <c r="V1861" s="2" t="s">
        <v>236</v>
      </c>
      <c r="W1861" s="2" t="s">
        <v>269</v>
      </c>
      <c r="X1861" s="2" t="s">
        <v>228</v>
      </c>
      <c r="Y1861" s="2" t="s">
        <v>9099</v>
      </c>
      <c r="Z1861" s="4">
        <v>110</v>
      </c>
      <c r="AA1861" s="4">
        <f>=ROUNDDOWN(13.75,0)</f>
      </c>
      <c r="AB1861" s="5">
        <v>8</v>
      </c>
      <c r="AC1861" s="2" t="s">
        <v>171</v>
      </c>
      <c r="AD1861" s="4">
        <v>186</v>
      </c>
      <c r="AE1861" s="4">
        <v>186</v>
      </c>
      <c r="AF1861" s="6">
        <v>69</v>
      </c>
      <c r="AG1861" s="6"/>
      <c r="AH1861" s="7">
        <v>1</v>
      </c>
      <c r="AI1861" s="4"/>
      <c r="AJ1861" s="4">
        <f>=ROUNDDOWN({0},0)</f>
      </c>
      <c r="AK1861" s="5"/>
      <c r="AL1861" s="2" t="s">
        <v>228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/>
      <c r="AW1861" s="8"/>
      <c r="AX1861" s="4"/>
      <c r="AY1861" s="8"/>
      <c r="AZ1861" s="7"/>
      <c r="BA1861" s="7"/>
      <c r="BB1861" s="7"/>
      <c r="BC1861" s="4" t="s">
        <v>228</v>
      </c>
      <c r="BD1861" s="8" t="s">
        <v>228</v>
      </c>
      <c r="BE1861" s="4" t="s">
        <v>228</v>
      </c>
      <c r="BF1861" s="8" t="s">
        <v>228</v>
      </c>
      <c r="BG1861" s="7" t="s">
        <v>228</v>
      </c>
      <c r="BH1861" s="7" t="s">
        <v>228</v>
      </c>
      <c r="BI1861" s="7"/>
      <c r="BJ1861" s="4">
        <v>20</v>
      </c>
      <c r="BK1861" s="8">
        <v>665.99</v>
      </c>
      <c r="BL1861" s="2" t="s">
        <v>9100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9101</v>
      </c>
      <c r="BV1861" s="2" t="s">
        <v>228</v>
      </c>
      <c r="BW1861" s="2" t="s">
        <v>228</v>
      </c>
      <c r="BX1861" s="2" t="s">
        <v>273</v>
      </c>
      <c r="BY1861" s="2" t="s">
        <v>274</v>
      </c>
      <c r="BZ1861" s="2" t="s">
        <v>240</v>
      </c>
      <c r="CA1861" s="2" t="s">
        <v>5960</v>
      </c>
      <c r="CB1861" s="2" t="s">
        <v>9102</v>
      </c>
      <c r="CC1861" s="2" t="s">
        <v>241</v>
      </c>
      <c r="CD1861" s="2" t="s">
        <v>228</v>
      </c>
      <c r="CE1861" s="4">
        <v>110</v>
      </c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/>
      <c r="DS1861" s="4"/>
      <c r="DT1861" s="4"/>
      <c r="DU1861" s="4"/>
      <c r="DV1861" s="4"/>
      <c r="DW1861" s="4"/>
      <c r="DX1861" s="4"/>
      <c r="DY1861" s="4"/>
      <c r="DZ1861" s="4"/>
      <c r="EA1861" s="4"/>
      <c r="EB1861" s="4"/>
      <c r="EC1861" s="4"/>
      <c r="ED1861" s="4"/>
      <c r="EE1861" s="4"/>
      <c r="EF1861" s="4"/>
      <c r="EG1861" s="4"/>
      <c r="EH1861" s="4"/>
      <c r="EI1861" s="4"/>
      <c r="EJ1861" s="4"/>
      <c r="EK1861" s="4"/>
      <c r="EL1861" s="4"/>
      <c r="EM1861" s="4"/>
      <c r="EN1861" s="4"/>
      <c r="EO1861" s="4"/>
      <c r="EP1861" s="4"/>
      <c r="EQ1861" s="4"/>
      <c r="ER1861" s="4"/>
      <c r="ES1861" s="4"/>
      <c r="ET1861" s="4"/>
      <c r="EU1861" s="4"/>
      <c r="EV1861" s="4"/>
      <c r="EW1861" s="4"/>
      <c r="EX1861" s="4"/>
      <c r="EY1861" s="4"/>
      <c r="EZ1861" s="4"/>
      <c r="FA1861" s="4"/>
      <c r="FB1861" s="4"/>
      <c r="FC1861" s="4"/>
      <c r="FD1861" s="4"/>
      <c r="FE1861" s="4"/>
      <c r="FF1861" s="4"/>
      <c r="FG1861" s="4">
        <v>186</v>
      </c>
      <c r="FH1861" s="4"/>
      <c r="FI1861" s="4"/>
      <c r="FJ1861" s="4"/>
      <c r="FK1861" s="4"/>
      <c r="FL1861" s="4"/>
      <c r="FM1861" s="4"/>
      <c r="FN1861" s="4"/>
      <c r="FO1861" s="4"/>
      <c r="FP1861" s="4"/>
      <c r="FQ1861" s="4"/>
      <c r="FR1861" s="4"/>
      <c r="FS1861" s="4"/>
      <c r="FT1861" s="4"/>
      <c r="FU1861" s="4"/>
      <c r="FV1861" s="4"/>
      <c r="FW1861" s="4"/>
      <c r="FX1861" s="4"/>
      <c r="FY1861" s="4"/>
      <c r="FZ1861" s="4"/>
      <c r="GA1861" s="4"/>
      <c r="GB1861" s="4"/>
      <c r="GC1861" s="4"/>
      <c r="GD1861" s="4"/>
      <c r="GE1861" s="4"/>
      <c r="GF1861" s="4"/>
      <c r="GG1861" s="4"/>
      <c r="GH1861" s="4"/>
      <c r="GI1861" s="4"/>
      <c r="GJ1861" s="4"/>
      <c r="GK1861" s="4"/>
      <c r="GL1861" s="4"/>
      <c r="GM1861" s="4"/>
      <c r="GN1861" s="4"/>
      <c r="GO1861" s="4"/>
      <c r="GP1861" s="4"/>
      <c r="GQ1861" s="4"/>
      <c r="GR1861" s="4"/>
      <c r="GS1861" s="4"/>
      <c r="GT1861" s="4"/>
      <c r="GU1861" s="4"/>
      <c r="GV1861" s="4"/>
      <c r="GW1861" s="4"/>
      <c r="GX1861" s="4"/>
      <c r="GY1861" s="4"/>
      <c r="GZ1861" s="4"/>
      <c r="HA1861" s="4"/>
      <c r="HB1861" s="4"/>
      <c r="HC1861" s="4"/>
      <c r="HD1861" s="4"/>
      <c r="HE1861" s="4"/>
    </row>
    <row r="1862">
      <c r="A1862" s="2" t="s">
        <v>9103</v>
      </c>
      <c r="B1862" s="2" t="s">
        <v>299</v>
      </c>
      <c r="C1862" s="2" t="s">
        <v>300</v>
      </c>
      <c r="D1862" s="2" t="s">
        <v>301</v>
      </c>
      <c r="E1862" s="2" t="s">
        <v>302</v>
      </c>
      <c r="F1862" s="2" t="s">
        <v>9096</v>
      </c>
      <c r="G1862" s="2" t="s">
        <v>9096</v>
      </c>
      <c r="H1862" s="2" t="s">
        <v>9096</v>
      </c>
      <c r="I1862" s="2" t="s">
        <v>9097</v>
      </c>
      <c r="J1862" s="2" t="s">
        <v>294</v>
      </c>
      <c r="K1862" s="2" t="s">
        <v>480</v>
      </c>
      <c r="L1862" s="3">
        <v>32.2</v>
      </c>
      <c r="M1862" s="3">
        <v>33.81</v>
      </c>
      <c r="N1862" s="3">
        <v>69.99</v>
      </c>
      <c r="O1862" s="2" t="s">
        <v>240</v>
      </c>
      <c r="P1862" s="2" t="s">
        <v>266</v>
      </c>
      <c r="Q1862" s="2" t="s">
        <v>234</v>
      </c>
      <c r="R1862" s="2" t="s">
        <v>228</v>
      </c>
      <c r="S1862" s="2" t="s">
        <v>9104</v>
      </c>
      <c r="T1862" s="2" t="s">
        <v>350</v>
      </c>
      <c r="U1862" s="2" t="s">
        <v>308</v>
      </c>
      <c r="V1862" s="2" t="s">
        <v>236</v>
      </c>
      <c r="W1862" s="2" t="s">
        <v>269</v>
      </c>
      <c r="X1862" s="2" t="s">
        <v>228</v>
      </c>
      <c r="Y1862" s="2" t="s">
        <v>9099</v>
      </c>
      <c r="Z1862" s="4">
        <v>138</v>
      </c>
      <c r="AA1862" s="4">
        <f>=ROUNDDOWN(19.7142857142857,0)</f>
      </c>
      <c r="AB1862" s="5">
        <v>7</v>
      </c>
      <c r="AC1862" s="2" t="s">
        <v>171</v>
      </c>
      <c r="AD1862" s="4">
        <v>130</v>
      </c>
      <c r="AE1862" s="4">
        <v>150</v>
      </c>
      <c r="AF1862" s="6">
        <v>69</v>
      </c>
      <c r="AG1862" s="6"/>
      <c r="AH1862" s="7">
        <v>1</v>
      </c>
      <c r="AI1862" s="4"/>
      <c r="AJ1862" s="4">
        <f>=ROUNDDOWN({0},0)</f>
      </c>
      <c r="AK1862" s="5"/>
      <c r="AL1862" s="2" t="s">
        <v>228</v>
      </c>
      <c r="AM1862" s="4"/>
      <c r="AN1862" s="4"/>
      <c r="AO1862" s="7"/>
      <c r="AP1862" s="4"/>
      <c r="AQ1862" s="8"/>
      <c r="AR1862" s="4"/>
      <c r="AS1862" s="8"/>
      <c r="AT1862" s="7"/>
      <c r="AU1862" s="7"/>
      <c r="AV1862" s="4"/>
      <c r="AW1862" s="8"/>
      <c r="AX1862" s="4"/>
      <c r="AY1862" s="8"/>
      <c r="AZ1862" s="7"/>
      <c r="BA1862" s="7"/>
      <c r="BB1862" s="7"/>
      <c r="BC1862" s="4" t="s">
        <v>228</v>
      </c>
      <c r="BD1862" s="8" t="s">
        <v>228</v>
      </c>
      <c r="BE1862" s="4" t="s">
        <v>228</v>
      </c>
      <c r="BF1862" s="8" t="s">
        <v>228</v>
      </c>
      <c r="BG1862" s="7" t="s">
        <v>228</v>
      </c>
      <c r="BH1862" s="7" t="s">
        <v>228</v>
      </c>
      <c r="BI1862" s="7"/>
      <c r="BJ1862" s="4">
        <v>33</v>
      </c>
      <c r="BK1862" s="8">
        <v>1186.91</v>
      </c>
      <c r="BL1862" s="2" t="s">
        <v>9105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9106</v>
      </c>
      <c r="BV1862" s="2" t="s">
        <v>228</v>
      </c>
      <c r="BW1862" s="2" t="s">
        <v>228</v>
      </c>
      <c r="BX1862" s="2" t="s">
        <v>273</v>
      </c>
      <c r="BY1862" s="2" t="s">
        <v>274</v>
      </c>
      <c r="BZ1862" s="2" t="s">
        <v>240</v>
      </c>
      <c r="CA1862" s="2" t="s">
        <v>5960</v>
      </c>
      <c r="CB1862" s="2" t="s">
        <v>8737</v>
      </c>
      <c r="CC1862" s="2" t="s">
        <v>241</v>
      </c>
      <c r="CD1862" s="2" t="s">
        <v>228</v>
      </c>
      <c r="CE1862" s="4">
        <v>138</v>
      </c>
      <c r="CF1862" s="4"/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  <c r="DP1862" s="4"/>
      <c r="DQ1862" s="4"/>
      <c r="DR1862" s="4"/>
      <c r="DS1862" s="4"/>
      <c r="DT1862" s="4"/>
      <c r="DU1862" s="4"/>
      <c r="DV1862" s="4"/>
      <c r="DW1862" s="4"/>
      <c r="DX1862" s="4"/>
      <c r="DY1862" s="4"/>
      <c r="DZ1862" s="4"/>
      <c r="EA1862" s="4"/>
      <c r="EB1862" s="4"/>
      <c r="EC1862" s="4"/>
      <c r="ED1862" s="4"/>
      <c r="EE1862" s="4"/>
      <c r="EF1862" s="4"/>
      <c r="EG1862" s="4"/>
      <c r="EH1862" s="4"/>
      <c r="EI1862" s="4"/>
      <c r="EJ1862" s="4"/>
      <c r="EK1862" s="4"/>
      <c r="EL1862" s="4"/>
      <c r="EM1862" s="4"/>
      <c r="EN1862" s="4"/>
      <c r="EO1862" s="4"/>
      <c r="EP1862" s="4"/>
      <c r="EQ1862" s="4"/>
      <c r="ER1862" s="4"/>
      <c r="ES1862" s="4"/>
      <c r="ET1862" s="4"/>
      <c r="EU1862" s="4"/>
      <c r="EV1862" s="4"/>
      <c r="EW1862" s="4"/>
      <c r="EX1862" s="4"/>
      <c r="EY1862" s="4"/>
      <c r="EZ1862" s="4"/>
      <c r="FA1862" s="4"/>
      <c r="FB1862" s="4"/>
      <c r="FC1862" s="4"/>
      <c r="FD1862" s="4"/>
      <c r="FE1862" s="4"/>
      <c r="FF1862" s="4"/>
      <c r="FG1862" s="4">
        <v>130</v>
      </c>
      <c r="FH1862" s="4"/>
      <c r="FI1862" s="4"/>
      <c r="FJ1862" s="4"/>
      <c r="FK1862" s="4"/>
      <c r="FL1862" s="4"/>
      <c r="FM1862" s="4"/>
      <c r="FN1862" s="4"/>
      <c r="FO1862" s="4"/>
      <c r="FP1862" s="4"/>
      <c r="FQ1862" s="4"/>
      <c r="FR1862" s="4"/>
      <c r="FS1862" s="4"/>
      <c r="FT1862" s="4"/>
      <c r="FU1862" s="4"/>
      <c r="FV1862" s="4"/>
      <c r="FW1862" s="4"/>
      <c r="FX1862" s="4"/>
      <c r="FY1862" s="4"/>
      <c r="FZ1862" s="4"/>
      <c r="GA1862" s="4"/>
      <c r="GB1862" s="4"/>
      <c r="GC1862" s="4"/>
      <c r="GD1862" s="4"/>
      <c r="GE1862" s="4"/>
      <c r="GF1862" s="4"/>
      <c r="GG1862" s="4"/>
      <c r="GH1862" s="4"/>
      <c r="GI1862" s="4"/>
      <c r="GJ1862" s="4"/>
      <c r="GK1862" s="4"/>
      <c r="GL1862" s="4"/>
      <c r="GM1862" s="4"/>
      <c r="GN1862" s="4"/>
      <c r="GO1862" s="4"/>
      <c r="GP1862" s="4"/>
      <c r="GQ1862" s="4"/>
      <c r="GR1862" s="4"/>
      <c r="GS1862" s="4"/>
      <c r="GT1862" s="4"/>
      <c r="GU1862" s="4"/>
      <c r="GV1862" s="4"/>
      <c r="GW1862" s="4">
        <v>20</v>
      </c>
      <c r="GX1862" s="4"/>
      <c r="GY1862" s="4"/>
      <c r="GZ1862" s="4"/>
      <c r="HA1862" s="4"/>
      <c r="HB1862" s="4"/>
      <c r="HC1862" s="4"/>
      <c r="HD1862" s="4"/>
      <c r="HE1862" s="4"/>
    </row>
    <row r="1863">
      <c r="A1863" s="2" t="s">
        <v>9107</v>
      </c>
      <c r="B1863" s="2" t="s">
        <v>299</v>
      </c>
      <c r="C1863" s="2" t="s">
        <v>300</v>
      </c>
      <c r="D1863" s="2" t="s">
        <v>301</v>
      </c>
      <c r="E1863" s="2" t="s">
        <v>302</v>
      </c>
      <c r="F1863" s="2" t="s">
        <v>9096</v>
      </c>
      <c r="G1863" s="2" t="s">
        <v>9096</v>
      </c>
      <c r="H1863" s="2" t="s">
        <v>9096</v>
      </c>
      <c r="I1863" s="2" t="s">
        <v>9097</v>
      </c>
      <c r="J1863" s="2" t="s">
        <v>264</v>
      </c>
      <c r="K1863" s="2" t="s">
        <v>598</v>
      </c>
      <c r="L1863" s="3">
        <v>21.6</v>
      </c>
      <c r="M1863" s="3">
        <v>22.68</v>
      </c>
      <c r="N1863" s="3">
        <v>47.99</v>
      </c>
      <c r="O1863" s="2" t="s">
        <v>240</v>
      </c>
      <c r="P1863" s="2" t="s">
        <v>333</v>
      </c>
      <c r="Q1863" s="2" t="s">
        <v>234</v>
      </c>
      <c r="R1863" s="2" t="s">
        <v>228</v>
      </c>
      <c r="S1863" s="2" t="s">
        <v>9108</v>
      </c>
      <c r="T1863" s="2" t="s">
        <v>350</v>
      </c>
      <c r="U1863" s="2" t="s">
        <v>500</v>
      </c>
      <c r="V1863" s="2" t="s">
        <v>236</v>
      </c>
      <c r="W1863" s="2" t="s">
        <v>269</v>
      </c>
      <c r="X1863" s="2" t="s">
        <v>228</v>
      </c>
      <c r="Y1863" s="2" t="s">
        <v>9099</v>
      </c>
      <c r="Z1863" s="4">
        <v>38</v>
      </c>
      <c r="AA1863" s="4">
        <f>=ROUNDDOWN(19,0)</f>
      </c>
      <c r="AB1863" s="5">
        <v>2</v>
      </c>
      <c r="AC1863" s="2" t="s">
        <v>228</v>
      </c>
      <c r="AD1863" s="4"/>
      <c r="AE1863" s="4"/>
      <c r="AF1863" s="6">
        <v>70</v>
      </c>
      <c r="AG1863" s="6"/>
      <c r="AH1863" s="7">
        <v>1</v>
      </c>
      <c r="AI1863" s="4"/>
      <c r="AJ1863" s="4">
        <f>=ROUNDDOWN({0},0)</f>
      </c>
      <c r="AK1863" s="5"/>
      <c r="AL1863" s="2" t="s">
        <v>228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 t="s">
        <v>228</v>
      </c>
      <c r="AW1863" s="8" t="s">
        <v>228</v>
      </c>
      <c r="AX1863" s="4" t="s">
        <v>228</v>
      </c>
      <c r="AY1863" s="8" t="s">
        <v>228</v>
      </c>
      <c r="AZ1863" s="7" t="s">
        <v>228</v>
      </c>
      <c r="BA1863" s="7" t="s">
        <v>228</v>
      </c>
      <c r="BB1863" s="7"/>
      <c r="BC1863" s="4" t="s">
        <v>228</v>
      </c>
      <c r="BD1863" s="8" t="s">
        <v>228</v>
      </c>
      <c r="BE1863" s="4" t="s">
        <v>228</v>
      </c>
      <c r="BF1863" s="8" t="s">
        <v>228</v>
      </c>
      <c r="BG1863" s="7" t="s">
        <v>228</v>
      </c>
      <c r="BH1863" s="7" t="s">
        <v>228</v>
      </c>
      <c r="BI1863" s="7"/>
      <c r="BJ1863" s="4">
        <v>12</v>
      </c>
      <c r="BK1863" s="8">
        <v>299.25</v>
      </c>
      <c r="BL1863" s="2" t="s">
        <v>9109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9110</v>
      </c>
      <c r="BV1863" s="2" t="s">
        <v>228</v>
      </c>
      <c r="BW1863" s="2" t="s">
        <v>228</v>
      </c>
      <c r="BX1863" s="2" t="s">
        <v>337</v>
      </c>
      <c r="BY1863" s="2" t="s">
        <v>274</v>
      </c>
      <c r="BZ1863" s="2" t="s">
        <v>240</v>
      </c>
      <c r="CA1863" s="2" t="s">
        <v>5960</v>
      </c>
      <c r="CB1863" s="2" t="s">
        <v>7081</v>
      </c>
      <c r="CC1863" s="2" t="s">
        <v>241</v>
      </c>
      <c r="CD1863" s="2" t="s">
        <v>228</v>
      </c>
      <c r="CE1863" s="4">
        <v>38</v>
      </c>
      <c r="CF1863" s="4"/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/>
      <c r="DS1863" s="4"/>
      <c r="DT1863" s="4"/>
      <c r="DU1863" s="4"/>
      <c r="DV1863" s="4"/>
      <c r="DW1863" s="4"/>
      <c r="DX1863" s="4"/>
      <c r="DY1863" s="4"/>
      <c r="DZ1863" s="4"/>
      <c r="EA1863" s="4"/>
      <c r="EB1863" s="4"/>
      <c r="EC1863" s="4"/>
      <c r="ED1863" s="4"/>
      <c r="EE1863" s="4"/>
      <c r="EF1863" s="4"/>
      <c r="EG1863" s="4"/>
      <c r="EH1863" s="4"/>
      <c r="EI1863" s="4"/>
      <c r="EJ1863" s="4"/>
      <c r="EK1863" s="4"/>
      <c r="EL1863" s="4"/>
      <c r="EM1863" s="4"/>
      <c r="EN1863" s="4"/>
      <c r="EO1863" s="4"/>
      <c r="EP1863" s="4"/>
      <c r="EQ1863" s="4"/>
      <c r="ER1863" s="4"/>
      <c r="ES1863" s="4"/>
      <c r="ET1863" s="4"/>
      <c r="EU1863" s="4"/>
      <c r="EV1863" s="4"/>
      <c r="EW1863" s="4"/>
      <c r="EX1863" s="4"/>
      <c r="EY1863" s="4"/>
      <c r="EZ1863" s="4"/>
      <c r="FA1863" s="4"/>
      <c r="FB1863" s="4"/>
      <c r="FC1863" s="4"/>
      <c r="FD1863" s="4"/>
      <c r="FE1863" s="4"/>
      <c r="FF1863" s="4"/>
      <c r="FG1863" s="4"/>
      <c r="FH1863" s="4"/>
      <c r="FI1863" s="4"/>
      <c r="FJ1863" s="4"/>
      <c r="FK1863" s="4"/>
      <c r="FL1863" s="4"/>
      <c r="FM1863" s="4"/>
      <c r="FN1863" s="4"/>
      <c r="FO1863" s="4"/>
      <c r="FP1863" s="4"/>
      <c r="FQ1863" s="4"/>
      <c r="FR1863" s="4"/>
      <c r="FS1863" s="4"/>
      <c r="FT1863" s="4"/>
      <c r="FU1863" s="4"/>
      <c r="FV1863" s="4"/>
      <c r="FW1863" s="4"/>
      <c r="FX1863" s="4"/>
      <c r="FY1863" s="4"/>
      <c r="FZ1863" s="4"/>
      <c r="GA1863" s="4"/>
      <c r="GB1863" s="4"/>
      <c r="GC1863" s="4"/>
      <c r="GD1863" s="4"/>
      <c r="GE1863" s="4"/>
      <c r="GF1863" s="4"/>
      <c r="GG1863" s="4"/>
      <c r="GH1863" s="4"/>
      <c r="GI1863" s="4"/>
      <c r="GJ1863" s="4"/>
      <c r="GK1863" s="4"/>
      <c r="GL1863" s="4"/>
      <c r="GM1863" s="4"/>
      <c r="GN1863" s="4"/>
      <c r="GO1863" s="4"/>
      <c r="GP1863" s="4"/>
      <c r="GQ1863" s="4"/>
      <c r="GR1863" s="4"/>
      <c r="GS1863" s="4"/>
      <c r="GT1863" s="4"/>
      <c r="GU1863" s="4"/>
      <c r="GV1863" s="4"/>
      <c r="GW1863" s="4"/>
      <c r="GX1863" s="4"/>
      <c r="GY1863" s="4"/>
      <c r="GZ1863" s="4"/>
      <c r="HA1863" s="4"/>
      <c r="HB1863" s="4"/>
      <c r="HC1863" s="4"/>
      <c r="HD1863" s="4"/>
      <c r="HE1863" s="4"/>
    </row>
    <row r="1864">
      <c r="A1864" s="2" t="s">
        <v>9111</v>
      </c>
      <c r="B1864" s="2" t="s">
        <v>299</v>
      </c>
      <c r="C1864" s="2" t="s">
        <v>300</v>
      </c>
      <c r="D1864" s="2" t="s">
        <v>301</v>
      </c>
      <c r="E1864" s="2" t="s">
        <v>302</v>
      </c>
      <c r="F1864" s="2" t="s">
        <v>9096</v>
      </c>
      <c r="G1864" s="2" t="s">
        <v>9096</v>
      </c>
      <c r="H1864" s="2" t="s">
        <v>9096</v>
      </c>
      <c r="I1864" s="2" t="s">
        <v>9097</v>
      </c>
      <c r="J1864" s="2" t="s">
        <v>294</v>
      </c>
      <c r="K1864" s="2" t="s">
        <v>598</v>
      </c>
      <c r="L1864" s="3">
        <v>32.2</v>
      </c>
      <c r="M1864" s="3">
        <v>33.81</v>
      </c>
      <c r="N1864" s="3">
        <v>69.99</v>
      </c>
      <c r="O1864" s="2" t="s">
        <v>240</v>
      </c>
      <c r="P1864" s="2" t="s">
        <v>333</v>
      </c>
      <c r="Q1864" s="2" t="s">
        <v>234</v>
      </c>
      <c r="R1864" s="2" t="s">
        <v>228</v>
      </c>
      <c r="S1864" s="2" t="s">
        <v>9108</v>
      </c>
      <c r="T1864" s="2" t="s">
        <v>350</v>
      </c>
      <c r="U1864" s="2" t="s">
        <v>308</v>
      </c>
      <c r="V1864" s="2" t="s">
        <v>236</v>
      </c>
      <c r="W1864" s="2" t="s">
        <v>269</v>
      </c>
      <c r="X1864" s="2" t="s">
        <v>228</v>
      </c>
      <c r="Y1864" s="2" t="s">
        <v>9099</v>
      </c>
      <c r="Z1864" s="4">
        <v>54</v>
      </c>
      <c r="AA1864" s="4">
        <f>=ROUNDDOWN(9,0)</f>
      </c>
      <c r="AB1864" s="5">
        <v>6</v>
      </c>
      <c r="AC1864" s="2" t="s">
        <v>228</v>
      </c>
      <c r="AD1864" s="4"/>
      <c r="AE1864" s="4"/>
      <c r="AF1864" s="6">
        <v>70</v>
      </c>
      <c r="AG1864" s="6"/>
      <c r="AH1864" s="7">
        <v>1</v>
      </c>
      <c r="AI1864" s="4"/>
      <c r="AJ1864" s="4">
        <f>=ROUNDDOWN({0},0)</f>
      </c>
      <c r="AK1864" s="5"/>
      <c r="AL1864" s="2" t="s">
        <v>228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 t="s">
        <v>228</v>
      </c>
      <c r="AW1864" s="8" t="s">
        <v>228</v>
      </c>
      <c r="AX1864" s="4" t="s">
        <v>228</v>
      </c>
      <c r="AY1864" s="8" t="s">
        <v>228</v>
      </c>
      <c r="AZ1864" s="7" t="s">
        <v>228</v>
      </c>
      <c r="BA1864" s="7" t="s">
        <v>228</v>
      </c>
      <c r="BB1864" s="7"/>
      <c r="BC1864" s="4" t="s">
        <v>228</v>
      </c>
      <c r="BD1864" s="8" t="s">
        <v>228</v>
      </c>
      <c r="BE1864" s="4" t="s">
        <v>228</v>
      </c>
      <c r="BF1864" s="8" t="s">
        <v>228</v>
      </c>
      <c r="BG1864" s="7" t="s">
        <v>228</v>
      </c>
      <c r="BH1864" s="7" t="s">
        <v>228</v>
      </c>
      <c r="BI1864" s="7"/>
      <c r="BJ1864" s="4">
        <v>23</v>
      </c>
      <c r="BK1864" s="8">
        <v>818.79</v>
      </c>
      <c r="BL1864" s="2" t="s">
        <v>9112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9113</v>
      </c>
      <c r="BV1864" s="2" t="s">
        <v>228</v>
      </c>
      <c r="BW1864" s="2" t="s">
        <v>228</v>
      </c>
      <c r="BX1864" s="2" t="s">
        <v>337</v>
      </c>
      <c r="BY1864" s="2" t="s">
        <v>274</v>
      </c>
      <c r="BZ1864" s="2" t="s">
        <v>240</v>
      </c>
      <c r="CA1864" s="2" t="s">
        <v>5960</v>
      </c>
      <c r="CB1864" s="2" t="s">
        <v>3424</v>
      </c>
      <c r="CC1864" s="2" t="s">
        <v>241</v>
      </c>
      <c r="CD1864" s="2" t="s">
        <v>228</v>
      </c>
      <c r="CE1864" s="4">
        <v>54</v>
      </c>
      <c r="CF1864" s="4"/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  <c r="DL1864" s="4"/>
      <c r="DM1864" s="4"/>
      <c r="DN1864" s="4"/>
      <c r="DO1864" s="4"/>
      <c r="DP1864" s="4"/>
      <c r="DQ1864" s="4"/>
      <c r="DR1864" s="4"/>
      <c r="DS1864" s="4"/>
      <c r="DT1864" s="4"/>
      <c r="DU1864" s="4"/>
      <c r="DV1864" s="4"/>
      <c r="DW1864" s="4"/>
      <c r="DX1864" s="4"/>
      <c r="DY1864" s="4"/>
      <c r="DZ1864" s="4"/>
      <c r="EA1864" s="4"/>
      <c r="EB1864" s="4"/>
      <c r="EC1864" s="4"/>
      <c r="ED1864" s="4"/>
      <c r="EE1864" s="4"/>
      <c r="EF1864" s="4"/>
      <c r="EG1864" s="4"/>
      <c r="EH1864" s="4"/>
      <c r="EI1864" s="4"/>
      <c r="EJ1864" s="4"/>
      <c r="EK1864" s="4"/>
      <c r="EL1864" s="4"/>
      <c r="EM1864" s="4"/>
      <c r="EN1864" s="4"/>
      <c r="EO1864" s="4"/>
      <c r="EP1864" s="4"/>
      <c r="EQ1864" s="4"/>
      <c r="ER1864" s="4"/>
      <c r="ES1864" s="4"/>
      <c r="ET1864" s="4"/>
      <c r="EU1864" s="4"/>
      <c r="EV1864" s="4"/>
      <c r="EW1864" s="4"/>
      <c r="EX1864" s="4"/>
      <c r="EY1864" s="4"/>
      <c r="EZ1864" s="4"/>
      <c r="FA1864" s="4"/>
      <c r="FB1864" s="4"/>
      <c r="FC1864" s="4"/>
      <c r="FD1864" s="4"/>
      <c r="FE1864" s="4"/>
      <c r="FF1864" s="4"/>
      <c r="FG1864" s="4"/>
      <c r="FH1864" s="4"/>
      <c r="FI1864" s="4"/>
      <c r="FJ1864" s="4"/>
      <c r="FK1864" s="4"/>
      <c r="FL1864" s="4"/>
      <c r="FM1864" s="4"/>
      <c r="FN1864" s="4"/>
      <c r="FO1864" s="4"/>
      <c r="FP1864" s="4"/>
      <c r="FQ1864" s="4"/>
      <c r="FR1864" s="4"/>
      <c r="FS1864" s="4"/>
      <c r="FT1864" s="4"/>
      <c r="FU1864" s="4"/>
      <c r="FV1864" s="4"/>
      <c r="FW1864" s="4"/>
      <c r="FX1864" s="4"/>
      <c r="FY1864" s="4"/>
      <c r="FZ1864" s="4"/>
      <c r="GA1864" s="4"/>
      <c r="GB1864" s="4"/>
      <c r="GC1864" s="4"/>
      <c r="GD1864" s="4"/>
      <c r="GE1864" s="4"/>
      <c r="GF1864" s="4"/>
      <c r="GG1864" s="4"/>
      <c r="GH1864" s="4"/>
      <c r="GI1864" s="4"/>
      <c r="GJ1864" s="4"/>
      <c r="GK1864" s="4"/>
      <c r="GL1864" s="4"/>
      <c r="GM1864" s="4"/>
      <c r="GN1864" s="4"/>
      <c r="GO1864" s="4"/>
      <c r="GP1864" s="4"/>
      <c r="GQ1864" s="4"/>
      <c r="GR1864" s="4"/>
      <c r="GS1864" s="4"/>
      <c r="GT1864" s="4"/>
      <c r="GU1864" s="4"/>
      <c r="GV1864" s="4"/>
      <c r="GW1864" s="4"/>
      <c r="GX1864" s="4"/>
      <c r="GY1864" s="4"/>
      <c r="GZ1864" s="4"/>
      <c r="HA1864" s="4"/>
      <c r="HB1864" s="4"/>
      <c r="HC1864" s="4"/>
      <c r="HD1864" s="4"/>
      <c r="HE1864" s="4"/>
    </row>
    <row r="1865">
      <c r="A1865" s="2" t="s">
        <v>9114</v>
      </c>
      <c r="B1865" s="2" t="s">
        <v>299</v>
      </c>
      <c r="C1865" s="2" t="s">
        <v>300</v>
      </c>
      <c r="D1865" s="2" t="s">
        <v>301</v>
      </c>
      <c r="E1865" s="2" t="s">
        <v>302</v>
      </c>
      <c r="F1865" s="2" t="s">
        <v>9096</v>
      </c>
      <c r="G1865" s="2" t="s">
        <v>9096</v>
      </c>
      <c r="H1865" s="2" t="s">
        <v>9096</v>
      </c>
      <c r="I1865" s="2" t="s">
        <v>9097</v>
      </c>
      <c r="J1865" s="2" t="s">
        <v>312</v>
      </c>
      <c r="K1865" s="2" t="s">
        <v>251</v>
      </c>
      <c r="L1865" s="3">
        <v>32.2</v>
      </c>
      <c r="M1865" s="3">
        <v>33.81</v>
      </c>
      <c r="N1865" s="3">
        <v>69.99</v>
      </c>
      <c r="O1865" s="2" t="s">
        <v>240</v>
      </c>
      <c r="P1865" s="2" t="s">
        <v>333</v>
      </c>
      <c r="Q1865" s="2" t="s">
        <v>234</v>
      </c>
      <c r="R1865" s="2" t="s">
        <v>228</v>
      </c>
      <c r="S1865" s="2" t="s">
        <v>9115</v>
      </c>
      <c r="T1865" s="2" t="s">
        <v>350</v>
      </c>
      <c r="U1865" s="2" t="s">
        <v>308</v>
      </c>
      <c r="V1865" s="2" t="s">
        <v>236</v>
      </c>
      <c r="W1865" s="2" t="s">
        <v>269</v>
      </c>
      <c r="X1865" s="2" t="s">
        <v>1268</v>
      </c>
      <c r="Y1865" s="2" t="s">
        <v>5116</v>
      </c>
      <c r="Z1865" s="4">
        <v>54</v>
      </c>
      <c r="AA1865" s="4">
        <f>=ROUNDDOWN(27,0)</f>
      </c>
      <c r="AB1865" s="5">
        <v>2</v>
      </c>
      <c r="AC1865" s="2" t="s">
        <v>228</v>
      </c>
      <c r="AD1865" s="4"/>
      <c r="AE1865" s="4"/>
      <c r="AF1865" s="6">
        <v>70</v>
      </c>
      <c r="AG1865" s="6"/>
      <c r="AH1865" s="7">
        <v>1</v>
      </c>
      <c r="AI1865" s="4"/>
      <c r="AJ1865" s="4">
        <f>=ROUNDDOWN({0},0)</f>
      </c>
      <c r="AK1865" s="5"/>
      <c r="AL1865" s="2" t="s">
        <v>228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/>
      <c r="AW1865" s="8"/>
      <c r="AX1865" s="4"/>
      <c r="AY1865" s="8"/>
      <c r="AZ1865" s="7"/>
      <c r="BA1865" s="7"/>
      <c r="BB1865" s="7"/>
      <c r="BC1865" s="4" t="s">
        <v>228</v>
      </c>
      <c r="BD1865" s="8" t="s">
        <v>228</v>
      </c>
      <c r="BE1865" s="4" t="s">
        <v>228</v>
      </c>
      <c r="BF1865" s="8" t="s">
        <v>228</v>
      </c>
      <c r="BG1865" s="7" t="s">
        <v>228</v>
      </c>
      <c r="BH1865" s="7" t="s">
        <v>228</v>
      </c>
      <c r="BI1865" s="7"/>
      <c r="BJ1865" s="4">
        <v>11</v>
      </c>
      <c r="BK1865" s="8">
        <v>395.13</v>
      </c>
      <c r="BL1865" s="2" t="s">
        <v>527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9116</v>
      </c>
      <c r="BV1865" s="2" t="s">
        <v>228</v>
      </c>
      <c r="BW1865" s="2" t="s">
        <v>228</v>
      </c>
      <c r="BX1865" s="2" t="s">
        <v>337</v>
      </c>
      <c r="BY1865" s="2" t="s">
        <v>274</v>
      </c>
      <c r="BZ1865" s="2" t="s">
        <v>240</v>
      </c>
      <c r="CA1865" s="2" t="s">
        <v>6691</v>
      </c>
      <c r="CB1865" s="2" t="s">
        <v>9117</v>
      </c>
      <c r="CC1865" s="2" t="s">
        <v>241</v>
      </c>
      <c r="CD1865" s="2" t="s">
        <v>228</v>
      </c>
      <c r="CE1865" s="4">
        <v>54</v>
      </c>
      <c r="CF1865" s="4"/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  <c r="DL1865" s="4"/>
      <c r="DM1865" s="4"/>
      <c r="DN1865" s="4"/>
      <c r="DO1865" s="4"/>
      <c r="DP1865" s="4"/>
      <c r="DQ1865" s="4"/>
      <c r="DR1865" s="4"/>
      <c r="DS1865" s="4"/>
      <c r="DT1865" s="4"/>
      <c r="DU1865" s="4"/>
      <c r="DV1865" s="4"/>
      <c r="DW1865" s="4"/>
      <c r="DX1865" s="4"/>
      <c r="DY1865" s="4"/>
      <c r="DZ1865" s="4"/>
      <c r="EA1865" s="4"/>
      <c r="EB1865" s="4"/>
      <c r="EC1865" s="4"/>
      <c r="ED1865" s="4"/>
      <c r="EE1865" s="4"/>
      <c r="EF1865" s="4"/>
      <c r="EG1865" s="4"/>
      <c r="EH1865" s="4"/>
      <c r="EI1865" s="4"/>
      <c r="EJ1865" s="4"/>
      <c r="EK1865" s="4"/>
      <c r="EL1865" s="4"/>
      <c r="EM1865" s="4"/>
      <c r="EN1865" s="4"/>
      <c r="EO1865" s="4"/>
      <c r="EP1865" s="4"/>
      <c r="EQ1865" s="4"/>
      <c r="ER1865" s="4"/>
      <c r="ES1865" s="4"/>
      <c r="ET1865" s="4"/>
      <c r="EU1865" s="4"/>
      <c r="EV1865" s="4"/>
      <c r="EW1865" s="4"/>
      <c r="EX1865" s="4"/>
      <c r="EY1865" s="4"/>
      <c r="EZ1865" s="4"/>
      <c r="FA1865" s="4"/>
      <c r="FB1865" s="4"/>
      <c r="FC1865" s="4"/>
      <c r="FD1865" s="4"/>
      <c r="FE1865" s="4"/>
      <c r="FF1865" s="4"/>
      <c r="FG1865" s="4"/>
      <c r="FH1865" s="4"/>
      <c r="FI1865" s="4"/>
      <c r="FJ1865" s="4"/>
      <c r="FK1865" s="4"/>
      <c r="FL1865" s="4"/>
      <c r="FM1865" s="4"/>
      <c r="FN1865" s="4"/>
      <c r="FO1865" s="4"/>
      <c r="FP1865" s="4"/>
      <c r="FQ1865" s="4"/>
      <c r="FR1865" s="4"/>
      <c r="FS1865" s="4"/>
      <c r="FT1865" s="4"/>
      <c r="FU1865" s="4"/>
      <c r="FV1865" s="4"/>
      <c r="FW1865" s="4"/>
      <c r="FX1865" s="4"/>
      <c r="FY1865" s="4"/>
      <c r="FZ1865" s="4"/>
      <c r="GA1865" s="4"/>
      <c r="GB1865" s="4"/>
      <c r="GC1865" s="4"/>
      <c r="GD1865" s="4"/>
      <c r="GE1865" s="4"/>
      <c r="GF1865" s="4"/>
      <c r="GG1865" s="4"/>
      <c r="GH1865" s="4"/>
      <c r="GI1865" s="4"/>
      <c r="GJ1865" s="4"/>
      <c r="GK1865" s="4"/>
      <c r="GL1865" s="4"/>
      <c r="GM1865" s="4"/>
      <c r="GN1865" s="4"/>
      <c r="GO1865" s="4"/>
      <c r="GP1865" s="4"/>
      <c r="GQ1865" s="4"/>
      <c r="GR1865" s="4"/>
      <c r="GS1865" s="4"/>
      <c r="GT1865" s="4"/>
      <c r="GU1865" s="4"/>
      <c r="GV1865" s="4"/>
      <c r="GW1865" s="4"/>
      <c r="GX1865" s="4"/>
      <c r="GY1865" s="4"/>
      <c r="GZ1865" s="4"/>
      <c r="HA1865" s="4"/>
      <c r="HB1865" s="4"/>
      <c r="HC1865" s="4"/>
      <c r="HD1865" s="4"/>
      <c r="HE1865" s="4"/>
    </row>
    <row r="1866">
      <c r="A1866" s="2" t="s">
        <v>9118</v>
      </c>
      <c r="B1866" s="2" t="s">
        <v>299</v>
      </c>
      <c r="C1866" s="2" t="s">
        <v>300</v>
      </c>
      <c r="D1866" s="2" t="s">
        <v>301</v>
      </c>
      <c r="E1866" s="2" t="s">
        <v>302</v>
      </c>
      <c r="F1866" s="2" t="s">
        <v>9096</v>
      </c>
      <c r="G1866" s="2" t="s">
        <v>9096</v>
      </c>
      <c r="H1866" s="2" t="s">
        <v>9096</v>
      </c>
      <c r="I1866" s="2" t="s">
        <v>9097</v>
      </c>
      <c r="J1866" s="2" t="s">
        <v>312</v>
      </c>
      <c r="K1866" s="2" t="s">
        <v>614</v>
      </c>
      <c r="L1866" s="3">
        <v>32.2</v>
      </c>
      <c r="M1866" s="3">
        <v>33.81</v>
      </c>
      <c r="N1866" s="3">
        <v>69.99</v>
      </c>
      <c r="O1866" s="2" t="s">
        <v>240</v>
      </c>
      <c r="P1866" s="2" t="s">
        <v>266</v>
      </c>
      <c r="Q1866" s="2" t="s">
        <v>234</v>
      </c>
      <c r="R1866" s="2" t="s">
        <v>228</v>
      </c>
      <c r="S1866" s="2" t="s">
        <v>9119</v>
      </c>
      <c r="T1866" s="2" t="s">
        <v>350</v>
      </c>
      <c r="U1866" s="2" t="s">
        <v>308</v>
      </c>
      <c r="V1866" s="2" t="s">
        <v>236</v>
      </c>
      <c r="W1866" s="2" t="s">
        <v>269</v>
      </c>
      <c r="X1866" s="2" t="s">
        <v>228</v>
      </c>
      <c r="Y1866" s="2" t="s">
        <v>9099</v>
      </c>
      <c r="Z1866" s="4">
        <v>28</v>
      </c>
      <c r="AA1866" s="4">
        <f>=ROUNDDOWN(7,0)</f>
      </c>
      <c r="AB1866" s="5">
        <v>4</v>
      </c>
      <c r="AC1866" s="2" t="s">
        <v>1416</v>
      </c>
      <c r="AD1866" s="4">
        <v>30</v>
      </c>
      <c r="AE1866" s="4">
        <v>100</v>
      </c>
      <c r="AF1866" s="6">
        <v>69</v>
      </c>
      <c r="AG1866" s="6"/>
      <c r="AH1866" s="7">
        <v>1</v>
      </c>
      <c r="AI1866" s="4"/>
      <c r="AJ1866" s="4">
        <f>=ROUNDDOWN({0},0)</f>
      </c>
      <c r="AK1866" s="5"/>
      <c r="AL1866" s="2" t="s">
        <v>228</v>
      </c>
      <c r="AM1866" s="4"/>
      <c r="AN1866" s="4"/>
      <c r="AO1866" s="7"/>
      <c r="AP1866" s="4"/>
      <c r="AQ1866" s="8"/>
      <c r="AR1866" s="4"/>
      <c r="AS1866" s="8"/>
      <c r="AT1866" s="7"/>
      <c r="AU1866" s="7"/>
      <c r="AV1866" s="4"/>
      <c r="AW1866" s="8"/>
      <c r="AX1866" s="4"/>
      <c r="AY1866" s="8"/>
      <c r="AZ1866" s="7"/>
      <c r="BA1866" s="7"/>
      <c r="BB1866" s="7"/>
      <c r="BC1866" s="4" t="s">
        <v>228</v>
      </c>
      <c r="BD1866" s="8" t="s">
        <v>228</v>
      </c>
      <c r="BE1866" s="4" t="s">
        <v>228</v>
      </c>
      <c r="BF1866" s="8" t="s">
        <v>228</v>
      </c>
      <c r="BG1866" s="7" t="s">
        <v>228</v>
      </c>
      <c r="BH1866" s="7" t="s">
        <v>228</v>
      </c>
      <c r="BI1866" s="7"/>
      <c r="BJ1866" s="4">
        <v>13</v>
      </c>
      <c r="BK1866" s="8">
        <v>461.78</v>
      </c>
      <c r="BL1866" s="2" t="s">
        <v>2193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9120</v>
      </c>
      <c r="BV1866" s="2" t="s">
        <v>228</v>
      </c>
      <c r="BW1866" s="2" t="s">
        <v>228</v>
      </c>
      <c r="BX1866" s="2" t="s">
        <v>273</v>
      </c>
      <c r="BY1866" s="2" t="s">
        <v>274</v>
      </c>
      <c r="BZ1866" s="2" t="s">
        <v>240</v>
      </c>
      <c r="CA1866" s="2" t="s">
        <v>5960</v>
      </c>
      <c r="CB1866" s="2" t="s">
        <v>9121</v>
      </c>
      <c r="CC1866" s="2" t="s">
        <v>241</v>
      </c>
      <c r="CD1866" s="2" t="s">
        <v>228</v>
      </c>
      <c r="CE1866" s="4">
        <v>28</v>
      </c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/>
      <c r="DB1866" s="4"/>
      <c r="DC1866" s="4"/>
      <c r="DD1866" s="4"/>
      <c r="DE1866" s="4"/>
      <c r="DF1866" s="4"/>
      <c r="DG1866" s="4"/>
      <c r="DH1866" s="4"/>
      <c r="DI1866" s="4"/>
      <c r="DJ1866" s="4"/>
      <c r="DK1866" s="4"/>
      <c r="DL1866" s="4"/>
      <c r="DM1866" s="4"/>
      <c r="DN1866" s="4"/>
      <c r="DO1866" s="4"/>
      <c r="DP1866" s="4"/>
      <c r="DQ1866" s="4"/>
      <c r="DR1866" s="4"/>
      <c r="DS1866" s="4"/>
      <c r="DT1866" s="4"/>
      <c r="DU1866" s="4"/>
      <c r="DV1866" s="4"/>
      <c r="DW1866" s="4"/>
      <c r="DX1866" s="4"/>
      <c r="DY1866" s="4"/>
      <c r="DZ1866" s="4"/>
      <c r="EA1866" s="4"/>
      <c r="EB1866" s="4"/>
      <c r="EC1866" s="4"/>
      <c r="ED1866" s="4">
        <v>30</v>
      </c>
      <c r="EE1866" s="4"/>
      <c r="EF1866" s="4"/>
      <c r="EG1866" s="4"/>
      <c r="EH1866" s="4"/>
      <c r="EI1866" s="4"/>
      <c r="EJ1866" s="4"/>
      <c r="EK1866" s="4"/>
      <c r="EL1866" s="4"/>
      <c r="EM1866" s="4"/>
      <c r="EN1866" s="4"/>
      <c r="EO1866" s="4"/>
      <c r="EP1866" s="4"/>
      <c r="EQ1866" s="4"/>
      <c r="ER1866" s="4"/>
      <c r="ES1866" s="4"/>
      <c r="ET1866" s="4"/>
      <c r="EU1866" s="4"/>
      <c r="EV1866" s="4"/>
      <c r="EW1866" s="4"/>
      <c r="EX1866" s="4"/>
      <c r="EY1866" s="4"/>
      <c r="EZ1866" s="4"/>
      <c r="FA1866" s="4"/>
      <c r="FB1866" s="4"/>
      <c r="FC1866" s="4"/>
      <c r="FD1866" s="4"/>
      <c r="FE1866" s="4"/>
      <c r="FF1866" s="4"/>
      <c r="FG1866" s="4">
        <v>30</v>
      </c>
      <c r="FH1866" s="4"/>
      <c r="FI1866" s="4"/>
      <c r="FJ1866" s="4"/>
      <c r="FK1866" s="4"/>
      <c r="FL1866" s="4"/>
      <c r="FM1866" s="4"/>
      <c r="FN1866" s="4"/>
      <c r="FO1866" s="4"/>
      <c r="FP1866" s="4"/>
      <c r="FQ1866" s="4"/>
      <c r="FR1866" s="4"/>
      <c r="FS1866" s="4"/>
      <c r="FT1866" s="4"/>
      <c r="FU1866" s="4"/>
      <c r="FV1866" s="4"/>
      <c r="FW1866" s="4"/>
      <c r="FX1866" s="4"/>
      <c r="FY1866" s="4"/>
      <c r="FZ1866" s="4"/>
      <c r="GA1866" s="4"/>
      <c r="GB1866" s="4"/>
      <c r="GC1866" s="4"/>
      <c r="GD1866" s="4"/>
      <c r="GE1866" s="4"/>
      <c r="GF1866" s="4"/>
      <c r="GG1866" s="4"/>
      <c r="GH1866" s="4"/>
      <c r="GI1866" s="4"/>
      <c r="GJ1866" s="4"/>
      <c r="GK1866" s="4"/>
      <c r="GL1866" s="4"/>
      <c r="GM1866" s="4"/>
      <c r="GN1866" s="4"/>
      <c r="GO1866" s="4"/>
      <c r="GP1866" s="4"/>
      <c r="GQ1866" s="4"/>
      <c r="GR1866" s="4"/>
      <c r="GS1866" s="4"/>
      <c r="GT1866" s="4"/>
      <c r="GU1866" s="4"/>
      <c r="GV1866" s="4"/>
      <c r="GW1866" s="4">
        <v>40</v>
      </c>
      <c r="GX1866" s="4"/>
      <c r="GY1866" s="4"/>
      <c r="GZ1866" s="4"/>
      <c r="HA1866" s="4"/>
      <c r="HB1866" s="4"/>
      <c r="HC1866" s="4"/>
      <c r="HD1866" s="4"/>
      <c r="HE1866" s="4"/>
    </row>
    <row r="1867">
      <c r="A1867" s="2" t="s">
        <v>9122</v>
      </c>
      <c r="B1867" s="2" t="s">
        <v>299</v>
      </c>
      <c r="C1867" s="2" t="s">
        <v>300</v>
      </c>
      <c r="D1867" s="2" t="s">
        <v>301</v>
      </c>
      <c r="E1867" s="2" t="s">
        <v>302</v>
      </c>
      <c r="F1867" s="2" t="s">
        <v>9096</v>
      </c>
      <c r="G1867" s="2" t="s">
        <v>9096</v>
      </c>
      <c r="H1867" s="2" t="s">
        <v>9096</v>
      </c>
      <c r="I1867" s="2" t="s">
        <v>9097</v>
      </c>
      <c r="J1867" s="2" t="s">
        <v>264</v>
      </c>
      <c r="K1867" s="2" t="s">
        <v>650</v>
      </c>
      <c r="L1867" s="3">
        <v>21.6</v>
      </c>
      <c r="M1867" s="3">
        <v>22.68</v>
      </c>
      <c r="N1867" s="3">
        <v>47.99</v>
      </c>
      <c r="O1867" s="2" t="s">
        <v>240</v>
      </c>
      <c r="P1867" s="2" t="s">
        <v>266</v>
      </c>
      <c r="Q1867" s="2" t="s">
        <v>234</v>
      </c>
      <c r="R1867" s="2" t="s">
        <v>228</v>
      </c>
      <c r="S1867" s="2" t="s">
        <v>9123</v>
      </c>
      <c r="T1867" s="2" t="s">
        <v>350</v>
      </c>
      <c r="U1867" s="2" t="s">
        <v>500</v>
      </c>
      <c r="V1867" s="2" t="s">
        <v>236</v>
      </c>
      <c r="W1867" s="2" t="s">
        <v>269</v>
      </c>
      <c r="X1867" s="2" t="s">
        <v>228</v>
      </c>
      <c r="Y1867" s="2" t="s">
        <v>9099</v>
      </c>
      <c r="Z1867" s="4">
        <v>8</v>
      </c>
      <c r="AA1867" s="4">
        <f>=ROUNDDOWN(2.66666666666667,0)</f>
      </c>
      <c r="AB1867" s="5">
        <v>3</v>
      </c>
      <c r="AC1867" s="2" t="s">
        <v>1416</v>
      </c>
      <c r="AD1867" s="4">
        <v>40</v>
      </c>
      <c r="AE1867" s="4">
        <v>120</v>
      </c>
      <c r="AF1867" s="6">
        <v>69</v>
      </c>
      <c r="AG1867" s="6"/>
      <c r="AH1867" s="7">
        <v>1</v>
      </c>
      <c r="AI1867" s="4"/>
      <c r="AJ1867" s="4">
        <f>=ROUNDDOWN({0},0)</f>
      </c>
      <c r="AK1867" s="5"/>
      <c r="AL1867" s="2" t="s">
        <v>228</v>
      </c>
      <c r="AM1867" s="4"/>
      <c r="AN1867" s="4"/>
      <c r="AO1867" s="7"/>
      <c r="AP1867" s="4"/>
      <c r="AQ1867" s="8"/>
      <c r="AR1867" s="4"/>
      <c r="AS1867" s="8"/>
      <c r="AT1867" s="7"/>
      <c r="AU1867" s="7"/>
      <c r="AV1867" s="4" t="s">
        <v>228</v>
      </c>
      <c r="AW1867" s="8" t="s">
        <v>228</v>
      </c>
      <c r="AX1867" s="4" t="s">
        <v>228</v>
      </c>
      <c r="AY1867" s="8" t="s">
        <v>228</v>
      </c>
      <c r="AZ1867" s="7" t="s">
        <v>228</v>
      </c>
      <c r="BA1867" s="7" t="s">
        <v>228</v>
      </c>
      <c r="BB1867" s="7"/>
      <c r="BC1867" s="4" t="s">
        <v>228</v>
      </c>
      <c r="BD1867" s="8" t="s">
        <v>228</v>
      </c>
      <c r="BE1867" s="4" t="s">
        <v>228</v>
      </c>
      <c r="BF1867" s="8" t="s">
        <v>228</v>
      </c>
      <c r="BG1867" s="7" t="s">
        <v>228</v>
      </c>
      <c r="BH1867" s="7" t="s">
        <v>228</v>
      </c>
      <c r="BI1867" s="7"/>
      <c r="BJ1867" s="4">
        <v>17</v>
      </c>
      <c r="BK1867" s="8">
        <v>407.95</v>
      </c>
      <c r="BL1867" s="2" t="s">
        <v>1482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9124</v>
      </c>
      <c r="BV1867" s="2" t="s">
        <v>228</v>
      </c>
      <c r="BW1867" s="2" t="s">
        <v>228</v>
      </c>
      <c r="BX1867" s="2" t="s">
        <v>273</v>
      </c>
      <c r="BY1867" s="2" t="s">
        <v>274</v>
      </c>
      <c r="BZ1867" s="2" t="s">
        <v>240</v>
      </c>
      <c r="CA1867" s="2" t="s">
        <v>5960</v>
      </c>
      <c r="CB1867" s="2" t="s">
        <v>4224</v>
      </c>
      <c r="CC1867" s="2" t="s">
        <v>241</v>
      </c>
      <c r="CD1867" s="2" t="s">
        <v>228</v>
      </c>
      <c r="CE1867" s="4">
        <v>8</v>
      </c>
      <c r="CF1867" s="4"/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/>
      <c r="DB1867" s="4"/>
      <c r="DC1867" s="4"/>
      <c r="DD1867" s="4"/>
      <c r="DE1867" s="4"/>
      <c r="DF1867" s="4"/>
      <c r="DG1867" s="4"/>
      <c r="DH1867" s="4"/>
      <c r="DI1867" s="4"/>
      <c r="DJ1867" s="4"/>
      <c r="DK1867" s="4"/>
      <c r="DL1867" s="4"/>
      <c r="DM1867" s="4"/>
      <c r="DN1867" s="4"/>
      <c r="DO1867" s="4"/>
      <c r="DP1867" s="4"/>
      <c r="DQ1867" s="4"/>
      <c r="DR1867" s="4"/>
      <c r="DS1867" s="4"/>
      <c r="DT1867" s="4"/>
      <c r="DU1867" s="4"/>
      <c r="DV1867" s="4"/>
      <c r="DW1867" s="4"/>
      <c r="DX1867" s="4"/>
      <c r="DY1867" s="4"/>
      <c r="DZ1867" s="4"/>
      <c r="EA1867" s="4"/>
      <c r="EB1867" s="4"/>
      <c r="EC1867" s="4"/>
      <c r="ED1867" s="4">
        <v>40</v>
      </c>
      <c r="EE1867" s="4"/>
      <c r="EF1867" s="4"/>
      <c r="EG1867" s="4"/>
      <c r="EH1867" s="4"/>
      <c r="EI1867" s="4"/>
      <c r="EJ1867" s="4"/>
      <c r="EK1867" s="4"/>
      <c r="EL1867" s="4"/>
      <c r="EM1867" s="4"/>
      <c r="EN1867" s="4"/>
      <c r="EO1867" s="4"/>
      <c r="EP1867" s="4"/>
      <c r="EQ1867" s="4"/>
      <c r="ER1867" s="4"/>
      <c r="ES1867" s="4"/>
      <c r="ET1867" s="4"/>
      <c r="EU1867" s="4"/>
      <c r="EV1867" s="4"/>
      <c r="EW1867" s="4"/>
      <c r="EX1867" s="4"/>
      <c r="EY1867" s="4"/>
      <c r="EZ1867" s="4"/>
      <c r="FA1867" s="4"/>
      <c r="FB1867" s="4"/>
      <c r="FC1867" s="4"/>
      <c r="FD1867" s="4"/>
      <c r="FE1867" s="4"/>
      <c r="FF1867" s="4"/>
      <c r="FG1867" s="4">
        <v>80</v>
      </c>
      <c r="FH1867" s="4"/>
      <c r="FI1867" s="4"/>
      <c r="FJ1867" s="4"/>
      <c r="FK1867" s="4"/>
      <c r="FL1867" s="4"/>
      <c r="FM1867" s="4"/>
      <c r="FN1867" s="4"/>
      <c r="FO1867" s="4"/>
      <c r="FP1867" s="4"/>
      <c r="FQ1867" s="4"/>
      <c r="FR1867" s="4"/>
      <c r="FS1867" s="4"/>
      <c r="FT1867" s="4"/>
      <c r="FU1867" s="4"/>
      <c r="FV1867" s="4"/>
      <c r="FW1867" s="4"/>
      <c r="FX1867" s="4"/>
      <c r="FY1867" s="4"/>
      <c r="FZ1867" s="4"/>
      <c r="GA1867" s="4"/>
      <c r="GB1867" s="4"/>
      <c r="GC1867" s="4"/>
      <c r="GD1867" s="4"/>
      <c r="GE1867" s="4"/>
      <c r="GF1867" s="4"/>
      <c r="GG1867" s="4"/>
      <c r="GH1867" s="4"/>
      <c r="GI1867" s="4"/>
      <c r="GJ1867" s="4"/>
      <c r="GK1867" s="4"/>
      <c r="GL1867" s="4"/>
      <c r="GM1867" s="4"/>
      <c r="GN1867" s="4"/>
      <c r="GO1867" s="4"/>
      <c r="GP1867" s="4"/>
      <c r="GQ1867" s="4"/>
      <c r="GR1867" s="4"/>
      <c r="GS1867" s="4"/>
      <c r="GT1867" s="4"/>
      <c r="GU1867" s="4"/>
      <c r="GV1867" s="4"/>
      <c r="GW1867" s="4"/>
      <c r="GX1867" s="4"/>
      <c r="GY1867" s="4"/>
      <c r="GZ1867" s="4"/>
      <c r="HA1867" s="4"/>
      <c r="HB1867" s="4"/>
      <c r="HC1867" s="4"/>
      <c r="HD1867" s="4"/>
      <c r="HE1867" s="4"/>
    </row>
    <row r="1868">
      <c r="A1868" s="2" t="s">
        <v>9125</v>
      </c>
      <c r="B1868" s="2" t="s">
        <v>299</v>
      </c>
      <c r="C1868" s="2" t="s">
        <v>300</v>
      </c>
      <c r="D1868" s="2" t="s">
        <v>301</v>
      </c>
      <c r="E1868" s="2" t="s">
        <v>302</v>
      </c>
      <c r="F1868" s="2" t="s">
        <v>9096</v>
      </c>
      <c r="G1868" s="2" t="s">
        <v>9096</v>
      </c>
      <c r="H1868" s="2" t="s">
        <v>9096</v>
      </c>
      <c r="I1868" s="2" t="s">
        <v>9097</v>
      </c>
      <c r="J1868" s="2" t="s">
        <v>312</v>
      </c>
      <c r="K1868" s="2" t="s">
        <v>650</v>
      </c>
      <c r="L1868" s="3">
        <v>32.2</v>
      </c>
      <c r="M1868" s="3">
        <v>33.81</v>
      </c>
      <c r="N1868" s="3">
        <v>69.99</v>
      </c>
      <c r="O1868" s="2" t="s">
        <v>240</v>
      </c>
      <c r="P1868" s="2" t="s">
        <v>266</v>
      </c>
      <c r="Q1868" s="2" t="s">
        <v>234</v>
      </c>
      <c r="R1868" s="2" t="s">
        <v>228</v>
      </c>
      <c r="S1868" s="2" t="s">
        <v>9123</v>
      </c>
      <c r="T1868" s="2" t="s">
        <v>350</v>
      </c>
      <c r="U1868" s="2" t="s">
        <v>308</v>
      </c>
      <c r="V1868" s="2" t="s">
        <v>236</v>
      </c>
      <c r="W1868" s="2" t="s">
        <v>269</v>
      </c>
      <c r="X1868" s="2" t="s">
        <v>228</v>
      </c>
      <c r="Y1868" s="2" t="s">
        <v>9099</v>
      </c>
      <c r="Z1868" s="4">
        <v>56</v>
      </c>
      <c r="AA1868" s="4">
        <f>=ROUNDDOWN(13.6585365853659,0)</f>
      </c>
      <c r="AB1868" s="5">
        <v>4.1</v>
      </c>
      <c r="AC1868" s="2" t="s">
        <v>171</v>
      </c>
      <c r="AD1868" s="4">
        <v>60</v>
      </c>
      <c r="AE1868" s="4">
        <v>60</v>
      </c>
      <c r="AF1868" s="6">
        <v>69</v>
      </c>
      <c r="AG1868" s="6"/>
      <c r="AH1868" s="7">
        <v>1</v>
      </c>
      <c r="AI1868" s="4"/>
      <c r="AJ1868" s="4">
        <f>=ROUNDDOWN({0},0)</f>
      </c>
      <c r="AK1868" s="5"/>
      <c r="AL1868" s="2" t="s">
        <v>228</v>
      </c>
      <c r="AM1868" s="4"/>
      <c r="AN1868" s="4"/>
      <c r="AO1868" s="7"/>
      <c r="AP1868" s="4"/>
      <c r="AQ1868" s="8"/>
      <c r="AR1868" s="4"/>
      <c r="AS1868" s="8"/>
      <c r="AT1868" s="7"/>
      <c r="AU1868" s="7"/>
      <c r="AV1868" s="4" t="s">
        <v>228</v>
      </c>
      <c r="AW1868" s="8" t="s">
        <v>228</v>
      </c>
      <c r="AX1868" s="4" t="s">
        <v>228</v>
      </c>
      <c r="AY1868" s="8" t="s">
        <v>228</v>
      </c>
      <c r="AZ1868" s="7" t="s">
        <v>228</v>
      </c>
      <c r="BA1868" s="7" t="s">
        <v>228</v>
      </c>
      <c r="BB1868" s="7"/>
      <c r="BC1868" s="4" t="s">
        <v>228</v>
      </c>
      <c r="BD1868" s="8" t="s">
        <v>228</v>
      </c>
      <c r="BE1868" s="4" t="s">
        <v>228</v>
      </c>
      <c r="BF1868" s="8" t="s">
        <v>228</v>
      </c>
      <c r="BG1868" s="7" t="s">
        <v>228</v>
      </c>
      <c r="BH1868" s="7" t="s">
        <v>228</v>
      </c>
      <c r="BI1868" s="7"/>
      <c r="BJ1868" s="4">
        <v>16</v>
      </c>
      <c r="BK1868" s="8">
        <v>568.38</v>
      </c>
      <c r="BL1868" s="2" t="s">
        <v>509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9126</v>
      </c>
      <c r="BV1868" s="2" t="s">
        <v>228</v>
      </c>
      <c r="BW1868" s="2" t="s">
        <v>228</v>
      </c>
      <c r="BX1868" s="2" t="s">
        <v>273</v>
      </c>
      <c r="BY1868" s="2" t="s">
        <v>274</v>
      </c>
      <c r="BZ1868" s="2" t="s">
        <v>240</v>
      </c>
      <c r="CA1868" s="2" t="s">
        <v>5960</v>
      </c>
      <c r="CB1868" s="2" t="s">
        <v>5961</v>
      </c>
      <c r="CC1868" s="2" t="s">
        <v>241</v>
      </c>
      <c r="CD1868" s="2" t="s">
        <v>228</v>
      </c>
      <c r="CE1868" s="4">
        <v>56</v>
      </c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4"/>
      <c r="CX1868" s="4"/>
      <c r="CY1868" s="4"/>
      <c r="CZ1868" s="4"/>
      <c r="DA1868" s="4"/>
      <c r="DB1868" s="4"/>
      <c r="DC1868" s="4"/>
      <c r="DD1868" s="4"/>
      <c r="DE1868" s="4"/>
      <c r="DF1868" s="4"/>
      <c r="DG1868" s="4"/>
      <c r="DH1868" s="4"/>
      <c r="DI1868" s="4"/>
      <c r="DJ1868" s="4"/>
      <c r="DK1868" s="4"/>
      <c r="DL1868" s="4"/>
      <c r="DM1868" s="4"/>
      <c r="DN1868" s="4"/>
      <c r="DO1868" s="4"/>
      <c r="DP1868" s="4"/>
      <c r="DQ1868" s="4"/>
      <c r="DR1868" s="4"/>
      <c r="DS1868" s="4"/>
      <c r="DT1868" s="4"/>
      <c r="DU1868" s="4"/>
      <c r="DV1868" s="4"/>
      <c r="DW1868" s="4"/>
      <c r="DX1868" s="4"/>
      <c r="DY1868" s="4"/>
      <c r="DZ1868" s="4"/>
      <c r="EA1868" s="4"/>
      <c r="EB1868" s="4"/>
      <c r="EC1868" s="4"/>
      <c r="ED1868" s="4"/>
      <c r="EE1868" s="4"/>
      <c r="EF1868" s="4"/>
      <c r="EG1868" s="4"/>
      <c r="EH1868" s="4"/>
      <c r="EI1868" s="4"/>
      <c r="EJ1868" s="4"/>
      <c r="EK1868" s="4"/>
      <c r="EL1868" s="4"/>
      <c r="EM1868" s="4"/>
      <c r="EN1868" s="4"/>
      <c r="EO1868" s="4"/>
      <c r="EP1868" s="4"/>
      <c r="EQ1868" s="4"/>
      <c r="ER1868" s="4"/>
      <c r="ES1868" s="4"/>
      <c r="ET1868" s="4"/>
      <c r="EU1868" s="4"/>
      <c r="EV1868" s="4"/>
      <c r="EW1868" s="4"/>
      <c r="EX1868" s="4"/>
      <c r="EY1868" s="4"/>
      <c r="EZ1868" s="4"/>
      <c r="FA1868" s="4"/>
      <c r="FB1868" s="4"/>
      <c r="FC1868" s="4"/>
      <c r="FD1868" s="4"/>
      <c r="FE1868" s="4"/>
      <c r="FF1868" s="4"/>
      <c r="FG1868" s="4">
        <v>60</v>
      </c>
      <c r="FH1868" s="4"/>
      <c r="FI1868" s="4"/>
      <c r="FJ1868" s="4"/>
      <c r="FK1868" s="4"/>
      <c r="FL1868" s="4"/>
      <c r="FM1868" s="4"/>
      <c r="FN1868" s="4"/>
      <c r="FO1868" s="4"/>
      <c r="FP1868" s="4"/>
      <c r="FQ1868" s="4"/>
      <c r="FR1868" s="4"/>
      <c r="FS1868" s="4"/>
      <c r="FT1868" s="4"/>
      <c r="FU1868" s="4"/>
      <c r="FV1868" s="4"/>
      <c r="FW1868" s="4"/>
      <c r="FX1868" s="4"/>
      <c r="FY1868" s="4"/>
      <c r="FZ1868" s="4"/>
      <c r="GA1868" s="4"/>
      <c r="GB1868" s="4"/>
      <c r="GC1868" s="4"/>
      <c r="GD1868" s="4"/>
      <c r="GE1868" s="4"/>
      <c r="GF1868" s="4"/>
      <c r="GG1868" s="4"/>
      <c r="GH1868" s="4"/>
      <c r="GI1868" s="4"/>
      <c r="GJ1868" s="4"/>
      <c r="GK1868" s="4"/>
      <c r="GL1868" s="4"/>
      <c r="GM1868" s="4"/>
      <c r="GN1868" s="4"/>
      <c r="GO1868" s="4"/>
      <c r="GP1868" s="4"/>
      <c r="GQ1868" s="4"/>
      <c r="GR1868" s="4"/>
      <c r="GS1868" s="4"/>
      <c r="GT1868" s="4"/>
      <c r="GU1868" s="4"/>
      <c r="GV1868" s="4"/>
      <c r="GW1868" s="4"/>
      <c r="GX1868" s="4"/>
      <c r="GY1868" s="4"/>
      <c r="GZ1868" s="4"/>
      <c r="HA1868" s="4"/>
      <c r="HB1868" s="4"/>
      <c r="HC1868" s="4"/>
      <c r="HD1868" s="4"/>
      <c r="HE1868" s="4"/>
    </row>
    <row r="1869">
      <c r="A1869" s="2" t="s">
        <v>9127</v>
      </c>
      <c r="B1869" s="2" t="s">
        <v>299</v>
      </c>
      <c r="C1869" s="2" t="s">
        <v>300</v>
      </c>
      <c r="D1869" s="2" t="s">
        <v>301</v>
      </c>
      <c r="E1869" s="2" t="s">
        <v>302</v>
      </c>
      <c r="F1869" s="2" t="s">
        <v>9096</v>
      </c>
      <c r="G1869" s="2" t="s">
        <v>9096</v>
      </c>
      <c r="H1869" s="2" t="s">
        <v>9096</v>
      </c>
      <c r="I1869" s="2" t="s">
        <v>9097</v>
      </c>
      <c r="J1869" s="2" t="s">
        <v>264</v>
      </c>
      <c r="K1869" s="2" t="s">
        <v>316</v>
      </c>
      <c r="L1869" s="3">
        <v>21.6</v>
      </c>
      <c r="M1869" s="3">
        <v>22.68</v>
      </c>
      <c r="N1869" s="3">
        <v>47.99</v>
      </c>
      <c r="O1869" s="2" t="s">
        <v>240</v>
      </c>
      <c r="P1869" s="2" t="s">
        <v>266</v>
      </c>
      <c r="Q1869" s="2" t="s">
        <v>234</v>
      </c>
      <c r="R1869" s="2" t="s">
        <v>228</v>
      </c>
      <c r="S1869" s="2" t="s">
        <v>9128</v>
      </c>
      <c r="T1869" s="2" t="s">
        <v>350</v>
      </c>
      <c r="U1869" s="2" t="s">
        <v>500</v>
      </c>
      <c r="V1869" s="2" t="s">
        <v>236</v>
      </c>
      <c r="W1869" s="2" t="s">
        <v>269</v>
      </c>
      <c r="X1869" s="2" t="s">
        <v>228</v>
      </c>
      <c r="Y1869" s="2" t="s">
        <v>9099</v>
      </c>
      <c r="Z1869" s="4">
        <v>37</v>
      </c>
      <c r="AA1869" s="4">
        <f>=ROUNDDOWN(4.51219512195122,0)</f>
      </c>
      <c r="AB1869" s="5">
        <v>8.2</v>
      </c>
      <c r="AC1869" s="2" t="s">
        <v>1416</v>
      </c>
      <c r="AD1869" s="4">
        <v>50</v>
      </c>
      <c r="AE1869" s="4">
        <v>180</v>
      </c>
      <c r="AF1869" s="6">
        <v>69</v>
      </c>
      <c r="AG1869" s="6"/>
      <c r="AH1869" s="7">
        <v>1</v>
      </c>
      <c r="AI1869" s="4"/>
      <c r="AJ1869" s="4">
        <f>=ROUNDDOWN({0},0)</f>
      </c>
      <c r="AK1869" s="5"/>
      <c r="AL1869" s="2" t="s">
        <v>228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 t="s">
        <v>228</v>
      </c>
      <c r="AW1869" s="8" t="s">
        <v>228</v>
      </c>
      <c r="AX1869" s="4" t="s">
        <v>228</v>
      </c>
      <c r="AY1869" s="8" t="s">
        <v>228</v>
      </c>
      <c r="AZ1869" s="7" t="s">
        <v>228</v>
      </c>
      <c r="BA1869" s="7" t="s">
        <v>228</v>
      </c>
      <c r="BB1869" s="7"/>
      <c r="BC1869" s="4" t="s">
        <v>228</v>
      </c>
      <c r="BD1869" s="8" t="s">
        <v>228</v>
      </c>
      <c r="BE1869" s="4" t="s">
        <v>228</v>
      </c>
      <c r="BF1869" s="8" t="s">
        <v>228</v>
      </c>
      <c r="BG1869" s="7" t="s">
        <v>228</v>
      </c>
      <c r="BH1869" s="7" t="s">
        <v>228</v>
      </c>
      <c r="BI1869" s="7"/>
      <c r="BJ1869" s="4">
        <v>41</v>
      </c>
      <c r="BK1869" s="8">
        <v>1002.11</v>
      </c>
      <c r="BL1869" s="2" t="s">
        <v>9129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9130</v>
      </c>
      <c r="BV1869" s="2" t="s">
        <v>228</v>
      </c>
      <c r="BW1869" s="2" t="s">
        <v>228</v>
      </c>
      <c r="BX1869" s="2" t="s">
        <v>273</v>
      </c>
      <c r="BY1869" s="2" t="s">
        <v>274</v>
      </c>
      <c r="BZ1869" s="2" t="s">
        <v>240</v>
      </c>
      <c r="CA1869" s="2" t="s">
        <v>5960</v>
      </c>
      <c r="CB1869" s="2" t="s">
        <v>2029</v>
      </c>
      <c r="CC1869" s="2" t="s">
        <v>241</v>
      </c>
      <c r="CD1869" s="2" t="s">
        <v>228</v>
      </c>
      <c r="CE1869" s="4">
        <v>37</v>
      </c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/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/>
      <c r="DK1869" s="4"/>
      <c r="DL1869" s="4"/>
      <c r="DM1869" s="4"/>
      <c r="DN1869" s="4"/>
      <c r="DO1869" s="4"/>
      <c r="DP1869" s="4"/>
      <c r="DQ1869" s="4"/>
      <c r="DR1869" s="4"/>
      <c r="DS1869" s="4"/>
      <c r="DT1869" s="4"/>
      <c r="DU1869" s="4"/>
      <c r="DV1869" s="4"/>
      <c r="DW1869" s="4"/>
      <c r="DX1869" s="4"/>
      <c r="DY1869" s="4"/>
      <c r="DZ1869" s="4"/>
      <c r="EA1869" s="4"/>
      <c r="EB1869" s="4"/>
      <c r="EC1869" s="4"/>
      <c r="ED1869" s="4">
        <v>50</v>
      </c>
      <c r="EE1869" s="4"/>
      <c r="EF1869" s="4"/>
      <c r="EG1869" s="4"/>
      <c r="EH1869" s="4"/>
      <c r="EI1869" s="4"/>
      <c r="EJ1869" s="4"/>
      <c r="EK1869" s="4"/>
      <c r="EL1869" s="4"/>
      <c r="EM1869" s="4"/>
      <c r="EN1869" s="4"/>
      <c r="EO1869" s="4"/>
      <c r="EP1869" s="4"/>
      <c r="EQ1869" s="4"/>
      <c r="ER1869" s="4"/>
      <c r="ES1869" s="4"/>
      <c r="ET1869" s="4"/>
      <c r="EU1869" s="4"/>
      <c r="EV1869" s="4"/>
      <c r="EW1869" s="4"/>
      <c r="EX1869" s="4"/>
      <c r="EY1869" s="4"/>
      <c r="EZ1869" s="4"/>
      <c r="FA1869" s="4"/>
      <c r="FB1869" s="4"/>
      <c r="FC1869" s="4"/>
      <c r="FD1869" s="4"/>
      <c r="FE1869" s="4"/>
      <c r="FF1869" s="4"/>
      <c r="FG1869" s="4">
        <v>50</v>
      </c>
      <c r="FH1869" s="4"/>
      <c r="FI1869" s="4"/>
      <c r="FJ1869" s="4"/>
      <c r="FK1869" s="4"/>
      <c r="FL1869" s="4"/>
      <c r="FM1869" s="4"/>
      <c r="FN1869" s="4"/>
      <c r="FO1869" s="4"/>
      <c r="FP1869" s="4"/>
      <c r="FQ1869" s="4"/>
      <c r="FR1869" s="4"/>
      <c r="FS1869" s="4"/>
      <c r="FT1869" s="4"/>
      <c r="FU1869" s="4"/>
      <c r="FV1869" s="4"/>
      <c r="FW1869" s="4"/>
      <c r="FX1869" s="4"/>
      <c r="FY1869" s="4"/>
      <c r="FZ1869" s="4"/>
      <c r="GA1869" s="4"/>
      <c r="GB1869" s="4"/>
      <c r="GC1869" s="4"/>
      <c r="GD1869" s="4"/>
      <c r="GE1869" s="4"/>
      <c r="GF1869" s="4"/>
      <c r="GG1869" s="4"/>
      <c r="GH1869" s="4"/>
      <c r="GI1869" s="4"/>
      <c r="GJ1869" s="4"/>
      <c r="GK1869" s="4"/>
      <c r="GL1869" s="4"/>
      <c r="GM1869" s="4"/>
      <c r="GN1869" s="4"/>
      <c r="GO1869" s="4"/>
      <c r="GP1869" s="4"/>
      <c r="GQ1869" s="4"/>
      <c r="GR1869" s="4"/>
      <c r="GS1869" s="4"/>
      <c r="GT1869" s="4"/>
      <c r="GU1869" s="4"/>
      <c r="GV1869" s="4"/>
      <c r="GW1869" s="4">
        <v>80</v>
      </c>
      <c r="GX1869" s="4"/>
      <c r="GY1869" s="4"/>
      <c r="GZ1869" s="4"/>
      <c r="HA1869" s="4"/>
      <c r="HB1869" s="4"/>
      <c r="HC1869" s="4"/>
      <c r="HD1869" s="4"/>
      <c r="HE1869" s="4"/>
    </row>
    <row r="1870">
      <c r="A1870" s="2" t="s">
        <v>9131</v>
      </c>
      <c r="B1870" s="2" t="s">
        <v>299</v>
      </c>
      <c r="C1870" s="2" t="s">
        <v>300</v>
      </c>
      <c r="D1870" s="2" t="s">
        <v>301</v>
      </c>
      <c r="E1870" s="2" t="s">
        <v>302</v>
      </c>
      <c r="F1870" s="2" t="s">
        <v>9096</v>
      </c>
      <c r="G1870" s="2" t="s">
        <v>9096</v>
      </c>
      <c r="H1870" s="2" t="s">
        <v>9096</v>
      </c>
      <c r="I1870" s="2" t="s">
        <v>9097</v>
      </c>
      <c r="J1870" s="2" t="s">
        <v>312</v>
      </c>
      <c r="K1870" s="2" t="s">
        <v>316</v>
      </c>
      <c r="L1870" s="3">
        <v>32.2</v>
      </c>
      <c r="M1870" s="3">
        <v>33.81</v>
      </c>
      <c r="N1870" s="3">
        <v>69.99</v>
      </c>
      <c r="O1870" s="2" t="s">
        <v>240</v>
      </c>
      <c r="P1870" s="2" t="s">
        <v>266</v>
      </c>
      <c r="Q1870" s="2" t="s">
        <v>234</v>
      </c>
      <c r="R1870" s="2" t="s">
        <v>228</v>
      </c>
      <c r="S1870" s="2" t="s">
        <v>9128</v>
      </c>
      <c r="T1870" s="2" t="s">
        <v>350</v>
      </c>
      <c r="U1870" s="2" t="s">
        <v>308</v>
      </c>
      <c r="V1870" s="2" t="s">
        <v>236</v>
      </c>
      <c r="W1870" s="2" t="s">
        <v>269</v>
      </c>
      <c r="X1870" s="2" t="s">
        <v>228</v>
      </c>
      <c r="Y1870" s="2" t="s">
        <v>9099</v>
      </c>
      <c r="Z1870" s="4">
        <v>60</v>
      </c>
      <c r="AA1870" s="4">
        <f>=ROUNDDOWN(10,0)</f>
      </c>
      <c r="AB1870" s="5">
        <v>6</v>
      </c>
      <c r="AC1870" s="2" t="s">
        <v>1416</v>
      </c>
      <c r="AD1870" s="4">
        <v>40</v>
      </c>
      <c r="AE1870" s="4">
        <v>90</v>
      </c>
      <c r="AF1870" s="6">
        <v>69</v>
      </c>
      <c r="AG1870" s="6"/>
      <c r="AH1870" s="7">
        <v>1</v>
      </c>
      <c r="AI1870" s="4"/>
      <c r="AJ1870" s="4">
        <f>=ROUNDDOWN({0},0)</f>
      </c>
      <c r="AK1870" s="5"/>
      <c r="AL1870" s="2" t="s">
        <v>228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 t="s">
        <v>228</v>
      </c>
      <c r="AW1870" s="8" t="s">
        <v>228</v>
      </c>
      <c r="AX1870" s="4" t="s">
        <v>228</v>
      </c>
      <c r="AY1870" s="8" t="s">
        <v>228</v>
      </c>
      <c r="AZ1870" s="7" t="s">
        <v>228</v>
      </c>
      <c r="BA1870" s="7" t="s">
        <v>228</v>
      </c>
      <c r="BB1870" s="7"/>
      <c r="BC1870" s="4" t="s">
        <v>228</v>
      </c>
      <c r="BD1870" s="8" t="s">
        <v>228</v>
      </c>
      <c r="BE1870" s="4" t="s">
        <v>228</v>
      </c>
      <c r="BF1870" s="8" t="s">
        <v>228</v>
      </c>
      <c r="BG1870" s="7" t="s">
        <v>228</v>
      </c>
      <c r="BH1870" s="7" t="s">
        <v>228</v>
      </c>
      <c r="BI1870" s="7"/>
      <c r="BJ1870" s="4">
        <v>33</v>
      </c>
      <c r="BK1870" s="8">
        <v>1198.45</v>
      </c>
      <c r="BL1870" s="2" t="s">
        <v>9054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9132</v>
      </c>
      <c r="BV1870" s="2" t="s">
        <v>228</v>
      </c>
      <c r="BW1870" s="2" t="s">
        <v>228</v>
      </c>
      <c r="BX1870" s="2" t="s">
        <v>273</v>
      </c>
      <c r="BY1870" s="2" t="s">
        <v>274</v>
      </c>
      <c r="BZ1870" s="2" t="s">
        <v>240</v>
      </c>
      <c r="CA1870" s="2" t="s">
        <v>5960</v>
      </c>
      <c r="CB1870" s="2" t="s">
        <v>7139</v>
      </c>
      <c r="CC1870" s="2" t="s">
        <v>241</v>
      </c>
      <c r="CD1870" s="2" t="s">
        <v>228</v>
      </c>
      <c r="CE1870" s="4">
        <v>60</v>
      </c>
      <c r="CF1870" s="4"/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4"/>
      <c r="CX1870" s="4"/>
      <c r="CY1870" s="4"/>
      <c r="CZ1870" s="4"/>
      <c r="DA1870" s="4"/>
      <c r="DB1870" s="4"/>
      <c r="DC1870" s="4"/>
      <c r="DD1870" s="4"/>
      <c r="DE1870" s="4"/>
      <c r="DF1870" s="4"/>
      <c r="DG1870" s="4"/>
      <c r="DH1870" s="4"/>
      <c r="DI1870" s="4"/>
      <c r="DJ1870" s="4"/>
      <c r="DK1870" s="4"/>
      <c r="DL1870" s="4"/>
      <c r="DM1870" s="4"/>
      <c r="DN1870" s="4"/>
      <c r="DO1870" s="4"/>
      <c r="DP1870" s="4"/>
      <c r="DQ1870" s="4"/>
      <c r="DR1870" s="4"/>
      <c r="DS1870" s="4"/>
      <c r="DT1870" s="4"/>
      <c r="DU1870" s="4"/>
      <c r="DV1870" s="4"/>
      <c r="DW1870" s="4"/>
      <c r="DX1870" s="4"/>
      <c r="DY1870" s="4"/>
      <c r="DZ1870" s="4"/>
      <c r="EA1870" s="4"/>
      <c r="EB1870" s="4"/>
      <c r="EC1870" s="4"/>
      <c r="ED1870" s="4">
        <v>40</v>
      </c>
      <c r="EE1870" s="4"/>
      <c r="EF1870" s="4"/>
      <c r="EG1870" s="4"/>
      <c r="EH1870" s="4"/>
      <c r="EI1870" s="4"/>
      <c r="EJ1870" s="4"/>
      <c r="EK1870" s="4"/>
      <c r="EL1870" s="4"/>
      <c r="EM1870" s="4"/>
      <c r="EN1870" s="4"/>
      <c r="EO1870" s="4"/>
      <c r="EP1870" s="4"/>
      <c r="EQ1870" s="4"/>
      <c r="ER1870" s="4"/>
      <c r="ES1870" s="4"/>
      <c r="ET1870" s="4"/>
      <c r="EU1870" s="4"/>
      <c r="EV1870" s="4"/>
      <c r="EW1870" s="4"/>
      <c r="EX1870" s="4"/>
      <c r="EY1870" s="4"/>
      <c r="EZ1870" s="4"/>
      <c r="FA1870" s="4"/>
      <c r="FB1870" s="4"/>
      <c r="FC1870" s="4"/>
      <c r="FD1870" s="4"/>
      <c r="FE1870" s="4"/>
      <c r="FF1870" s="4"/>
      <c r="FG1870" s="4">
        <v>30</v>
      </c>
      <c r="FH1870" s="4"/>
      <c r="FI1870" s="4"/>
      <c r="FJ1870" s="4"/>
      <c r="FK1870" s="4"/>
      <c r="FL1870" s="4"/>
      <c r="FM1870" s="4"/>
      <c r="FN1870" s="4"/>
      <c r="FO1870" s="4"/>
      <c r="FP1870" s="4"/>
      <c r="FQ1870" s="4"/>
      <c r="FR1870" s="4"/>
      <c r="FS1870" s="4"/>
      <c r="FT1870" s="4"/>
      <c r="FU1870" s="4"/>
      <c r="FV1870" s="4"/>
      <c r="FW1870" s="4"/>
      <c r="FX1870" s="4"/>
      <c r="FY1870" s="4"/>
      <c r="FZ1870" s="4"/>
      <c r="GA1870" s="4"/>
      <c r="GB1870" s="4"/>
      <c r="GC1870" s="4"/>
      <c r="GD1870" s="4"/>
      <c r="GE1870" s="4"/>
      <c r="GF1870" s="4"/>
      <c r="GG1870" s="4"/>
      <c r="GH1870" s="4"/>
      <c r="GI1870" s="4"/>
      <c r="GJ1870" s="4"/>
      <c r="GK1870" s="4"/>
      <c r="GL1870" s="4"/>
      <c r="GM1870" s="4"/>
      <c r="GN1870" s="4"/>
      <c r="GO1870" s="4"/>
      <c r="GP1870" s="4"/>
      <c r="GQ1870" s="4"/>
      <c r="GR1870" s="4"/>
      <c r="GS1870" s="4"/>
      <c r="GT1870" s="4"/>
      <c r="GU1870" s="4"/>
      <c r="GV1870" s="4"/>
      <c r="GW1870" s="4">
        <v>20</v>
      </c>
      <c r="GX1870" s="4"/>
      <c r="GY1870" s="4"/>
      <c r="GZ1870" s="4"/>
      <c r="HA1870" s="4"/>
      <c r="HB1870" s="4"/>
      <c r="HC1870" s="4"/>
      <c r="HD1870" s="4"/>
      <c r="HE1870" s="4"/>
    </row>
    <row r="1871">
      <c r="A1871" s="2" t="s">
        <v>9133</v>
      </c>
      <c r="B1871" s="2" t="s">
        <v>958</v>
      </c>
      <c r="C1871" s="2" t="s">
        <v>300</v>
      </c>
      <c r="D1871" s="2" t="s">
        <v>1790</v>
      </c>
      <c r="E1871" s="2" t="s">
        <v>1791</v>
      </c>
      <c r="F1871" s="2" t="s">
        <v>9134</v>
      </c>
      <c r="G1871" s="2" t="s">
        <v>9135</v>
      </c>
      <c r="H1871" s="2" t="s">
        <v>9136</v>
      </c>
      <c r="I1871" s="2" t="s">
        <v>9137</v>
      </c>
      <c r="J1871" s="2" t="s">
        <v>840</v>
      </c>
      <c r="K1871" s="2" t="s">
        <v>249</v>
      </c>
      <c r="L1871" s="3">
        <v>317.52</v>
      </c>
      <c r="M1871" s="3">
        <v>333.4</v>
      </c>
      <c r="N1871" s="3">
        <v>669</v>
      </c>
      <c r="O1871" s="2" t="s">
        <v>240</v>
      </c>
      <c r="P1871" s="2" t="s">
        <v>1022</v>
      </c>
      <c r="Q1871" s="2" t="s">
        <v>234</v>
      </c>
      <c r="R1871" s="2" t="s">
        <v>228</v>
      </c>
      <c r="S1871" s="2" t="s">
        <v>9138</v>
      </c>
      <c r="T1871" s="2" t="s">
        <v>228</v>
      </c>
      <c r="U1871" s="2" t="s">
        <v>520</v>
      </c>
      <c r="V1871" s="2" t="s">
        <v>236</v>
      </c>
      <c r="W1871" s="2" t="s">
        <v>463</v>
      </c>
      <c r="X1871" s="2" t="s">
        <v>228</v>
      </c>
      <c r="Y1871" s="2" t="s">
        <v>8789</v>
      </c>
      <c r="Z1871" s="4">
        <v>94</v>
      </c>
      <c r="AA1871" s="4">
        <f>=ROUNDDOWN(58.75,0)</f>
      </c>
      <c r="AB1871" s="5">
        <v>1.6</v>
      </c>
      <c r="AC1871" s="2" t="s">
        <v>211</v>
      </c>
      <c r="AD1871" s="4">
        <v>50</v>
      </c>
      <c r="AE1871" s="4">
        <v>50</v>
      </c>
      <c r="AF1871" s="6"/>
      <c r="AG1871" s="6"/>
      <c r="AH1871" s="7">
        <v>1</v>
      </c>
      <c r="AI1871" s="4"/>
      <c r="AJ1871" s="4">
        <f>=ROUNDDOWN({0},0)</f>
      </c>
      <c r="AK1871" s="5"/>
      <c r="AL1871" s="2" t="s">
        <v>228</v>
      </c>
      <c r="AM1871" s="4"/>
      <c r="AN1871" s="4"/>
      <c r="AO1871" s="7">
        <v>0.5484</v>
      </c>
      <c r="AP1871" s="4"/>
      <c r="AQ1871" s="8"/>
      <c r="AR1871" s="4"/>
      <c r="AS1871" s="8"/>
      <c r="AT1871" s="7"/>
      <c r="AU1871" s="7"/>
      <c r="AV1871" s="4"/>
      <c r="AW1871" s="8"/>
      <c r="AX1871" s="4"/>
      <c r="AY1871" s="8"/>
      <c r="AZ1871" s="7"/>
      <c r="BA1871" s="7"/>
      <c r="BB1871" s="7"/>
      <c r="BC1871" s="4" t="s">
        <v>228</v>
      </c>
      <c r="BD1871" s="8" t="s">
        <v>228</v>
      </c>
      <c r="BE1871" s="4" t="s">
        <v>228</v>
      </c>
      <c r="BF1871" s="8" t="s">
        <v>228</v>
      </c>
      <c r="BG1871" s="7" t="s">
        <v>228</v>
      </c>
      <c r="BH1871" s="7" t="s">
        <v>228</v>
      </c>
      <c r="BI1871" s="7"/>
      <c r="BJ1871" s="4">
        <v>9</v>
      </c>
      <c r="BK1871" s="8">
        <v>2781.54</v>
      </c>
      <c r="BL1871" s="2" t="s">
        <v>1933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9139</v>
      </c>
      <c r="BV1871" s="2" t="s">
        <v>228</v>
      </c>
      <c r="BW1871" s="2" t="s">
        <v>228</v>
      </c>
      <c r="BX1871" s="2" t="s">
        <v>735</v>
      </c>
      <c r="BY1871" s="2" t="s">
        <v>274</v>
      </c>
      <c r="BZ1871" s="2" t="s">
        <v>240</v>
      </c>
      <c r="CA1871" s="2" t="s">
        <v>3101</v>
      </c>
      <c r="CB1871" s="2" t="s">
        <v>3117</v>
      </c>
      <c r="CC1871" s="2" t="s">
        <v>241</v>
      </c>
      <c r="CD1871" s="2" t="s">
        <v>228</v>
      </c>
      <c r="CE1871" s="4"/>
      <c r="CF1871" s="4">
        <v>91</v>
      </c>
      <c r="CG1871" s="4"/>
      <c r="CH1871" s="4">
        <v>3</v>
      </c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/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  <c r="DL1871" s="4"/>
      <c r="DM1871" s="4"/>
      <c r="DN1871" s="4"/>
      <c r="DO1871" s="4"/>
      <c r="DP1871" s="4"/>
      <c r="DQ1871" s="4"/>
      <c r="DR1871" s="4"/>
      <c r="DS1871" s="4"/>
      <c r="DT1871" s="4"/>
      <c r="DU1871" s="4"/>
      <c r="DV1871" s="4"/>
      <c r="DW1871" s="4"/>
      <c r="DX1871" s="4"/>
      <c r="DY1871" s="4"/>
      <c r="DZ1871" s="4"/>
      <c r="EA1871" s="4"/>
      <c r="EB1871" s="4"/>
      <c r="EC1871" s="4"/>
      <c r="ED1871" s="4"/>
      <c r="EE1871" s="4"/>
      <c r="EF1871" s="4"/>
      <c r="EG1871" s="4"/>
      <c r="EH1871" s="4"/>
      <c r="EI1871" s="4"/>
      <c r="EJ1871" s="4"/>
      <c r="EK1871" s="4"/>
      <c r="EL1871" s="4"/>
      <c r="EM1871" s="4"/>
      <c r="EN1871" s="4"/>
      <c r="EO1871" s="4"/>
      <c r="EP1871" s="4"/>
      <c r="EQ1871" s="4"/>
      <c r="ER1871" s="4"/>
      <c r="ES1871" s="4"/>
      <c r="ET1871" s="4"/>
      <c r="EU1871" s="4"/>
      <c r="EV1871" s="4"/>
      <c r="EW1871" s="4"/>
      <c r="EX1871" s="4"/>
      <c r="EY1871" s="4"/>
      <c r="EZ1871" s="4"/>
      <c r="FA1871" s="4"/>
      <c r="FB1871" s="4"/>
      <c r="FC1871" s="4"/>
      <c r="FD1871" s="4"/>
      <c r="FE1871" s="4"/>
      <c r="FF1871" s="4"/>
      <c r="FG1871" s="4"/>
      <c r="FH1871" s="4"/>
      <c r="FI1871" s="4"/>
      <c r="FJ1871" s="4"/>
      <c r="FK1871" s="4"/>
      <c r="FL1871" s="4"/>
      <c r="FM1871" s="4"/>
      <c r="FN1871" s="4"/>
      <c r="FO1871" s="4"/>
      <c r="FP1871" s="4"/>
      <c r="FQ1871" s="4"/>
      <c r="FR1871" s="4"/>
      <c r="FS1871" s="4"/>
      <c r="FT1871" s="4"/>
      <c r="FU1871" s="4"/>
      <c r="FV1871" s="4"/>
      <c r="FW1871" s="4"/>
      <c r="FX1871" s="4"/>
      <c r="FY1871" s="4"/>
      <c r="FZ1871" s="4"/>
      <c r="GA1871" s="4"/>
      <c r="GB1871" s="4"/>
      <c r="GC1871" s="4"/>
      <c r="GD1871" s="4"/>
      <c r="GE1871" s="4"/>
      <c r="GF1871" s="4"/>
      <c r="GG1871" s="4"/>
      <c r="GH1871" s="4"/>
      <c r="GI1871" s="4"/>
      <c r="GJ1871" s="4"/>
      <c r="GK1871" s="4"/>
      <c r="GL1871" s="4"/>
      <c r="GM1871" s="4"/>
      <c r="GN1871" s="4"/>
      <c r="GO1871" s="4"/>
      <c r="GP1871" s="4"/>
      <c r="GQ1871" s="4"/>
      <c r="GR1871" s="4"/>
      <c r="GS1871" s="4"/>
      <c r="GT1871" s="4"/>
      <c r="GU1871" s="4">
        <v>50</v>
      </c>
      <c r="GV1871" s="4"/>
      <c r="GW1871" s="4"/>
      <c r="GX1871" s="4"/>
      <c r="GY1871" s="4"/>
      <c r="GZ1871" s="4"/>
      <c r="HA1871" s="4"/>
      <c r="HB1871" s="4"/>
      <c r="HC1871" s="4"/>
      <c r="HD1871" s="4"/>
      <c r="HE1871" s="4"/>
    </row>
    <row r="1872">
      <c r="A1872" s="2" t="s">
        <v>9140</v>
      </c>
      <c r="B1872" s="2" t="s">
        <v>958</v>
      </c>
      <c r="C1872" s="2" t="s">
        <v>300</v>
      </c>
      <c r="D1872" s="2" t="s">
        <v>1790</v>
      </c>
      <c r="E1872" s="2" t="s">
        <v>3370</v>
      </c>
      <c r="F1872" s="2" t="s">
        <v>9134</v>
      </c>
      <c r="G1872" s="2" t="s">
        <v>9135</v>
      </c>
      <c r="H1872" s="2" t="s">
        <v>9136</v>
      </c>
      <c r="I1872" s="2" t="s">
        <v>9141</v>
      </c>
      <c r="J1872" s="2" t="s">
        <v>840</v>
      </c>
      <c r="K1872" s="2" t="s">
        <v>2780</v>
      </c>
      <c r="L1872" s="3">
        <v>171</v>
      </c>
      <c r="M1872" s="3">
        <v>179.55</v>
      </c>
      <c r="N1872" s="3">
        <v>369</v>
      </c>
      <c r="O1872" s="2" t="s">
        <v>461</v>
      </c>
      <c r="P1872" s="2" t="s">
        <v>333</v>
      </c>
      <c r="Q1872" s="2" t="s">
        <v>234</v>
      </c>
      <c r="R1872" s="2" t="s">
        <v>228</v>
      </c>
      <c r="S1872" s="2" t="s">
        <v>228</v>
      </c>
      <c r="T1872" s="2" t="s">
        <v>228</v>
      </c>
      <c r="U1872" s="2" t="s">
        <v>416</v>
      </c>
      <c r="V1872" s="2" t="s">
        <v>842</v>
      </c>
      <c r="W1872" s="2" t="s">
        <v>463</v>
      </c>
      <c r="X1872" s="2" t="s">
        <v>228</v>
      </c>
      <c r="Y1872" s="2" t="s">
        <v>2908</v>
      </c>
      <c r="Z1872" s="4">
        <v>18</v>
      </c>
      <c r="AA1872" s="4">
        <f>=ROUNDDOWN(6,0)</f>
      </c>
      <c r="AB1872" s="5">
        <v>3</v>
      </c>
      <c r="AC1872" s="2" t="s">
        <v>228</v>
      </c>
      <c r="AD1872" s="4"/>
      <c r="AE1872" s="4"/>
      <c r="AF1872" s="6">
        <v>65</v>
      </c>
      <c r="AG1872" s="6"/>
      <c r="AH1872" s="7">
        <v>1</v>
      </c>
      <c r="AI1872" s="4"/>
      <c r="AJ1872" s="4">
        <f>=ROUNDDOWN({0},0)</f>
      </c>
      <c r="AK1872" s="5"/>
      <c r="AL1872" s="2" t="s">
        <v>228</v>
      </c>
      <c r="AM1872" s="4"/>
      <c r="AN1872" s="4"/>
      <c r="AO1872" s="7"/>
      <c r="AP1872" s="4"/>
      <c r="AQ1872" s="8"/>
      <c r="AR1872" s="4"/>
      <c r="AS1872" s="8"/>
      <c r="AT1872" s="7"/>
      <c r="AU1872" s="7"/>
      <c r="AV1872" s="4" t="s">
        <v>228</v>
      </c>
      <c r="AW1872" s="8" t="s">
        <v>228</v>
      </c>
      <c r="AX1872" s="4" t="s">
        <v>228</v>
      </c>
      <c r="AY1872" s="8" t="s">
        <v>228</v>
      </c>
      <c r="AZ1872" s="7" t="s">
        <v>228</v>
      </c>
      <c r="BA1872" s="7" t="s">
        <v>228</v>
      </c>
      <c r="BB1872" s="7" t="s">
        <v>228</v>
      </c>
      <c r="BC1872" s="4" t="s">
        <v>228</v>
      </c>
      <c r="BD1872" s="8" t="s">
        <v>228</v>
      </c>
      <c r="BE1872" s="4" t="s">
        <v>228</v>
      </c>
      <c r="BF1872" s="8" t="s">
        <v>228</v>
      </c>
      <c r="BG1872" s="7" t="s">
        <v>228</v>
      </c>
      <c r="BH1872" s="7" t="s">
        <v>228</v>
      </c>
      <c r="BI1872" s="7"/>
      <c r="BJ1872" s="4">
        <v>5</v>
      </c>
      <c r="BK1872" s="8">
        <v>429.4</v>
      </c>
      <c r="BL1872" s="2" t="s">
        <v>1933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9142</v>
      </c>
      <c r="BV1872" s="2" t="s">
        <v>228</v>
      </c>
      <c r="BW1872" s="2" t="s">
        <v>228</v>
      </c>
      <c r="BX1872" s="2" t="s">
        <v>337</v>
      </c>
      <c r="BY1872" s="2" t="s">
        <v>274</v>
      </c>
      <c r="BZ1872" s="2" t="s">
        <v>240</v>
      </c>
      <c r="CA1872" s="2" t="s">
        <v>9143</v>
      </c>
      <c r="CB1872" s="2" t="s">
        <v>467</v>
      </c>
      <c r="CC1872" s="2" t="s">
        <v>241</v>
      </c>
      <c r="CD1872" s="2" t="s">
        <v>228</v>
      </c>
      <c r="CE1872" s="4"/>
      <c r="CF1872" s="4">
        <v>18</v>
      </c>
      <c r="CG1872" s="4"/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4"/>
      <c r="CX1872" s="4"/>
      <c r="CY1872" s="4"/>
      <c r="CZ1872" s="4"/>
      <c r="DA1872" s="4"/>
      <c r="DB1872" s="4"/>
      <c r="DC1872" s="4"/>
      <c r="DD1872" s="4"/>
      <c r="DE1872" s="4"/>
      <c r="DF1872" s="4"/>
      <c r="DG1872" s="4"/>
      <c r="DH1872" s="4"/>
      <c r="DI1872" s="4"/>
      <c r="DJ1872" s="4"/>
      <c r="DK1872" s="4"/>
      <c r="DL1872" s="4"/>
      <c r="DM1872" s="4"/>
      <c r="DN1872" s="4"/>
      <c r="DO1872" s="4"/>
      <c r="DP1872" s="4"/>
      <c r="DQ1872" s="4"/>
      <c r="DR1872" s="4"/>
      <c r="DS1872" s="4"/>
      <c r="DT1872" s="4"/>
      <c r="DU1872" s="4"/>
      <c r="DV1872" s="4"/>
      <c r="DW1872" s="4"/>
      <c r="DX1872" s="4"/>
      <c r="DY1872" s="4"/>
      <c r="DZ1872" s="4"/>
      <c r="EA1872" s="4"/>
      <c r="EB1872" s="4"/>
      <c r="EC1872" s="4"/>
      <c r="ED1872" s="4"/>
      <c r="EE1872" s="4"/>
      <c r="EF1872" s="4"/>
      <c r="EG1872" s="4"/>
      <c r="EH1872" s="4"/>
      <c r="EI1872" s="4"/>
      <c r="EJ1872" s="4"/>
      <c r="EK1872" s="4"/>
      <c r="EL1872" s="4"/>
      <c r="EM1872" s="4"/>
      <c r="EN1872" s="4"/>
      <c r="EO1872" s="4"/>
      <c r="EP1872" s="4"/>
      <c r="EQ1872" s="4"/>
      <c r="ER1872" s="4"/>
      <c r="ES1872" s="4"/>
      <c r="ET1872" s="4"/>
      <c r="EU1872" s="4"/>
      <c r="EV1872" s="4"/>
      <c r="EW1872" s="4"/>
      <c r="EX1872" s="4"/>
      <c r="EY1872" s="4"/>
      <c r="EZ1872" s="4"/>
      <c r="FA1872" s="4"/>
      <c r="FB1872" s="4"/>
      <c r="FC1872" s="4"/>
      <c r="FD1872" s="4"/>
      <c r="FE1872" s="4"/>
      <c r="FF1872" s="4"/>
      <c r="FG1872" s="4"/>
      <c r="FH1872" s="4"/>
      <c r="FI1872" s="4"/>
      <c r="FJ1872" s="4"/>
      <c r="FK1872" s="4"/>
      <c r="FL1872" s="4"/>
      <c r="FM1872" s="4"/>
      <c r="FN1872" s="4"/>
      <c r="FO1872" s="4"/>
      <c r="FP1872" s="4"/>
      <c r="FQ1872" s="4"/>
      <c r="FR1872" s="4"/>
      <c r="FS1872" s="4"/>
      <c r="FT1872" s="4"/>
      <c r="FU1872" s="4"/>
      <c r="FV1872" s="4"/>
      <c r="FW1872" s="4"/>
      <c r="FX1872" s="4"/>
      <c r="FY1872" s="4"/>
      <c r="FZ1872" s="4"/>
      <c r="GA1872" s="4"/>
      <c r="GB1872" s="4"/>
      <c r="GC1872" s="4"/>
      <c r="GD1872" s="4"/>
      <c r="GE1872" s="4"/>
      <c r="GF1872" s="4"/>
      <c r="GG1872" s="4"/>
      <c r="GH1872" s="4"/>
      <c r="GI1872" s="4"/>
      <c r="GJ1872" s="4"/>
      <c r="GK1872" s="4"/>
      <c r="GL1872" s="4"/>
      <c r="GM1872" s="4"/>
      <c r="GN1872" s="4"/>
      <c r="GO1872" s="4"/>
      <c r="GP1872" s="4"/>
      <c r="GQ1872" s="4"/>
      <c r="GR1872" s="4"/>
      <c r="GS1872" s="4"/>
      <c r="GT1872" s="4"/>
      <c r="GU1872" s="4"/>
      <c r="GV1872" s="4"/>
      <c r="GW1872" s="4"/>
      <c r="GX1872" s="4"/>
      <c r="GY1872" s="4"/>
      <c r="GZ1872" s="4"/>
      <c r="HA1872" s="4"/>
      <c r="HB1872" s="4"/>
      <c r="HC1872" s="4"/>
      <c r="HD1872" s="4"/>
      <c r="HE1872" s="4"/>
    </row>
    <row r="1873">
      <c r="A1873" s="2" t="s">
        <v>9144</v>
      </c>
      <c r="B1873" s="2" t="s">
        <v>958</v>
      </c>
      <c r="C1873" s="2" t="s">
        <v>300</v>
      </c>
      <c r="D1873" s="2" t="s">
        <v>1790</v>
      </c>
      <c r="E1873" s="2" t="s">
        <v>1791</v>
      </c>
      <c r="F1873" s="2" t="s">
        <v>9134</v>
      </c>
      <c r="G1873" s="2" t="s">
        <v>9135</v>
      </c>
      <c r="H1873" s="2" t="s">
        <v>9136</v>
      </c>
      <c r="I1873" s="2" t="s">
        <v>9137</v>
      </c>
      <c r="J1873" s="2" t="s">
        <v>840</v>
      </c>
      <c r="K1873" s="2" t="s">
        <v>2780</v>
      </c>
      <c r="L1873" s="3">
        <v>317.52</v>
      </c>
      <c r="M1873" s="3">
        <v>333.4</v>
      </c>
      <c r="N1873" s="3">
        <v>669</v>
      </c>
      <c r="O1873" s="2" t="s">
        <v>240</v>
      </c>
      <c r="P1873" s="2" t="s">
        <v>1022</v>
      </c>
      <c r="Q1873" s="2" t="s">
        <v>234</v>
      </c>
      <c r="R1873" s="2" t="s">
        <v>228</v>
      </c>
      <c r="S1873" s="2" t="s">
        <v>228</v>
      </c>
      <c r="T1873" s="2" t="s">
        <v>228</v>
      </c>
      <c r="U1873" s="2" t="s">
        <v>520</v>
      </c>
      <c r="V1873" s="2" t="s">
        <v>842</v>
      </c>
      <c r="W1873" s="2" t="s">
        <v>463</v>
      </c>
      <c r="X1873" s="2" t="s">
        <v>228</v>
      </c>
      <c r="Y1873" s="2" t="s">
        <v>2948</v>
      </c>
      <c r="Z1873" s="4">
        <v>95</v>
      </c>
      <c r="AA1873" s="4">
        <f>=ROUNDDOWN(475,0)</f>
      </c>
      <c r="AB1873" s="5">
        <v>0.2</v>
      </c>
      <c r="AC1873" s="2" t="s">
        <v>228</v>
      </c>
      <c r="AD1873" s="4"/>
      <c r="AE1873" s="4"/>
      <c r="AF1873" s="6"/>
      <c r="AG1873" s="6"/>
      <c r="AH1873" s="7">
        <v>1</v>
      </c>
      <c r="AI1873" s="4"/>
      <c r="AJ1873" s="4">
        <f>=ROUNDDOWN({0},0)</f>
      </c>
      <c r="AK1873" s="5"/>
      <c r="AL1873" s="2" t="s">
        <v>228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 t="s">
        <v>228</v>
      </c>
      <c r="AW1873" s="8" t="s">
        <v>228</v>
      </c>
      <c r="AX1873" s="4" t="s">
        <v>228</v>
      </c>
      <c r="AY1873" s="8" t="s">
        <v>228</v>
      </c>
      <c r="AZ1873" s="7" t="s">
        <v>228</v>
      </c>
      <c r="BA1873" s="7" t="s">
        <v>228</v>
      </c>
      <c r="BB1873" s="7" t="s">
        <v>228</v>
      </c>
      <c r="BC1873" s="4" t="s">
        <v>228</v>
      </c>
      <c r="BD1873" s="8" t="s">
        <v>228</v>
      </c>
      <c r="BE1873" s="4" t="s">
        <v>228</v>
      </c>
      <c r="BF1873" s="8" t="s">
        <v>228</v>
      </c>
      <c r="BG1873" s="7" t="s">
        <v>228</v>
      </c>
      <c r="BH1873" s="7" t="s">
        <v>228</v>
      </c>
      <c r="BI1873" s="7"/>
      <c r="BJ1873" s="4">
        <v>3</v>
      </c>
      <c r="BK1873" s="8">
        <v>961.52</v>
      </c>
      <c r="BL1873" s="2" t="s">
        <v>1933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9145</v>
      </c>
      <c r="BV1873" s="2" t="s">
        <v>228</v>
      </c>
      <c r="BW1873" s="2" t="s">
        <v>228</v>
      </c>
      <c r="BX1873" s="2" t="s">
        <v>735</v>
      </c>
      <c r="BY1873" s="2" t="s">
        <v>274</v>
      </c>
      <c r="BZ1873" s="2" t="s">
        <v>240</v>
      </c>
      <c r="CA1873" s="2" t="s">
        <v>3101</v>
      </c>
      <c r="CB1873" s="2" t="s">
        <v>4691</v>
      </c>
      <c r="CC1873" s="2" t="s">
        <v>241</v>
      </c>
      <c r="CD1873" s="2" t="s">
        <v>228</v>
      </c>
      <c r="CE1873" s="4"/>
      <c r="CF1873" s="4">
        <v>95</v>
      </c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/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  <c r="DL1873" s="4"/>
      <c r="DM1873" s="4"/>
      <c r="DN1873" s="4"/>
      <c r="DO1873" s="4"/>
      <c r="DP1873" s="4"/>
      <c r="DQ1873" s="4"/>
      <c r="DR1873" s="4"/>
      <c r="DS1873" s="4"/>
      <c r="DT1873" s="4"/>
      <c r="DU1873" s="4"/>
      <c r="DV1873" s="4"/>
      <c r="DW1873" s="4"/>
      <c r="DX1873" s="4"/>
      <c r="DY1873" s="4"/>
      <c r="DZ1873" s="4"/>
      <c r="EA1873" s="4"/>
      <c r="EB1873" s="4"/>
      <c r="EC1873" s="4"/>
      <c r="ED1873" s="4"/>
      <c r="EE1873" s="4"/>
      <c r="EF1873" s="4"/>
      <c r="EG1873" s="4"/>
      <c r="EH1873" s="4"/>
      <c r="EI1873" s="4"/>
      <c r="EJ1873" s="4"/>
      <c r="EK1873" s="4"/>
      <c r="EL1873" s="4"/>
      <c r="EM1873" s="4"/>
      <c r="EN1873" s="4"/>
      <c r="EO1873" s="4"/>
      <c r="EP1873" s="4"/>
      <c r="EQ1873" s="4"/>
      <c r="ER1873" s="4"/>
      <c r="ES1873" s="4"/>
      <c r="ET1873" s="4"/>
      <c r="EU1873" s="4"/>
      <c r="EV1873" s="4"/>
      <c r="EW1873" s="4"/>
      <c r="EX1873" s="4"/>
      <c r="EY1873" s="4"/>
      <c r="EZ1873" s="4"/>
      <c r="FA1873" s="4"/>
      <c r="FB1873" s="4"/>
      <c r="FC1873" s="4"/>
      <c r="FD1873" s="4"/>
      <c r="FE1873" s="4"/>
      <c r="FF1873" s="4"/>
      <c r="FG1873" s="4"/>
      <c r="FH1873" s="4"/>
      <c r="FI1873" s="4"/>
      <c r="FJ1873" s="4"/>
      <c r="FK1873" s="4"/>
      <c r="FL1873" s="4"/>
      <c r="FM1873" s="4"/>
      <c r="FN1873" s="4"/>
      <c r="FO1873" s="4"/>
      <c r="FP1873" s="4"/>
      <c r="FQ1873" s="4"/>
      <c r="FR1873" s="4"/>
      <c r="FS1873" s="4"/>
      <c r="FT1873" s="4"/>
      <c r="FU1873" s="4"/>
      <c r="FV1873" s="4"/>
      <c r="FW1873" s="4"/>
      <c r="FX1873" s="4"/>
      <c r="FY1873" s="4"/>
      <c r="FZ1873" s="4"/>
      <c r="GA1873" s="4"/>
      <c r="GB1873" s="4"/>
      <c r="GC1873" s="4"/>
      <c r="GD1873" s="4"/>
      <c r="GE1873" s="4"/>
      <c r="GF1873" s="4"/>
      <c r="GG1873" s="4"/>
      <c r="GH1873" s="4"/>
      <c r="GI1873" s="4"/>
      <c r="GJ1873" s="4"/>
      <c r="GK1873" s="4"/>
      <c r="GL1873" s="4"/>
      <c r="GM1873" s="4"/>
      <c r="GN1873" s="4"/>
      <c r="GO1873" s="4"/>
      <c r="GP1873" s="4"/>
      <c r="GQ1873" s="4"/>
      <c r="GR1873" s="4"/>
      <c r="GS1873" s="4"/>
      <c r="GT1873" s="4"/>
      <c r="GU1873" s="4"/>
      <c r="GV1873" s="4"/>
      <c r="GW1873" s="4"/>
      <c r="GX1873" s="4"/>
      <c r="GY1873" s="4"/>
      <c r="GZ1873" s="4"/>
      <c r="HA1873" s="4"/>
      <c r="HB1873" s="4"/>
      <c r="HC1873" s="4"/>
      <c r="HD1873" s="4"/>
      <c r="HE1873" s="4"/>
    </row>
    <row r="1874">
      <c r="A1874" s="2" t="s">
        <v>9146</v>
      </c>
      <c r="B1874" s="2" t="s">
        <v>1150</v>
      </c>
      <c r="C1874" s="2" t="s">
        <v>300</v>
      </c>
      <c r="D1874" s="2" t="s">
        <v>1112</v>
      </c>
      <c r="E1874" s="2" t="s">
        <v>1165</v>
      </c>
      <c r="F1874" s="2" t="s">
        <v>9147</v>
      </c>
      <c r="G1874" s="2" t="s">
        <v>9148</v>
      </c>
      <c r="H1874" s="2" t="s">
        <v>9149</v>
      </c>
      <c r="I1874" s="2" t="s">
        <v>9150</v>
      </c>
      <c r="J1874" s="2" t="s">
        <v>312</v>
      </c>
      <c r="K1874" s="2" t="s">
        <v>789</v>
      </c>
      <c r="L1874" s="3">
        <v>85</v>
      </c>
      <c r="M1874" s="3">
        <v>89.24</v>
      </c>
      <c r="N1874" s="3">
        <v>169.99</v>
      </c>
      <c r="O1874" s="2" t="s">
        <v>240</v>
      </c>
      <c r="P1874" s="2" t="s">
        <v>266</v>
      </c>
      <c r="Q1874" s="2" t="s">
        <v>234</v>
      </c>
      <c r="R1874" s="2" t="s">
        <v>228</v>
      </c>
      <c r="S1874" s="2" t="s">
        <v>9151</v>
      </c>
      <c r="T1874" s="2" t="s">
        <v>350</v>
      </c>
      <c r="U1874" s="2" t="s">
        <v>1331</v>
      </c>
      <c r="V1874" s="2" t="s">
        <v>351</v>
      </c>
      <c r="W1874" s="2" t="s">
        <v>351</v>
      </c>
      <c r="X1874" s="2" t="s">
        <v>9152</v>
      </c>
      <c r="Y1874" s="2" t="s">
        <v>270</v>
      </c>
      <c r="Z1874" s="4">
        <v>125</v>
      </c>
      <c r="AA1874" s="4">
        <f>=ROUNDDOWN(25,0)</f>
      </c>
      <c r="AB1874" s="5">
        <v>5</v>
      </c>
      <c r="AC1874" s="2" t="s">
        <v>195</v>
      </c>
      <c r="AD1874" s="4">
        <v>100</v>
      </c>
      <c r="AE1874" s="4">
        <v>100</v>
      </c>
      <c r="AF1874" s="6">
        <v>65</v>
      </c>
      <c r="AG1874" s="6"/>
      <c r="AH1874" s="7">
        <v>1</v>
      </c>
      <c r="AI1874" s="4"/>
      <c r="AJ1874" s="4">
        <f>=ROUNDDOWN({0},0)</f>
      </c>
      <c r="AK1874" s="5"/>
      <c r="AL1874" s="2" t="s">
        <v>228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/>
      <c r="AW1874" s="8"/>
      <c r="AX1874" s="4"/>
      <c r="AY1874" s="8"/>
      <c r="AZ1874" s="7"/>
      <c r="BA1874" s="7"/>
      <c r="BB1874" s="7"/>
      <c r="BC1874" s="4"/>
      <c r="BD1874" s="8"/>
      <c r="BE1874" s="4"/>
      <c r="BF1874" s="8"/>
      <c r="BG1874" s="7"/>
      <c r="BH1874" s="7"/>
      <c r="BI1874" s="7"/>
      <c r="BJ1874" s="4">
        <v>29</v>
      </c>
      <c r="BK1874" s="8">
        <v>2532.78</v>
      </c>
      <c r="BL1874" s="2" t="s">
        <v>9153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9154</v>
      </c>
      <c r="BV1874" s="2" t="s">
        <v>228</v>
      </c>
      <c r="BW1874" s="2" t="s">
        <v>228</v>
      </c>
      <c r="BX1874" s="2" t="s">
        <v>273</v>
      </c>
      <c r="BY1874" s="2" t="s">
        <v>274</v>
      </c>
      <c r="BZ1874" s="2" t="s">
        <v>240</v>
      </c>
      <c r="CA1874" s="2" t="s">
        <v>275</v>
      </c>
      <c r="CB1874" s="2" t="s">
        <v>1140</v>
      </c>
      <c r="CC1874" s="2" t="s">
        <v>241</v>
      </c>
      <c r="CD1874" s="2" t="s">
        <v>228</v>
      </c>
      <c r="CE1874" s="4">
        <v>125</v>
      </c>
      <c r="CF1874" s="4"/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4"/>
      <c r="CX1874" s="4"/>
      <c r="CY1874" s="4"/>
      <c r="CZ1874" s="4"/>
      <c r="DA1874" s="4"/>
      <c r="DB1874" s="4"/>
      <c r="DC1874" s="4"/>
      <c r="DD1874" s="4"/>
      <c r="DE1874" s="4"/>
      <c r="DF1874" s="4"/>
      <c r="DG1874" s="4"/>
      <c r="DH1874" s="4"/>
      <c r="DI1874" s="4"/>
      <c r="DJ1874" s="4"/>
      <c r="DK1874" s="4"/>
      <c r="DL1874" s="4"/>
      <c r="DM1874" s="4"/>
      <c r="DN1874" s="4"/>
      <c r="DO1874" s="4"/>
      <c r="DP1874" s="4"/>
      <c r="DQ1874" s="4"/>
      <c r="DR1874" s="4"/>
      <c r="DS1874" s="4"/>
      <c r="DT1874" s="4"/>
      <c r="DU1874" s="4"/>
      <c r="DV1874" s="4"/>
      <c r="DW1874" s="4"/>
      <c r="DX1874" s="4"/>
      <c r="DY1874" s="4"/>
      <c r="DZ1874" s="4"/>
      <c r="EA1874" s="4"/>
      <c r="EB1874" s="4"/>
      <c r="EC1874" s="4"/>
      <c r="ED1874" s="4"/>
      <c r="EE1874" s="4"/>
      <c r="EF1874" s="4"/>
      <c r="EG1874" s="4"/>
      <c r="EH1874" s="4"/>
      <c r="EI1874" s="4"/>
      <c r="EJ1874" s="4"/>
      <c r="EK1874" s="4"/>
      <c r="EL1874" s="4"/>
      <c r="EM1874" s="4"/>
      <c r="EN1874" s="4"/>
      <c r="EO1874" s="4"/>
      <c r="EP1874" s="4"/>
      <c r="EQ1874" s="4"/>
      <c r="ER1874" s="4"/>
      <c r="ES1874" s="4"/>
      <c r="ET1874" s="4"/>
      <c r="EU1874" s="4"/>
      <c r="EV1874" s="4"/>
      <c r="EW1874" s="4"/>
      <c r="EX1874" s="4"/>
      <c r="EY1874" s="4"/>
      <c r="EZ1874" s="4"/>
      <c r="FA1874" s="4"/>
      <c r="FB1874" s="4"/>
      <c r="FC1874" s="4"/>
      <c r="FD1874" s="4"/>
      <c r="FE1874" s="4"/>
      <c r="FF1874" s="4"/>
      <c r="FG1874" s="4"/>
      <c r="FH1874" s="4"/>
      <c r="FI1874" s="4"/>
      <c r="FJ1874" s="4"/>
      <c r="FK1874" s="4"/>
      <c r="FL1874" s="4"/>
      <c r="FM1874" s="4"/>
      <c r="FN1874" s="4"/>
      <c r="FO1874" s="4"/>
      <c r="FP1874" s="4"/>
      <c r="FQ1874" s="4"/>
      <c r="FR1874" s="4"/>
      <c r="FS1874" s="4"/>
      <c r="FT1874" s="4"/>
      <c r="FU1874" s="4"/>
      <c r="FV1874" s="4"/>
      <c r="FW1874" s="4"/>
      <c r="FX1874" s="4"/>
      <c r="FY1874" s="4"/>
      <c r="FZ1874" s="4"/>
      <c r="GA1874" s="4"/>
      <c r="GB1874" s="4"/>
      <c r="GC1874" s="4"/>
      <c r="GD1874" s="4"/>
      <c r="GE1874" s="4">
        <v>100</v>
      </c>
      <c r="GF1874" s="4"/>
      <c r="GG1874" s="4"/>
      <c r="GH1874" s="4"/>
      <c r="GI1874" s="4"/>
      <c r="GJ1874" s="4"/>
      <c r="GK1874" s="4"/>
      <c r="GL1874" s="4"/>
      <c r="GM1874" s="4"/>
      <c r="GN1874" s="4"/>
      <c r="GO1874" s="4"/>
      <c r="GP1874" s="4"/>
      <c r="GQ1874" s="4"/>
      <c r="GR1874" s="4"/>
      <c r="GS1874" s="4"/>
      <c r="GT1874" s="4"/>
      <c r="GU1874" s="4"/>
      <c r="GV1874" s="4"/>
      <c r="GW1874" s="4"/>
      <c r="GX1874" s="4"/>
      <c r="GY1874" s="4"/>
      <c r="GZ1874" s="4"/>
      <c r="HA1874" s="4"/>
      <c r="HB1874" s="4"/>
      <c r="HC1874" s="4"/>
      <c r="HD1874" s="4"/>
      <c r="HE1874" s="4"/>
    </row>
    <row r="1875">
      <c r="A1875" s="2" t="s">
        <v>9155</v>
      </c>
      <c r="B1875" s="2" t="s">
        <v>1150</v>
      </c>
      <c r="C1875" s="2" t="s">
        <v>2217</v>
      </c>
      <c r="D1875" s="2" t="s">
        <v>3290</v>
      </c>
      <c r="E1875" s="2" t="s">
        <v>3291</v>
      </c>
      <c r="F1875" s="2" t="s">
        <v>9156</v>
      </c>
      <c r="G1875" s="2" t="s">
        <v>9156</v>
      </c>
      <c r="H1875" s="2" t="s">
        <v>9156</v>
      </c>
      <c r="I1875" s="2" t="s">
        <v>3293</v>
      </c>
      <c r="J1875" s="2" t="s">
        <v>2601</v>
      </c>
      <c r="K1875" s="2" t="s">
        <v>249</v>
      </c>
      <c r="L1875" s="3">
        <v>21.66</v>
      </c>
      <c r="M1875" s="3">
        <v>22.74</v>
      </c>
      <c r="N1875" s="3">
        <v>69.99</v>
      </c>
      <c r="O1875" s="2" t="s">
        <v>240</v>
      </c>
      <c r="P1875" s="2" t="s">
        <v>333</v>
      </c>
      <c r="Q1875" s="2" t="s">
        <v>234</v>
      </c>
      <c r="R1875" s="2" t="s">
        <v>228</v>
      </c>
      <c r="S1875" s="2" t="s">
        <v>228</v>
      </c>
      <c r="T1875" s="2" t="s">
        <v>3067</v>
      </c>
      <c r="U1875" s="2" t="s">
        <v>228</v>
      </c>
      <c r="V1875" s="2" t="s">
        <v>1344</v>
      </c>
      <c r="W1875" s="2" t="s">
        <v>417</v>
      </c>
      <c r="X1875" s="2" t="s">
        <v>228</v>
      </c>
      <c r="Y1875" s="2" t="s">
        <v>3012</v>
      </c>
      <c r="Z1875" s="4">
        <v>170</v>
      </c>
      <c r="AA1875" s="4">
        <f>=ROUNDDOWN(170,0)</f>
      </c>
      <c r="AB1875" s="5">
        <v>1</v>
      </c>
      <c r="AC1875" s="2" t="s">
        <v>228</v>
      </c>
      <c r="AD1875" s="4"/>
      <c r="AE1875" s="4"/>
      <c r="AF1875" s="6">
        <v>65</v>
      </c>
      <c r="AG1875" s="6"/>
      <c r="AH1875" s="7">
        <v>1</v>
      </c>
      <c r="AI1875" s="4"/>
      <c r="AJ1875" s="4">
        <f>=ROUNDDOWN({0},0)</f>
      </c>
      <c r="AK1875" s="5"/>
      <c r="AL1875" s="2" t="s">
        <v>228</v>
      </c>
      <c r="AM1875" s="4"/>
      <c r="AN1875" s="4"/>
      <c r="AO1875" s="7"/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7"/>
      <c r="BC1875" s="4"/>
      <c r="BD1875" s="8"/>
      <c r="BE1875" s="4"/>
      <c r="BF1875" s="8"/>
      <c r="BG1875" s="7"/>
      <c r="BH1875" s="7"/>
      <c r="BI1875" s="7"/>
      <c r="BJ1875" s="4">
        <v>7</v>
      </c>
      <c r="BK1875" s="8">
        <v>111.46</v>
      </c>
      <c r="BL1875" s="2" t="s">
        <v>2220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9157</v>
      </c>
      <c r="BV1875" s="2" t="s">
        <v>228</v>
      </c>
      <c r="BW1875" s="2" t="s">
        <v>228</v>
      </c>
      <c r="BX1875" s="2" t="s">
        <v>337</v>
      </c>
      <c r="BY1875" s="2" t="s">
        <v>274</v>
      </c>
      <c r="BZ1875" s="2" t="s">
        <v>240</v>
      </c>
      <c r="CA1875" s="2" t="s">
        <v>1469</v>
      </c>
      <c r="CB1875" s="2" t="s">
        <v>5478</v>
      </c>
      <c r="CC1875" s="2" t="s">
        <v>241</v>
      </c>
      <c r="CD1875" s="2" t="s">
        <v>228</v>
      </c>
      <c r="CE1875" s="4">
        <v>170</v>
      </c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/>
      <c r="CZ1875" s="4"/>
      <c r="DA1875" s="4"/>
      <c r="DB1875" s="4"/>
      <c r="DC1875" s="4"/>
      <c r="DD1875" s="4"/>
      <c r="DE1875" s="4"/>
      <c r="DF1875" s="4"/>
      <c r="DG1875" s="4"/>
      <c r="DH1875" s="4"/>
      <c r="DI1875" s="4"/>
      <c r="DJ1875" s="4"/>
      <c r="DK1875" s="4"/>
      <c r="DL1875" s="4"/>
      <c r="DM1875" s="4"/>
      <c r="DN1875" s="4"/>
      <c r="DO1875" s="4"/>
      <c r="DP1875" s="4"/>
      <c r="DQ1875" s="4"/>
      <c r="DR1875" s="4"/>
      <c r="DS1875" s="4"/>
      <c r="DT1875" s="4"/>
      <c r="DU1875" s="4"/>
      <c r="DV1875" s="4"/>
      <c r="DW1875" s="4"/>
      <c r="DX1875" s="4"/>
      <c r="DY1875" s="4"/>
      <c r="DZ1875" s="4"/>
      <c r="EA1875" s="4"/>
      <c r="EB1875" s="4"/>
      <c r="EC1875" s="4"/>
      <c r="ED1875" s="4"/>
      <c r="EE1875" s="4"/>
      <c r="EF1875" s="4"/>
      <c r="EG1875" s="4"/>
      <c r="EH1875" s="4"/>
      <c r="EI1875" s="4"/>
      <c r="EJ1875" s="4"/>
      <c r="EK1875" s="4"/>
      <c r="EL1875" s="4"/>
      <c r="EM1875" s="4"/>
      <c r="EN1875" s="4"/>
      <c r="EO1875" s="4"/>
      <c r="EP1875" s="4"/>
      <c r="EQ1875" s="4"/>
      <c r="ER1875" s="4"/>
      <c r="ES1875" s="4"/>
      <c r="ET1875" s="4"/>
      <c r="EU1875" s="4"/>
      <c r="EV1875" s="4"/>
      <c r="EW1875" s="4"/>
      <c r="EX1875" s="4"/>
      <c r="EY1875" s="4"/>
      <c r="EZ1875" s="4"/>
      <c r="FA1875" s="4"/>
      <c r="FB1875" s="4"/>
      <c r="FC1875" s="4"/>
      <c r="FD1875" s="4"/>
      <c r="FE1875" s="4"/>
      <c r="FF1875" s="4"/>
      <c r="FG1875" s="4"/>
      <c r="FH1875" s="4"/>
      <c r="FI1875" s="4"/>
      <c r="FJ1875" s="4"/>
      <c r="FK1875" s="4"/>
      <c r="FL1875" s="4"/>
      <c r="FM1875" s="4"/>
      <c r="FN1875" s="4"/>
      <c r="FO1875" s="4"/>
      <c r="FP1875" s="4"/>
      <c r="FQ1875" s="4"/>
      <c r="FR1875" s="4"/>
      <c r="FS1875" s="4"/>
      <c r="FT1875" s="4"/>
      <c r="FU1875" s="4"/>
      <c r="FV1875" s="4"/>
      <c r="FW1875" s="4"/>
      <c r="FX1875" s="4"/>
      <c r="FY1875" s="4"/>
      <c r="FZ1875" s="4"/>
      <c r="GA1875" s="4"/>
      <c r="GB1875" s="4"/>
      <c r="GC1875" s="4"/>
      <c r="GD1875" s="4"/>
      <c r="GE1875" s="4"/>
      <c r="GF1875" s="4"/>
      <c r="GG1875" s="4"/>
      <c r="GH1875" s="4"/>
      <c r="GI1875" s="4"/>
      <c r="GJ1875" s="4"/>
      <c r="GK1875" s="4"/>
      <c r="GL1875" s="4"/>
      <c r="GM1875" s="4"/>
      <c r="GN1875" s="4"/>
      <c r="GO1875" s="4"/>
      <c r="GP1875" s="4"/>
      <c r="GQ1875" s="4"/>
      <c r="GR1875" s="4"/>
      <c r="GS1875" s="4"/>
      <c r="GT1875" s="4"/>
      <c r="GU1875" s="4"/>
      <c r="GV1875" s="4"/>
      <c r="GW1875" s="4"/>
      <c r="GX1875" s="4"/>
      <c r="GY1875" s="4"/>
      <c r="GZ1875" s="4"/>
      <c r="HA1875" s="4"/>
      <c r="HB1875" s="4"/>
      <c r="HC1875" s="4"/>
      <c r="HD1875" s="4"/>
      <c r="HE1875" s="4"/>
    </row>
    <row r="1876">
      <c r="A1876" s="2" t="s">
        <v>9158</v>
      </c>
      <c r="B1876" s="2" t="s">
        <v>1150</v>
      </c>
      <c r="C1876" s="2" t="s">
        <v>773</v>
      </c>
      <c r="D1876" s="2" t="s">
        <v>1112</v>
      </c>
      <c r="E1876" s="2" t="s">
        <v>1165</v>
      </c>
      <c r="F1876" s="2" t="s">
        <v>9159</v>
      </c>
      <c r="G1876" s="2" t="s">
        <v>9159</v>
      </c>
      <c r="H1876" s="2" t="s">
        <v>9159</v>
      </c>
      <c r="I1876" s="2" t="s">
        <v>9160</v>
      </c>
      <c r="J1876" s="2" t="s">
        <v>1189</v>
      </c>
      <c r="K1876" s="2" t="s">
        <v>2480</v>
      </c>
      <c r="L1876" s="3">
        <v>150</v>
      </c>
      <c r="M1876" s="3">
        <v>157.5</v>
      </c>
      <c r="N1876" s="3">
        <v>299.99</v>
      </c>
      <c r="O1876" s="2" t="s">
        <v>240</v>
      </c>
      <c r="P1876" s="2" t="s">
        <v>233</v>
      </c>
      <c r="Q1876" s="2" t="s">
        <v>234</v>
      </c>
      <c r="R1876" s="2" t="s">
        <v>228</v>
      </c>
      <c r="S1876" s="2" t="s">
        <v>9161</v>
      </c>
      <c r="T1876" s="2" t="s">
        <v>1414</v>
      </c>
      <c r="U1876" s="2" t="s">
        <v>791</v>
      </c>
      <c r="V1876" s="2" t="s">
        <v>859</v>
      </c>
      <c r="W1876" s="2" t="s">
        <v>463</v>
      </c>
      <c r="X1876" s="2" t="s">
        <v>309</v>
      </c>
      <c r="Y1876" s="2" t="s">
        <v>8227</v>
      </c>
      <c r="Z1876" s="4">
        <v>135</v>
      </c>
      <c r="AA1876" s="4">
        <f>=ROUNDDOWN(675,0)</f>
      </c>
      <c r="AB1876" s="5">
        <v>0.2</v>
      </c>
      <c r="AC1876" s="2" t="s">
        <v>228</v>
      </c>
      <c r="AD1876" s="4"/>
      <c r="AE1876" s="4"/>
      <c r="AF1876" s="6">
        <v>67</v>
      </c>
      <c r="AG1876" s="6"/>
      <c r="AH1876" s="7">
        <v>1</v>
      </c>
      <c r="AI1876" s="4"/>
      <c r="AJ1876" s="4">
        <f>=ROUNDDOWN({0},0)</f>
      </c>
      <c r="AK1876" s="5"/>
      <c r="AL1876" s="2" t="s">
        <v>228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 t="s">
        <v>228</v>
      </c>
      <c r="AW1876" s="8" t="s">
        <v>228</v>
      </c>
      <c r="AX1876" s="4" t="s">
        <v>228</v>
      </c>
      <c r="AY1876" s="8" t="s">
        <v>228</v>
      </c>
      <c r="AZ1876" s="7" t="s">
        <v>228</v>
      </c>
      <c r="BA1876" s="7" t="s">
        <v>228</v>
      </c>
      <c r="BB1876" s="7"/>
      <c r="BC1876" s="4" t="s">
        <v>228</v>
      </c>
      <c r="BD1876" s="8" t="s">
        <v>228</v>
      </c>
      <c r="BE1876" s="4" t="s">
        <v>228</v>
      </c>
      <c r="BF1876" s="8" t="s">
        <v>228</v>
      </c>
      <c r="BG1876" s="7" t="s">
        <v>228</v>
      </c>
      <c r="BH1876" s="7" t="s">
        <v>228</v>
      </c>
      <c r="BI1876" s="7"/>
      <c r="BJ1876" s="4">
        <v>1</v>
      </c>
      <c r="BK1876" s="8">
        <v>172.5</v>
      </c>
      <c r="BL1876" s="2" t="s">
        <v>727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9162</v>
      </c>
      <c r="BV1876" s="2" t="s">
        <v>228</v>
      </c>
      <c r="BW1876" s="2" t="s">
        <v>228</v>
      </c>
      <c r="BX1876" s="2" t="s">
        <v>273</v>
      </c>
      <c r="BY1876" s="2" t="s">
        <v>274</v>
      </c>
      <c r="BZ1876" s="2" t="s">
        <v>240</v>
      </c>
      <c r="CA1876" s="2" t="s">
        <v>7457</v>
      </c>
      <c r="CB1876" s="2" t="s">
        <v>228</v>
      </c>
      <c r="CC1876" s="2" t="s">
        <v>2094</v>
      </c>
      <c r="CD1876" s="2" t="s">
        <v>228</v>
      </c>
      <c r="CE1876" s="4">
        <v>135</v>
      </c>
      <c r="CF1876" s="4"/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4"/>
      <c r="CX1876" s="4"/>
      <c r="CY1876" s="4"/>
      <c r="CZ1876" s="4"/>
      <c r="DA1876" s="4"/>
      <c r="DB1876" s="4"/>
      <c r="DC1876" s="4"/>
      <c r="DD1876" s="4"/>
      <c r="DE1876" s="4"/>
      <c r="DF1876" s="4"/>
      <c r="DG1876" s="4"/>
      <c r="DH1876" s="4"/>
      <c r="DI1876" s="4"/>
      <c r="DJ1876" s="4"/>
      <c r="DK1876" s="4"/>
      <c r="DL1876" s="4"/>
      <c r="DM1876" s="4"/>
      <c r="DN1876" s="4"/>
      <c r="DO1876" s="4"/>
      <c r="DP1876" s="4"/>
      <c r="DQ1876" s="4"/>
      <c r="DR1876" s="4"/>
      <c r="DS1876" s="4"/>
      <c r="DT1876" s="4"/>
      <c r="DU1876" s="4"/>
      <c r="DV1876" s="4"/>
      <c r="DW1876" s="4"/>
      <c r="DX1876" s="4"/>
      <c r="DY1876" s="4"/>
      <c r="DZ1876" s="4"/>
      <c r="EA1876" s="4"/>
      <c r="EB1876" s="4"/>
      <c r="EC1876" s="4"/>
      <c r="ED1876" s="4"/>
      <c r="EE1876" s="4"/>
      <c r="EF1876" s="4"/>
      <c r="EG1876" s="4"/>
      <c r="EH1876" s="4"/>
      <c r="EI1876" s="4"/>
      <c r="EJ1876" s="4"/>
      <c r="EK1876" s="4"/>
      <c r="EL1876" s="4"/>
      <c r="EM1876" s="4"/>
      <c r="EN1876" s="4"/>
      <c r="EO1876" s="4"/>
      <c r="EP1876" s="4"/>
      <c r="EQ1876" s="4"/>
      <c r="ER1876" s="4"/>
      <c r="ES1876" s="4"/>
      <c r="ET1876" s="4"/>
      <c r="EU1876" s="4"/>
      <c r="EV1876" s="4"/>
      <c r="EW1876" s="4"/>
      <c r="EX1876" s="4"/>
      <c r="EY1876" s="4"/>
      <c r="EZ1876" s="4"/>
      <c r="FA1876" s="4"/>
      <c r="FB1876" s="4"/>
      <c r="FC1876" s="4"/>
      <c r="FD1876" s="4"/>
      <c r="FE1876" s="4"/>
      <c r="FF1876" s="4"/>
      <c r="FG1876" s="4"/>
      <c r="FH1876" s="4"/>
      <c r="FI1876" s="4"/>
      <c r="FJ1876" s="4"/>
      <c r="FK1876" s="4"/>
      <c r="FL1876" s="4"/>
      <c r="FM1876" s="4"/>
      <c r="FN1876" s="4"/>
      <c r="FO1876" s="4"/>
      <c r="FP1876" s="4"/>
      <c r="FQ1876" s="4"/>
      <c r="FR1876" s="4"/>
      <c r="FS1876" s="4"/>
      <c r="FT1876" s="4"/>
      <c r="FU1876" s="4"/>
      <c r="FV1876" s="4"/>
      <c r="FW1876" s="4"/>
      <c r="FX1876" s="4"/>
      <c r="FY1876" s="4"/>
      <c r="FZ1876" s="4"/>
      <c r="GA1876" s="4"/>
      <c r="GB1876" s="4"/>
      <c r="GC1876" s="4"/>
      <c r="GD1876" s="4"/>
      <c r="GE1876" s="4"/>
      <c r="GF1876" s="4"/>
      <c r="GG1876" s="4"/>
      <c r="GH1876" s="4"/>
      <c r="GI1876" s="4"/>
      <c r="GJ1876" s="4"/>
      <c r="GK1876" s="4"/>
      <c r="GL1876" s="4"/>
      <c r="GM1876" s="4"/>
      <c r="GN1876" s="4"/>
      <c r="GO1876" s="4"/>
      <c r="GP1876" s="4"/>
      <c r="GQ1876" s="4"/>
      <c r="GR1876" s="4"/>
      <c r="GS1876" s="4"/>
      <c r="GT1876" s="4"/>
      <c r="GU1876" s="4"/>
      <c r="GV1876" s="4"/>
      <c r="GW1876" s="4"/>
      <c r="GX1876" s="4"/>
      <c r="GY1876" s="4"/>
      <c r="GZ1876" s="4"/>
      <c r="HA1876" s="4"/>
      <c r="HB1876" s="4"/>
      <c r="HC1876" s="4"/>
      <c r="HD1876" s="4"/>
      <c r="HE1876" s="4"/>
    </row>
    <row r="1877">
      <c r="A1877" s="2" t="s">
        <v>9163</v>
      </c>
      <c r="B1877" s="2" t="s">
        <v>1150</v>
      </c>
      <c r="C1877" s="2" t="s">
        <v>773</v>
      </c>
      <c r="D1877" s="2" t="s">
        <v>1112</v>
      </c>
      <c r="E1877" s="2" t="s">
        <v>1165</v>
      </c>
      <c r="F1877" s="2" t="s">
        <v>9159</v>
      </c>
      <c r="G1877" s="2" t="s">
        <v>9159</v>
      </c>
      <c r="H1877" s="2" t="s">
        <v>9159</v>
      </c>
      <c r="I1877" s="2" t="s">
        <v>9160</v>
      </c>
      <c r="J1877" s="2" t="s">
        <v>1043</v>
      </c>
      <c r="K1877" s="2" t="s">
        <v>2480</v>
      </c>
      <c r="L1877" s="3">
        <v>175</v>
      </c>
      <c r="M1877" s="3">
        <v>183.75</v>
      </c>
      <c r="N1877" s="3">
        <v>349.99</v>
      </c>
      <c r="O1877" s="2" t="s">
        <v>240</v>
      </c>
      <c r="P1877" s="2" t="s">
        <v>233</v>
      </c>
      <c r="Q1877" s="2" t="s">
        <v>234</v>
      </c>
      <c r="R1877" s="2" t="s">
        <v>228</v>
      </c>
      <c r="S1877" s="2" t="s">
        <v>9161</v>
      </c>
      <c r="T1877" s="2" t="s">
        <v>1414</v>
      </c>
      <c r="U1877" s="2" t="s">
        <v>1162</v>
      </c>
      <c r="V1877" s="2" t="s">
        <v>859</v>
      </c>
      <c r="W1877" s="2" t="s">
        <v>463</v>
      </c>
      <c r="X1877" s="2" t="s">
        <v>309</v>
      </c>
      <c r="Y1877" s="2" t="s">
        <v>8227</v>
      </c>
      <c r="Z1877" s="4">
        <v>256</v>
      </c>
      <c r="AA1877" s="4">
        <f>=ROUNDDOWN(640,0)</f>
      </c>
      <c r="AB1877" s="5">
        <v>0.4</v>
      </c>
      <c r="AC1877" s="2" t="s">
        <v>228</v>
      </c>
      <c r="AD1877" s="4"/>
      <c r="AE1877" s="4"/>
      <c r="AF1877" s="6">
        <v>67</v>
      </c>
      <c r="AG1877" s="6"/>
      <c r="AH1877" s="7">
        <v>1</v>
      </c>
      <c r="AI1877" s="4"/>
      <c r="AJ1877" s="4">
        <f>=ROUNDDOWN({0},0)</f>
      </c>
      <c r="AK1877" s="5"/>
      <c r="AL1877" s="2" t="s">
        <v>228</v>
      </c>
      <c r="AM1877" s="4"/>
      <c r="AN1877" s="4"/>
      <c r="AO1877" s="7"/>
      <c r="AP1877" s="4"/>
      <c r="AQ1877" s="8"/>
      <c r="AR1877" s="4"/>
      <c r="AS1877" s="8"/>
      <c r="AT1877" s="7"/>
      <c r="AU1877" s="7"/>
      <c r="AV1877" s="4" t="s">
        <v>228</v>
      </c>
      <c r="AW1877" s="8" t="s">
        <v>228</v>
      </c>
      <c r="AX1877" s="4" t="s">
        <v>228</v>
      </c>
      <c r="AY1877" s="8" t="s">
        <v>228</v>
      </c>
      <c r="AZ1877" s="7" t="s">
        <v>228</v>
      </c>
      <c r="BA1877" s="7" t="s">
        <v>228</v>
      </c>
      <c r="BB1877" s="7"/>
      <c r="BC1877" s="4" t="s">
        <v>228</v>
      </c>
      <c r="BD1877" s="8" t="s">
        <v>228</v>
      </c>
      <c r="BE1877" s="4" t="s">
        <v>228</v>
      </c>
      <c r="BF1877" s="8" t="s">
        <v>228</v>
      </c>
      <c r="BG1877" s="7" t="s">
        <v>228</v>
      </c>
      <c r="BH1877" s="7" t="s">
        <v>228</v>
      </c>
      <c r="BI1877" s="7"/>
      <c r="BJ1877" s="4">
        <v>2</v>
      </c>
      <c r="BK1877" s="8">
        <v>428.75</v>
      </c>
      <c r="BL1877" s="2" t="s">
        <v>1033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9164</v>
      </c>
      <c r="BV1877" s="2" t="s">
        <v>228</v>
      </c>
      <c r="BW1877" s="2" t="s">
        <v>228</v>
      </c>
      <c r="BX1877" s="2" t="s">
        <v>273</v>
      </c>
      <c r="BY1877" s="2" t="s">
        <v>274</v>
      </c>
      <c r="BZ1877" s="2" t="s">
        <v>240</v>
      </c>
      <c r="CA1877" s="2" t="s">
        <v>7457</v>
      </c>
      <c r="CB1877" s="2" t="s">
        <v>228</v>
      </c>
      <c r="CC1877" s="2" t="s">
        <v>2094</v>
      </c>
      <c r="CD1877" s="2" t="s">
        <v>228</v>
      </c>
      <c r="CE1877" s="4">
        <v>256</v>
      </c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  <c r="DL1877" s="4"/>
      <c r="DM1877" s="4"/>
      <c r="DN1877" s="4"/>
      <c r="DO1877" s="4"/>
      <c r="DP1877" s="4"/>
      <c r="DQ1877" s="4"/>
      <c r="DR1877" s="4"/>
      <c r="DS1877" s="4"/>
      <c r="DT1877" s="4"/>
      <c r="DU1877" s="4"/>
      <c r="DV1877" s="4"/>
      <c r="DW1877" s="4"/>
      <c r="DX1877" s="4"/>
      <c r="DY1877" s="4"/>
      <c r="DZ1877" s="4"/>
      <c r="EA1877" s="4"/>
      <c r="EB1877" s="4"/>
      <c r="EC1877" s="4"/>
      <c r="ED1877" s="4"/>
      <c r="EE1877" s="4"/>
      <c r="EF1877" s="4"/>
      <c r="EG1877" s="4"/>
      <c r="EH1877" s="4"/>
      <c r="EI1877" s="4"/>
      <c r="EJ1877" s="4"/>
      <c r="EK1877" s="4"/>
      <c r="EL1877" s="4"/>
      <c r="EM1877" s="4"/>
      <c r="EN1877" s="4"/>
      <c r="EO1877" s="4"/>
      <c r="EP1877" s="4"/>
      <c r="EQ1877" s="4"/>
      <c r="ER1877" s="4"/>
      <c r="ES1877" s="4"/>
      <c r="ET1877" s="4"/>
      <c r="EU1877" s="4"/>
      <c r="EV1877" s="4"/>
      <c r="EW1877" s="4"/>
      <c r="EX1877" s="4"/>
      <c r="EY1877" s="4"/>
      <c r="EZ1877" s="4"/>
      <c r="FA1877" s="4"/>
      <c r="FB1877" s="4"/>
      <c r="FC1877" s="4"/>
      <c r="FD1877" s="4"/>
      <c r="FE1877" s="4"/>
      <c r="FF1877" s="4"/>
      <c r="FG1877" s="4"/>
      <c r="FH1877" s="4"/>
      <c r="FI1877" s="4"/>
      <c r="FJ1877" s="4"/>
      <c r="FK1877" s="4"/>
      <c r="FL1877" s="4"/>
      <c r="FM1877" s="4"/>
      <c r="FN1877" s="4"/>
      <c r="FO1877" s="4"/>
      <c r="FP1877" s="4"/>
      <c r="FQ1877" s="4"/>
      <c r="FR1877" s="4"/>
      <c r="FS1877" s="4"/>
      <c r="FT1877" s="4"/>
      <c r="FU1877" s="4"/>
      <c r="FV1877" s="4"/>
      <c r="FW1877" s="4"/>
      <c r="FX1877" s="4"/>
      <c r="FY1877" s="4"/>
      <c r="FZ1877" s="4"/>
      <c r="GA1877" s="4"/>
      <c r="GB1877" s="4"/>
      <c r="GC1877" s="4"/>
      <c r="GD1877" s="4"/>
      <c r="GE1877" s="4"/>
      <c r="GF1877" s="4"/>
      <c r="GG1877" s="4"/>
      <c r="GH1877" s="4"/>
      <c r="GI1877" s="4"/>
      <c r="GJ1877" s="4"/>
      <c r="GK1877" s="4"/>
      <c r="GL1877" s="4"/>
      <c r="GM1877" s="4"/>
      <c r="GN1877" s="4"/>
      <c r="GO1877" s="4"/>
      <c r="GP1877" s="4"/>
      <c r="GQ1877" s="4"/>
      <c r="GR1877" s="4"/>
      <c r="GS1877" s="4"/>
      <c r="GT1877" s="4"/>
      <c r="GU1877" s="4"/>
      <c r="GV1877" s="4"/>
      <c r="GW1877" s="4"/>
      <c r="GX1877" s="4"/>
      <c r="GY1877" s="4"/>
      <c r="GZ1877" s="4"/>
      <c r="HA1877" s="4"/>
      <c r="HB1877" s="4"/>
      <c r="HC1877" s="4"/>
      <c r="HD1877" s="4"/>
      <c r="HE1877" s="4"/>
    </row>
    <row r="1878">
      <c r="A1878" s="2" t="s">
        <v>9165</v>
      </c>
      <c r="B1878" s="2" t="s">
        <v>866</v>
      </c>
      <c r="C1878" s="2" t="s">
        <v>300</v>
      </c>
      <c r="D1878" s="2" t="s">
        <v>899</v>
      </c>
      <c r="E1878" s="2" t="s">
        <v>877</v>
      </c>
      <c r="F1878" s="2" t="s">
        <v>9166</v>
      </c>
      <c r="G1878" s="2" t="s">
        <v>9166</v>
      </c>
      <c r="H1878" s="2" t="s">
        <v>9166</v>
      </c>
      <c r="I1878" s="2" t="s">
        <v>9167</v>
      </c>
      <c r="J1878" s="2" t="s">
        <v>840</v>
      </c>
      <c r="K1878" s="2" t="s">
        <v>9168</v>
      </c>
      <c r="L1878" s="3">
        <v>14</v>
      </c>
      <c r="M1878" s="3">
        <v>14.7</v>
      </c>
      <c r="N1878" s="3">
        <v>34.99</v>
      </c>
      <c r="O1878" s="2" t="s">
        <v>240</v>
      </c>
      <c r="P1878" s="2" t="s">
        <v>233</v>
      </c>
      <c r="Q1878" s="2" t="s">
        <v>234</v>
      </c>
      <c r="R1878" s="2" t="s">
        <v>228</v>
      </c>
      <c r="S1878" s="2" t="s">
        <v>228</v>
      </c>
      <c r="T1878" s="2" t="s">
        <v>228</v>
      </c>
      <c r="U1878" s="2" t="s">
        <v>416</v>
      </c>
      <c r="V1878" s="2" t="s">
        <v>2042</v>
      </c>
      <c r="W1878" s="2" t="s">
        <v>269</v>
      </c>
      <c r="X1878" s="2" t="s">
        <v>1268</v>
      </c>
      <c r="Y1878" s="2" t="s">
        <v>2049</v>
      </c>
      <c r="Z1878" s="4">
        <v>212</v>
      </c>
      <c r="AA1878" s="4">
        <f>=ROUNDDOWN(106,0)</f>
      </c>
      <c r="AB1878" s="5">
        <v>2</v>
      </c>
      <c r="AC1878" s="2" t="s">
        <v>228</v>
      </c>
      <c r="AD1878" s="4"/>
      <c r="AE1878" s="4"/>
      <c r="AF1878" s="6">
        <v>63</v>
      </c>
      <c r="AG1878" s="6"/>
      <c r="AH1878" s="7">
        <v>1</v>
      </c>
      <c r="AI1878" s="4"/>
      <c r="AJ1878" s="4">
        <f>=ROUNDDOWN({0},0)</f>
      </c>
      <c r="AK1878" s="5"/>
      <c r="AL1878" s="2" t="s">
        <v>228</v>
      </c>
      <c r="AM1878" s="4"/>
      <c r="AN1878" s="4"/>
      <c r="AO1878" s="7"/>
      <c r="AP1878" s="4"/>
      <c r="AQ1878" s="8"/>
      <c r="AR1878" s="4"/>
      <c r="AS1878" s="8"/>
      <c r="AT1878" s="7"/>
      <c r="AU1878" s="7"/>
      <c r="AV1878" s="4"/>
      <c r="AW1878" s="8"/>
      <c r="AX1878" s="4"/>
      <c r="AY1878" s="8"/>
      <c r="AZ1878" s="7"/>
      <c r="BA1878" s="7"/>
      <c r="BB1878" s="7"/>
      <c r="BC1878" s="4" t="s">
        <v>228</v>
      </c>
      <c r="BD1878" s="8" t="s">
        <v>228</v>
      </c>
      <c r="BE1878" s="4" t="s">
        <v>228</v>
      </c>
      <c r="BF1878" s="8" t="s">
        <v>228</v>
      </c>
      <c r="BG1878" s="7" t="s">
        <v>228</v>
      </c>
      <c r="BH1878" s="7" t="s">
        <v>228</v>
      </c>
      <c r="BI1878" s="7"/>
      <c r="BJ1878" s="4">
        <v>6</v>
      </c>
      <c r="BK1878" s="8">
        <v>102.36</v>
      </c>
      <c r="BL1878" s="2" t="s">
        <v>9169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9170</v>
      </c>
      <c r="BV1878" s="2" t="s">
        <v>228</v>
      </c>
      <c r="BW1878" s="2" t="s">
        <v>228</v>
      </c>
      <c r="BX1878" s="2" t="s">
        <v>273</v>
      </c>
      <c r="BY1878" s="2" t="s">
        <v>274</v>
      </c>
      <c r="BZ1878" s="2" t="s">
        <v>240</v>
      </c>
      <c r="CA1878" s="2" t="s">
        <v>2045</v>
      </c>
      <c r="CB1878" s="2" t="s">
        <v>228</v>
      </c>
      <c r="CC1878" s="2" t="s">
        <v>241</v>
      </c>
      <c r="CD1878" s="2" t="s">
        <v>228</v>
      </c>
      <c r="CE1878" s="4"/>
      <c r="CF1878" s="4">
        <v>212</v>
      </c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4"/>
      <c r="CX1878" s="4"/>
      <c r="CY1878" s="4"/>
      <c r="CZ1878" s="4"/>
      <c r="DA1878" s="4"/>
      <c r="DB1878" s="4"/>
      <c r="DC1878" s="4"/>
      <c r="DD1878" s="4"/>
      <c r="DE1878" s="4"/>
      <c r="DF1878" s="4"/>
      <c r="DG1878" s="4"/>
      <c r="DH1878" s="4"/>
      <c r="DI1878" s="4"/>
      <c r="DJ1878" s="4"/>
      <c r="DK1878" s="4"/>
      <c r="DL1878" s="4"/>
      <c r="DM1878" s="4"/>
      <c r="DN1878" s="4"/>
      <c r="DO1878" s="4"/>
      <c r="DP1878" s="4"/>
      <c r="DQ1878" s="4"/>
      <c r="DR1878" s="4"/>
      <c r="DS1878" s="4"/>
      <c r="DT1878" s="4"/>
      <c r="DU1878" s="4"/>
      <c r="DV1878" s="4"/>
      <c r="DW1878" s="4"/>
      <c r="DX1878" s="4"/>
      <c r="DY1878" s="4"/>
      <c r="DZ1878" s="4"/>
      <c r="EA1878" s="4"/>
      <c r="EB1878" s="4"/>
      <c r="EC1878" s="4"/>
      <c r="ED1878" s="4"/>
      <c r="EE1878" s="4"/>
      <c r="EF1878" s="4"/>
      <c r="EG1878" s="4"/>
      <c r="EH1878" s="4"/>
      <c r="EI1878" s="4"/>
      <c r="EJ1878" s="4"/>
      <c r="EK1878" s="4"/>
      <c r="EL1878" s="4"/>
      <c r="EM1878" s="4"/>
      <c r="EN1878" s="4"/>
      <c r="EO1878" s="4"/>
      <c r="EP1878" s="4"/>
      <c r="EQ1878" s="4"/>
      <c r="ER1878" s="4"/>
      <c r="ES1878" s="4"/>
      <c r="ET1878" s="4"/>
      <c r="EU1878" s="4"/>
      <c r="EV1878" s="4"/>
      <c r="EW1878" s="4"/>
      <c r="EX1878" s="4"/>
      <c r="EY1878" s="4"/>
      <c r="EZ1878" s="4"/>
      <c r="FA1878" s="4"/>
      <c r="FB1878" s="4"/>
      <c r="FC1878" s="4"/>
      <c r="FD1878" s="4"/>
      <c r="FE1878" s="4"/>
      <c r="FF1878" s="4"/>
      <c r="FG1878" s="4"/>
      <c r="FH1878" s="4"/>
      <c r="FI1878" s="4"/>
      <c r="FJ1878" s="4"/>
      <c r="FK1878" s="4"/>
      <c r="FL1878" s="4"/>
      <c r="FM1878" s="4"/>
      <c r="FN1878" s="4"/>
      <c r="FO1878" s="4"/>
      <c r="FP1878" s="4"/>
      <c r="FQ1878" s="4"/>
      <c r="FR1878" s="4"/>
      <c r="FS1878" s="4"/>
      <c r="FT1878" s="4"/>
      <c r="FU1878" s="4"/>
      <c r="FV1878" s="4"/>
      <c r="FW1878" s="4"/>
      <c r="FX1878" s="4"/>
      <c r="FY1878" s="4"/>
      <c r="FZ1878" s="4"/>
      <c r="GA1878" s="4"/>
      <c r="GB1878" s="4"/>
      <c r="GC1878" s="4"/>
      <c r="GD1878" s="4"/>
      <c r="GE1878" s="4"/>
      <c r="GF1878" s="4"/>
      <c r="GG1878" s="4"/>
      <c r="GH1878" s="4"/>
      <c r="GI1878" s="4"/>
      <c r="GJ1878" s="4"/>
      <c r="GK1878" s="4"/>
      <c r="GL1878" s="4"/>
      <c r="GM1878" s="4"/>
      <c r="GN1878" s="4"/>
      <c r="GO1878" s="4"/>
      <c r="GP1878" s="4"/>
      <c r="GQ1878" s="4"/>
      <c r="GR1878" s="4"/>
      <c r="GS1878" s="4"/>
      <c r="GT1878" s="4"/>
      <c r="GU1878" s="4"/>
      <c r="GV1878" s="4"/>
      <c r="GW1878" s="4"/>
      <c r="GX1878" s="4"/>
      <c r="GY1878" s="4"/>
      <c r="GZ1878" s="4"/>
      <c r="HA1878" s="4"/>
      <c r="HB1878" s="4"/>
      <c r="HC1878" s="4"/>
      <c r="HD1878" s="4"/>
      <c r="HE1878" s="4"/>
    </row>
    <row r="1879">
      <c r="A1879" s="2" t="s">
        <v>9171</v>
      </c>
      <c r="B1879" s="2" t="s">
        <v>866</v>
      </c>
      <c r="C1879" s="2" t="s">
        <v>300</v>
      </c>
      <c r="D1879" s="2" t="s">
        <v>899</v>
      </c>
      <c r="E1879" s="2" t="s">
        <v>877</v>
      </c>
      <c r="F1879" s="2" t="s">
        <v>9166</v>
      </c>
      <c r="G1879" s="2" t="s">
        <v>9166</v>
      </c>
      <c r="H1879" s="2" t="s">
        <v>9166</v>
      </c>
      <c r="I1879" s="2" t="s">
        <v>9172</v>
      </c>
      <c r="J1879" s="2" t="s">
        <v>840</v>
      </c>
      <c r="K1879" s="2" t="s">
        <v>9173</v>
      </c>
      <c r="L1879" s="3">
        <v>14</v>
      </c>
      <c r="M1879" s="3">
        <v>14.7</v>
      </c>
      <c r="N1879" s="3">
        <v>34.99</v>
      </c>
      <c r="O1879" s="2" t="s">
        <v>240</v>
      </c>
      <c r="P1879" s="2" t="s">
        <v>1012</v>
      </c>
      <c r="Q1879" s="2" t="s">
        <v>234</v>
      </c>
      <c r="R1879" s="2" t="s">
        <v>228</v>
      </c>
      <c r="S1879" s="2" t="s">
        <v>228</v>
      </c>
      <c r="T1879" s="2" t="s">
        <v>228</v>
      </c>
      <c r="U1879" s="2" t="s">
        <v>416</v>
      </c>
      <c r="V1879" s="2" t="s">
        <v>2042</v>
      </c>
      <c r="W1879" s="2" t="s">
        <v>269</v>
      </c>
      <c r="X1879" s="2" t="s">
        <v>417</v>
      </c>
      <c r="Y1879" s="2" t="s">
        <v>2049</v>
      </c>
      <c r="Z1879" s="4">
        <v>128</v>
      </c>
      <c r="AA1879" s="4">
        <f>=ROUNDDOWN(160,0)</f>
      </c>
      <c r="AB1879" s="5">
        <v>0.8</v>
      </c>
      <c r="AC1879" s="2" t="s">
        <v>228</v>
      </c>
      <c r="AD1879" s="4"/>
      <c r="AE1879" s="4"/>
      <c r="AF1879" s="6">
        <v>63</v>
      </c>
      <c r="AG1879" s="6"/>
      <c r="AH1879" s="7">
        <v>1</v>
      </c>
      <c r="AI1879" s="4"/>
      <c r="AJ1879" s="4">
        <f>=ROUNDDOWN({0},0)</f>
      </c>
      <c r="AK1879" s="5"/>
      <c r="AL1879" s="2" t="s">
        <v>228</v>
      </c>
      <c r="AM1879" s="4"/>
      <c r="AN1879" s="4"/>
      <c r="AO1879" s="7"/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7"/>
      <c r="BC1879" s="4" t="s">
        <v>228</v>
      </c>
      <c r="BD1879" s="8" t="s">
        <v>228</v>
      </c>
      <c r="BE1879" s="4" t="s">
        <v>228</v>
      </c>
      <c r="BF1879" s="8" t="s">
        <v>228</v>
      </c>
      <c r="BG1879" s="7" t="s">
        <v>228</v>
      </c>
      <c r="BH1879" s="7" t="s">
        <v>228</v>
      </c>
      <c r="BI1879" s="7"/>
      <c r="BJ1879" s="4">
        <v>1</v>
      </c>
      <c r="BK1879" s="8">
        <v>16.46</v>
      </c>
      <c r="BL1879" s="2" t="s">
        <v>622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9174</v>
      </c>
      <c r="BV1879" s="2" t="s">
        <v>228</v>
      </c>
      <c r="BW1879" s="2" t="s">
        <v>228</v>
      </c>
      <c r="BX1879" s="2" t="s">
        <v>273</v>
      </c>
      <c r="BY1879" s="2" t="s">
        <v>274</v>
      </c>
      <c r="BZ1879" s="2" t="s">
        <v>240</v>
      </c>
      <c r="CA1879" s="2" t="s">
        <v>2045</v>
      </c>
      <c r="CB1879" s="2" t="s">
        <v>228</v>
      </c>
      <c r="CC1879" s="2" t="s">
        <v>241</v>
      </c>
      <c r="CD1879" s="2" t="s">
        <v>228</v>
      </c>
      <c r="CE1879" s="4"/>
      <c r="CF1879" s="4">
        <v>128</v>
      </c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  <c r="DL1879" s="4"/>
      <c r="DM1879" s="4"/>
      <c r="DN1879" s="4"/>
      <c r="DO1879" s="4"/>
      <c r="DP1879" s="4"/>
      <c r="DQ1879" s="4"/>
      <c r="DR1879" s="4"/>
      <c r="DS1879" s="4"/>
      <c r="DT1879" s="4"/>
      <c r="DU1879" s="4"/>
      <c r="DV1879" s="4"/>
      <c r="DW1879" s="4"/>
      <c r="DX1879" s="4"/>
      <c r="DY1879" s="4"/>
      <c r="DZ1879" s="4"/>
      <c r="EA1879" s="4"/>
      <c r="EB1879" s="4"/>
      <c r="EC1879" s="4"/>
      <c r="ED1879" s="4"/>
      <c r="EE1879" s="4"/>
      <c r="EF1879" s="4"/>
      <c r="EG1879" s="4"/>
      <c r="EH1879" s="4"/>
      <c r="EI1879" s="4"/>
      <c r="EJ1879" s="4"/>
      <c r="EK1879" s="4"/>
      <c r="EL1879" s="4"/>
      <c r="EM1879" s="4"/>
      <c r="EN1879" s="4"/>
      <c r="EO1879" s="4"/>
      <c r="EP1879" s="4"/>
      <c r="EQ1879" s="4"/>
      <c r="ER1879" s="4"/>
      <c r="ES1879" s="4"/>
      <c r="ET1879" s="4"/>
      <c r="EU1879" s="4"/>
      <c r="EV1879" s="4"/>
      <c r="EW1879" s="4"/>
      <c r="EX1879" s="4"/>
      <c r="EY1879" s="4"/>
      <c r="EZ1879" s="4"/>
      <c r="FA1879" s="4"/>
      <c r="FB1879" s="4"/>
      <c r="FC1879" s="4"/>
      <c r="FD1879" s="4"/>
      <c r="FE1879" s="4"/>
      <c r="FF1879" s="4"/>
      <c r="FG1879" s="4"/>
      <c r="FH1879" s="4"/>
      <c r="FI1879" s="4"/>
      <c r="FJ1879" s="4"/>
      <c r="FK1879" s="4"/>
      <c r="FL1879" s="4"/>
      <c r="FM1879" s="4"/>
      <c r="FN1879" s="4"/>
      <c r="FO1879" s="4"/>
      <c r="FP1879" s="4"/>
      <c r="FQ1879" s="4"/>
      <c r="FR1879" s="4"/>
      <c r="FS1879" s="4"/>
      <c r="FT1879" s="4"/>
      <c r="FU1879" s="4"/>
      <c r="FV1879" s="4"/>
      <c r="FW1879" s="4"/>
      <c r="FX1879" s="4"/>
      <c r="FY1879" s="4"/>
      <c r="FZ1879" s="4"/>
      <c r="GA1879" s="4"/>
      <c r="GB1879" s="4"/>
      <c r="GC1879" s="4"/>
      <c r="GD1879" s="4"/>
      <c r="GE1879" s="4"/>
      <c r="GF1879" s="4"/>
      <c r="GG1879" s="4"/>
      <c r="GH1879" s="4"/>
      <c r="GI1879" s="4"/>
      <c r="GJ1879" s="4"/>
      <c r="GK1879" s="4"/>
      <c r="GL1879" s="4"/>
      <c r="GM1879" s="4"/>
      <c r="GN1879" s="4"/>
      <c r="GO1879" s="4"/>
      <c r="GP1879" s="4"/>
      <c r="GQ1879" s="4"/>
      <c r="GR1879" s="4"/>
      <c r="GS1879" s="4"/>
      <c r="GT1879" s="4"/>
      <c r="GU1879" s="4"/>
      <c r="GV1879" s="4"/>
      <c r="GW1879" s="4"/>
      <c r="GX1879" s="4"/>
      <c r="GY1879" s="4"/>
      <c r="GZ1879" s="4"/>
      <c r="HA1879" s="4"/>
      <c r="HB1879" s="4"/>
      <c r="HC1879" s="4"/>
      <c r="HD1879" s="4"/>
      <c r="HE1879" s="4"/>
    </row>
    <row r="1880">
      <c r="A1880" s="2" t="s">
        <v>9175</v>
      </c>
      <c r="B1880" s="2" t="s">
        <v>866</v>
      </c>
      <c r="C1880" s="2" t="s">
        <v>300</v>
      </c>
      <c r="D1880" s="2" t="s">
        <v>899</v>
      </c>
      <c r="E1880" s="2" t="s">
        <v>877</v>
      </c>
      <c r="F1880" s="2" t="s">
        <v>9166</v>
      </c>
      <c r="G1880" s="2" t="s">
        <v>9166</v>
      </c>
      <c r="H1880" s="2" t="s">
        <v>9166</v>
      </c>
      <c r="I1880" s="2" t="s">
        <v>9176</v>
      </c>
      <c r="J1880" s="2" t="s">
        <v>840</v>
      </c>
      <c r="K1880" s="2" t="s">
        <v>9177</v>
      </c>
      <c r="L1880" s="3">
        <v>14</v>
      </c>
      <c r="M1880" s="3">
        <v>14.7</v>
      </c>
      <c r="N1880" s="3">
        <v>34.99</v>
      </c>
      <c r="O1880" s="2" t="s">
        <v>240</v>
      </c>
      <c r="P1880" s="2" t="s">
        <v>1012</v>
      </c>
      <c r="Q1880" s="2" t="s">
        <v>234</v>
      </c>
      <c r="R1880" s="2" t="s">
        <v>228</v>
      </c>
      <c r="S1880" s="2" t="s">
        <v>228</v>
      </c>
      <c r="T1880" s="2" t="s">
        <v>228</v>
      </c>
      <c r="U1880" s="2" t="s">
        <v>416</v>
      </c>
      <c r="V1880" s="2" t="s">
        <v>2042</v>
      </c>
      <c r="W1880" s="2" t="s">
        <v>269</v>
      </c>
      <c r="X1880" s="2" t="s">
        <v>463</v>
      </c>
      <c r="Y1880" s="2" t="s">
        <v>2049</v>
      </c>
      <c r="Z1880" s="4">
        <v>90</v>
      </c>
      <c r="AA1880" s="4">
        <f>=ROUNDDOWN(100,0)</f>
      </c>
      <c r="AB1880" s="5">
        <v>0.9</v>
      </c>
      <c r="AC1880" s="2" t="s">
        <v>228</v>
      </c>
      <c r="AD1880" s="4"/>
      <c r="AE1880" s="4"/>
      <c r="AF1880" s="6">
        <v>63</v>
      </c>
      <c r="AG1880" s="6"/>
      <c r="AH1880" s="7">
        <v>1</v>
      </c>
      <c r="AI1880" s="4"/>
      <c r="AJ1880" s="4">
        <f>=ROUNDDOWN({0},0)</f>
      </c>
      <c r="AK1880" s="5"/>
      <c r="AL1880" s="2" t="s">
        <v>228</v>
      </c>
      <c r="AM1880" s="4"/>
      <c r="AN1880" s="4"/>
      <c r="AO1880" s="7"/>
      <c r="AP1880" s="4"/>
      <c r="AQ1880" s="8"/>
      <c r="AR1880" s="4"/>
      <c r="AS1880" s="8"/>
      <c r="AT1880" s="7"/>
      <c r="AU1880" s="7"/>
      <c r="AV1880" s="4"/>
      <c r="AW1880" s="8"/>
      <c r="AX1880" s="4"/>
      <c r="AY1880" s="8"/>
      <c r="AZ1880" s="7"/>
      <c r="BA1880" s="7"/>
      <c r="BB1880" s="7"/>
      <c r="BC1880" s="4" t="s">
        <v>228</v>
      </c>
      <c r="BD1880" s="8" t="s">
        <v>228</v>
      </c>
      <c r="BE1880" s="4" t="s">
        <v>228</v>
      </c>
      <c r="BF1880" s="8" t="s">
        <v>228</v>
      </c>
      <c r="BG1880" s="7" t="s">
        <v>228</v>
      </c>
      <c r="BH1880" s="7" t="s">
        <v>228</v>
      </c>
      <c r="BI1880" s="7"/>
      <c r="BJ1880" s="4">
        <v>2</v>
      </c>
      <c r="BK1880" s="8">
        <v>31.9</v>
      </c>
      <c r="BL1880" s="2" t="s">
        <v>494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9178</v>
      </c>
      <c r="BV1880" s="2" t="s">
        <v>228</v>
      </c>
      <c r="BW1880" s="2" t="s">
        <v>228</v>
      </c>
      <c r="BX1880" s="2" t="s">
        <v>273</v>
      </c>
      <c r="BY1880" s="2" t="s">
        <v>274</v>
      </c>
      <c r="BZ1880" s="2" t="s">
        <v>240</v>
      </c>
      <c r="CA1880" s="2" t="s">
        <v>2045</v>
      </c>
      <c r="CB1880" s="2" t="s">
        <v>228</v>
      </c>
      <c r="CC1880" s="2" t="s">
        <v>241</v>
      </c>
      <c r="CD1880" s="2" t="s">
        <v>228</v>
      </c>
      <c r="CE1880" s="4"/>
      <c r="CF1880" s="4">
        <v>90</v>
      </c>
      <c r="CG1880" s="4"/>
      <c r="CH1880" s="4"/>
      <c r="CI1880" s="4"/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4"/>
      <c r="CX1880" s="4"/>
      <c r="CY1880" s="4"/>
      <c r="CZ1880" s="4"/>
      <c r="DA1880" s="4"/>
      <c r="DB1880" s="4"/>
      <c r="DC1880" s="4"/>
      <c r="DD1880" s="4"/>
      <c r="DE1880" s="4"/>
      <c r="DF1880" s="4"/>
      <c r="DG1880" s="4"/>
      <c r="DH1880" s="4"/>
      <c r="DI1880" s="4"/>
      <c r="DJ1880" s="4"/>
      <c r="DK1880" s="4"/>
      <c r="DL1880" s="4"/>
      <c r="DM1880" s="4"/>
      <c r="DN1880" s="4"/>
      <c r="DO1880" s="4"/>
      <c r="DP1880" s="4"/>
      <c r="DQ1880" s="4"/>
      <c r="DR1880" s="4"/>
      <c r="DS1880" s="4"/>
      <c r="DT1880" s="4"/>
      <c r="DU1880" s="4"/>
      <c r="DV1880" s="4"/>
      <c r="DW1880" s="4"/>
      <c r="DX1880" s="4"/>
      <c r="DY1880" s="4"/>
      <c r="DZ1880" s="4"/>
      <c r="EA1880" s="4"/>
      <c r="EB1880" s="4"/>
      <c r="EC1880" s="4"/>
      <c r="ED1880" s="4"/>
      <c r="EE1880" s="4"/>
      <c r="EF1880" s="4"/>
      <c r="EG1880" s="4"/>
      <c r="EH1880" s="4"/>
      <c r="EI1880" s="4"/>
      <c r="EJ1880" s="4"/>
      <c r="EK1880" s="4"/>
      <c r="EL1880" s="4"/>
      <c r="EM1880" s="4"/>
      <c r="EN1880" s="4"/>
      <c r="EO1880" s="4"/>
      <c r="EP1880" s="4"/>
      <c r="EQ1880" s="4"/>
      <c r="ER1880" s="4"/>
      <c r="ES1880" s="4"/>
      <c r="ET1880" s="4"/>
      <c r="EU1880" s="4"/>
      <c r="EV1880" s="4"/>
      <c r="EW1880" s="4"/>
      <c r="EX1880" s="4"/>
      <c r="EY1880" s="4"/>
      <c r="EZ1880" s="4"/>
      <c r="FA1880" s="4"/>
      <c r="FB1880" s="4"/>
      <c r="FC1880" s="4"/>
      <c r="FD1880" s="4"/>
      <c r="FE1880" s="4"/>
      <c r="FF1880" s="4"/>
      <c r="FG1880" s="4"/>
      <c r="FH1880" s="4"/>
      <c r="FI1880" s="4"/>
      <c r="FJ1880" s="4"/>
      <c r="FK1880" s="4"/>
      <c r="FL1880" s="4"/>
      <c r="FM1880" s="4"/>
      <c r="FN1880" s="4"/>
      <c r="FO1880" s="4"/>
      <c r="FP1880" s="4"/>
      <c r="FQ1880" s="4"/>
      <c r="FR1880" s="4"/>
      <c r="FS1880" s="4"/>
      <c r="FT1880" s="4"/>
      <c r="FU1880" s="4"/>
      <c r="FV1880" s="4"/>
      <c r="FW1880" s="4"/>
      <c r="FX1880" s="4"/>
      <c r="FY1880" s="4"/>
      <c r="FZ1880" s="4"/>
      <c r="GA1880" s="4"/>
      <c r="GB1880" s="4"/>
      <c r="GC1880" s="4"/>
      <c r="GD1880" s="4"/>
      <c r="GE1880" s="4"/>
      <c r="GF1880" s="4"/>
      <c r="GG1880" s="4"/>
      <c r="GH1880" s="4"/>
      <c r="GI1880" s="4"/>
      <c r="GJ1880" s="4"/>
      <c r="GK1880" s="4"/>
      <c r="GL1880" s="4"/>
      <c r="GM1880" s="4"/>
      <c r="GN1880" s="4"/>
      <c r="GO1880" s="4"/>
      <c r="GP1880" s="4"/>
      <c r="GQ1880" s="4"/>
      <c r="GR1880" s="4"/>
      <c r="GS1880" s="4"/>
      <c r="GT1880" s="4"/>
      <c r="GU1880" s="4"/>
      <c r="GV1880" s="4"/>
      <c r="GW1880" s="4"/>
      <c r="GX1880" s="4"/>
      <c r="GY1880" s="4"/>
      <c r="GZ1880" s="4"/>
      <c r="HA1880" s="4"/>
      <c r="HB1880" s="4"/>
      <c r="HC1880" s="4"/>
      <c r="HD1880" s="4"/>
      <c r="HE1880" s="4"/>
    </row>
    <row r="1881">
      <c r="A1881" s="2" t="s">
        <v>9179</v>
      </c>
      <c r="B1881" s="2" t="s">
        <v>866</v>
      </c>
      <c r="C1881" s="2" t="s">
        <v>300</v>
      </c>
      <c r="D1881" s="2" t="s">
        <v>899</v>
      </c>
      <c r="E1881" s="2" t="s">
        <v>877</v>
      </c>
      <c r="F1881" s="2" t="s">
        <v>9166</v>
      </c>
      <c r="G1881" s="2" t="s">
        <v>9166</v>
      </c>
      <c r="H1881" s="2" t="s">
        <v>9166</v>
      </c>
      <c r="I1881" s="2" t="s">
        <v>9180</v>
      </c>
      <c r="J1881" s="2" t="s">
        <v>840</v>
      </c>
      <c r="K1881" s="2" t="s">
        <v>9181</v>
      </c>
      <c r="L1881" s="3">
        <v>14</v>
      </c>
      <c r="M1881" s="3">
        <v>14.7</v>
      </c>
      <c r="N1881" s="3">
        <v>34.99</v>
      </c>
      <c r="O1881" s="2" t="s">
        <v>240</v>
      </c>
      <c r="P1881" s="2" t="s">
        <v>1012</v>
      </c>
      <c r="Q1881" s="2" t="s">
        <v>234</v>
      </c>
      <c r="R1881" s="2" t="s">
        <v>228</v>
      </c>
      <c r="S1881" s="2" t="s">
        <v>228</v>
      </c>
      <c r="T1881" s="2" t="s">
        <v>228</v>
      </c>
      <c r="U1881" s="2" t="s">
        <v>416</v>
      </c>
      <c r="V1881" s="2" t="s">
        <v>2042</v>
      </c>
      <c r="W1881" s="2" t="s">
        <v>269</v>
      </c>
      <c r="X1881" s="2" t="s">
        <v>463</v>
      </c>
      <c r="Y1881" s="2" t="s">
        <v>2049</v>
      </c>
      <c r="Z1881" s="4">
        <v>86</v>
      </c>
      <c r="AA1881" s="4">
        <f>=ROUNDDOWN(107.5,0)</f>
      </c>
      <c r="AB1881" s="5">
        <v>0.8</v>
      </c>
      <c r="AC1881" s="2" t="s">
        <v>228</v>
      </c>
      <c r="AD1881" s="4"/>
      <c r="AE1881" s="4"/>
      <c r="AF1881" s="6">
        <v>63</v>
      </c>
      <c r="AG1881" s="6"/>
      <c r="AH1881" s="7">
        <v>1</v>
      </c>
      <c r="AI1881" s="4"/>
      <c r="AJ1881" s="4">
        <f>=ROUNDDOWN({0},0)</f>
      </c>
      <c r="AK1881" s="5"/>
      <c r="AL1881" s="2" t="s">
        <v>228</v>
      </c>
      <c r="AM1881" s="4"/>
      <c r="AN1881" s="4"/>
      <c r="AO1881" s="7"/>
      <c r="AP1881" s="4"/>
      <c r="AQ1881" s="8"/>
      <c r="AR1881" s="4"/>
      <c r="AS1881" s="8"/>
      <c r="AT1881" s="7"/>
      <c r="AU1881" s="7"/>
      <c r="AV1881" s="4"/>
      <c r="AW1881" s="8"/>
      <c r="AX1881" s="4"/>
      <c r="AY1881" s="8"/>
      <c r="AZ1881" s="7"/>
      <c r="BA1881" s="7"/>
      <c r="BB1881" s="7"/>
      <c r="BC1881" s="4" t="s">
        <v>228</v>
      </c>
      <c r="BD1881" s="8" t="s">
        <v>228</v>
      </c>
      <c r="BE1881" s="4" t="s">
        <v>228</v>
      </c>
      <c r="BF1881" s="8" t="s">
        <v>228</v>
      </c>
      <c r="BG1881" s="7" t="s">
        <v>228</v>
      </c>
      <c r="BH1881" s="7" t="s">
        <v>228</v>
      </c>
      <c r="BI1881" s="7"/>
      <c r="BJ1881" s="4">
        <v>2</v>
      </c>
      <c r="BK1881" s="8">
        <v>32.92</v>
      </c>
      <c r="BL1881" s="2" t="s">
        <v>484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9182</v>
      </c>
      <c r="BV1881" s="2" t="s">
        <v>228</v>
      </c>
      <c r="BW1881" s="2" t="s">
        <v>228</v>
      </c>
      <c r="BX1881" s="2" t="s">
        <v>273</v>
      </c>
      <c r="BY1881" s="2" t="s">
        <v>274</v>
      </c>
      <c r="BZ1881" s="2" t="s">
        <v>240</v>
      </c>
      <c r="CA1881" s="2" t="s">
        <v>2045</v>
      </c>
      <c r="CB1881" s="2" t="s">
        <v>228</v>
      </c>
      <c r="CC1881" s="2" t="s">
        <v>241</v>
      </c>
      <c r="CD1881" s="2" t="s">
        <v>228</v>
      </c>
      <c r="CE1881" s="4"/>
      <c r="CF1881" s="4">
        <v>86</v>
      </c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  <c r="DP1881" s="4"/>
      <c r="DQ1881" s="4"/>
      <c r="DR1881" s="4"/>
      <c r="DS1881" s="4"/>
      <c r="DT1881" s="4"/>
      <c r="DU1881" s="4"/>
      <c r="DV1881" s="4"/>
      <c r="DW1881" s="4"/>
      <c r="DX1881" s="4"/>
      <c r="DY1881" s="4"/>
      <c r="DZ1881" s="4"/>
      <c r="EA1881" s="4"/>
      <c r="EB1881" s="4"/>
      <c r="EC1881" s="4"/>
      <c r="ED1881" s="4"/>
      <c r="EE1881" s="4"/>
      <c r="EF1881" s="4"/>
      <c r="EG1881" s="4"/>
      <c r="EH1881" s="4"/>
      <c r="EI1881" s="4"/>
      <c r="EJ1881" s="4"/>
      <c r="EK1881" s="4"/>
      <c r="EL1881" s="4"/>
      <c r="EM1881" s="4"/>
      <c r="EN1881" s="4"/>
      <c r="EO1881" s="4"/>
      <c r="EP1881" s="4"/>
      <c r="EQ1881" s="4"/>
      <c r="ER1881" s="4"/>
      <c r="ES1881" s="4"/>
      <c r="ET1881" s="4"/>
      <c r="EU1881" s="4"/>
      <c r="EV1881" s="4"/>
      <c r="EW1881" s="4"/>
      <c r="EX1881" s="4"/>
      <c r="EY1881" s="4"/>
      <c r="EZ1881" s="4"/>
      <c r="FA1881" s="4"/>
      <c r="FB1881" s="4"/>
      <c r="FC1881" s="4"/>
      <c r="FD1881" s="4"/>
      <c r="FE1881" s="4"/>
      <c r="FF1881" s="4"/>
      <c r="FG1881" s="4"/>
      <c r="FH1881" s="4"/>
      <c r="FI1881" s="4"/>
      <c r="FJ1881" s="4"/>
      <c r="FK1881" s="4"/>
      <c r="FL1881" s="4"/>
      <c r="FM1881" s="4"/>
      <c r="FN1881" s="4"/>
      <c r="FO1881" s="4"/>
      <c r="FP1881" s="4"/>
      <c r="FQ1881" s="4"/>
      <c r="FR1881" s="4"/>
      <c r="FS1881" s="4"/>
      <c r="FT1881" s="4"/>
      <c r="FU1881" s="4"/>
      <c r="FV1881" s="4"/>
      <c r="FW1881" s="4"/>
      <c r="FX1881" s="4"/>
      <c r="FY1881" s="4"/>
      <c r="FZ1881" s="4"/>
      <c r="GA1881" s="4"/>
      <c r="GB1881" s="4"/>
      <c r="GC1881" s="4"/>
      <c r="GD1881" s="4"/>
      <c r="GE1881" s="4"/>
      <c r="GF1881" s="4"/>
      <c r="GG1881" s="4"/>
      <c r="GH1881" s="4"/>
      <c r="GI1881" s="4"/>
      <c r="GJ1881" s="4"/>
      <c r="GK1881" s="4"/>
      <c r="GL1881" s="4"/>
      <c r="GM1881" s="4"/>
      <c r="GN1881" s="4"/>
      <c r="GO1881" s="4"/>
      <c r="GP1881" s="4"/>
      <c r="GQ1881" s="4"/>
      <c r="GR1881" s="4"/>
      <c r="GS1881" s="4"/>
      <c r="GT1881" s="4"/>
      <c r="GU1881" s="4"/>
      <c r="GV1881" s="4"/>
      <c r="GW1881" s="4"/>
      <c r="GX1881" s="4"/>
      <c r="GY1881" s="4"/>
      <c r="GZ1881" s="4"/>
      <c r="HA1881" s="4"/>
      <c r="HB1881" s="4"/>
      <c r="HC1881" s="4"/>
      <c r="HD1881" s="4"/>
      <c r="HE1881" s="4"/>
    </row>
    <row r="1882">
      <c r="A1882" s="2" t="s">
        <v>9183</v>
      </c>
      <c r="B1882" s="2" t="s">
        <v>866</v>
      </c>
      <c r="C1882" s="2" t="s">
        <v>300</v>
      </c>
      <c r="D1882" s="2" t="s">
        <v>899</v>
      </c>
      <c r="E1882" s="2" t="s">
        <v>877</v>
      </c>
      <c r="F1882" s="2" t="s">
        <v>9166</v>
      </c>
      <c r="G1882" s="2" t="s">
        <v>9166</v>
      </c>
      <c r="H1882" s="2" t="s">
        <v>9166</v>
      </c>
      <c r="I1882" s="2" t="s">
        <v>9184</v>
      </c>
      <c r="J1882" s="2" t="s">
        <v>840</v>
      </c>
      <c r="K1882" s="2" t="s">
        <v>9185</v>
      </c>
      <c r="L1882" s="3">
        <v>14</v>
      </c>
      <c r="M1882" s="3">
        <v>14.7</v>
      </c>
      <c r="N1882" s="3">
        <v>34.99</v>
      </c>
      <c r="O1882" s="2" t="s">
        <v>240</v>
      </c>
      <c r="P1882" s="2" t="s">
        <v>1012</v>
      </c>
      <c r="Q1882" s="2" t="s">
        <v>234</v>
      </c>
      <c r="R1882" s="2" t="s">
        <v>228</v>
      </c>
      <c r="S1882" s="2" t="s">
        <v>228</v>
      </c>
      <c r="T1882" s="2" t="s">
        <v>228</v>
      </c>
      <c r="U1882" s="2" t="s">
        <v>416</v>
      </c>
      <c r="V1882" s="2" t="s">
        <v>2042</v>
      </c>
      <c r="W1882" s="2" t="s">
        <v>269</v>
      </c>
      <c r="X1882" s="2" t="s">
        <v>463</v>
      </c>
      <c r="Y1882" s="2" t="s">
        <v>2049</v>
      </c>
      <c r="Z1882" s="4">
        <v>80</v>
      </c>
      <c r="AA1882" s="4">
        <f>=ROUNDDOWN(80,0)</f>
      </c>
      <c r="AB1882" s="5">
        <v>1</v>
      </c>
      <c r="AC1882" s="2" t="s">
        <v>228</v>
      </c>
      <c r="AD1882" s="4"/>
      <c r="AE1882" s="4"/>
      <c r="AF1882" s="6">
        <v>63</v>
      </c>
      <c r="AG1882" s="6"/>
      <c r="AH1882" s="7">
        <v>1</v>
      </c>
      <c r="AI1882" s="4"/>
      <c r="AJ1882" s="4">
        <f>=ROUNDDOWN({0},0)</f>
      </c>
      <c r="AK1882" s="5"/>
      <c r="AL1882" s="2" t="s">
        <v>228</v>
      </c>
      <c r="AM1882" s="4"/>
      <c r="AN1882" s="4"/>
      <c r="AO1882" s="7"/>
      <c r="AP1882" s="4"/>
      <c r="AQ1882" s="8"/>
      <c r="AR1882" s="4"/>
      <c r="AS1882" s="8"/>
      <c r="AT1882" s="7"/>
      <c r="AU1882" s="7"/>
      <c r="AV1882" s="4"/>
      <c r="AW1882" s="8"/>
      <c r="AX1882" s="4"/>
      <c r="AY1882" s="8"/>
      <c r="AZ1882" s="7"/>
      <c r="BA1882" s="7"/>
      <c r="BB1882" s="7"/>
      <c r="BC1882" s="4" t="s">
        <v>228</v>
      </c>
      <c r="BD1882" s="8" t="s">
        <v>228</v>
      </c>
      <c r="BE1882" s="4" t="s">
        <v>228</v>
      </c>
      <c r="BF1882" s="8" t="s">
        <v>228</v>
      </c>
      <c r="BG1882" s="7" t="s">
        <v>228</v>
      </c>
      <c r="BH1882" s="7" t="s">
        <v>228</v>
      </c>
      <c r="BI1882" s="7"/>
      <c r="BJ1882" s="4">
        <v>5</v>
      </c>
      <c r="BK1882" s="8">
        <v>86.77</v>
      </c>
      <c r="BL1882" s="2" t="s">
        <v>2426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9186</v>
      </c>
      <c r="BV1882" s="2" t="s">
        <v>228</v>
      </c>
      <c r="BW1882" s="2" t="s">
        <v>228</v>
      </c>
      <c r="BX1882" s="2" t="s">
        <v>273</v>
      </c>
      <c r="BY1882" s="2" t="s">
        <v>274</v>
      </c>
      <c r="BZ1882" s="2" t="s">
        <v>240</v>
      </c>
      <c r="CA1882" s="2" t="s">
        <v>2045</v>
      </c>
      <c r="CB1882" s="2" t="s">
        <v>228</v>
      </c>
      <c r="CC1882" s="2" t="s">
        <v>241</v>
      </c>
      <c r="CD1882" s="2" t="s">
        <v>228</v>
      </c>
      <c r="CE1882" s="4"/>
      <c r="CF1882" s="4">
        <v>80</v>
      </c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4"/>
      <c r="CX1882" s="4"/>
      <c r="CY1882" s="4"/>
      <c r="CZ1882" s="4"/>
      <c r="DA1882" s="4"/>
      <c r="DB1882" s="4"/>
      <c r="DC1882" s="4"/>
      <c r="DD1882" s="4"/>
      <c r="DE1882" s="4"/>
      <c r="DF1882" s="4"/>
      <c r="DG1882" s="4"/>
      <c r="DH1882" s="4"/>
      <c r="DI1882" s="4"/>
      <c r="DJ1882" s="4"/>
      <c r="DK1882" s="4"/>
      <c r="DL1882" s="4"/>
      <c r="DM1882" s="4"/>
      <c r="DN1882" s="4"/>
      <c r="DO1882" s="4"/>
      <c r="DP1882" s="4"/>
      <c r="DQ1882" s="4"/>
      <c r="DR1882" s="4"/>
      <c r="DS1882" s="4"/>
      <c r="DT1882" s="4"/>
      <c r="DU1882" s="4"/>
      <c r="DV1882" s="4"/>
      <c r="DW1882" s="4"/>
      <c r="DX1882" s="4"/>
      <c r="DY1882" s="4"/>
      <c r="DZ1882" s="4"/>
      <c r="EA1882" s="4"/>
      <c r="EB1882" s="4"/>
      <c r="EC1882" s="4"/>
      <c r="ED1882" s="4"/>
      <c r="EE1882" s="4"/>
      <c r="EF1882" s="4"/>
      <c r="EG1882" s="4"/>
      <c r="EH1882" s="4"/>
      <c r="EI1882" s="4"/>
      <c r="EJ1882" s="4"/>
      <c r="EK1882" s="4"/>
      <c r="EL1882" s="4"/>
      <c r="EM1882" s="4"/>
      <c r="EN1882" s="4"/>
      <c r="EO1882" s="4"/>
      <c r="EP1882" s="4"/>
      <c r="EQ1882" s="4"/>
      <c r="ER1882" s="4"/>
      <c r="ES1882" s="4"/>
      <c r="ET1882" s="4"/>
      <c r="EU1882" s="4"/>
      <c r="EV1882" s="4"/>
      <c r="EW1882" s="4"/>
      <c r="EX1882" s="4"/>
      <c r="EY1882" s="4"/>
      <c r="EZ1882" s="4"/>
      <c r="FA1882" s="4"/>
      <c r="FB1882" s="4"/>
      <c r="FC1882" s="4"/>
      <c r="FD1882" s="4"/>
      <c r="FE1882" s="4"/>
      <c r="FF1882" s="4"/>
      <c r="FG1882" s="4"/>
      <c r="FH1882" s="4"/>
      <c r="FI1882" s="4"/>
      <c r="FJ1882" s="4"/>
      <c r="FK1882" s="4"/>
      <c r="FL1882" s="4"/>
      <c r="FM1882" s="4"/>
      <c r="FN1882" s="4"/>
      <c r="FO1882" s="4"/>
      <c r="FP1882" s="4"/>
      <c r="FQ1882" s="4"/>
      <c r="FR1882" s="4"/>
      <c r="FS1882" s="4"/>
      <c r="FT1882" s="4"/>
      <c r="FU1882" s="4"/>
      <c r="FV1882" s="4"/>
      <c r="FW1882" s="4"/>
      <c r="FX1882" s="4"/>
      <c r="FY1882" s="4"/>
      <c r="FZ1882" s="4"/>
      <c r="GA1882" s="4"/>
      <c r="GB1882" s="4"/>
      <c r="GC1882" s="4"/>
      <c r="GD1882" s="4"/>
      <c r="GE1882" s="4"/>
      <c r="GF1882" s="4"/>
      <c r="GG1882" s="4"/>
      <c r="GH1882" s="4"/>
      <c r="GI1882" s="4"/>
      <c r="GJ1882" s="4"/>
      <c r="GK1882" s="4"/>
      <c r="GL1882" s="4"/>
      <c r="GM1882" s="4"/>
      <c r="GN1882" s="4"/>
      <c r="GO1882" s="4"/>
      <c r="GP1882" s="4"/>
      <c r="GQ1882" s="4"/>
      <c r="GR1882" s="4"/>
      <c r="GS1882" s="4"/>
      <c r="GT1882" s="4"/>
      <c r="GU1882" s="4"/>
      <c r="GV1882" s="4"/>
      <c r="GW1882" s="4"/>
      <c r="GX1882" s="4"/>
      <c r="GY1882" s="4"/>
      <c r="GZ1882" s="4"/>
      <c r="HA1882" s="4"/>
      <c r="HB1882" s="4"/>
      <c r="HC1882" s="4"/>
      <c r="HD1882" s="4"/>
      <c r="HE1882" s="4"/>
    </row>
    <row r="1883">
      <c r="A1883" s="2" t="s">
        <v>9187</v>
      </c>
      <c r="B1883" s="2" t="s">
        <v>866</v>
      </c>
      <c r="C1883" s="2" t="s">
        <v>300</v>
      </c>
      <c r="D1883" s="2" t="s">
        <v>899</v>
      </c>
      <c r="E1883" s="2" t="s">
        <v>877</v>
      </c>
      <c r="F1883" s="2" t="s">
        <v>9166</v>
      </c>
      <c r="G1883" s="2" t="s">
        <v>9166</v>
      </c>
      <c r="H1883" s="2" t="s">
        <v>9166</v>
      </c>
      <c r="I1883" s="2" t="s">
        <v>9188</v>
      </c>
      <c r="J1883" s="2" t="s">
        <v>840</v>
      </c>
      <c r="K1883" s="2" t="s">
        <v>9189</v>
      </c>
      <c r="L1883" s="3">
        <v>14</v>
      </c>
      <c r="M1883" s="3">
        <v>14.7</v>
      </c>
      <c r="N1883" s="3">
        <v>34.99</v>
      </c>
      <c r="O1883" s="2" t="s">
        <v>240</v>
      </c>
      <c r="P1883" s="2" t="s">
        <v>1012</v>
      </c>
      <c r="Q1883" s="2" t="s">
        <v>234</v>
      </c>
      <c r="R1883" s="2" t="s">
        <v>228</v>
      </c>
      <c r="S1883" s="2" t="s">
        <v>228</v>
      </c>
      <c r="T1883" s="2" t="s">
        <v>228</v>
      </c>
      <c r="U1883" s="2" t="s">
        <v>416</v>
      </c>
      <c r="V1883" s="2" t="s">
        <v>2042</v>
      </c>
      <c r="W1883" s="2" t="s">
        <v>269</v>
      </c>
      <c r="X1883" s="2" t="s">
        <v>463</v>
      </c>
      <c r="Y1883" s="2" t="s">
        <v>2049</v>
      </c>
      <c r="Z1883" s="4">
        <v>104</v>
      </c>
      <c r="AA1883" s="4">
        <f>=ROUNDDOWN(104,0)</f>
      </c>
      <c r="AB1883" s="5">
        <v>1</v>
      </c>
      <c r="AC1883" s="2" t="s">
        <v>228</v>
      </c>
      <c r="AD1883" s="4"/>
      <c r="AE1883" s="4"/>
      <c r="AF1883" s="6">
        <v>63</v>
      </c>
      <c r="AG1883" s="6"/>
      <c r="AH1883" s="7">
        <v>1</v>
      </c>
      <c r="AI1883" s="4"/>
      <c r="AJ1883" s="4">
        <f>=ROUNDDOWN({0},0)</f>
      </c>
      <c r="AK1883" s="5"/>
      <c r="AL1883" s="2" t="s">
        <v>228</v>
      </c>
      <c r="AM1883" s="4"/>
      <c r="AN1883" s="4"/>
      <c r="AO1883" s="7"/>
      <c r="AP1883" s="4"/>
      <c r="AQ1883" s="8"/>
      <c r="AR1883" s="4"/>
      <c r="AS1883" s="8"/>
      <c r="AT1883" s="7"/>
      <c r="AU1883" s="7"/>
      <c r="AV1883" s="4"/>
      <c r="AW1883" s="8"/>
      <c r="AX1883" s="4"/>
      <c r="AY1883" s="8"/>
      <c r="AZ1883" s="7"/>
      <c r="BA1883" s="7"/>
      <c r="BB1883" s="7"/>
      <c r="BC1883" s="4" t="s">
        <v>228</v>
      </c>
      <c r="BD1883" s="8" t="s">
        <v>228</v>
      </c>
      <c r="BE1883" s="4" t="s">
        <v>228</v>
      </c>
      <c r="BF1883" s="8" t="s">
        <v>228</v>
      </c>
      <c r="BG1883" s="7" t="s">
        <v>228</v>
      </c>
      <c r="BH1883" s="7" t="s">
        <v>228</v>
      </c>
      <c r="BI1883" s="7"/>
      <c r="BJ1883" s="4">
        <v>4</v>
      </c>
      <c r="BK1883" s="8">
        <v>65.63</v>
      </c>
      <c r="BL1883" s="2" t="s">
        <v>9190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9191</v>
      </c>
      <c r="BV1883" s="2" t="s">
        <v>228</v>
      </c>
      <c r="BW1883" s="2" t="s">
        <v>228</v>
      </c>
      <c r="BX1883" s="2" t="s">
        <v>273</v>
      </c>
      <c r="BY1883" s="2" t="s">
        <v>274</v>
      </c>
      <c r="BZ1883" s="2" t="s">
        <v>240</v>
      </c>
      <c r="CA1883" s="2" t="s">
        <v>2045</v>
      </c>
      <c r="CB1883" s="2" t="s">
        <v>228</v>
      </c>
      <c r="CC1883" s="2" t="s">
        <v>241</v>
      </c>
      <c r="CD1883" s="2" t="s">
        <v>228</v>
      </c>
      <c r="CE1883" s="4"/>
      <c r="CF1883" s="4">
        <v>104</v>
      </c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  <c r="DL1883" s="4"/>
      <c r="DM1883" s="4"/>
      <c r="DN1883" s="4"/>
      <c r="DO1883" s="4"/>
      <c r="DP1883" s="4"/>
      <c r="DQ1883" s="4"/>
      <c r="DR1883" s="4"/>
      <c r="DS1883" s="4"/>
      <c r="DT1883" s="4"/>
      <c r="DU1883" s="4"/>
      <c r="DV1883" s="4"/>
      <c r="DW1883" s="4"/>
      <c r="DX1883" s="4"/>
      <c r="DY1883" s="4"/>
      <c r="DZ1883" s="4"/>
      <c r="EA1883" s="4"/>
      <c r="EB1883" s="4"/>
      <c r="EC1883" s="4"/>
      <c r="ED1883" s="4"/>
      <c r="EE1883" s="4"/>
      <c r="EF1883" s="4"/>
      <c r="EG1883" s="4"/>
      <c r="EH1883" s="4"/>
      <c r="EI1883" s="4"/>
      <c r="EJ1883" s="4"/>
      <c r="EK1883" s="4"/>
      <c r="EL1883" s="4"/>
      <c r="EM1883" s="4"/>
      <c r="EN1883" s="4"/>
      <c r="EO1883" s="4"/>
      <c r="EP1883" s="4"/>
      <c r="EQ1883" s="4"/>
      <c r="ER1883" s="4"/>
      <c r="ES1883" s="4"/>
      <c r="ET1883" s="4"/>
      <c r="EU1883" s="4"/>
      <c r="EV1883" s="4"/>
      <c r="EW1883" s="4"/>
      <c r="EX1883" s="4"/>
      <c r="EY1883" s="4"/>
      <c r="EZ1883" s="4"/>
      <c r="FA1883" s="4"/>
      <c r="FB1883" s="4"/>
      <c r="FC1883" s="4"/>
      <c r="FD1883" s="4"/>
      <c r="FE1883" s="4"/>
      <c r="FF1883" s="4"/>
      <c r="FG1883" s="4"/>
      <c r="FH1883" s="4"/>
      <c r="FI1883" s="4"/>
      <c r="FJ1883" s="4"/>
      <c r="FK1883" s="4"/>
      <c r="FL1883" s="4"/>
      <c r="FM1883" s="4"/>
      <c r="FN1883" s="4"/>
      <c r="FO1883" s="4"/>
      <c r="FP1883" s="4"/>
      <c r="FQ1883" s="4"/>
      <c r="FR1883" s="4"/>
      <c r="FS1883" s="4"/>
      <c r="FT1883" s="4"/>
      <c r="FU1883" s="4"/>
      <c r="FV1883" s="4"/>
      <c r="FW1883" s="4"/>
      <c r="FX1883" s="4"/>
      <c r="FY1883" s="4"/>
      <c r="FZ1883" s="4"/>
      <c r="GA1883" s="4"/>
      <c r="GB1883" s="4"/>
      <c r="GC1883" s="4"/>
      <c r="GD1883" s="4"/>
      <c r="GE1883" s="4"/>
      <c r="GF1883" s="4"/>
      <c r="GG1883" s="4"/>
      <c r="GH1883" s="4"/>
      <c r="GI1883" s="4"/>
      <c r="GJ1883" s="4"/>
      <c r="GK1883" s="4"/>
      <c r="GL1883" s="4"/>
      <c r="GM1883" s="4"/>
      <c r="GN1883" s="4"/>
      <c r="GO1883" s="4"/>
      <c r="GP1883" s="4"/>
      <c r="GQ1883" s="4"/>
      <c r="GR1883" s="4"/>
      <c r="GS1883" s="4"/>
      <c r="GT1883" s="4"/>
      <c r="GU1883" s="4"/>
      <c r="GV1883" s="4"/>
      <c r="GW1883" s="4"/>
      <c r="GX1883" s="4"/>
      <c r="GY1883" s="4"/>
      <c r="GZ1883" s="4"/>
      <c r="HA1883" s="4"/>
      <c r="HB1883" s="4"/>
      <c r="HC1883" s="4"/>
      <c r="HD1883" s="4"/>
      <c r="HE1883" s="4"/>
    </row>
    <row r="1884">
      <c r="A1884" s="2" t="s">
        <v>9192</v>
      </c>
      <c r="B1884" s="2" t="s">
        <v>866</v>
      </c>
      <c r="C1884" s="2" t="s">
        <v>300</v>
      </c>
      <c r="D1884" s="2" t="s">
        <v>899</v>
      </c>
      <c r="E1884" s="2" t="s">
        <v>877</v>
      </c>
      <c r="F1884" s="2" t="s">
        <v>9166</v>
      </c>
      <c r="G1884" s="2" t="s">
        <v>9166</v>
      </c>
      <c r="H1884" s="2" t="s">
        <v>9166</v>
      </c>
      <c r="I1884" s="2" t="s">
        <v>9193</v>
      </c>
      <c r="J1884" s="2" t="s">
        <v>840</v>
      </c>
      <c r="K1884" s="2" t="s">
        <v>9194</v>
      </c>
      <c r="L1884" s="3">
        <v>14</v>
      </c>
      <c r="M1884" s="3">
        <v>14.7</v>
      </c>
      <c r="N1884" s="3">
        <v>34.99</v>
      </c>
      <c r="O1884" s="2" t="s">
        <v>240</v>
      </c>
      <c r="P1884" s="2" t="s">
        <v>266</v>
      </c>
      <c r="Q1884" s="2" t="s">
        <v>234</v>
      </c>
      <c r="R1884" s="2" t="s">
        <v>228</v>
      </c>
      <c r="S1884" s="2" t="s">
        <v>228</v>
      </c>
      <c r="T1884" s="2" t="s">
        <v>228</v>
      </c>
      <c r="U1884" s="2" t="s">
        <v>416</v>
      </c>
      <c r="V1884" s="2" t="s">
        <v>2042</v>
      </c>
      <c r="W1884" s="2" t="s">
        <v>269</v>
      </c>
      <c r="X1884" s="2" t="s">
        <v>1761</v>
      </c>
      <c r="Y1884" s="2" t="s">
        <v>2049</v>
      </c>
      <c r="Z1884" s="4">
        <v>42</v>
      </c>
      <c r="AA1884" s="4">
        <f>=ROUNDDOWN(7,0)</f>
      </c>
      <c r="AB1884" s="5">
        <v>6</v>
      </c>
      <c r="AC1884" s="2" t="s">
        <v>168</v>
      </c>
      <c r="AD1884" s="4">
        <v>100</v>
      </c>
      <c r="AE1884" s="4">
        <v>100</v>
      </c>
      <c r="AF1884" s="6">
        <v>63</v>
      </c>
      <c r="AG1884" s="6">
        <v>46</v>
      </c>
      <c r="AH1884" s="7">
        <v>1</v>
      </c>
      <c r="AI1884" s="4"/>
      <c r="AJ1884" s="4">
        <f>=ROUNDDOWN({0},0)</f>
      </c>
      <c r="AK1884" s="5"/>
      <c r="AL1884" s="2" t="s">
        <v>228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/>
      <c r="AW1884" s="8"/>
      <c r="AX1884" s="4"/>
      <c r="AY1884" s="8"/>
      <c r="AZ1884" s="7"/>
      <c r="BA1884" s="7"/>
      <c r="BB1884" s="7"/>
      <c r="BC1884" s="4" t="s">
        <v>228</v>
      </c>
      <c r="BD1884" s="8" t="s">
        <v>228</v>
      </c>
      <c r="BE1884" s="4" t="s">
        <v>228</v>
      </c>
      <c r="BF1884" s="8" t="s">
        <v>228</v>
      </c>
      <c r="BG1884" s="7" t="s">
        <v>228</v>
      </c>
      <c r="BH1884" s="7" t="s">
        <v>228</v>
      </c>
      <c r="BI1884" s="7"/>
      <c r="BJ1884" s="4">
        <v>4</v>
      </c>
      <c r="BK1884" s="8">
        <v>65.46</v>
      </c>
      <c r="BL1884" s="2" t="s">
        <v>7261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9195</v>
      </c>
      <c r="BV1884" s="2" t="s">
        <v>228</v>
      </c>
      <c r="BW1884" s="2" t="s">
        <v>228</v>
      </c>
      <c r="BX1884" s="2" t="s">
        <v>273</v>
      </c>
      <c r="BY1884" s="2" t="s">
        <v>274</v>
      </c>
      <c r="BZ1884" s="2" t="s">
        <v>240</v>
      </c>
      <c r="CA1884" s="2" t="s">
        <v>2045</v>
      </c>
      <c r="CB1884" s="2" t="s">
        <v>2983</v>
      </c>
      <c r="CC1884" s="2" t="s">
        <v>241</v>
      </c>
      <c r="CD1884" s="2" t="s">
        <v>228</v>
      </c>
      <c r="CE1884" s="4"/>
      <c r="CF1884" s="4">
        <v>42</v>
      </c>
      <c r="CG1884" s="4"/>
      <c r="CH1884" s="4"/>
      <c r="CI1884" s="4"/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4"/>
      <c r="CX1884" s="4"/>
      <c r="CY1884" s="4"/>
      <c r="CZ1884" s="4"/>
      <c r="DA1884" s="4"/>
      <c r="DB1884" s="4"/>
      <c r="DC1884" s="4"/>
      <c r="DD1884" s="4"/>
      <c r="DE1884" s="4"/>
      <c r="DF1884" s="4"/>
      <c r="DG1884" s="4"/>
      <c r="DH1884" s="4"/>
      <c r="DI1884" s="4"/>
      <c r="DJ1884" s="4"/>
      <c r="DK1884" s="4"/>
      <c r="DL1884" s="4"/>
      <c r="DM1884" s="4"/>
      <c r="DN1884" s="4"/>
      <c r="DO1884" s="4"/>
      <c r="DP1884" s="4"/>
      <c r="DQ1884" s="4"/>
      <c r="DR1884" s="4"/>
      <c r="DS1884" s="4"/>
      <c r="DT1884" s="4"/>
      <c r="DU1884" s="4"/>
      <c r="DV1884" s="4"/>
      <c r="DW1884" s="4"/>
      <c r="DX1884" s="4"/>
      <c r="DY1884" s="4"/>
      <c r="DZ1884" s="4"/>
      <c r="EA1884" s="4"/>
      <c r="EB1884" s="4"/>
      <c r="EC1884" s="4"/>
      <c r="ED1884" s="4"/>
      <c r="EE1884" s="4"/>
      <c r="EF1884" s="4"/>
      <c r="EG1884" s="4"/>
      <c r="EH1884" s="4"/>
      <c r="EI1884" s="4"/>
      <c r="EJ1884" s="4"/>
      <c r="EK1884" s="4"/>
      <c r="EL1884" s="4"/>
      <c r="EM1884" s="4"/>
      <c r="EN1884" s="4"/>
      <c r="EO1884" s="4"/>
      <c r="EP1884" s="4"/>
      <c r="EQ1884" s="4"/>
      <c r="ER1884" s="4"/>
      <c r="ES1884" s="4"/>
      <c r="ET1884" s="4"/>
      <c r="EU1884" s="4"/>
      <c r="EV1884" s="4"/>
      <c r="EW1884" s="4"/>
      <c r="EX1884" s="4"/>
      <c r="EY1884" s="4"/>
      <c r="EZ1884" s="4"/>
      <c r="FA1884" s="4"/>
      <c r="FB1884" s="4"/>
      <c r="FC1884" s="4"/>
      <c r="FD1884" s="4">
        <v>100</v>
      </c>
      <c r="FE1884" s="4"/>
      <c r="FF1884" s="4"/>
      <c r="FG1884" s="4"/>
      <c r="FH1884" s="4"/>
      <c r="FI1884" s="4"/>
      <c r="FJ1884" s="4"/>
      <c r="FK1884" s="4"/>
      <c r="FL1884" s="4"/>
      <c r="FM1884" s="4"/>
      <c r="FN1884" s="4"/>
      <c r="FO1884" s="4"/>
      <c r="FP1884" s="4"/>
      <c r="FQ1884" s="4"/>
      <c r="FR1884" s="4"/>
      <c r="FS1884" s="4"/>
      <c r="FT1884" s="4"/>
      <c r="FU1884" s="4"/>
      <c r="FV1884" s="4"/>
      <c r="FW1884" s="4"/>
      <c r="FX1884" s="4"/>
      <c r="FY1884" s="4"/>
      <c r="FZ1884" s="4"/>
      <c r="GA1884" s="4"/>
      <c r="GB1884" s="4"/>
      <c r="GC1884" s="4"/>
      <c r="GD1884" s="4"/>
      <c r="GE1884" s="4"/>
      <c r="GF1884" s="4"/>
      <c r="GG1884" s="4"/>
      <c r="GH1884" s="4"/>
      <c r="GI1884" s="4"/>
      <c r="GJ1884" s="4"/>
      <c r="GK1884" s="4"/>
      <c r="GL1884" s="4"/>
      <c r="GM1884" s="4"/>
      <c r="GN1884" s="4"/>
      <c r="GO1884" s="4"/>
      <c r="GP1884" s="4"/>
      <c r="GQ1884" s="4"/>
      <c r="GR1884" s="4"/>
      <c r="GS1884" s="4"/>
      <c r="GT1884" s="4"/>
      <c r="GU1884" s="4"/>
      <c r="GV1884" s="4"/>
      <c r="GW1884" s="4"/>
      <c r="GX1884" s="4"/>
      <c r="GY1884" s="4"/>
      <c r="GZ1884" s="4"/>
      <c r="HA1884" s="4"/>
      <c r="HB1884" s="4"/>
      <c r="HC1884" s="4"/>
      <c r="HD1884" s="4"/>
      <c r="HE1884" s="4"/>
    </row>
    <row r="1885">
      <c r="A1885" s="2" t="s">
        <v>9196</v>
      </c>
      <c r="B1885" s="2" t="s">
        <v>958</v>
      </c>
      <c r="C1885" s="2" t="s">
        <v>885</v>
      </c>
      <c r="D1885" s="2" t="s">
        <v>2144</v>
      </c>
      <c r="E1885" s="2" t="s">
        <v>6389</v>
      </c>
      <c r="F1885" s="2" t="s">
        <v>9197</v>
      </c>
      <c r="G1885" s="2" t="s">
        <v>9197</v>
      </c>
      <c r="H1885" s="2" t="s">
        <v>9197</v>
      </c>
      <c r="I1885" s="2" t="s">
        <v>9198</v>
      </c>
      <c r="J1885" s="2" t="s">
        <v>840</v>
      </c>
      <c r="K1885" s="2" t="s">
        <v>1421</v>
      </c>
      <c r="L1885" s="3">
        <v>212</v>
      </c>
      <c r="M1885" s="3">
        <v>222.6</v>
      </c>
      <c r="N1885" s="3">
        <v>449</v>
      </c>
      <c r="O1885" s="2" t="s">
        <v>240</v>
      </c>
      <c r="P1885" s="2" t="s">
        <v>233</v>
      </c>
      <c r="Q1885" s="2" t="s">
        <v>234</v>
      </c>
      <c r="R1885" s="2" t="s">
        <v>228</v>
      </c>
      <c r="S1885" s="2" t="s">
        <v>228</v>
      </c>
      <c r="T1885" s="2" t="s">
        <v>228</v>
      </c>
      <c r="U1885" s="2" t="s">
        <v>416</v>
      </c>
      <c r="V1885" s="2" t="s">
        <v>842</v>
      </c>
      <c r="W1885" s="2" t="s">
        <v>743</v>
      </c>
      <c r="X1885" s="2" t="s">
        <v>4981</v>
      </c>
      <c r="Y1885" s="2" t="s">
        <v>2370</v>
      </c>
      <c r="Z1885" s="4">
        <v>59</v>
      </c>
      <c r="AA1885" s="4">
        <f>=ROUNDDOWN(19.6666666666667,0)</f>
      </c>
      <c r="AB1885" s="5">
        <v>3</v>
      </c>
      <c r="AC1885" s="2" t="s">
        <v>165</v>
      </c>
      <c r="AD1885" s="4">
        <v>100</v>
      </c>
      <c r="AE1885" s="4">
        <v>100</v>
      </c>
      <c r="AF1885" s="6">
        <v>76</v>
      </c>
      <c r="AG1885" s="6"/>
      <c r="AH1885" s="7">
        <v>1</v>
      </c>
      <c r="AI1885" s="4"/>
      <c r="AJ1885" s="4">
        <f>=ROUNDDOWN({0},0)</f>
      </c>
      <c r="AK1885" s="5"/>
      <c r="AL1885" s="2" t="s">
        <v>228</v>
      </c>
      <c r="AM1885" s="4"/>
      <c r="AN1885" s="4"/>
      <c r="AO1885" s="7"/>
      <c r="AP1885" s="4"/>
      <c r="AQ1885" s="8"/>
      <c r="AR1885" s="4"/>
      <c r="AS1885" s="8"/>
      <c r="AT1885" s="7"/>
      <c r="AU1885" s="7"/>
      <c r="AV1885" s="4"/>
      <c r="AW1885" s="8"/>
      <c r="AX1885" s="4"/>
      <c r="AY1885" s="8"/>
      <c r="AZ1885" s="7"/>
      <c r="BA1885" s="7"/>
      <c r="BB1885" s="7"/>
      <c r="BC1885" s="4" t="s">
        <v>228</v>
      </c>
      <c r="BD1885" s="8" t="s">
        <v>228</v>
      </c>
      <c r="BE1885" s="4" t="s">
        <v>228</v>
      </c>
      <c r="BF1885" s="8" t="s">
        <v>228</v>
      </c>
      <c r="BG1885" s="7" t="s">
        <v>228</v>
      </c>
      <c r="BH1885" s="7" t="s">
        <v>228</v>
      </c>
      <c r="BI1885" s="7"/>
      <c r="BJ1885" s="4">
        <v>8</v>
      </c>
      <c r="BK1885" s="8">
        <v>1854.27</v>
      </c>
      <c r="BL1885" s="2" t="s">
        <v>521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9199</v>
      </c>
      <c r="BV1885" s="2" t="s">
        <v>228</v>
      </c>
      <c r="BW1885" s="2" t="s">
        <v>228</v>
      </c>
      <c r="BX1885" s="2" t="s">
        <v>273</v>
      </c>
      <c r="BY1885" s="2" t="s">
        <v>274</v>
      </c>
      <c r="BZ1885" s="2" t="s">
        <v>240</v>
      </c>
      <c r="CA1885" s="2" t="s">
        <v>2490</v>
      </c>
      <c r="CB1885" s="2" t="s">
        <v>3114</v>
      </c>
      <c r="CC1885" s="2" t="s">
        <v>241</v>
      </c>
      <c r="CD1885" s="2" t="s">
        <v>228</v>
      </c>
      <c r="CE1885" s="4"/>
      <c r="CF1885" s="4">
        <v>59</v>
      </c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/>
      <c r="DA1885" s="4"/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  <c r="DL1885" s="4"/>
      <c r="DM1885" s="4"/>
      <c r="DN1885" s="4"/>
      <c r="DO1885" s="4"/>
      <c r="DP1885" s="4"/>
      <c r="DQ1885" s="4"/>
      <c r="DR1885" s="4"/>
      <c r="DS1885" s="4"/>
      <c r="DT1885" s="4"/>
      <c r="DU1885" s="4"/>
      <c r="DV1885" s="4"/>
      <c r="DW1885" s="4"/>
      <c r="DX1885" s="4"/>
      <c r="DY1885" s="4"/>
      <c r="DZ1885" s="4"/>
      <c r="EA1885" s="4"/>
      <c r="EB1885" s="4"/>
      <c r="EC1885" s="4"/>
      <c r="ED1885" s="4"/>
      <c r="EE1885" s="4"/>
      <c r="EF1885" s="4"/>
      <c r="EG1885" s="4"/>
      <c r="EH1885" s="4"/>
      <c r="EI1885" s="4"/>
      <c r="EJ1885" s="4"/>
      <c r="EK1885" s="4"/>
      <c r="EL1885" s="4"/>
      <c r="EM1885" s="4"/>
      <c r="EN1885" s="4"/>
      <c r="EO1885" s="4"/>
      <c r="EP1885" s="4"/>
      <c r="EQ1885" s="4"/>
      <c r="ER1885" s="4"/>
      <c r="ES1885" s="4"/>
      <c r="ET1885" s="4"/>
      <c r="EU1885" s="4"/>
      <c r="EV1885" s="4"/>
      <c r="EW1885" s="4"/>
      <c r="EX1885" s="4"/>
      <c r="EY1885" s="4"/>
      <c r="EZ1885" s="4"/>
      <c r="FA1885" s="4">
        <v>100</v>
      </c>
      <c r="FB1885" s="4"/>
      <c r="FC1885" s="4"/>
      <c r="FD1885" s="4"/>
      <c r="FE1885" s="4"/>
      <c r="FF1885" s="4"/>
      <c r="FG1885" s="4"/>
      <c r="FH1885" s="4"/>
      <c r="FI1885" s="4"/>
      <c r="FJ1885" s="4"/>
      <c r="FK1885" s="4"/>
      <c r="FL1885" s="4"/>
      <c r="FM1885" s="4"/>
      <c r="FN1885" s="4"/>
      <c r="FO1885" s="4"/>
      <c r="FP1885" s="4"/>
      <c r="FQ1885" s="4"/>
      <c r="FR1885" s="4"/>
      <c r="FS1885" s="4"/>
      <c r="FT1885" s="4"/>
      <c r="FU1885" s="4"/>
      <c r="FV1885" s="4"/>
      <c r="FW1885" s="4"/>
      <c r="FX1885" s="4"/>
      <c r="FY1885" s="4"/>
      <c r="FZ1885" s="4"/>
      <c r="GA1885" s="4"/>
      <c r="GB1885" s="4"/>
      <c r="GC1885" s="4"/>
      <c r="GD1885" s="4"/>
      <c r="GE1885" s="4"/>
      <c r="GF1885" s="4"/>
      <c r="GG1885" s="4"/>
      <c r="GH1885" s="4"/>
      <c r="GI1885" s="4"/>
      <c r="GJ1885" s="4"/>
      <c r="GK1885" s="4"/>
      <c r="GL1885" s="4"/>
      <c r="GM1885" s="4"/>
      <c r="GN1885" s="4"/>
      <c r="GO1885" s="4"/>
      <c r="GP1885" s="4"/>
      <c r="GQ1885" s="4"/>
      <c r="GR1885" s="4"/>
      <c r="GS1885" s="4"/>
      <c r="GT1885" s="4"/>
      <c r="GU1885" s="4"/>
      <c r="GV1885" s="4"/>
      <c r="GW1885" s="4"/>
      <c r="GX1885" s="4"/>
      <c r="GY1885" s="4"/>
      <c r="GZ1885" s="4"/>
      <c r="HA1885" s="4"/>
      <c r="HB1885" s="4"/>
      <c r="HC1885" s="4"/>
      <c r="HD1885" s="4"/>
      <c r="HE1885" s="4"/>
    </row>
    <row r="1886">
      <c r="A1886" s="2" t="s">
        <v>9200</v>
      </c>
      <c r="B1886" s="2" t="s">
        <v>958</v>
      </c>
      <c r="C1886" s="2" t="s">
        <v>885</v>
      </c>
      <c r="D1886" s="2" t="s">
        <v>959</v>
      </c>
      <c r="E1886" s="2" t="s">
        <v>3094</v>
      </c>
      <c r="F1886" s="2" t="s">
        <v>9197</v>
      </c>
      <c r="G1886" s="2" t="s">
        <v>9197</v>
      </c>
      <c r="H1886" s="2" t="s">
        <v>9197</v>
      </c>
      <c r="I1886" s="2" t="s">
        <v>4596</v>
      </c>
      <c r="J1886" s="2" t="s">
        <v>840</v>
      </c>
      <c r="K1886" s="2" t="s">
        <v>9201</v>
      </c>
      <c r="L1886" s="3">
        <v>215</v>
      </c>
      <c r="M1886" s="3">
        <v>225.75</v>
      </c>
      <c r="N1886" s="3">
        <v>449</v>
      </c>
      <c r="O1886" s="2" t="s">
        <v>240</v>
      </c>
      <c r="P1886" s="2" t="s">
        <v>233</v>
      </c>
      <c r="Q1886" s="2" t="s">
        <v>234</v>
      </c>
      <c r="R1886" s="2" t="s">
        <v>228</v>
      </c>
      <c r="S1886" s="2" t="s">
        <v>228</v>
      </c>
      <c r="T1886" s="2" t="s">
        <v>228</v>
      </c>
      <c r="U1886" s="2" t="s">
        <v>416</v>
      </c>
      <c r="V1886" s="2" t="s">
        <v>842</v>
      </c>
      <c r="W1886" s="2" t="s">
        <v>743</v>
      </c>
      <c r="X1886" s="2" t="s">
        <v>4981</v>
      </c>
      <c r="Y1886" s="2" t="s">
        <v>1720</v>
      </c>
      <c r="Z1886" s="4">
        <v>91</v>
      </c>
      <c r="AA1886" s="4">
        <f>=ROUNDDOWN(45.5,0)</f>
      </c>
      <c r="AB1886" s="5">
        <v>2</v>
      </c>
      <c r="AC1886" s="2" t="s">
        <v>228</v>
      </c>
      <c r="AD1886" s="4"/>
      <c r="AE1886" s="4"/>
      <c r="AF1886" s="6">
        <v>74</v>
      </c>
      <c r="AG1886" s="6"/>
      <c r="AH1886" s="7">
        <v>1</v>
      </c>
      <c r="AI1886" s="4"/>
      <c r="AJ1886" s="4">
        <f>=ROUNDDOWN({0},0)</f>
      </c>
      <c r="AK1886" s="5"/>
      <c r="AL1886" s="2" t="s">
        <v>228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 t="s">
        <v>228</v>
      </c>
      <c r="AW1886" s="8" t="s">
        <v>228</v>
      </c>
      <c r="AX1886" s="4" t="s">
        <v>228</v>
      </c>
      <c r="AY1886" s="8" t="s">
        <v>228</v>
      </c>
      <c r="AZ1886" s="7" t="s">
        <v>228</v>
      </c>
      <c r="BA1886" s="7" t="s">
        <v>228</v>
      </c>
      <c r="BB1886" s="7" t="s">
        <v>228</v>
      </c>
      <c r="BC1886" s="4" t="s">
        <v>228</v>
      </c>
      <c r="BD1886" s="8" t="s">
        <v>228</v>
      </c>
      <c r="BE1886" s="4" t="s">
        <v>228</v>
      </c>
      <c r="BF1886" s="8" t="s">
        <v>228</v>
      </c>
      <c r="BG1886" s="7" t="s">
        <v>228</v>
      </c>
      <c r="BH1886" s="7" t="s">
        <v>228</v>
      </c>
      <c r="BI1886" s="7"/>
      <c r="BJ1886" s="4">
        <v>7</v>
      </c>
      <c r="BK1886" s="8">
        <v>1819.25</v>
      </c>
      <c r="BL1886" s="2" t="s">
        <v>3616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9202</v>
      </c>
      <c r="BV1886" s="2" t="s">
        <v>228</v>
      </c>
      <c r="BW1886" s="2" t="s">
        <v>228</v>
      </c>
      <c r="BX1886" s="2" t="s">
        <v>238</v>
      </c>
      <c r="BY1886" s="2" t="s">
        <v>274</v>
      </c>
      <c r="BZ1886" s="2" t="s">
        <v>240</v>
      </c>
      <c r="CA1886" s="2" t="s">
        <v>1590</v>
      </c>
      <c r="CB1886" s="2" t="s">
        <v>228</v>
      </c>
      <c r="CC1886" s="2" t="s">
        <v>241</v>
      </c>
      <c r="CD1886" s="2" t="s">
        <v>228</v>
      </c>
      <c r="CE1886" s="4"/>
      <c r="CF1886" s="4">
        <v>91</v>
      </c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4"/>
      <c r="CX1886" s="4"/>
      <c r="CY1886" s="4"/>
      <c r="CZ1886" s="4"/>
      <c r="DA1886" s="4"/>
      <c r="DB1886" s="4"/>
      <c r="DC1886" s="4"/>
      <c r="DD1886" s="4"/>
      <c r="DE1886" s="4"/>
      <c r="DF1886" s="4"/>
      <c r="DG1886" s="4"/>
      <c r="DH1886" s="4"/>
      <c r="DI1886" s="4"/>
      <c r="DJ1886" s="4"/>
      <c r="DK1886" s="4"/>
      <c r="DL1886" s="4"/>
      <c r="DM1886" s="4"/>
      <c r="DN1886" s="4"/>
      <c r="DO1886" s="4"/>
      <c r="DP1886" s="4"/>
      <c r="DQ1886" s="4"/>
      <c r="DR1886" s="4"/>
      <c r="DS1886" s="4"/>
      <c r="DT1886" s="4"/>
      <c r="DU1886" s="4"/>
      <c r="DV1886" s="4"/>
      <c r="DW1886" s="4"/>
      <c r="DX1886" s="4"/>
      <c r="DY1886" s="4"/>
      <c r="DZ1886" s="4"/>
      <c r="EA1886" s="4"/>
      <c r="EB1886" s="4"/>
      <c r="EC1886" s="4"/>
      <c r="ED1886" s="4"/>
      <c r="EE1886" s="4"/>
      <c r="EF1886" s="4"/>
      <c r="EG1886" s="4"/>
      <c r="EH1886" s="4"/>
      <c r="EI1886" s="4"/>
      <c r="EJ1886" s="4"/>
      <c r="EK1886" s="4"/>
      <c r="EL1886" s="4"/>
      <c r="EM1886" s="4"/>
      <c r="EN1886" s="4"/>
      <c r="EO1886" s="4"/>
      <c r="EP1886" s="4"/>
      <c r="EQ1886" s="4"/>
      <c r="ER1886" s="4"/>
      <c r="ES1886" s="4"/>
      <c r="ET1886" s="4"/>
      <c r="EU1886" s="4"/>
      <c r="EV1886" s="4"/>
      <c r="EW1886" s="4"/>
      <c r="EX1886" s="4"/>
      <c r="EY1886" s="4"/>
      <c r="EZ1886" s="4"/>
      <c r="FA1886" s="4"/>
      <c r="FB1886" s="4"/>
      <c r="FC1886" s="4"/>
      <c r="FD1886" s="4"/>
      <c r="FE1886" s="4"/>
      <c r="FF1886" s="4"/>
      <c r="FG1886" s="4"/>
      <c r="FH1886" s="4"/>
      <c r="FI1886" s="4"/>
      <c r="FJ1886" s="4"/>
      <c r="FK1886" s="4"/>
      <c r="FL1886" s="4"/>
      <c r="FM1886" s="4"/>
      <c r="FN1886" s="4"/>
      <c r="FO1886" s="4"/>
      <c r="FP1886" s="4"/>
      <c r="FQ1886" s="4"/>
      <c r="FR1886" s="4"/>
      <c r="FS1886" s="4"/>
      <c r="FT1886" s="4"/>
      <c r="FU1886" s="4"/>
      <c r="FV1886" s="4"/>
      <c r="FW1886" s="4"/>
      <c r="FX1886" s="4"/>
      <c r="FY1886" s="4"/>
      <c r="FZ1886" s="4"/>
      <c r="GA1886" s="4"/>
      <c r="GB1886" s="4"/>
      <c r="GC1886" s="4"/>
      <c r="GD1886" s="4"/>
      <c r="GE1886" s="4"/>
      <c r="GF1886" s="4"/>
      <c r="GG1886" s="4"/>
      <c r="GH1886" s="4"/>
      <c r="GI1886" s="4"/>
      <c r="GJ1886" s="4"/>
      <c r="GK1886" s="4"/>
      <c r="GL1886" s="4"/>
      <c r="GM1886" s="4"/>
      <c r="GN1886" s="4"/>
      <c r="GO1886" s="4"/>
      <c r="GP1886" s="4"/>
      <c r="GQ1886" s="4"/>
      <c r="GR1886" s="4"/>
      <c r="GS1886" s="4"/>
      <c r="GT1886" s="4"/>
      <c r="GU1886" s="4"/>
      <c r="GV1886" s="4"/>
      <c r="GW1886" s="4"/>
      <c r="GX1886" s="4"/>
      <c r="GY1886" s="4"/>
      <c r="GZ1886" s="4"/>
      <c r="HA1886" s="4"/>
      <c r="HB1886" s="4"/>
      <c r="HC1886" s="4"/>
      <c r="HD1886" s="4"/>
      <c r="HE1886" s="4"/>
    </row>
    <row r="1887">
      <c r="A1887" s="2" t="s">
        <v>9203</v>
      </c>
      <c r="B1887" s="2" t="s">
        <v>958</v>
      </c>
      <c r="C1887" s="2" t="s">
        <v>885</v>
      </c>
      <c r="D1887" s="2" t="s">
        <v>1913</v>
      </c>
      <c r="E1887" s="2" t="s">
        <v>1914</v>
      </c>
      <c r="F1887" s="2" t="s">
        <v>9197</v>
      </c>
      <c r="G1887" s="2" t="s">
        <v>9197</v>
      </c>
      <c r="H1887" s="2" t="s">
        <v>9197</v>
      </c>
      <c r="I1887" s="2" t="s">
        <v>9204</v>
      </c>
      <c r="J1887" s="2" t="s">
        <v>840</v>
      </c>
      <c r="K1887" s="2" t="s">
        <v>9201</v>
      </c>
      <c r="L1887" s="3">
        <v>278</v>
      </c>
      <c r="M1887" s="3">
        <v>291.9</v>
      </c>
      <c r="N1887" s="3">
        <v>599</v>
      </c>
      <c r="O1887" s="2" t="s">
        <v>240</v>
      </c>
      <c r="P1887" s="2" t="s">
        <v>233</v>
      </c>
      <c r="Q1887" s="2" t="s">
        <v>234</v>
      </c>
      <c r="R1887" s="2" t="s">
        <v>228</v>
      </c>
      <c r="S1887" s="2" t="s">
        <v>228</v>
      </c>
      <c r="T1887" s="2" t="s">
        <v>228</v>
      </c>
      <c r="U1887" s="2" t="s">
        <v>416</v>
      </c>
      <c r="V1887" s="2" t="s">
        <v>842</v>
      </c>
      <c r="W1887" s="2" t="s">
        <v>743</v>
      </c>
      <c r="X1887" s="2" t="s">
        <v>4981</v>
      </c>
      <c r="Y1887" s="2" t="s">
        <v>1720</v>
      </c>
      <c r="Z1887" s="4">
        <v>89</v>
      </c>
      <c r="AA1887" s="4">
        <f>=ROUNDDOWN(89,0)</f>
      </c>
      <c r="AB1887" s="5">
        <v>1</v>
      </c>
      <c r="AC1887" s="2" t="s">
        <v>228</v>
      </c>
      <c r="AD1887" s="4"/>
      <c r="AE1887" s="4"/>
      <c r="AF1887" s="6">
        <v>74</v>
      </c>
      <c r="AG1887" s="6"/>
      <c r="AH1887" s="7">
        <v>1</v>
      </c>
      <c r="AI1887" s="4"/>
      <c r="AJ1887" s="4">
        <f>=ROUNDDOWN({0},0)</f>
      </c>
      <c r="AK1887" s="5"/>
      <c r="AL1887" s="2" t="s">
        <v>228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 t="s">
        <v>228</v>
      </c>
      <c r="AW1887" s="8" t="s">
        <v>228</v>
      </c>
      <c r="AX1887" s="4" t="s">
        <v>228</v>
      </c>
      <c r="AY1887" s="8" t="s">
        <v>228</v>
      </c>
      <c r="AZ1887" s="7" t="s">
        <v>228</v>
      </c>
      <c r="BA1887" s="7" t="s">
        <v>228</v>
      </c>
      <c r="BB1887" s="7" t="s">
        <v>228</v>
      </c>
      <c r="BC1887" s="4" t="s">
        <v>228</v>
      </c>
      <c r="BD1887" s="8" t="s">
        <v>228</v>
      </c>
      <c r="BE1887" s="4" t="s">
        <v>228</v>
      </c>
      <c r="BF1887" s="8" t="s">
        <v>228</v>
      </c>
      <c r="BG1887" s="7" t="s">
        <v>228</v>
      </c>
      <c r="BH1887" s="7" t="s">
        <v>228</v>
      </c>
      <c r="BI1887" s="7"/>
      <c r="BJ1887" s="4">
        <v>6</v>
      </c>
      <c r="BK1887" s="8">
        <v>1891.5</v>
      </c>
      <c r="BL1887" s="2" t="s">
        <v>699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9205</v>
      </c>
      <c r="BV1887" s="2" t="s">
        <v>228</v>
      </c>
      <c r="BW1887" s="2" t="s">
        <v>228</v>
      </c>
      <c r="BX1887" s="2" t="s">
        <v>238</v>
      </c>
      <c r="BY1887" s="2" t="s">
        <v>274</v>
      </c>
      <c r="BZ1887" s="2" t="s">
        <v>240</v>
      </c>
      <c r="CA1887" s="2" t="s">
        <v>1590</v>
      </c>
      <c r="CB1887" s="2" t="s">
        <v>228</v>
      </c>
      <c r="CC1887" s="2" t="s">
        <v>241</v>
      </c>
      <c r="CD1887" s="2" t="s">
        <v>228</v>
      </c>
      <c r="CE1887" s="4"/>
      <c r="CF1887" s="4">
        <v>89</v>
      </c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/>
      <c r="DA1887" s="4"/>
      <c r="DB1887" s="4"/>
      <c r="DC1887" s="4"/>
      <c r="DD1887" s="4"/>
      <c r="DE1887" s="4"/>
      <c r="DF1887" s="4"/>
      <c r="DG1887" s="4"/>
      <c r="DH1887" s="4"/>
      <c r="DI1887" s="4"/>
      <c r="DJ1887" s="4"/>
      <c r="DK1887" s="4"/>
      <c r="DL1887" s="4"/>
      <c r="DM1887" s="4"/>
      <c r="DN1887" s="4"/>
      <c r="DO1887" s="4"/>
      <c r="DP1887" s="4"/>
      <c r="DQ1887" s="4"/>
      <c r="DR1887" s="4"/>
      <c r="DS1887" s="4"/>
      <c r="DT1887" s="4"/>
      <c r="DU1887" s="4"/>
      <c r="DV1887" s="4"/>
      <c r="DW1887" s="4"/>
      <c r="DX1887" s="4"/>
      <c r="DY1887" s="4"/>
      <c r="DZ1887" s="4"/>
      <c r="EA1887" s="4"/>
      <c r="EB1887" s="4"/>
      <c r="EC1887" s="4"/>
      <c r="ED1887" s="4"/>
      <c r="EE1887" s="4"/>
      <c r="EF1887" s="4"/>
      <c r="EG1887" s="4"/>
      <c r="EH1887" s="4"/>
      <c r="EI1887" s="4"/>
      <c r="EJ1887" s="4"/>
      <c r="EK1887" s="4"/>
      <c r="EL1887" s="4"/>
      <c r="EM1887" s="4"/>
      <c r="EN1887" s="4"/>
      <c r="EO1887" s="4"/>
      <c r="EP1887" s="4"/>
      <c r="EQ1887" s="4"/>
      <c r="ER1887" s="4"/>
      <c r="ES1887" s="4"/>
      <c r="ET1887" s="4"/>
      <c r="EU1887" s="4"/>
      <c r="EV1887" s="4"/>
      <c r="EW1887" s="4"/>
      <c r="EX1887" s="4"/>
      <c r="EY1887" s="4"/>
      <c r="EZ1887" s="4"/>
      <c r="FA1887" s="4"/>
      <c r="FB1887" s="4"/>
      <c r="FC1887" s="4"/>
      <c r="FD1887" s="4"/>
      <c r="FE1887" s="4"/>
      <c r="FF1887" s="4"/>
      <c r="FG1887" s="4"/>
      <c r="FH1887" s="4"/>
      <c r="FI1887" s="4"/>
      <c r="FJ1887" s="4"/>
      <c r="FK1887" s="4"/>
      <c r="FL1887" s="4"/>
      <c r="FM1887" s="4"/>
      <c r="FN1887" s="4"/>
      <c r="FO1887" s="4"/>
      <c r="FP1887" s="4"/>
      <c r="FQ1887" s="4"/>
      <c r="FR1887" s="4"/>
      <c r="FS1887" s="4"/>
      <c r="FT1887" s="4"/>
      <c r="FU1887" s="4"/>
      <c r="FV1887" s="4"/>
      <c r="FW1887" s="4"/>
      <c r="FX1887" s="4"/>
      <c r="FY1887" s="4"/>
      <c r="FZ1887" s="4"/>
      <c r="GA1887" s="4"/>
      <c r="GB1887" s="4"/>
      <c r="GC1887" s="4"/>
      <c r="GD1887" s="4"/>
      <c r="GE1887" s="4"/>
      <c r="GF1887" s="4"/>
      <c r="GG1887" s="4"/>
      <c r="GH1887" s="4"/>
      <c r="GI1887" s="4"/>
      <c r="GJ1887" s="4"/>
      <c r="GK1887" s="4"/>
      <c r="GL1887" s="4"/>
      <c r="GM1887" s="4"/>
      <c r="GN1887" s="4"/>
      <c r="GO1887" s="4"/>
      <c r="GP1887" s="4"/>
      <c r="GQ1887" s="4"/>
      <c r="GR1887" s="4"/>
      <c r="GS1887" s="4"/>
      <c r="GT1887" s="4"/>
      <c r="GU1887" s="4"/>
      <c r="GV1887" s="4"/>
      <c r="GW1887" s="4"/>
      <c r="GX1887" s="4"/>
      <c r="GY1887" s="4"/>
      <c r="GZ1887" s="4"/>
      <c r="HA1887" s="4"/>
      <c r="HB1887" s="4"/>
      <c r="HC1887" s="4"/>
      <c r="HD1887" s="4"/>
      <c r="HE1887" s="4"/>
    </row>
    <row r="1888">
      <c r="A1888" s="2" t="s">
        <v>9206</v>
      </c>
      <c r="B1888" s="2" t="s">
        <v>848</v>
      </c>
      <c r="C1888" s="2" t="s">
        <v>849</v>
      </c>
      <c r="D1888" s="2" t="s">
        <v>1112</v>
      </c>
      <c r="E1888" s="2" t="s">
        <v>1113</v>
      </c>
      <c r="F1888" s="2" t="s">
        <v>9207</v>
      </c>
      <c r="G1888" s="2" t="s">
        <v>8544</v>
      </c>
      <c r="H1888" s="2" t="s">
        <v>9208</v>
      </c>
      <c r="I1888" s="2" t="s">
        <v>9209</v>
      </c>
      <c r="J1888" s="2" t="s">
        <v>856</v>
      </c>
      <c r="K1888" s="2" t="s">
        <v>9210</v>
      </c>
      <c r="L1888" s="3">
        <v>28.57</v>
      </c>
      <c r="M1888" s="3">
        <v>30</v>
      </c>
      <c r="N1888" s="3">
        <v>59.99</v>
      </c>
      <c r="O1888" s="2" t="s">
        <v>240</v>
      </c>
      <c r="P1888" s="2" t="s">
        <v>1012</v>
      </c>
      <c r="Q1888" s="2" t="s">
        <v>234</v>
      </c>
      <c r="R1888" s="2" t="s">
        <v>228</v>
      </c>
      <c r="S1888" s="2" t="s">
        <v>9211</v>
      </c>
      <c r="T1888" s="2" t="s">
        <v>415</v>
      </c>
      <c r="U1888" s="2" t="s">
        <v>520</v>
      </c>
      <c r="V1888" s="2" t="s">
        <v>1438</v>
      </c>
      <c r="W1888" s="2" t="s">
        <v>417</v>
      </c>
      <c r="X1888" s="2" t="s">
        <v>2834</v>
      </c>
      <c r="Y1888" s="2" t="s">
        <v>1755</v>
      </c>
      <c r="Z1888" s="4">
        <v>440</v>
      </c>
      <c r="AA1888" s="4">
        <f>=ROUNDDOWN(191.304347826087,0)</f>
      </c>
      <c r="AB1888" s="5">
        <v>2.3</v>
      </c>
      <c r="AC1888" s="2" t="s">
        <v>228</v>
      </c>
      <c r="AD1888" s="4"/>
      <c r="AE1888" s="4"/>
      <c r="AF1888" s="6">
        <v>64</v>
      </c>
      <c r="AG1888" s="6"/>
      <c r="AH1888" s="7">
        <v>1</v>
      </c>
      <c r="AI1888" s="4"/>
      <c r="AJ1888" s="4">
        <f>=ROUNDDOWN({0},0)</f>
      </c>
      <c r="AK1888" s="5"/>
      <c r="AL1888" s="2" t="s">
        <v>228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 t="s">
        <v>228</v>
      </c>
      <c r="AW1888" s="8" t="s">
        <v>228</v>
      </c>
      <c r="AX1888" s="4" t="s">
        <v>228</v>
      </c>
      <c r="AY1888" s="8" t="s">
        <v>228</v>
      </c>
      <c r="AZ1888" s="7" t="s">
        <v>228</v>
      </c>
      <c r="BA1888" s="7" t="s">
        <v>228</v>
      </c>
      <c r="BB1888" s="7"/>
      <c r="BC1888" s="4" t="s">
        <v>228</v>
      </c>
      <c r="BD1888" s="8" t="s">
        <v>228</v>
      </c>
      <c r="BE1888" s="4" t="s">
        <v>228</v>
      </c>
      <c r="BF1888" s="8" t="s">
        <v>228</v>
      </c>
      <c r="BG1888" s="7" t="s">
        <v>228</v>
      </c>
      <c r="BH1888" s="7" t="s">
        <v>228</v>
      </c>
      <c r="BI1888" s="7"/>
      <c r="BJ1888" s="4">
        <v>34</v>
      </c>
      <c r="BK1888" s="8">
        <v>1082.39</v>
      </c>
      <c r="BL1888" s="2" t="s">
        <v>9212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9213</v>
      </c>
      <c r="BV1888" s="2" t="s">
        <v>228</v>
      </c>
      <c r="BW1888" s="2" t="s">
        <v>228</v>
      </c>
      <c r="BX1888" s="2" t="s">
        <v>273</v>
      </c>
      <c r="BY1888" s="2" t="s">
        <v>274</v>
      </c>
      <c r="BZ1888" s="2" t="s">
        <v>240</v>
      </c>
      <c r="CA1888" s="2" t="s">
        <v>2581</v>
      </c>
      <c r="CB1888" s="2" t="s">
        <v>1079</v>
      </c>
      <c r="CC1888" s="2" t="s">
        <v>241</v>
      </c>
      <c r="CD1888" s="2" t="s">
        <v>228</v>
      </c>
      <c r="CE1888" s="4">
        <v>440</v>
      </c>
      <c r="CF1888" s="4"/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4"/>
      <c r="CX1888" s="4"/>
      <c r="CY1888" s="4"/>
      <c r="CZ1888" s="4"/>
      <c r="DA1888" s="4"/>
      <c r="DB1888" s="4"/>
      <c r="DC1888" s="4"/>
      <c r="DD1888" s="4"/>
      <c r="DE1888" s="4"/>
      <c r="DF1888" s="4"/>
      <c r="DG1888" s="4"/>
      <c r="DH1888" s="4"/>
      <c r="DI1888" s="4"/>
      <c r="DJ1888" s="4"/>
      <c r="DK1888" s="4"/>
      <c r="DL1888" s="4"/>
      <c r="DM1888" s="4"/>
      <c r="DN1888" s="4"/>
      <c r="DO1888" s="4"/>
      <c r="DP1888" s="4"/>
      <c r="DQ1888" s="4"/>
      <c r="DR1888" s="4"/>
      <c r="DS1888" s="4"/>
      <c r="DT1888" s="4"/>
      <c r="DU1888" s="4"/>
      <c r="DV1888" s="4"/>
      <c r="DW1888" s="4"/>
      <c r="DX1888" s="4"/>
      <c r="DY1888" s="4"/>
      <c r="DZ1888" s="4"/>
      <c r="EA1888" s="4"/>
      <c r="EB1888" s="4"/>
      <c r="EC1888" s="4"/>
      <c r="ED1888" s="4"/>
      <c r="EE1888" s="4"/>
      <c r="EF1888" s="4"/>
      <c r="EG1888" s="4"/>
      <c r="EH1888" s="4"/>
      <c r="EI1888" s="4"/>
      <c r="EJ1888" s="4"/>
      <c r="EK1888" s="4"/>
      <c r="EL1888" s="4"/>
      <c r="EM1888" s="4"/>
      <c r="EN1888" s="4"/>
      <c r="EO1888" s="4"/>
      <c r="EP1888" s="4"/>
      <c r="EQ1888" s="4"/>
      <c r="ER1888" s="4"/>
      <c r="ES1888" s="4"/>
      <c r="ET1888" s="4"/>
      <c r="EU1888" s="4"/>
      <c r="EV1888" s="4"/>
      <c r="EW1888" s="4"/>
      <c r="EX1888" s="4"/>
      <c r="EY1888" s="4"/>
      <c r="EZ1888" s="4"/>
      <c r="FA1888" s="4"/>
      <c r="FB1888" s="4"/>
      <c r="FC1888" s="4"/>
      <c r="FD1888" s="4"/>
      <c r="FE1888" s="4"/>
      <c r="FF1888" s="4"/>
      <c r="FG1888" s="4"/>
      <c r="FH1888" s="4"/>
      <c r="FI1888" s="4"/>
      <c r="FJ1888" s="4"/>
      <c r="FK1888" s="4"/>
      <c r="FL1888" s="4"/>
      <c r="FM1888" s="4"/>
      <c r="FN1888" s="4"/>
      <c r="FO1888" s="4"/>
      <c r="FP1888" s="4"/>
      <c r="FQ1888" s="4"/>
      <c r="FR1888" s="4"/>
      <c r="FS1888" s="4"/>
      <c r="FT1888" s="4"/>
      <c r="FU1888" s="4"/>
      <c r="FV1888" s="4"/>
      <c r="FW1888" s="4"/>
      <c r="FX1888" s="4"/>
      <c r="FY1888" s="4"/>
      <c r="FZ1888" s="4"/>
      <c r="GA1888" s="4"/>
      <c r="GB1888" s="4"/>
      <c r="GC1888" s="4"/>
      <c r="GD1888" s="4"/>
      <c r="GE1888" s="4"/>
      <c r="GF1888" s="4"/>
      <c r="GG1888" s="4"/>
      <c r="GH1888" s="4"/>
      <c r="GI1888" s="4"/>
      <c r="GJ1888" s="4"/>
      <c r="GK1888" s="4"/>
      <c r="GL1888" s="4"/>
      <c r="GM1888" s="4"/>
      <c r="GN1888" s="4"/>
      <c r="GO1888" s="4"/>
      <c r="GP1888" s="4"/>
      <c r="GQ1888" s="4"/>
      <c r="GR1888" s="4"/>
      <c r="GS1888" s="4"/>
      <c r="GT1888" s="4"/>
      <c r="GU1888" s="4"/>
      <c r="GV1888" s="4"/>
      <c r="GW1888" s="4"/>
      <c r="GX1888" s="4"/>
      <c r="GY1888" s="4"/>
      <c r="GZ1888" s="4"/>
      <c r="HA1888" s="4"/>
      <c r="HB1888" s="4"/>
      <c r="HC1888" s="4"/>
      <c r="HD1888" s="4"/>
      <c r="HE1888" s="4"/>
    </row>
    <row r="1889">
      <c r="A1889" s="2" t="s">
        <v>9214</v>
      </c>
      <c r="B1889" s="2" t="s">
        <v>848</v>
      </c>
      <c r="C1889" s="2" t="s">
        <v>849</v>
      </c>
      <c r="D1889" s="2" t="s">
        <v>1112</v>
      </c>
      <c r="E1889" s="2" t="s">
        <v>1113</v>
      </c>
      <c r="F1889" s="2" t="s">
        <v>9207</v>
      </c>
      <c r="G1889" s="2" t="s">
        <v>8544</v>
      </c>
      <c r="H1889" s="2" t="s">
        <v>9208</v>
      </c>
      <c r="I1889" s="2" t="s">
        <v>9209</v>
      </c>
      <c r="J1889" s="2" t="s">
        <v>1043</v>
      </c>
      <c r="K1889" s="2" t="s">
        <v>9210</v>
      </c>
      <c r="L1889" s="3">
        <v>38.09</v>
      </c>
      <c r="M1889" s="3">
        <v>39.99</v>
      </c>
      <c r="N1889" s="3">
        <v>79.99</v>
      </c>
      <c r="O1889" s="2" t="s">
        <v>240</v>
      </c>
      <c r="P1889" s="2" t="s">
        <v>1012</v>
      </c>
      <c r="Q1889" s="2" t="s">
        <v>234</v>
      </c>
      <c r="R1889" s="2" t="s">
        <v>228</v>
      </c>
      <c r="S1889" s="2" t="s">
        <v>9211</v>
      </c>
      <c r="T1889" s="2" t="s">
        <v>415</v>
      </c>
      <c r="U1889" s="2" t="s">
        <v>500</v>
      </c>
      <c r="V1889" s="2" t="s">
        <v>1438</v>
      </c>
      <c r="W1889" s="2" t="s">
        <v>417</v>
      </c>
      <c r="X1889" s="2" t="s">
        <v>2834</v>
      </c>
      <c r="Y1889" s="2" t="s">
        <v>9215</v>
      </c>
      <c r="Z1889" s="4">
        <v>197</v>
      </c>
      <c r="AA1889" s="4">
        <f>=ROUNDDOWN(103.684210526316,0)</f>
      </c>
      <c r="AB1889" s="5">
        <v>1.9</v>
      </c>
      <c r="AC1889" s="2" t="s">
        <v>228</v>
      </c>
      <c r="AD1889" s="4"/>
      <c r="AE1889" s="4"/>
      <c r="AF1889" s="6">
        <v>64</v>
      </c>
      <c r="AG1889" s="6"/>
      <c r="AH1889" s="7">
        <v>1</v>
      </c>
      <c r="AI1889" s="4"/>
      <c r="AJ1889" s="4">
        <f>=ROUNDDOWN({0},0)</f>
      </c>
      <c r="AK1889" s="5"/>
      <c r="AL1889" s="2" t="s">
        <v>228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 t="s">
        <v>228</v>
      </c>
      <c r="AW1889" s="8" t="s">
        <v>228</v>
      </c>
      <c r="AX1889" s="4" t="s">
        <v>228</v>
      </c>
      <c r="AY1889" s="8" t="s">
        <v>228</v>
      </c>
      <c r="AZ1889" s="7" t="s">
        <v>228</v>
      </c>
      <c r="BA1889" s="7" t="s">
        <v>228</v>
      </c>
      <c r="BB1889" s="7"/>
      <c r="BC1889" s="4" t="s">
        <v>228</v>
      </c>
      <c r="BD1889" s="8" t="s">
        <v>228</v>
      </c>
      <c r="BE1889" s="4" t="s">
        <v>228</v>
      </c>
      <c r="BF1889" s="8" t="s">
        <v>228</v>
      </c>
      <c r="BG1889" s="7" t="s">
        <v>228</v>
      </c>
      <c r="BH1889" s="7" t="s">
        <v>228</v>
      </c>
      <c r="BI1889" s="7"/>
      <c r="BJ1889" s="4">
        <v>16</v>
      </c>
      <c r="BK1889" s="8">
        <v>781.25</v>
      </c>
      <c r="BL1889" s="2" t="s">
        <v>9216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9217</v>
      </c>
      <c r="BV1889" s="2" t="s">
        <v>228</v>
      </c>
      <c r="BW1889" s="2" t="s">
        <v>228</v>
      </c>
      <c r="BX1889" s="2" t="s">
        <v>273</v>
      </c>
      <c r="BY1889" s="2" t="s">
        <v>274</v>
      </c>
      <c r="BZ1889" s="2" t="s">
        <v>240</v>
      </c>
      <c r="CA1889" s="2" t="s">
        <v>9218</v>
      </c>
      <c r="CB1889" s="2" t="s">
        <v>9219</v>
      </c>
      <c r="CC1889" s="2" t="s">
        <v>241</v>
      </c>
      <c r="CD1889" s="2" t="s">
        <v>228</v>
      </c>
      <c r="CE1889" s="4">
        <v>197</v>
      </c>
      <c r="CF1889" s="4"/>
      <c r="CG1889" s="4"/>
      <c r="CH1889" s="4"/>
      <c r="CI1889" s="4"/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/>
      <c r="CZ1889" s="4"/>
      <c r="DA1889" s="4"/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  <c r="DL1889" s="4"/>
      <c r="DM1889" s="4"/>
      <c r="DN1889" s="4"/>
      <c r="DO1889" s="4"/>
      <c r="DP1889" s="4"/>
      <c r="DQ1889" s="4"/>
      <c r="DR1889" s="4"/>
      <c r="DS1889" s="4"/>
      <c r="DT1889" s="4"/>
      <c r="DU1889" s="4"/>
      <c r="DV1889" s="4"/>
      <c r="DW1889" s="4"/>
      <c r="DX1889" s="4"/>
      <c r="DY1889" s="4"/>
      <c r="DZ1889" s="4"/>
      <c r="EA1889" s="4"/>
      <c r="EB1889" s="4"/>
      <c r="EC1889" s="4"/>
      <c r="ED1889" s="4"/>
      <c r="EE1889" s="4"/>
      <c r="EF1889" s="4"/>
      <c r="EG1889" s="4"/>
      <c r="EH1889" s="4"/>
      <c r="EI1889" s="4"/>
      <c r="EJ1889" s="4"/>
      <c r="EK1889" s="4"/>
      <c r="EL1889" s="4"/>
      <c r="EM1889" s="4"/>
      <c r="EN1889" s="4"/>
      <c r="EO1889" s="4"/>
      <c r="EP1889" s="4"/>
      <c r="EQ1889" s="4"/>
      <c r="ER1889" s="4"/>
      <c r="ES1889" s="4"/>
      <c r="ET1889" s="4"/>
      <c r="EU1889" s="4"/>
      <c r="EV1889" s="4"/>
      <c r="EW1889" s="4"/>
      <c r="EX1889" s="4"/>
      <c r="EY1889" s="4"/>
      <c r="EZ1889" s="4"/>
      <c r="FA1889" s="4"/>
      <c r="FB1889" s="4"/>
      <c r="FC1889" s="4"/>
      <c r="FD1889" s="4"/>
      <c r="FE1889" s="4"/>
      <c r="FF1889" s="4"/>
      <c r="FG1889" s="4"/>
      <c r="FH1889" s="4"/>
      <c r="FI1889" s="4"/>
      <c r="FJ1889" s="4"/>
      <c r="FK1889" s="4"/>
      <c r="FL1889" s="4"/>
      <c r="FM1889" s="4"/>
      <c r="FN1889" s="4"/>
      <c r="FO1889" s="4"/>
      <c r="FP1889" s="4"/>
      <c r="FQ1889" s="4"/>
      <c r="FR1889" s="4"/>
      <c r="FS1889" s="4"/>
      <c r="FT1889" s="4"/>
      <c r="FU1889" s="4"/>
      <c r="FV1889" s="4"/>
      <c r="FW1889" s="4"/>
      <c r="FX1889" s="4"/>
      <c r="FY1889" s="4"/>
      <c r="FZ1889" s="4"/>
      <c r="GA1889" s="4"/>
      <c r="GB1889" s="4"/>
      <c r="GC1889" s="4"/>
      <c r="GD1889" s="4"/>
      <c r="GE1889" s="4"/>
      <c r="GF1889" s="4"/>
      <c r="GG1889" s="4"/>
      <c r="GH1889" s="4"/>
      <c r="GI1889" s="4"/>
      <c r="GJ1889" s="4"/>
      <c r="GK1889" s="4"/>
      <c r="GL1889" s="4"/>
      <c r="GM1889" s="4"/>
      <c r="GN1889" s="4"/>
      <c r="GO1889" s="4"/>
      <c r="GP1889" s="4"/>
      <c r="GQ1889" s="4"/>
      <c r="GR1889" s="4"/>
      <c r="GS1889" s="4"/>
      <c r="GT1889" s="4"/>
      <c r="GU1889" s="4"/>
      <c r="GV1889" s="4"/>
      <c r="GW1889" s="4"/>
      <c r="GX1889" s="4"/>
      <c r="GY1889" s="4"/>
      <c r="GZ1889" s="4"/>
      <c r="HA1889" s="4"/>
      <c r="HB1889" s="4"/>
      <c r="HC1889" s="4"/>
      <c r="HD1889" s="4"/>
      <c r="HE1889" s="4"/>
    </row>
    <row r="1890">
      <c r="A1890" s="2" t="s">
        <v>9220</v>
      </c>
      <c r="B1890" s="2" t="s">
        <v>1150</v>
      </c>
      <c r="C1890" s="2" t="s">
        <v>2819</v>
      </c>
      <c r="D1890" s="2" t="s">
        <v>1112</v>
      </c>
      <c r="E1890" s="2" t="s">
        <v>1165</v>
      </c>
      <c r="F1890" s="2" t="s">
        <v>9221</v>
      </c>
      <c r="G1890" s="2" t="s">
        <v>9221</v>
      </c>
      <c r="H1890" s="2" t="s">
        <v>9221</v>
      </c>
      <c r="I1890" s="2" t="s">
        <v>9222</v>
      </c>
      <c r="J1890" s="2" t="s">
        <v>312</v>
      </c>
      <c r="K1890" s="2" t="s">
        <v>9223</v>
      </c>
      <c r="L1890" s="3">
        <v>105.6</v>
      </c>
      <c r="M1890" s="3">
        <v>110.88</v>
      </c>
      <c r="N1890" s="3">
        <v>219.99</v>
      </c>
      <c r="O1890" s="2" t="s">
        <v>240</v>
      </c>
      <c r="P1890" s="2" t="s">
        <v>333</v>
      </c>
      <c r="Q1890" s="2" t="s">
        <v>234</v>
      </c>
      <c r="R1890" s="2" t="s">
        <v>228</v>
      </c>
      <c r="S1890" s="2" t="s">
        <v>9224</v>
      </c>
      <c r="T1890" s="2" t="s">
        <v>350</v>
      </c>
      <c r="U1890" s="2" t="s">
        <v>1054</v>
      </c>
      <c r="V1890" s="2" t="s">
        <v>351</v>
      </c>
      <c r="W1890" s="2" t="s">
        <v>351</v>
      </c>
      <c r="X1890" s="2" t="s">
        <v>228</v>
      </c>
      <c r="Y1890" s="2" t="s">
        <v>3354</v>
      </c>
      <c r="Z1890" s="4">
        <v>77</v>
      </c>
      <c r="AA1890" s="4">
        <f>=ROUNDDOWN(38.5,0)</f>
      </c>
      <c r="AB1890" s="5">
        <v>2</v>
      </c>
      <c r="AC1890" s="2" t="s">
        <v>228</v>
      </c>
      <c r="AD1890" s="4"/>
      <c r="AE1890" s="4"/>
      <c r="AF1890" s="6">
        <v>67</v>
      </c>
      <c r="AG1890" s="6"/>
      <c r="AH1890" s="7">
        <v>0.8387</v>
      </c>
      <c r="AI1890" s="4"/>
      <c r="AJ1890" s="4">
        <f>=ROUNDDOWN({0},0)</f>
      </c>
      <c r="AK1890" s="5"/>
      <c r="AL1890" s="2" t="s">
        <v>228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/>
      <c r="AW1890" s="8"/>
      <c r="AX1890" s="4"/>
      <c r="AY1890" s="8"/>
      <c r="AZ1890" s="7"/>
      <c r="BA1890" s="7"/>
      <c r="BB1890" s="7"/>
      <c r="BC1890" s="4"/>
      <c r="BD1890" s="8"/>
      <c r="BE1890" s="4"/>
      <c r="BF1890" s="8"/>
      <c r="BG1890" s="7"/>
      <c r="BH1890" s="7"/>
      <c r="BI1890" s="7"/>
      <c r="BJ1890" s="4">
        <v>4</v>
      </c>
      <c r="BK1890" s="8">
        <v>388.05</v>
      </c>
      <c r="BL1890" s="2" t="s">
        <v>9225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9226</v>
      </c>
      <c r="BV1890" s="2" t="s">
        <v>228</v>
      </c>
      <c r="BW1890" s="2" t="s">
        <v>228</v>
      </c>
      <c r="BX1890" s="2" t="s">
        <v>337</v>
      </c>
      <c r="BY1890" s="2" t="s">
        <v>274</v>
      </c>
      <c r="BZ1890" s="2" t="s">
        <v>240</v>
      </c>
      <c r="CA1890" s="2" t="s">
        <v>3358</v>
      </c>
      <c r="CB1890" s="2" t="s">
        <v>5343</v>
      </c>
      <c r="CC1890" s="2" t="s">
        <v>241</v>
      </c>
      <c r="CD1890" s="2" t="s">
        <v>228</v>
      </c>
      <c r="CE1890" s="4">
        <v>77</v>
      </c>
      <c r="CF1890" s="4"/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4"/>
      <c r="CX1890" s="4"/>
      <c r="CY1890" s="4"/>
      <c r="CZ1890" s="4"/>
      <c r="DA1890" s="4"/>
      <c r="DB1890" s="4"/>
      <c r="DC1890" s="4"/>
      <c r="DD1890" s="4"/>
      <c r="DE1890" s="4"/>
      <c r="DF1890" s="4"/>
      <c r="DG1890" s="4"/>
      <c r="DH1890" s="4"/>
      <c r="DI1890" s="4"/>
      <c r="DJ1890" s="4"/>
      <c r="DK1890" s="4"/>
      <c r="DL1890" s="4"/>
      <c r="DM1890" s="4"/>
      <c r="DN1890" s="4"/>
      <c r="DO1890" s="4"/>
      <c r="DP1890" s="4"/>
      <c r="DQ1890" s="4"/>
      <c r="DR1890" s="4"/>
      <c r="DS1890" s="4"/>
      <c r="DT1890" s="4"/>
      <c r="DU1890" s="4"/>
      <c r="DV1890" s="4"/>
      <c r="DW1890" s="4"/>
      <c r="DX1890" s="4"/>
      <c r="DY1890" s="4"/>
      <c r="DZ1890" s="4"/>
      <c r="EA1890" s="4"/>
      <c r="EB1890" s="4"/>
      <c r="EC1890" s="4"/>
      <c r="ED1890" s="4"/>
      <c r="EE1890" s="4"/>
      <c r="EF1890" s="4"/>
      <c r="EG1890" s="4"/>
      <c r="EH1890" s="4"/>
      <c r="EI1890" s="4"/>
      <c r="EJ1890" s="4"/>
      <c r="EK1890" s="4"/>
      <c r="EL1890" s="4"/>
      <c r="EM1890" s="4"/>
      <c r="EN1890" s="4"/>
      <c r="EO1890" s="4"/>
      <c r="EP1890" s="4"/>
      <c r="EQ1890" s="4"/>
      <c r="ER1890" s="4"/>
      <c r="ES1890" s="4"/>
      <c r="ET1890" s="4"/>
      <c r="EU1890" s="4"/>
      <c r="EV1890" s="4"/>
      <c r="EW1890" s="4"/>
      <c r="EX1890" s="4"/>
      <c r="EY1890" s="4"/>
      <c r="EZ1890" s="4"/>
      <c r="FA1890" s="4"/>
      <c r="FB1890" s="4"/>
      <c r="FC1890" s="4"/>
      <c r="FD1890" s="4"/>
      <c r="FE1890" s="4"/>
      <c r="FF1890" s="4"/>
      <c r="FG1890" s="4"/>
      <c r="FH1890" s="4"/>
      <c r="FI1890" s="4"/>
      <c r="FJ1890" s="4"/>
      <c r="FK1890" s="4"/>
      <c r="FL1890" s="4"/>
      <c r="FM1890" s="4"/>
      <c r="FN1890" s="4"/>
      <c r="FO1890" s="4"/>
      <c r="FP1890" s="4"/>
      <c r="FQ1890" s="4"/>
      <c r="FR1890" s="4"/>
      <c r="FS1890" s="4"/>
      <c r="FT1890" s="4"/>
      <c r="FU1890" s="4"/>
      <c r="FV1890" s="4"/>
      <c r="FW1890" s="4"/>
      <c r="FX1890" s="4"/>
      <c r="FY1890" s="4"/>
      <c r="FZ1890" s="4"/>
      <c r="GA1890" s="4"/>
      <c r="GB1890" s="4"/>
      <c r="GC1890" s="4"/>
      <c r="GD1890" s="4"/>
      <c r="GE1890" s="4"/>
      <c r="GF1890" s="4"/>
      <c r="GG1890" s="4"/>
      <c r="GH1890" s="4"/>
      <c r="GI1890" s="4"/>
      <c r="GJ1890" s="4"/>
      <c r="GK1890" s="4"/>
      <c r="GL1890" s="4"/>
      <c r="GM1890" s="4"/>
      <c r="GN1890" s="4"/>
      <c r="GO1890" s="4"/>
      <c r="GP1890" s="4"/>
      <c r="GQ1890" s="4"/>
      <c r="GR1890" s="4"/>
      <c r="GS1890" s="4"/>
      <c r="GT1890" s="4"/>
      <c r="GU1890" s="4"/>
      <c r="GV1890" s="4"/>
      <c r="GW1890" s="4"/>
      <c r="GX1890" s="4"/>
      <c r="GY1890" s="4"/>
      <c r="GZ1890" s="4"/>
      <c r="HA1890" s="4"/>
      <c r="HB1890" s="4"/>
      <c r="HC1890" s="4"/>
      <c r="HD1890" s="4"/>
      <c r="HE1890" s="4"/>
    </row>
    <row r="1891">
      <c r="A1891" s="2" t="s">
        <v>9227</v>
      </c>
      <c r="B1891" s="2" t="s">
        <v>772</v>
      </c>
      <c r="C1891" s="2" t="s">
        <v>731</v>
      </c>
      <c r="D1891" s="2" t="s">
        <v>774</v>
      </c>
      <c r="E1891" s="2" t="s">
        <v>775</v>
      </c>
      <c r="F1891" s="2" t="s">
        <v>9228</v>
      </c>
      <c r="G1891" s="2" t="s">
        <v>9228</v>
      </c>
      <c r="H1891" s="2" t="s">
        <v>9228</v>
      </c>
      <c r="I1891" s="2" t="s">
        <v>9229</v>
      </c>
      <c r="J1891" s="2" t="s">
        <v>1053</v>
      </c>
      <c r="K1891" s="2" t="s">
        <v>249</v>
      </c>
      <c r="L1891" s="3">
        <v>38</v>
      </c>
      <c r="M1891" s="3">
        <v>39.9</v>
      </c>
      <c r="N1891" s="3">
        <v>79.99</v>
      </c>
      <c r="O1891" s="2" t="s">
        <v>240</v>
      </c>
      <c r="P1891" s="2" t="s">
        <v>715</v>
      </c>
      <c r="Q1891" s="2" t="s">
        <v>234</v>
      </c>
      <c r="R1891" s="2" t="s">
        <v>228</v>
      </c>
      <c r="S1891" s="2" t="s">
        <v>9230</v>
      </c>
      <c r="T1891" s="2" t="s">
        <v>350</v>
      </c>
      <c r="U1891" s="2" t="s">
        <v>1054</v>
      </c>
      <c r="V1891" s="2" t="s">
        <v>236</v>
      </c>
      <c r="W1891" s="2" t="s">
        <v>463</v>
      </c>
      <c r="X1891" s="2" t="s">
        <v>228</v>
      </c>
      <c r="Y1891" s="2" t="s">
        <v>7969</v>
      </c>
      <c r="Z1891" s="4">
        <v>541</v>
      </c>
      <c r="AA1891" s="4">
        <f>=ROUNDDOWN(60.1111111111111,0)</f>
      </c>
      <c r="AB1891" s="5">
        <v>9</v>
      </c>
      <c r="AC1891" s="2" t="s">
        <v>228</v>
      </c>
      <c r="AD1891" s="4"/>
      <c r="AE1891" s="4"/>
      <c r="AF1891" s="6">
        <v>67</v>
      </c>
      <c r="AG1891" s="6"/>
      <c r="AH1891" s="7">
        <v>1</v>
      </c>
      <c r="AI1891" s="4"/>
      <c r="AJ1891" s="4">
        <f>=ROUNDDOWN({0},0)</f>
      </c>
      <c r="AK1891" s="5"/>
      <c r="AL1891" s="2" t="s">
        <v>228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/>
      <c r="AW1891" s="8"/>
      <c r="AX1891" s="4"/>
      <c r="AY1891" s="8"/>
      <c r="AZ1891" s="7"/>
      <c r="BA1891" s="7"/>
      <c r="BB1891" s="7"/>
      <c r="BC1891" s="4" t="s">
        <v>228</v>
      </c>
      <c r="BD1891" s="8" t="s">
        <v>228</v>
      </c>
      <c r="BE1891" s="4" t="s">
        <v>228</v>
      </c>
      <c r="BF1891" s="8" t="s">
        <v>228</v>
      </c>
      <c r="BG1891" s="7" t="s">
        <v>228</v>
      </c>
      <c r="BH1891" s="7" t="s">
        <v>228</v>
      </c>
      <c r="BI1891" s="7"/>
      <c r="BJ1891" s="4">
        <v>10</v>
      </c>
      <c r="BK1891" s="8">
        <v>418.66</v>
      </c>
      <c r="BL1891" s="2" t="s">
        <v>9231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9232</v>
      </c>
      <c r="BV1891" s="2" t="s">
        <v>228</v>
      </c>
      <c r="BW1891" s="2" t="s">
        <v>228</v>
      </c>
      <c r="BX1891" s="2" t="s">
        <v>273</v>
      </c>
      <c r="BY1891" s="2" t="s">
        <v>274</v>
      </c>
      <c r="BZ1891" s="2" t="s">
        <v>240</v>
      </c>
      <c r="CA1891" s="2" t="s">
        <v>7969</v>
      </c>
      <c r="CB1891" s="2" t="s">
        <v>5637</v>
      </c>
      <c r="CC1891" s="2" t="s">
        <v>241</v>
      </c>
      <c r="CD1891" s="2" t="s">
        <v>228</v>
      </c>
      <c r="CE1891" s="4">
        <v>541</v>
      </c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4"/>
      <c r="CX1891" s="4"/>
      <c r="CY1891" s="4"/>
      <c r="CZ1891" s="4"/>
      <c r="DA1891" s="4"/>
      <c r="DB1891" s="4"/>
      <c r="DC1891" s="4"/>
      <c r="DD1891" s="4"/>
      <c r="DE1891" s="4"/>
      <c r="DF1891" s="4"/>
      <c r="DG1891" s="4"/>
      <c r="DH1891" s="4"/>
      <c r="DI1891" s="4"/>
      <c r="DJ1891" s="4"/>
      <c r="DK1891" s="4"/>
      <c r="DL1891" s="4"/>
      <c r="DM1891" s="4"/>
      <c r="DN1891" s="4"/>
      <c r="DO1891" s="4"/>
      <c r="DP1891" s="4"/>
      <c r="DQ1891" s="4"/>
      <c r="DR1891" s="4"/>
      <c r="DS1891" s="4"/>
      <c r="DT1891" s="4"/>
      <c r="DU1891" s="4"/>
      <c r="DV1891" s="4"/>
      <c r="DW1891" s="4"/>
      <c r="DX1891" s="4"/>
      <c r="DY1891" s="4"/>
      <c r="DZ1891" s="4"/>
      <c r="EA1891" s="4"/>
      <c r="EB1891" s="4"/>
      <c r="EC1891" s="4"/>
      <c r="ED1891" s="4"/>
      <c r="EE1891" s="4"/>
      <c r="EF1891" s="4"/>
      <c r="EG1891" s="4"/>
      <c r="EH1891" s="4"/>
      <c r="EI1891" s="4"/>
      <c r="EJ1891" s="4"/>
      <c r="EK1891" s="4"/>
      <c r="EL1891" s="4"/>
      <c r="EM1891" s="4"/>
      <c r="EN1891" s="4"/>
      <c r="EO1891" s="4"/>
      <c r="EP1891" s="4"/>
      <c r="EQ1891" s="4"/>
      <c r="ER1891" s="4"/>
      <c r="ES1891" s="4"/>
      <c r="ET1891" s="4"/>
      <c r="EU1891" s="4"/>
      <c r="EV1891" s="4"/>
      <c r="EW1891" s="4"/>
      <c r="EX1891" s="4"/>
      <c r="EY1891" s="4"/>
      <c r="EZ1891" s="4"/>
      <c r="FA1891" s="4"/>
      <c r="FB1891" s="4"/>
      <c r="FC1891" s="4"/>
      <c r="FD1891" s="4"/>
      <c r="FE1891" s="4"/>
      <c r="FF1891" s="4"/>
      <c r="FG1891" s="4"/>
      <c r="FH1891" s="4"/>
      <c r="FI1891" s="4"/>
      <c r="FJ1891" s="4"/>
      <c r="FK1891" s="4"/>
      <c r="FL1891" s="4"/>
      <c r="FM1891" s="4"/>
      <c r="FN1891" s="4"/>
      <c r="FO1891" s="4"/>
      <c r="FP1891" s="4"/>
      <c r="FQ1891" s="4"/>
      <c r="FR1891" s="4"/>
      <c r="FS1891" s="4"/>
      <c r="FT1891" s="4"/>
      <c r="FU1891" s="4"/>
      <c r="FV1891" s="4"/>
      <c r="FW1891" s="4"/>
      <c r="FX1891" s="4"/>
      <c r="FY1891" s="4"/>
      <c r="FZ1891" s="4"/>
      <c r="GA1891" s="4"/>
      <c r="GB1891" s="4"/>
      <c r="GC1891" s="4"/>
      <c r="GD1891" s="4"/>
      <c r="GE1891" s="4"/>
      <c r="GF1891" s="4"/>
      <c r="GG1891" s="4"/>
      <c r="GH1891" s="4"/>
      <c r="GI1891" s="4"/>
      <c r="GJ1891" s="4"/>
      <c r="GK1891" s="4"/>
      <c r="GL1891" s="4"/>
      <c r="GM1891" s="4"/>
      <c r="GN1891" s="4"/>
      <c r="GO1891" s="4"/>
      <c r="GP1891" s="4"/>
      <c r="GQ1891" s="4"/>
      <c r="GR1891" s="4"/>
      <c r="GS1891" s="4"/>
      <c r="GT1891" s="4"/>
      <c r="GU1891" s="4"/>
      <c r="GV1891" s="4"/>
      <c r="GW1891" s="4"/>
      <c r="GX1891" s="4"/>
      <c r="GY1891" s="4"/>
      <c r="GZ1891" s="4"/>
      <c r="HA1891" s="4"/>
      <c r="HB1891" s="4"/>
      <c r="HC1891" s="4"/>
      <c r="HD1891" s="4"/>
      <c r="HE1891" s="4"/>
    </row>
    <row r="1892">
      <c r="A1892" s="2" t="s">
        <v>9233</v>
      </c>
      <c r="B1892" s="2" t="s">
        <v>772</v>
      </c>
      <c r="C1892" s="2" t="s">
        <v>731</v>
      </c>
      <c r="D1892" s="2" t="s">
        <v>774</v>
      </c>
      <c r="E1892" s="2" t="s">
        <v>775</v>
      </c>
      <c r="F1892" s="2" t="s">
        <v>9228</v>
      </c>
      <c r="G1892" s="2" t="s">
        <v>9228</v>
      </c>
      <c r="H1892" s="2" t="s">
        <v>9228</v>
      </c>
      <c r="I1892" s="2" t="s">
        <v>9229</v>
      </c>
      <c r="J1892" s="2" t="s">
        <v>1053</v>
      </c>
      <c r="K1892" s="2" t="s">
        <v>480</v>
      </c>
      <c r="L1892" s="3">
        <v>38</v>
      </c>
      <c r="M1892" s="3">
        <v>39.9</v>
      </c>
      <c r="N1892" s="3">
        <v>79.99</v>
      </c>
      <c r="O1892" s="2" t="s">
        <v>240</v>
      </c>
      <c r="P1892" s="2" t="s">
        <v>715</v>
      </c>
      <c r="Q1892" s="2" t="s">
        <v>234</v>
      </c>
      <c r="R1892" s="2" t="s">
        <v>228</v>
      </c>
      <c r="S1892" s="2" t="s">
        <v>9234</v>
      </c>
      <c r="T1892" s="2" t="s">
        <v>350</v>
      </c>
      <c r="U1892" s="2" t="s">
        <v>1054</v>
      </c>
      <c r="V1892" s="2" t="s">
        <v>236</v>
      </c>
      <c r="W1892" s="2" t="s">
        <v>463</v>
      </c>
      <c r="X1892" s="2" t="s">
        <v>228</v>
      </c>
      <c r="Y1892" s="2" t="s">
        <v>7969</v>
      </c>
      <c r="Z1892" s="4">
        <v>736</v>
      </c>
      <c r="AA1892" s="4">
        <f>=ROUNDDOWN(92,0)</f>
      </c>
      <c r="AB1892" s="5">
        <v>8</v>
      </c>
      <c r="AC1892" s="2" t="s">
        <v>228</v>
      </c>
      <c r="AD1892" s="4"/>
      <c r="AE1892" s="4"/>
      <c r="AF1892" s="6">
        <v>67</v>
      </c>
      <c r="AG1892" s="6"/>
      <c r="AH1892" s="7">
        <v>1</v>
      </c>
      <c r="AI1892" s="4"/>
      <c r="AJ1892" s="4">
        <f>=ROUNDDOWN({0},0)</f>
      </c>
      <c r="AK1892" s="5"/>
      <c r="AL1892" s="2" t="s">
        <v>228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/>
      <c r="AW1892" s="8"/>
      <c r="AX1892" s="4"/>
      <c r="AY1892" s="8"/>
      <c r="AZ1892" s="7"/>
      <c r="BA1892" s="7"/>
      <c r="BB1892" s="7"/>
      <c r="BC1892" s="4" t="s">
        <v>228</v>
      </c>
      <c r="BD1892" s="8" t="s">
        <v>228</v>
      </c>
      <c r="BE1892" s="4" t="s">
        <v>228</v>
      </c>
      <c r="BF1892" s="8" t="s">
        <v>228</v>
      </c>
      <c r="BG1892" s="7" t="s">
        <v>228</v>
      </c>
      <c r="BH1892" s="7" t="s">
        <v>228</v>
      </c>
      <c r="BI1892" s="7"/>
      <c r="BJ1892" s="4">
        <v>21</v>
      </c>
      <c r="BK1892" s="8">
        <v>892.44</v>
      </c>
      <c r="BL1892" s="2" t="s">
        <v>9235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9236</v>
      </c>
      <c r="BV1892" s="2" t="s">
        <v>228</v>
      </c>
      <c r="BW1892" s="2" t="s">
        <v>228</v>
      </c>
      <c r="BX1892" s="2" t="s">
        <v>273</v>
      </c>
      <c r="BY1892" s="2" t="s">
        <v>274</v>
      </c>
      <c r="BZ1892" s="2" t="s">
        <v>240</v>
      </c>
      <c r="CA1892" s="2" t="s">
        <v>7969</v>
      </c>
      <c r="CB1892" s="2" t="s">
        <v>5227</v>
      </c>
      <c r="CC1892" s="2" t="s">
        <v>241</v>
      </c>
      <c r="CD1892" s="2" t="s">
        <v>228</v>
      </c>
      <c r="CE1892" s="4">
        <v>736</v>
      </c>
      <c r="CF1892" s="4"/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4"/>
      <c r="CX1892" s="4"/>
      <c r="CY1892" s="4"/>
      <c r="CZ1892" s="4"/>
      <c r="DA1892" s="4"/>
      <c r="DB1892" s="4"/>
      <c r="DC1892" s="4"/>
      <c r="DD1892" s="4"/>
      <c r="DE1892" s="4"/>
      <c r="DF1892" s="4"/>
      <c r="DG1892" s="4"/>
      <c r="DH1892" s="4"/>
      <c r="DI1892" s="4"/>
      <c r="DJ1892" s="4"/>
      <c r="DK1892" s="4"/>
      <c r="DL1892" s="4"/>
      <c r="DM1892" s="4"/>
      <c r="DN1892" s="4"/>
      <c r="DO1892" s="4"/>
      <c r="DP1892" s="4"/>
      <c r="DQ1892" s="4"/>
      <c r="DR1892" s="4"/>
      <c r="DS1892" s="4"/>
      <c r="DT1892" s="4"/>
      <c r="DU1892" s="4"/>
      <c r="DV1892" s="4"/>
      <c r="DW1892" s="4"/>
      <c r="DX1892" s="4"/>
      <c r="DY1892" s="4"/>
      <c r="DZ1892" s="4"/>
      <c r="EA1892" s="4"/>
      <c r="EB1892" s="4"/>
      <c r="EC1892" s="4"/>
      <c r="ED1892" s="4"/>
      <c r="EE1892" s="4"/>
      <c r="EF1892" s="4"/>
      <c r="EG1892" s="4"/>
      <c r="EH1892" s="4"/>
      <c r="EI1892" s="4"/>
      <c r="EJ1892" s="4"/>
      <c r="EK1892" s="4"/>
      <c r="EL1892" s="4"/>
      <c r="EM1892" s="4"/>
      <c r="EN1892" s="4"/>
      <c r="EO1892" s="4"/>
      <c r="EP1892" s="4"/>
      <c r="EQ1892" s="4"/>
      <c r="ER1892" s="4"/>
      <c r="ES1892" s="4"/>
      <c r="ET1892" s="4"/>
      <c r="EU1892" s="4"/>
      <c r="EV1892" s="4"/>
      <c r="EW1892" s="4"/>
      <c r="EX1892" s="4"/>
      <c r="EY1892" s="4"/>
      <c r="EZ1892" s="4"/>
      <c r="FA1892" s="4"/>
      <c r="FB1892" s="4"/>
      <c r="FC1892" s="4"/>
      <c r="FD1892" s="4"/>
      <c r="FE1892" s="4"/>
      <c r="FF1892" s="4"/>
      <c r="FG1892" s="4"/>
      <c r="FH1892" s="4"/>
      <c r="FI1892" s="4"/>
      <c r="FJ1892" s="4"/>
      <c r="FK1892" s="4"/>
      <c r="FL1892" s="4"/>
      <c r="FM1892" s="4"/>
      <c r="FN1892" s="4"/>
      <c r="FO1892" s="4"/>
      <c r="FP1892" s="4"/>
      <c r="FQ1892" s="4"/>
      <c r="FR1892" s="4"/>
      <c r="FS1892" s="4"/>
      <c r="FT1892" s="4"/>
      <c r="FU1892" s="4"/>
      <c r="FV1892" s="4"/>
      <c r="FW1892" s="4"/>
      <c r="FX1892" s="4"/>
      <c r="FY1892" s="4"/>
      <c r="FZ1892" s="4"/>
      <c r="GA1892" s="4"/>
      <c r="GB1892" s="4"/>
      <c r="GC1892" s="4"/>
      <c r="GD1892" s="4"/>
      <c r="GE1892" s="4"/>
      <c r="GF1892" s="4"/>
      <c r="GG1892" s="4"/>
      <c r="GH1892" s="4"/>
      <c r="GI1892" s="4"/>
      <c r="GJ1892" s="4"/>
      <c r="GK1892" s="4"/>
      <c r="GL1892" s="4"/>
      <c r="GM1892" s="4"/>
      <c r="GN1892" s="4"/>
      <c r="GO1892" s="4"/>
      <c r="GP1892" s="4"/>
      <c r="GQ1892" s="4"/>
      <c r="GR1892" s="4"/>
      <c r="GS1892" s="4"/>
      <c r="GT1892" s="4"/>
      <c r="GU1892" s="4"/>
      <c r="GV1892" s="4"/>
      <c r="GW1892" s="4"/>
      <c r="GX1892" s="4"/>
      <c r="GY1892" s="4"/>
      <c r="GZ1892" s="4"/>
      <c r="HA1892" s="4"/>
      <c r="HB1892" s="4"/>
      <c r="HC1892" s="4"/>
      <c r="HD1892" s="4"/>
      <c r="HE1892" s="4"/>
    </row>
    <row r="1893">
      <c r="A1893" s="2" t="s">
        <v>9237</v>
      </c>
      <c r="B1893" s="2" t="s">
        <v>772</v>
      </c>
      <c r="C1893" s="2" t="s">
        <v>731</v>
      </c>
      <c r="D1893" s="2" t="s">
        <v>774</v>
      </c>
      <c r="E1893" s="2" t="s">
        <v>775</v>
      </c>
      <c r="F1893" s="2" t="s">
        <v>9228</v>
      </c>
      <c r="G1893" s="2" t="s">
        <v>9228</v>
      </c>
      <c r="H1893" s="2" t="s">
        <v>9228</v>
      </c>
      <c r="I1893" s="2" t="s">
        <v>9229</v>
      </c>
      <c r="J1893" s="2" t="s">
        <v>1053</v>
      </c>
      <c r="K1893" s="2" t="s">
        <v>251</v>
      </c>
      <c r="L1893" s="3">
        <v>38</v>
      </c>
      <c r="M1893" s="3">
        <v>39.9</v>
      </c>
      <c r="N1893" s="3">
        <v>79.99</v>
      </c>
      <c r="O1893" s="2" t="s">
        <v>240</v>
      </c>
      <c r="P1893" s="2" t="s">
        <v>266</v>
      </c>
      <c r="Q1893" s="2" t="s">
        <v>234</v>
      </c>
      <c r="R1893" s="2" t="s">
        <v>228</v>
      </c>
      <c r="S1893" s="2" t="s">
        <v>9238</v>
      </c>
      <c r="T1893" s="2" t="s">
        <v>350</v>
      </c>
      <c r="U1893" s="2" t="s">
        <v>1054</v>
      </c>
      <c r="V1893" s="2" t="s">
        <v>236</v>
      </c>
      <c r="W1893" s="2" t="s">
        <v>463</v>
      </c>
      <c r="X1893" s="2" t="s">
        <v>228</v>
      </c>
      <c r="Y1893" s="2" t="s">
        <v>4494</v>
      </c>
      <c r="Z1893" s="4">
        <v>550</v>
      </c>
      <c r="AA1893" s="4">
        <f>=ROUNDDOWN(68.75,0)</f>
      </c>
      <c r="AB1893" s="5">
        <v>8</v>
      </c>
      <c r="AC1893" s="2" t="s">
        <v>228</v>
      </c>
      <c r="AD1893" s="4"/>
      <c r="AE1893" s="4"/>
      <c r="AF1893" s="6">
        <v>67</v>
      </c>
      <c r="AG1893" s="6"/>
      <c r="AH1893" s="7">
        <v>1</v>
      </c>
      <c r="AI1893" s="4"/>
      <c r="AJ1893" s="4">
        <f>=ROUNDDOWN({0},0)</f>
      </c>
      <c r="AK1893" s="5"/>
      <c r="AL1893" s="2" t="s">
        <v>228</v>
      </c>
      <c r="AM1893" s="4"/>
      <c r="AN1893" s="4"/>
      <c r="AO1893" s="7"/>
      <c r="AP1893" s="4"/>
      <c r="AQ1893" s="8"/>
      <c r="AR1893" s="4"/>
      <c r="AS1893" s="8"/>
      <c r="AT1893" s="7"/>
      <c r="AU1893" s="7"/>
      <c r="AV1893" s="4"/>
      <c r="AW1893" s="8"/>
      <c r="AX1893" s="4"/>
      <c r="AY1893" s="8"/>
      <c r="AZ1893" s="7"/>
      <c r="BA1893" s="7"/>
      <c r="BB1893" s="7"/>
      <c r="BC1893" s="4" t="s">
        <v>228</v>
      </c>
      <c r="BD1893" s="8" t="s">
        <v>228</v>
      </c>
      <c r="BE1893" s="4" t="s">
        <v>228</v>
      </c>
      <c r="BF1893" s="8" t="s">
        <v>228</v>
      </c>
      <c r="BG1893" s="7" t="s">
        <v>228</v>
      </c>
      <c r="BH1893" s="7" t="s">
        <v>228</v>
      </c>
      <c r="BI1893" s="7"/>
      <c r="BJ1893" s="4">
        <v>18</v>
      </c>
      <c r="BK1893" s="8">
        <v>763.38</v>
      </c>
      <c r="BL1893" s="2" t="s">
        <v>9239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238</v>
      </c>
      <c r="BV1893" s="2" t="s">
        <v>228</v>
      </c>
      <c r="BW1893" s="2" t="s">
        <v>228</v>
      </c>
      <c r="BX1893" s="2" t="s">
        <v>238</v>
      </c>
      <c r="BY1893" s="2" t="s">
        <v>9240</v>
      </c>
      <c r="BZ1893" s="2" t="s">
        <v>240</v>
      </c>
      <c r="CA1893" s="2" t="s">
        <v>228</v>
      </c>
      <c r="CB1893" s="2" t="s">
        <v>228</v>
      </c>
      <c r="CC1893" s="2" t="s">
        <v>241</v>
      </c>
      <c r="CD1893" s="2" t="s">
        <v>228</v>
      </c>
      <c r="CE1893" s="4">
        <v>550</v>
      </c>
      <c r="CF1893" s="4"/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  <c r="CW1893" s="4"/>
      <c r="CX1893" s="4"/>
      <c r="CY1893" s="4"/>
      <c r="CZ1893" s="4"/>
      <c r="DA1893" s="4"/>
      <c r="DB1893" s="4"/>
      <c r="DC1893" s="4"/>
      <c r="DD1893" s="4"/>
      <c r="DE1893" s="4"/>
      <c r="DF1893" s="4"/>
      <c r="DG1893" s="4"/>
      <c r="DH1893" s="4"/>
      <c r="DI1893" s="4"/>
      <c r="DJ1893" s="4"/>
      <c r="DK1893" s="4"/>
      <c r="DL1893" s="4"/>
      <c r="DM1893" s="4"/>
      <c r="DN1893" s="4"/>
      <c r="DO1893" s="4"/>
      <c r="DP1893" s="4"/>
      <c r="DQ1893" s="4"/>
      <c r="DR1893" s="4"/>
      <c r="DS1893" s="4"/>
      <c r="DT1893" s="4"/>
      <c r="DU1893" s="4"/>
      <c r="DV1893" s="4"/>
      <c r="DW1893" s="4"/>
      <c r="DX1893" s="4"/>
      <c r="DY1893" s="4"/>
      <c r="DZ1893" s="4"/>
      <c r="EA1893" s="4"/>
      <c r="EB1893" s="4"/>
      <c r="EC1893" s="4"/>
      <c r="ED1893" s="4"/>
      <c r="EE1893" s="4"/>
      <c r="EF1893" s="4"/>
      <c r="EG1893" s="4"/>
      <c r="EH1893" s="4"/>
      <c r="EI1893" s="4"/>
      <c r="EJ1893" s="4"/>
      <c r="EK1893" s="4"/>
      <c r="EL1893" s="4"/>
      <c r="EM1893" s="4"/>
      <c r="EN1893" s="4"/>
      <c r="EO1893" s="4"/>
      <c r="EP1893" s="4"/>
      <c r="EQ1893" s="4"/>
      <c r="ER1893" s="4"/>
      <c r="ES1893" s="4"/>
      <c r="ET1893" s="4"/>
      <c r="EU1893" s="4"/>
      <c r="EV1893" s="4"/>
      <c r="EW1893" s="4"/>
      <c r="EX1893" s="4"/>
      <c r="EY1893" s="4"/>
      <c r="EZ1893" s="4"/>
      <c r="FA1893" s="4"/>
      <c r="FB1893" s="4"/>
      <c r="FC1893" s="4"/>
      <c r="FD1893" s="4"/>
      <c r="FE1893" s="4"/>
      <c r="FF1893" s="4"/>
      <c r="FG1893" s="4"/>
      <c r="FH1893" s="4"/>
      <c r="FI1893" s="4"/>
      <c r="FJ1893" s="4"/>
      <c r="FK1893" s="4"/>
      <c r="FL1893" s="4"/>
      <c r="FM1893" s="4"/>
      <c r="FN1893" s="4"/>
      <c r="FO1893" s="4"/>
      <c r="FP1893" s="4"/>
      <c r="FQ1893" s="4"/>
      <c r="FR1893" s="4"/>
      <c r="FS1893" s="4"/>
      <c r="FT1893" s="4"/>
      <c r="FU1893" s="4"/>
      <c r="FV1893" s="4"/>
      <c r="FW1893" s="4"/>
      <c r="FX1893" s="4"/>
      <c r="FY1893" s="4"/>
      <c r="FZ1893" s="4"/>
      <c r="GA1893" s="4"/>
      <c r="GB1893" s="4"/>
      <c r="GC1893" s="4"/>
      <c r="GD1893" s="4"/>
      <c r="GE1893" s="4"/>
      <c r="GF1893" s="4"/>
      <c r="GG1893" s="4"/>
      <c r="GH1893" s="4"/>
      <c r="GI1893" s="4"/>
      <c r="GJ1893" s="4"/>
      <c r="GK1893" s="4"/>
      <c r="GL1893" s="4"/>
      <c r="GM1893" s="4"/>
      <c r="GN1893" s="4"/>
      <c r="GO1893" s="4"/>
      <c r="GP1893" s="4"/>
      <c r="GQ1893" s="4"/>
      <c r="GR1893" s="4"/>
      <c r="GS1893" s="4"/>
      <c r="GT1893" s="4"/>
      <c r="GU1893" s="4"/>
      <c r="GV1893" s="4"/>
      <c r="GW1893" s="4"/>
      <c r="GX1893" s="4"/>
      <c r="GY1893" s="4"/>
      <c r="GZ1893" s="4"/>
      <c r="HA1893" s="4"/>
      <c r="HB1893" s="4"/>
      <c r="HC1893" s="4"/>
      <c r="HD1893" s="4"/>
      <c r="HE1893" s="4"/>
    </row>
    <row r="1894">
      <c r="A1894" s="2" t="s">
        <v>9241</v>
      </c>
      <c r="B1894" s="2" t="s">
        <v>223</v>
      </c>
      <c r="C1894" s="2" t="s">
        <v>3635</v>
      </c>
      <c r="D1894" s="2" t="s">
        <v>1407</v>
      </c>
      <c r="E1894" s="2" t="s">
        <v>3636</v>
      </c>
      <c r="F1894" s="2" t="s">
        <v>9242</v>
      </c>
      <c r="G1894" s="2" t="s">
        <v>9242</v>
      </c>
      <c r="H1894" s="2" t="s">
        <v>9242</v>
      </c>
      <c r="I1894" s="2" t="s">
        <v>226</v>
      </c>
      <c r="J1894" s="2" t="s">
        <v>264</v>
      </c>
      <c r="K1894" s="2" t="s">
        <v>480</v>
      </c>
      <c r="L1894" s="3">
        <v>44.52</v>
      </c>
      <c r="M1894" s="3">
        <v>46.75</v>
      </c>
      <c r="N1894" s="3">
        <v>94.99</v>
      </c>
      <c r="O1894" s="2" t="s">
        <v>240</v>
      </c>
      <c r="P1894" s="2" t="s">
        <v>333</v>
      </c>
      <c r="Q1894" s="2" t="s">
        <v>234</v>
      </c>
      <c r="R1894" s="2" t="s">
        <v>228</v>
      </c>
      <c r="S1894" s="2" t="s">
        <v>228</v>
      </c>
      <c r="T1894" s="2" t="s">
        <v>3112</v>
      </c>
      <c r="U1894" s="2" t="s">
        <v>416</v>
      </c>
      <c r="V1894" s="2" t="s">
        <v>236</v>
      </c>
      <c r="W1894" s="2" t="s">
        <v>269</v>
      </c>
      <c r="X1894" s="2" t="s">
        <v>228</v>
      </c>
      <c r="Y1894" s="2" t="s">
        <v>5444</v>
      </c>
      <c r="Z1894" s="4">
        <v>76</v>
      </c>
      <c r="AA1894" s="4">
        <f>=ROUNDDOWN(10.8571428571429,0)</f>
      </c>
      <c r="AB1894" s="5">
        <v>7</v>
      </c>
      <c r="AC1894" s="2" t="s">
        <v>228</v>
      </c>
      <c r="AD1894" s="4"/>
      <c r="AE1894" s="4"/>
      <c r="AF1894" s="6">
        <v>65</v>
      </c>
      <c r="AG1894" s="6"/>
      <c r="AH1894" s="7">
        <v>1</v>
      </c>
      <c r="AI1894" s="4"/>
      <c r="AJ1894" s="4">
        <f>=ROUNDDOWN({0},0)</f>
      </c>
      <c r="AK1894" s="5"/>
      <c r="AL1894" s="2" t="s">
        <v>228</v>
      </c>
      <c r="AM1894" s="4"/>
      <c r="AN1894" s="4"/>
      <c r="AO1894" s="7"/>
      <c r="AP1894" s="4"/>
      <c r="AQ1894" s="8"/>
      <c r="AR1894" s="4"/>
      <c r="AS1894" s="8"/>
      <c r="AT1894" s="7"/>
      <c r="AU1894" s="7"/>
      <c r="AV1894" s="4"/>
      <c r="AW1894" s="8"/>
      <c r="AX1894" s="4"/>
      <c r="AY1894" s="8"/>
      <c r="AZ1894" s="7"/>
      <c r="BA1894" s="7"/>
      <c r="BB1894" s="7"/>
      <c r="BC1894" s="4" t="s">
        <v>228</v>
      </c>
      <c r="BD1894" s="8" t="s">
        <v>228</v>
      </c>
      <c r="BE1894" s="4" t="s">
        <v>228</v>
      </c>
      <c r="BF1894" s="8" t="s">
        <v>228</v>
      </c>
      <c r="BG1894" s="7" t="s">
        <v>228</v>
      </c>
      <c r="BH1894" s="7" t="s">
        <v>228</v>
      </c>
      <c r="BI1894" s="7"/>
      <c r="BJ1894" s="4">
        <v>14</v>
      </c>
      <c r="BK1894" s="8">
        <v>627.39</v>
      </c>
      <c r="BL1894" s="2" t="s">
        <v>404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9243</v>
      </c>
      <c r="BV1894" s="2" t="s">
        <v>228</v>
      </c>
      <c r="BW1894" s="2" t="s">
        <v>228</v>
      </c>
      <c r="BX1894" s="2" t="s">
        <v>337</v>
      </c>
      <c r="BY1894" s="2" t="s">
        <v>274</v>
      </c>
      <c r="BZ1894" s="2" t="s">
        <v>240</v>
      </c>
      <c r="CA1894" s="2" t="s">
        <v>5444</v>
      </c>
      <c r="CB1894" s="2" t="s">
        <v>8928</v>
      </c>
      <c r="CC1894" s="2" t="s">
        <v>241</v>
      </c>
      <c r="CD1894" s="2" t="s">
        <v>228</v>
      </c>
      <c r="CE1894" s="4">
        <v>76</v>
      </c>
      <c r="CF1894" s="4"/>
      <c r="CG1894" s="4"/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  <c r="CW1894" s="4"/>
      <c r="CX1894" s="4"/>
      <c r="CY1894" s="4"/>
      <c r="CZ1894" s="4"/>
      <c r="DA1894" s="4"/>
      <c r="DB1894" s="4"/>
      <c r="DC1894" s="4"/>
      <c r="DD1894" s="4"/>
      <c r="DE1894" s="4"/>
      <c r="DF1894" s="4"/>
      <c r="DG1894" s="4"/>
      <c r="DH1894" s="4"/>
      <c r="DI1894" s="4"/>
      <c r="DJ1894" s="4"/>
      <c r="DK1894" s="4"/>
      <c r="DL1894" s="4"/>
      <c r="DM1894" s="4"/>
      <c r="DN1894" s="4"/>
      <c r="DO1894" s="4"/>
      <c r="DP1894" s="4"/>
      <c r="DQ1894" s="4"/>
      <c r="DR1894" s="4"/>
      <c r="DS1894" s="4"/>
      <c r="DT1894" s="4"/>
      <c r="DU1894" s="4"/>
      <c r="DV1894" s="4"/>
      <c r="DW1894" s="4"/>
      <c r="DX1894" s="4"/>
      <c r="DY1894" s="4"/>
      <c r="DZ1894" s="4"/>
      <c r="EA1894" s="4"/>
      <c r="EB1894" s="4"/>
      <c r="EC1894" s="4"/>
      <c r="ED1894" s="4"/>
      <c r="EE1894" s="4"/>
      <c r="EF1894" s="4"/>
      <c r="EG1894" s="4"/>
      <c r="EH1894" s="4"/>
      <c r="EI1894" s="4"/>
      <c r="EJ1894" s="4"/>
      <c r="EK1894" s="4"/>
      <c r="EL1894" s="4"/>
      <c r="EM1894" s="4"/>
      <c r="EN1894" s="4"/>
      <c r="EO1894" s="4"/>
      <c r="EP1894" s="4"/>
      <c r="EQ1894" s="4"/>
      <c r="ER1894" s="4"/>
      <c r="ES1894" s="4"/>
      <c r="ET1894" s="4"/>
      <c r="EU1894" s="4"/>
      <c r="EV1894" s="4"/>
      <c r="EW1894" s="4"/>
      <c r="EX1894" s="4"/>
      <c r="EY1894" s="4"/>
      <c r="EZ1894" s="4"/>
      <c r="FA1894" s="4"/>
      <c r="FB1894" s="4"/>
      <c r="FC1894" s="4"/>
      <c r="FD1894" s="4"/>
      <c r="FE1894" s="4"/>
      <c r="FF1894" s="4"/>
      <c r="FG1894" s="4"/>
      <c r="FH1894" s="4"/>
      <c r="FI1894" s="4"/>
      <c r="FJ1894" s="4"/>
      <c r="FK1894" s="4"/>
      <c r="FL1894" s="4"/>
      <c r="FM1894" s="4"/>
      <c r="FN1894" s="4"/>
      <c r="FO1894" s="4"/>
      <c r="FP1894" s="4"/>
      <c r="FQ1894" s="4"/>
      <c r="FR1894" s="4"/>
      <c r="FS1894" s="4"/>
      <c r="FT1894" s="4"/>
      <c r="FU1894" s="4"/>
      <c r="FV1894" s="4"/>
      <c r="FW1894" s="4"/>
      <c r="FX1894" s="4"/>
      <c r="FY1894" s="4"/>
      <c r="FZ1894" s="4"/>
      <c r="GA1894" s="4"/>
      <c r="GB1894" s="4"/>
      <c r="GC1894" s="4"/>
      <c r="GD1894" s="4"/>
      <c r="GE1894" s="4"/>
      <c r="GF1894" s="4"/>
      <c r="GG1894" s="4"/>
      <c r="GH1894" s="4"/>
      <c r="GI1894" s="4"/>
      <c r="GJ1894" s="4"/>
      <c r="GK1894" s="4"/>
      <c r="GL1894" s="4"/>
      <c r="GM1894" s="4"/>
      <c r="GN1894" s="4"/>
      <c r="GO1894" s="4"/>
      <c r="GP1894" s="4"/>
      <c r="GQ1894" s="4"/>
      <c r="GR1894" s="4"/>
      <c r="GS1894" s="4"/>
      <c r="GT1894" s="4"/>
      <c r="GU1894" s="4"/>
      <c r="GV1894" s="4"/>
      <c r="GW1894" s="4"/>
      <c r="GX1894" s="4"/>
      <c r="GY1894" s="4"/>
      <c r="GZ1894" s="4"/>
      <c r="HA1894" s="4"/>
      <c r="HB1894" s="4"/>
      <c r="HC1894" s="4"/>
      <c r="HD1894" s="4"/>
      <c r="HE1894" s="4"/>
    </row>
    <row r="1895">
      <c r="A1895" s="2" t="s">
        <v>9244</v>
      </c>
      <c r="B1895" s="2" t="s">
        <v>223</v>
      </c>
      <c r="C1895" s="2" t="s">
        <v>3635</v>
      </c>
      <c r="D1895" s="2" t="s">
        <v>1407</v>
      </c>
      <c r="E1895" s="2" t="s">
        <v>3636</v>
      </c>
      <c r="F1895" s="2" t="s">
        <v>9242</v>
      </c>
      <c r="G1895" s="2" t="s">
        <v>9242</v>
      </c>
      <c r="H1895" s="2" t="s">
        <v>9242</v>
      </c>
      <c r="I1895" s="2" t="s">
        <v>226</v>
      </c>
      <c r="J1895" s="2" t="s">
        <v>284</v>
      </c>
      <c r="K1895" s="2" t="s">
        <v>2350</v>
      </c>
      <c r="L1895" s="3">
        <v>50.08</v>
      </c>
      <c r="M1895" s="3">
        <v>52.58</v>
      </c>
      <c r="N1895" s="3">
        <v>106.99</v>
      </c>
      <c r="O1895" s="2" t="s">
        <v>240</v>
      </c>
      <c r="P1895" s="2" t="s">
        <v>266</v>
      </c>
      <c r="Q1895" s="2" t="s">
        <v>234</v>
      </c>
      <c r="R1895" s="2" t="s">
        <v>228</v>
      </c>
      <c r="S1895" s="2" t="s">
        <v>228</v>
      </c>
      <c r="T1895" s="2" t="s">
        <v>3112</v>
      </c>
      <c r="U1895" s="2" t="s">
        <v>416</v>
      </c>
      <c r="V1895" s="2" t="s">
        <v>236</v>
      </c>
      <c r="W1895" s="2" t="s">
        <v>269</v>
      </c>
      <c r="X1895" s="2" t="s">
        <v>228</v>
      </c>
      <c r="Y1895" s="2" t="s">
        <v>9245</v>
      </c>
      <c r="Z1895" s="4">
        <v>154</v>
      </c>
      <c r="AA1895" s="4">
        <f>=ROUNDDOWN(15.4,0)</f>
      </c>
      <c r="AB1895" s="5">
        <v>10</v>
      </c>
      <c r="AC1895" s="2" t="s">
        <v>1352</v>
      </c>
      <c r="AD1895" s="4">
        <v>170</v>
      </c>
      <c r="AE1895" s="4">
        <v>170</v>
      </c>
      <c r="AF1895" s="6">
        <v>65</v>
      </c>
      <c r="AG1895" s="6"/>
      <c r="AH1895" s="7">
        <v>1</v>
      </c>
      <c r="AI1895" s="4"/>
      <c r="AJ1895" s="4">
        <f>=ROUNDDOWN({0},0)</f>
      </c>
      <c r="AK1895" s="5"/>
      <c r="AL1895" s="2" t="s">
        <v>228</v>
      </c>
      <c r="AM1895" s="4"/>
      <c r="AN1895" s="4"/>
      <c r="AO1895" s="7"/>
      <c r="AP1895" s="4"/>
      <c r="AQ1895" s="8"/>
      <c r="AR1895" s="4"/>
      <c r="AS1895" s="8"/>
      <c r="AT1895" s="7"/>
      <c r="AU1895" s="7"/>
      <c r="AV1895" s="4"/>
      <c r="AW1895" s="8"/>
      <c r="AX1895" s="4"/>
      <c r="AY1895" s="8"/>
      <c r="AZ1895" s="7"/>
      <c r="BA1895" s="7"/>
      <c r="BB1895" s="7"/>
      <c r="BC1895" s="4" t="s">
        <v>228</v>
      </c>
      <c r="BD1895" s="8" t="s">
        <v>228</v>
      </c>
      <c r="BE1895" s="4" t="s">
        <v>228</v>
      </c>
      <c r="BF1895" s="8" t="s">
        <v>228</v>
      </c>
      <c r="BG1895" s="7" t="s">
        <v>228</v>
      </c>
      <c r="BH1895" s="7" t="s">
        <v>228</v>
      </c>
      <c r="BI1895" s="7"/>
      <c r="BJ1895" s="4">
        <v>5</v>
      </c>
      <c r="BK1895" s="8">
        <v>271.75</v>
      </c>
      <c r="BL1895" s="2" t="s">
        <v>8185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9246</v>
      </c>
      <c r="BV1895" s="2" t="s">
        <v>228</v>
      </c>
      <c r="BW1895" s="2" t="s">
        <v>228</v>
      </c>
      <c r="BX1895" s="2" t="s">
        <v>273</v>
      </c>
      <c r="BY1895" s="2" t="s">
        <v>274</v>
      </c>
      <c r="BZ1895" s="2" t="s">
        <v>240</v>
      </c>
      <c r="CA1895" s="2" t="s">
        <v>1685</v>
      </c>
      <c r="CB1895" s="2" t="s">
        <v>2773</v>
      </c>
      <c r="CC1895" s="2" t="s">
        <v>241</v>
      </c>
      <c r="CD1895" s="2" t="s">
        <v>228</v>
      </c>
      <c r="CE1895" s="4">
        <v>154</v>
      </c>
      <c r="CF1895" s="4"/>
      <c r="CG1895" s="4"/>
      <c r="CH1895" s="4"/>
      <c r="CI1895" s="4"/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/>
      <c r="CZ1895" s="4"/>
      <c r="DA1895" s="4"/>
      <c r="DB1895" s="4"/>
      <c r="DC1895" s="4"/>
      <c r="DD1895" s="4"/>
      <c r="DE1895" s="4"/>
      <c r="DF1895" s="4"/>
      <c r="DG1895" s="4"/>
      <c r="DH1895" s="4"/>
      <c r="DI1895" s="4"/>
      <c r="DJ1895" s="4"/>
      <c r="DK1895" s="4"/>
      <c r="DL1895" s="4"/>
      <c r="DM1895" s="4"/>
      <c r="DN1895" s="4"/>
      <c r="DO1895" s="4"/>
      <c r="DP1895" s="4"/>
      <c r="DQ1895" s="4"/>
      <c r="DR1895" s="4"/>
      <c r="DS1895" s="4"/>
      <c r="DT1895" s="4"/>
      <c r="DU1895" s="4"/>
      <c r="DV1895" s="4"/>
      <c r="DW1895" s="4"/>
      <c r="DX1895" s="4"/>
      <c r="DY1895" s="4"/>
      <c r="DZ1895" s="4"/>
      <c r="EA1895" s="4"/>
      <c r="EB1895" s="4"/>
      <c r="EC1895" s="4"/>
      <c r="ED1895" s="4"/>
      <c r="EE1895" s="4"/>
      <c r="EF1895" s="4"/>
      <c r="EG1895" s="4"/>
      <c r="EH1895" s="4"/>
      <c r="EI1895" s="4"/>
      <c r="EJ1895" s="4">
        <v>170</v>
      </c>
      <c r="EK1895" s="4"/>
      <c r="EL1895" s="4"/>
      <c r="EM1895" s="4"/>
      <c r="EN1895" s="4"/>
      <c r="EO1895" s="4"/>
      <c r="EP1895" s="4"/>
      <c r="EQ1895" s="4"/>
      <c r="ER1895" s="4"/>
      <c r="ES1895" s="4"/>
      <c r="ET1895" s="4"/>
      <c r="EU1895" s="4"/>
      <c r="EV1895" s="4"/>
      <c r="EW1895" s="4"/>
      <c r="EX1895" s="4"/>
      <c r="EY1895" s="4"/>
      <c r="EZ1895" s="4"/>
      <c r="FA1895" s="4"/>
      <c r="FB1895" s="4"/>
      <c r="FC1895" s="4"/>
      <c r="FD1895" s="4"/>
      <c r="FE1895" s="4"/>
      <c r="FF1895" s="4"/>
      <c r="FG1895" s="4"/>
      <c r="FH1895" s="4"/>
      <c r="FI1895" s="4"/>
      <c r="FJ1895" s="4"/>
      <c r="FK1895" s="4"/>
      <c r="FL1895" s="4"/>
      <c r="FM1895" s="4"/>
      <c r="FN1895" s="4"/>
      <c r="FO1895" s="4"/>
      <c r="FP1895" s="4"/>
      <c r="FQ1895" s="4"/>
      <c r="FR1895" s="4"/>
      <c r="FS1895" s="4"/>
      <c r="FT1895" s="4"/>
      <c r="FU1895" s="4"/>
      <c r="FV1895" s="4"/>
      <c r="FW1895" s="4"/>
      <c r="FX1895" s="4"/>
      <c r="FY1895" s="4"/>
      <c r="FZ1895" s="4"/>
      <c r="GA1895" s="4"/>
      <c r="GB1895" s="4"/>
      <c r="GC1895" s="4"/>
      <c r="GD1895" s="4"/>
      <c r="GE1895" s="4"/>
      <c r="GF1895" s="4"/>
      <c r="GG1895" s="4"/>
      <c r="GH1895" s="4"/>
      <c r="GI1895" s="4"/>
      <c r="GJ1895" s="4"/>
      <c r="GK1895" s="4"/>
      <c r="GL1895" s="4"/>
      <c r="GM1895" s="4"/>
      <c r="GN1895" s="4"/>
      <c r="GO1895" s="4"/>
      <c r="GP1895" s="4"/>
      <c r="GQ1895" s="4"/>
      <c r="GR1895" s="4"/>
      <c r="GS1895" s="4"/>
      <c r="GT1895" s="4"/>
      <c r="GU1895" s="4"/>
      <c r="GV1895" s="4"/>
      <c r="GW1895" s="4"/>
      <c r="GX1895" s="4"/>
      <c r="GY1895" s="4"/>
      <c r="GZ1895" s="4"/>
      <c r="HA1895" s="4"/>
      <c r="HB1895" s="4"/>
      <c r="HC1895" s="4"/>
      <c r="HD1895" s="4"/>
      <c r="HE1895" s="4"/>
    </row>
    <row r="1896">
      <c r="A1896" s="2" t="s">
        <v>9247</v>
      </c>
      <c r="B1896" s="2" t="s">
        <v>223</v>
      </c>
      <c r="C1896" s="2" t="s">
        <v>3635</v>
      </c>
      <c r="D1896" s="2" t="s">
        <v>1407</v>
      </c>
      <c r="E1896" s="2" t="s">
        <v>3636</v>
      </c>
      <c r="F1896" s="2" t="s">
        <v>9242</v>
      </c>
      <c r="G1896" s="2" t="s">
        <v>9242</v>
      </c>
      <c r="H1896" s="2" t="s">
        <v>9242</v>
      </c>
      <c r="I1896" s="2" t="s">
        <v>226</v>
      </c>
      <c r="J1896" s="2" t="s">
        <v>284</v>
      </c>
      <c r="K1896" s="2" t="s">
        <v>614</v>
      </c>
      <c r="L1896" s="3">
        <v>50.08</v>
      </c>
      <c r="M1896" s="3">
        <v>52.58</v>
      </c>
      <c r="N1896" s="3">
        <v>106.99</v>
      </c>
      <c r="O1896" s="2" t="s">
        <v>240</v>
      </c>
      <c r="P1896" s="2" t="s">
        <v>266</v>
      </c>
      <c r="Q1896" s="2" t="s">
        <v>234</v>
      </c>
      <c r="R1896" s="2" t="s">
        <v>228</v>
      </c>
      <c r="S1896" s="2" t="s">
        <v>228</v>
      </c>
      <c r="T1896" s="2" t="s">
        <v>3112</v>
      </c>
      <c r="U1896" s="2" t="s">
        <v>416</v>
      </c>
      <c r="V1896" s="2" t="s">
        <v>236</v>
      </c>
      <c r="W1896" s="2" t="s">
        <v>269</v>
      </c>
      <c r="X1896" s="2" t="s">
        <v>228</v>
      </c>
      <c r="Y1896" s="2" t="s">
        <v>5444</v>
      </c>
      <c r="Z1896" s="4">
        <v>196</v>
      </c>
      <c r="AA1896" s="4">
        <f>=ROUNDDOWN(19.6,0)</f>
      </c>
      <c r="AB1896" s="5">
        <v>10</v>
      </c>
      <c r="AC1896" s="2" t="s">
        <v>1352</v>
      </c>
      <c r="AD1896" s="4">
        <v>170</v>
      </c>
      <c r="AE1896" s="4">
        <v>170</v>
      </c>
      <c r="AF1896" s="6">
        <v>65</v>
      </c>
      <c r="AG1896" s="6"/>
      <c r="AH1896" s="7">
        <v>1</v>
      </c>
      <c r="AI1896" s="4"/>
      <c r="AJ1896" s="4">
        <f>=ROUNDDOWN({0},0)</f>
      </c>
      <c r="AK1896" s="5"/>
      <c r="AL1896" s="2" t="s">
        <v>228</v>
      </c>
      <c r="AM1896" s="4"/>
      <c r="AN1896" s="4"/>
      <c r="AO1896" s="7"/>
      <c r="AP1896" s="4"/>
      <c r="AQ1896" s="8"/>
      <c r="AR1896" s="4"/>
      <c r="AS1896" s="8"/>
      <c r="AT1896" s="7"/>
      <c r="AU1896" s="7"/>
      <c r="AV1896" s="4"/>
      <c r="AW1896" s="8"/>
      <c r="AX1896" s="4"/>
      <c r="AY1896" s="8"/>
      <c r="AZ1896" s="7"/>
      <c r="BA1896" s="7"/>
      <c r="BB1896" s="7"/>
      <c r="BC1896" s="4" t="s">
        <v>228</v>
      </c>
      <c r="BD1896" s="8" t="s">
        <v>228</v>
      </c>
      <c r="BE1896" s="4" t="s">
        <v>228</v>
      </c>
      <c r="BF1896" s="8" t="s">
        <v>228</v>
      </c>
      <c r="BG1896" s="7" t="s">
        <v>228</v>
      </c>
      <c r="BH1896" s="7" t="s">
        <v>228</v>
      </c>
      <c r="BI1896" s="7"/>
      <c r="BJ1896" s="4">
        <v>7</v>
      </c>
      <c r="BK1896" s="8">
        <v>383.47</v>
      </c>
      <c r="BL1896" s="2" t="s">
        <v>9248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9249</v>
      </c>
      <c r="BV1896" s="2" t="s">
        <v>228</v>
      </c>
      <c r="BW1896" s="2" t="s">
        <v>228</v>
      </c>
      <c r="BX1896" s="2" t="s">
        <v>273</v>
      </c>
      <c r="BY1896" s="2" t="s">
        <v>274</v>
      </c>
      <c r="BZ1896" s="2" t="s">
        <v>240</v>
      </c>
      <c r="CA1896" s="2" t="s">
        <v>5444</v>
      </c>
      <c r="CB1896" s="2" t="s">
        <v>8928</v>
      </c>
      <c r="CC1896" s="2" t="s">
        <v>241</v>
      </c>
      <c r="CD1896" s="2" t="s">
        <v>228</v>
      </c>
      <c r="CE1896" s="4">
        <v>196</v>
      </c>
      <c r="CF1896" s="4"/>
      <c r="CG1896" s="4"/>
      <c r="CH1896" s="4"/>
      <c r="CI1896" s="4"/>
      <c r="CJ1896" s="4"/>
      <c r="CK1896" s="4"/>
      <c r="CL1896" s="4"/>
      <c r="CM1896" s="4"/>
      <c r="CN1896" s="4"/>
      <c r="CO1896" s="4"/>
      <c r="CP1896" s="4"/>
      <c r="CQ1896" s="4"/>
      <c r="CR1896" s="4"/>
      <c r="CS1896" s="4"/>
      <c r="CT1896" s="4"/>
      <c r="CU1896" s="4"/>
      <c r="CV1896" s="4"/>
      <c r="CW1896" s="4"/>
      <c r="CX1896" s="4"/>
      <c r="CY1896" s="4"/>
      <c r="CZ1896" s="4"/>
      <c r="DA1896" s="4"/>
      <c r="DB1896" s="4"/>
      <c r="DC1896" s="4"/>
      <c r="DD1896" s="4"/>
      <c r="DE1896" s="4"/>
      <c r="DF1896" s="4"/>
      <c r="DG1896" s="4"/>
      <c r="DH1896" s="4"/>
      <c r="DI1896" s="4"/>
      <c r="DJ1896" s="4"/>
      <c r="DK1896" s="4"/>
      <c r="DL1896" s="4"/>
      <c r="DM1896" s="4"/>
      <c r="DN1896" s="4"/>
      <c r="DO1896" s="4"/>
      <c r="DP1896" s="4"/>
      <c r="DQ1896" s="4"/>
      <c r="DR1896" s="4"/>
      <c r="DS1896" s="4"/>
      <c r="DT1896" s="4"/>
      <c r="DU1896" s="4"/>
      <c r="DV1896" s="4"/>
      <c r="DW1896" s="4"/>
      <c r="DX1896" s="4"/>
      <c r="DY1896" s="4"/>
      <c r="DZ1896" s="4"/>
      <c r="EA1896" s="4"/>
      <c r="EB1896" s="4"/>
      <c r="EC1896" s="4"/>
      <c r="ED1896" s="4"/>
      <c r="EE1896" s="4"/>
      <c r="EF1896" s="4"/>
      <c r="EG1896" s="4"/>
      <c r="EH1896" s="4"/>
      <c r="EI1896" s="4"/>
      <c r="EJ1896" s="4">
        <v>170</v>
      </c>
      <c r="EK1896" s="4"/>
      <c r="EL1896" s="4"/>
      <c r="EM1896" s="4"/>
      <c r="EN1896" s="4"/>
      <c r="EO1896" s="4"/>
      <c r="EP1896" s="4"/>
      <c r="EQ1896" s="4"/>
      <c r="ER1896" s="4"/>
      <c r="ES1896" s="4"/>
      <c r="ET1896" s="4"/>
      <c r="EU1896" s="4"/>
      <c r="EV1896" s="4"/>
      <c r="EW1896" s="4"/>
      <c r="EX1896" s="4"/>
      <c r="EY1896" s="4"/>
      <c r="EZ1896" s="4"/>
      <c r="FA1896" s="4"/>
      <c r="FB1896" s="4"/>
      <c r="FC1896" s="4"/>
      <c r="FD1896" s="4"/>
      <c r="FE1896" s="4"/>
      <c r="FF1896" s="4"/>
      <c r="FG1896" s="4"/>
      <c r="FH1896" s="4"/>
      <c r="FI1896" s="4"/>
      <c r="FJ1896" s="4"/>
      <c r="FK1896" s="4"/>
      <c r="FL1896" s="4"/>
      <c r="FM1896" s="4"/>
      <c r="FN1896" s="4"/>
      <c r="FO1896" s="4"/>
      <c r="FP1896" s="4"/>
      <c r="FQ1896" s="4"/>
      <c r="FR1896" s="4"/>
      <c r="FS1896" s="4"/>
      <c r="FT1896" s="4"/>
      <c r="FU1896" s="4"/>
      <c r="FV1896" s="4"/>
      <c r="FW1896" s="4"/>
      <c r="FX1896" s="4"/>
      <c r="FY1896" s="4"/>
      <c r="FZ1896" s="4"/>
      <c r="GA1896" s="4"/>
      <c r="GB1896" s="4"/>
      <c r="GC1896" s="4"/>
      <c r="GD1896" s="4"/>
      <c r="GE1896" s="4"/>
      <c r="GF1896" s="4"/>
      <c r="GG1896" s="4"/>
      <c r="GH1896" s="4"/>
      <c r="GI1896" s="4"/>
      <c r="GJ1896" s="4"/>
      <c r="GK1896" s="4"/>
      <c r="GL1896" s="4"/>
      <c r="GM1896" s="4"/>
      <c r="GN1896" s="4"/>
      <c r="GO1896" s="4"/>
      <c r="GP1896" s="4"/>
      <c r="GQ1896" s="4"/>
      <c r="GR1896" s="4"/>
      <c r="GS1896" s="4"/>
      <c r="GT1896" s="4"/>
      <c r="GU1896" s="4"/>
      <c r="GV1896" s="4"/>
      <c r="GW1896" s="4"/>
      <c r="GX1896" s="4"/>
      <c r="GY1896" s="4"/>
      <c r="GZ1896" s="4"/>
      <c r="HA1896" s="4"/>
      <c r="HB1896" s="4"/>
      <c r="HC1896" s="4"/>
      <c r="HD1896" s="4"/>
      <c r="HE1896" s="4"/>
    </row>
    <row r="1897">
      <c r="A1897" s="2" t="s">
        <v>9250</v>
      </c>
      <c r="B1897" s="2" t="s">
        <v>299</v>
      </c>
      <c r="C1897" s="2" t="s">
        <v>1184</v>
      </c>
      <c r="D1897" s="2" t="s">
        <v>301</v>
      </c>
      <c r="E1897" s="2" t="s">
        <v>302</v>
      </c>
      <c r="F1897" s="2" t="s">
        <v>9251</v>
      </c>
      <c r="G1897" s="2" t="s">
        <v>9251</v>
      </c>
      <c r="H1897" s="2" t="s">
        <v>9251</v>
      </c>
      <c r="I1897" s="2" t="s">
        <v>9252</v>
      </c>
      <c r="J1897" s="2" t="s">
        <v>284</v>
      </c>
      <c r="K1897" s="2" t="s">
        <v>9253</v>
      </c>
      <c r="L1897" s="3">
        <v>24.75</v>
      </c>
      <c r="M1897" s="3">
        <v>25.99</v>
      </c>
      <c r="N1897" s="3">
        <v>54.99</v>
      </c>
      <c r="O1897" s="2" t="s">
        <v>240</v>
      </c>
      <c r="P1897" s="2" t="s">
        <v>266</v>
      </c>
      <c r="Q1897" s="2" t="s">
        <v>234</v>
      </c>
      <c r="R1897" s="2" t="s">
        <v>228</v>
      </c>
      <c r="S1897" s="2" t="s">
        <v>9254</v>
      </c>
      <c r="T1897" s="2" t="s">
        <v>350</v>
      </c>
      <c r="U1897" s="2" t="s">
        <v>228</v>
      </c>
      <c r="V1897" s="2" t="s">
        <v>3625</v>
      </c>
      <c r="W1897" s="2" t="s">
        <v>269</v>
      </c>
      <c r="X1897" s="2" t="s">
        <v>228</v>
      </c>
      <c r="Y1897" s="2" t="s">
        <v>270</v>
      </c>
      <c r="Z1897" s="4">
        <v>51</v>
      </c>
      <c r="AA1897" s="4">
        <f>=ROUNDDOWN(8.36065573770492,0)</f>
      </c>
      <c r="AB1897" s="5">
        <v>6.1</v>
      </c>
      <c r="AC1897" s="2" t="s">
        <v>2799</v>
      </c>
      <c r="AD1897" s="4">
        <v>40</v>
      </c>
      <c r="AE1897" s="4">
        <v>190</v>
      </c>
      <c r="AF1897" s="6">
        <v>67</v>
      </c>
      <c r="AG1897" s="6"/>
      <c r="AH1897" s="7">
        <v>1</v>
      </c>
      <c r="AI1897" s="4"/>
      <c r="AJ1897" s="4">
        <f>=ROUNDDOWN({0},0)</f>
      </c>
      <c r="AK1897" s="5"/>
      <c r="AL1897" s="2" t="s">
        <v>228</v>
      </c>
      <c r="AM1897" s="4"/>
      <c r="AN1897" s="4"/>
      <c r="AO1897" s="7"/>
      <c r="AP1897" s="4"/>
      <c r="AQ1897" s="8"/>
      <c r="AR1897" s="4"/>
      <c r="AS1897" s="8"/>
      <c r="AT1897" s="7"/>
      <c r="AU1897" s="7"/>
      <c r="AV1897" s="4"/>
      <c r="AW1897" s="8"/>
      <c r="AX1897" s="4"/>
      <c r="AY1897" s="8"/>
      <c r="AZ1897" s="7"/>
      <c r="BA1897" s="7"/>
      <c r="BB1897" s="7"/>
      <c r="BC1897" s="4" t="s">
        <v>228</v>
      </c>
      <c r="BD1897" s="8" t="s">
        <v>228</v>
      </c>
      <c r="BE1897" s="4" t="s">
        <v>228</v>
      </c>
      <c r="BF1897" s="8" t="s">
        <v>228</v>
      </c>
      <c r="BG1897" s="7" t="s">
        <v>228</v>
      </c>
      <c r="BH1897" s="7" t="s">
        <v>228</v>
      </c>
      <c r="BI1897" s="7"/>
      <c r="BJ1897" s="4">
        <v>38</v>
      </c>
      <c r="BK1897" s="8">
        <v>920.18</v>
      </c>
      <c r="BL1897" s="2" t="s">
        <v>1359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9255</v>
      </c>
      <c r="BV1897" s="2" t="s">
        <v>228</v>
      </c>
      <c r="BW1897" s="2" t="s">
        <v>228</v>
      </c>
      <c r="BX1897" s="2" t="s">
        <v>273</v>
      </c>
      <c r="BY1897" s="2" t="s">
        <v>274</v>
      </c>
      <c r="BZ1897" s="2" t="s">
        <v>240</v>
      </c>
      <c r="CA1897" s="2" t="s">
        <v>9256</v>
      </c>
      <c r="CB1897" s="2" t="s">
        <v>7656</v>
      </c>
      <c r="CC1897" s="2" t="s">
        <v>241</v>
      </c>
      <c r="CD1897" s="2" t="s">
        <v>228</v>
      </c>
      <c r="CE1897" s="4">
        <v>51</v>
      </c>
      <c r="CF1897" s="4"/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4"/>
      <c r="CX1897" s="4"/>
      <c r="CY1897" s="4"/>
      <c r="CZ1897" s="4"/>
      <c r="DA1897" s="4"/>
      <c r="DB1897" s="4"/>
      <c r="DC1897" s="4"/>
      <c r="DD1897" s="4"/>
      <c r="DE1897" s="4"/>
      <c r="DF1897" s="4"/>
      <c r="DG1897" s="4"/>
      <c r="DH1897" s="4"/>
      <c r="DI1897" s="4"/>
      <c r="DJ1897" s="4"/>
      <c r="DK1897" s="4"/>
      <c r="DL1897" s="4"/>
      <c r="DM1897" s="4"/>
      <c r="DN1897" s="4"/>
      <c r="DO1897" s="4"/>
      <c r="DP1897" s="4"/>
      <c r="DQ1897" s="4"/>
      <c r="DR1897" s="4"/>
      <c r="DS1897" s="4"/>
      <c r="DT1897" s="4"/>
      <c r="DU1897" s="4"/>
      <c r="DV1897" s="4"/>
      <c r="DW1897" s="4"/>
      <c r="DX1897" s="4"/>
      <c r="DY1897" s="4"/>
      <c r="DZ1897" s="4"/>
      <c r="EA1897" s="4"/>
      <c r="EB1897" s="4"/>
      <c r="EC1897" s="4">
        <v>40</v>
      </c>
      <c r="ED1897" s="4"/>
      <c r="EE1897" s="4"/>
      <c r="EF1897" s="4"/>
      <c r="EG1897" s="4"/>
      <c r="EH1897" s="4"/>
      <c r="EI1897" s="4"/>
      <c r="EJ1897" s="4"/>
      <c r="EK1897" s="4"/>
      <c r="EL1897" s="4"/>
      <c r="EM1897" s="4"/>
      <c r="EN1897" s="4"/>
      <c r="EO1897" s="4"/>
      <c r="EP1897" s="4"/>
      <c r="EQ1897" s="4"/>
      <c r="ER1897" s="4"/>
      <c r="ES1897" s="4"/>
      <c r="ET1897" s="4"/>
      <c r="EU1897" s="4"/>
      <c r="EV1897" s="4"/>
      <c r="EW1897" s="4"/>
      <c r="EX1897" s="4">
        <v>109</v>
      </c>
      <c r="EY1897" s="4"/>
      <c r="EZ1897" s="4"/>
      <c r="FA1897" s="4"/>
      <c r="FB1897" s="4"/>
      <c r="FC1897" s="4"/>
      <c r="FD1897" s="4"/>
      <c r="FE1897" s="4"/>
      <c r="FF1897" s="4"/>
      <c r="FG1897" s="4"/>
      <c r="FH1897" s="4"/>
      <c r="FI1897" s="4"/>
      <c r="FJ1897" s="4"/>
      <c r="FK1897" s="4"/>
      <c r="FL1897" s="4"/>
      <c r="FM1897" s="4"/>
      <c r="FN1897" s="4"/>
      <c r="FO1897" s="4"/>
      <c r="FP1897" s="4"/>
      <c r="FQ1897" s="4"/>
      <c r="FR1897" s="4">
        <v>41</v>
      </c>
      <c r="FS1897" s="4"/>
      <c r="FT1897" s="4"/>
      <c r="FU1897" s="4"/>
      <c r="FV1897" s="4"/>
      <c r="FW1897" s="4"/>
      <c r="FX1897" s="4"/>
      <c r="FY1897" s="4"/>
      <c r="FZ1897" s="4"/>
      <c r="GA1897" s="4"/>
      <c r="GB1897" s="4"/>
      <c r="GC1897" s="4"/>
      <c r="GD1897" s="4"/>
      <c r="GE1897" s="4"/>
      <c r="GF1897" s="4"/>
      <c r="GG1897" s="4"/>
      <c r="GH1897" s="4"/>
      <c r="GI1897" s="4"/>
      <c r="GJ1897" s="4"/>
      <c r="GK1897" s="4"/>
      <c r="GL1897" s="4"/>
      <c r="GM1897" s="4"/>
      <c r="GN1897" s="4"/>
      <c r="GO1897" s="4"/>
      <c r="GP1897" s="4"/>
      <c r="GQ1897" s="4"/>
      <c r="GR1897" s="4"/>
      <c r="GS1897" s="4"/>
      <c r="GT1897" s="4"/>
      <c r="GU1897" s="4"/>
      <c r="GV1897" s="4"/>
      <c r="GW1897" s="4"/>
      <c r="GX1897" s="4"/>
      <c r="GY1897" s="4"/>
      <c r="GZ1897" s="4"/>
      <c r="HA1897" s="4"/>
      <c r="HB1897" s="4"/>
      <c r="HC1897" s="4"/>
      <c r="HD1897" s="4"/>
      <c r="HE1897" s="4"/>
    </row>
    <row r="1898">
      <c r="A1898" s="2" t="s">
        <v>9257</v>
      </c>
      <c r="B1898" s="2" t="s">
        <v>299</v>
      </c>
      <c r="C1898" s="2" t="s">
        <v>1184</v>
      </c>
      <c r="D1898" s="2" t="s">
        <v>301</v>
      </c>
      <c r="E1898" s="2" t="s">
        <v>302</v>
      </c>
      <c r="F1898" s="2" t="s">
        <v>9251</v>
      </c>
      <c r="G1898" s="2" t="s">
        <v>9251</v>
      </c>
      <c r="H1898" s="2" t="s">
        <v>9251</v>
      </c>
      <c r="I1898" s="2" t="s">
        <v>9252</v>
      </c>
      <c r="J1898" s="2" t="s">
        <v>289</v>
      </c>
      <c r="K1898" s="2" t="s">
        <v>2780</v>
      </c>
      <c r="L1898" s="3">
        <v>27</v>
      </c>
      <c r="M1898" s="3">
        <v>28.35</v>
      </c>
      <c r="N1898" s="3">
        <v>59.99</v>
      </c>
      <c r="O1898" s="2" t="s">
        <v>240</v>
      </c>
      <c r="P1898" s="2" t="s">
        <v>266</v>
      </c>
      <c r="Q1898" s="2" t="s">
        <v>234</v>
      </c>
      <c r="R1898" s="2" t="s">
        <v>228</v>
      </c>
      <c r="S1898" s="2" t="s">
        <v>9258</v>
      </c>
      <c r="T1898" s="2" t="s">
        <v>350</v>
      </c>
      <c r="U1898" s="2" t="s">
        <v>228</v>
      </c>
      <c r="V1898" s="2" t="s">
        <v>3625</v>
      </c>
      <c r="W1898" s="2" t="s">
        <v>269</v>
      </c>
      <c r="X1898" s="2" t="s">
        <v>228</v>
      </c>
      <c r="Y1898" s="2" t="s">
        <v>270</v>
      </c>
      <c r="Z1898" s="4">
        <v>23</v>
      </c>
      <c r="AA1898" s="4">
        <f>=ROUNDDOWN(1.27777777777778,0)</f>
      </c>
      <c r="AB1898" s="5">
        <v>18</v>
      </c>
      <c r="AC1898" s="2" t="s">
        <v>2114</v>
      </c>
      <c r="AD1898" s="4">
        <v>283</v>
      </c>
      <c r="AE1898" s="4">
        <v>573</v>
      </c>
      <c r="AF1898" s="6">
        <v>67</v>
      </c>
      <c r="AG1898" s="6"/>
      <c r="AH1898" s="7">
        <v>1</v>
      </c>
      <c r="AI1898" s="4"/>
      <c r="AJ1898" s="4">
        <f>=ROUNDDOWN({0},0)</f>
      </c>
      <c r="AK1898" s="5"/>
      <c r="AL1898" s="2" t="s">
        <v>228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/>
      <c r="AW1898" s="8"/>
      <c r="AX1898" s="4"/>
      <c r="AY1898" s="8"/>
      <c r="AZ1898" s="7"/>
      <c r="BA1898" s="7"/>
      <c r="BB1898" s="7"/>
      <c r="BC1898" s="4" t="s">
        <v>228</v>
      </c>
      <c r="BD1898" s="8" t="s">
        <v>228</v>
      </c>
      <c r="BE1898" s="4" t="s">
        <v>228</v>
      </c>
      <c r="BF1898" s="8" t="s">
        <v>228</v>
      </c>
      <c r="BG1898" s="7" t="s">
        <v>228</v>
      </c>
      <c r="BH1898" s="7" t="s">
        <v>228</v>
      </c>
      <c r="BI1898" s="7"/>
      <c r="BJ1898" s="4">
        <v>77</v>
      </c>
      <c r="BK1898" s="8">
        <v>2104.68</v>
      </c>
      <c r="BL1898" s="2" t="s">
        <v>9259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9260</v>
      </c>
      <c r="BV1898" s="2" t="s">
        <v>228</v>
      </c>
      <c r="BW1898" s="2" t="s">
        <v>228</v>
      </c>
      <c r="BX1898" s="2" t="s">
        <v>273</v>
      </c>
      <c r="BY1898" s="2" t="s">
        <v>274</v>
      </c>
      <c r="BZ1898" s="2" t="s">
        <v>240</v>
      </c>
      <c r="CA1898" s="2" t="s">
        <v>275</v>
      </c>
      <c r="CB1898" s="2" t="s">
        <v>3746</v>
      </c>
      <c r="CC1898" s="2" t="s">
        <v>241</v>
      </c>
      <c r="CD1898" s="2" t="s">
        <v>228</v>
      </c>
      <c r="CE1898" s="4">
        <v>23</v>
      </c>
      <c r="CF1898" s="4"/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  <c r="CW1898" s="4"/>
      <c r="CX1898" s="4"/>
      <c r="CY1898" s="4"/>
      <c r="CZ1898" s="4"/>
      <c r="DA1898" s="4"/>
      <c r="DB1898" s="4"/>
      <c r="DC1898" s="4"/>
      <c r="DD1898" s="4"/>
      <c r="DE1898" s="4"/>
      <c r="DF1898" s="4"/>
      <c r="DG1898" s="4"/>
      <c r="DH1898" s="4"/>
      <c r="DI1898" s="4"/>
      <c r="DJ1898" s="4"/>
      <c r="DK1898" s="4"/>
      <c r="DL1898" s="4"/>
      <c r="DM1898" s="4"/>
      <c r="DN1898" s="4">
        <v>283</v>
      </c>
      <c r="DO1898" s="4"/>
      <c r="DP1898" s="4"/>
      <c r="DQ1898" s="4"/>
      <c r="DR1898" s="4"/>
      <c r="DS1898" s="4"/>
      <c r="DT1898" s="4"/>
      <c r="DU1898" s="4"/>
      <c r="DV1898" s="4"/>
      <c r="DW1898" s="4"/>
      <c r="DX1898" s="4"/>
      <c r="DY1898" s="4"/>
      <c r="DZ1898" s="4"/>
      <c r="EA1898" s="4"/>
      <c r="EB1898" s="4"/>
      <c r="EC1898" s="4"/>
      <c r="ED1898" s="4"/>
      <c r="EE1898" s="4"/>
      <c r="EF1898" s="4"/>
      <c r="EG1898" s="4"/>
      <c r="EH1898" s="4"/>
      <c r="EI1898" s="4"/>
      <c r="EJ1898" s="4"/>
      <c r="EK1898" s="4"/>
      <c r="EL1898" s="4"/>
      <c r="EM1898" s="4"/>
      <c r="EN1898" s="4"/>
      <c r="EO1898" s="4"/>
      <c r="EP1898" s="4"/>
      <c r="EQ1898" s="4"/>
      <c r="ER1898" s="4"/>
      <c r="ES1898" s="4"/>
      <c r="ET1898" s="4"/>
      <c r="EU1898" s="4"/>
      <c r="EV1898" s="4"/>
      <c r="EW1898" s="4"/>
      <c r="EX1898" s="4"/>
      <c r="EY1898" s="4"/>
      <c r="EZ1898" s="4"/>
      <c r="FA1898" s="4"/>
      <c r="FB1898" s="4"/>
      <c r="FC1898" s="4"/>
      <c r="FD1898" s="4"/>
      <c r="FE1898" s="4"/>
      <c r="FF1898" s="4"/>
      <c r="FG1898" s="4"/>
      <c r="FH1898" s="4"/>
      <c r="FI1898" s="4">
        <v>110</v>
      </c>
      <c r="FJ1898" s="4"/>
      <c r="FK1898" s="4"/>
      <c r="FL1898" s="4"/>
      <c r="FM1898" s="4"/>
      <c r="FN1898" s="4"/>
      <c r="FO1898" s="4"/>
      <c r="FP1898" s="4"/>
      <c r="FQ1898" s="4"/>
      <c r="FR1898" s="4"/>
      <c r="FS1898" s="4"/>
      <c r="FT1898" s="4"/>
      <c r="FU1898" s="4"/>
      <c r="FV1898" s="4"/>
      <c r="FW1898" s="4"/>
      <c r="FX1898" s="4"/>
      <c r="FY1898" s="4"/>
      <c r="FZ1898" s="4"/>
      <c r="GA1898" s="4"/>
      <c r="GB1898" s="4"/>
      <c r="GC1898" s="4"/>
      <c r="GD1898" s="4"/>
      <c r="GE1898" s="4"/>
      <c r="GF1898" s="4"/>
      <c r="GG1898" s="4"/>
      <c r="GH1898" s="4"/>
      <c r="GI1898" s="4"/>
      <c r="GJ1898" s="4"/>
      <c r="GK1898" s="4"/>
      <c r="GL1898" s="4"/>
      <c r="GM1898" s="4"/>
      <c r="GN1898" s="4">
        <v>140</v>
      </c>
      <c r="GO1898" s="4"/>
      <c r="GP1898" s="4"/>
      <c r="GQ1898" s="4"/>
      <c r="GR1898" s="4"/>
      <c r="GS1898" s="4"/>
      <c r="GT1898" s="4"/>
      <c r="GU1898" s="4"/>
      <c r="GV1898" s="4"/>
      <c r="GW1898" s="4"/>
      <c r="GX1898" s="4"/>
      <c r="GY1898" s="4"/>
      <c r="GZ1898" s="4"/>
      <c r="HA1898" s="4"/>
      <c r="HB1898" s="4"/>
      <c r="HC1898" s="4"/>
      <c r="HD1898" s="4"/>
      <c r="HE1898" s="4">
        <v>40</v>
      </c>
    </row>
    <row r="1899">
      <c r="A1899" s="2" t="s">
        <v>9261</v>
      </c>
      <c r="B1899" s="2" t="s">
        <v>299</v>
      </c>
      <c r="C1899" s="2" t="s">
        <v>1184</v>
      </c>
      <c r="D1899" s="2" t="s">
        <v>301</v>
      </c>
      <c r="E1899" s="2" t="s">
        <v>302</v>
      </c>
      <c r="F1899" s="2" t="s">
        <v>9251</v>
      </c>
      <c r="G1899" s="2" t="s">
        <v>9251</v>
      </c>
      <c r="H1899" s="2" t="s">
        <v>9251</v>
      </c>
      <c r="I1899" s="2" t="s">
        <v>9252</v>
      </c>
      <c r="J1899" s="2" t="s">
        <v>264</v>
      </c>
      <c r="K1899" s="2" t="s">
        <v>525</v>
      </c>
      <c r="L1899" s="3">
        <v>21.6</v>
      </c>
      <c r="M1899" s="3">
        <v>22.68</v>
      </c>
      <c r="N1899" s="3">
        <v>47.99</v>
      </c>
      <c r="O1899" s="2" t="s">
        <v>240</v>
      </c>
      <c r="P1899" s="2" t="s">
        <v>266</v>
      </c>
      <c r="Q1899" s="2" t="s">
        <v>234</v>
      </c>
      <c r="R1899" s="2" t="s">
        <v>228</v>
      </c>
      <c r="S1899" s="2" t="s">
        <v>9262</v>
      </c>
      <c r="T1899" s="2" t="s">
        <v>350</v>
      </c>
      <c r="U1899" s="2" t="s">
        <v>228</v>
      </c>
      <c r="V1899" s="2" t="s">
        <v>3625</v>
      </c>
      <c r="W1899" s="2" t="s">
        <v>269</v>
      </c>
      <c r="X1899" s="2" t="s">
        <v>228</v>
      </c>
      <c r="Y1899" s="2" t="s">
        <v>270</v>
      </c>
      <c r="Z1899" s="4">
        <v>348</v>
      </c>
      <c r="AA1899" s="4">
        <f>=ROUNDDOWN(71.0204081632653,0)</f>
      </c>
      <c r="AB1899" s="5">
        <v>4.9</v>
      </c>
      <c r="AC1899" s="2" t="s">
        <v>228</v>
      </c>
      <c r="AD1899" s="4"/>
      <c r="AE1899" s="4"/>
      <c r="AF1899" s="6">
        <v>67</v>
      </c>
      <c r="AG1899" s="6"/>
      <c r="AH1899" s="7">
        <v>1</v>
      </c>
      <c r="AI1899" s="4"/>
      <c r="AJ1899" s="4">
        <f>=ROUNDDOWN({0},0)</f>
      </c>
      <c r="AK1899" s="5"/>
      <c r="AL1899" s="2" t="s">
        <v>228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 t="s">
        <v>228</v>
      </c>
      <c r="AW1899" s="8" t="s">
        <v>228</v>
      </c>
      <c r="AX1899" s="4" t="s">
        <v>228</v>
      </c>
      <c r="AY1899" s="8" t="s">
        <v>228</v>
      </c>
      <c r="AZ1899" s="7" t="s">
        <v>228</v>
      </c>
      <c r="BA1899" s="7" t="s">
        <v>228</v>
      </c>
      <c r="BB1899" s="7"/>
      <c r="BC1899" s="4" t="s">
        <v>228</v>
      </c>
      <c r="BD1899" s="8" t="s">
        <v>228</v>
      </c>
      <c r="BE1899" s="4" t="s">
        <v>228</v>
      </c>
      <c r="BF1899" s="8" t="s">
        <v>228</v>
      </c>
      <c r="BG1899" s="7" t="s">
        <v>228</v>
      </c>
      <c r="BH1899" s="7" t="s">
        <v>228</v>
      </c>
      <c r="BI1899" s="7"/>
      <c r="BJ1899" s="4">
        <v>23</v>
      </c>
      <c r="BK1899" s="8">
        <v>520.98</v>
      </c>
      <c r="BL1899" s="2" t="s">
        <v>681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9263</v>
      </c>
      <c r="BV1899" s="2" t="s">
        <v>228</v>
      </c>
      <c r="BW1899" s="2" t="s">
        <v>228</v>
      </c>
      <c r="BX1899" s="2" t="s">
        <v>273</v>
      </c>
      <c r="BY1899" s="2" t="s">
        <v>274</v>
      </c>
      <c r="BZ1899" s="2" t="s">
        <v>240</v>
      </c>
      <c r="CA1899" s="2" t="s">
        <v>3872</v>
      </c>
      <c r="CB1899" s="2" t="s">
        <v>9264</v>
      </c>
      <c r="CC1899" s="2" t="s">
        <v>241</v>
      </c>
      <c r="CD1899" s="2" t="s">
        <v>228</v>
      </c>
      <c r="CE1899" s="4">
        <v>348</v>
      </c>
      <c r="CF1899" s="4"/>
      <c r="CG1899" s="4"/>
      <c r="CH1899" s="4"/>
      <c r="CI1899" s="4"/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/>
      <c r="CV1899" s="4"/>
      <c r="CW1899" s="4"/>
      <c r="CX1899" s="4"/>
      <c r="CY1899" s="4"/>
      <c r="CZ1899" s="4"/>
      <c r="DA1899" s="4"/>
      <c r="DB1899" s="4"/>
      <c r="DC1899" s="4"/>
      <c r="DD1899" s="4"/>
      <c r="DE1899" s="4"/>
      <c r="DF1899" s="4"/>
      <c r="DG1899" s="4"/>
      <c r="DH1899" s="4"/>
      <c r="DI1899" s="4"/>
      <c r="DJ1899" s="4"/>
      <c r="DK1899" s="4"/>
      <c r="DL1899" s="4"/>
      <c r="DM1899" s="4"/>
      <c r="DN1899" s="4"/>
      <c r="DO1899" s="4"/>
      <c r="DP1899" s="4"/>
      <c r="DQ1899" s="4"/>
      <c r="DR1899" s="4"/>
      <c r="DS1899" s="4"/>
      <c r="DT1899" s="4"/>
      <c r="DU1899" s="4"/>
      <c r="DV1899" s="4"/>
      <c r="DW1899" s="4"/>
      <c r="DX1899" s="4"/>
      <c r="DY1899" s="4"/>
      <c r="DZ1899" s="4"/>
      <c r="EA1899" s="4"/>
      <c r="EB1899" s="4"/>
      <c r="EC1899" s="4"/>
      <c r="ED1899" s="4"/>
      <c r="EE1899" s="4"/>
      <c r="EF1899" s="4"/>
      <c r="EG1899" s="4"/>
      <c r="EH1899" s="4"/>
      <c r="EI1899" s="4"/>
      <c r="EJ1899" s="4"/>
      <c r="EK1899" s="4"/>
      <c r="EL1899" s="4"/>
      <c r="EM1899" s="4"/>
      <c r="EN1899" s="4"/>
      <c r="EO1899" s="4"/>
      <c r="EP1899" s="4"/>
      <c r="EQ1899" s="4"/>
      <c r="ER1899" s="4"/>
      <c r="ES1899" s="4"/>
      <c r="ET1899" s="4"/>
      <c r="EU1899" s="4"/>
      <c r="EV1899" s="4"/>
      <c r="EW1899" s="4"/>
      <c r="EX1899" s="4"/>
      <c r="EY1899" s="4"/>
      <c r="EZ1899" s="4"/>
      <c r="FA1899" s="4"/>
      <c r="FB1899" s="4"/>
      <c r="FC1899" s="4"/>
      <c r="FD1899" s="4"/>
      <c r="FE1899" s="4"/>
      <c r="FF1899" s="4"/>
      <c r="FG1899" s="4"/>
      <c r="FH1899" s="4"/>
      <c r="FI1899" s="4"/>
      <c r="FJ1899" s="4"/>
      <c r="FK1899" s="4"/>
      <c r="FL1899" s="4"/>
      <c r="FM1899" s="4"/>
      <c r="FN1899" s="4"/>
      <c r="FO1899" s="4"/>
      <c r="FP1899" s="4"/>
      <c r="FQ1899" s="4"/>
      <c r="FR1899" s="4"/>
      <c r="FS1899" s="4"/>
      <c r="FT1899" s="4"/>
      <c r="FU1899" s="4"/>
      <c r="FV1899" s="4"/>
      <c r="FW1899" s="4"/>
      <c r="FX1899" s="4"/>
      <c r="FY1899" s="4"/>
      <c r="FZ1899" s="4"/>
      <c r="GA1899" s="4"/>
      <c r="GB1899" s="4"/>
      <c r="GC1899" s="4"/>
      <c r="GD1899" s="4"/>
      <c r="GE1899" s="4"/>
      <c r="GF1899" s="4"/>
      <c r="GG1899" s="4"/>
      <c r="GH1899" s="4"/>
      <c r="GI1899" s="4"/>
      <c r="GJ1899" s="4"/>
      <c r="GK1899" s="4"/>
      <c r="GL1899" s="4"/>
      <c r="GM1899" s="4"/>
      <c r="GN1899" s="4"/>
      <c r="GO1899" s="4"/>
      <c r="GP1899" s="4"/>
      <c r="GQ1899" s="4"/>
      <c r="GR1899" s="4"/>
      <c r="GS1899" s="4"/>
      <c r="GT1899" s="4"/>
      <c r="GU1899" s="4"/>
      <c r="GV1899" s="4"/>
      <c r="GW1899" s="4"/>
      <c r="GX1899" s="4"/>
      <c r="GY1899" s="4"/>
      <c r="GZ1899" s="4"/>
      <c r="HA1899" s="4"/>
      <c r="HB1899" s="4"/>
      <c r="HC1899" s="4"/>
      <c r="HD1899" s="4"/>
      <c r="HE1899" s="4"/>
    </row>
    <row r="1900">
      <c r="A1900" s="2" t="s">
        <v>9265</v>
      </c>
      <c r="B1900" s="2" t="s">
        <v>299</v>
      </c>
      <c r="C1900" s="2" t="s">
        <v>1184</v>
      </c>
      <c r="D1900" s="2" t="s">
        <v>301</v>
      </c>
      <c r="E1900" s="2" t="s">
        <v>302</v>
      </c>
      <c r="F1900" s="2" t="s">
        <v>9251</v>
      </c>
      <c r="G1900" s="2" t="s">
        <v>9251</v>
      </c>
      <c r="H1900" s="2" t="s">
        <v>9251</v>
      </c>
      <c r="I1900" s="2" t="s">
        <v>9252</v>
      </c>
      <c r="J1900" s="2" t="s">
        <v>284</v>
      </c>
      <c r="K1900" s="2" t="s">
        <v>525</v>
      </c>
      <c r="L1900" s="3">
        <v>24.75</v>
      </c>
      <c r="M1900" s="3">
        <v>25.99</v>
      </c>
      <c r="N1900" s="3">
        <v>54.99</v>
      </c>
      <c r="O1900" s="2" t="s">
        <v>240</v>
      </c>
      <c r="P1900" s="2" t="s">
        <v>266</v>
      </c>
      <c r="Q1900" s="2" t="s">
        <v>234</v>
      </c>
      <c r="R1900" s="2" t="s">
        <v>228</v>
      </c>
      <c r="S1900" s="2" t="s">
        <v>9262</v>
      </c>
      <c r="T1900" s="2" t="s">
        <v>350</v>
      </c>
      <c r="U1900" s="2" t="s">
        <v>228</v>
      </c>
      <c r="V1900" s="2" t="s">
        <v>3625</v>
      </c>
      <c r="W1900" s="2" t="s">
        <v>269</v>
      </c>
      <c r="X1900" s="2" t="s">
        <v>228</v>
      </c>
      <c r="Y1900" s="2" t="s">
        <v>270</v>
      </c>
      <c r="Z1900" s="4">
        <v>140</v>
      </c>
      <c r="AA1900" s="4">
        <f>=ROUNDDOWN(48.2758620689655,0)</f>
      </c>
      <c r="AB1900" s="5">
        <v>2.9</v>
      </c>
      <c r="AC1900" s="2" t="s">
        <v>228</v>
      </c>
      <c r="AD1900" s="4"/>
      <c r="AE1900" s="4"/>
      <c r="AF1900" s="6">
        <v>67</v>
      </c>
      <c r="AG1900" s="6"/>
      <c r="AH1900" s="7">
        <v>1</v>
      </c>
      <c r="AI1900" s="4"/>
      <c r="AJ1900" s="4">
        <f>=ROUNDDOWN({0},0)</f>
      </c>
      <c r="AK1900" s="5"/>
      <c r="AL1900" s="2" t="s">
        <v>228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 t="s">
        <v>228</v>
      </c>
      <c r="AW1900" s="8" t="s">
        <v>228</v>
      </c>
      <c r="AX1900" s="4" t="s">
        <v>228</v>
      </c>
      <c r="AY1900" s="8" t="s">
        <v>228</v>
      </c>
      <c r="AZ1900" s="7" t="s">
        <v>228</v>
      </c>
      <c r="BA1900" s="7" t="s">
        <v>228</v>
      </c>
      <c r="BB1900" s="7"/>
      <c r="BC1900" s="4" t="s">
        <v>228</v>
      </c>
      <c r="BD1900" s="8" t="s">
        <v>228</v>
      </c>
      <c r="BE1900" s="4" t="s">
        <v>228</v>
      </c>
      <c r="BF1900" s="8" t="s">
        <v>228</v>
      </c>
      <c r="BG1900" s="7" t="s">
        <v>228</v>
      </c>
      <c r="BH1900" s="7" t="s">
        <v>228</v>
      </c>
      <c r="BI1900" s="7"/>
      <c r="BJ1900" s="4">
        <v>24</v>
      </c>
      <c r="BK1900" s="8">
        <v>585.62</v>
      </c>
      <c r="BL1900" s="2" t="s">
        <v>9266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9267</v>
      </c>
      <c r="BV1900" s="2" t="s">
        <v>228</v>
      </c>
      <c r="BW1900" s="2" t="s">
        <v>228</v>
      </c>
      <c r="BX1900" s="2" t="s">
        <v>273</v>
      </c>
      <c r="BY1900" s="2" t="s">
        <v>274</v>
      </c>
      <c r="BZ1900" s="2" t="s">
        <v>240</v>
      </c>
      <c r="CA1900" s="2" t="s">
        <v>3872</v>
      </c>
      <c r="CB1900" s="2" t="s">
        <v>9268</v>
      </c>
      <c r="CC1900" s="2" t="s">
        <v>241</v>
      </c>
      <c r="CD1900" s="2" t="s">
        <v>228</v>
      </c>
      <c r="CE1900" s="4">
        <v>140</v>
      </c>
      <c r="CF1900" s="4"/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/>
      <c r="CX1900" s="4"/>
      <c r="CY1900" s="4"/>
      <c r="CZ1900" s="4"/>
      <c r="DA1900" s="4"/>
      <c r="DB1900" s="4"/>
      <c r="DC1900" s="4"/>
      <c r="DD1900" s="4"/>
      <c r="DE1900" s="4"/>
      <c r="DF1900" s="4"/>
      <c r="DG1900" s="4"/>
      <c r="DH1900" s="4"/>
      <c r="DI1900" s="4"/>
      <c r="DJ1900" s="4"/>
      <c r="DK1900" s="4"/>
      <c r="DL1900" s="4"/>
      <c r="DM1900" s="4"/>
      <c r="DN1900" s="4"/>
      <c r="DO1900" s="4"/>
      <c r="DP1900" s="4"/>
      <c r="DQ1900" s="4"/>
      <c r="DR1900" s="4"/>
      <c r="DS1900" s="4"/>
      <c r="DT1900" s="4"/>
      <c r="DU1900" s="4"/>
      <c r="DV1900" s="4"/>
      <c r="DW1900" s="4"/>
      <c r="DX1900" s="4"/>
      <c r="DY1900" s="4"/>
      <c r="DZ1900" s="4"/>
      <c r="EA1900" s="4"/>
      <c r="EB1900" s="4"/>
      <c r="EC1900" s="4"/>
      <c r="ED1900" s="4"/>
      <c r="EE1900" s="4"/>
      <c r="EF1900" s="4"/>
      <c r="EG1900" s="4"/>
      <c r="EH1900" s="4"/>
      <c r="EI1900" s="4"/>
      <c r="EJ1900" s="4"/>
      <c r="EK1900" s="4"/>
      <c r="EL1900" s="4"/>
      <c r="EM1900" s="4"/>
      <c r="EN1900" s="4"/>
      <c r="EO1900" s="4"/>
      <c r="EP1900" s="4"/>
      <c r="EQ1900" s="4"/>
      <c r="ER1900" s="4"/>
      <c r="ES1900" s="4"/>
      <c r="ET1900" s="4"/>
      <c r="EU1900" s="4"/>
      <c r="EV1900" s="4"/>
      <c r="EW1900" s="4"/>
      <c r="EX1900" s="4"/>
      <c r="EY1900" s="4"/>
      <c r="EZ1900" s="4"/>
      <c r="FA1900" s="4"/>
      <c r="FB1900" s="4"/>
      <c r="FC1900" s="4"/>
      <c r="FD1900" s="4"/>
      <c r="FE1900" s="4"/>
      <c r="FF1900" s="4"/>
      <c r="FG1900" s="4"/>
      <c r="FH1900" s="4"/>
      <c r="FI1900" s="4"/>
      <c r="FJ1900" s="4"/>
      <c r="FK1900" s="4"/>
      <c r="FL1900" s="4"/>
      <c r="FM1900" s="4"/>
      <c r="FN1900" s="4"/>
      <c r="FO1900" s="4"/>
      <c r="FP1900" s="4"/>
      <c r="FQ1900" s="4"/>
      <c r="FR1900" s="4"/>
      <c r="FS1900" s="4"/>
      <c r="FT1900" s="4"/>
      <c r="FU1900" s="4"/>
      <c r="FV1900" s="4"/>
      <c r="FW1900" s="4"/>
      <c r="FX1900" s="4"/>
      <c r="FY1900" s="4"/>
      <c r="FZ1900" s="4"/>
      <c r="GA1900" s="4"/>
      <c r="GB1900" s="4"/>
      <c r="GC1900" s="4"/>
      <c r="GD1900" s="4"/>
      <c r="GE1900" s="4"/>
      <c r="GF1900" s="4"/>
      <c r="GG1900" s="4"/>
      <c r="GH1900" s="4"/>
      <c r="GI1900" s="4"/>
      <c r="GJ1900" s="4"/>
      <c r="GK1900" s="4"/>
      <c r="GL1900" s="4"/>
      <c r="GM1900" s="4"/>
      <c r="GN1900" s="4"/>
      <c r="GO1900" s="4"/>
      <c r="GP1900" s="4"/>
      <c r="GQ1900" s="4"/>
      <c r="GR1900" s="4"/>
      <c r="GS1900" s="4"/>
      <c r="GT1900" s="4"/>
      <c r="GU1900" s="4"/>
      <c r="GV1900" s="4"/>
      <c r="GW1900" s="4"/>
      <c r="GX1900" s="4"/>
      <c r="GY1900" s="4"/>
      <c r="GZ1900" s="4"/>
      <c r="HA1900" s="4"/>
      <c r="HB1900" s="4"/>
      <c r="HC1900" s="4"/>
      <c r="HD1900" s="4"/>
      <c r="HE1900" s="4"/>
    </row>
    <row r="1901">
      <c r="A1901" s="2" t="s">
        <v>9269</v>
      </c>
      <c r="B1901" s="2" t="s">
        <v>299</v>
      </c>
      <c r="C1901" s="2" t="s">
        <v>1184</v>
      </c>
      <c r="D1901" s="2" t="s">
        <v>301</v>
      </c>
      <c r="E1901" s="2" t="s">
        <v>302</v>
      </c>
      <c r="F1901" s="2" t="s">
        <v>9251</v>
      </c>
      <c r="G1901" s="2" t="s">
        <v>9251</v>
      </c>
      <c r="H1901" s="2" t="s">
        <v>9251</v>
      </c>
      <c r="I1901" s="2" t="s">
        <v>9252</v>
      </c>
      <c r="J1901" s="2" t="s">
        <v>289</v>
      </c>
      <c r="K1901" s="2" t="s">
        <v>525</v>
      </c>
      <c r="L1901" s="3">
        <v>27</v>
      </c>
      <c r="M1901" s="3">
        <v>28.35</v>
      </c>
      <c r="N1901" s="3">
        <v>59.99</v>
      </c>
      <c r="O1901" s="2" t="s">
        <v>240</v>
      </c>
      <c r="P1901" s="2" t="s">
        <v>266</v>
      </c>
      <c r="Q1901" s="2" t="s">
        <v>234</v>
      </c>
      <c r="R1901" s="2" t="s">
        <v>228</v>
      </c>
      <c r="S1901" s="2" t="s">
        <v>9262</v>
      </c>
      <c r="T1901" s="2" t="s">
        <v>350</v>
      </c>
      <c r="U1901" s="2" t="s">
        <v>228</v>
      </c>
      <c r="V1901" s="2" t="s">
        <v>3625</v>
      </c>
      <c r="W1901" s="2" t="s">
        <v>269</v>
      </c>
      <c r="X1901" s="2" t="s">
        <v>228</v>
      </c>
      <c r="Y1901" s="2" t="s">
        <v>270</v>
      </c>
      <c r="Z1901" s="4">
        <v>114</v>
      </c>
      <c r="AA1901" s="4">
        <f>=ROUNDDOWN(22.8,0)</f>
      </c>
      <c r="AB1901" s="5">
        <v>5</v>
      </c>
      <c r="AC1901" s="2" t="s">
        <v>228</v>
      </c>
      <c r="AD1901" s="4"/>
      <c r="AE1901" s="4"/>
      <c r="AF1901" s="6">
        <v>67</v>
      </c>
      <c r="AG1901" s="6"/>
      <c r="AH1901" s="7">
        <v>1</v>
      </c>
      <c r="AI1901" s="4"/>
      <c r="AJ1901" s="4">
        <f>=ROUNDDOWN({0},0)</f>
      </c>
      <c r="AK1901" s="5"/>
      <c r="AL1901" s="2" t="s">
        <v>228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 t="s">
        <v>228</v>
      </c>
      <c r="AW1901" s="8" t="s">
        <v>228</v>
      </c>
      <c r="AX1901" s="4" t="s">
        <v>228</v>
      </c>
      <c r="AY1901" s="8" t="s">
        <v>228</v>
      </c>
      <c r="AZ1901" s="7" t="s">
        <v>228</v>
      </c>
      <c r="BA1901" s="7" t="s">
        <v>228</v>
      </c>
      <c r="BB1901" s="7"/>
      <c r="BC1901" s="4" t="s">
        <v>228</v>
      </c>
      <c r="BD1901" s="8" t="s">
        <v>228</v>
      </c>
      <c r="BE1901" s="4" t="s">
        <v>228</v>
      </c>
      <c r="BF1901" s="8" t="s">
        <v>228</v>
      </c>
      <c r="BG1901" s="7" t="s">
        <v>228</v>
      </c>
      <c r="BH1901" s="7" t="s">
        <v>228</v>
      </c>
      <c r="BI1901" s="7"/>
      <c r="BJ1901" s="4">
        <v>31</v>
      </c>
      <c r="BK1901" s="8">
        <v>887.19</v>
      </c>
      <c r="BL1901" s="2" t="s">
        <v>9270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9271</v>
      </c>
      <c r="BV1901" s="2" t="s">
        <v>228</v>
      </c>
      <c r="BW1901" s="2" t="s">
        <v>228</v>
      </c>
      <c r="BX1901" s="2" t="s">
        <v>273</v>
      </c>
      <c r="BY1901" s="2" t="s">
        <v>274</v>
      </c>
      <c r="BZ1901" s="2" t="s">
        <v>240</v>
      </c>
      <c r="CA1901" s="2" t="s">
        <v>3872</v>
      </c>
      <c r="CB1901" s="2" t="s">
        <v>9272</v>
      </c>
      <c r="CC1901" s="2" t="s">
        <v>241</v>
      </c>
      <c r="CD1901" s="2" t="s">
        <v>228</v>
      </c>
      <c r="CE1901" s="4">
        <v>114</v>
      </c>
      <c r="CF1901" s="4"/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/>
      <c r="CX1901" s="4"/>
      <c r="CY1901" s="4"/>
      <c r="CZ1901" s="4"/>
      <c r="DA1901" s="4"/>
      <c r="DB1901" s="4"/>
      <c r="DC1901" s="4"/>
      <c r="DD1901" s="4"/>
      <c r="DE1901" s="4"/>
      <c r="DF1901" s="4"/>
      <c r="DG1901" s="4"/>
      <c r="DH1901" s="4"/>
      <c r="DI1901" s="4"/>
      <c r="DJ1901" s="4"/>
      <c r="DK1901" s="4"/>
      <c r="DL1901" s="4"/>
      <c r="DM1901" s="4"/>
      <c r="DN1901" s="4"/>
      <c r="DO1901" s="4"/>
      <c r="DP1901" s="4"/>
      <c r="DQ1901" s="4"/>
      <c r="DR1901" s="4"/>
      <c r="DS1901" s="4"/>
      <c r="DT1901" s="4"/>
      <c r="DU1901" s="4"/>
      <c r="DV1901" s="4"/>
      <c r="DW1901" s="4"/>
      <c r="DX1901" s="4"/>
      <c r="DY1901" s="4"/>
      <c r="DZ1901" s="4"/>
      <c r="EA1901" s="4"/>
      <c r="EB1901" s="4"/>
      <c r="EC1901" s="4"/>
      <c r="ED1901" s="4"/>
      <c r="EE1901" s="4"/>
      <c r="EF1901" s="4"/>
      <c r="EG1901" s="4"/>
      <c r="EH1901" s="4"/>
      <c r="EI1901" s="4"/>
      <c r="EJ1901" s="4"/>
      <c r="EK1901" s="4"/>
      <c r="EL1901" s="4"/>
      <c r="EM1901" s="4"/>
      <c r="EN1901" s="4"/>
      <c r="EO1901" s="4"/>
      <c r="EP1901" s="4"/>
      <c r="EQ1901" s="4"/>
      <c r="ER1901" s="4"/>
      <c r="ES1901" s="4"/>
      <c r="ET1901" s="4"/>
      <c r="EU1901" s="4"/>
      <c r="EV1901" s="4"/>
      <c r="EW1901" s="4"/>
      <c r="EX1901" s="4"/>
      <c r="EY1901" s="4"/>
      <c r="EZ1901" s="4"/>
      <c r="FA1901" s="4"/>
      <c r="FB1901" s="4"/>
      <c r="FC1901" s="4"/>
      <c r="FD1901" s="4"/>
      <c r="FE1901" s="4"/>
      <c r="FF1901" s="4"/>
      <c r="FG1901" s="4"/>
      <c r="FH1901" s="4"/>
      <c r="FI1901" s="4"/>
      <c r="FJ1901" s="4"/>
      <c r="FK1901" s="4"/>
      <c r="FL1901" s="4"/>
      <c r="FM1901" s="4"/>
      <c r="FN1901" s="4"/>
      <c r="FO1901" s="4"/>
      <c r="FP1901" s="4"/>
      <c r="FQ1901" s="4"/>
      <c r="FR1901" s="4"/>
      <c r="FS1901" s="4"/>
      <c r="FT1901" s="4"/>
      <c r="FU1901" s="4"/>
      <c r="FV1901" s="4"/>
      <c r="FW1901" s="4"/>
      <c r="FX1901" s="4"/>
      <c r="FY1901" s="4"/>
      <c r="FZ1901" s="4"/>
      <c r="GA1901" s="4"/>
      <c r="GB1901" s="4"/>
      <c r="GC1901" s="4"/>
      <c r="GD1901" s="4"/>
      <c r="GE1901" s="4"/>
      <c r="GF1901" s="4"/>
      <c r="GG1901" s="4"/>
      <c r="GH1901" s="4"/>
      <c r="GI1901" s="4"/>
      <c r="GJ1901" s="4"/>
      <c r="GK1901" s="4"/>
      <c r="GL1901" s="4"/>
      <c r="GM1901" s="4"/>
      <c r="GN1901" s="4"/>
      <c r="GO1901" s="4"/>
      <c r="GP1901" s="4"/>
      <c r="GQ1901" s="4"/>
      <c r="GR1901" s="4"/>
      <c r="GS1901" s="4"/>
      <c r="GT1901" s="4"/>
      <c r="GU1901" s="4"/>
      <c r="GV1901" s="4"/>
      <c r="GW1901" s="4"/>
      <c r="GX1901" s="4"/>
      <c r="GY1901" s="4"/>
      <c r="GZ1901" s="4"/>
      <c r="HA1901" s="4"/>
      <c r="HB1901" s="4"/>
      <c r="HC1901" s="4"/>
      <c r="HD1901" s="4"/>
      <c r="HE1901" s="4"/>
    </row>
    <row r="1902">
      <c r="A1902" s="2" t="s">
        <v>9273</v>
      </c>
      <c r="B1902" s="2" t="s">
        <v>970</v>
      </c>
      <c r="C1902" s="2" t="s">
        <v>9274</v>
      </c>
      <c r="D1902" s="2" t="s">
        <v>971</v>
      </c>
      <c r="E1902" s="2" t="s">
        <v>972</v>
      </c>
      <c r="F1902" s="2" t="s">
        <v>9275</v>
      </c>
      <c r="G1902" s="2" t="s">
        <v>228</v>
      </c>
      <c r="H1902" s="2" t="s">
        <v>228</v>
      </c>
      <c r="I1902" s="2" t="s">
        <v>9276</v>
      </c>
      <c r="J1902" s="2" t="s">
        <v>9277</v>
      </c>
      <c r="K1902" s="2" t="s">
        <v>556</v>
      </c>
      <c r="L1902" s="3">
        <v>19.99</v>
      </c>
      <c r="M1902" s="3">
        <v>20.99</v>
      </c>
      <c r="N1902" s="3"/>
      <c r="O1902" s="2" t="s">
        <v>240</v>
      </c>
      <c r="P1902" s="2" t="s">
        <v>233</v>
      </c>
      <c r="Q1902" s="2" t="s">
        <v>234</v>
      </c>
      <c r="R1902" s="2" t="s">
        <v>9278</v>
      </c>
      <c r="S1902" s="2" t="s">
        <v>228</v>
      </c>
      <c r="T1902" s="2" t="s">
        <v>228</v>
      </c>
      <c r="U1902" s="2" t="s">
        <v>228</v>
      </c>
      <c r="V1902" s="2" t="s">
        <v>236</v>
      </c>
      <c r="W1902" s="2" t="s">
        <v>228</v>
      </c>
      <c r="X1902" s="2" t="s">
        <v>228</v>
      </c>
      <c r="Y1902" s="2" t="s">
        <v>9279</v>
      </c>
      <c r="Z1902" s="4"/>
      <c r="AA1902" s="4">
        <f>=ROUNDDOWN({0},0)</f>
      </c>
      <c r="AB1902" s="5"/>
      <c r="AC1902" s="2" t="s">
        <v>228</v>
      </c>
      <c r="AD1902" s="4"/>
      <c r="AE1902" s="4"/>
      <c r="AF1902" s="6"/>
      <c r="AG1902" s="6"/>
      <c r="AH1902" s="7"/>
      <c r="AI1902" s="4"/>
      <c r="AJ1902" s="4">
        <f>=ROUNDDOWN({0},0)</f>
      </c>
      <c r="AK1902" s="5"/>
      <c r="AL1902" s="2" t="s">
        <v>228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 t="s">
        <v>228</v>
      </c>
      <c r="AW1902" s="8" t="s">
        <v>228</v>
      </c>
      <c r="AX1902" s="4" t="s">
        <v>228</v>
      </c>
      <c r="AY1902" s="8" t="s">
        <v>228</v>
      </c>
      <c r="AZ1902" s="7" t="s">
        <v>228</v>
      </c>
      <c r="BA1902" s="7" t="s">
        <v>228</v>
      </c>
      <c r="BB1902" s="7"/>
      <c r="BC1902" s="4" t="s">
        <v>228</v>
      </c>
      <c r="BD1902" s="8" t="s">
        <v>228</v>
      </c>
      <c r="BE1902" s="4" t="s">
        <v>228</v>
      </c>
      <c r="BF1902" s="8" t="s">
        <v>228</v>
      </c>
      <c r="BG1902" s="7" t="s">
        <v>228</v>
      </c>
      <c r="BH1902" s="7" t="s">
        <v>228</v>
      </c>
      <c r="BI1902" s="7"/>
      <c r="BJ1902" s="4"/>
      <c r="BK1902" s="8"/>
      <c r="BL1902" s="2" t="s">
        <v>228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238</v>
      </c>
      <c r="BV1902" s="2" t="s">
        <v>228</v>
      </c>
      <c r="BW1902" s="2" t="s">
        <v>228</v>
      </c>
      <c r="BX1902" s="2" t="s">
        <v>228</v>
      </c>
      <c r="BY1902" s="2" t="s">
        <v>239</v>
      </c>
      <c r="BZ1902" s="2" t="s">
        <v>240</v>
      </c>
      <c r="CA1902" s="2" t="s">
        <v>228</v>
      </c>
      <c r="CB1902" s="2" t="s">
        <v>228</v>
      </c>
      <c r="CC1902" s="2" t="s">
        <v>241</v>
      </c>
      <c r="CD1902" s="2" t="s">
        <v>228</v>
      </c>
      <c r="CE1902" s="4"/>
      <c r="CF1902" s="4"/>
      <c r="CG1902" s="4"/>
      <c r="CH1902" s="4"/>
      <c r="CI1902" s="4"/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  <c r="CW1902" s="4"/>
      <c r="CX1902" s="4"/>
      <c r="CY1902" s="4"/>
      <c r="CZ1902" s="4"/>
      <c r="DA1902" s="4"/>
      <c r="DB1902" s="4"/>
      <c r="DC1902" s="4"/>
      <c r="DD1902" s="4"/>
      <c r="DE1902" s="4"/>
      <c r="DF1902" s="4"/>
      <c r="DG1902" s="4"/>
      <c r="DH1902" s="4"/>
      <c r="DI1902" s="4"/>
      <c r="DJ1902" s="4"/>
      <c r="DK1902" s="4"/>
      <c r="DL1902" s="4"/>
      <c r="DM1902" s="4"/>
      <c r="DN1902" s="4"/>
      <c r="DO1902" s="4"/>
      <c r="DP1902" s="4"/>
      <c r="DQ1902" s="4"/>
      <c r="DR1902" s="4"/>
      <c r="DS1902" s="4"/>
      <c r="DT1902" s="4"/>
      <c r="DU1902" s="4"/>
      <c r="DV1902" s="4"/>
      <c r="DW1902" s="4"/>
      <c r="DX1902" s="4"/>
      <c r="DY1902" s="4"/>
      <c r="DZ1902" s="4"/>
      <c r="EA1902" s="4"/>
      <c r="EB1902" s="4"/>
      <c r="EC1902" s="4"/>
      <c r="ED1902" s="4"/>
      <c r="EE1902" s="4"/>
      <c r="EF1902" s="4"/>
      <c r="EG1902" s="4"/>
      <c r="EH1902" s="4"/>
      <c r="EI1902" s="4"/>
      <c r="EJ1902" s="4"/>
      <c r="EK1902" s="4"/>
      <c r="EL1902" s="4"/>
      <c r="EM1902" s="4"/>
      <c r="EN1902" s="4"/>
      <c r="EO1902" s="4"/>
      <c r="EP1902" s="4"/>
      <c r="EQ1902" s="4"/>
      <c r="ER1902" s="4"/>
      <c r="ES1902" s="4"/>
      <c r="ET1902" s="4"/>
      <c r="EU1902" s="4"/>
      <c r="EV1902" s="4"/>
      <c r="EW1902" s="4"/>
      <c r="EX1902" s="4"/>
      <c r="EY1902" s="4"/>
      <c r="EZ1902" s="4"/>
      <c r="FA1902" s="4"/>
      <c r="FB1902" s="4"/>
      <c r="FC1902" s="4"/>
      <c r="FD1902" s="4"/>
      <c r="FE1902" s="4"/>
      <c r="FF1902" s="4"/>
      <c r="FG1902" s="4"/>
      <c r="FH1902" s="4"/>
      <c r="FI1902" s="4"/>
      <c r="FJ1902" s="4"/>
      <c r="FK1902" s="4"/>
      <c r="FL1902" s="4"/>
      <c r="FM1902" s="4"/>
      <c r="FN1902" s="4"/>
      <c r="FO1902" s="4"/>
      <c r="FP1902" s="4"/>
      <c r="FQ1902" s="4"/>
      <c r="FR1902" s="4"/>
      <c r="FS1902" s="4"/>
      <c r="FT1902" s="4"/>
      <c r="FU1902" s="4"/>
      <c r="FV1902" s="4"/>
      <c r="FW1902" s="4"/>
      <c r="FX1902" s="4"/>
      <c r="FY1902" s="4"/>
      <c r="FZ1902" s="4"/>
      <c r="GA1902" s="4"/>
      <c r="GB1902" s="4"/>
      <c r="GC1902" s="4"/>
      <c r="GD1902" s="4"/>
      <c r="GE1902" s="4"/>
      <c r="GF1902" s="4"/>
      <c r="GG1902" s="4"/>
      <c r="GH1902" s="4"/>
      <c r="GI1902" s="4"/>
      <c r="GJ1902" s="4"/>
      <c r="GK1902" s="4"/>
      <c r="GL1902" s="4"/>
      <c r="GM1902" s="4"/>
      <c r="GN1902" s="4"/>
      <c r="GO1902" s="4"/>
      <c r="GP1902" s="4"/>
      <c r="GQ1902" s="4"/>
      <c r="GR1902" s="4"/>
      <c r="GS1902" s="4"/>
      <c r="GT1902" s="4"/>
      <c r="GU1902" s="4"/>
      <c r="GV1902" s="4"/>
      <c r="GW1902" s="4"/>
      <c r="GX1902" s="4"/>
      <c r="GY1902" s="4"/>
      <c r="GZ1902" s="4"/>
      <c r="HA1902" s="4"/>
      <c r="HB1902" s="4"/>
      <c r="HC1902" s="4"/>
      <c r="HD1902" s="4"/>
      <c r="HE1902" s="4"/>
    </row>
    <row r="1903">
      <c r="A1903" s="2" t="s">
        <v>9280</v>
      </c>
      <c r="B1903" s="2" t="s">
        <v>970</v>
      </c>
      <c r="C1903" s="2" t="s">
        <v>9274</v>
      </c>
      <c r="D1903" s="2" t="s">
        <v>971</v>
      </c>
      <c r="E1903" s="2" t="s">
        <v>972</v>
      </c>
      <c r="F1903" s="2" t="s">
        <v>9275</v>
      </c>
      <c r="G1903" s="2" t="s">
        <v>228</v>
      </c>
      <c r="H1903" s="2" t="s">
        <v>228</v>
      </c>
      <c r="I1903" s="2" t="s">
        <v>9281</v>
      </c>
      <c r="J1903" s="2" t="s">
        <v>3672</v>
      </c>
      <c r="K1903" s="2" t="s">
        <v>556</v>
      </c>
      <c r="L1903" s="3">
        <v>22.99</v>
      </c>
      <c r="M1903" s="3">
        <v>24.14</v>
      </c>
      <c r="N1903" s="3"/>
      <c r="O1903" s="2" t="s">
        <v>240</v>
      </c>
      <c r="P1903" s="2" t="s">
        <v>233</v>
      </c>
      <c r="Q1903" s="2" t="s">
        <v>234</v>
      </c>
      <c r="R1903" s="2" t="s">
        <v>9278</v>
      </c>
      <c r="S1903" s="2" t="s">
        <v>228</v>
      </c>
      <c r="T1903" s="2" t="s">
        <v>228</v>
      </c>
      <c r="U1903" s="2" t="s">
        <v>228</v>
      </c>
      <c r="V1903" s="2" t="s">
        <v>236</v>
      </c>
      <c r="W1903" s="2" t="s">
        <v>228</v>
      </c>
      <c r="X1903" s="2" t="s">
        <v>228</v>
      </c>
      <c r="Y1903" s="2" t="s">
        <v>9279</v>
      </c>
      <c r="Z1903" s="4"/>
      <c r="AA1903" s="4">
        <f>=ROUNDDOWN({0},0)</f>
      </c>
      <c r="AB1903" s="5"/>
      <c r="AC1903" s="2" t="s">
        <v>228</v>
      </c>
      <c r="AD1903" s="4"/>
      <c r="AE1903" s="4"/>
      <c r="AF1903" s="6"/>
      <c r="AG1903" s="6"/>
      <c r="AH1903" s="7"/>
      <c r="AI1903" s="4"/>
      <c r="AJ1903" s="4">
        <f>=ROUNDDOWN({0},0)</f>
      </c>
      <c r="AK1903" s="5"/>
      <c r="AL1903" s="2" t="s">
        <v>228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 t="s">
        <v>228</v>
      </c>
      <c r="AW1903" s="8" t="s">
        <v>228</v>
      </c>
      <c r="AX1903" s="4" t="s">
        <v>228</v>
      </c>
      <c r="AY1903" s="8" t="s">
        <v>228</v>
      </c>
      <c r="AZ1903" s="7" t="s">
        <v>228</v>
      </c>
      <c r="BA1903" s="7" t="s">
        <v>228</v>
      </c>
      <c r="BB1903" s="7"/>
      <c r="BC1903" s="4" t="s">
        <v>228</v>
      </c>
      <c r="BD1903" s="8" t="s">
        <v>228</v>
      </c>
      <c r="BE1903" s="4" t="s">
        <v>228</v>
      </c>
      <c r="BF1903" s="8" t="s">
        <v>228</v>
      </c>
      <c r="BG1903" s="7" t="s">
        <v>228</v>
      </c>
      <c r="BH1903" s="7" t="s">
        <v>228</v>
      </c>
      <c r="BI1903" s="7"/>
      <c r="BJ1903" s="4"/>
      <c r="BK1903" s="8"/>
      <c r="BL1903" s="2" t="s">
        <v>228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238</v>
      </c>
      <c r="BV1903" s="2" t="s">
        <v>228</v>
      </c>
      <c r="BW1903" s="2" t="s">
        <v>228</v>
      </c>
      <c r="BX1903" s="2" t="s">
        <v>228</v>
      </c>
      <c r="BY1903" s="2" t="s">
        <v>239</v>
      </c>
      <c r="BZ1903" s="2" t="s">
        <v>240</v>
      </c>
      <c r="CA1903" s="2" t="s">
        <v>228</v>
      </c>
      <c r="CB1903" s="2" t="s">
        <v>228</v>
      </c>
      <c r="CC1903" s="2" t="s">
        <v>241</v>
      </c>
      <c r="CD1903" s="2" t="s">
        <v>228</v>
      </c>
      <c r="CE1903" s="4"/>
      <c r="CF1903" s="4"/>
      <c r="CG1903" s="4"/>
      <c r="CH1903" s="4"/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/>
      <c r="CZ1903" s="4"/>
      <c r="DA1903" s="4"/>
      <c r="DB1903" s="4"/>
      <c r="DC1903" s="4"/>
      <c r="DD1903" s="4"/>
      <c r="DE1903" s="4"/>
      <c r="DF1903" s="4"/>
      <c r="DG1903" s="4"/>
      <c r="DH1903" s="4"/>
      <c r="DI1903" s="4"/>
      <c r="DJ1903" s="4"/>
      <c r="DK1903" s="4"/>
      <c r="DL1903" s="4"/>
      <c r="DM1903" s="4"/>
      <c r="DN1903" s="4"/>
      <c r="DO1903" s="4"/>
      <c r="DP1903" s="4"/>
      <c r="DQ1903" s="4"/>
      <c r="DR1903" s="4"/>
      <c r="DS1903" s="4"/>
      <c r="DT1903" s="4"/>
      <c r="DU1903" s="4"/>
      <c r="DV1903" s="4"/>
      <c r="DW1903" s="4"/>
      <c r="DX1903" s="4"/>
      <c r="DY1903" s="4"/>
      <c r="DZ1903" s="4"/>
      <c r="EA1903" s="4"/>
      <c r="EB1903" s="4"/>
      <c r="EC1903" s="4"/>
      <c r="ED1903" s="4"/>
      <c r="EE1903" s="4"/>
      <c r="EF1903" s="4"/>
      <c r="EG1903" s="4"/>
      <c r="EH1903" s="4"/>
      <c r="EI1903" s="4"/>
      <c r="EJ1903" s="4"/>
      <c r="EK1903" s="4"/>
      <c r="EL1903" s="4"/>
      <c r="EM1903" s="4"/>
      <c r="EN1903" s="4"/>
      <c r="EO1903" s="4"/>
      <c r="EP1903" s="4"/>
      <c r="EQ1903" s="4"/>
      <c r="ER1903" s="4"/>
      <c r="ES1903" s="4"/>
      <c r="ET1903" s="4"/>
      <c r="EU1903" s="4"/>
      <c r="EV1903" s="4"/>
      <c r="EW1903" s="4"/>
      <c r="EX1903" s="4"/>
      <c r="EY1903" s="4"/>
      <c r="EZ1903" s="4"/>
      <c r="FA1903" s="4"/>
      <c r="FB1903" s="4"/>
      <c r="FC1903" s="4"/>
      <c r="FD1903" s="4"/>
      <c r="FE1903" s="4"/>
      <c r="FF1903" s="4"/>
      <c r="FG1903" s="4"/>
      <c r="FH1903" s="4"/>
      <c r="FI1903" s="4"/>
      <c r="FJ1903" s="4"/>
      <c r="FK1903" s="4"/>
      <c r="FL1903" s="4"/>
      <c r="FM1903" s="4"/>
      <c r="FN1903" s="4"/>
      <c r="FO1903" s="4"/>
      <c r="FP1903" s="4"/>
      <c r="FQ1903" s="4"/>
      <c r="FR1903" s="4"/>
      <c r="FS1903" s="4"/>
      <c r="FT1903" s="4"/>
      <c r="FU1903" s="4"/>
      <c r="FV1903" s="4"/>
      <c r="FW1903" s="4"/>
      <c r="FX1903" s="4"/>
      <c r="FY1903" s="4"/>
      <c r="FZ1903" s="4"/>
      <c r="GA1903" s="4"/>
      <c r="GB1903" s="4"/>
      <c r="GC1903" s="4"/>
      <c r="GD1903" s="4"/>
      <c r="GE1903" s="4"/>
      <c r="GF1903" s="4"/>
      <c r="GG1903" s="4"/>
      <c r="GH1903" s="4"/>
      <c r="GI1903" s="4"/>
      <c r="GJ1903" s="4"/>
      <c r="GK1903" s="4"/>
      <c r="GL1903" s="4"/>
      <c r="GM1903" s="4"/>
      <c r="GN1903" s="4"/>
      <c r="GO1903" s="4"/>
      <c r="GP1903" s="4"/>
      <c r="GQ1903" s="4"/>
      <c r="GR1903" s="4"/>
      <c r="GS1903" s="4"/>
      <c r="GT1903" s="4"/>
      <c r="GU1903" s="4"/>
      <c r="GV1903" s="4"/>
      <c r="GW1903" s="4"/>
      <c r="GX1903" s="4"/>
      <c r="GY1903" s="4"/>
      <c r="GZ1903" s="4"/>
      <c r="HA1903" s="4"/>
      <c r="HB1903" s="4"/>
      <c r="HC1903" s="4"/>
      <c r="HD1903" s="4"/>
      <c r="HE1903" s="4"/>
    </row>
    <row r="1904">
      <c r="A1904" s="2" t="s">
        <v>9282</v>
      </c>
      <c r="B1904" s="2" t="s">
        <v>970</v>
      </c>
      <c r="C1904" s="2" t="s">
        <v>9274</v>
      </c>
      <c r="D1904" s="2" t="s">
        <v>971</v>
      </c>
      <c r="E1904" s="2" t="s">
        <v>972</v>
      </c>
      <c r="F1904" s="2" t="s">
        <v>9275</v>
      </c>
      <c r="G1904" s="2" t="s">
        <v>228</v>
      </c>
      <c r="H1904" s="2" t="s">
        <v>228</v>
      </c>
      <c r="I1904" s="2" t="s">
        <v>9281</v>
      </c>
      <c r="J1904" s="2" t="s">
        <v>9277</v>
      </c>
      <c r="K1904" s="2" t="s">
        <v>1357</v>
      </c>
      <c r="L1904" s="3">
        <v>19.99</v>
      </c>
      <c r="M1904" s="3">
        <v>20.99</v>
      </c>
      <c r="N1904" s="3"/>
      <c r="O1904" s="2" t="s">
        <v>240</v>
      </c>
      <c r="P1904" s="2" t="s">
        <v>233</v>
      </c>
      <c r="Q1904" s="2" t="s">
        <v>234</v>
      </c>
      <c r="R1904" s="2" t="s">
        <v>9278</v>
      </c>
      <c r="S1904" s="2" t="s">
        <v>228</v>
      </c>
      <c r="T1904" s="2" t="s">
        <v>228</v>
      </c>
      <c r="U1904" s="2" t="s">
        <v>228</v>
      </c>
      <c r="V1904" s="2" t="s">
        <v>236</v>
      </c>
      <c r="W1904" s="2" t="s">
        <v>228</v>
      </c>
      <c r="X1904" s="2" t="s">
        <v>228</v>
      </c>
      <c r="Y1904" s="2" t="s">
        <v>9279</v>
      </c>
      <c r="Z1904" s="4"/>
      <c r="AA1904" s="4">
        <f>=ROUNDDOWN({0},0)</f>
      </c>
      <c r="AB1904" s="5"/>
      <c r="AC1904" s="2" t="s">
        <v>228</v>
      </c>
      <c r="AD1904" s="4"/>
      <c r="AE1904" s="4"/>
      <c r="AF1904" s="6"/>
      <c r="AG1904" s="6"/>
      <c r="AH1904" s="7"/>
      <c r="AI1904" s="4"/>
      <c r="AJ1904" s="4">
        <f>=ROUNDDOWN({0},0)</f>
      </c>
      <c r="AK1904" s="5"/>
      <c r="AL1904" s="2" t="s">
        <v>228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 t="s">
        <v>228</v>
      </c>
      <c r="AW1904" s="8" t="s">
        <v>228</v>
      </c>
      <c r="AX1904" s="4" t="s">
        <v>228</v>
      </c>
      <c r="AY1904" s="8" t="s">
        <v>228</v>
      </c>
      <c r="AZ1904" s="7" t="s">
        <v>228</v>
      </c>
      <c r="BA1904" s="7" t="s">
        <v>228</v>
      </c>
      <c r="BB1904" s="7"/>
      <c r="BC1904" s="4" t="s">
        <v>228</v>
      </c>
      <c r="BD1904" s="8" t="s">
        <v>228</v>
      </c>
      <c r="BE1904" s="4" t="s">
        <v>228</v>
      </c>
      <c r="BF1904" s="8" t="s">
        <v>228</v>
      </c>
      <c r="BG1904" s="7" t="s">
        <v>228</v>
      </c>
      <c r="BH1904" s="7" t="s">
        <v>228</v>
      </c>
      <c r="BI1904" s="7"/>
      <c r="BJ1904" s="4"/>
      <c r="BK1904" s="8"/>
      <c r="BL1904" s="2" t="s">
        <v>228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238</v>
      </c>
      <c r="BV1904" s="2" t="s">
        <v>228</v>
      </c>
      <c r="BW1904" s="2" t="s">
        <v>228</v>
      </c>
      <c r="BX1904" s="2" t="s">
        <v>228</v>
      </c>
      <c r="BY1904" s="2" t="s">
        <v>239</v>
      </c>
      <c r="BZ1904" s="2" t="s">
        <v>240</v>
      </c>
      <c r="CA1904" s="2" t="s">
        <v>228</v>
      </c>
      <c r="CB1904" s="2" t="s">
        <v>228</v>
      </c>
      <c r="CC1904" s="2" t="s">
        <v>241</v>
      </c>
      <c r="CD1904" s="2" t="s">
        <v>228</v>
      </c>
      <c r="CE1904" s="4"/>
      <c r="CF1904" s="4"/>
      <c r="CG1904" s="4"/>
      <c r="CH1904" s="4"/>
      <c r="CI1904" s="4"/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4"/>
      <c r="CX1904" s="4"/>
      <c r="CY1904" s="4"/>
      <c r="CZ1904" s="4"/>
      <c r="DA1904" s="4"/>
      <c r="DB1904" s="4"/>
      <c r="DC1904" s="4"/>
      <c r="DD1904" s="4"/>
      <c r="DE1904" s="4"/>
      <c r="DF1904" s="4"/>
      <c r="DG1904" s="4"/>
      <c r="DH1904" s="4"/>
      <c r="DI1904" s="4"/>
      <c r="DJ1904" s="4"/>
      <c r="DK1904" s="4"/>
      <c r="DL1904" s="4"/>
      <c r="DM1904" s="4"/>
      <c r="DN1904" s="4"/>
      <c r="DO1904" s="4"/>
      <c r="DP1904" s="4"/>
      <c r="DQ1904" s="4"/>
      <c r="DR1904" s="4"/>
      <c r="DS1904" s="4"/>
      <c r="DT1904" s="4"/>
      <c r="DU1904" s="4"/>
      <c r="DV1904" s="4"/>
      <c r="DW1904" s="4"/>
      <c r="DX1904" s="4"/>
      <c r="DY1904" s="4"/>
      <c r="DZ1904" s="4"/>
      <c r="EA1904" s="4"/>
      <c r="EB1904" s="4"/>
      <c r="EC1904" s="4"/>
      <c r="ED1904" s="4"/>
      <c r="EE1904" s="4"/>
      <c r="EF1904" s="4"/>
      <c r="EG1904" s="4"/>
      <c r="EH1904" s="4"/>
      <c r="EI1904" s="4"/>
      <c r="EJ1904" s="4"/>
      <c r="EK1904" s="4"/>
      <c r="EL1904" s="4"/>
      <c r="EM1904" s="4"/>
      <c r="EN1904" s="4"/>
      <c r="EO1904" s="4"/>
      <c r="EP1904" s="4"/>
      <c r="EQ1904" s="4"/>
      <c r="ER1904" s="4"/>
      <c r="ES1904" s="4"/>
      <c r="ET1904" s="4"/>
      <c r="EU1904" s="4"/>
      <c r="EV1904" s="4"/>
      <c r="EW1904" s="4"/>
      <c r="EX1904" s="4"/>
      <c r="EY1904" s="4"/>
      <c r="EZ1904" s="4"/>
      <c r="FA1904" s="4"/>
      <c r="FB1904" s="4"/>
      <c r="FC1904" s="4"/>
      <c r="FD1904" s="4"/>
      <c r="FE1904" s="4"/>
      <c r="FF1904" s="4"/>
      <c r="FG1904" s="4"/>
      <c r="FH1904" s="4"/>
      <c r="FI1904" s="4"/>
      <c r="FJ1904" s="4"/>
      <c r="FK1904" s="4"/>
      <c r="FL1904" s="4"/>
      <c r="FM1904" s="4"/>
      <c r="FN1904" s="4"/>
      <c r="FO1904" s="4"/>
      <c r="FP1904" s="4"/>
      <c r="FQ1904" s="4"/>
      <c r="FR1904" s="4"/>
      <c r="FS1904" s="4"/>
      <c r="FT1904" s="4"/>
      <c r="FU1904" s="4"/>
      <c r="FV1904" s="4"/>
      <c r="FW1904" s="4"/>
      <c r="FX1904" s="4"/>
      <c r="FY1904" s="4"/>
      <c r="FZ1904" s="4"/>
      <c r="GA1904" s="4"/>
      <c r="GB1904" s="4"/>
      <c r="GC1904" s="4"/>
      <c r="GD1904" s="4"/>
      <c r="GE1904" s="4"/>
      <c r="GF1904" s="4"/>
      <c r="GG1904" s="4"/>
      <c r="GH1904" s="4"/>
      <c r="GI1904" s="4"/>
      <c r="GJ1904" s="4"/>
      <c r="GK1904" s="4"/>
      <c r="GL1904" s="4"/>
      <c r="GM1904" s="4"/>
      <c r="GN1904" s="4"/>
      <c r="GO1904" s="4"/>
      <c r="GP1904" s="4"/>
      <c r="GQ1904" s="4"/>
      <c r="GR1904" s="4"/>
      <c r="GS1904" s="4"/>
      <c r="GT1904" s="4"/>
      <c r="GU1904" s="4"/>
      <c r="GV1904" s="4"/>
      <c r="GW1904" s="4"/>
      <c r="GX1904" s="4"/>
      <c r="GY1904" s="4"/>
      <c r="GZ1904" s="4"/>
      <c r="HA1904" s="4"/>
      <c r="HB1904" s="4"/>
      <c r="HC1904" s="4"/>
      <c r="HD1904" s="4"/>
      <c r="HE1904" s="4"/>
    </row>
    <row r="1905">
      <c r="A1905" s="2" t="s">
        <v>9283</v>
      </c>
      <c r="B1905" s="2" t="s">
        <v>970</v>
      </c>
      <c r="C1905" s="2" t="s">
        <v>9274</v>
      </c>
      <c r="D1905" s="2" t="s">
        <v>971</v>
      </c>
      <c r="E1905" s="2" t="s">
        <v>972</v>
      </c>
      <c r="F1905" s="2" t="s">
        <v>9275</v>
      </c>
      <c r="G1905" s="2" t="s">
        <v>228</v>
      </c>
      <c r="H1905" s="2" t="s">
        <v>228</v>
      </c>
      <c r="I1905" s="2" t="s">
        <v>9281</v>
      </c>
      <c r="J1905" s="2" t="s">
        <v>3672</v>
      </c>
      <c r="K1905" s="2" t="s">
        <v>1357</v>
      </c>
      <c r="L1905" s="3">
        <v>22.99</v>
      </c>
      <c r="M1905" s="3">
        <v>24.14</v>
      </c>
      <c r="N1905" s="3"/>
      <c r="O1905" s="2" t="s">
        <v>240</v>
      </c>
      <c r="P1905" s="2" t="s">
        <v>233</v>
      </c>
      <c r="Q1905" s="2" t="s">
        <v>234</v>
      </c>
      <c r="R1905" s="2" t="s">
        <v>9278</v>
      </c>
      <c r="S1905" s="2" t="s">
        <v>228</v>
      </c>
      <c r="T1905" s="2" t="s">
        <v>228</v>
      </c>
      <c r="U1905" s="2" t="s">
        <v>228</v>
      </c>
      <c r="V1905" s="2" t="s">
        <v>236</v>
      </c>
      <c r="W1905" s="2" t="s">
        <v>228</v>
      </c>
      <c r="X1905" s="2" t="s">
        <v>228</v>
      </c>
      <c r="Y1905" s="2" t="s">
        <v>9279</v>
      </c>
      <c r="Z1905" s="4"/>
      <c r="AA1905" s="4">
        <f>=ROUNDDOWN({0},0)</f>
      </c>
      <c r="AB1905" s="5"/>
      <c r="AC1905" s="2" t="s">
        <v>228</v>
      </c>
      <c r="AD1905" s="4"/>
      <c r="AE1905" s="4"/>
      <c r="AF1905" s="6"/>
      <c r="AG1905" s="6"/>
      <c r="AH1905" s="7"/>
      <c r="AI1905" s="4"/>
      <c r="AJ1905" s="4">
        <f>=ROUNDDOWN({0},0)</f>
      </c>
      <c r="AK1905" s="5"/>
      <c r="AL1905" s="2" t="s">
        <v>228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 t="s">
        <v>228</v>
      </c>
      <c r="AW1905" s="8" t="s">
        <v>228</v>
      </c>
      <c r="AX1905" s="4" t="s">
        <v>228</v>
      </c>
      <c r="AY1905" s="8" t="s">
        <v>228</v>
      </c>
      <c r="AZ1905" s="7" t="s">
        <v>228</v>
      </c>
      <c r="BA1905" s="7" t="s">
        <v>228</v>
      </c>
      <c r="BB1905" s="7"/>
      <c r="BC1905" s="4" t="s">
        <v>228</v>
      </c>
      <c r="BD1905" s="8" t="s">
        <v>228</v>
      </c>
      <c r="BE1905" s="4" t="s">
        <v>228</v>
      </c>
      <c r="BF1905" s="8" t="s">
        <v>228</v>
      </c>
      <c r="BG1905" s="7" t="s">
        <v>228</v>
      </c>
      <c r="BH1905" s="7" t="s">
        <v>228</v>
      </c>
      <c r="BI1905" s="7"/>
      <c r="BJ1905" s="4"/>
      <c r="BK1905" s="8"/>
      <c r="BL1905" s="2" t="s">
        <v>228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238</v>
      </c>
      <c r="BV1905" s="2" t="s">
        <v>228</v>
      </c>
      <c r="BW1905" s="2" t="s">
        <v>228</v>
      </c>
      <c r="BX1905" s="2" t="s">
        <v>228</v>
      </c>
      <c r="BY1905" s="2" t="s">
        <v>239</v>
      </c>
      <c r="BZ1905" s="2" t="s">
        <v>240</v>
      </c>
      <c r="CA1905" s="2" t="s">
        <v>228</v>
      </c>
      <c r="CB1905" s="2" t="s">
        <v>228</v>
      </c>
      <c r="CC1905" s="2" t="s">
        <v>241</v>
      </c>
      <c r="CD1905" s="2" t="s">
        <v>228</v>
      </c>
      <c r="CE1905" s="4"/>
      <c r="CF1905" s="4"/>
      <c r="CG1905" s="4"/>
      <c r="CH1905" s="4"/>
      <c r="CI1905" s="4"/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4"/>
      <c r="CX1905" s="4"/>
      <c r="CY1905" s="4"/>
      <c r="CZ1905" s="4"/>
      <c r="DA1905" s="4"/>
      <c r="DB1905" s="4"/>
      <c r="DC1905" s="4"/>
      <c r="DD1905" s="4"/>
      <c r="DE1905" s="4"/>
      <c r="DF1905" s="4"/>
      <c r="DG1905" s="4"/>
      <c r="DH1905" s="4"/>
      <c r="DI1905" s="4"/>
      <c r="DJ1905" s="4"/>
      <c r="DK1905" s="4"/>
      <c r="DL1905" s="4"/>
      <c r="DM1905" s="4"/>
      <c r="DN1905" s="4"/>
      <c r="DO1905" s="4"/>
      <c r="DP1905" s="4"/>
      <c r="DQ1905" s="4"/>
      <c r="DR1905" s="4"/>
      <c r="DS1905" s="4"/>
      <c r="DT1905" s="4"/>
      <c r="DU1905" s="4"/>
      <c r="DV1905" s="4"/>
      <c r="DW1905" s="4"/>
      <c r="DX1905" s="4"/>
      <c r="DY1905" s="4"/>
      <c r="DZ1905" s="4"/>
      <c r="EA1905" s="4"/>
      <c r="EB1905" s="4"/>
      <c r="EC1905" s="4"/>
      <c r="ED1905" s="4"/>
      <c r="EE1905" s="4"/>
      <c r="EF1905" s="4"/>
      <c r="EG1905" s="4"/>
      <c r="EH1905" s="4"/>
      <c r="EI1905" s="4"/>
      <c r="EJ1905" s="4"/>
      <c r="EK1905" s="4"/>
      <c r="EL1905" s="4"/>
      <c r="EM1905" s="4"/>
      <c r="EN1905" s="4"/>
      <c r="EO1905" s="4"/>
      <c r="EP1905" s="4"/>
      <c r="EQ1905" s="4"/>
      <c r="ER1905" s="4"/>
      <c r="ES1905" s="4"/>
      <c r="ET1905" s="4"/>
      <c r="EU1905" s="4"/>
      <c r="EV1905" s="4"/>
      <c r="EW1905" s="4"/>
      <c r="EX1905" s="4"/>
      <c r="EY1905" s="4"/>
      <c r="EZ1905" s="4"/>
      <c r="FA1905" s="4"/>
      <c r="FB1905" s="4"/>
      <c r="FC1905" s="4"/>
      <c r="FD1905" s="4"/>
      <c r="FE1905" s="4"/>
      <c r="FF1905" s="4"/>
      <c r="FG1905" s="4"/>
      <c r="FH1905" s="4"/>
      <c r="FI1905" s="4"/>
      <c r="FJ1905" s="4"/>
      <c r="FK1905" s="4"/>
      <c r="FL1905" s="4"/>
      <c r="FM1905" s="4"/>
      <c r="FN1905" s="4"/>
      <c r="FO1905" s="4"/>
      <c r="FP1905" s="4"/>
      <c r="FQ1905" s="4"/>
      <c r="FR1905" s="4"/>
      <c r="FS1905" s="4"/>
      <c r="FT1905" s="4"/>
      <c r="FU1905" s="4"/>
      <c r="FV1905" s="4"/>
      <c r="FW1905" s="4"/>
      <c r="FX1905" s="4"/>
      <c r="FY1905" s="4"/>
      <c r="FZ1905" s="4"/>
      <c r="GA1905" s="4"/>
      <c r="GB1905" s="4"/>
      <c r="GC1905" s="4"/>
      <c r="GD1905" s="4"/>
      <c r="GE1905" s="4"/>
      <c r="GF1905" s="4"/>
      <c r="GG1905" s="4"/>
      <c r="GH1905" s="4"/>
      <c r="GI1905" s="4"/>
      <c r="GJ1905" s="4"/>
      <c r="GK1905" s="4"/>
      <c r="GL1905" s="4"/>
      <c r="GM1905" s="4"/>
      <c r="GN1905" s="4"/>
      <c r="GO1905" s="4"/>
      <c r="GP1905" s="4"/>
      <c r="GQ1905" s="4"/>
      <c r="GR1905" s="4"/>
      <c r="GS1905" s="4"/>
      <c r="GT1905" s="4"/>
      <c r="GU1905" s="4"/>
      <c r="GV1905" s="4"/>
      <c r="GW1905" s="4"/>
      <c r="GX1905" s="4"/>
      <c r="GY1905" s="4"/>
      <c r="GZ1905" s="4"/>
      <c r="HA1905" s="4"/>
      <c r="HB1905" s="4"/>
      <c r="HC1905" s="4"/>
      <c r="HD1905" s="4"/>
      <c r="HE1905" s="4"/>
    </row>
    <row r="1906">
      <c r="A1906" s="2" t="s">
        <v>9284</v>
      </c>
      <c r="B1906" s="2" t="s">
        <v>970</v>
      </c>
      <c r="C1906" s="2" t="s">
        <v>9274</v>
      </c>
      <c r="D1906" s="2" t="s">
        <v>971</v>
      </c>
      <c r="E1906" s="2" t="s">
        <v>972</v>
      </c>
      <c r="F1906" s="2" t="s">
        <v>9275</v>
      </c>
      <c r="G1906" s="2" t="s">
        <v>228</v>
      </c>
      <c r="H1906" s="2" t="s">
        <v>228</v>
      </c>
      <c r="I1906" s="2" t="s">
        <v>9281</v>
      </c>
      <c r="J1906" s="2" t="s">
        <v>9277</v>
      </c>
      <c r="K1906" s="2" t="s">
        <v>316</v>
      </c>
      <c r="L1906" s="3">
        <v>19.99</v>
      </c>
      <c r="M1906" s="3">
        <v>20.99</v>
      </c>
      <c r="N1906" s="3"/>
      <c r="O1906" s="2" t="s">
        <v>240</v>
      </c>
      <c r="P1906" s="2" t="s">
        <v>233</v>
      </c>
      <c r="Q1906" s="2" t="s">
        <v>234</v>
      </c>
      <c r="R1906" s="2" t="s">
        <v>9278</v>
      </c>
      <c r="S1906" s="2" t="s">
        <v>228</v>
      </c>
      <c r="T1906" s="2" t="s">
        <v>228</v>
      </c>
      <c r="U1906" s="2" t="s">
        <v>228</v>
      </c>
      <c r="V1906" s="2" t="s">
        <v>236</v>
      </c>
      <c r="W1906" s="2" t="s">
        <v>228</v>
      </c>
      <c r="X1906" s="2" t="s">
        <v>228</v>
      </c>
      <c r="Y1906" s="2" t="s">
        <v>9279</v>
      </c>
      <c r="Z1906" s="4"/>
      <c r="AA1906" s="4">
        <f>=ROUNDDOWN({0},0)</f>
      </c>
      <c r="AB1906" s="5"/>
      <c r="AC1906" s="2" t="s">
        <v>228</v>
      </c>
      <c r="AD1906" s="4"/>
      <c r="AE1906" s="4"/>
      <c r="AF1906" s="6"/>
      <c r="AG1906" s="6"/>
      <c r="AH1906" s="7"/>
      <c r="AI1906" s="4"/>
      <c r="AJ1906" s="4">
        <f>=ROUNDDOWN({0},0)</f>
      </c>
      <c r="AK1906" s="5"/>
      <c r="AL1906" s="2" t="s">
        <v>228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 t="s">
        <v>228</v>
      </c>
      <c r="AW1906" s="8" t="s">
        <v>228</v>
      </c>
      <c r="AX1906" s="4" t="s">
        <v>228</v>
      </c>
      <c r="AY1906" s="8" t="s">
        <v>228</v>
      </c>
      <c r="AZ1906" s="7" t="s">
        <v>228</v>
      </c>
      <c r="BA1906" s="7" t="s">
        <v>228</v>
      </c>
      <c r="BB1906" s="7"/>
      <c r="BC1906" s="4" t="s">
        <v>228</v>
      </c>
      <c r="BD1906" s="8" t="s">
        <v>228</v>
      </c>
      <c r="BE1906" s="4" t="s">
        <v>228</v>
      </c>
      <c r="BF1906" s="8" t="s">
        <v>228</v>
      </c>
      <c r="BG1906" s="7" t="s">
        <v>228</v>
      </c>
      <c r="BH1906" s="7" t="s">
        <v>228</v>
      </c>
      <c r="BI1906" s="7"/>
      <c r="BJ1906" s="4"/>
      <c r="BK1906" s="8"/>
      <c r="BL1906" s="2" t="s">
        <v>228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238</v>
      </c>
      <c r="BV1906" s="2" t="s">
        <v>228</v>
      </c>
      <c r="BW1906" s="2" t="s">
        <v>228</v>
      </c>
      <c r="BX1906" s="2" t="s">
        <v>228</v>
      </c>
      <c r="BY1906" s="2" t="s">
        <v>239</v>
      </c>
      <c r="BZ1906" s="2" t="s">
        <v>240</v>
      </c>
      <c r="CA1906" s="2" t="s">
        <v>228</v>
      </c>
      <c r="CB1906" s="2" t="s">
        <v>228</v>
      </c>
      <c r="CC1906" s="2" t="s">
        <v>241</v>
      </c>
      <c r="CD1906" s="2" t="s">
        <v>228</v>
      </c>
      <c r="CE1906" s="4"/>
      <c r="CF1906" s="4"/>
      <c r="CG1906" s="4"/>
      <c r="CH1906" s="4"/>
      <c r="CI1906" s="4"/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4"/>
      <c r="CX1906" s="4"/>
      <c r="CY1906" s="4"/>
      <c r="CZ1906" s="4"/>
      <c r="DA1906" s="4"/>
      <c r="DB1906" s="4"/>
      <c r="DC1906" s="4"/>
      <c r="DD1906" s="4"/>
      <c r="DE1906" s="4"/>
      <c r="DF1906" s="4"/>
      <c r="DG1906" s="4"/>
      <c r="DH1906" s="4"/>
      <c r="DI1906" s="4"/>
      <c r="DJ1906" s="4"/>
      <c r="DK1906" s="4"/>
      <c r="DL1906" s="4"/>
      <c r="DM1906" s="4"/>
      <c r="DN1906" s="4"/>
      <c r="DO1906" s="4"/>
      <c r="DP1906" s="4"/>
      <c r="DQ1906" s="4"/>
      <c r="DR1906" s="4"/>
      <c r="DS1906" s="4"/>
      <c r="DT1906" s="4"/>
      <c r="DU1906" s="4"/>
      <c r="DV1906" s="4"/>
      <c r="DW1906" s="4"/>
      <c r="DX1906" s="4"/>
      <c r="DY1906" s="4"/>
      <c r="DZ1906" s="4"/>
      <c r="EA1906" s="4"/>
      <c r="EB1906" s="4"/>
      <c r="EC1906" s="4"/>
      <c r="ED1906" s="4"/>
      <c r="EE1906" s="4"/>
      <c r="EF1906" s="4"/>
      <c r="EG1906" s="4"/>
      <c r="EH1906" s="4"/>
      <c r="EI1906" s="4"/>
      <c r="EJ1906" s="4"/>
      <c r="EK1906" s="4"/>
      <c r="EL1906" s="4"/>
      <c r="EM1906" s="4"/>
      <c r="EN1906" s="4"/>
      <c r="EO1906" s="4"/>
      <c r="EP1906" s="4"/>
      <c r="EQ1906" s="4"/>
      <c r="ER1906" s="4"/>
      <c r="ES1906" s="4"/>
      <c r="ET1906" s="4"/>
      <c r="EU1906" s="4"/>
      <c r="EV1906" s="4"/>
      <c r="EW1906" s="4"/>
      <c r="EX1906" s="4"/>
      <c r="EY1906" s="4"/>
      <c r="EZ1906" s="4"/>
      <c r="FA1906" s="4"/>
      <c r="FB1906" s="4"/>
      <c r="FC1906" s="4"/>
      <c r="FD1906" s="4"/>
      <c r="FE1906" s="4"/>
      <c r="FF1906" s="4"/>
      <c r="FG1906" s="4"/>
      <c r="FH1906" s="4"/>
      <c r="FI1906" s="4"/>
      <c r="FJ1906" s="4"/>
      <c r="FK1906" s="4"/>
      <c r="FL1906" s="4"/>
      <c r="FM1906" s="4"/>
      <c r="FN1906" s="4"/>
      <c r="FO1906" s="4"/>
      <c r="FP1906" s="4"/>
      <c r="FQ1906" s="4"/>
      <c r="FR1906" s="4"/>
      <c r="FS1906" s="4"/>
      <c r="FT1906" s="4"/>
      <c r="FU1906" s="4"/>
      <c r="FV1906" s="4"/>
      <c r="FW1906" s="4"/>
      <c r="FX1906" s="4"/>
      <c r="FY1906" s="4"/>
      <c r="FZ1906" s="4"/>
      <c r="GA1906" s="4"/>
      <c r="GB1906" s="4"/>
      <c r="GC1906" s="4"/>
      <c r="GD1906" s="4"/>
      <c r="GE1906" s="4"/>
      <c r="GF1906" s="4"/>
      <c r="GG1906" s="4"/>
      <c r="GH1906" s="4"/>
      <c r="GI1906" s="4"/>
      <c r="GJ1906" s="4"/>
      <c r="GK1906" s="4"/>
      <c r="GL1906" s="4"/>
      <c r="GM1906" s="4"/>
      <c r="GN1906" s="4"/>
      <c r="GO1906" s="4"/>
      <c r="GP1906" s="4"/>
      <c r="GQ1906" s="4"/>
      <c r="GR1906" s="4"/>
      <c r="GS1906" s="4"/>
      <c r="GT1906" s="4"/>
      <c r="GU1906" s="4"/>
      <c r="GV1906" s="4"/>
      <c r="GW1906" s="4"/>
      <c r="GX1906" s="4"/>
      <c r="GY1906" s="4"/>
      <c r="GZ1906" s="4"/>
      <c r="HA1906" s="4"/>
      <c r="HB1906" s="4"/>
      <c r="HC1906" s="4"/>
      <c r="HD1906" s="4"/>
      <c r="HE1906" s="4"/>
    </row>
    <row r="1907">
      <c r="A1907" s="2" t="s">
        <v>9285</v>
      </c>
      <c r="B1907" s="2" t="s">
        <v>970</v>
      </c>
      <c r="C1907" s="2" t="s">
        <v>9274</v>
      </c>
      <c r="D1907" s="2" t="s">
        <v>971</v>
      </c>
      <c r="E1907" s="2" t="s">
        <v>972</v>
      </c>
      <c r="F1907" s="2" t="s">
        <v>9275</v>
      </c>
      <c r="G1907" s="2" t="s">
        <v>228</v>
      </c>
      <c r="H1907" s="2" t="s">
        <v>228</v>
      </c>
      <c r="I1907" s="2" t="s">
        <v>9281</v>
      </c>
      <c r="J1907" s="2" t="s">
        <v>3672</v>
      </c>
      <c r="K1907" s="2" t="s">
        <v>316</v>
      </c>
      <c r="L1907" s="3">
        <v>22.99</v>
      </c>
      <c r="M1907" s="3">
        <v>24.14</v>
      </c>
      <c r="N1907" s="3"/>
      <c r="O1907" s="2" t="s">
        <v>240</v>
      </c>
      <c r="P1907" s="2" t="s">
        <v>233</v>
      </c>
      <c r="Q1907" s="2" t="s">
        <v>234</v>
      </c>
      <c r="R1907" s="2" t="s">
        <v>9278</v>
      </c>
      <c r="S1907" s="2" t="s">
        <v>228</v>
      </c>
      <c r="T1907" s="2" t="s">
        <v>228</v>
      </c>
      <c r="U1907" s="2" t="s">
        <v>228</v>
      </c>
      <c r="V1907" s="2" t="s">
        <v>236</v>
      </c>
      <c r="W1907" s="2" t="s">
        <v>228</v>
      </c>
      <c r="X1907" s="2" t="s">
        <v>228</v>
      </c>
      <c r="Y1907" s="2" t="s">
        <v>9279</v>
      </c>
      <c r="Z1907" s="4"/>
      <c r="AA1907" s="4">
        <f>=ROUNDDOWN({0},0)</f>
      </c>
      <c r="AB1907" s="5"/>
      <c r="AC1907" s="2" t="s">
        <v>228</v>
      </c>
      <c r="AD1907" s="4"/>
      <c r="AE1907" s="4"/>
      <c r="AF1907" s="6"/>
      <c r="AG1907" s="6"/>
      <c r="AH1907" s="7"/>
      <c r="AI1907" s="4"/>
      <c r="AJ1907" s="4">
        <f>=ROUNDDOWN({0},0)</f>
      </c>
      <c r="AK1907" s="5"/>
      <c r="AL1907" s="2" t="s">
        <v>228</v>
      </c>
      <c r="AM1907" s="4"/>
      <c r="AN1907" s="4"/>
      <c r="AO1907" s="7"/>
      <c r="AP1907" s="4"/>
      <c r="AQ1907" s="8"/>
      <c r="AR1907" s="4"/>
      <c r="AS1907" s="8"/>
      <c r="AT1907" s="7"/>
      <c r="AU1907" s="7"/>
      <c r="AV1907" s="4" t="s">
        <v>228</v>
      </c>
      <c r="AW1907" s="8" t="s">
        <v>228</v>
      </c>
      <c r="AX1907" s="4" t="s">
        <v>228</v>
      </c>
      <c r="AY1907" s="8" t="s">
        <v>228</v>
      </c>
      <c r="AZ1907" s="7" t="s">
        <v>228</v>
      </c>
      <c r="BA1907" s="7" t="s">
        <v>228</v>
      </c>
      <c r="BB1907" s="7"/>
      <c r="BC1907" s="4" t="s">
        <v>228</v>
      </c>
      <c r="BD1907" s="8" t="s">
        <v>228</v>
      </c>
      <c r="BE1907" s="4" t="s">
        <v>228</v>
      </c>
      <c r="BF1907" s="8" t="s">
        <v>228</v>
      </c>
      <c r="BG1907" s="7" t="s">
        <v>228</v>
      </c>
      <c r="BH1907" s="7" t="s">
        <v>228</v>
      </c>
      <c r="BI1907" s="7"/>
      <c r="BJ1907" s="4"/>
      <c r="BK1907" s="8"/>
      <c r="BL1907" s="2" t="s">
        <v>228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238</v>
      </c>
      <c r="BV1907" s="2" t="s">
        <v>228</v>
      </c>
      <c r="BW1907" s="2" t="s">
        <v>228</v>
      </c>
      <c r="BX1907" s="2" t="s">
        <v>228</v>
      </c>
      <c r="BY1907" s="2" t="s">
        <v>239</v>
      </c>
      <c r="BZ1907" s="2" t="s">
        <v>240</v>
      </c>
      <c r="CA1907" s="2" t="s">
        <v>228</v>
      </c>
      <c r="CB1907" s="2" t="s">
        <v>228</v>
      </c>
      <c r="CC1907" s="2" t="s">
        <v>241</v>
      </c>
      <c r="CD1907" s="2" t="s">
        <v>228</v>
      </c>
      <c r="CE1907" s="4"/>
      <c r="CF1907" s="4"/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/>
      <c r="CX1907" s="4"/>
      <c r="CY1907" s="4"/>
      <c r="CZ1907" s="4"/>
      <c r="DA1907" s="4"/>
      <c r="DB1907" s="4"/>
      <c r="DC1907" s="4"/>
      <c r="DD1907" s="4"/>
      <c r="DE1907" s="4"/>
      <c r="DF1907" s="4"/>
      <c r="DG1907" s="4"/>
      <c r="DH1907" s="4"/>
      <c r="DI1907" s="4"/>
      <c r="DJ1907" s="4"/>
      <c r="DK1907" s="4"/>
      <c r="DL1907" s="4"/>
      <c r="DM1907" s="4"/>
      <c r="DN1907" s="4"/>
      <c r="DO1907" s="4"/>
      <c r="DP1907" s="4"/>
      <c r="DQ1907" s="4"/>
      <c r="DR1907" s="4"/>
      <c r="DS1907" s="4"/>
      <c r="DT1907" s="4"/>
      <c r="DU1907" s="4"/>
      <c r="DV1907" s="4"/>
      <c r="DW1907" s="4"/>
      <c r="DX1907" s="4"/>
      <c r="DY1907" s="4"/>
      <c r="DZ1907" s="4"/>
      <c r="EA1907" s="4"/>
      <c r="EB1907" s="4"/>
      <c r="EC1907" s="4"/>
      <c r="ED1907" s="4"/>
      <c r="EE1907" s="4"/>
      <c r="EF1907" s="4"/>
      <c r="EG1907" s="4"/>
      <c r="EH1907" s="4"/>
      <c r="EI1907" s="4"/>
      <c r="EJ1907" s="4"/>
      <c r="EK1907" s="4"/>
      <c r="EL1907" s="4"/>
      <c r="EM1907" s="4"/>
      <c r="EN1907" s="4"/>
      <c r="EO1907" s="4"/>
      <c r="EP1907" s="4"/>
      <c r="EQ1907" s="4"/>
      <c r="ER1907" s="4"/>
      <c r="ES1907" s="4"/>
      <c r="ET1907" s="4"/>
      <c r="EU1907" s="4"/>
      <c r="EV1907" s="4"/>
      <c r="EW1907" s="4"/>
      <c r="EX1907" s="4"/>
      <c r="EY1907" s="4"/>
      <c r="EZ1907" s="4"/>
      <c r="FA1907" s="4"/>
      <c r="FB1907" s="4"/>
      <c r="FC1907" s="4"/>
      <c r="FD1907" s="4"/>
      <c r="FE1907" s="4"/>
      <c r="FF1907" s="4"/>
      <c r="FG1907" s="4"/>
      <c r="FH1907" s="4"/>
      <c r="FI1907" s="4"/>
      <c r="FJ1907" s="4"/>
      <c r="FK1907" s="4"/>
      <c r="FL1907" s="4"/>
      <c r="FM1907" s="4"/>
      <c r="FN1907" s="4"/>
      <c r="FO1907" s="4"/>
      <c r="FP1907" s="4"/>
      <c r="FQ1907" s="4"/>
      <c r="FR1907" s="4"/>
      <c r="FS1907" s="4"/>
      <c r="FT1907" s="4"/>
      <c r="FU1907" s="4"/>
      <c r="FV1907" s="4"/>
      <c r="FW1907" s="4"/>
      <c r="FX1907" s="4"/>
      <c r="FY1907" s="4"/>
      <c r="FZ1907" s="4"/>
      <c r="GA1907" s="4"/>
      <c r="GB1907" s="4"/>
      <c r="GC1907" s="4"/>
      <c r="GD1907" s="4"/>
      <c r="GE1907" s="4"/>
      <c r="GF1907" s="4"/>
      <c r="GG1907" s="4"/>
      <c r="GH1907" s="4"/>
      <c r="GI1907" s="4"/>
      <c r="GJ1907" s="4"/>
      <c r="GK1907" s="4"/>
      <c r="GL1907" s="4"/>
      <c r="GM1907" s="4"/>
      <c r="GN1907" s="4"/>
      <c r="GO1907" s="4"/>
      <c r="GP1907" s="4"/>
      <c r="GQ1907" s="4"/>
      <c r="GR1907" s="4"/>
      <c r="GS1907" s="4"/>
      <c r="GT1907" s="4"/>
      <c r="GU1907" s="4"/>
      <c r="GV1907" s="4"/>
      <c r="GW1907" s="4"/>
      <c r="GX1907" s="4"/>
      <c r="GY1907" s="4"/>
      <c r="GZ1907" s="4"/>
      <c r="HA1907" s="4"/>
      <c r="HB1907" s="4"/>
      <c r="HC1907" s="4"/>
      <c r="HD1907" s="4"/>
      <c r="HE1907" s="4"/>
    </row>
    <row r="1908">
      <c r="A1908" s="2" t="s">
        <v>9286</v>
      </c>
      <c r="B1908" s="2" t="s">
        <v>970</v>
      </c>
      <c r="C1908" s="2" t="s">
        <v>9274</v>
      </c>
      <c r="D1908" s="2" t="s">
        <v>971</v>
      </c>
      <c r="E1908" s="2" t="s">
        <v>972</v>
      </c>
      <c r="F1908" s="2" t="s">
        <v>9275</v>
      </c>
      <c r="G1908" s="2" t="s">
        <v>228</v>
      </c>
      <c r="H1908" s="2" t="s">
        <v>228</v>
      </c>
      <c r="I1908" s="2" t="s">
        <v>9281</v>
      </c>
      <c r="J1908" s="2" t="s">
        <v>9277</v>
      </c>
      <c r="K1908" s="2" t="s">
        <v>1031</v>
      </c>
      <c r="L1908" s="3">
        <v>19.99</v>
      </c>
      <c r="M1908" s="3">
        <v>20.99</v>
      </c>
      <c r="N1908" s="3"/>
      <c r="O1908" s="2" t="s">
        <v>240</v>
      </c>
      <c r="P1908" s="2" t="s">
        <v>233</v>
      </c>
      <c r="Q1908" s="2" t="s">
        <v>234</v>
      </c>
      <c r="R1908" s="2" t="s">
        <v>9278</v>
      </c>
      <c r="S1908" s="2" t="s">
        <v>228</v>
      </c>
      <c r="T1908" s="2" t="s">
        <v>228</v>
      </c>
      <c r="U1908" s="2" t="s">
        <v>228</v>
      </c>
      <c r="V1908" s="2" t="s">
        <v>236</v>
      </c>
      <c r="W1908" s="2" t="s">
        <v>228</v>
      </c>
      <c r="X1908" s="2" t="s">
        <v>228</v>
      </c>
      <c r="Y1908" s="2" t="s">
        <v>9279</v>
      </c>
      <c r="Z1908" s="4"/>
      <c r="AA1908" s="4">
        <f>=ROUNDDOWN({0},0)</f>
      </c>
      <c r="AB1908" s="5"/>
      <c r="AC1908" s="2" t="s">
        <v>228</v>
      </c>
      <c r="AD1908" s="4"/>
      <c r="AE1908" s="4"/>
      <c r="AF1908" s="6"/>
      <c r="AG1908" s="6"/>
      <c r="AH1908" s="7"/>
      <c r="AI1908" s="4"/>
      <c r="AJ1908" s="4">
        <f>=ROUNDDOWN({0},0)</f>
      </c>
      <c r="AK1908" s="5"/>
      <c r="AL1908" s="2" t="s">
        <v>228</v>
      </c>
      <c r="AM1908" s="4"/>
      <c r="AN1908" s="4"/>
      <c r="AO1908" s="7"/>
      <c r="AP1908" s="4"/>
      <c r="AQ1908" s="8"/>
      <c r="AR1908" s="4"/>
      <c r="AS1908" s="8"/>
      <c r="AT1908" s="7"/>
      <c r="AU1908" s="7"/>
      <c r="AV1908" s="4" t="s">
        <v>228</v>
      </c>
      <c r="AW1908" s="8" t="s">
        <v>228</v>
      </c>
      <c r="AX1908" s="4" t="s">
        <v>228</v>
      </c>
      <c r="AY1908" s="8" t="s">
        <v>228</v>
      </c>
      <c r="AZ1908" s="7" t="s">
        <v>228</v>
      </c>
      <c r="BA1908" s="7" t="s">
        <v>228</v>
      </c>
      <c r="BB1908" s="7"/>
      <c r="BC1908" s="4" t="s">
        <v>228</v>
      </c>
      <c r="BD1908" s="8" t="s">
        <v>228</v>
      </c>
      <c r="BE1908" s="4" t="s">
        <v>228</v>
      </c>
      <c r="BF1908" s="8" t="s">
        <v>228</v>
      </c>
      <c r="BG1908" s="7" t="s">
        <v>228</v>
      </c>
      <c r="BH1908" s="7" t="s">
        <v>228</v>
      </c>
      <c r="BI1908" s="7"/>
      <c r="BJ1908" s="4"/>
      <c r="BK1908" s="8"/>
      <c r="BL1908" s="2" t="s">
        <v>228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238</v>
      </c>
      <c r="BV1908" s="2" t="s">
        <v>228</v>
      </c>
      <c r="BW1908" s="2" t="s">
        <v>228</v>
      </c>
      <c r="BX1908" s="2" t="s">
        <v>228</v>
      </c>
      <c r="BY1908" s="2" t="s">
        <v>239</v>
      </c>
      <c r="BZ1908" s="2" t="s">
        <v>240</v>
      </c>
      <c r="CA1908" s="2" t="s">
        <v>228</v>
      </c>
      <c r="CB1908" s="2" t="s">
        <v>228</v>
      </c>
      <c r="CC1908" s="2" t="s">
        <v>241</v>
      </c>
      <c r="CD1908" s="2" t="s">
        <v>228</v>
      </c>
      <c r="CE1908" s="4"/>
      <c r="CF1908" s="4"/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4"/>
      <c r="CX1908" s="4"/>
      <c r="CY1908" s="4"/>
      <c r="CZ1908" s="4"/>
      <c r="DA1908" s="4"/>
      <c r="DB1908" s="4"/>
      <c r="DC1908" s="4"/>
      <c r="DD1908" s="4"/>
      <c r="DE1908" s="4"/>
      <c r="DF1908" s="4"/>
      <c r="DG1908" s="4"/>
      <c r="DH1908" s="4"/>
      <c r="DI1908" s="4"/>
      <c r="DJ1908" s="4"/>
      <c r="DK1908" s="4"/>
      <c r="DL1908" s="4"/>
      <c r="DM1908" s="4"/>
      <c r="DN1908" s="4"/>
      <c r="DO1908" s="4"/>
      <c r="DP1908" s="4"/>
      <c r="DQ1908" s="4"/>
      <c r="DR1908" s="4"/>
      <c r="DS1908" s="4"/>
      <c r="DT1908" s="4"/>
      <c r="DU1908" s="4"/>
      <c r="DV1908" s="4"/>
      <c r="DW1908" s="4"/>
      <c r="DX1908" s="4"/>
      <c r="DY1908" s="4"/>
      <c r="DZ1908" s="4"/>
      <c r="EA1908" s="4"/>
      <c r="EB1908" s="4"/>
      <c r="EC1908" s="4"/>
      <c r="ED1908" s="4"/>
      <c r="EE1908" s="4"/>
      <c r="EF1908" s="4"/>
      <c r="EG1908" s="4"/>
      <c r="EH1908" s="4"/>
      <c r="EI1908" s="4"/>
      <c r="EJ1908" s="4"/>
      <c r="EK1908" s="4"/>
      <c r="EL1908" s="4"/>
      <c r="EM1908" s="4"/>
      <c r="EN1908" s="4"/>
      <c r="EO1908" s="4"/>
      <c r="EP1908" s="4"/>
      <c r="EQ1908" s="4"/>
      <c r="ER1908" s="4"/>
      <c r="ES1908" s="4"/>
      <c r="ET1908" s="4"/>
      <c r="EU1908" s="4"/>
      <c r="EV1908" s="4"/>
      <c r="EW1908" s="4"/>
      <c r="EX1908" s="4"/>
      <c r="EY1908" s="4"/>
      <c r="EZ1908" s="4"/>
      <c r="FA1908" s="4"/>
      <c r="FB1908" s="4"/>
      <c r="FC1908" s="4"/>
      <c r="FD1908" s="4"/>
      <c r="FE1908" s="4"/>
      <c r="FF1908" s="4"/>
      <c r="FG1908" s="4"/>
      <c r="FH1908" s="4"/>
      <c r="FI1908" s="4"/>
      <c r="FJ1908" s="4"/>
      <c r="FK1908" s="4"/>
      <c r="FL1908" s="4"/>
      <c r="FM1908" s="4"/>
      <c r="FN1908" s="4"/>
      <c r="FO1908" s="4"/>
      <c r="FP1908" s="4"/>
      <c r="FQ1908" s="4"/>
      <c r="FR1908" s="4"/>
      <c r="FS1908" s="4"/>
      <c r="FT1908" s="4"/>
      <c r="FU1908" s="4"/>
      <c r="FV1908" s="4"/>
      <c r="FW1908" s="4"/>
      <c r="FX1908" s="4"/>
      <c r="FY1908" s="4"/>
      <c r="FZ1908" s="4"/>
      <c r="GA1908" s="4"/>
      <c r="GB1908" s="4"/>
      <c r="GC1908" s="4"/>
      <c r="GD1908" s="4"/>
      <c r="GE1908" s="4"/>
      <c r="GF1908" s="4"/>
      <c r="GG1908" s="4"/>
      <c r="GH1908" s="4"/>
      <c r="GI1908" s="4"/>
      <c r="GJ1908" s="4"/>
      <c r="GK1908" s="4"/>
      <c r="GL1908" s="4"/>
      <c r="GM1908" s="4"/>
      <c r="GN1908" s="4"/>
      <c r="GO1908" s="4"/>
      <c r="GP1908" s="4"/>
      <c r="GQ1908" s="4"/>
      <c r="GR1908" s="4"/>
      <c r="GS1908" s="4"/>
      <c r="GT1908" s="4"/>
      <c r="GU1908" s="4"/>
      <c r="GV1908" s="4"/>
      <c r="GW1908" s="4"/>
      <c r="GX1908" s="4"/>
      <c r="GY1908" s="4"/>
      <c r="GZ1908" s="4"/>
      <c r="HA1908" s="4"/>
      <c r="HB1908" s="4"/>
      <c r="HC1908" s="4"/>
      <c r="HD1908" s="4"/>
      <c r="HE1908" s="4"/>
    </row>
    <row r="1909">
      <c r="A1909" s="2" t="s">
        <v>9287</v>
      </c>
      <c r="B1909" s="2" t="s">
        <v>970</v>
      </c>
      <c r="C1909" s="2" t="s">
        <v>9274</v>
      </c>
      <c r="D1909" s="2" t="s">
        <v>971</v>
      </c>
      <c r="E1909" s="2" t="s">
        <v>972</v>
      </c>
      <c r="F1909" s="2" t="s">
        <v>9275</v>
      </c>
      <c r="G1909" s="2" t="s">
        <v>228</v>
      </c>
      <c r="H1909" s="2" t="s">
        <v>228</v>
      </c>
      <c r="I1909" s="2" t="s">
        <v>9281</v>
      </c>
      <c r="J1909" s="2" t="s">
        <v>3672</v>
      </c>
      <c r="K1909" s="2" t="s">
        <v>1031</v>
      </c>
      <c r="L1909" s="3">
        <v>22.99</v>
      </c>
      <c r="M1909" s="3">
        <v>24.14</v>
      </c>
      <c r="N1909" s="3"/>
      <c r="O1909" s="2" t="s">
        <v>240</v>
      </c>
      <c r="P1909" s="2" t="s">
        <v>233</v>
      </c>
      <c r="Q1909" s="2" t="s">
        <v>234</v>
      </c>
      <c r="R1909" s="2" t="s">
        <v>9278</v>
      </c>
      <c r="S1909" s="2" t="s">
        <v>228</v>
      </c>
      <c r="T1909" s="2" t="s">
        <v>228</v>
      </c>
      <c r="U1909" s="2" t="s">
        <v>228</v>
      </c>
      <c r="V1909" s="2" t="s">
        <v>236</v>
      </c>
      <c r="W1909" s="2" t="s">
        <v>228</v>
      </c>
      <c r="X1909" s="2" t="s">
        <v>228</v>
      </c>
      <c r="Y1909" s="2" t="s">
        <v>9279</v>
      </c>
      <c r="Z1909" s="4"/>
      <c r="AA1909" s="4">
        <f>=ROUNDDOWN({0},0)</f>
      </c>
      <c r="AB1909" s="5"/>
      <c r="AC1909" s="2" t="s">
        <v>228</v>
      </c>
      <c r="AD1909" s="4"/>
      <c r="AE1909" s="4"/>
      <c r="AF1909" s="6"/>
      <c r="AG1909" s="6"/>
      <c r="AH1909" s="7"/>
      <c r="AI1909" s="4"/>
      <c r="AJ1909" s="4">
        <f>=ROUNDDOWN({0},0)</f>
      </c>
      <c r="AK1909" s="5"/>
      <c r="AL1909" s="2" t="s">
        <v>228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 t="s">
        <v>228</v>
      </c>
      <c r="AW1909" s="8" t="s">
        <v>228</v>
      </c>
      <c r="AX1909" s="4" t="s">
        <v>228</v>
      </c>
      <c r="AY1909" s="8" t="s">
        <v>228</v>
      </c>
      <c r="AZ1909" s="7" t="s">
        <v>228</v>
      </c>
      <c r="BA1909" s="7" t="s">
        <v>228</v>
      </c>
      <c r="BB1909" s="7"/>
      <c r="BC1909" s="4" t="s">
        <v>228</v>
      </c>
      <c r="BD1909" s="8" t="s">
        <v>228</v>
      </c>
      <c r="BE1909" s="4" t="s">
        <v>228</v>
      </c>
      <c r="BF1909" s="8" t="s">
        <v>228</v>
      </c>
      <c r="BG1909" s="7" t="s">
        <v>228</v>
      </c>
      <c r="BH1909" s="7" t="s">
        <v>228</v>
      </c>
      <c r="BI1909" s="7"/>
      <c r="BJ1909" s="4"/>
      <c r="BK1909" s="8"/>
      <c r="BL1909" s="2" t="s">
        <v>228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238</v>
      </c>
      <c r="BV1909" s="2" t="s">
        <v>228</v>
      </c>
      <c r="BW1909" s="2" t="s">
        <v>228</v>
      </c>
      <c r="BX1909" s="2" t="s">
        <v>228</v>
      </c>
      <c r="BY1909" s="2" t="s">
        <v>239</v>
      </c>
      <c r="BZ1909" s="2" t="s">
        <v>240</v>
      </c>
      <c r="CA1909" s="2" t="s">
        <v>228</v>
      </c>
      <c r="CB1909" s="2" t="s">
        <v>228</v>
      </c>
      <c r="CC1909" s="2" t="s">
        <v>241</v>
      </c>
      <c r="CD1909" s="2" t="s">
        <v>228</v>
      </c>
      <c r="CE1909" s="4"/>
      <c r="CF1909" s="4"/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/>
      <c r="CX1909" s="4"/>
      <c r="CY1909" s="4"/>
      <c r="CZ1909" s="4"/>
      <c r="DA1909" s="4"/>
      <c r="DB1909" s="4"/>
      <c r="DC1909" s="4"/>
      <c r="DD1909" s="4"/>
      <c r="DE1909" s="4"/>
      <c r="DF1909" s="4"/>
      <c r="DG1909" s="4"/>
      <c r="DH1909" s="4"/>
      <c r="DI1909" s="4"/>
      <c r="DJ1909" s="4"/>
      <c r="DK1909" s="4"/>
      <c r="DL1909" s="4"/>
      <c r="DM1909" s="4"/>
      <c r="DN1909" s="4"/>
      <c r="DO1909" s="4"/>
      <c r="DP1909" s="4"/>
      <c r="DQ1909" s="4"/>
      <c r="DR1909" s="4"/>
      <c r="DS1909" s="4"/>
      <c r="DT1909" s="4"/>
      <c r="DU1909" s="4"/>
      <c r="DV1909" s="4"/>
      <c r="DW1909" s="4"/>
      <c r="DX1909" s="4"/>
      <c r="DY1909" s="4"/>
      <c r="DZ1909" s="4"/>
      <c r="EA1909" s="4"/>
      <c r="EB1909" s="4"/>
      <c r="EC1909" s="4"/>
      <c r="ED1909" s="4"/>
      <c r="EE1909" s="4"/>
      <c r="EF1909" s="4"/>
      <c r="EG1909" s="4"/>
      <c r="EH1909" s="4"/>
      <c r="EI1909" s="4"/>
      <c r="EJ1909" s="4"/>
      <c r="EK1909" s="4"/>
      <c r="EL1909" s="4"/>
      <c r="EM1909" s="4"/>
      <c r="EN1909" s="4"/>
      <c r="EO1909" s="4"/>
      <c r="EP1909" s="4"/>
      <c r="EQ1909" s="4"/>
      <c r="ER1909" s="4"/>
      <c r="ES1909" s="4"/>
      <c r="ET1909" s="4"/>
      <c r="EU1909" s="4"/>
      <c r="EV1909" s="4"/>
      <c r="EW1909" s="4"/>
      <c r="EX1909" s="4"/>
      <c r="EY1909" s="4"/>
      <c r="EZ1909" s="4"/>
      <c r="FA1909" s="4"/>
      <c r="FB1909" s="4"/>
      <c r="FC1909" s="4"/>
      <c r="FD1909" s="4"/>
      <c r="FE1909" s="4"/>
      <c r="FF1909" s="4"/>
      <c r="FG1909" s="4"/>
      <c r="FH1909" s="4"/>
      <c r="FI1909" s="4"/>
      <c r="FJ1909" s="4"/>
      <c r="FK1909" s="4"/>
      <c r="FL1909" s="4"/>
      <c r="FM1909" s="4"/>
      <c r="FN1909" s="4"/>
      <c r="FO1909" s="4"/>
      <c r="FP1909" s="4"/>
      <c r="FQ1909" s="4"/>
      <c r="FR1909" s="4"/>
      <c r="FS1909" s="4"/>
      <c r="FT1909" s="4"/>
      <c r="FU1909" s="4"/>
      <c r="FV1909" s="4"/>
      <c r="FW1909" s="4"/>
      <c r="FX1909" s="4"/>
      <c r="FY1909" s="4"/>
      <c r="FZ1909" s="4"/>
      <c r="GA1909" s="4"/>
      <c r="GB1909" s="4"/>
      <c r="GC1909" s="4"/>
      <c r="GD1909" s="4"/>
      <c r="GE1909" s="4"/>
      <c r="GF1909" s="4"/>
      <c r="GG1909" s="4"/>
      <c r="GH1909" s="4"/>
      <c r="GI1909" s="4"/>
      <c r="GJ1909" s="4"/>
      <c r="GK1909" s="4"/>
      <c r="GL1909" s="4"/>
      <c r="GM1909" s="4"/>
      <c r="GN1909" s="4"/>
      <c r="GO1909" s="4"/>
      <c r="GP1909" s="4"/>
      <c r="GQ1909" s="4"/>
      <c r="GR1909" s="4"/>
      <c r="GS1909" s="4"/>
      <c r="GT1909" s="4"/>
      <c r="GU1909" s="4"/>
      <c r="GV1909" s="4"/>
      <c r="GW1909" s="4"/>
      <c r="GX1909" s="4"/>
      <c r="GY1909" s="4"/>
      <c r="GZ1909" s="4"/>
      <c r="HA1909" s="4"/>
      <c r="HB1909" s="4"/>
      <c r="HC1909" s="4"/>
      <c r="HD1909" s="4"/>
      <c r="HE1909" s="4"/>
    </row>
    <row r="1910">
      <c r="A1910" s="2" t="s">
        <v>9288</v>
      </c>
      <c r="B1910" s="2" t="s">
        <v>1150</v>
      </c>
      <c r="C1910" s="2" t="s">
        <v>1743</v>
      </c>
      <c r="D1910" s="2" t="s">
        <v>1112</v>
      </c>
      <c r="E1910" s="2" t="s">
        <v>1165</v>
      </c>
      <c r="F1910" s="2" t="s">
        <v>9289</v>
      </c>
      <c r="G1910" s="2" t="s">
        <v>9290</v>
      </c>
      <c r="H1910" s="2" t="s">
        <v>9291</v>
      </c>
      <c r="I1910" s="2" t="s">
        <v>9292</v>
      </c>
      <c r="J1910" s="2" t="s">
        <v>289</v>
      </c>
      <c r="K1910" s="2" t="s">
        <v>3761</v>
      </c>
      <c r="L1910" s="3">
        <v>48.71</v>
      </c>
      <c r="M1910" s="3">
        <v>51.15</v>
      </c>
      <c r="N1910" s="3">
        <v>109.99</v>
      </c>
      <c r="O1910" s="2" t="s">
        <v>240</v>
      </c>
      <c r="P1910" s="2" t="s">
        <v>233</v>
      </c>
      <c r="Q1910" s="2" t="s">
        <v>234</v>
      </c>
      <c r="R1910" s="2" t="s">
        <v>228</v>
      </c>
      <c r="S1910" s="2" t="s">
        <v>9293</v>
      </c>
      <c r="T1910" s="2" t="s">
        <v>415</v>
      </c>
      <c r="U1910" s="2" t="s">
        <v>791</v>
      </c>
      <c r="V1910" s="2" t="s">
        <v>5029</v>
      </c>
      <c r="W1910" s="2" t="s">
        <v>417</v>
      </c>
      <c r="X1910" s="2" t="s">
        <v>463</v>
      </c>
      <c r="Y1910" s="2" t="s">
        <v>1788</v>
      </c>
      <c r="Z1910" s="4">
        <v>138</v>
      </c>
      <c r="AA1910" s="4">
        <f>=ROUNDDOWN({0},0)</f>
      </c>
      <c r="AB1910" s="5"/>
      <c r="AC1910" s="2" t="s">
        <v>1516</v>
      </c>
      <c r="AD1910" s="4">
        <v>200</v>
      </c>
      <c r="AE1910" s="4">
        <v>200</v>
      </c>
      <c r="AF1910" s="6">
        <v>65</v>
      </c>
      <c r="AG1910" s="6"/>
      <c r="AH1910" s="7">
        <v>1</v>
      </c>
      <c r="AI1910" s="4"/>
      <c r="AJ1910" s="4">
        <f>=ROUNDDOWN({0},0)</f>
      </c>
      <c r="AK1910" s="5"/>
      <c r="AL1910" s="2" t="s">
        <v>228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 t="s">
        <v>228</v>
      </c>
      <c r="AW1910" s="8" t="s">
        <v>228</v>
      </c>
      <c r="AX1910" s="4" t="s">
        <v>228</v>
      </c>
      <c r="AY1910" s="8" t="s">
        <v>228</v>
      </c>
      <c r="AZ1910" s="7" t="s">
        <v>228</v>
      </c>
      <c r="BA1910" s="7" t="s">
        <v>228</v>
      </c>
      <c r="BB1910" s="7"/>
      <c r="BC1910" s="4" t="s">
        <v>228</v>
      </c>
      <c r="BD1910" s="8" t="s">
        <v>228</v>
      </c>
      <c r="BE1910" s="4" t="s">
        <v>228</v>
      </c>
      <c r="BF1910" s="8" t="s">
        <v>228</v>
      </c>
      <c r="BG1910" s="7" t="s">
        <v>228</v>
      </c>
      <c r="BH1910" s="7" t="s">
        <v>228</v>
      </c>
      <c r="BI1910" s="7"/>
      <c r="BJ1910" s="4"/>
      <c r="BK1910" s="8"/>
      <c r="BL1910" s="2" t="s">
        <v>228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9294</v>
      </c>
      <c r="BV1910" s="2" t="s">
        <v>228</v>
      </c>
      <c r="BW1910" s="2" t="s">
        <v>228</v>
      </c>
      <c r="BX1910" s="2" t="s">
        <v>238</v>
      </c>
      <c r="BY1910" s="2" t="s">
        <v>274</v>
      </c>
      <c r="BZ1910" s="2" t="s">
        <v>240</v>
      </c>
      <c r="CA1910" s="2" t="s">
        <v>228</v>
      </c>
      <c r="CB1910" s="2" t="s">
        <v>228</v>
      </c>
      <c r="CC1910" s="2" t="s">
        <v>241</v>
      </c>
      <c r="CD1910" s="2" t="s">
        <v>228</v>
      </c>
      <c r="CE1910" s="4">
        <v>138</v>
      </c>
      <c r="CF1910" s="4"/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4"/>
      <c r="CX1910" s="4"/>
      <c r="CY1910" s="4"/>
      <c r="CZ1910" s="4"/>
      <c r="DA1910" s="4"/>
      <c r="DB1910" s="4"/>
      <c r="DC1910" s="4"/>
      <c r="DD1910" s="4"/>
      <c r="DE1910" s="4"/>
      <c r="DF1910" s="4"/>
      <c r="DG1910" s="4"/>
      <c r="DH1910" s="4"/>
      <c r="DI1910" s="4"/>
      <c r="DJ1910" s="4"/>
      <c r="DK1910" s="4"/>
      <c r="DL1910" s="4"/>
      <c r="DM1910" s="4"/>
      <c r="DN1910" s="4"/>
      <c r="DO1910" s="4"/>
      <c r="DP1910" s="4"/>
      <c r="DQ1910" s="4"/>
      <c r="DR1910" s="4"/>
      <c r="DS1910" s="4"/>
      <c r="DT1910" s="4"/>
      <c r="DU1910" s="4"/>
      <c r="DV1910" s="4"/>
      <c r="DW1910" s="4"/>
      <c r="DX1910" s="4"/>
      <c r="DY1910" s="4"/>
      <c r="DZ1910" s="4"/>
      <c r="EA1910" s="4"/>
      <c r="EB1910" s="4"/>
      <c r="EC1910" s="4"/>
      <c r="ED1910" s="4"/>
      <c r="EE1910" s="4"/>
      <c r="EF1910" s="4"/>
      <c r="EG1910" s="4">
        <v>200</v>
      </c>
      <c r="EH1910" s="4"/>
      <c r="EI1910" s="4"/>
      <c r="EJ1910" s="4"/>
      <c r="EK1910" s="4"/>
      <c r="EL1910" s="4"/>
      <c r="EM1910" s="4"/>
      <c r="EN1910" s="4"/>
      <c r="EO1910" s="4"/>
      <c r="EP1910" s="4"/>
      <c r="EQ1910" s="4"/>
      <c r="ER1910" s="4"/>
      <c r="ES1910" s="4"/>
      <c r="ET1910" s="4"/>
      <c r="EU1910" s="4"/>
      <c r="EV1910" s="4"/>
      <c r="EW1910" s="4"/>
      <c r="EX1910" s="4"/>
      <c r="EY1910" s="4"/>
      <c r="EZ1910" s="4"/>
      <c r="FA1910" s="4"/>
      <c r="FB1910" s="4"/>
      <c r="FC1910" s="4"/>
      <c r="FD1910" s="4"/>
      <c r="FE1910" s="4"/>
      <c r="FF1910" s="4"/>
      <c r="FG1910" s="4"/>
      <c r="FH1910" s="4"/>
      <c r="FI1910" s="4"/>
      <c r="FJ1910" s="4"/>
      <c r="FK1910" s="4"/>
      <c r="FL1910" s="4"/>
      <c r="FM1910" s="4"/>
      <c r="FN1910" s="4"/>
      <c r="FO1910" s="4"/>
      <c r="FP1910" s="4"/>
      <c r="FQ1910" s="4"/>
      <c r="FR1910" s="4"/>
      <c r="FS1910" s="4"/>
      <c r="FT1910" s="4"/>
      <c r="FU1910" s="4"/>
      <c r="FV1910" s="4"/>
      <c r="FW1910" s="4"/>
      <c r="FX1910" s="4"/>
      <c r="FY1910" s="4"/>
      <c r="FZ1910" s="4"/>
      <c r="GA1910" s="4"/>
      <c r="GB1910" s="4"/>
      <c r="GC1910" s="4"/>
      <c r="GD1910" s="4"/>
      <c r="GE1910" s="4"/>
      <c r="GF1910" s="4"/>
      <c r="GG1910" s="4"/>
      <c r="GH1910" s="4"/>
      <c r="GI1910" s="4"/>
      <c r="GJ1910" s="4"/>
      <c r="GK1910" s="4"/>
      <c r="GL1910" s="4"/>
      <c r="GM1910" s="4"/>
      <c r="GN1910" s="4"/>
      <c r="GO1910" s="4"/>
      <c r="GP1910" s="4"/>
      <c r="GQ1910" s="4"/>
      <c r="GR1910" s="4"/>
      <c r="GS1910" s="4"/>
      <c r="GT1910" s="4"/>
      <c r="GU1910" s="4"/>
      <c r="GV1910" s="4"/>
      <c r="GW1910" s="4"/>
      <c r="GX1910" s="4"/>
      <c r="GY1910" s="4"/>
      <c r="GZ1910" s="4"/>
      <c r="HA1910" s="4"/>
      <c r="HB1910" s="4"/>
      <c r="HC1910" s="4"/>
      <c r="HD1910" s="4"/>
      <c r="HE1910" s="4"/>
    </row>
    <row r="1911">
      <c r="A1911" s="2" t="s">
        <v>9295</v>
      </c>
      <c r="B1911" s="2" t="s">
        <v>1150</v>
      </c>
      <c r="C1911" s="2" t="s">
        <v>1743</v>
      </c>
      <c r="D1911" s="2" t="s">
        <v>1112</v>
      </c>
      <c r="E1911" s="2" t="s">
        <v>1165</v>
      </c>
      <c r="F1911" s="2" t="s">
        <v>9289</v>
      </c>
      <c r="G1911" s="2" t="s">
        <v>9290</v>
      </c>
      <c r="H1911" s="2" t="s">
        <v>9291</v>
      </c>
      <c r="I1911" s="2" t="s">
        <v>9292</v>
      </c>
      <c r="J1911" s="2" t="s">
        <v>294</v>
      </c>
      <c r="K1911" s="2" t="s">
        <v>3761</v>
      </c>
      <c r="L1911" s="3">
        <v>54.43</v>
      </c>
      <c r="M1911" s="3">
        <v>57.15</v>
      </c>
      <c r="N1911" s="3">
        <v>119.99</v>
      </c>
      <c r="O1911" s="2" t="s">
        <v>240</v>
      </c>
      <c r="P1911" s="2" t="s">
        <v>233</v>
      </c>
      <c r="Q1911" s="2" t="s">
        <v>234</v>
      </c>
      <c r="R1911" s="2" t="s">
        <v>228</v>
      </c>
      <c r="S1911" s="2" t="s">
        <v>9293</v>
      </c>
      <c r="T1911" s="2" t="s">
        <v>415</v>
      </c>
      <c r="U1911" s="2" t="s">
        <v>791</v>
      </c>
      <c r="V1911" s="2" t="s">
        <v>5029</v>
      </c>
      <c r="W1911" s="2" t="s">
        <v>417</v>
      </c>
      <c r="X1911" s="2" t="s">
        <v>463</v>
      </c>
      <c r="Y1911" s="2" t="s">
        <v>1788</v>
      </c>
      <c r="Z1911" s="4">
        <v>200</v>
      </c>
      <c r="AA1911" s="4">
        <f>=ROUNDDOWN({0},0)</f>
      </c>
      <c r="AB1911" s="5"/>
      <c r="AC1911" s="2" t="s">
        <v>1516</v>
      </c>
      <c r="AD1911" s="4">
        <v>150</v>
      </c>
      <c r="AE1911" s="4">
        <v>150</v>
      </c>
      <c r="AF1911" s="6">
        <v>65</v>
      </c>
      <c r="AG1911" s="6"/>
      <c r="AH1911" s="7">
        <v>1</v>
      </c>
      <c r="AI1911" s="4"/>
      <c r="AJ1911" s="4">
        <f>=ROUNDDOWN({0},0)</f>
      </c>
      <c r="AK1911" s="5"/>
      <c r="AL1911" s="2" t="s">
        <v>228</v>
      </c>
      <c r="AM1911" s="4"/>
      <c r="AN1911" s="4"/>
      <c r="AO1911" s="7"/>
      <c r="AP1911" s="4"/>
      <c r="AQ1911" s="8"/>
      <c r="AR1911" s="4"/>
      <c r="AS1911" s="8"/>
      <c r="AT1911" s="7"/>
      <c r="AU1911" s="7"/>
      <c r="AV1911" s="4" t="s">
        <v>228</v>
      </c>
      <c r="AW1911" s="8" t="s">
        <v>228</v>
      </c>
      <c r="AX1911" s="4" t="s">
        <v>228</v>
      </c>
      <c r="AY1911" s="8" t="s">
        <v>228</v>
      </c>
      <c r="AZ1911" s="7" t="s">
        <v>228</v>
      </c>
      <c r="BA1911" s="7" t="s">
        <v>228</v>
      </c>
      <c r="BB1911" s="7"/>
      <c r="BC1911" s="4" t="s">
        <v>228</v>
      </c>
      <c r="BD1911" s="8" t="s">
        <v>228</v>
      </c>
      <c r="BE1911" s="4" t="s">
        <v>228</v>
      </c>
      <c r="BF1911" s="8" t="s">
        <v>228</v>
      </c>
      <c r="BG1911" s="7" t="s">
        <v>228</v>
      </c>
      <c r="BH1911" s="7" t="s">
        <v>228</v>
      </c>
      <c r="BI1911" s="7"/>
      <c r="BJ1911" s="4"/>
      <c r="BK1911" s="8"/>
      <c r="BL1911" s="2" t="s">
        <v>228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9296</v>
      </c>
      <c r="BV1911" s="2" t="s">
        <v>228</v>
      </c>
      <c r="BW1911" s="2" t="s">
        <v>228</v>
      </c>
      <c r="BX1911" s="2" t="s">
        <v>238</v>
      </c>
      <c r="BY1911" s="2" t="s">
        <v>274</v>
      </c>
      <c r="BZ1911" s="2" t="s">
        <v>240</v>
      </c>
      <c r="CA1911" s="2" t="s">
        <v>228</v>
      </c>
      <c r="CB1911" s="2" t="s">
        <v>228</v>
      </c>
      <c r="CC1911" s="2" t="s">
        <v>241</v>
      </c>
      <c r="CD1911" s="2" t="s">
        <v>228</v>
      </c>
      <c r="CE1911" s="4">
        <v>200</v>
      </c>
      <c r="CF1911" s="4"/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/>
      <c r="CX1911" s="4"/>
      <c r="CY1911" s="4"/>
      <c r="CZ1911" s="4"/>
      <c r="DA1911" s="4"/>
      <c r="DB1911" s="4"/>
      <c r="DC1911" s="4"/>
      <c r="DD1911" s="4"/>
      <c r="DE1911" s="4"/>
      <c r="DF1911" s="4"/>
      <c r="DG1911" s="4"/>
      <c r="DH1911" s="4"/>
      <c r="DI1911" s="4"/>
      <c r="DJ1911" s="4"/>
      <c r="DK1911" s="4"/>
      <c r="DL1911" s="4"/>
      <c r="DM1911" s="4"/>
      <c r="DN1911" s="4"/>
      <c r="DO1911" s="4"/>
      <c r="DP1911" s="4"/>
      <c r="DQ1911" s="4"/>
      <c r="DR1911" s="4"/>
      <c r="DS1911" s="4"/>
      <c r="DT1911" s="4"/>
      <c r="DU1911" s="4"/>
      <c r="DV1911" s="4"/>
      <c r="DW1911" s="4"/>
      <c r="DX1911" s="4"/>
      <c r="DY1911" s="4"/>
      <c r="DZ1911" s="4"/>
      <c r="EA1911" s="4"/>
      <c r="EB1911" s="4"/>
      <c r="EC1911" s="4"/>
      <c r="ED1911" s="4"/>
      <c r="EE1911" s="4"/>
      <c r="EF1911" s="4"/>
      <c r="EG1911" s="4">
        <v>150</v>
      </c>
      <c r="EH1911" s="4"/>
      <c r="EI1911" s="4"/>
      <c r="EJ1911" s="4"/>
      <c r="EK1911" s="4"/>
      <c r="EL1911" s="4"/>
      <c r="EM1911" s="4"/>
      <c r="EN1911" s="4"/>
      <c r="EO1911" s="4"/>
      <c r="EP1911" s="4"/>
      <c r="EQ1911" s="4"/>
      <c r="ER1911" s="4"/>
      <c r="ES1911" s="4"/>
      <c r="ET1911" s="4"/>
      <c r="EU1911" s="4"/>
      <c r="EV1911" s="4"/>
      <c r="EW1911" s="4"/>
      <c r="EX1911" s="4"/>
      <c r="EY1911" s="4"/>
      <c r="EZ1911" s="4"/>
      <c r="FA1911" s="4"/>
      <c r="FB1911" s="4"/>
      <c r="FC1911" s="4"/>
      <c r="FD1911" s="4"/>
      <c r="FE1911" s="4"/>
      <c r="FF1911" s="4"/>
      <c r="FG1911" s="4"/>
      <c r="FH1911" s="4"/>
      <c r="FI1911" s="4"/>
      <c r="FJ1911" s="4"/>
      <c r="FK1911" s="4"/>
      <c r="FL1911" s="4"/>
      <c r="FM1911" s="4"/>
      <c r="FN1911" s="4"/>
      <c r="FO1911" s="4"/>
      <c r="FP1911" s="4"/>
      <c r="FQ1911" s="4"/>
      <c r="FR1911" s="4"/>
      <c r="FS1911" s="4"/>
      <c r="FT1911" s="4"/>
      <c r="FU1911" s="4"/>
      <c r="FV1911" s="4"/>
      <c r="FW1911" s="4"/>
      <c r="FX1911" s="4"/>
      <c r="FY1911" s="4"/>
      <c r="FZ1911" s="4"/>
      <c r="GA1911" s="4"/>
      <c r="GB1911" s="4"/>
      <c r="GC1911" s="4"/>
      <c r="GD1911" s="4"/>
      <c r="GE1911" s="4"/>
      <c r="GF1911" s="4"/>
      <c r="GG1911" s="4"/>
      <c r="GH1911" s="4"/>
      <c r="GI1911" s="4"/>
      <c r="GJ1911" s="4"/>
      <c r="GK1911" s="4"/>
      <c r="GL1911" s="4"/>
      <c r="GM1911" s="4"/>
      <c r="GN1911" s="4"/>
      <c r="GO1911" s="4"/>
      <c r="GP1911" s="4"/>
      <c r="GQ1911" s="4"/>
      <c r="GR1911" s="4"/>
      <c r="GS1911" s="4"/>
      <c r="GT1911" s="4"/>
      <c r="GU1911" s="4"/>
      <c r="GV1911" s="4"/>
      <c r="GW1911" s="4"/>
      <c r="GX1911" s="4"/>
      <c r="GY1911" s="4"/>
      <c r="GZ1911" s="4"/>
      <c r="HA1911" s="4"/>
      <c r="HB1911" s="4"/>
      <c r="HC1911" s="4"/>
      <c r="HD1911" s="4"/>
      <c r="HE1911" s="4"/>
    </row>
    <row r="1912">
      <c r="A1912" s="2" t="s">
        <v>9297</v>
      </c>
      <c r="B1912" s="2" t="s">
        <v>1150</v>
      </c>
      <c r="C1912" s="2" t="s">
        <v>1743</v>
      </c>
      <c r="D1912" s="2" t="s">
        <v>1112</v>
      </c>
      <c r="E1912" s="2" t="s">
        <v>1165</v>
      </c>
      <c r="F1912" s="2" t="s">
        <v>9289</v>
      </c>
      <c r="G1912" s="2" t="s">
        <v>9290</v>
      </c>
      <c r="H1912" s="2" t="s">
        <v>9291</v>
      </c>
      <c r="I1912" s="2" t="s">
        <v>9292</v>
      </c>
      <c r="J1912" s="2" t="s">
        <v>312</v>
      </c>
      <c r="K1912" s="2" t="s">
        <v>3761</v>
      </c>
      <c r="L1912" s="3">
        <v>54.43</v>
      </c>
      <c r="M1912" s="3">
        <v>57.15</v>
      </c>
      <c r="N1912" s="3">
        <v>119.99</v>
      </c>
      <c r="O1912" s="2" t="s">
        <v>240</v>
      </c>
      <c r="P1912" s="2" t="s">
        <v>233</v>
      </c>
      <c r="Q1912" s="2" t="s">
        <v>234</v>
      </c>
      <c r="R1912" s="2" t="s">
        <v>228</v>
      </c>
      <c r="S1912" s="2" t="s">
        <v>9293</v>
      </c>
      <c r="T1912" s="2" t="s">
        <v>415</v>
      </c>
      <c r="U1912" s="2" t="s">
        <v>791</v>
      </c>
      <c r="V1912" s="2" t="s">
        <v>5029</v>
      </c>
      <c r="W1912" s="2" t="s">
        <v>417</v>
      </c>
      <c r="X1912" s="2" t="s">
        <v>463</v>
      </c>
      <c r="Y1912" s="2" t="s">
        <v>1788</v>
      </c>
      <c r="Z1912" s="4">
        <v>84</v>
      </c>
      <c r="AA1912" s="4">
        <f>=ROUNDDOWN({0},0)</f>
      </c>
      <c r="AB1912" s="5"/>
      <c r="AC1912" s="2" t="s">
        <v>1516</v>
      </c>
      <c r="AD1912" s="4">
        <v>100</v>
      </c>
      <c r="AE1912" s="4">
        <v>100</v>
      </c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228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 t="s">
        <v>228</v>
      </c>
      <c r="AW1912" s="8" t="s">
        <v>228</v>
      </c>
      <c r="AX1912" s="4" t="s">
        <v>228</v>
      </c>
      <c r="AY1912" s="8" t="s">
        <v>228</v>
      </c>
      <c r="AZ1912" s="7" t="s">
        <v>228</v>
      </c>
      <c r="BA1912" s="7" t="s">
        <v>228</v>
      </c>
      <c r="BB1912" s="7"/>
      <c r="BC1912" s="4" t="s">
        <v>228</v>
      </c>
      <c r="BD1912" s="8" t="s">
        <v>228</v>
      </c>
      <c r="BE1912" s="4" t="s">
        <v>228</v>
      </c>
      <c r="BF1912" s="8" t="s">
        <v>228</v>
      </c>
      <c r="BG1912" s="7" t="s">
        <v>228</v>
      </c>
      <c r="BH1912" s="7" t="s">
        <v>228</v>
      </c>
      <c r="BI1912" s="7"/>
      <c r="BJ1912" s="4"/>
      <c r="BK1912" s="8"/>
      <c r="BL1912" s="2" t="s">
        <v>228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9298</v>
      </c>
      <c r="BV1912" s="2" t="s">
        <v>228</v>
      </c>
      <c r="BW1912" s="2" t="s">
        <v>228</v>
      </c>
      <c r="BX1912" s="2" t="s">
        <v>238</v>
      </c>
      <c r="BY1912" s="2" t="s">
        <v>274</v>
      </c>
      <c r="BZ1912" s="2" t="s">
        <v>240</v>
      </c>
      <c r="CA1912" s="2" t="s">
        <v>228</v>
      </c>
      <c r="CB1912" s="2" t="s">
        <v>228</v>
      </c>
      <c r="CC1912" s="2" t="s">
        <v>241</v>
      </c>
      <c r="CD1912" s="2" t="s">
        <v>228</v>
      </c>
      <c r="CE1912" s="4">
        <v>84</v>
      </c>
      <c r="CF1912" s="4"/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4"/>
      <c r="CX1912" s="4"/>
      <c r="CY1912" s="4"/>
      <c r="CZ1912" s="4"/>
      <c r="DA1912" s="4"/>
      <c r="DB1912" s="4"/>
      <c r="DC1912" s="4"/>
      <c r="DD1912" s="4"/>
      <c r="DE1912" s="4"/>
      <c r="DF1912" s="4"/>
      <c r="DG1912" s="4"/>
      <c r="DH1912" s="4"/>
      <c r="DI1912" s="4"/>
      <c r="DJ1912" s="4"/>
      <c r="DK1912" s="4"/>
      <c r="DL1912" s="4"/>
      <c r="DM1912" s="4"/>
      <c r="DN1912" s="4"/>
      <c r="DO1912" s="4"/>
      <c r="DP1912" s="4"/>
      <c r="DQ1912" s="4"/>
      <c r="DR1912" s="4"/>
      <c r="DS1912" s="4"/>
      <c r="DT1912" s="4"/>
      <c r="DU1912" s="4"/>
      <c r="DV1912" s="4"/>
      <c r="DW1912" s="4"/>
      <c r="DX1912" s="4"/>
      <c r="DY1912" s="4"/>
      <c r="DZ1912" s="4"/>
      <c r="EA1912" s="4"/>
      <c r="EB1912" s="4"/>
      <c r="EC1912" s="4"/>
      <c r="ED1912" s="4"/>
      <c r="EE1912" s="4"/>
      <c r="EF1912" s="4"/>
      <c r="EG1912" s="4">
        <v>100</v>
      </c>
      <c r="EH1912" s="4"/>
      <c r="EI1912" s="4"/>
      <c r="EJ1912" s="4"/>
      <c r="EK1912" s="4"/>
      <c r="EL1912" s="4"/>
      <c r="EM1912" s="4"/>
      <c r="EN1912" s="4"/>
      <c r="EO1912" s="4"/>
      <c r="EP1912" s="4"/>
      <c r="EQ1912" s="4"/>
      <c r="ER1912" s="4"/>
      <c r="ES1912" s="4"/>
      <c r="ET1912" s="4"/>
      <c r="EU1912" s="4"/>
      <c r="EV1912" s="4"/>
      <c r="EW1912" s="4"/>
      <c r="EX1912" s="4"/>
      <c r="EY1912" s="4"/>
      <c r="EZ1912" s="4"/>
      <c r="FA1912" s="4"/>
      <c r="FB1912" s="4"/>
      <c r="FC1912" s="4"/>
      <c r="FD1912" s="4"/>
      <c r="FE1912" s="4"/>
      <c r="FF1912" s="4"/>
      <c r="FG1912" s="4"/>
      <c r="FH1912" s="4"/>
      <c r="FI1912" s="4"/>
      <c r="FJ1912" s="4"/>
      <c r="FK1912" s="4"/>
      <c r="FL1912" s="4"/>
      <c r="FM1912" s="4"/>
      <c r="FN1912" s="4"/>
      <c r="FO1912" s="4"/>
      <c r="FP1912" s="4"/>
      <c r="FQ1912" s="4"/>
      <c r="FR1912" s="4"/>
      <c r="FS1912" s="4"/>
      <c r="FT1912" s="4"/>
      <c r="FU1912" s="4"/>
      <c r="FV1912" s="4"/>
      <c r="FW1912" s="4"/>
      <c r="FX1912" s="4"/>
      <c r="FY1912" s="4"/>
      <c r="FZ1912" s="4"/>
      <c r="GA1912" s="4"/>
      <c r="GB1912" s="4"/>
      <c r="GC1912" s="4"/>
      <c r="GD1912" s="4"/>
      <c r="GE1912" s="4"/>
      <c r="GF1912" s="4"/>
      <c r="GG1912" s="4"/>
      <c r="GH1912" s="4"/>
      <c r="GI1912" s="4"/>
      <c r="GJ1912" s="4"/>
      <c r="GK1912" s="4"/>
      <c r="GL1912" s="4"/>
      <c r="GM1912" s="4"/>
      <c r="GN1912" s="4"/>
      <c r="GO1912" s="4"/>
      <c r="GP1912" s="4"/>
      <c r="GQ1912" s="4"/>
      <c r="GR1912" s="4"/>
      <c r="GS1912" s="4"/>
      <c r="GT1912" s="4"/>
      <c r="GU1912" s="4"/>
      <c r="GV1912" s="4"/>
      <c r="GW1912" s="4"/>
      <c r="GX1912" s="4"/>
      <c r="GY1912" s="4"/>
      <c r="GZ1912" s="4"/>
      <c r="HA1912" s="4"/>
      <c r="HB1912" s="4"/>
      <c r="HC1912" s="4"/>
      <c r="HD1912" s="4"/>
      <c r="HE1912" s="4"/>
    </row>
    <row r="1913">
      <c r="A1913" s="2" t="s">
        <v>9299</v>
      </c>
      <c r="B1913" s="2" t="s">
        <v>1150</v>
      </c>
      <c r="C1913" s="2" t="s">
        <v>1743</v>
      </c>
      <c r="D1913" s="2" t="s">
        <v>1112</v>
      </c>
      <c r="E1913" s="2" t="s">
        <v>1165</v>
      </c>
      <c r="F1913" s="2" t="s">
        <v>9289</v>
      </c>
      <c r="G1913" s="2" t="s">
        <v>9290</v>
      </c>
      <c r="H1913" s="2" t="s">
        <v>9291</v>
      </c>
      <c r="I1913" s="2" t="s">
        <v>9292</v>
      </c>
      <c r="J1913" s="2" t="s">
        <v>312</v>
      </c>
      <c r="K1913" s="2" t="s">
        <v>316</v>
      </c>
      <c r="L1913" s="3">
        <v>54.43</v>
      </c>
      <c r="M1913" s="3">
        <v>57.15</v>
      </c>
      <c r="N1913" s="3">
        <v>119.99</v>
      </c>
      <c r="O1913" s="2" t="s">
        <v>240</v>
      </c>
      <c r="P1913" s="2" t="s">
        <v>266</v>
      </c>
      <c r="Q1913" s="2" t="s">
        <v>234</v>
      </c>
      <c r="R1913" s="2" t="s">
        <v>228</v>
      </c>
      <c r="S1913" s="2" t="s">
        <v>9300</v>
      </c>
      <c r="T1913" s="2" t="s">
        <v>415</v>
      </c>
      <c r="U1913" s="2" t="s">
        <v>791</v>
      </c>
      <c r="V1913" s="2" t="s">
        <v>5029</v>
      </c>
      <c r="W1913" s="2" t="s">
        <v>417</v>
      </c>
      <c r="X1913" s="2" t="s">
        <v>463</v>
      </c>
      <c r="Y1913" s="2" t="s">
        <v>9301</v>
      </c>
      <c r="Z1913" s="4">
        <v>155</v>
      </c>
      <c r="AA1913" s="4">
        <f>=ROUNDDOWN(12.9166666666667,0)</f>
      </c>
      <c r="AB1913" s="5">
        <v>12</v>
      </c>
      <c r="AC1913" s="2" t="s">
        <v>155</v>
      </c>
      <c r="AD1913" s="4">
        <v>200</v>
      </c>
      <c r="AE1913" s="4">
        <v>360</v>
      </c>
      <c r="AF1913" s="6">
        <v>65</v>
      </c>
      <c r="AG1913" s="6"/>
      <c r="AH1913" s="7">
        <v>1</v>
      </c>
      <c r="AI1913" s="4"/>
      <c r="AJ1913" s="4">
        <f>=ROUNDDOWN({0},0)</f>
      </c>
      <c r="AK1913" s="5"/>
      <c r="AL1913" s="2" t="s">
        <v>228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/>
      <c r="AW1913" s="8"/>
      <c r="AX1913" s="4"/>
      <c r="AY1913" s="8"/>
      <c r="AZ1913" s="7"/>
      <c r="BA1913" s="7"/>
      <c r="BB1913" s="7"/>
      <c r="BC1913" s="4" t="s">
        <v>228</v>
      </c>
      <c r="BD1913" s="8" t="s">
        <v>228</v>
      </c>
      <c r="BE1913" s="4" t="s">
        <v>228</v>
      </c>
      <c r="BF1913" s="8" t="s">
        <v>228</v>
      </c>
      <c r="BG1913" s="7" t="s">
        <v>228</v>
      </c>
      <c r="BH1913" s="7" t="s">
        <v>228</v>
      </c>
      <c r="BI1913" s="7"/>
      <c r="BJ1913" s="4">
        <v>27</v>
      </c>
      <c r="BK1913" s="8">
        <v>1547.08</v>
      </c>
      <c r="BL1913" s="2" t="s">
        <v>9302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9303</v>
      </c>
      <c r="BV1913" s="2" t="s">
        <v>228</v>
      </c>
      <c r="BW1913" s="2" t="s">
        <v>228</v>
      </c>
      <c r="BX1913" s="2" t="s">
        <v>273</v>
      </c>
      <c r="BY1913" s="2" t="s">
        <v>274</v>
      </c>
      <c r="BZ1913" s="2" t="s">
        <v>240</v>
      </c>
      <c r="CA1913" s="2" t="s">
        <v>9304</v>
      </c>
      <c r="CB1913" s="2" t="s">
        <v>1935</v>
      </c>
      <c r="CC1913" s="2" t="s">
        <v>241</v>
      </c>
      <c r="CD1913" s="2" t="s">
        <v>228</v>
      </c>
      <c r="CE1913" s="4">
        <v>155</v>
      </c>
      <c r="CF1913" s="4"/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/>
      <c r="DF1913" s="4"/>
      <c r="DG1913" s="4"/>
      <c r="DH1913" s="4"/>
      <c r="DI1913" s="4"/>
      <c r="DJ1913" s="4"/>
      <c r="DK1913" s="4"/>
      <c r="DL1913" s="4"/>
      <c r="DM1913" s="4"/>
      <c r="DN1913" s="4"/>
      <c r="DO1913" s="4"/>
      <c r="DP1913" s="4"/>
      <c r="DQ1913" s="4"/>
      <c r="DR1913" s="4"/>
      <c r="DS1913" s="4"/>
      <c r="DT1913" s="4"/>
      <c r="DU1913" s="4"/>
      <c r="DV1913" s="4"/>
      <c r="DW1913" s="4"/>
      <c r="DX1913" s="4"/>
      <c r="DY1913" s="4"/>
      <c r="DZ1913" s="4"/>
      <c r="EA1913" s="4"/>
      <c r="EB1913" s="4"/>
      <c r="EC1913" s="4"/>
      <c r="ED1913" s="4"/>
      <c r="EE1913" s="4"/>
      <c r="EF1913" s="4"/>
      <c r="EG1913" s="4"/>
      <c r="EH1913" s="4"/>
      <c r="EI1913" s="4"/>
      <c r="EJ1913" s="4"/>
      <c r="EK1913" s="4"/>
      <c r="EL1913" s="4"/>
      <c r="EM1913" s="4"/>
      <c r="EN1913" s="4"/>
      <c r="EO1913" s="4"/>
      <c r="EP1913" s="4"/>
      <c r="EQ1913" s="4">
        <v>200</v>
      </c>
      <c r="ER1913" s="4"/>
      <c r="ES1913" s="4"/>
      <c r="ET1913" s="4"/>
      <c r="EU1913" s="4"/>
      <c r="EV1913" s="4"/>
      <c r="EW1913" s="4">
        <v>160</v>
      </c>
      <c r="EX1913" s="4"/>
      <c r="EY1913" s="4"/>
      <c r="EZ1913" s="4"/>
      <c r="FA1913" s="4"/>
      <c r="FB1913" s="4"/>
      <c r="FC1913" s="4"/>
      <c r="FD1913" s="4"/>
      <c r="FE1913" s="4"/>
      <c r="FF1913" s="4"/>
      <c r="FG1913" s="4"/>
      <c r="FH1913" s="4"/>
      <c r="FI1913" s="4"/>
      <c r="FJ1913" s="4"/>
      <c r="FK1913" s="4"/>
      <c r="FL1913" s="4"/>
      <c r="FM1913" s="4"/>
      <c r="FN1913" s="4"/>
      <c r="FO1913" s="4"/>
      <c r="FP1913" s="4"/>
      <c r="FQ1913" s="4"/>
      <c r="FR1913" s="4"/>
      <c r="FS1913" s="4"/>
      <c r="FT1913" s="4"/>
      <c r="FU1913" s="4"/>
      <c r="FV1913" s="4"/>
      <c r="FW1913" s="4"/>
      <c r="FX1913" s="4"/>
      <c r="FY1913" s="4"/>
      <c r="FZ1913" s="4"/>
      <c r="GA1913" s="4"/>
      <c r="GB1913" s="4"/>
      <c r="GC1913" s="4"/>
      <c r="GD1913" s="4"/>
      <c r="GE1913" s="4"/>
      <c r="GF1913" s="4"/>
      <c r="GG1913" s="4"/>
      <c r="GH1913" s="4"/>
      <c r="GI1913" s="4"/>
      <c r="GJ1913" s="4"/>
      <c r="GK1913" s="4"/>
      <c r="GL1913" s="4"/>
      <c r="GM1913" s="4"/>
      <c r="GN1913" s="4"/>
      <c r="GO1913" s="4"/>
      <c r="GP1913" s="4"/>
      <c r="GQ1913" s="4"/>
      <c r="GR1913" s="4"/>
      <c r="GS1913" s="4"/>
      <c r="GT1913" s="4"/>
      <c r="GU1913" s="4"/>
      <c r="GV1913" s="4"/>
      <c r="GW1913" s="4"/>
      <c r="GX1913" s="4"/>
      <c r="GY1913" s="4"/>
      <c r="GZ1913" s="4"/>
      <c r="HA1913" s="4"/>
      <c r="HB1913" s="4"/>
      <c r="HC1913" s="4"/>
      <c r="HD1913" s="4"/>
      <c r="HE1913" s="4"/>
    </row>
    <row r="1914">
      <c r="A1914" s="2" t="s">
        <v>9305</v>
      </c>
      <c r="B1914" s="2" t="s">
        <v>1150</v>
      </c>
      <c r="C1914" s="2" t="s">
        <v>300</v>
      </c>
      <c r="D1914" s="2" t="s">
        <v>1112</v>
      </c>
      <c r="E1914" s="2" t="s">
        <v>1165</v>
      </c>
      <c r="F1914" s="2" t="s">
        <v>9306</v>
      </c>
      <c r="G1914" s="2" t="s">
        <v>9307</v>
      </c>
      <c r="H1914" s="2" t="s">
        <v>9308</v>
      </c>
      <c r="I1914" s="2" t="s">
        <v>3040</v>
      </c>
      <c r="J1914" s="2" t="s">
        <v>1189</v>
      </c>
      <c r="K1914" s="2" t="s">
        <v>1077</v>
      </c>
      <c r="L1914" s="3">
        <v>36.57</v>
      </c>
      <c r="M1914" s="3">
        <v>38.4</v>
      </c>
      <c r="N1914" s="3">
        <v>79.99</v>
      </c>
      <c r="O1914" s="2" t="s">
        <v>240</v>
      </c>
      <c r="P1914" s="2" t="s">
        <v>266</v>
      </c>
      <c r="Q1914" s="2" t="s">
        <v>234</v>
      </c>
      <c r="R1914" s="2" t="s">
        <v>228</v>
      </c>
      <c r="S1914" s="2" t="s">
        <v>9309</v>
      </c>
      <c r="T1914" s="2" t="s">
        <v>415</v>
      </c>
      <c r="U1914" s="2" t="s">
        <v>1170</v>
      </c>
      <c r="V1914" s="2" t="s">
        <v>1156</v>
      </c>
      <c r="W1914" s="2" t="s">
        <v>1268</v>
      </c>
      <c r="X1914" s="2" t="s">
        <v>1761</v>
      </c>
      <c r="Y1914" s="2" t="s">
        <v>4982</v>
      </c>
      <c r="Z1914" s="4">
        <v>6</v>
      </c>
      <c r="AA1914" s="4">
        <f>=ROUNDDOWN(0.2,0)</f>
      </c>
      <c r="AB1914" s="5">
        <v>30</v>
      </c>
      <c r="AC1914" s="2" t="s">
        <v>1461</v>
      </c>
      <c r="AD1914" s="4">
        <v>480</v>
      </c>
      <c r="AE1914" s="4">
        <v>1900</v>
      </c>
      <c r="AF1914" s="6">
        <v>64</v>
      </c>
      <c r="AG1914" s="6"/>
      <c r="AH1914" s="7">
        <v>0.0323</v>
      </c>
      <c r="AI1914" s="4"/>
      <c r="AJ1914" s="4">
        <f>=ROUNDDOWN({0},0)</f>
      </c>
      <c r="AK1914" s="5"/>
      <c r="AL1914" s="2" t="s">
        <v>228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 t="s">
        <v>228</v>
      </c>
      <c r="AW1914" s="8" t="s">
        <v>228</v>
      </c>
      <c r="AX1914" s="4" t="s">
        <v>228</v>
      </c>
      <c r="AY1914" s="8" t="s">
        <v>228</v>
      </c>
      <c r="AZ1914" s="7" t="s">
        <v>228</v>
      </c>
      <c r="BA1914" s="7" t="s">
        <v>228</v>
      </c>
      <c r="BB1914" s="7"/>
      <c r="BC1914" s="4" t="s">
        <v>228</v>
      </c>
      <c r="BD1914" s="8" t="s">
        <v>228</v>
      </c>
      <c r="BE1914" s="4" t="s">
        <v>228</v>
      </c>
      <c r="BF1914" s="8" t="s">
        <v>228</v>
      </c>
      <c r="BG1914" s="7" t="s">
        <v>228</v>
      </c>
      <c r="BH1914" s="7" t="s">
        <v>228</v>
      </c>
      <c r="BI1914" s="7"/>
      <c r="BJ1914" s="4">
        <v>6</v>
      </c>
      <c r="BK1914" s="8">
        <v>243.45</v>
      </c>
      <c r="BL1914" s="2" t="s">
        <v>9310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9311</v>
      </c>
      <c r="BV1914" s="2" t="s">
        <v>228</v>
      </c>
      <c r="BW1914" s="2" t="s">
        <v>228</v>
      </c>
      <c r="BX1914" s="2" t="s">
        <v>273</v>
      </c>
      <c r="BY1914" s="2" t="s">
        <v>274</v>
      </c>
      <c r="BZ1914" s="2" t="s">
        <v>240</v>
      </c>
      <c r="CA1914" s="2" t="s">
        <v>3522</v>
      </c>
      <c r="CB1914" s="2" t="s">
        <v>2673</v>
      </c>
      <c r="CC1914" s="2" t="s">
        <v>241</v>
      </c>
      <c r="CD1914" s="2" t="s">
        <v>228</v>
      </c>
      <c r="CE1914" s="4">
        <v>6</v>
      </c>
      <c r="CF1914" s="4"/>
      <c r="CG1914" s="4"/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/>
      <c r="CZ1914" s="4"/>
      <c r="DA1914" s="4">
        <v>480</v>
      </c>
      <c r="DB1914" s="4"/>
      <c r="DC1914" s="4"/>
      <c r="DD1914" s="4"/>
      <c r="DE1914" s="4"/>
      <c r="DF1914" s="4"/>
      <c r="DG1914" s="4"/>
      <c r="DH1914" s="4"/>
      <c r="DI1914" s="4"/>
      <c r="DJ1914" s="4"/>
      <c r="DK1914" s="4"/>
      <c r="DL1914" s="4"/>
      <c r="DM1914" s="4"/>
      <c r="DN1914" s="4"/>
      <c r="DO1914" s="4"/>
      <c r="DP1914" s="4"/>
      <c r="DQ1914" s="4"/>
      <c r="DR1914" s="4"/>
      <c r="DS1914" s="4"/>
      <c r="DT1914" s="4"/>
      <c r="DU1914" s="4"/>
      <c r="DV1914" s="4"/>
      <c r="DW1914" s="4"/>
      <c r="DX1914" s="4"/>
      <c r="DY1914" s="4"/>
      <c r="DZ1914" s="4"/>
      <c r="EA1914" s="4"/>
      <c r="EB1914" s="4"/>
      <c r="EC1914" s="4"/>
      <c r="ED1914" s="4"/>
      <c r="EE1914" s="4"/>
      <c r="EF1914" s="4"/>
      <c r="EG1914" s="4"/>
      <c r="EH1914" s="4"/>
      <c r="EI1914" s="4"/>
      <c r="EJ1914" s="4"/>
      <c r="EK1914" s="4"/>
      <c r="EL1914" s="4"/>
      <c r="EM1914" s="4"/>
      <c r="EN1914" s="4"/>
      <c r="EO1914" s="4"/>
      <c r="EP1914" s="4"/>
      <c r="EQ1914" s="4"/>
      <c r="ER1914" s="4"/>
      <c r="ES1914" s="4"/>
      <c r="ET1914" s="4"/>
      <c r="EU1914" s="4"/>
      <c r="EV1914" s="4"/>
      <c r="EW1914" s="4"/>
      <c r="EX1914" s="4">
        <v>550</v>
      </c>
      <c r="EY1914" s="4"/>
      <c r="EZ1914" s="4"/>
      <c r="FA1914" s="4"/>
      <c r="FB1914" s="4"/>
      <c r="FC1914" s="4"/>
      <c r="FD1914" s="4"/>
      <c r="FE1914" s="4"/>
      <c r="FF1914" s="4"/>
      <c r="FG1914" s="4"/>
      <c r="FH1914" s="4"/>
      <c r="FI1914" s="4"/>
      <c r="FJ1914" s="4"/>
      <c r="FK1914" s="4">
        <v>870</v>
      </c>
      <c r="FL1914" s="4"/>
      <c r="FM1914" s="4"/>
      <c r="FN1914" s="4"/>
      <c r="FO1914" s="4"/>
      <c r="FP1914" s="4"/>
      <c r="FQ1914" s="4"/>
      <c r="FR1914" s="4"/>
      <c r="FS1914" s="4"/>
      <c r="FT1914" s="4"/>
      <c r="FU1914" s="4"/>
      <c r="FV1914" s="4"/>
      <c r="FW1914" s="4"/>
      <c r="FX1914" s="4"/>
      <c r="FY1914" s="4"/>
      <c r="FZ1914" s="4"/>
      <c r="GA1914" s="4"/>
      <c r="GB1914" s="4"/>
      <c r="GC1914" s="4"/>
      <c r="GD1914" s="4"/>
      <c r="GE1914" s="4"/>
      <c r="GF1914" s="4"/>
      <c r="GG1914" s="4"/>
      <c r="GH1914" s="4"/>
      <c r="GI1914" s="4"/>
      <c r="GJ1914" s="4"/>
      <c r="GK1914" s="4"/>
      <c r="GL1914" s="4"/>
      <c r="GM1914" s="4"/>
      <c r="GN1914" s="4"/>
      <c r="GO1914" s="4"/>
      <c r="GP1914" s="4"/>
      <c r="GQ1914" s="4"/>
      <c r="GR1914" s="4"/>
      <c r="GS1914" s="4"/>
      <c r="GT1914" s="4"/>
      <c r="GU1914" s="4"/>
      <c r="GV1914" s="4"/>
      <c r="GW1914" s="4"/>
      <c r="GX1914" s="4"/>
      <c r="GY1914" s="4"/>
      <c r="GZ1914" s="4"/>
      <c r="HA1914" s="4"/>
      <c r="HB1914" s="4"/>
      <c r="HC1914" s="4"/>
      <c r="HD1914" s="4"/>
      <c r="HE1914" s="4"/>
    </row>
    <row r="1915">
      <c r="A1915" s="2" t="s">
        <v>9312</v>
      </c>
      <c r="B1915" s="2" t="s">
        <v>1150</v>
      </c>
      <c r="C1915" s="2" t="s">
        <v>300</v>
      </c>
      <c r="D1915" s="2" t="s">
        <v>1112</v>
      </c>
      <c r="E1915" s="2" t="s">
        <v>1165</v>
      </c>
      <c r="F1915" s="2" t="s">
        <v>9306</v>
      </c>
      <c r="G1915" s="2" t="s">
        <v>9307</v>
      </c>
      <c r="H1915" s="2" t="s">
        <v>9308</v>
      </c>
      <c r="I1915" s="2" t="s">
        <v>3040</v>
      </c>
      <c r="J1915" s="2" t="s">
        <v>1043</v>
      </c>
      <c r="K1915" s="2" t="s">
        <v>1077</v>
      </c>
      <c r="L1915" s="3">
        <v>41.14</v>
      </c>
      <c r="M1915" s="3">
        <v>43.2</v>
      </c>
      <c r="N1915" s="3">
        <v>89.99</v>
      </c>
      <c r="O1915" s="2" t="s">
        <v>240</v>
      </c>
      <c r="P1915" s="2" t="s">
        <v>266</v>
      </c>
      <c r="Q1915" s="2" t="s">
        <v>234</v>
      </c>
      <c r="R1915" s="2" t="s">
        <v>228</v>
      </c>
      <c r="S1915" s="2" t="s">
        <v>9309</v>
      </c>
      <c r="T1915" s="2" t="s">
        <v>415</v>
      </c>
      <c r="U1915" s="2" t="s">
        <v>1170</v>
      </c>
      <c r="V1915" s="2" t="s">
        <v>1156</v>
      </c>
      <c r="W1915" s="2" t="s">
        <v>1268</v>
      </c>
      <c r="X1915" s="2" t="s">
        <v>1761</v>
      </c>
      <c r="Y1915" s="2" t="s">
        <v>4982</v>
      </c>
      <c r="Z1915" s="4">
        <v>2</v>
      </c>
      <c r="AA1915" s="4">
        <f>=ROUNDDOWN(0.1,0)</f>
      </c>
      <c r="AB1915" s="5">
        <v>20</v>
      </c>
      <c r="AC1915" s="2" t="s">
        <v>1461</v>
      </c>
      <c r="AD1915" s="4">
        <v>320</v>
      </c>
      <c r="AE1915" s="4">
        <v>1200</v>
      </c>
      <c r="AF1915" s="6">
        <v>64</v>
      </c>
      <c r="AG1915" s="6"/>
      <c r="AH1915" s="7">
        <v>0</v>
      </c>
      <c r="AI1915" s="4"/>
      <c r="AJ1915" s="4">
        <f>=ROUNDDOWN({0},0)</f>
      </c>
      <c r="AK1915" s="5"/>
      <c r="AL1915" s="2" t="s">
        <v>228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 t="s">
        <v>228</v>
      </c>
      <c r="AW1915" s="8" t="s">
        <v>228</v>
      </c>
      <c r="AX1915" s="4" t="s">
        <v>228</v>
      </c>
      <c r="AY1915" s="8" t="s">
        <v>228</v>
      </c>
      <c r="AZ1915" s="7" t="s">
        <v>228</v>
      </c>
      <c r="BA1915" s="7" t="s">
        <v>228</v>
      </c>
      <c r="BB1915" s="7"/>
      <c r="BC1915" s="4" t="s">
        <v>228</v>
      </c>
      <c r="BD1915" s="8" t="s">
        <v>228</v>
      </c>
      <c r="BE1915" s="4" t="s">
        <v>228</v>
      </c>
      <c r="BF1915" s="8" t="s">
        <v>228</v>
      </c>
      <c r="BG1915" s="7" t="s">
        <v>228</v>
      </c>
      <c r="BH1915" s="7" t="s">
        <v>228</v>
      </c>
      <c r="BI1915" s="7"/>
      <c r="BJ1915" s="4">
        <v>2</v>
      </c>
      <c r="BK1915" s="8">
        <v>107.27</v>
      </c>
      <c r="BL1915" s="2" t="s">
        <v>1033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9313</v>
      </c>
      <c r="BV1915" s="2" t="s">
        <v>228</v>
      </c>
      <c r="BW1915" s="2" t="s">
        <v>228</v>
      </c>
      <c r="BX1915" s="2" t="s">
        <v>273</v>
      </c>
      <c r="BY1915" s="2" t="s">
        <v>274</v>
      </c>
      <c r="BZ1915" s="2" t="s">
        <v>240</v>
      </c>
      <c r="CA1915" s="2" t="s">
        <v>3522</v>
      </c>
      <c r="CB1915" s="2" t="s">
        <v>5145</v>
      </c>
      <c r="CC1915" s="2" t="s">
        <v>241</v>
      </c>
      <c r="CD1915" s="2" t="s">
        <v>228</v>
      </c>
      <c r="CE1915" s="4">
        <v>2</v>
      </c>
      <c r="CF1915" s="4"/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/>
      <c r="CX1915" s="4"/>
      <c r="CY1915" s="4"/>
      <c r="CZ1915" s="4"/>
      <c r="DA1915" s="4">
        <v>320</v>
      </c>
      <c r="DB1915" s="4"/>
      <c r="DC1915" s="4"/>
      <c r="DD1915" s="4"/>
      <c r="DE1915" s="4"/>
      <c r="DF1915" s="4"/>
      <c r="DG1915" s="4"/>
      <c r="DH1915" s="4"/>
      <c r="DI1915" s="4"/>
      <c r="DJ1915" s="4"/>
      <c r="DK1915" s="4"/>
      <c r="DL1915" s="4"/>
      <c r="DM1915" s="4"/>
      <c r="DN1915" s="4"/>
      <c r="DO1915" s="4"/>
      <c r="DP1915" s="4"/>
      <c r="DQ1915" s="4"/>
      <c r="DR1915" s="4"/>
      <c r="DS1915" s="4"/>
      <c r="DT1915" s="4"/>
      <c r="DU1915" s="4"/>
      <c r="DV1915" s="4"/>
      <c r="DW1915" s="4"/>
      <c r="DX1915" s="4"/>
      <c r="DY1915" s="4"/>
      <c r="DZ1915" s="4"/>
      <c r="EA1915" s="4"/>
      <c r="EB1915" s="4"/>
      <c r="EC1915" s="4"/>
      <c r="ED1915" s="4"/>
      <c r="EE1915" s="4"/>
      <c r="EF1915" s="4"/>
      <c r="EG1915" s="4"/>
      <c r="EH1915" s="4"/>
      <c r="EI1915" s="4"/>
      <c r="EJ1915" s="4"/>
      <c r="EK1915" s="4"/>
      <c r="EL1915" s="4"/>
      <c r="EM1915" s="4"/>
      <c r="EN1915" s="4"/>
      <c r="EO1915" s="4"/>
      <c r="EP1915" s="4"/>
      <c r="EQ1915" s="4"/>
      <c r="ER1915" s="4"/>
      <c r="ES1915" s="4"/>
      <c r="ET1915" s="4"/>
      <c r="EU1915" s="4"/>
      <c r="EV1915" s="4"/>
      <c r="EW1915" s="4"/>
      <c r="EX1915" s="4">
        <v>550</v>
      </c>
      <c r="EY1915" s="4"/>
      <c r="EZ1915" s="4"/>
      <c r="FA1915" s="4"/>
      <c r="FB1915" s="4"/>
      <c r="FC1915" s="4"/>
      <c r="FD1915" s="4"/>
      <c r="FE1915" s="4"/>
      <c r="FF1915" s="4"/>
      <c r="FG1915" s="4"/>
      <c r="FH1915" s="4"/>
      <c r="FI1915" s="4"/>
      <c r="FJ1915" s="4"/>
      <c r="FK1915" s="4">
        <v>330</v>
      </c>
      <c r="FL1915" s="4"/>
      <c r="FM1915" s="4"/>
      <c r="FN1915" s="4"/>
      <c r="FO1915" s="4"/>
      <c r="FP1915" s="4"/>
      <c r="FQ1915" s="4"/>
      <c r="FR1915" s="4"/>
      <c r="FS1915" s="4"/>
      <c r="FT1915" s="4"/>
      <c r="FU1915" s="4"/>
      <c r="FV1915" s="4"/>
      <c r="FW1915" s="4"/>
      <c r="FX1915" s="4"/>
      <c r="FY1915" s="4"/>
      <c r="FZ1915" s="4"/>
      <c r="GA1915" s="4"/>
      <c r="GB1915" s="4"/>
      <c r="GC1915" s="4"/>
      <c r="GD1915" s="4"/>
      <c r="GE1915" s="4"/>
      <c r="GF1915" s="4"/>
      <c r="GG1915" s="4"/>
      <c r="GH1915" s="4"/>
      <c r="GI1915" s="4"/>
      <c r="GJ1915" s="4"/>
      <c r="GK1915" s="4"/>
      <c r="GL1915" s="4"/>
      <c r="GM1915" s="4"/>
      <c r="GN1915" s="4"/>
      <c r="GO1915" s="4"/>
      <c r="GP1915" s="4"/>
      <c r="GQ1915" s="4"/>
      <c r="GR1915" s="4"/>
      <c r="GS1915" s="4"/>
      <c r="GT1915" s="4"/>
      <c r="GU1915" s="4"/>
      <c r="GV1915" s="4"/>
      <c r="GW1915" s="4"/>
      <c r="GX1915" s="4"/>
      <c r="GY1915" s="4"/>
      <c r="GZ1915" s="4"/>
      <c r="HA1915" s="4"/>
      <c r="HB1915" s="4"/>
      <c r="HC1915" s="4"/>
      <c r="HD1915" s="4"/>
      <c r="HE1915" s="4"/>
    </row>
    <row r="1916">
      <c r="A1916" s="2" t="s">
        <v>9314</v>
      </c>
      <c r="B1916" s="2" t="s">
        <v>848</v>
      </c>
      <c r="C1916" s="2" t="s">
        <v>1184</v>
      </c>
      <c r="D1916" s="2" t="s">
        <v>850</v>
      </c>
      <c r="E1916" s="2" t="s">
        <v>1038</v>
      </c>
      <c r="F1916" s="2" t="s">
        <v>9315</v>
      </c>
      <c r="G1916" s="2" t="s">
        <v>6985</v>
      </c>
      <c r="H1916" s="2" t="s">
        <v>9316</v>
      </c>
      <c r="I1916" s="2" t="s">
        <v>9317</v>
      </c>
      <c r="J1916" s="2" t="s">
        <v>856</v>
      </c>
      <c r="K1916" s="2" t="s">
        <v>9318</v>
      </c>
      <c r="L1916" s="3">
        <v>23.8</v>
      </c>
      <c r="M1916" s="3">
        <v>24.99</v>
      </c>
      <c r="N1916" s="3">
        <v>49.99</v>
      </c>
      <c r="O1916" s="2" t="s">
        <v>240</v>
      </c>
      <c r="P1916" s="2" t="s">
        <v>266</v>
      </c>
      <c r="Q1916" s="2" t="s">
        <v>234</v>
      </c>
      <c r="R1916" s="2" t="s">
        <v>228</v>
      </c>
      <c r="S1916" s="2" t="s">
        <v>9319</v>
      </c>
      <c r="T1916" s="2" t="s">
        <v>1608</v>
      </c>
      <c r="U1916" s="2" t="s">
        <v>520</v>
      </c>
      <c r="V1916" s="2" t="s">
        <v>1586</v>
      </c>
      <c r="W1916" s="2" t="s">
        <v>417</v>
      </c>
      <c r="X1916" s="2" t="s">
        <v>269</v>
      </c>
      <c r="Y1916" s="2" t="s">
        <v>9320</v>
      </c>
      <c r="Z1916" s="4">
        <v>182</v>
      </c>
      <c r="AA1916" s="4">
        <f>=ROUNDDOWN(30.3333333333333,0)</f>
      </c>
      <c r="AB1916" s="5">
        <v>6</v>
      </c>
      <c r="AC1916" s="2" t="s">
        <v>228</v>
      </c>
      <c r="AD1916" s="4"/>
      <c r="AE1916" s="4"/>
      <c r="AF1916" s="6">
        <v>65</v>
      </c>
      <c r="AG1916" s="6"/>
      <c r="AH1916" s="7">
        <v>1</v>
      </c>
      <c r="AI1916" s="4"/>
      <c r="AJ1916" s="4">
        <f>=ROUNDDOWN({0},0)</f>
      </c>
      <c r="AK1916" s="5"/>
      <c r="AL1916" s="2" t="s">
        <v>228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 t="s">
        <v>228</v>
      </c>
      <c r="AW1916" s="8" t="s">
        <v>228</v>
      </c>
      <c r="AX1916" s="4" t="s">
        <v>228</v>
      </c>
      <c r="AY1916" s="8" t="s">
        <v>228</v>
      </c>
      <c r="AZ1916" s="7" t="s">
        <v>228</v>
      </c>
      <c r="BA1916" s="7" t="s">
        <v>228</v>
      </c>
      <c r="BB1916" s="7"/>
      <c r="BC1916" s="4" t="s">
        <v>228</v>
      </c>
      <c r="BD1916" s="8" t="s">
        <v>228</v>
      </c>
      <c r="BE1916" s="4" t="s">
        <v>228</v>
      </c>
      <c r="BF1916" s="8" t="s">
        <v>228</v>
      </c>
      <c r="BG1916" s="7" t="s">
        <v>228</v>
      </c>
      <c r="BH1916" s="7" t="s">
        <v>228</v>
      </c>
      <c r="BI1916" s="7"/>
      <c r="BJ1916" s="4">
        <v>10</v>
      </c>
      <c r="BK1916" s="8">
        <v>264.3</v>
      </c>
      <c r="BL1916" s="2" t="s">
        <v>357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9321</v>
      </c>
      <c r="BV1916" s="2" t="s">
        <v>228</v>
      </c>
      <c r="BW1916" s="2" t="s">
        <v>228</v>
      </c>
      <c r="BX1916" s="2" t="s">
        <v>273</v>
      </c>
      <c r="BY1916" s="2" t="s">
        <v>274</v>
      </c>
      <c r="BZ1916" s="2" t="s">
        <v>240</v>
      </c>
      <c r="CA1916" s="2" t="s">
        <v>5801</v>
      </c>
      <c r="CB1916" s="2" t="s">
        <v>4638</v>
      </c>
      <c r="CC1916" s="2" t="s">
        <v>241</v>
      </c>
      <c r="CD1916" s="2" t="s">
        <v>228</v>
      </c>
      <c r="CE1916" s="4">
        <v>182</v>
      </c>
      <c r="CF1916" s="4"/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4"/>
      <c r="CX1916" s="4"/>
      <c r="CY1916" s="4"/>
      <c r="CZ1916" s="4"/>
      <c r="DA1916" s="4"/>
      <c r="DB1916" s="4"/>
      <c r="DC1916" s="4"/>
      <c r="DD1916" s="4"/>
      <c r="DE1916" s="4"/>
      <c r="DF1916" s="4"/>
      <c r="DG1916" s="4"/>
      <c r="DH1916" s="4"/>
      <c r="DI1916" s="4"/>
      <c r="DJ1916" s="4"/>
      <c r="DK1916" s="4"/>
      <c r="DL1916" s="4"/>
      <c r="DM1916" s="4"/>
      <c r="DN1916" s="4"/>
      <c r="DO1916" s="4"/>
      <c r="DP1916" s="4"/>
      <c r="DQ1916" s="4"/>
      <c r="DR1916" s="4"/>
      <c r="DS1916" s="4"/>
      <c r="DT1916" s="4"/>
      <c r="DU1916" s="4"/>
      <c r="DV1916" s="4"/>
      <c r="DW1916" s="4"/>
      <c r="DX1916" s="4"/>
      <c r="DY1916" s="4"/>
      <c r="DZ1916" s="4"/>
      <c r="EA1916" s="4"/>
      <c r="EB1916" s="4"/>
      <c r="EC1916" s="4"/>
      <c r="ED1916" s="4"/>
      <c r="EE1916" s="4"/>
      <c r="EF1916" s="4"/>
      <c r="EG1916" s="4"/>
      <c r="EH1916" s="4"/>
      <c r="EI1916" s="4"/>
      <c r="EJ1916" s="4"/>
      <c r="EK1916" s="4"/>
      <c r="EL1916" s="4"/>
      <c r="EM1916" s="4"/>
      <c r="EN1916" s="4"/>
      <c r="EO1916" s="4"/>
      <c r="EP1916" s="4"/>
      <c r="EQ1916" s="4"/>
      <c r="ER1916" s="4"/>
      <c r="ES1916" s="4"/>
      <c r="ET1916" s="4"/>
      <c r="EU1916" s="4"/>
      <c r="EV1916" s="4"/>
      <c r="EW1916" s="4"/>
      <c r="EX1916" s="4"/>
      <c r="EY1916" s="4"/>
      <c r="EZ1916" s="4"/>
      <c r="FA1916" s="4"/>
      <c r="FB1916" s="4"/>
      <c r="FC1916" s="4"/>
      <c r="FD1916" s="4"/>
      <c r="FE1916" s="4"/>
      <c r="FF1916" s="4"/>
      <c r="FG1916" s="4"/>
      <c r="FH1916" s="4"/>
      <c r="FI1916" s="4"/>
      <c r="FJ1916" s="4"/>
      <c r="FK1916" s="4"/>
      <c r="FL1916" s="4"/>
      <c r="FM1916" s="4"/>
      <c r="FN1916" s="4"/>
      <c r="FO1916" s="4"/>
      <c r="FP1916" s="4"/>
      <c r="FQ1916" s="4"/>
      <c r="FR1916" s="4"/>
      <c r="FS1916" s="4"/>
      <c r="FT1916" s="4"/>
      <c r="FU1916" s="4"/>
      <c r="FV1916" s="4"/>
      <c r="FW1916" s="4"/>
      <c r="FX1916" s="4"/>
      <c r="FY1916" s="4"/>
      <c r="FZ1916" s="4"/>
      <c r="GA1916" s="4"/>
      <c r="GB1916" s="4"/>
      <c r="GC1916" s="4"/>
      <c r="GD1916" s="4"/>
      <c r="GE1916" s="4"/>
      <c r="GF1916" s="4"/>
      <c r="GG1916" s="4"/>
      <c r="GH1916" s="4"/>
      <c r="GI1916" s="4"/>
      <c r="GJ1916" s="4"/>
      <c r="GK1916" s="4"/>
      <c r="GL1916" s="4"/>
      <c r="GM1916" s="4"/>
      <c r="GN1916" s="4"/>
      <c r="GO1916" s="4"/>
      <c r="GP1916" s="4"/>
      <c r="GQ1916" s="4"/>
      <c r="GR1916" s="4"/>
      <c r="GS1916" s="4"/>
      <c r="GT1916" s="4"/>
      <c r="GU1916" s="4"/>
      <c r="GV1916" s="4"/>
      <c r="GW1916" s="4"/>
      <c r="GX1916" s="4"/>
      <c r="GY1916" s="4"/>
      <c r="GZ1916" s="4"/>
      <c r="HA1916" s="4"/>
      <c r="HB1916" s="4"/>
      <c r="HC1916" s="4"/>
      <c r="HD1916" s="4"/>
      <c r="HE1916" s="4"/>
    </row>
    <row r="1917">
      <c r="A1917" s="2" t="s">
        <v>9322</v>
      </c>
      <c r="B1917" s="2" t="s">
        <v>848</v>
      </c>
      <c r="C1917" s="2" t="s">
        <v>1184</v>
      </c>
      <c r="D1917" s="2" t="s">
        <v>850</v>
      </c>
      <c r="E1917" s="2" t="s">
        <v>1038</v>
      </c>
      <c r="F1917" s="2" t="s">
        <v>9315</v>
      </c>
      <c r="G1917" s="2" t="s">
        <v>6985</v>
      </c>
      <c r="H1917" s="2" t="s">
        <v>9316</v>
      </c>
      <c r="I1917" s="2" t="s">
        <v>9317</v>
      </c>
      <c r="J1917" s="2" t="s">
        <v>1189</v>
      </c>
      <c r="K1917" s="2" t="s">
        <v>9318</v>
      </c>
      <c r="L1917" s="3">
        <v>28.57</v>
      </c>
      <c r="M1917" s="3">
        <v>30</v>
      </c>
      <c r="N1917" s="3">
        <v>59.99</v>
      </c>
      <c r="O1917" s="2" t="s">
        <v>240</v>
      </c>
      <c r="P1917" s="2" t="s">
        <v>266</v>
      </c>
      <c r="Q1917" s="2" t="s">
        <v>234</v>
      </c>
      <c r="R1917" s="2" t="s">
        <v>228</v>
      </c>
      <c r="S1917" s="2" t="s">
        <v>9319</v>
      </c>
      <c r="T1917" s="2" t="s">
        <v>1608</v>
      </c>
      <c r="U1917" s="2" t="s">
        <v>500</v>
      </c>
      <c r="V1917" s="2" t="s">
        <v>1586</v>
      </c>
      <c r="W1917" s="2" t="s">
        <v>417</v>
      </c>
      <c r="X1917" s="2" t="s">
        <v>269</v>
      </c>
      <c r="Y1917" s="2" t="s">
        <v>9320</v>
      </c>
      <c r="Z1917" s="4">
        <v>199</v>
      </c>
      <c r="AA1917" s="4">
        <f>=ROUNDDOWN(19.9,0)</f>
      </c>
      <c r="AB1917" s="5">
        <v>10</v>
      </c>
      <c r="AC1917" s="2" t="s">
        <v>228</v>
      </c>
      <c r="AD1917" s="4"/>
      <c r="AE1917" s="4"/>
      <c r="AF1917" s="6">
        <v>65</v>
      </c>
      <c r="AG1917" s="6"/>
      <c r="AH1917" s="7">
        <v>1</v>
      </c>
      <c r="AI1917" s="4"/>
      <c r="AJ1917" s="4">
        <f>=ROUNDDOWN({0},0)</f>
      </c>
      <c r="AK1917" s="5"/>
      <c r="AL1917" s="2" t="s">
        <v>228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 t="s">
        <v>228</v>
      </c>
      <c r="AW1917" s="8" t="s">
        <v>228</v>
      </c>
      <c r="AX1917" s="4" t="s">
        <v>228</v>
      </c>
      <c r="AY1917" s="8" t="s">
        <v>228</v>
      </c>
      <c r="AZ1917" s="7" t="s">
        <v>228</v>
      </c>
      <c r="BA1917" s="7" t="s">
        <v>228</v>
      </c>
      <c r="BB1917" s="7"/>
      <c r="BC1917" s="4" t="s">
        <v>228</v>
      </c>
      <c r="BD1917" s="8" t="s">
        <v>228</v>
      </c>
      <c r="BE1917" s="4" t="s">
        <v>228</v>
      </c>
      <c r="BF1917" s="8" t="s">
        <v>228</v>
      </c>
      <c r="BG1917" s="7" t="s">
        <v>228</v>
      </c>
      <c r="BH1917" s="7" t="s">
        <v>228</v>
      </c>
      <c r="BI1917" s="7"/>
      <c r="BJ1917" s="4">
        <v>33</v>
      </c>
      <c r="BK1917" s="8">
        <v>1054.92</v>
      </c>
      <c r="BL1917" s="2" t="s">
        <v>4440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9323</v>
      </c>
      <c r="BV1917" s="2" t="s">
        <v>228</v>
      </c>
      <c r="BW1917" s="2" t="s">
        <v>228</v>
      </c>
      <c r="BX1917" s="2" t="s">
        <v>273</v>
      </c>
      <c r="BY1917" s="2" t="s">
        <v>274</v>
      </c>
      <c r="BZ1917" s="2" t="s">
        <v>240</v>
      </c>
      <c r="CA1917" s="2" t="s">
        <v>5801</v>
      </c>
      <c r="CB1917" s="2" t="s">
        <v>2807</v>
      </c>
      <c r="CC1917" s="2" t="s">
        <v>241</v>
      </c>
      <c r="CD1917" s="2" t="s">
        <v>228</v>
      </c>
      <c r="CE1917" s="4">
        <v>199</v>
      </c>
      <c r="CF1917" s="4"/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/>
      <c r="DF1917" s="4"/>
      <c r="DG1917" s="4"/>
      <c r="DH1917" s="4"/>
      <c r="DI1917" s="4"/>
      <c r="DJ1917" s="4"/>
      <c r="DK1917" s="4"/>
      <c r="DL1917" s="4"/>
      <c r="DM1917" s="4"/>
      <c r="DN1917" s="4"/>
      <c r="DO1917" s="4"/>
      <c r="DP1917" s="4"/>
      <c r="DQ1917" s="4"/>
      <c r="DR1917" s="4"/>
      <c r="DS1917" s="4"/>
      <c r="DT1917" s="4"/>
      <c r="DU1917" s="4"/>
      <c r="DV1917" s="4"/>
      <c r="DW1917" s="4"/>
      <c r="DX1917" s="4"/>
      <c r="DY1917" s="4"/>
      <c r="DZ1917" s="4"/>
      <c r="EA1917" s="4"/>
      <c r="EB1917" s="4"/>
      <c r="EC1917" s="4"/>
      <c r="ED1917" s="4"/>
      <c r="EE1917" s="4"/>
      <c r="EF1917" s="4"/>
      <c r="EG1917" s="4"/>
      <c r="EH1917" s="4"/>
      <c r="EI1917" s="4"/>
      <c r="EJ1917" s="4"/>
      <c r="EK1917" s="4"/>
      <c r="EL1917" s="4"/>
      <c r="EM1917" s="4"/>
      <c r="EN1917" s="4"/>
      <c r="EO1917" s="4"/>
      <c r="EP1917" s="4"/>
      <c r="EQ1917" s="4"/>
      <c r="ER1917" s="4"/>
      <c r="ES1917" s="4"/>
      <c r="ET1917" s="4"/>
      <c r="EU1917" s="4"/>
      <c r="EV1917" s="4"/>
      <c r="EW1917" s="4"/>
      <c r="EX1917" s="4"/>
      <c r="EY1917" s="4"/>
      <c r="EZ1917" s="4"/>
      <c r="FA1917" s="4"/>
      <c r="FB1917" s="4"/>
      <c r="FC1917" s="4"/>
      <c r="FD1917" s="4"/>
      <c r="FE1917" s="4"/>
      <c r="FF1917" s="4"/>
      <c r="FG1917" s="4"/>
      <c r="FH1917" s="4"/>
      <c r="FI1917" s="4"/>
      <c r="FJ1917" s="4"/>
      <c r="FK1917" s="4"/>
      <c r="FL1917" s="4"/>
      <c r="FM1917" s="4"/>
      <c r="FN1917" s="4"/>
      <c r="FO1917" s="4"/>
      <c r="FP1917" s="4"/>
      <c r="FQ1917" s="4"/>
      <c r="FR1917" s="4"/>
      <c r="FS1917" s="4"/>
      <c r="FT1917" s="4"/>
      <c r="FU1917" s="4"/>
      <c r="FV1917" s="4"/>
      <c r="FW1917" s="4"/>
      <c r="FX1917" s="4"/>
      <c r="FY1917" s="4"/>
      <c r="FZ1917" s="4"/>
      <c r="GA1917" s="4"/>
      <c r="GB1917" s="4"/>
      <c r="GC1917" s="4"/>
      <c r="GD1917" s="4"/>
      <c r="GE1917" s="4"/>
      <c r="GF1917" s="4"/>
      <c r="GG1917" s="4"/>
      <c r="GH1917" s="4"/>
      <c r="GI1917" s="4"/>
      <c r="GJ1917" s="4"/>
      <c r="GK1917" s="4"/>
      <c r="GL1917" s="4"/>
      <c r="GM1917" s="4"/>
      <c r="GN1917" s="4"/>
      <c r="GO1917" s="4"/>
      <c r="GP1917" s="4"/>
      <c r="GQ1917" s="4"/>
      <c r="GR1917" s="4"/>
      <c r="GS1917" s="4"/>
      <c r="GT1917" s="4"/>
      <c r="GU1917" s="4"/>
      <c r="GV1917" s="4"/>
      <c r="GW1917" s="4"/>
      <c r="GX1917" s="4"/>
      <c r="GY1917" s="4"/>
      <c r="GZ1917" s="4"/>
      <c r="HA1917" s="4"/>
      <c r="HB1917" s="4"/>
      <c r="HC1917" s="4"/>
      <c r="HD1917" s="4"/>
      <c r="HE1917" s="4"/>
    </row>
    <row r="1918">
      <c r="A1918" s="2" t="s">
        <v>9324</v>
      </c>
      <c r="B1918" s="2" t="s">
        <v>1150</v>
      </c>
      <c r="C1918" s="2" t="s">
        <v>300</v>
      </c>
      <c r="D1918" s="2" t="s">
        <v>1316</v>
      </c>
      <c r="E1918" s="2" t="s">
        <v>8772</v>
      </c>
      <c r="F1918" s="2" t="s">
        <v>9325</v>
      </c>
      <c r="G1918" s="2" t="s">
        <v>9326</v>
      </c>
      <c r="H1918" s="2" t="s">
        <v>9327</v>
      </c>
      <c r="I1918" s="2" t="s">
        <v>9328</v>
      </c>
      <c r="J1918" s="2" t="s">
        <v>294</v>
      </c>
      <c r="K1918" s="2" t="s">
        <v>1390</v>
      </c>
      <c r="L1918" s="3">
        <v>75</v>
      </c>
      <c r="M1918" s="3">
        <v>78.74</v>
      </c>
      <c r="N1918" s="3">
        <v>149.99</v>
      </c>
      <c r="O1918" s="2" t="s">
        <v>240</v>
      </c>
      <c r="P1918" s="2" t="s">
        <v>266</v>
      </c>
      <c r="Q1918" s="2" t="s">
        <v>234</v>
      </c>
      <c r="R1918" s="2" t="s">
        <v>228</v>
      </c>
      <c r="S1918" s="2" t="s">
        <v>9329</v>
      </c>
      <c r="T1918" s="2" t="s">
        <v>228</v>
      </c>
      <c r="U1918" s="2" t="s">
        <v>1170</v>
      </c>
      <c r="V1918" s="2" t="s">
        <v>1302</v>
      </c>
      <c r="W1918" s="2" t="s">
        <v>743</v>
      </c>
      <c r="X1918" s="2" t="s">
        <v>2175</v>
      </c>
      <c r="Y1918" s="2" t="s">
        <v>2437</v>
      </c>
      <c r="Z1918" s="4">
        <v>789</v>
      </c>
      <c r="AA1918" s="4">
        <f>=ROUNDDOWN(23.2058823529412,0)</f>
      </c>
      <c r="AB1918" s="5">
        <v>34</v>
      </c>
      <c r="AC1918" s="2" t="s">
        <v>154</v>
      </c>
      <c r="AD1918" s="4">
        <v>110</v>
      </c>
      <c r="AE1918" s="4">
        <v>690</v>
      </c>
      <c r="AF1918" s="6">
        <v>65</v>
      </c>
      <c r="AG1918" s="6">
        <v>48</v>
      </c>
      <c r="AH1918" s="7">
        <v>1</v>
      </c>
      <c r="AI1918" s="4"/>
      <c r="AJ1918" s="4">
        <f>=ROUNDDOWN({0},0)</f>
      </c>
      <c r="AK1918" s="5"/>
      <c r="AL1918" s="2" t="s">
        <v>228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/>
      <c r="AW1918" s="8"/>
      <c r="AX1918" s="4"/>
      <c r="AY1918" s="8"/>
      <c r="AZ1918" s="7"/>
      <c r="BA1918" s="7"/>
      <c r="BB1918" s="7"/>
      <c r="BC1918" s="4"/>
      <c r="BD1918" s="8"/>
      <c r="BE1918" s="4"/>
      <c r="BF1918" s="8"/>
      <c r="BG1918" s="7"/>
      <c r="BH1918" s="7"/>
      <c r="BI1918" s="7"/>
      <c r="BJ1918" s="4">
        <v>28</v>
      </c>
      <c r="BK1918" s="8">
        <v>1646.58</v>
      </c>
      <c r="BL1918" s="2" t="s">
        <v>9330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9331</v>
      </c>
      <c r="BV1918" s="2" t="s">
        <v>228</v>
      </c>
      <c r="BW1918" s="2" t="s">
        <v>228</v>
      </c>
      <c r="BX1918" s="2" t="s">
        <v>273</v>
      </c>
      <c r="BY1918" s="2" t="s">
        <v>274</v>
      </c>
      <c r="BZ1918" s="2" t="s">
        <v>240</v>
      </c>
      <c r="CA1918" s="2" t="s">
        <v>707</v>
      </c>
      <c r="CB1918" s="2" t="s">
        <v>9332</v>
      </c>
      <c r="CC1918" s="2" t="s">
        <v>241</v>
      </c>
      <c r="CD1918" s="2" t="s">
        <v>228</v>
      </c>
      <c r="CE1918" s="4">
        <v>519</v>
      </c>
      <c r="CF1918" s="4"/>
      <c r="CG1918" s="4"/>
      <c r="CH1918" s="4">
        <v>270</v>
      </c>
      <c r="CI1918" s="4"/>
      <c r="CJ1918" s="4"/>
      <c r="CK1918" s="4"/>
      <c r="CL1918" s="4"/>
      <c r="CM1918" s="4"/>
      <c r="CN1918" s="4"/>
      <c r="CO1918" s="4"/>
      <c r="CP1918" s="4"/>
      <c r="CQ1918" s="4"/>
      <c r="CR1918" s="4"/>
      <c r="CS1918" s="4"/>
      <c r="CT1918" s="4"/>
      <c r="CU1918" s="4"/>
      <c r="CV1918" s="4"/>
      <c r="CW1918" s="4"/>
      <c r="CX1918" s="4"/>
      <c r="CY1918" s="4"/>
      <c r="CZ1918" s="4"/>
      <c r="DA1918" s="4"/>
      <c r="DB1918" s="4"/>
      <c r="DC1918" s="4"/>
      <c r="DD1918" s="4"/>
      <c r="DE1918" s="4"/>
      <c r="DF1918" s="4"/>
      <c r="DG1918" s="4"/>
      <c r="DH1918" s="4"/>
      <c r="DI1918" s="4"/>
      <c r="DJ1918" s="4"/>
      <c r="DK1918" s="4"/>
      <c r="DL1918" s="4"/>
      <c r="DM1918" s="4"/>
      <c r="DN1918" s="4"/>
      <c r="DO1918" s="4"/>
      <c r="DP1918" s="4"/>
      <c r="DQ1918" s="4"/>
      <c r="DR1918" s="4"/>
      <c r="DS1918" s="4"/>
      <c r="DT1918" s="4"/>
      <c r="DU1918" s="4"/>
      <c r="DV1918" s="4"/>
      <c r="DW1918" s="4"/>
      <c r="DX1918" s="4"/>
      <c r="DY1918" s="4"/>
      <c r="DZ1918" s="4"/>
      <c r="EA1918" s="4"/>
      <c r="EB1918" s="4"/>
      <c r="EC1918" s="4"/>
      <c r="ED1918" s="4"/>
      <c r="EE1918" s="4"/>
      <c r="EF1918" s="4"/>
      <c r="EG1918" s="4"/>
      <c r="EH1918" s="4"/>
      <c r="EI1918" s="4"/>
      <c r="EJ1918" s="4"/>
      <c r="EK1918" s="4"/>
      <c r="EL1918" s="4"/>
      <c r="EM1918" s="4"/>
      <c r="EN1918" s="4"/>
      <c r="EO1918" s="4"/>
      <c r="EP1918" s="4">
        <v>110</v>
      </c>
      <c r="EQ1918" s="4"/>
      <c r="ER1918" s="4"/>
      <c r="ES1918" s="4"/>
      <c r="ET1918" s="4"/>
      <c r="EU1918" s="4"/>
      <c r="EV1918" s="4"/>
      <c r="EW1918" s="4"/>
      <c r="EX1918" s="4"/>
      <c r="EY1918" s="4"/>
      <c r="EZ1918" s="4"/>
      <c r="FA1918" s="4"/>
      <c r="FB1918" s="4">
        <v>400</v>
      </c>
      <c r="FC1918" s="4"/>
      <c r="FD1918" s="4"/>
      <c r="FE1918" s="4"/>
      <c r="FF1918" s="4"/>
      <c r="FG1918" s="4"/>
      <c r="FH1918" s="4"/>
      <c r="FI1918" s="4"/>
      <c r="FJ1918" s="4"/>
      <c r="FK1918" s="4"/>
      <c r="FL1918" s="4"/>
      <c r="FM1918" s="4"/>
      <c r="FN1918" s="4"/>
      <c r="FO1918" s="4"/>
      <c r="FP1918" s="4"/>
      <c r="FQ1918" s="4"/>
      <c r="FR1918" s="4">
        <v>80</v>
      </c>
      <c r="FS1918" s="4"/>
      <c r="FT1918" s="4"/>
      <c r="FU1918" s="4"/>
      <c r="FV1918" s="4"/>
      <c r="FW1918" s="4"/>
      <c r="FX1918" s="4"/>
      <c r="FY1918" s="4"/>
      <c r="FZ1918" s="4"/>
      <c r="GA1918" s="4"/>
      <c r="GB1918" s="4">
        <v>100</v>
      </c>
      <c r="GC1918" s="4"/>
      <c r="GD1918" s="4"/>
      <c r="GE1918" s="4"/>
      <c r="GF1918" s="4"/>
      <c r="GG1918" s="4"/>
      <c r="GH1918" s="4"/>
      <c r="GI1918" s="4"/>
      <c r="GJ1918" s="4"/>
      <c r="GK1918" s="4"/>
      <c r="GL1918" s="4"/>
      <c r="GM1918" s="4"/>
      <c r="GN1918" s="4"/>
      <c r="GO1918" s="4"/>
      <c r="GP1918" s="4"/>
      <c r="GQ1918" s="4"/>
      <c r="GR1918" s="4"/>
      <c r="GS1918" s="4"/>
      <c r="GT1918" s="4"/>
      <c r="GU1918" s="4"/>
      <c r="GV1918" s="4"/>
      <c r="GW1918" s="4"/>
      <c r="GX1918" s="4"/>
      <c r="GY1918" s="4"/>
      <c r="GZ1918" s="4"/>
      <c r="HA1918" s="4"/>
      <c r="HB1918" s="4"/>
      <c r="HC1918" s="4"/>
      <c r="HD1918" s="4"/>
      <c r="HE1918" s="4"/>
    </row>
    <row r="1919">
      <c r="A1919" s="2" t="s">
        <v>9333</v>
      </c>
      <c r="B1919" s="2" t="s">
        <v>299</v>
      </c>
      <c r="C1919" s="2" t="s">
        <v>1184</v>
      </c>
      <c r="D1919" s="2" t="s">
        <v>301</v>
      </c>
      <c r="E1919" s="2" t="s">
        <v>302</v>
      </c>
      <c r="F1919" s="2" t="s">
        <v>9334</v>
      </c>
      <c r="G1919" s="2" t="s">
        <v>9334</v>
      </c>
      <c r="H1919" s="2" t="s">
        <v>9334</v>
      </c>
      <c r="I1919" s="2" t="s">
        <v>9335</v>
      </c>
      <c r="J1919" s="2" t="s">
        <v>264</v>
      </c>
      <c r="K1919" s="2" t="s">
        <v>9336</v>
      </c>
      <c r="L1919" s="3">
        <v>12.88</v>
      </c>
      <c r="M1919" s="3">
        <v>13.52</v>
      </c>
      <c r="N1919" s="3">
        <v>27.99</v>
      </c>
      <c r="O1919" s="2" t="s">
        <v>461</v>
      </c>
      <c r="P1919" s="2" t="s">
        <v>333</v>
      </c>
      <c r="Q1919" s="2" t="s">
        <v>234</v>
      </c>
      <c r="R1919" s="2" t="s">
        <v>228</v>
      </c>
      <c r="S1919" s="2" t="s">
        <v>9337</v>
      </c>
      <c r="T1919" s="2" t="s">
        <v>415</v>
      </c>
      <c r="U1919" s="2" t="s">
        <v>500</v>
      </c>
      <c r="V1919" s="2" t="s">
        <v>3717</v>
      </c>
      <c r="W1919" s="2" t="s">
        <v>269</v>
      </c>
      <c r="X1919" s="2" t="s">
        <v>743</v>
      </c>
      <c r="Y1919" s="2" t="s">
        <v>3088</v>
      </c>
      <c r="Z1919" s="4">
        <v>129</v>
      </c>
      <c r="AA1919" s="4">
        <f>=ROUNDDOWN(80.625,0)</f>
      </c>
      <c r="AB1919" s="5">
        <v>1.6</v>
      </c>
      <c r="AC1919" s="2" t="s">
        <v>228</v>
      </c>
      <c r="AD1919" s="4"/>
      <c r="AE1919" s="4"/>
      <c r="AF1919" s="6">
        <v>65</v>
      </c>
      <c r="AG1919" s="6"/>
      <c r="AH1919" s="7">
        <v>1</v>
      </c>
      <c r="AI1919" s="4"/>
      <c r="AJ1919" s="4">
        <f>=ROUNDDOWN({0},0)</f>
      </c>
      <c r="AK1919" s="5"/>
      <c r="AL1919" s="2" t="s">
        <v>228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/>
      <c r="AW1919" s="8"/>
      <c r="AX1919" s="4"/>
      <c r="AY1919" s="8"/>
      <c r="AZ1919" s="7"/>
      <c r="BA1919" s="7"/>
      <c r="BB1919" s="7"/>
      <c r="BC1919" s="4" t="s">
        <v>228</v>
      </c>
      <c r="BD1919" s="8" t="s">
        <v>228</v>
      </c>
      <c r="BE1919" s="4" t="s">
        <v>228</v>
      </c>
      <c r="BF1919" s="8" t="s">
        <v>228</v>
      </c>
      <c r="BG1919" s="7" t="s">
        <v>228</v>
      </c>
      <c r="BH1919" s="7" t="s">
        <v>228</v>
      </c>
      <c r="BI1919" s="7"/>
      <c r="BJ1919" s="4">
        <v>7</v>
      </c>
      <c r="BK1919" s="8">
        <v>88.74</v>
      </c>
      <c r="BL1919" s="2" t="s">
        <v>9338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9339</v>
      </c>
      <c r="BV1919" s="2" t="s">
        <v>228</v>
      </c>
      <c r="BW1919" s="2" t="s">
        <v>228</v>
      </c>
      <c r="BX1919" s="2" t="s">
        <v>337</v>
      </c>
      <c r="BY1919" s="2" t="s">
        <v>274</v>
      </c>
      <c r="BZ1919" s="2" t="s">
        <v>240</v>
      </c>
      <c r="CA1919" s="2" t="s">
        <v>923</v>
      </c>
      <c r="CB1919" s="2" t="s">
        <v>9340</v>
      </c>
      <c r="CC1919" s="2" t="s">
        <v>241</v>
      </c>
      <c r="CD1919" s="2" t="s">
        <v>228</v>
      </c>
      <c r="CE1919" s="4">
        <v>129</v>
      </c>
      <c r="CF1919" s="4"/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/>
      <c r="DA1919" s="4"/>
      <c r="DB1919" s="4"/>
      <c r="DC1919" s="4"/>
      <c r="DD1919" s="4"/>
      <c r="DE1919" s="4"/>
      <c r="DF1919" s="4"/>
      <c r="DG1919" s="4"/>
      <c r="DH1919" s="4"/>
      <c r="DI1919" s="4"/>
      <c r="DJ1919" s="4"/>
      <c r="DK1919" s="4"/>
      <c r="DL1919" s="4"/>
      <c r="DM1919" s="4"/>
      <c r="DN1919" s="4"/>
      <c r="DO1919" s="4"/>
      <c r="DP1919" s="4"/>
      <c r="DQ1919" s="4"/>
      <c r="DR1919" s="4"/>
      <c r="DS1919" s="4"/>
      <c r="DT1919" s="4"/>
      <c r="DU1919" s="4"/>
      <c r="DV1919" s="4"/>
      <c r="DW1919" s="4"/>
      <c r="DX1919" s="4"/>
      <c r="DY1919" s="4"/>
      <c r="DZ1919" s="4"/>
      <c r="EA1919" s="4"/>
      <c r="EB1919" s="4"/>
      <c r="EC1919" s="4"/>
      <c r="ED1919" s="4"/>
      <c r="EE1919" s="4"/>
      <c r="EF1919" s="4"/>
      <c r="EG1919" s="4"/>
      <c r="EH1919" s="4"/>
      <c r="EI1919" s="4"/>
      <c r="EJ1919" s="4"/>
      <c r="EK1919" s="4"/>
      <c r="EL1919" s="4"/>
      <c r="EM1919" s="4"/>
      <c r="EN1919" s="4"/>
      <c r="EO1919" s="4"/>
      <c r="EP1919" s="4"/>
      <c r="EQ1919" s="4"/>
      <c r="ER1919" s="4"/>
      <c r="ES1919" s="4"/>
      <c r="ET1919" s="4"/>
      <c r="EU1919" s="4"/>
      <c r="EV1919" s="4"/>
      <c r="EW1919" s="4"/>
      <c r="EX1919" s="4"/>
      <c r="EY1919" s="4"/>
      <c r="EZ1919" s="4"/>
      <c r="FA1919" s="4"/>
      <c r="FB1919" s="4"/>
      <c r="FC1919" s="4"/>
      <c r="FD1919" s="4"/>
      <c r="FE1919" s="4"/>
      <c r="FF1919" s="4"/>
      <c r="FG1919" s="4"/>
      <c r="FH1919" s="4"/>
      <c r="FI1919" s="4"/>
      <c r="FJ1919" s="4"/>
      <c r="FK1919" s="4"/>
      <c r="FL1919" s="4"/>
      <c r="FM1919" s="4"/>
      <c r="FN1919" s="4"/>
      <c r="FO1919" s="4"/>
      <c r="FP1919" s="4"/>
      <c r="FQ1919" s="4"/>
      <c r="FR1919" s="4"/>
      <c r="FS1919" s="4"/>
      <c r="FT1919" s="4"/>
      <c r="FU1919" s="4"/>
      <c r="FV1919" s="4"/>
      <c r="FW1919" s="4"/>
      <c r="FX1919" s="4"/>
      <c r="FY1919" s="4"/>
      <c r="FZ1919" s="4"/>
      <c r="GA1919" s="4"/>
      <c r="GB1919" s="4"/>
      <c r="GC1919" s="4"/>
      <c r="GD1919" s="4"/>
      <c r="GE1919" s="4"/>
      <c r="GF1919" s="4"/>
      <c r="GG1919" s="4"/>
      <c r="GH1919" s="4"/>
      <c r="GI1919" s="4"/>
      <c r="GJ1919" s="4"/>
      <c r="GK1919" s="4"/>
      <c r="GL1919" s="4"/>
      <c r="GM1919" s="4"/>
      <c r="GN1919" s="4"/>
      <c r="GO1919" s="4"/>
      <c r="GP1919" s="4"/>
      <c r="GQ1919" s="4"/>
      <c r="GR1919" s="4"/>
      <c r="GS1919" s="4"/>
      <c r="GT1919" s="4"/>
      <c r="GU1919" s="4"/>
      <c r="GV1919" s="4"/>
      <c r="GW1919" s="4"/>
      <c r="GX1919" s="4"/>
      <c r="GY1919" s="4"/>
      <c r="GZ1919" s="4"/>
      <c r="HA1919" s="4"/>
      <c r="HB1919" s="4"/>
      <c r="HC1919" s="4"/>
      <c r="HD1919" s="4"/>
      <c r="HE1919" s="4"/>
    </row>
    <row r="1920">
      <c r="A1920" s="2" t="s">
        <v>9341</v>
      </c>
      <c r="B1920" s="2" t="s">
        <v>299</v>
      </c>
      <c r="C1920" s="2" t="s">
        <v>1184</v>
      </c>
      <c r="D1920" s="2" t="s">
        <v>301</v>
      </c>
      <c r="E1920" s="2" t="s">
        <v>302</v>
      </c>
      <c r="F1920" s="2" t="s">
        <v>9334</v>
      </c>
      <c r="G1920" s="2" t="s">
        <v>9334</v>
      </c>
      <c r="H1920" s="2" t="s">
        <v>9334</v>
      </c>
      <c r="I1920" s="2" t="s">
        <v>9335</v>
      </c>
      <c r="J1920" s="2" t="s">
        <v>289</v>
      </c>
      <c r="K1920" s="2" t="s">
        <v>9342</v>
      </c>
      <c r="L1920" s="3">
        <v>15.51</v>
      </c>
      <c r="M1920" s="3">
        <v>16.29</v>
      </c>
      <c r="N1920" s="3">
        <v>32.99</v>
      </c>
      <c r="O1920" s="2" t="s">
        <v>461</v>
      </c>
      <c r="P1920" s="2" t="s">
        <v>333</v>
      </c>
      <c r="Q1920" s="2" t="s">
        <v>234</v>
      </c>
      <c r="R1920" s="2" t="s">
        <v>228</v>
      </c>
      <c r="S1920" s="2" t="s">
        <v>9343</v>
      </c>
      <c r="T1920" s="2" t="s">
        <v>415</v>
      </c>
      <c r="U1920" s="2" t="s">
        <v>308</v>
      </c>
      <c r="V1920" s="2" t="s">
        <v>3717</v>
      </c>
      <c r="W1920" s="2" t="s">
        <v>269</v>
      </c>
      <c r="X1920" s="2" t="s">
        <v>743</v>
      </c>
      <c r="Y1920" s="2" t="s">
        <v>3088</v>
      </c>
      <c r="Z1920" s="4">
        <v>90</v>
      </c>
      <c r="AA1920" s="4">
        <f>=ROUNDDOWN(37.5,0)</f>
      </c>
      <c r="AB1920" s="5">
        <v>2.4</v>
      </c>
      <c r="AC1920" s="2" t="s">
        <v>228</v>
      </c>
      <c r="AD1920" s="4"/>
      <c r="AE1920" s="4"/>
      <c r="AF1920" s="6">
        <v>65</v>
      </c>
      <c r="AG1920" s="6"/>
      <c r="AH1920" s="7">
        <v>1</v>
      </c>
      <c r="AI1920" s="4"/>
      <c r="AJ1920" s="4">
        <f>=ROUNDDOWN({0},0)</f>
      </c>
      <c r="AK1920" s="5"/>
      <c r="AL1920" s="2" t="s">
        <v>228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/>
      <c r="AW1920" s="8"/>
      <c r="AX1920" s="4"/>
      <c r="AY1920" s="8"/>
      <c r="AZ1920" s="7"/>
      <c r="BA1920" s="7"/>
      <c r="BB1920" s="7"/>
      <c r="BC1920" s="4" t="s">
        <v>228</v>
      </c>
      <c r="BD1920" s="8" t="s">
        <v>228</v>
      </c>
      <c r="BE1920" s="4" t="s">
        <v>228</v>
      </c>
      <c r="BF1920" s="8" t="s">
        <v>228</v>
      </c>
      <c r="BG1920" s="7" t="s">
        <v>228</v>
      </c>
      <c r="BH1920" s="7" t="s">
        <v>228</v>
      </c>
      <c r="BI1920" s="7"/>
      <c r="BJ1920" s="4">
        <v>7</v>
      </c>
      <c r="BK1920" s="8">
        <v>86.82</v>
      </c>
      <c r="BL1920" s="2" t="s">
        <v>9344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9345</v>
      </c>
      <c r="BV1920" s="2" t="s">
        <v>228</v>
      </c>
      <c r="BW1920" s="2" t="s">
        <v>228</v>
      </c>
      <c r="BX1920" s="2" t="s">
        <v>337</v>
      </c>
      <c r="BY1920" s="2" t="s">
        <v>274</v>
      </c>
      <c r="BZ1920" s="2" t="s">
        <v>240</v>
      </c>
      <c r="CA1920" s="2" t="s">
        <v>9346</v>
      </c>
      <c r="CB1920" s="2" t="s">
        <v>5353</v>
      </c>
      <c r="CC1920" s="2" t="s">
        <v>241</v>
      </c>
      <c r="CD1920" s="2" t="s">
        <v>228</v>
      </c>
      <c r="CE1920" s="4">
        <v>90</v>
      </c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/>
      <c r="DA1920" s="4"/>
      <c r="DB1920" s="4"/>
      <c r="DC1920" s="4"/>
      <c r="DD1920" s="4"/>
      <c r="DE1920" s="4"/>
      <c r="DF1920" s="4"/>
      <c r="DG1920" s="4"/>
      <c r="DH1920" s="4"/>
      <c r="DI1920" s="4"/>
      <c r="DJ1920" s="4"/>
      <c r="DK1920" s="4"/>
      <c r="DL1920" s="4"/>
      <c r="DM1920" s="4"/>
      <c r="DN1920" s="4"/>
      <c r="DO1920" s="4"/>
      <c r="DP1920" s="4"/>
      <c r="DQ1920" s="4"/>
      <c r="DR1920" s="4"/>
      <c r="DS1920" s="4"/>
      <c r="DT1920" s="4"/>
      <c r="DU1920" s="4"/>
      <c r="DV1920" s="4"/>
      <c r="DW1920" s="4"/>
      <c r="DX1920" s="4"/>
      <c r="DY1920" s="4"/>
      <c r="DZ1920" s="4"/>
      <c r="EA1920" s="4"/>
      <c r="EB1920" s="4"/>
      <c r="EC1920" s="4"/>
      <c r="ED1920" s="4"/>
      <c r="EE1920" s="4"/>
      <c r="EF1920" s="4"/>
      <c r="EG1920" s="4"/>
      <c r="EH1920" s="4"/>
      <c r="EI1920" s="4"/>
      <c r="EJ1920" s="4"/>
      <c r="EK1920" s="4"/>
      <c r="EL1920" s="4"/>
      <c r="EM1920" s="4"/>
      <c r="EN1920" s="4"/>
      <c r="EO1920" s="4"/>
      <c r="EP1920" s="4"/>
      <c r="EQ1920" s="4"/>
      <c r="ER1920" s="4"/>
      <c r="ES1920" s="4"/>
      <c r="ET1920" s="4"/>
      <c r="EU1920" s="4"/>
      <c r="EV1920" s="4"/>
      <c r="EW1920" s="4"/>
      <c r="EX1920" s="4"/>
      <c r="EY1920" s="4"/>
      <c r="EZ1920" s="4"/>
      <c r="FA1920" s="4"/>
      <c r="FB1920" s="4"/>
      <c r="FC1920" s="4"/>
      <c r="FD1920" s="4"/>
      <c r="FE1920" s="4"/>
      <c r="FF1920" s="4"/>
      <c r="FG1920" s="4"/>
      <c r="FH1920" s="4"/>
      <c r="FI1920" s="4"/>
      <c r="FJ1920" s="4"/>
      <c r="FK1920" s="4"/>
      <c r="FL1920" s="4"/>
      <c r="FM1920" s="4"/>
      <c r="FN1920" s="4"/>
      <c r="FO1920" s="4"/>
      <c r="FP1920" s="4"/>
      <c r="FQ1920" s="4"/>
      <c r="FR1920" s="4"/>
      <c r="FS1920" s="4"/>
      <c r="FT1920" s="4"/>
      <c r="FU1920" s="4"/>
      <c r="FV1920" s="4"/>
      <c r="FW1920" s="4"/>
      <c r="FX1920" s="4"/>
      <c r="FY1920" s="4"/>
      <c r="FZ1920" s="4"/>
      <c r="GA1920" s="4"/>
      <c r="GB1920" s="4"/>
      <c r="GC1920" s="4"/>
      <c r="GD1920" s="4"/>
      <c r="GE1920" s="4"/>
      <c r="GF1920" s="4"/>
      <c r="GG1920" s="4"/>
      <c r="GH1920" s="4"/>
      <c r="GI1920" s="4"/>
      <c r="GJ1920" s="4"/>
      <c r="GK1920" s="4"/>
      <c r="GL1920" s="4"/>
      <c r="GM1920" s="4"/>
      <c r="GN1920" s="4"/>
      <c r="GO1920" s="4"/>
      <c r="GP1920" s="4"/>
      <c r="GQ1920" s="4"/>
      <c r="GR1920" s="4"/>
      <c r="GS1920" s="4"/>
      <c r="GT1920" s="4"/>
      <c r="GU1920" s="4"/>
      <c r="GV1920" s="4"/>
      <c r="GW1920" s="4"/>
      <c r="GX1920" s="4"/>
      <c r="GY1920" s="4"/>
      <c r="GZ1920" s="4"/>
      <c r="HA1920" s="4"/>
      <c r="HB1920" s="4"/>
      <c r="HC1920" s="4"/>
      <c r="HD1920" s="4"/>
      <c r="HE1920" s="4"/>
    </row>
    <row r="1921">
      <c r="A1921" s="2" t="s">
        <v>9347</v>
      </c>
      <c r="B1921" s="2" t="s">
        <v>299</v>
      </c>
      <c r="C1921" s="2" t="s">
        <v>849</v>
      </c>
      <c r="D1921" s="2" t="s">
        <v>301</v>
      </c>
      <c r="E1921" s="2" t="s">
        <v>302</v>
      </c>
      <c r="F1921" s="2" t="s">
        <v>9348</v>
      </c>
      <c r="G1921" s="2" t="s">
        <v>9348</v>
      </c>
      <c r="H1921" s="2" t="s">
        <v>9348</v>
      </c>
      <c r="I1921" s="2" t="s">
        <v>347</v>
      </c>
      <c r="J1921" s="2" t="s">
        <v>264</v>
      </c>
      <c r="K1921" s="2" t="s">
        <v>9349</v>
      </c>
      <c r="L1921" s="3">
        <v>11.95</v>
      </c>
      <c r="M1921" s="3">
        <v>12.55</v>
      </c>
      <c r="N1921" s="3">
        <v>24.99</v>
      </c>
      <c r="O1921" s="2" t="s">
        <v>240</v>
      </c>
      <c r="P1921" s="2" t="s">
        <v>233</v>
      </c>
      <c r="Q1921" s="2" t="s">
        <v>234</v>
      </c>
      <c r="R1921" s="2" t="s">
        <v>228</v>
      </c>
      <c r="S1921" s="2" t="s">
        <v>9350</v>
      </c>
      <c r="T1921" s="2" t="s">
        <v>415</v>
      </c>
      <c r="U1921" s="2" t="s">
        <v>500</v>
      </c>
      <c r="V1921" s="2" t="s">
        <v>1644</v>
      </c>
      <c r="W1921" s="2" t="s">
        <v>269</v>
      </c>
      <c r="X1921" s="2" t="s">
        <v>228</v>
      </c>
      <c r="Y1921" s="2" t="s">
        <v>1205</v>
      </c>
      <c r="Z1921" s="4">
        <v>117</v>
      </c>
      <c r="AA1921" s="4">
        <f>=ROUNDDOWN(58.5,0)</f>
      </c>
      <c r="AB1921" s="5">
        <v>2</v>
      </c>
      <c r="AC1921" s="2" t="s">
        <v>228</v>
      </c>
      <c r="AD1921" s="4"/>
      <c r="AE1921" s="4"/>
      <c r="AF1921" s="6">
        <v>65</v>
      </c>
      <c r="AG1921" s="6"/>
      <c r="AH1921" s="7">
        <v>1</v>
      </c>
      <c r="AI1921" s="4"/>
      <c r="AJ1921" s="4">
        <f>=ROUNDDOWN({0},0)</f>
      </c>
      <c r="AK1921" s="5"/>
      <c r="AL1921" s="2" t="s">
        <v>228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 t="s">
        <v>228</v>
      </c>
      <c r="AW1921" s="8" t="s">
        <v>228</v>
      </c>
      <c r="AX1921" s="4" t="s">
        <v>228</v>
      </c>
      <c r="AY1921" s="8" t="s">
        <v>228</v>
      </c>
      <c r="AZ1921" s="7" t="s">
        <v>228</v>
      </c>
      <c r="BA1921" s="7" t="s">
        <v>228</v>
      </c>
      <c r="BB1921" s="7"/>
      <c r="BC1921" s="4" t="s">
        <v>228</v>
      </c>
      <c r="BD1921" s="8" t="s">
        <v>228</v>
      </c>
      <c r="BE1921" s="4" t="s">
        <v>228</v>
      </c>
      <c r="BF1921" s="8" t="s">
        <v>228</v>
      </c>
      <c r="BG1921" s="7" t="s">
        <v>228</v>
      </c>
      <c r="BH1921" s="7" t="s">
        <v>228</v>
      </c>
      <c r="BI1921" s="7"/>
      <c r="BJ1921" s="4"/>
      <c r="BK1921" s="8"/>
      <c r="BL1921" s="2" t="s">
        <v>228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9351</v>
      </c>
      <c r="BV1921" s="2" t="s">
        <v>228</v>
      </c>
      <c r="BW1921" s="2" t="s">
        <v>228</v>
      </c>
      <c r="BX1921" s="2" t="s">
        <v>273</v>
      </c>
      <c r="BY1921" s="2" t="s">
        <v>274</v>
      </c>
      <c r="BZ1921" s="2" t="s">
        <v>240</v>
      </c>
      <c r="CA1921" s="2" t="s">
        <v>9352</v>
      </c>
      <c r="CB1921" s="2" t="s">
        <v>228</v>
      </c>
      <c r="CC1921" s="2" t="s">
        <v>241</v>
      </c>
      <c r="CD1921" s="2" t="s">
        <v>228</v>
      </c>
      <c r="CE1921" s="4">
        <v>59</v>
      </c>
      <c r="CF1921" s="4"/>
      <c r="CG1921" s="4"/>
      <c r="CH1921" s="4">
        <v>58</v>
      </c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/>
      <c r="DE1921" s="4"/>
      <c r="DF1921" s="4"/>
      <c r="DG1921" s="4"/>
      <c r="DH1921" s="4"/>
      <c r="DI1921" s="4"/>
      <c r="DJ1921" s="4"/>
      <c r="DK1921" s="4"/>
      <c r="DL1921" s="4"/>
      <c r="DM1921" s="4"/>
      <c r="DN1921" s="4"/>
      <c r="DO1921" s="4"/>
      <c r="DP1921" s="4"/>
      <c r="DQ1921" s="4"/>
      <c r="DR1921" s="4"/>
      <c r="DS1921" s="4"/>
      <c r="DT1921" s="4"/>
      <c r="DU1921" s="4"/>
      <c r="DV1921" s="4"/>
      <c r="DW1921" s="4"/>
      <c r="DX1921" s="4"/>
      <c r="DY1921" s="4"/>
      <c r="DZ1921" s="4"/>
      <c r="EA1921" s="4"/>
      <c r="EB1921" s="4"/>
      <c r="EC1921" s="4"/>
      <c r="ED1921" s="4"/>
      <c r="EE1921" s="4"/>
      <c r="EF1921" s="4"/>
      <c r="EG1921" s="4"/>
      <c r="EH1921" s="4"/>
      <c r="EI1921" s="4"/>
      <c r="EJ1921" s="4"/>
      <c r="EK1921" s="4"/>
      <c r="EL1921" s="4"/>
      <c r="EM1921" s="4"/>
      <c r="EN1921" s="4"/>
      <c r="EO1921" s="4"/>
      <c r="EP1921" s="4"/>
      <c r="EQ1921" s="4"/>
      <c r="ER1921" s="4"/>
      <c r="ES1921" s="4"/>
      <c r="ET1921" s="4"/>
      <c r="EU1921" s="4"/>
      <c r="EV1921" s="4"/>
      <c r="EW1921" s="4"/>
      <c r="EX1921" s="4"/>
      <c r="EY1921" s="4"/>
      <c r="EZ1921" s="4"/>
      <c r="FA1921" s="4"/>
      <c r="FB1921" s="4"/>
      <c r="FC1921" s="4"/>
      <c r="FD1921" s="4"/>
      <c r="FE1921" s="4"/>
      <c r="FF1921" s="4"/>
      <c r="FG1921" s="4"/>
      <c r="FH1921" s="4"/>
      <c r="FI1921" s="4"/>
      <c r="FJ1921" s="4"/>
      <c r="FK1921" s="4"/>
      <c r="FL1921" s="4"/>
      <c r="FM1921" s="4"/>
      <c r="FN1921" s="4"/>
      <c r="FO1921" s="4"/>
      <c r="FP1921" s="4"/>
      <c r="FQ1921" s="4"/>
      <c r="FR1921" s="4"/>
      <c r="FS1921" s="4"/>
      <c r="FT1921" s="4"/>
      <c r="FU1921" s="4"/>
      <c r="FV1921" s="4"/>
      <c r="FW1921" s="4"/>
      <c r="FX1921" s="4"/>
      <c r="FY1921" s="4"/>
      <c r="FZ1921" s="4"/>
      <c r="GA1921" s="4"/>
      <c r="GB1921" s="4"/>
      <c r="GC1921" s="4"/>
      <c r="GD1921" s="4"/>
      <c r="GE1921" s="4"/>
      <c r="GF1921" s="4"/>
      <c r="GG1921" s="4"/>
      <c r="GH1921" s="4"/>
      <c r="GI1921" s="4"/>
      <c r="GJ1921" s="4"/>
      <c r="GK1921" s="4"/>
      <c r="GL1921" s="4"/>
      <c r="GM1921" s="4"/>
      <c r="GN1921" s="4"/>
      <c r="GO1921" s="4"/>
      <c r="GP1921" s="4"/>
      <c r="GQ1921" s="4"/>
      <c r="GR1921" s="4"/>
      <c r="GS1921" s="4"/>
      <c r="GT1921" s="4"/>
      <c r="GU1921" s="4"/>
      <c r="GV1921" s="4"/>
      <c r="GW1921" s="4"/>
      <c r="GX1921" s="4"/>
      <c r="GY1921" s="4"/>
      <c r="GZ1921" s="4"/>
      <c r="HA1921" s="4"/>
      <c r="HB1921" s="4"/>
      <c r="HC1921" s="4"/>
      <c r="HD1921" s="4"/>
      <c r="HE1921" s="4"/>
    </row>
    <row r="1922">
      <c r="A1922" s="2" t="s">
        <v>9353</v>
      </c>
      <c r="B1922" s="2" t="s">
        <v>299</v>
      </c>
      <c r="C1922" s="2" t="s">
        <v>849</v>
      </c>
      <c r="D1922" s="2" t="s">
        <v>301</v>
      </c>
      <c r="E1922" s="2" t="s">
        <v>302</v>
      </c>
      <c r="F1922" s="2" t="s">
        <v>9348</v>
      </c>
      <c r="G1922" s="2" t="s">
        <v>9348</v>
      </c>
      <c r="H1922" s="2" t="s">
        <v>9348</v>
      </c>
      <c r="I1922" s="2" t="s">
        <v>347</v>
      </c>
      <c r="J1922" s="2" t="s">
        <v>284</v>
      </c>
      <c r="K1922" s="2" t="s">
        <v>9349</v>
      </c>
      <c r="L1922" s="3">
        <v>13.55</v>
      </c>
      <c r="M1922" s="3">
        <v>14.23</v>
      </c>
      <c r="N1922" s="3">
        <v>27.99</v>
      </c>
      <c r="O1922" s="2" t="s">
        <v>240</v>
      </c>
      <c r="P1922" s="2" t="s">
        <v>233</v>
      </c>
      <c r="Q1922" s="2" t="s">
        <v>234</v>
      </c>
      <c r="R1922" s="2" t="s">
        <v>228</v>
      </c>
      <c r="S1922" s="2" t="s">
        <v>9350</v>
      </c>
      <c r="T1922" s="2" t="s">
        <v>415</v>
      </c>
      <c r="U1922" s="2" t="s">
        <v>308</v>
      </c>
      <c r="V1922" s="2" t="s">
        <v>1644</v>
      </c>
      <c r="W1922" s="2" t="s">
        <v>269</v>
      </c>
      <c r="X1922" s="2" t="s">
        <v>228</v>
      </c>
      <c r="Y1922" s="2" t="s">
        <v>1205</v>
      </c>
      <c r="Z1922" s="4">
        <v>90</v>
      </c>
      <c r="AA1922" s="4">
        <f>=ROUNDDOWN(30,0)</f>
      </c>
      <c r="AB1922" s="5">
        <v>3</v>
      </c>
      <c r="AC1922" s="2" t="s">
        <v>228</v>
      </c>
      <c r="AD1922" s="4"/>
      <c r="AE1922" s="4"/>
      <c r="AF1922" s="6">
        <v>65</v>
      </c>
      <c r="AG1922" s="6"/>
      <c r="AH1922" s="7">
        <v>1</v>
      </c>
      <c r="AI1922" s="4"/>
      <c r="AJ1922" s="4">
        <f>=ROUNDDOWN({0},0)</f>
      </c>
      <c r="AK1922" s="5"/>
      <c r="AL1922" s="2" t="s">
        <v>228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 t="s">
        <v>228</v>
      </c>
      <c r="AW1922" s="8" t="s">
        <v>228</v>
      </c>
      <c r="AX1922" s="4" t="s">
        <v>228</v>
      </c>
      <c r="AY1922" s="8" t="s">
        <v>228</v>
      </c>
      <c r="AZ1922" s="7" t="s">
        <v>228</v>
      </c>
      <c r="BA1922" s="7" t="s">
        <v>228</v>
      </c>
      <c r="BB1922" s="7"/>
      <c r="BC1922" s="4" t="s">
        <v>228</v>
      </c>
      <c r="BD1922" s="8" t="s">
        <v>228</v>
      </c>
      <c r="BE1922" s="4" t="s">
        <v>228</v>
      </c>
      <c r="BF1922" s="8" t="s">
        <v>228</v>
      </c>
      <c r="BG1922" s="7" t="s">
        <v>228</v>
      </c>
      <c r="BH1922" s="7" t="s">
        <v>228</v>
      </c>
      <c r="BI1922" s="7"/>
      <c r="BJ1922" s="4">
        <v>12</v>
      </c>
      <c r="BK1922" s="8">
        <v>179.08</v>
      </c>
      <c r="BL1922" s="2" t="s">
        <v>1444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9354</v>
      </c>
      <c r="BV1922" s="2" t="s">
        <v>228</v>
      </c>
      <c r="BW1922" s="2" t="s">
        <v>228</v>
      </c>
      <c r="BX1922" s="2" t="s">
        <v>273</v>
      </c>
      <c r="BY1922" s="2" t="s">
        <v>274</v>
      </c>
      <c r="BZ1922" s="2" t="s">
        <v>240</v>
      </c>
      <c r="CA1922" s="2" t="s">
        <v>9352</v>
      </c>
      <c r="CB1922" s="2" t="s">
        <v>228</v>
      </c>
      <c r="CC1922" s="2" t="s">
        <v>241</v>
      </c>
      <c r="CD1922" s="2" t="s">
        <v>228</v>
      </c>
      <c r="CE1922" s="4">
        <v>47</v>
      </c>
      <c r="CF1922" s="4"/>
      <c r="CG1922" s="4"/>
      <c r="CH1922" s="4">
        <v>43</v>
      </c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4"/>
      <c r="CX1922" s="4"/>
      <c r="CY1922" s="4"/>
      <c r="CZ1922" s="4"/>
      <c r="DA1922" s="4"/>
      <c r="DB1922" s="4"/>
      <c r="DC1922" s="4"/>
      <c r="DD1922" s="4"/>
      <c r="DE1922" s="4"/>
      <c r="DF1922" s="4"/>
      <c r="DG1922" s="4"/>
      <c r="DH1922" s="4"/>
      <c r="DI1922" s="4"/>
      <c r="DJ1922" s="4"/>
      <c r="DK1922" s="4"/>
      <c r="DL1922" s="4"/>
      <c r="DM1922" s="4"/>
      <c r="DN1922" s="4"/>
      <c r="DO1922" s="4"/>
      <c r="DP1922" s="4"/>
      <c r="DQ1922" s="4"/>
      <c r="DR1922" s="4"/>
      <c r="DS1922" s="4"/>
      <c r="DT1922" s="4"/>
      <c r="DU1922" s="4"/>
      <c r="DV1922" s="4"/>
      <c r="DW1922" s="4"/>
      <c r="DX1922" s="4"/>
      <c r="DY1922" s="4"/>
      <c r="DZ1922" s="4"/>
      <c r="EA1922" s="4"/>
      <c r="EB1922" s="4"/>
      <c r="EC1922" s="4"/>
      <c r="ED1922" s="4"/>
      <c r="EE1922" s="4"/>
      <c r="EF1922" s="4"/>
      <c r="EG1922" s="4"/>
      <c r="EH1922" s="4"/>
      <c r="EI1922" s="4"/>
      <c r="EJ1922" s="4"/>
      <c r="EK1922" s="4"/>
      <c r="EL1922" s="4"/>
      <c r="EM1922" s="4"/>
      <c r="EN1922" s="4"/>
      <c r="EO1922" s="4"/>
      <c r="EP1922" s="4"/>
      <c r="EQ1922" s="4"/>
      <c r="ER1922" s="4"/>
      <c r="ES1922" s="4"/>
      <c r="ET1922" s="4"/>
      <c r="EU1922" s="4"/>
      <c r="EV1922" s="4"/>
      <c r="EW1922" s="4"/>
      <c r="EX1922" s="4"/>
      <c r="EY1922" s="4"/>
      <c r="EZ1922" s="4"/>
      <c r="FA1922" s="4"/>
      <c r="FB1922" s="4"/>
      <c r="FC1922" s="4"/>
      <c r="FD1922" s="4"/>
      <c r="FE1922" s="4"/>
      <c r="FF1922" s="4"/>
      <c r="FG1922" s="4"/>
      <c r="FH1922" s="4"/>
      <c r="FI1922" s="4"/>
      <c r="FJ1922" s="4"/>
      <c r="FK1922" s="4"/>
      <c r="FL1922" s="4"/>
      <c r="FM1922" s="4"/>
      <c r="FN1922" s="4"/>
      <c r="FO1922" s="4"/>
      <c r="FP1922" s="4"/>
      <c r="FQ1922" s="4"/>
      <c r="FR1922" s="4"/>
      <c r="FS1922" s="4"/>
      <c r="FT1922" s="4"/>
      <c r="FU1922" s="4"/>
      <c r="FV1922" s="4"/>
      <c r="FW1922" s="4"/>
      <c r="FX1922" s="4"/>
      <c r="FY1922" s="4"/>
      <c r="FZ1922" s="4"/>
      <c r="GA1922" s="4"/>
      <c r="GB1922" s="4"/>
      <c r="GC1922" s="4"/>
      <c r="GD1922" s="4"/>
      <c r="GE1922" s="4"/>
      <c r="GF1922" s="4"/>
      <c r="GG1922" s="4"/>
      <c r="GH1922" s="4"/>
      <c r="GI1922" s="4"/>
      <c r="GJ1922" s="4"/>
      <c r="GK1922" s="4"/>
      <c r="GL1922" s="4"/>
      <c r="GM1922" s="4"/>
      <c r="GN1922" s="4"/>
      <c r="GO1922" s="4"/>
      <c r="GP1922" s="4"/>
      <c r="GQ1922" s="4"/>
      <c r="GR1922" s="4"/>
      <c r="GS1922" s="4"/>
      <c r="GT1922" s="4"/>
      <c r="GU1922" s="4"/>
      <c r="GV1922" s="4"/>
      <c r="GW1922" s="4"/>
      <c r="GX1922" s="4"/>
      <c r="GY1922" s="4"/>
      <c r="GZ1922" s="4"/>
      <c r="HA1922" s="4"/>
      <c r="HB1922" s="4"/>
      <c r="HC1922" s="4"/>
      <c r="HD1922" s="4"/>
      <c r="HE1922" s="4"/>
    </row>
    <row r="1923">
      <c r="A1923" s="2" t="s">
        <v>9355</v>
      </c>
      <c r="B1923" s="2" t="s">
        <v>299</v>
      </c>
      <c r="C1923" s="2" t="s">
        <v>849</v>
      </c>
      <c r="D1923" s="2" t="s">
        <v>301</v>
      </c>
      <c r="E1923" s="2" t="s">
        <v>302</v>
      </c>
      <c r="F1923" s="2" t="s">
        <v>9348</v>
      </c>
      <c r="G1923" s="2" t="s">
        <v>9348</v>
      </c>
      <c r="H1923" s="2" t="s">
        <v>9348</v>
      </c>
      <c r="I1923" s="2" t="s">
        <v>347</v>
      </c>
      <c r="J1923" s="2" t="s">
        <v>289</v>
      </c>
      <c r="K1923" s="2" t="s">
        <v>9349</v>
      </c>
      <c r="L1923" s="3">
        <v>14.75</v>
      </c>
      <c r="M1923" s="3">
        <v>15.49</v>
      </c>
      <c r="N1923" s="3">
        <v>29.99</v>
      </c>
      <c r="O1923" s="2" t="s">
        <v>240</v>
      </c>
      <c r="P1923" s="2" t="s">
        <v>233</v>
      </c>
      <c r="Q1923" s="2" t="s">
        <v>234</v>
      </c>
      <c r="R1923" s="2" t="s">
        <v>228</v>
      </c>
      <c r="S1923" s="2" t="s">
        <v>9350</v>
      </c>
      <c r="T1923" s="2" t="s">
        <v>415</v>
      </c>
      <c r="U1923" s="2" t="s">
        <v>308</v>
      </c>
      <c r="V1923" s="2" t="s">
        <v>1644</v>
      </c>
      <c r="W1923" s="2" t="s">
        <v>269</v>
      </c>
      <c r="X1923" s="2" t="s">
        <v>228</v>
      </c>
      <c r="Y1923" s="2" t="s">
        <v>1205</v>
      </c>
      <c r="Z1923" s="4">
        <v>208</v>
      </c>
      <c r="AA1923" s="4">
        <f>=ROUNDDOWN(34.6666666666667,0)</f>
      </c>
      <c r="AB1923" s="5">
        <v>6</v>
      </c>
      <c r="AC1923" s="2" t="s">
        <v>228</v>
      </c>
      <c r="AD1923" s="4"/>
      <c r="AE1923" s="4"/>
      <c r="AF1923" s="6">
        <v>65</v>
      </c>
      <c r="AG1923" s="6"/>
      <c r="AH1923" s="7">
        <v>1</v>
      </c>
      <c r="AI1923" s="4"/>
      <c r="AJ1923" s="4">
        <f>=ROUNDDOWN({0},0)</f>
      </c>
      <c r="AK1923" s="5"/>
      <c r="AL1923" s="2" t="s">
        <v>228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 t="s">
        <v>228</v>
      </c>
      <c r="AW1923" s="8" t="s">
        <v>228</v>
      </c>
      <c r="AX1923" s="4" t="s">
        <v>228</v>
      </c>
      <c r="AY1923" s="8" t="s">
        <v>228</v>
      </c>
      <c r="AZ1923" s="7" t="s">
        <v>228</v>
      </c>
      <c r="BA1923" s="7" t="s">
        <v>228</v>
      </c>
      <c r="BB1923" s="7"/>
      <c r="BC1923" s="4" t="s">
        <v>228</v>
      </c>
      <c r="BD1923" s="8" t="s">
        <v>228</v>
      </c>
      <c r="BE1923" s="4" t="s">
        <v>228</v>
      </c>
      <c r="BF1923" s="8" t="s">
        <v>228</v>
      </c>
      <c r="BG1923" s="7" t="s">
        <v>228</v>
      </c>
      <c r="BH1923" s="7" t="s">
        <v>228</v>
      </c>
      <c r="BI1923" s="7"/>
      <c r="BJ1923" s="4">
        <v>5</v>
      </c>
      <c r="BK1923" s="8">
        <v>82.24</v>
      </c>
      <c r="BL1923" s="2" t="s">
        <v>366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9356</v>
      </c>
      <c r="BV1923" s="2" t="s">
        <v>228</v>
      </c>
      <c r="BW1923" s="2" t="s">
        <v>228</v>
      </c>
      <c r="BX1923" s="2" t="s">
        <v>273</v>
      </c>
      <c r="BY1923" s="2" t="s">
        <v>274</v>
      </c>
      <c r="BZ1923" s="2" t="s">
        <v>240</v>
      </c>
      <c r="CA1923" s="2" t="s">
        <v>9352</v>
      </c>
      <c r="CB1923" s="2" t="s">
        <v>1026</v>
      </c>
      <c r="CC1923" s="2" t="s">
        <v>241</v>
      </c>
      <c r="CD1923" s="2" t="s">
        <v>228</v>
      </c>
      <c r="CE1923" s="4">
        <v>110</v>
      </c>
      <c r="CF1923" s="4"/>
      <c r="CG1923" s="4"/>
      <c r="CH1923" s="4">
        <v>98</v>
      </c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/>
      <c r="DI1923" s="4"/>
      <c r="DJ1923" s="4"/>
      <c r="DK1923" s="4"/>
      <c r="DL1923" s="4"/>
      <c r="DM1923" s="4"/>
      <c r="DN1923" s="4"/>
      <c r="DO1923" s="4"/>
      <c r="DP1923" s="4"/>
      <c r="DQ1923" s="4"/>
      <c r="DR1923" s="4"/>
      <c r="DS1923" s="4"/>
      <c r="DT1923" s="4"/>
      <c r="DU1923" s="4"/>
      <c r="DV1923" s="4"/>
      <c r="DW1923" s="4"/>
      <c r="DX1923" s="4"/>
      <c r="DY1923" s="4"/>
      <c r="DZ1923" s="4"/>
      <c r="EA1923" s="4"/>
      <c r="EB1923" s="4"/>
      <c r="EC1923" s="4"/>
      <c r="ED1923" s="4"/>
      <c r="EE1923" s="4"/>
      <c r="EF1923" s="4"/>
      <c r="EG1923" s="4"/>
      <c r="EH1923" s="4"/>
      <c r="EI1923" s="4"/>
      <c r="EJ1923" s="4"/>
      <c r="EK1923" s="4"/>
      <c r="EL1923" s="4"/>
      <c r="EM1923" s="4"/>
      <c r="EN1923" s="4"/>
      <c r="EO1923" s="4"/>
      <c r="EP1923" s="4"/>
      <c r="EQ1923" s="4"/>
      <c r="ER1923" s="4"/>
      <c r="ES1923" s="4"/>
      <c r="ET1923" s="4"/>
      <c r="EU1923" s="4"/>
      <c r="EV1923" s="4"/>
      <c r="EW1923" s="4"/>
      <c r="EX1923" s="4"/>
      <c r="EY1923" s="4"/>
      <c r="EZ1923" s="4"/>
      <c r="FA1923" s="4"/>
      <c r="FB1923" s="4"/>
      <c r="FC1923" s="4"/>
      <c r="FD1923" s="4"/>
      <c r="FE1923" s="4"/>
      <c r="FF1923" s="4"/>
      <c r="FG1923" s="4"/>
      <c r="FH1923" s="4"/>
      <c r="FI1923" s="4"/>
      <c r="FJ1923" s="4"/>
      <c r="FK1923" s="4"/>
      <c r="FL1923" s="4"/>
      <c r="FM1923" s="4"/>
      <c r="FN1923" s="4"/>
      <c r="FO1923" s="4"/>
      <c r="FP1923" s="4"/>
      <c r="FQ1923" s="4"/>
      <c r="FR1923" s="4"/>
      <c r="FS1923" s="4"/>
      <c r="FT1923" s="4"/>
      <c r="FU1923" s="4"/>
      <c r="FV1923" s="4"/>
      <c r="FW1923" s="4"/>
      <c r="FX1923" s="4"/>
      <c r="FY1923" s="4"/>
      <c r="FZ1923" s="4"/>
      <c r="GA1923" s="4"/>
      <c r="GB1923" s="4"/>
      <c r="GC1923" s="4"/>
      <c r="GD1923" s="4"/>
      <c r="GE1923" s="4"/>
      <c r="GF1923" s="4"/>
      <c r="GG1923" s="4"/>
      <c r="GH1923" s="4"/>
      <c r="GI1923" s="4"/>
      <c r="GJ1923" s="4"/>
      <c r="GK1923" s="4"/>
      <c r="GL1923" s="4"/>
      <c r="GM1923" s="4"/>
      <c r="GN1923" s="4"/>
      <c r="GO1923" s="4"/>
      <c r="GP1923" s="4"/>
      <c r="GQ1923" s="4"/>
      <c r="GR1923" s="4"/>
      <c r="GS1923" s="4"/>
      <c r="GT1923" s="4"/>
      <c r="GU1923" s="4"/>
      <c r="GV1923" s="4"/>
      <c r="GW1923" s="4"/>
      <c r="GX1923" s="4"/>
      <c r="GY1923" s="4"/>
      <c r="GZ1923" s="4"/>
      <c r="HA1923" s="4"/>
      <c r="HB1923" s="4"/>
      <c r="HC1923" s="4"/>
      <c r="HD1923" s="4"/>
      <c r="HE1923" s="4"/>
    </row>
    <row r="1924">
      <c r="A1924" s="2" t="s">
        <v>9357</v>
      </c>
      <c r="B1924" s="2" t="s">
        <v>299</v>
      </c>
      <c r="C1924" s="2" t="s">
        <v>849</v>
      </c>
      <c r="D1924" s="2" t="s">
        <v>301</v>
      </c>
      <c r="E1924" s="2" t="s">
        <v>302</v>
      </c>
      <c r="F1924" s="2" t="s">
        <v>9348</v>
      </c>
      <c r="G1924" s="2" t="s">
        <v>9348</v>
      </c>
      <c r="H1924" s="2" t="s">
        <v>9348</v>
      </c>
      <c r="I1924" s="2" t="s">
        <v>347</v>
      </c>
      <c r="J1924" s="2" t="s">
        <v>294</v>
      </c>
      <c r="K1924" s="2" t="s">
        <v>9349</v>
      </c>
      <c r="L1924" s="3">
        <v>16.35</v>
      </c>
      <c r="M1924" s="3">
        <v>17.17</v>
      </c>
      <c r="N1924" s="3">
        <v>34.99</v>
      </c>
      <c r="O1924" s="2" t="s">
        <v>240</v>
      </c>
      <c r="P1924" s="2" t="s">
        <v>233</v>
      </c>
      <c r="Q1924" s="2" t="s">
        <v>234</v>
      </c>
      <c r="R1924" s="2" t="s">
        <v>228</v>
      </c>
      <c r="S1924" s="2" t="s">
        <v>9350</v>
      </c>
      <c r="T1924" s="2" t="s">
        <v>415</v>
      </c>
      <c r="U1924" s="2" t="s">
        <v>308</v>
      </c>
      <c r="V1924" s="2" t="s">
        <v>1644</v>
      </c>
      <c r="W1924" s="2" t="s">
        <v>269</v>
      </c>
      <c r="X1924" s="2" t="s">
        <v>228</v>
      </c>
      <c r="Y1924" s="2" t="s">
        <v>1205</v>
      </c>
      <c r="Z1924" s="4">
        <v>79</v>
      </c>
      <c r="AA1924" s="4">
        <f>=ROUNDDOWN(26.3333333333333,0)</f>
      </c>
      <c r="AB1924" s="5">
        <v>3</v>
      </c>
      <c r="AC1924" s="2" t="s">
        <v>228</v>
      </c>
      <c r="AD1924" s="4"/>
      <c r="AE1924" s="4"/>
      <c r="AF1924" s="6">
        <v>65</v>
      </c>
      <c r="AG1924" s="6"/>
      <c r="AH1924" s="7">
        <v>1</v>
      </c>
      <c r="AI1924" s="4"/>
      <c r="AJ1924" s="4">
        <f>=ROUNDDOWN({0},0)</f>
      </c>
      <c r="AK1924" s="5"/>
      <c r="AL1924" s="2" t="s">
        <v>228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 t="s">
        <v>228</v>
      </c>
      <c r="AW1924" s="8" t="s">
        <v>228</v>
      </c>
      <c r="AX1924" s="4" t="s">
        <v>228</v>
      </c>
      <c r="AY1924" s="8" t="s">
        <v>228</v>
      </c>
      <c r="AZ1924" s="7" t="s">
        <v>228</v>
      </c>
      <c r="BA1924" s="7" t="s">
        <v>228</v>
      </c>
      <c r="BB1924" s="7"/>
      <c r="BC1924" s="4" t="s">
        <v>228</v>
      </c>
      <c r="BD1924" s="8" t="s">
        <v>228</v>
      </c>
      <c r="BE1924" s="4" t="s">
        <v>228</v>
      </c>
      <c r="BF1924" s="8" t="s">
        <v>228</v>
      </c>
      <c r="BG1924" s="7" t="s">
        <v>228</v>
      </c>
      <c r="BH1924" s="7" t="s">
        <v>228</v>
      </c>
      <c r="BI1924" s="7"/>
      <c r="BJ1924" s="4">
        <v>1</v>
      </c>
      <c r="BK1924" s="8">
        <v>18.54</v>
      </c>
      <c r="BL1924" s="2" t="s">
        <v>622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9358</v>
      </c>
      <c r="BV1924" s="2" t="s">
        <v>228</v>
      </c>
      <c r="BW1924" s="2" t="s">
        <v>228</v>
      </c>
      <c r="BX1924" s="2" t="s">
        <v>273</v>
      </c>
      <c r="BY1924" s="2" t="s">
        <v>274</v>
      </c>
      <c r="BZ1924" s="2" t="s">
        <v>240</v>
      </c>
      <c r="CA1924" s="2" t="s">
        <v>9352</v>
      </c>
      <c r="CB1924" s="2" t="s">
        <v>9359</v>
      </c>
      <c r="CC1924" s="2" t="s">
        <v>241</v>
      </c>
      <c r="CD1924" s="2" t="s">
        <v>228</v>
      </c>
      <c r="CE1924" s="4">
        <v>47</v>
      </c>
      <c r="CF1924" s="4"/>
      <c r="CG1924" s="4"/>
      <c r="CH1924" s="4">
        <v>32</v>
      </c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/>
      <c r="DF1924" s="4"/>
      <c r="DG1924" s="4"/>
      <c r="DH1924" s="4"/>
      <c r="DI1924" s="4"/>
      <c r="DJ1924" s="4"/>
      <c r="DK1924" s="4"/>
      <c r="DL1924" s="4"/>
      <c r="DM1924" s="4"/>
      <c r="DN1924" s="4"/>
      <c r="DO1924" s="4"/>
      <c r="DP1924" s="4"/>
      <c r="DQ1924" s="4"/>
      <c r="DR1924" s="4"/>
      <c r="DS1924" s="4"/>
      <c r="DT1924" s="4"/>
      <c r="DU1924" s="4"/>
      <c r="DV1924" s="4"/>
      <c r="DW1924" s="4"/>
      <c r="DX1924" s="4"/>
      <c r="DY1924" s="4"/>
      <c r="DZ1924" s="4"/>
      <c r="EA1924" s="4"/>
      <c r="EB1924" s="4"/>
      <c r="EC1924" s="4"/>
      <c r="ED1924" s="4"/>
      <c r="EE1924" s="4"/>
      <c r="EF1924" s="4"/>
      <c r="EG1924" s="4"/>
      <c r="EH1924" s="4"/>
      <c r="EI1924" s="4"/>
      <c r="EJ1924" s="4"/>
      <c r="EK1924" s="4"/>
      <c r="EL1924" s="4"/>
      <c r="EM1924" s="4"/>
      <c r="EN1924" s="4"/>
      <c r="EO1924" s="4"/>
      <c r="EP1924" s="4"/>
      <c r="EQ1924" s="4"/>
      <c r="ER1924" s="4"/>
      <c r="ES1924" s="4"/>
      <c r="ET1924" s="4"/>
      <c r="EU1924" s="4"/>
      <c r="EV1924" s="4"/>
      <c r="EW1924" s="4"/>
      <c r="EX1924" s="4"/>
      <c r="EY1924" s="4"/>
      <c r="EZ1924" s="4"/>
      <c r="FA1924" s="4"/>
      <c r="FB1924" s="4"/>
      <c r="FC1924" s="4"/>
      <c r="FD1924" s="4"/>
      <c r="FE1924" s="4"/>
      <c r="FF1924" s="4"/>
      <c r="FG1924" s="4"/>
      <c r="FH1924" s="4"/>
      <c r="FI1924" s="4"/>
      <c r="FJ1924" s="4"/>
      <c r="FK1924" s="4"/>
      <c r="FL1924" s="4"/>
      <c r="FM1924" s="4"/>
      <c r="FN1924" s="4"/>
      <c r="FO1924" s="4"/>
      <c r="FP1924" s="4"/>
      <c r="FQ1924" s="4"/>
      <c r="FR1924" s="4"/>
      <c r="FS1924" s="4"/>
      <c r="FT1924" s="4"/>
      <c r="FU1924" s="4"/>
      <c r="FV1924" s="4"/>
      <c r="FW1924" s="4"/>
      <c r="FX1924" s="4"/>
      <c r="FY1924" s="4"/>
      <c r="FZ1924" s="4"/>
      <c r="GA1924" s="4"/>
      <c r="GB1924" s="4"/>
      <c r="GC1924" s="4"/>
      <c r="GD1924" s="4"/>
      <c r="GE1924" s="4"/>
      <c r="GF1924" s="4"/>
      <c r="GG1924" s="4"/>
      <c r="GH1924" s="4"/>
      <c r="GI1924" s="4"/>
      <c r="GJ1924" s="4"/>
      <c r="GK1924" s="4"/>
      <c r="GL1924" s="4"/>
      <c r="GM1924" s="4"/>
      <c r="GN1924" s="4"/>
      <c r="GO1924" s="4"/>
      <c r="GP1924" s="4"/>
      <c r="GQ1924" s="4"/>
      <c r="GR1924" s="4"/>
      <c r="GS1924" s="4"/>
      <c r="GT1924" s="4"/>
      <c r="GU1924" s="4"/>
      <c r="GV1924" s="4"/>
      <c r="GW1924" s="4"/>
      <c r="GX1924" s="4"/>
      <c r="GY1924" s="4"/>
      <c r="GZ1924" s="4"/>
      <c r="HA1924" s="4"/>
      <c r="HB1924" s="4"/>
      <c r="HC1924" s="4"/>
      <c r="HD1924" s="4"/>
      <c r="HE1924" s="4"/>
    </row>
    <row r="1925">
      <c r="A1925" s="2" t="s">
        <v>9360</v>
      </c>
      <c r="B1925" s="2" t="s">
        <v>299</v>
      </c>
      <c r="C1925" s="2" t="s">
        <v>849</v>
      </c>
      <c r="D1925" s="2" t="s">
        <v>301</v>
      </c>
      <c r="E1925" s="2" t="s">
        <v>302</v>
      </c>
      <c r="F1925" s="2" t="s">
        <v>9348</v>
      </c>
      <c r="G1925" s="2" t="s">
        <v>9348</v>
      </c>
      <c r="H1925" s="2" t="s">
        <v>9348</v>
      </c>
      <c r="I1925" s="2" t="s">
        <v>347</v>
      </c>
      <c r="J1925" s="2" t="s">
        <v>264</v>
      </c>
      <c r="K1925" s="2" t="s">
        <v>9361</v>
      </c>
      <c r="L1925" s="3">
        <v>11.95</v>
      </c>
      <c r="M1925" s="3">
        <v>12.55</v>
      </c>
      <c r="N1925" s="3">
        <v>24.99</v>
      </c>
      <c r="O1925" s="2" t="s">
        <v>240</v>
      </c>
      <c r="P1925" s="2" t="s">
        <v>266</v>
      </c>
      <c r="Q1925" s="2" t="s">
        <v>234</v>
      </c>
      <c r="R1925" s="2" t="s">
        <v>228</v>
      </c>
      <c r="S1925" s="2" t="s">
        <v>9362</v>
      </c>
      <c r="T1925" s="2" t="s">
        <v>415</v>
      </c>
      <c r="U1925" s="2" t="s">
        <v>500</v>
      </c>
      <c r="V1925" s="2" t="s">
        <v>1156</v>
      </c>
      <c r="W1925" s="2" t="s">
        <v>269</v>
      </c>
      <c r="X1925" s="2" t="s">
        <v>228</v>
      </c>
      <c r="Y1925" s="2" t="s">
        <v>3367</v>
      </c>
      <c r="Z1925" s="4">
        <v>158</v>
      </c>
      <c r="AA1925" s="4">
        <f>=ROUNDDOWN(79,0)</f>
      </c>
      <c r="AB1925" s="5">
        <v>2</v>
      </c>
      <c r="AC1925" s="2" t="s">
        <v>228</v>
      </c>
      <c r="AD1925" s="4"/>
      <c r="AE1925" s="4"/>
      <c r="AF1925" s="6">
        <v>65</v>
      </c>
      <c r="AG1925" s="6"/>
      <c r="AH1925" s="7">
        <v>1</v>
      </c>
      <c r="AI1925" s="4"/>
      <c r="AJ1925" s="4">
        <f>=ROUNDDOWN({0},0)</f>
      </c>
      <c r="AK1925" s="5"/>
      <c r="AL1925" s="2" t="s">
        <v>228</v>
      </c>
      <c r="AM1925" s="4"/>
      <c r="AN1925" s="4"/>
      <c r="AO1925" s="7"/>
      <c r="AP1925" s="4"/>
      <c r="AQ1925" s="8"/>
      <c r="AR1925" s="4"/>
      <c r="AS1925" s="8"/>
      <c r="AT1925" s="7"/>
      <c r="AU1925" s="7"/>
      <c r="AV1925" s="4" t="s">
        <v>228</v>
      </c>
      <c r="AW1925" s="8" t="s">
        <v>228</v>
      </c>
      <c r="AX1925" s="4" t="s">
        <v>228</v>
      </c>
      <c r="AY1925" s="8" t="s">
        <v>228</v>
      </c>
      <c r="AZ1925" s="7" t="s">
        <v>228</v>
      </c>
      <c r="BA1925" s="7" t="s">
        <v>228</v>
      </c>
      <c r="BB1925" s="7"/>
      <c r="BC1925" s="4" t="s">
        <v>228</v>
      </c>
      <c r="BD1925" s="8" t="s">
        <v>228</v>
      </c>
      <c r="BE1925" s="4" t="s">
        <v>228</v>
      </c>
      <c r="BF1925" s="8" t="s">
        <v>228</v>
      </c>
      <c r="BG1925" s="7" t="s">
        <v>228</v>
      </c>
      <c r="BH1925" s="7" t="s">
        <v>228</v>
      </c>
      <c r="BI1925" s="7"/>
      <c r="BJ1925" s="4">
        <v>17</v>
      </c>
      <c r="BK1925" s="8">
        <v>221.07</v>
      </c>
      <c r="BL1925" s="2" t="s">
        <v>4065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9363</v>
      </c>
      <c r="BV1925" s="2" t="s">
        <v>228</v>
      </c>
      <c r="BW1925" s="2" t="s">
        <v>228</v>
      </c>
      <c r="BX1925" s="2" t="s">
        <v>273</v>
      </c>
      <c r="BY1925" s="2" t="s">
        <v>274</v>
      </c>
      <c r="BZ1925" s="2" t="s">
        <v>240</v>
      </c>
      <c r="CA1925" s="2" t="s">
        <v>378</v>
      </c>
      <c r="CB1925" s="2" t="s">
        <v>2490</v>
      </c>
      <c r="CC1925" s="2" t="s">
        <v>241</v>
      </c>
      <c r="CD1925" s="2" t="s">
        <v>228</v>
      </c>
      <c r="CE1925" s="4">
        <v>158</v>
      </c>
      <c r="CF1925" s="4"/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/>
      <c r="DF1925" s="4"/>
      <c r="DG1925" s="4"/>
      <c r="DH1925" s="4"/>
      <c r="DI1925" s="4"/>
      <c r="DJ1925" s="4"/>
      <c r="DK1925" s="4"/>
      <c r="DL1925" s="4"/>
      <c r="DM1925" s="4"/>
      <c r="DN1925" s="4"/>
      <c r="DO1925" s="4"/>
      <c r="DP1925" s="4"/>
      <c r="DQ1925" s="4"/>
      <c r="DR1925" s="4"/>
      <c r="DS1925" s="4"/>
      <c r="DT1925" s="4"/>
      <c r="DU1925" s="4"/>
      <c r="DV1925" s="4"/>
      <c r="DW1925" s="4"/>
      <c r="DX1925" s="4"/>
      <c r="DY1925" s="4"/>
      <c r="DZ1925" s="4"/>
      <c r="EA1925" s="4"/>
      <c r="EB1925" s="4"/>
      <c r="EC1925" s="4"/>
      <c r="ED1925" s="4"/>
      <c r="EE1925" s="4"/>
      <c r="EF1925" s="4"/>
      <c r="EG1925" s="4"/>
      <c r="EH1925" s="4"/>
      <c r="EI1925" s="4"/>
      <c r="EJ1925" s="4"/>
      <c r="EK1925" s="4"/>
      <c r="EL1925" s="4"/>
      <c r="EM1925" s="4"/>
      <c r="EN1925" s="4"/>
      <c r="EO1925" s="4"/>
      <c r="EP1925" s="4"/>
      <c r="EQ1925" s="4"/>
      <c r="ER1925" s="4"/>
      <c r="ES1925" s="4"/>
      <c r="ET1925" s="4"/>
      <c r="EU1925" s="4"/>
      <c r="EV1925" s="4"/>
      <c r="EW1925" s="4"/>
      <c r="EX1925" s="4"/>
      <c r="EY1925" s="4"/>
      <c r="EZ1925" s="4"/>
      <c r="FA1925" s="4"/>
      <c r="FB1925" s="4"/>
      <c r="FC1925" s="4"/>
      <c r="FD1925" s="4"/>
      <c r="FE1925" s="4"/>
      <c r="FF1925" s="4"/>
      <c r="FG1925" s="4"/>
      <c r="FH1925" s="4"/>
      <c r="FI1925" s="4"/>
      <c r="FJ1925" s="4"/>
      <c r="FK1925" s="4"/>
      <c r="FL1925" s="4"/>
      <c r="FM1925" s="4"/>
      <c r="FN1925" s="4"/>
      <c r="FO1925" s="4"/>
      <c r="FP1925" s="4"/>
      <c r="FQ1925" s="4"/>
      <c r="FR1925" s="4"/>
      <c r="FS1925" s="4"/>
      <c r="FT1925" s="4"/>
      <c r="FU1925" s="4"/>
      <c r="FV1925" s="4"/>
      <c r="FW1925" s="4"/>
      <c r="FX1925" s="4"/>
      <c r="FY1925" s="4"/>
      <c r="FZ1925" s="4"/>
      <c r="GA1925" s="4"/>
      <c r="GB1925" s="4"/>
      <c r="GC1925" s="4"/>
      <c r="GD1925" s="4"/>
      <c r="GE1925" s="4"/>
      <c r="GF1925" s="4"/>
      <c r="GG1925" s="4"/>
      <c r="GH1925" s="4"/>
      <c r="GI1925" s="4"/>
      <c r="GJ1925" s="4"/>
      <c r="GK1925" s="4"/>
      <c r="GL1925" s="4"/>
      <c r="GM1925" s="4"/>
      <c r="GN1925" s="4"/>
      <c r="GO1925" s="4"/>
      <c r="GP1925" s="4"/>
      <c r="GQ1925" s="4"/>
      <c r="GR1925" s="4"/>
      <c r="GS1925" s="4"/>
      <c r="GT1925" s="4"/>
      <c r="GU1925" s="4"/>
      <c r="GV1925" s="4"/>
      <c r="GW1925" s="4"/>
      <c r="GX1925" s="4"/>
      <c r="GY1925" s="4"/>
      <c r="GZ1925" s="4"/>
      <c r="HA1925" s="4"/>
      <c r="HB1925" s="4"/>
      <c r="HC1925" s="4"/>
      <c r="HD1925" s="4"/>
      <c r="HE1925" s="4"/>
    </row>
    <row r="1926">
      <c r="A1926" s="2" t="s">
        <v>9364</v>
      </c>
      <c r="B1926" s="2" t="s">
        <v>299</v>
      </c>
      <c r="C1926" s="2" t="s">
        <v>849</v>
      </c>
      <c r="D1926" s="2" t="s">
        <v>301</v>
      </c>
      <c r="E1926" s="2" t="s">
        <v>302</v>
      </c>
      <c r="F1926" s="2" t="s">
        <v>9348</v>
      </c>
      <c r="G1926" s="2" t="s">
        <v>9348</v>
      </c>
      <c r="H1926" s="2" t="s">
        <v>9348</v>
      </c>
      <c r="I1926" s="2" t="s">
        <v>347</v>
      </c>
      <c r="J1926" s="2" t="s">
        <v>289</v>
      </c>
      <c r="K1926" s="2" t="s">
        <v>9361</v>
      </c>
      <c r="L1926" s="3">
        <v>14.75</v>
      </c>
      <c r="M1926" s="3">
        <v>15.49</v>
      </c>
      <c r="N1926" s="3">
        <v>29.99</v>
      </c>
      <c r="O1926" s="2" t="s">
        <v>240</v>
      </c>
      <c r="P1926" s="2" t="s">
        <v>266</v>
      </c>
      <c r="Q1926" s="2" t="s">
        <v>234</v>
      </c>
      <c r="R1926" s="2" t="s">
        <v>228</v>
      </c>
      <c r="S1926" s="2" t="s">
        <v>9362</v>
      </c>
      <c r="T1926" s="2" t="s">
        <v>415</v>
      </c>
      <c r="U1926" s="2" t="s">
        <v>308</v>
      </c>
      <c r="V1926" s="2" t="s">
        <v>1156</v>
      </c>
      <c r="W1926" s="2" t="s">
        <v>269</v>
      </c>
      <c r="X1926" s="2" t="s">
        <v>228</v>
      </c>
      <c r="Y1926" s="2" t="s">
        <v>3367</v>
      </c>
      <c r="Z1926" s="4">
        <v>179</v>
      </c>
      <c r="AA1926" s="4">
        <f>=ROUNDDOWN(10.5917159763314,0)</f>
      </c>
      <c r="AB1926" s="5">
        <v>16.9</v>
      </c>
      <c r="AC1926" s="2" t="s">
        <v>187</v>
      </c>
      <c r="AD1926" s="4">
        <v>400</v>
      </c>
      <c r="AE1926" s="4">
        <v>400</v>
      </c>
      <c r="AF1926" s="6">
        <v>65</v>
      </c>
      <c r="AG1926" s="6"/>
      <c r="AH1926" s="7">
        <v>1</v>
      </c>
      <c r="AI1926" s="4"/>
      <c r="AJ1926" s="4">
        <f>=ROUNDDOWN({0},0)</f>
      </c>
      <c r="AK1926" s="5"/>
      <c r="AL1926" s="2" t="s">
        <v>228</v>
      </c>
      <c r="AM1926" s="4"/>
      <c r="AN1926" s="4"/>
      <c r="AO1926" s="7"/>
      <c r="AP1926" s="4"/>
      <c r="AQ1926" s="8"/>
      <c r="AR1926" s="4"/>
      <c r="AS1926" s="8"/>
      <c r="AT1926" s="7"/>
      <c r="AU1926" s="7"/>
      <c r="AV1926" s="4" t="s">
        <v>228</v>
      </c>
      <c r="AW1926" s="8" t="s">
        <v>228</v>
      </c>
      <c r="AX1926" s="4" t="s">
        <v>228</v>
      </c>
      <c r="AY1926" s="8" t="s">
        <v>228</v>
      </c>
      <c r="AZ1926" s="7" t="s">
        <v>228</v>
      </c>
      <c r="BA1926" s="7" t="s">
        <v>228</v>
      </c>
      <c r="BB1926" s="7"/>
      <c r="BC1926" s="4" t="s">
        <v>228</v>
      </c>
      <c r="BD1926" s="8" t="s">
        <v>228</v>
      </c>
      <c r="BE1926" s="4" t="s">
        <v>228</v>
      </c>
      <c r="BF1926" s="8" t="s">
        <v>228</v>
      </c>
      <c r="BG1926" s="7" t="s">
        <v>228</v>
      </c>
      <c r="BH1926" s="7" t="s">
        <v>228</v>
      </c>
      <c r="BI1926" s="7"/>
      <c r="BJ1926" s="4">
        <v>114</v>
      </c>
      <c r="BK1926" s="8">
        <v>1901.18</v>
      </c>
      <c r="BL1926" s="2" t="s">
        <v>9365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9366</v>
      </c>
      <c r="BV1926" s="2" t="s">
        <v>228</v>
      </c>
      <c r="BW1926" s="2" t="s">
        <v>228</v>
      </c>
      <c r="BX1926" s="2" t="s">
        <v>273</v>
      </c>
      <c r="BY1926" s="2" t="s">
        <v>274</v>
      </c>
      <c r="BZ1926" s="2" t="s">
        <v>240</v>
      </c>
      <c r="CA1926" s="2" t="s">
        <v>378</v>
      </c>
      <c r="CB1926" s="2" t="s">
        <v>5061</v>
      </c>
      <c r="CC1926" s="2" t="s">
        <v>241</v>
      </c>
      <c r="CD1926" s="2" t="s">
        <v>228</v>
      </c>
      <c r="CE1926" s="4">
        <v>179</v>
      </c>
      <c r="CF1926" s="4"/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/>
      <c r="DF1926" s="4"/>
      <c r="DG1926" s="4"/>
      <c r="DH1926" s="4"/>
      <c r="DI1926" s="4"/>
      <c r="DJ1926" s="4"/>
      <c r="DK1926" s="4"/>
      <c r="DL1926" s="4"/>
      <c r="DM1926" s="4"/>
      <c r="DN1926" s="4"/>
      <c r="DO1926" s="4"/>
      <c r="DP1926" s="4"/>
      <c r="DQ1926" s="4"/>
      <c r="DR1926" s="4"/>
      <c r="DS1926" s="4"/>
      <c r="DT1926" s="4"/>
      <c r="DU1926" s="4"/>
      <c r="DV1926" s="4"/>
      <c r="DW1926" s="4"/>
      <c r="DX1926" s="4"/>
      <c r="DY1926" s="4"/>
      <c r="DZ1926" s="4"/>
      <c r="EA1926" s="4"/>
      <c r="EB1926" s="4"/>
      <c r="EC1926" s="4"/>
      <c r="ED1926" s="4"/>
      <c r="EE1926" s="4"/>
      <c r="EF1926" s="4"/>
      <c r="EG1926" s="4"/>
      <c r="EH1926" s="4"/>
      <c r="EI1926" s="4"/>
      <c r="EJ1926" s="4"/>
      <c r="EK1926" s="4"/>
      <c r="EL1926" s="4"/>
      <c r="EM1926" s="4"/>
      <c r="EN1926" s="4"/>
      <c r="EO1926" s="4"/>
      <c r="EP1926" s="4"/>
      <c r="EQ1926" s="4"/>
      <c r="ER1926" s="4"/>
      <c r="ES1926" s="4"/>
      <c r="ET1926" s="4"/>
      <c r="EU1926" s="4"/>
      <c r="EV1926" s="4"/>
      <c r="EW1926" s="4"/>
      <c r="EX1926" s="4"/>
      <c r="EY1926" s="4"/>
      <c r="EZ1926" s="4"/>
      <c r="FA1926" s="4"/>
      <c r="FB1926" s="4"/>
      <c r="FC1926" s="4"/>
      <c r="FD1926" s="4"/>
      <c r="FE1926" s="4"/>
      <c r="FF1926" s="4"/>
      <c r="FG1926" s="4"/>
      <c r="FH1926" s="4"/>
      <c r="FI1926" s="4"/>
      <c r="FJ1926" s="4"/>
      <c r="FK1926" s="4"/>
      <c r="FL1926" s="4"/>
      <c r="FM1926" s="4"/>
      <c r="FN1926" s="4"/>
      <c r="FO1926" s="4"/>
      <c r="FP1926" s="4"/>
      <c r="FQ1926" s="4"/>
      <c r="FR1926" s="4"/>
      <c r="FS1926" s="4"/>
      <c r="FT1926" s="4"/>
      <c r="FU1926" s="4"/>
      <c r="FV1926" s="4"/>
      <c r="FW1926" s="4">
        <v>400</v>
      </c>
      <c r="FX1926" s="4"/>
      <c r="FY1926" s="4"/>
      <c r="FZ1926" s="4"/>
      <c r="GA1926" s="4"/>
      <c r="GB1926" s="4"/>
      <c r="GC1926" s="4"/>
      <c r="GD1926" s="4"/>
      <c r="GE1926" s="4"/>
      <c r="GF1926" s="4"/>
      <c r="GG1926" s="4"/>
      <c r="GH1926" s="4"/>
      <c r="GI1926" s="4"/>
      <c r="GJ1926" s="4"/>
      <c r="GK1926" s="4"/>
      <c r="GL1926" s="4"/>
      <c r="GM1926" s="4"/>
      <c r="GN1926" s="4"/>
      <c r="GO1926" s="4"/>
      <c r="GP1926" s="4"/>
      <c r="GQ1926" s="4"/>
      <c r="GR1926" s="4"/>
      <c r="GS1926" s="4"/>
      <c r="GT1926" s="4"/>
      <c r="GU1926" s="4"/>
      <c r="GV1926" s="4"/>
      <c r="GW1926" s="4"/>
      <c r="GX1926" s="4"/>
      <c r="GY1926" s="4"/>
      <c r="GZ1926" s="4"/>
      <c r="HA1926" s="4"/>
      <c r="HB1926" s="4"/>
      <c r="HC1926" s="4"/>
      <c r="HD1926" s="4"/>
      <c r="HE1926" s="4"/>
    </row>
    <row r="1927">
      <c r="A1927" s="2" t="s">
        <v>9367</v>
      </c>
      <c r="B1927" s="2" t="s">
        <v>299</v>
      </c>
      <c r="C1927" s="2" t="s">
        <v>849</v>
      </c>
      <c r="D1927" s="2" t="s">
        <v>301</v>
      </c>
      <c r="E1927" s="2" t="s">
        <v>302</v>
      </c>
      <c r="F1927" s="2" t="s">
        <v>9348</v>
      </c>
      <c r="G1927" s="2" t="s">
        <v>9348</v>
      </c>
      <c r="H1927" s="2" t="s">
        <v>9348</v>
      </c>
      <c r="I1927" s="2" t="s">
        <v>347</v>
      </c>
      <c r="J1927" s="2" t="s">
        <v>264</v>
      </c>
      <c r="K1927" s="2" t="s">
        <v>9368</v>
      </c>
      <c r="L1927" s="3">
        <v>11.95</v>
      </c>
      <c r="M1927" s="3">
        <v>12.55</v>
      </c>
      <c r="N1927" s="3">
        <v>24.99</v>
      </c>
      <c r="O1927" s="2" t="s">
        <v>240</v>
      </c>
      <c r="P1927" s="2" t="s">
        <v>266</v>
      </c>
      <c r="Q1927" s="2" t="s">
        <v>234</v>
      </c>
      <c r="R1927" s="2" t="s">
        <v>228</v>
      </c>
      <c r="S1927" s="2" t="s">
        <v>9369</v>
      </c>
      <c r="T1927" s="2" t="s">
        <v>415</v>
      </c>
      <c r="U1927" s="2" t="s">
        <v>500</v>
      </c>
      <c r="V1927" s="2" t="s">
        <v>3243</v>
      </c>
      <c r="W1927" s="2" t="s">
        <v>269</v>
      </c>
      <c r="X1927" s="2" t="s">
        <v>228</v>
      </c>
      <c r="Y1927" s="2" t="s">
        <v>3367</v>
      </c>
      <c r="Z1927" s="4">
        <v>104</v>
      </c>
      <c r="AA1927" s="4">
        <f>=ROUNDDOWN(34.6666666666667,0)</f>
      </c>
      <c r="AB1927" s="5">
        <v>3</v>
      </c>
      <c r="AC1927" s="2" t="s">
        <v>1516</v>
      </c>
      <c r="AD1927" s="4">
        <v>60</v>
      </c>
      <c r="AE1927" s="4">
        <v>60</v>
      </c>
      <c r="AF1927" s="6">
        <v>65</v>
      </c>
      <c r="AG1927" s="6"/>
      <c r="AH1927" s="7">
        <v>1</v>
      </c>
      <c r="AI1927" s="4"/>
      <c r="AJ1927" s="4">
        <f>=ROUNDDOWN({0},0)</f>
      </c>
      <c r="AK1927" s="5"/>
      <c r="AL1927" s="2" t="s">
        <v>228</v>
      </c>
      <c r="AM1927" s="4"/>
      <c r="AN1927" s="4"/>
      <c r="AO1927" s="7"/>
      <c r="AP1927" s="4"/>
      <c r="AQ1927" s="8"/>
      <c r="AR1927" s="4"/>
      <c r="AS1927" s="8"/>
      <c r="AT1927" s="7"/>
      <c r="AU1927" s="7"/>
      <c r="AV1927" s="4" t="s">
        <v>228</v>
      </c>
      <c r="AW1927" s="8" t="s">
        <v>228</v>
      </c>
      <c r="AX1927" s="4" t="s">
        <v>228</v>
      </c>
      <c r="AY1927" s="8" t="s">
        <v>228</v>
      </c>
      <c r="AZ1927" s="7" t="s">
        <v>228</v>
      </c>
      <c r="BA1927" s="7" t="s">
        <v>228</v>
      </c>
      <c r="BB1927" s="7"/>
      <c r="BC1927" s="4" t="s">
        <v>228</v>
      </c>
      <c r="BD1927" s="8" t="s">
        <v>228</v>
      </c>
      <c r="BE1927" s="4" t="s">
        <v>228</v>
      </c>
      <c r="BF1927" s="8" t="s">
        <v>228</v>
      </c>
      <c r="BG1927" s="7" t="s">
        <v>228</v>
      </c>
      <c r="BH1927" s="7" t="s">
        <v>228</v>
      </c>
      <c r="BI1927" s="7"/>
      <c r="BJ1927" s="4">
        <v>17</v>
      </c>
      <c r="BK1927" s="8">
        <v>212.33</v>
      </c>
      <c r="BL1927" s="2" t="s">
        <v>1688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9370</v>
      </c>
      <c r="BV1927" s="2" t="s">
        <v>228</v>
      </c>
      <c r="BW1927" s="2" t="s">
        <v>228</v>
      </c>
      <c r="BX1927" s="2" t="s">
        <v>273</v>
      </c>
      <c r="BY1927" s="2" t="s">
        <v>274</v>
      </c>
      <c r="BZ1927" s="2" t="s">
        <v>240</v>
      </c>
      <c r="CA1927" s="2" t="s">
        <v>378</v>
      </c>
      <c r="CB1927" s="2" t="s">
        <v>3644</v>
      </c>
      <c r="CC1927" s="2" t="s">
        <v>241</v>
      </c>
      <c r="CD1927" s="2" t="s">
        <v>228</v>
      </c>
      <c r="CE1927" s="4">
        <v>104</v>
      </c>
      <c r="CF1927" s="4"/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/>
      <c r="DF1927" s="4"/>
      <c r="DG1927" s="4"/>
      <c r="DH1927" s="4"/>
      <c r="DI1927" s="4"/>
      <c r="DJ1927" s="4"/>
      <c r="DK1927" s="4"/>
      <c r="DL1927" s="4"/>
      <c r="DM1927" s="4"/>
      <c r="DN1927" s="4"/>
      <c r="DO1927" s="4"/>
      <c r="DP1927" s="4"/>
      <c r="DQ1927" s="4"/>
      <c r="DR1927" s="4"/>
      <c r="DS1927" s="4"/>
      <c r="DT1927" s="4"/>
      <c r="DU1927" s="4"/>
      <c r="DV1927" s="4"/>
      <c r="DW1927" s="4"/>
      <c r="DX1927" s="4"/>
      <c r="DY1927" s="4"/>
      <c r="DZ1927" s="4"/>
      <c r="EA1927" s="4"/>
      <c r="EB1927" s="4"/>
      <c r="EC1927" s="4"/>
      <c r="ED1927" s="4"/>
      <c r="EE1927" s="4"/>
      <c r="EF1927" s="4"/>
      <c r="EG1927" s="4">
        <v>60</v>
      </c>
      <c r="EH1927" s="4"/>
      <c r="EI1927" s="4"/>
      <c r="EJ1927" s="4"/>
      <c r="EK1927" s="4"/>
      <c r="EL1927" s="4"/>
      <c r="EM1927" s="4"/>
      <c r="EN1927" s="4"/>
      <c r="EO1927" s="4"/>
      <c r="EP1927" s="4"/>
      <c r="EQ1927" s="4"/>
      <c r="ER1927" s="4"/>
      <c r="ES1927" s="4"/>
      <c r="ET1927" s="4"/>
      <c r="EU1927" s="4"/>
      <c r="EV1927" s="4"/>
      <c r="EW1927" s="4"/>
      <c r="EX1927" s="4"/>
      <c r="EY1927" s="4"/>
      <c r="EZ1927" s="4"/>
      <c r="FA1927" s="4"/>
      <c r="FB1927" s="4"/>
      <c r="FC1927" s="4"/>
      <c r="FD1927" s="4"/>
      <c r="FE1927" s="4"/>
      <c r="FF1927" s="4"/>
      <c r="FG1927" s="4"/>
      <c r="FH1927" s="4"/>
      <c r="FI1927" s="4"/>
      <c r="FJ1927" s="4"/>
      <c r="FK1927" s="4"/>
      <c r="FL1927" s="4"/>
      <c r="FM1927" s="4"/>
      <c r="FN1927" s="4"/>
      <c r="FO1927" s="4"/>
      <c r="FP1927" s="4"/>
      <c r="FQ1927" s="4"/>
      <c r="FR1927" s="4"/>
      <c r="FS1927" s="4"/>
      <c r="FT1927" s="4"/>
      <c r="FU1927" s="4"/>
      <c r="FV1927" s="4"/>
      <c r="FW1927" s="4"/>
      <c r="FX1927" s="4"/>
      <c r="FY1927" s="4"/>
      <c r="FZ1927" s="4"/>
      <c r="GA1927" s="4"/>
      <c r="GB1927" s="4"/>
      <c r="GC1927" s="4"/>
      <c r="GD1927" s="4"/>
      <c r="GE1927" s="4"/>
      <c r="GF1927" s="4"/>
      <c r="GG1927" s="4"/>
      <c r="GH1927" s="4"/>
      <c r="GI1927" s="4"/>
      <c r="GJ1927" s="4"/>
      <c r="GK1927" s="4"/>
      <c r="GL1927" s="4"/>
      <c r="GM1927" s="4"/>
      <c r="GN1927" s="4"/>
      <c r="GO1927" s="4"/>
      <c r="GP1927" s="4"/>
      <c r="GQ1927" s="4"/>
      <c r="GR1927" s="4"/>
      <c r="GS1927" s="4"/>
      <c r="GT1927" s="4"/>
      <c r="GU1927" s="4"/>
      <c r="GV1927" s="4"/>
      <c r="GW1927" s="4"/>
      <c r="GX1927" s="4"/>
      <c r="GY1927" s="4"/>
      <c r="GZ1927" s="4"/>
      <c r="HA1927" s="4"/>
      <c r="HB1927" s="4"/>
      <c r="HC1927" s="4"/>
      <c r="HD1927" s="4"/>
      <c r="HE1927" s="4"/>
    </row>
    <row r="1928">
      <c r="A1928" s="2" t="s">
        <v>9371</v>
      </c>
      <c r="B1928" s="2" t="s">
        <v>299</v>
      </c>
      <c r="C1928" s="2" t="s">
        <v>849</v>
      </c>
      <c r="D1928" s="2" t="s">
        <v>301</v>
      </c>
      <c r="E1928" s="2" t="s">
        <v>302</v>
      </c>
      <c r="F1928" s="2" t="s">
        <v>9348</v>
      </c>
      <c r="G1928" s="2" t="s">
        <v>9348</v>
      </c>
      <c r="H1928" s="2" t="s">
        <v>9348</v>
      </c>
      <c r="I1928" s="2" t="s">
        <v>347</v>
      </c>
      <c r="J1928" s="2" t="s">
        <v>284</v>
      </c>
      <c r="K1928" s="2" t="s">
        <v>9368</v>
      </c>
      <c r="L1928" s="3">
        <v>13.55</v>
      </c>
      <c r="M1928" s="3">
        <v>14.23</v>
      </c>
      <c r="N1928" s="3">
        <v>27.99</v>
      </c>
      <c r="O1928" s="2" t="s">
        <v>240</v>
      </c>
      <c r="P1928" s="2" t="s">
        <v>266</v>
      </c>
      <c r="Q1928" s="2" t="s">
        <v>234</v>
      </c>
      <c r="R1928" s="2" t="s">
        <v>228</v>
      </c>
      <c r="S1928" s="2" t="s">
        <v>9369</v>
      </c>
      <c r="T1928" s="2" t="s">
        <v>415</v>
      </c>
      <c r="U1928" s="2" t="s">
        <v>308</v>
      </c>
      <c r="V1928" s="2" t="s">
        <v>3243</v>
      </c>
      <c r="W1928" s="2" t="s">
        <v>269</v>
      </c>
      <c r="X1928" s="2" t="s">
        <v>228</v>
      </c>
      <c r="Y1928" s="2" t="s">
        <v>3367</v>
      </c>
      <c r="Z1928" s="4">
        <v>170</v>
      </c>
      <c r="AA1928" s="4">
        <f>=ROUNDDOWN(47.2222222222222,0)</f>
      </c>
      <c r="AB1928" s="5">
        <v>3.6</v>
      </c>
      <c r="AC1928" s="2" t="s">
        <v>1516</v>
      </c>
      <c r="AD1928" s="4">
        <v>70</v>
      </c>
      <c r="AE1928" s="4">
        <v>130</v>
      </c>
      <c r="AF1928" s="6">
        <v>65</v>
      </c>
      <c r="AG1928" s="6"/>
      <c r="AH1928" s="7">
        <v>1</v>
      </c>
      <c r="AI1928" s="4"/>
      <c r="AJ1928" s="4">
        <f>=ROUNDDOWN({0},0)</f>
      </c>
      <c r="AK1928" s="5"/>
      <c r="AL1928" s="2" t="s">
        <v>228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 t="s">
        <v>228</v>
      </c>
      <c r="AW1928" s="8" t="s">
        <v>228</v>
      </c>
      <c r="AX1928" s="4" t="s">
        <v>228</v>
      </c>
      <c r="AY1928" s="8" t="s">
        <v>228</v>
      </c>
      <c r="AZ1928" s="7" t="s">
        <v>228</v>
      </c>
      <c r="BA1928" s="7" t="s">
        <v>228</v>
      </c>
      <c r="BB1928" s="7"/>
      <c r="BC1928" s="4" t="s">
        <v>228</v>
      </c>
      <c r="BD1928" s="8" t="s">
        <v>228</v>
      </c>
      <c r="BE1928" s="4" t="s">
        <v>228</v>
      </c>
      <c r="BF1928" s="8" t="s">
        <v>228</v>
      </c>
      <c r="BG1928" s="7" t="s">
        <v>228</v>
      </c>
      <c r="BH1928" s="7" t="s">
        <v>228</v>
      </c>
      <c r="BI1928" s="7"/>
      <c r="BJ1928" s="4">
        <v>26</v>
      </c>
      <c r="BK1928" s="8">
        <v>368.98</v>
      </c>
      <c r="BL1928" s="2" t="s">
        <v>1688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9372</v>
      </c>
      <c r="BV1928" s="2" t="s">
        <v>228</v>
      </c>
      <c r="BW1928" s="2" t="s">
        <v>228</v>
      </c>
      <c r="BX1928" s="2" t="s">
        <v>273</v>
      </c>
      <c r="BY1928" s="2" t="s">
        <v>274</v>
      </c>
      <c r="BZ1928" s="2" t="s">
        <v>240</v>
      </c>
      <c r="CA1928" s="2" t="s">
        <v>378</v>
      </c>
      <c r="CB1928" s="2" t="s">
        <v>5917</v>
      </c>
      <c r="CC1928" s="2" t="s">
        <v>241</v>
      </c>
      <c r="CD1928" s="2" t="s">
        <v>228</v>
      </c>
      <c r="CE1928" s="4">
        <v>170</v>
      </c>
      <c r="CF1928" s="4"/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4"/>
      <c r="CX1928" s="4"/>
      <c r="CY1928" s="4"/>
      <c r="CZ1928" s="4"/>
      <c r="DA1928" s="4"/>
      <c r="DB1928" s="4"/>
      <c r="DC1928" s="4"/>
      <c r="DD1928" s="4"/>
      <c r="DE1928" s="4"/>
      <c r="DF1928" s="4"/>
      <c r="DG1928" s="4"/>
      <c r="DH1928" s="4"/>
      <c r="DI1928" s="4"/>
      <c r="DJ1928" s="4"/>
      <c r="DK1928" s="4"/>
      <c r="DL1928" s="4"/>
      <c r="DM1928" s="4"/>
      <c r="DN1928" s="4"/>
      <c r="DO1928" s="4"/>
      <c r="DP1928" s="4"/>
      <c r="DQ1928" s="4"/>
      <c r="DR1928" s="4"/>
      <c r="DS1928" s="4"/>
      <c r="DT1928" s="4"/>
      <c r="DU1928" s="4"/>
      <c r="DV1928" s="4"/>
      <c r="DW1928" s="4"/>
      <c r="DX1928" s="4"/>
      <c r="DY1928" s="4"/>
      <c r="DZ1928" s="4"/>
      <c r="EA1928" s="4"/>
      <c r="EB1928" s="4"/>
      <c r="EC1928" s="4"/>
      <c r="ED1928" s="4"/>
      <c r="EE1928" s="4"/>
      <c r="EF1928" s="4"/>
      <c r="EG1928" s="4">
        <v>70</v>
      </c>
      <c r="EH1928" s="4"/>
      <c r="EI1928" s="4"/>
      <c r="EJ1928" s="4"/>
      <c r="EK1928" s="4"/>
      <c r="EL1928" s="4"/>
      <c r="EM1928" s="4"/>
      <c r="EN1928" s="4"/>
      <c r="EO1928" s="4"/>
      <c r="EP1928" s="4"/>
      <c r="EQ1928" s="4"/>
      <c r="ER1928" s="4"/>
      <c r="ES1928" s="4"/>
      <c r="ET1928" s="4"/>
      <c r="EU1928" s="4"/>
      <c r="EV1928" s="4"/>
      <c r="EW1928" s="4"/>
      <c r="EX1928" s="4"/>
      <c r="EY1928" s="4"/>
      <c r="EZ1928" s="4"/>
      <c r="FA1928" s="4"/>
      <c r="FB1928" s="4"/>
      <c r="FC1928" s="4"/>
      <c r="FD1928" s="4"/>
      <c r="FE1928" s="4"/>
      <c r="FF1928" s="4"/>
      <c r="FG1928" s="4"/>
      <c r="FH1928" s="4"/>
      <c r="FI1928" s="4"/>
      <c r="FJ1928" s="4"/>
      <c r="FK1928" s="4"/>
      <c r="FL1928" s="4"/>
      <c r="FM1928" s="4"/>
      <c r="FN1928" s="4"/>
      <c r="FO1928" s="4"/>
      <c r="FP1928" s="4"/>
      <c r="FQ1928" s="4"/>
      <c r="FR1928" s="4"/>
      <c r="FS1928" s="4"/>
      <c r="FT1928" s="4"/>
      <c r="FU1928" s="4"/>
      <c r="FV1928" s="4"/>
      <c r="FW1928" s="4"/>
      <c r="FX1928" s="4"/>
      <c r="FY1928" s="4"/>
      <c r="FZ1928" s="4"/>
      <c r="GA1928" s="4"/>
      <c r="GB1928" s="4"/>
      <c r="GC1928" s="4"/>
      <c r="GD1928" s="4"/>
      <c r="GE1928" s="4"/>
      <c r="GF1928" s="4"/>
      <c r="GG1928" s="4"/>
      <c r="GH1928" s="4"/>
      <c r="GI1928" s="4"/>
      <c r="GJ1928" s="4"/>
      <c r="GK1928" s="4"/>
      <c r="GL1928" s="4"/>
      <c r="GM1928" s="4"/>
      <c r="GN1928" s="4"/>
      <c r="GO1928" s="4"/>
      <c r="GP1928" s="4"/>
      <c r="GQ1928" s="4"/>
      <c r="GR1928" s="4"/>
      <c r="GS1928" s="4"/>
      <c r="GT1928" s="4"/>
      <c r="GU1928" s="4"/>
      <c r="GV1928" s="4"/>
      <c r="GW1928" s="4"/>
      <c r="GX1928" s="4"/>
      <c r="GY1928" s="4"/>
      <c r="GZ1928" s="4"/>
      <c r="HA1928" s="4"/>
      <c r="HB1928" s="4"/>
      <c r="HC1928" s="4"/>
      <c r="HD1928" s="4"/>
      <c r="HE1928" s="4">
        <v>60</v>
      </c>
    </row>
    <row r="1929">
      <c r="A1929" s="2" t="s">
        <v>9373</v>
      </c>
      <c r="B1929" s="2" t="s">
        <v>299</v>
      </c>
      <c r="C1929" s="2" t="s">
        <v>849</v>
      </c>
      <c r="D1929" s="2" t="s">
        <v>301</v>
      </c>
      <c r="E1929" s="2" t="s">
        <v>302</v>
      </c>
      <c r="F1929" s="2" t="s">
        <v>9348</v>
      </c>
      <c r="G1929" s="2" t="s">
        <v>9348</v>
      </c>
      <c r="H1929" s="2" t="s">
        <v>9348</v>
      </c>
      <c r="I1929" s="2" t="s">
        <v>347</v>
      </c>
      <c r="J1929" s="2" t="s">
        <v>289</v>
      </c>
      <c r="K1929" s="2" t="s">
        <v>9368</v>
      </c>
      <c r="L1929" s="3">
        <v>14.75</v>
      </c>
      <c r="M1929" s="3">
        <v>15.49</v>
      </c>
      <c r="N1929" s="3">
        <v>29.99</v>
      </c>
      <c r="O1929" s="2" t="s">
        <v>240</v>
      </c>
      <c r="P1929" s="2" t="s">
        <v>266</v>
      </c>
      <c r="Q1929" s="2" t="s">
        <v>234</v>
      </c>
      <c r="R1929" s="2" t="s">
        <v>228</v>
      </c>
      <c r="S1929" s="2" t="s">
        <v>9369</v>
      </c>
      <c r="T1929" s="2" t="s">
        <v>415</v>
      </c>
      <c r="U1929" s="2" t="s">
        <v>308</v>
      </c>
      <c r="V1929" s="2" t="s">
        <v>3243</v>
      </c>
      <c r="W1929" s="2" t="s">
        <v>269</v>
      </c>
      <c r="X1929" s="2" t="s">
        <v>228</v>
      </c>
      <c r="Y1929" s="2" t="s">
        <v>3367</v>
      </c>
      <c r="Z1929" s="4">
        <v>178</v>
      </c>
      <c r="AA1929" s="4">
        <f>=ROUNDDOWN(16.1818181818182,0)</f>
      </c>
      <c r="AB1929" s="5">
        <v>11</v>
      </c>
      <c r="AC1929" s="2" t="s">
        <v>1516</v>
      </c>
      <c r="AD1929" s="4">
        <v>100</v>
      </c>
      <c r="AE1929" s="4">
        <v>490</v>
      </c>
      <c r="AF1929" s="6">
        <v>65</v>
      </c>
      <c r="AG1929" s="6"/>
      <c r="AH1929" s="7">
        <v>1</v>
      </c>
      <c r="AI1929" s="4"/>
      <c r="AJ1929" s="4">
        <f>=ROUNDDOWN({0},0)</f>
      </c>
      <c r="AK1929" s="5"/>
      <c r="AL1929" s="2" t="s">
        <v>228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 t="s">
        <v>228</v>
      </c>
      <c r="AW1929" s="8" t="s">
        <v>228</v>
      </c>
      <c r="AX1929" s="4" t="s">
        <v>228</v>
      </c>
      <c r="AY1929" s="8" t="s">
        <v>228</v>
      </c>
      <c r="AZ1929" s="7" t="s">
        <v>228</v>
      </c>
      <c r="BA1929" s="7" t="s">
        <v>228</v>
      </c>
      <c r="BB1929" s="7"/>
      <c r="BC1929" s="4" t="s">
        <v>228</v>
      </c>
      <c r="BD1929" s="8" t="s">
        <v>228</v>
      </c>
      <c r="BE1929" s="4" t="s">
        <v>228</v>
      </c>
      <c r="BF1929" s="8" t="s">
        <v>228</v>
      </c>
      <c r="BG1929" s="7" t="s">
        <v>228</v>
      </c>
      <c r="BH1929" s="7" t="s">
        <v>228</v>
      </c>
      <c r="BI1929" s="7"/>
      <c r="BJ1929" s="4">
        <v>36</v>
      </c>
      <c r="BK1929" s="8">
        <v>575.42</v>
      </c>
      <c r="BL1929" s="2" t="s">
        <v>1688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9374</v>
      </c>
      <c r="BV1929" s="2" t="s">
        <v>228</v>
      </c>
      <c r="BW1929" s="2" t="s">
        <v>228</v>
      </c>
      <c r="BX1929" s="2" t="s">
        <v>273</v>
      </c>
      <c r="BY1929" s="2" t="s">
        <v>274</v>
      </c>
      <c r="BZ1929" s="2" t="s">
        <v>240</v>
      </c>
      <c r="CA1929" s="2" t="s">
        <v>378</v>
      </c>
      <c r="CB1929" s="2" t="s">
        <v>4640</v>
      </c>
      <c r="CC1929" s="2" t="s">
        <v>241</v>
      </c>
      <c r="CD1929" s="2" t="s">
        <v>228</v>
      </c>
      <c r="CE1929" s="4">
        <v>178</v>
      </c>
      <c r="CF1929" s="4"/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/>
      <c r="DL1929" s="4"/>
      <c r="DM1929" s="4"/>
      <c r="DN1929" s="4"/>
      <c r="DO1929" s="4"/>
      <c r="DP1929" s="4"/>
      <c r="DQ1929" s="4"/>
      <c r="DR1929" s="4"/>
      <c r="DS1929" s="4"/>
      <c r="DT1929" s="4"/>
      <c r="DU1929" s="4"/>
      <c r="DV1929" s="4"/>
      <c r="DW1929" s="4"/>
      <c r="DX1929" s="4"/>
      <c r="DY1929" s="4"/>
      <c r="DZ1929" s="4"/>
      <c r="EA1929" s="4"/>
      <c r="EB1929" s="4"/>
      <c r="EC1929" s="4"/>
      <c r="ED1929" s="4"/>
      <c r="EE1929" s="4"/>
      <c r="EF1929" s="4"/>
      <c r="EG1929" s="4">
        <v>100</v>
      </c>
      <c r="EH1929" s="4"/>
      <c r="EI1929" s="4"/>
      <c r="EJ1929" s="4"/>
      <c r="EK1929" s="4"/>
      <c r="EL1929" s="4"/>
      <c r="EM1929" s="4"/>
      <c r="EN1929" s="4"/>
      <c r="EO1929" s="4"/>
      <c r="EP1929" s="4"/>
      <c r="EQ1929" s="4"/>
      <c r="ER1929" s="4"/>
      <c r="ES1929" s="4"/>
      <c r="ET1929" s="4"/>
      <c r="EU1929" s="4"/>
      <c r="EV1929" s="4"/>
      <c r="EW1929" s="4"/>
      <c r="EX1929" s="4"/>
      <c r="EY1929" s="4"/>
      <c r="EZ1929" s="4"/>
      <c r="FA1929" s="4"/>
      <c r="FB1929" s="4"/>
      <c r="FC1929" s="4"/>
      <c r="FD1929" s="4"/>
      <c r="FE1929" s="4"/>
      <c r="FF1929" s="4"/>
      <c r="FG1929" s="4"/>
      <c r="FH1929" s="4"/>
      <c r="FI1929" s="4"/>
      <c r="FJ1929" s="4"/>
      <c r="FK1929" s="4"/>
      <c r="FL1929" s="4"/>
      <c r="FM1929" s="4"/>
      <c r="FN1929" s="4"/>
      <c r="FO1929" s="4"/>
      <c r="FP1929" s="4"/>
      <c r="FQ1929" s="4"/>
      <c r="FR1929" s="4"/>
      <c r="FS1929" s="4"/>
      <c r="FT1929" s="4"/>
      <c r="FU1929" s="4"/>
      <c r="FV1929" s="4"/>
      <c r="FW1929" s="4"/>
      <c r="FX1929" s="4"/>
      <c r="FY1929" s="4"/>
      <c r="FZ1929" s="4"/>
      <c r="GA1929" s="4"/>
      <c r="GB1929" s="4"/>
      <c r="GC1929" s="4"/>
      <c r="GD1929" s="4"/>
      <c r="GE1929" s="4"/>
      <c r="GF1929" s="4"/>
      <c r="GG1929" s="4"/>
      <c r="GH1929" s="4"/>
      <c r="GI1929" s="4"/>
      <c r="GJ1929" s="4"/>
      <c r="GK1929" s="4"/>
      <c r="GL1929" s="4"/>
      <c r="GM1929" s="4"/>
      <c r="GN1929" s="4"/>
      <c r="GO1929" s="4"/>
      <c r="GP1929" s="4"/>
      <c r="GQ1929" s="4"/>
      <c r="GR1929" s="4"/>
      <c r="GS1929" s="4">
        <v>100</v>
      </c>
      <c r="GT1929" s="4"/>
      <c r="GU1929" s="4"/>
      <c r="GV1929" s="4"/>
      <c r="GW1929" s="4"/>
      <c r="GX1929" s="4"/>
      <c r="GY1929" s="4"/>
      <c r="GZ1929" s="4"/>
      <c r="HA1929" s="4"/>
      <c r="HB1929" s="4"/>
      <c r="HC1929" s="4"/>
      <c r="HD1929" s="4"/>
      <c r="HE1929" s="4">
        <v>290</v>
      </c>
    </row>
    <row r="1930">
      <c r="A1930" s="2" t="s">
        <v>9375</v>
      </c>
      <c r="B1930" s="2" t="s">
        <v>299</v>
      </c>
      <c r="C1930" s="2" t="s">
        <v>849</v>
      </c>
      <c r="D1930" s="2" t="s">
        <v>301</v>
      </c>
      <c r="E1930" s="2" t="s">
        <v>302</v>
      </c>
      <c r="F1930" s="2" t="s">
        <v>9348</v>
      </c>
      <c r="G1930" s="2" t="s">
        <v>9348</v>
      </c>
      <c r="H1930" s="2" t="s">
        <v>9348</v>
      </c>
      <c r="I1930" s="2" t="s">
        <v>347</v>
      </c>
      <c r="J1930" s="2" t="s">
        <v>294</v>
      </c>
      <c r="K1930" s="2" t="s">
        <v>9368</v>
      </c>
      <c r="L1930" s="3">
        <v>16.35</v>
      </c>
      <c r="M1930" s="3">
        <v>17.17</v>
      </c>
      <c r="N1930" s="3">
        <v>34.99</v>
      </c>
      <c r="O1930" s="2" t="s">
        <v>240</v>
      </c>
      <c r="P1930" s="2" t="s">
        <v>266</v>
      </c>
      <c r="Q1930" s="2" t="s">
        <v>234</v>
      </c>
      <c r="R1930" s="2" t="s">
        <v>228</v>
      </c>
      <c r="S1930" s="2" t="s">
        <v>9369</v>
      </c>
      <c r="T1930" s="2" t="s">
        <v>415</v>
      </c>
      <c r="U1930" s="2" t="s">
        <v>308</v>
      </c>
      <c r="V1930" s="2" t="s">
        <v>3243</v>
      </c>
      <c r="W1930" s="2" t="s">
        <v>269</v>
      </c>
      <c r="X1930" s="2" t="s">
        <v>228</v>
      </c>
      <c r="Y1930" s="2" t="s">
        <v>3367</v>
      </c>
      <c r="Z1930" s="4">
        <v>103</v>
      </c>
      <c r="AA1930" s="4">
        <f>=ROUNDDOWN(22.3913043478261,0)</f>
      </c>
      <c r="AB1930" s="5">
        <v>4.6</v>
      </c>
      <c r="AC1930" s="2" t="s">
        <v>209</v>
      </c>
      <c r="AD1930" s="4">
        <v>50</v>
      </c>
      <c r="AE1930" s="4">
        <v>150</v>
      </c>
      <c r="AF1930" s="6">
        <v>65</v>
      </c>
      <c r="AG1930" s="6"/>
      <c r="AH1930" s="7">
        <v>1</v>
      </c>
      <c r="AI1930" s="4"/>
      <c r="AJ1930" s="4">
        <f>=ROUNDDOWN({0},0)</f>
      </c>
      <c r="AK1930" s="5"/>
      <c r="AL1930" s="2" t="s">
        <v>228</v>
      </c>
      <c r="AM1930" s="4"/>
      <c r="AN1930" s="4"/>
      <c r="AO1930" s="7"/>
      <c r="AP1930" s="4"/>
      <c r="AQ1930" s="8"/>
      <c r="AR1930" s="4"/>
      <c r="AS1930" s="8"/>
      <c r="AT1930" s="7"/>
      <c r="AU1930" s="7"/>
      <c r="AV1930" s="4" t="s">
        <v>228</v>
      </c>
      <c r="AW1930" s="8" t="s">
        <v>228</v>
      </c>
      <c r="AX1930" s="4" t="s">
        <v>228</v>
      </c>
      <c r="AY1930" s="8" t="s">
        <v>228</v>
      </c>
      <c r="AZ1930" s="7" t="s">
        <v>228</v>
      </c>
      <c r="BA1930" s="7" t="s">
        <v>228</v>
      </c>
      <c r="BB1930" s="7"/>
      <c r="BC1930" s="4" t="s">
        <v>228</v>
      </c>
      <c r="BD1930" s="8" t="s">
        <v>228</v>
      </c>
      <c r="BE1930" s="4" t="s">
        <v>228</v>
      </c>
      <c r="BF1930" s="8" t="s">
        <v>228</v>
      </c>
      <c r="BG1930" s="7" t="s">
        <v>228</v>
      </c>
      <c r="BH1930" s="7" t="s">
        <v>228</v>
      </c>
      <c r="BI1930" s="7"/>
      <c r="BJ1930" s="4">
        <v>22</v>
      </c>
      <c r="BK1930" s="8">
        <v>407.36</v>
      </c>
      <c r="BL1930" s="2" t="s">
        <v>9365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9376</v>
      </c>
      <c r="BV1930" s="2" t="s">
        <v>228</v>
      </c>
      <c r="BW1930" s="2" t="s">
        <v>228</v>
      </c>
      <c r="BX1930" s="2" t="s">
        <v>273</v>
      </c>
      <c r="BY1930" s="2" t="s">
        <v>274</v>
      </c>
      <c r="BZ1930" s="2" t="s">
        <v>240</v>
      </c>
      <c r="CA1930" s="2" t="s">
        <v>378</v>
      </c>
      <c r="CB1930" s="2" t="s">
        <v>9377</v>
      </c>
      <c r="CC1930" s="2" t="s">
        <v>241</v>
      </c>
      <c r="CD1930" s="2" t="s">
        <v>228</v>
      </c>
      <c r="CE1930" s="4">
        <v>103</v>
      </c>
      <c r="CF1930" s="4"/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4"/>
      <c r="CX1930" s="4"/>
      <c r="CY1930" s="4"/>
      <c r="CZ1930" s="4"/>
      <c r="DA1930" s="4"/>
      <c r="DB1930" s="4"/>
      <c r="DC1930" s="4"/>
      <c r="DD1930" s="4"/>
      <c r="DE1930" s="4"/>
      <c r="DF1930" s="4"/>
      <c r="DG1930" s="4"/>
      <c r="DH1930" s="4"/>
      <c r="DI1930" s="4"/>
      <c r="DJ1930" s="4"/>
      <c r="DK1930" s="4"/>
      <c r="DL1930" s="4"/>
      <c r="DM1930" s="4"/>
      <c r="DN1930" s="4"/>
      <c r="DO1930" s="4"/>
      <c r="DP1930" s="4"/>
      <c r="DQ1930" s="4"/>
      <c r="DR1930" s="4"/>
      <c r="DS1930" s="4"/>
      <c r="DT1930" s="4"/>
      <c r="DU1930" s="4"/>
      <c r="DV1930" s="4"/>
      <c r="DW1930" s="4"/>
      <c r="DX1930" s="4"/>
      <c r="DY1930" s="4"/>
      <c r="DZ1930" s="4"/>
      <c r="EA1930" s="4"/>
      <c r="EB1930" s="4"/>
      <c r="EC1930" s="4"/>
      <c r="ED1930" s="4"/>
      <c r="EE1930" s="4"/>
      <c r="EF1930" s="4"/>
      <c r="EG1930" s="4"/>
      <c r="EH1930" s="4"/>
      <c r="EI1930" s="4"/>
      <c r="EJ1930" s="4"/>
      <c r="EK1930" s="4"/>
      <c r="EL1930" s="4"/>
      <c r="EM1930" s="4"/>
      <c r="EN1930" s="4"/>
      <c r="EO1930" s="4"/>
      <c r="EP1930" s="4"/>
      <c r="EQ1930" s="4"/>
      <c r="ER1930" s="4"/>
      <c r="ES1930" s="4"/>
      <c r="ET1930" s="4"/>
      <c r="EU1930" s="4"/>
      <c r="EV1930" s="4"/>
      <c r="EW1930" s="4"/>
      <c r="EX1930" s="4"/>
      <c r="EY1930" s="4"/>
      <c r="EZ1930" s="4"/>
      <c r="FA1930" s="4"/>
      <c r="FB1930" s="4"/>
      <c r="FC1930" s="4"/>
      <c r="FD1930" s="4"/>
      <c r="FE1930" s="4"/>
      <c r="FF1930" s="4"/>
      <c r="FG1930" s="4"/>
      <c r="FH1930" s="4"/>
      <c r="FI1930" s="4"/>
      <c r="FJ1930" s="4"/>
      <c r="FK1930" s="4"/>
      <c r="FL1930" s="4"/>
      <c r="FM1930" s="4"/>
      <c r="FN1930" s="4"/>
      <c r="FO1930" s="4"/>
      <c r="FP1930" s="4"/>
      <c r="FQ1930" s="4"/>
      <c r="FR1930" s="4"/>
      <c r="FS1930" s="4"/>
      <c r="FT1930" s="4"/>
      <c r="FU1930" s="4"/>
      <c r="FV1930" s="4"/>
      <c r="FW1930" s="4"/>
      <c r="FX1930" s="4"/>
      <c r="FY1930" s="4"/>
      <c r="FZ1930" s="4"/>
      <c r="GA1930" s="4"/>
      <c r="GB1930" s="4"/>
      <c r="GC1930" s="4"/>
      <c r="GD1930" s="4"/>
      <c r="GE1930" s="4"/>
      <c r="GF1930" s="4"/>
      <c r="GG1930" s="4"/>
      <c r="GH1930" s="4"/>
      <c r="GI1930" s="4"/>
      <c r="GJ1930" s="4"/>
      <c r="GK1930" s="4"/>
      <c r="GL1930" s="4"/>
      <c r="GM1930" s="4"/>
      <c r="GN1930" s="4"/>
      <c r="GO1930" s="4"/>
      <c r="GP1930" s="4"/>
      <c r="GQ1930" s="4"/>
      <c r="GR1930" s="4"/>
      <c r="GS1930" s="4">
        <v>50</v>
      </c>
      <c r="GT1930" s="4"/>
      <c r="GU1930" s="4"/>
      <c r="GV1930" s="4"/>
      <c r="GW1930" s="4"/>
      <c r="GX1930" s="4"/>
      <c r="GY1930" s="4"/>
      <c r="GZ1930" s="4"/>
      <c r="HA1930" s="4"/>
      <c r="HB1930" s="4"/>
      <c r="HC1930" s="4"/>
      <c r="HD1930" s="4"/>
      <c r="HE1930" s="4">
        <v>100</v>
      </c>
    </row>
    <row r="1931">
      <c r="A1931" s="2" t="s">
        <v>9378</v>
      </c>
      <c r="B1931" s="2" t="s">
        <v>299</v>
      </c>
      <c r="C1931" s="2" t="s">
        <v>849</v>
      </c>
      <c r="D1931" s="2" t="s">
        <v>301</v>
      </c>
      <c r="E1931" s="2" t="s">
        <v>302</v>
      </c>
      <c r="F1931" s="2" t="s">
        <v>9348</v>
      </c>
      <c r="G1931" s="2" t="s">
        <v>9348</v>
      </c>
      <c r="H1931" s="2" t="s">
        <v>9348</v>
      </c>
      <c r="I1931" s="2" t="s">
        <v>347</v>
      </c>
      <c r="J1931" s="2" t="s">
        <v>264</v>
      </c>
      <c r="K1931" s="2" t="s">
        <v>9379</v>
      </c>
      <c r="L1931" s="3">
        <v>11.95</v>
      </c>
      <c r="M1931" s="3">
        <v>12.55</v>
      </c>
      <c r="N1931" s="3">
        <v>24.99</v>
      </c>
      <c r="O1931" s="2" t="s">
        <v>240</v>
      </c>
      <c r="P1931" s="2" t="s">
        <v>233</v>
      </c>
      <c r="Q1931" s="2" t="s">
        <v>234</v>
      </c>
      <c r="R1931" s="2" t="s">
        <v>228</v>
      </c>
      <c r="S1931" s="2" t="s">
        <v>9380</v>
      </c>
      <c r="T1931" s="2" t="s">
        <v>415</v>
      </c>
      <c r="U1931" s="2" t="s">
        <v>500</v>
      </c>
      <c r="V1931" s="2" t="s">
        <v>859</v>
      </c>
      <c r="W1931" s="2" t="s">
        <v>269</v>
      </c>
      <c r="X1931" s="2" t="s">
        <v>228</v>
      </c>
      <c r="Y1931" s="2" t="s">
        <v>1205</v>
      </c>
      <c r="Z1931" s="4">
        <v>117</v>
      </c>
      <c r="AA1931" s="4">
        <f>=ROUNDDOWN(58.5,0)</f>
      </c>
      <c r="AB1931" s="5">
        <v>2</v>
      </c>
      <c r="AC1931" s="2" t="s">
        <v>228</v>
      </c>
      <c r="AD1931" s="4"/>
      <c r="AE1931" s="4"/>
      <c r="AF1931" s="6">
        <v>65</v>
      </c>
      <c r="AG1931" s="6"/>
      <c r="AH1931" s="7">
        <v>1</v>
      </c>
      <c r="AI1931" s="4"/>
      <c r="AJ1931" s="4">
        <f>=ROUNDDOWN({0},0)</f>
      </c>
      <c r="AK1931" s="5"/>
      <c r="AL1931" s="2" t="s">
        <v>228</v>
      </c>
      <c r="AM1931" s="4"/>
      <c r="AN1931" s="4"/>
      <c r="AO1931" s="7"/>
      <c r="AP1931" s="4"/>
      <c r="AQ1931" s="8"/>
      <c r="AR1931" s="4"/>
      <c r="AS1931" s="8"/>
      <c r="AT1931" s="7"/>
      <c r="AU1931" s="7"/>
      <c r="AV1931" s="4" t="s">
        <v>228</v>
      </c>
      <c r="AW1931" s="8" t="s">
        <v>228</v>
      </c>
      <c r="AX1931" s="4" t="s">
        <v>228</v>
      </c>
      <c r="AY1931" s="8" t="s">
        <v>228</v>
      </c>
      <c r="AZ1931" s="7" t="s">
        <v>228</v>
      </c>
      <c r="BA1931" s="7" t="s">
        <v>228</v>
      </c>
      <c r="BB1931" s="7"/>
      <c r="BC1931" s="4" t="s">
        <v>228</v>
      </c>
      <c r="BD1931" s="8" t="s">
        <v>228</v>
      </c>
      <c r="BE1931" s="4" t="s">
        <v>228</v>
      </c>
      <c r="BF1931" s="8" t="s">
        <v>228</v>
      </c>
      <c r="BG1931" s="7" t="s">
        <v>228</v>
      </c>
      <c r="BH1931" s="7" t="s">
        <v>228</v>
      </c>
      <c r="BI1931" s="7"/>
      <c r="BJ1931" s="4">
        <v>5</v>
      </c>
      <c r="BK1931" s="8">
        <v>66.8</v>
      </c>
      <c r="BL1931" s="2" t="s">
        <v>9381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9382</v>
      </c>
      <c r="BV1931" s="2" t="s">
        <v>228</v>
      </c>
      <c r="BW1931" s="2" t="s">
        <v>228</v>
      </c>
      <c r="BX1931" s="2" t="s">
        <v>273</v>
      </c>
      <c r="BY1931" s="2" t="s">
        <v>274</v>
      </c>
      <c r="BZ1931" s="2" t="s">
        <v>240</v>
      </c>
      <c r="CA1931" s="2" t="s">
        <v>9352</v>
      </c>
      <c r="CB1931" s="2" t="s">
        <v>4500</v>
      </c>
      <c r="CC1931" s="2" t="s">
        <v>241</v>
      </c>
      <c r="CD1931" s="2" t="s">
        <v>228</v>
      </c>
      <c r="CE1931" s="4">
        <v>54</v>
      </c>
      <c r="CF1931" s="4"/>
      <c r="CG1931" s="4"/>
      <c r="CH1931" s="4">
        <v>63</v>
      </c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/>
      <c r="DF1931" s="4"/>
      <c r="DG1931" s="4"/>
      <c r="DH1931" s="4"/>
      <c r="DI1931" s="4"/>
      <c r="DJ1931" s="4"/>
      <c r="DK1931" s="4"/>
      <c r="DL1931" s="4"/>
      <c r="DM1931" s="4"/>
      <c r="DN1931" s="4"/>
      <c r="DO1931" s="4"/>
      <c r="DP1931" s="4"/>
      <c r="DQ1931" s="4"/>
      <c r="DR1931" s="4"/>
      <c r="DS1931" s="4"/>
      <c r="DT1931" s="4"/>
      <c r="DU1931" s="4"/>
      <c r="DV1931" s="4"/>
      <c r="DW1931" s="4"/>
      <c r="DX1931" s="4"/>
      <c r="DY1931" s="4"/>
      <c r="DZ1931" s="4"/>
      <c r="EA1931" s="4"/>
      <c r="EB1931" s="4"/>
      <c r="EC1931" s="4"/>
      <c r="ED1931" s="4"/>
      <c r="EE1931" s="4"/>
      <c r="EF1931" s="4"/>
      <c r="EG1931" s="4"/>
      <c r="EH1931" s="4"/>
      <c r="EI1931" s="4"/>
      <c r="EJ1931" s="4"/>
      <c r="EK1931" s="4"/>
      <c r="EL1931" s="4"/>
      <c r="EM1931" s="4"/>
      <c r="EN1931" s="4"/>
      <c r="EO1931" s="4"/>
      <c r="EP1931" s="4"/>
      <c r="EQ1931" s="4"/>
      <c r="ER1931" s="4"/>
      <c r="ES1931" s="4"/>
      <c r="ET1931" s="4"/>
      <c r="EU1931" s="4"/>
      <c r="EV1931" s="4"/>
      <c r="EW1931" s="4"/>
      <c r="EX1931" s="4"/>
      <c r="EY1931" s="4"/>
      <c r="EZ1931" s="4"/>
      <c r="FA1931" s="4"/>
      <c r="FB1931" s="4"/>
      <c r="FC1931" s="4"/>
      <c r="FD1931" s="4"/>
      <c r="FE1931" s="4"/>
      <c r="FF1931" s="4"/>
      <c r="FG1931" s="4"/>
      <c r="FH1931" s="4"/>
      <c r="FI1931" s="4"/>
      <c r="FJ1931" s="4"/>
      <c r="FK1931" s="4"/>
      <c r="FL1931" s="4"/>
      <c r="FM1931" s="4"/>
      <c r="FN1931" s="4"/>
      <c r="FO1931" s="4"/>
      <c r="FP1931" s="4"/>
      <c r="FQ1931" s="4"/>
      <c r="FR1931" s="4"/>
      <c r="FS1931" s="4"/>
      <c r="FT1931" s="4"/>
      <c r="FU1931" s="4"/>
      <c r="FV1931" s="4"/>
      <c r="FW1931" s="4"/>
      <c r="FX1931" s="4"/>
      <c r="FY1931" s="4"/>
      <c r="FZ1931" s="4"/>
      <c r="GA1931" s="4"/>
      <c r="GB1931" s="4"/>
      <c r="GC1931" s="4"/>
      <c r="GD1931" s="4"/>
      <c r="GE1931" s="4"/>
      <c r="GF1931" s="4"/>
      <c r="GG1931" s="4"/>
      <c r="GH1931" s="4"/>
      <c r="GI1931" s="4"/>
      <c r="GJ1931" s="4"/>
      <c r="GK1931" s="4"/>
      <c r="GL1931" s="4"/>
      <c r="GM1931" s="4"/>
      <c r="GN1931" s="4"/>
      <c r="GO1931" s="4"/>
      <c r="GP1931" s="4"/>
      <c r="GQ1931" s="4"/>
      <c r="GR1931" s="4"/>
      <c r="GS1931" s="4"/>
      <c r="GT1931" s="4"/>
      <c r="GU1931" s="4"/>
      <c r="GV1931" s="4"/>
      <c r="GW1931" s="4"/>
      <c r="GX1931" s="4"/>
      <c r="GY1931" s="4"/>
      <c r="GZ1931" s="4"/>
      <c r="HA1931" s="4"/>
      <c r="HB1931" s="4"/>
      <c r="HC1931" s="4"/>
      <c r="HD1931" s="4"/>
      <c r="HE1931" s="4"/>
    </row>
    <row r="1932">
      <c r="A1932" s="2" t="s">
        <v>9383</v>
      </c>
      <c r="B1932" s="2" t="s">
        <v>299</v>
      </c>
      <c r="C1932" s="2" t="s">
        <v>849</v>
      </c>
      <c r="D1932" s="2" t="s">
        <v>301</v>
      </c>
      <c r="E1932" s="2" t="s">
        <v>302</v>
      </c>
      <c r="F1932" s="2" t="s">
        <v>9348</v>
      </c>
      <c r="G1932" s="2" t="s">
        <v>9348</v>
      </c>
      <c r="H1932" s="2" t="s">
        <v>9348</v>
      </c>
      <c r="I1932" s="2" t="s">
        <v>347</v>
      </c>
      <c r="J1932" s="2" t="s">
        <v>284</v>
      </c>
      <c r="K1932" s="2" t="s">
        <v>9379</v>
      </c>
      <c r="L1932" s="3">
        <v>13.55</v>
      </c>
      <c r="M1932" s="3">
        <v>14.23</v>
      </c>
      <c r="N1932" s="3">
        <v>27.99</v>
      </c>
      <c r="O1932" s="2" t="s">
        <v>240</v>
      </c>
      <c r="P1932" s="2" t="s">
        <v>233</v>
      </c>
      <c r="Q1932" s="2" t="s">
        <v>234</v>
      </c>
      <c r="R1932" s="2" t="s">
        <v>228</v>
      </c>
      <c r="S1932" s="2" t="s">
        <v>9380</v>
      </c>
      <c r="T1932" s="2" t="s">
        <v>415</v>
      </c>
      <c r="U1932" s="2" t="s">
        <v>308</v>
      </c>
      <c r="V1932" s="2" t="s">
        <v>859</v>
      </c>
      <c r="W1932" s="2" t="s">
        <v>269</v>
      </c>
      <c r="X1932" s="2" t="s">
        <v>228</v>
      </c>
      <c r="Y1932" s="2" t="s">
        <v>1205</v>
      </c>
      <c r="Z1932" s="4">
        <v>80</v>
      </c>
      <c r="AA1932" s="4">
        <f>=ROUNDDOWN(13.3333333333333,0)</f>
      </c>
      <c r="AB1932" s="5">
        <v>6</v>
      </c>
      <c r="AC1932" s="2" t="s">
        <v>209</v>
      </c>
      <c r="AD1932" s="4">
        <v>100</v>
      </c>
      <c r="AE1932" s="4">
        <v>280</v>
      </c>
      <c r="AF1932" s="6">
        <v>65</v>
      </c>
      <c r="AG1932" s="6"/>
      <c r="AH1932" s="7">
        <v>1</v>
      </c>
      <c r="AI1932" s="4"/>
      <c r="AJ1932" s="4">
        <f>=ROUNDDOWN({0},0)</f>
      </c>
      <c r="AK1932" s="5"/>
      <c r="AL1932" s="2" t="s">
        <v>228</v>
      </c>
      <c r="AM1932" s="4"/>
      <c r="AN1932" s="4"/>
      <c r="AO1932" s="7"/>
      <c r="AP1932" s="4"/>
      <c r="AQ1932" s="8"/>
      <c r="AR1932" s="4"/>
      <c r="AS1932" s="8"/>
      <c r="AT1932" s="7"/>
      <c r="AU1932" s="7"/>
      <c r="AV1932" s="4" t="s">
        <v>228</v>
      </c>
      <c r="AW1932" s="8" t="s">
        <v>228</v>
      </c>
      <c r="AX1932" s="4" t="s">
        <v>228</v>
      </c>
      <c r="AY1932" s="8" t="s">
        <v>228</v>
      </c>
      <c r="AZ1932" s="7" t="s">
        <v>228</v>
      </c>
      <c r="BA1932" s="7" t="s">
        <v>228</v>
      </c>
      <c r="BB1932" s="7"/>
      <c r="BC1932" s="4" t="s">
        <v>228</v>
      </c>
      <c r="BD1932" s="8" t="s">
        <v>228</v>
      </c>
      <c r="BE1932" s="4" t="s">
        <v>228</v>
      </c>
      <c r="BF1932" s="8" t="s">
        <v>228</v>
      </c>
      <c r="BG1932" s="7" t="s">
        <v>228</v>
      </c>
      <c r="BH1932" s="7" t="s">
        <v>228</v>
      </c>
      <c r="BI1932" s="7"/>
      <c r="BJ1932" s="4">
        <v>6</v>
      </c>
      <c r="BK1932" s="8">
        <v>80.54</v>
      </c>
      <c r="BL1932" s="2" t="s">
        <v>521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9384</v>
      </c>
      <c r="BV1932" s="2" t="s">
        <v>228</v>
      </c>
      <c r="BW1932" s="2" t="s">
        <v>228</v>
      </c>
      <c r="BX1932" s="2" t="s">
        <v>273</v>
      </c>
      <c r="BY1932" s="2" t="s">
        <v>274</v>
      </c>
      <c r="BZ1932" s="2" t="s">
        <v>240</v>
      </c>
      <c r="CA1932" s="2" t="s">
        <v>9352</v>
      </c>
      <c r="CB1932" s="2" t="s">
        <v>228</v>
      </c>
      <c r="CC1932" s="2" t="s">
        <v>241</v>
      </c>
      <c r="CD1932" s="2" t="s">
        <v>228</v>
      </c>
      <c r="CE1932" s="4">
        <v>47</v>
      </c>
      <c r="CF1932" s="4"/>
      <c r="CG1932" s="4"/>
      <c r="CH1932" s="4">
        <v>33</v>
      </c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  <c r="CW1932" s="4"/>
      <c r="CX1932" s="4"/>
      <c r="CY1932" s="4"/>
      <c r="CZ1932" s="4"/>
      <c r="DA1932" s="4"/>
      <c r="DB1932" s="4"/>
      <c r="DC1932" s="4"/>
      <c r="DD1932" s="4"/>
      <c r="DE1932" s="4"/>
      <c r="DF1932" s="4"/>
      <c r="DG1932" s="4"/>
      <c r="DH1932" s="4"/>
      <c r="DI1932" s="4"/>
      <c r="DJ1932" s="4"/>
      <c r="DK1932" s="4"/>
      <c r="DL1932" s="4"/>
      <c r="DM1932" s="4"/>
      <c r="DN1932" s="4"/>
      <c r="DO1932" s="4"/>
      <c r="DP1932" s="4"/>
      <c r="DQ1932" s="4"/>
      <c r="DR1932" s="4"/>
      <c r="DS1932" s="4"/>
      <c r="DT1932" s="4"/>
      <c r="DU1932" s="4"/>
      <c r="DV1932" s="4"/>
      <c r="DW1932" s="4"/>
      <c r="DX1932" s="4"/>
      <c r="DY1932" s="4"/>
      <c r="DZ1932" s="4"/>
      <c r="EA1932" s="4"/>
      <c r="EB1932" s="4"/>
      <c r="EC1932" s="4"/>
      <c r="ED1932" s="4"/>
      <c r="EE1932" s="4"/>
      <c r="EF1932" s="4"/>
      <c r="EG1932" s="4"/>
      <c r="EH1932" s="4"/>
      <c r="EI1932" s="4"/>
      <c r="EJ1932" s="4"/>
      <c r="EK1932" s="4"/>
      <c r="EL1932" s="4"/>
      <c r="EM1932" s="4"/>
      <c r="EN1932" s="4"/>
      <c r="EO1932" s="4"/>
      <c r="EP1932" s="4"/>
      <c r="EQ1932" s="4"/>
      <c r="ER1932" s="4"/>
      <c r="ES1932" s="4"/>
      <c r="ET1932" s="4"/>
      <c r="EU1932" s="4"/>
      <c r="EV1932" s="4"/>
      <c r="EW1932" s="4"/>
      <c r="EX1932" s="4"/>
      <c r="EY1932" s="4"/>
      <c r="EZ1932" s="4"/>
      <c r="FA1932" s="4"/>
      <c r="FB1932" s="4"/>
      <c r="FC1932" s="4"/>
      <c r="FD1932" s="4"/>
      <c r="FE1932" s="4"/>
      <c r="FF1932" s="4"/>
      <c r="FG1932" s="4"/>
      <c r="FH1932" s="4"/>
      <c r="FI1932" s="4"/>
      <c r="FJ1932" s="4"/>
      <c r="FK1932" s="4"/>
      <c r="FL1932" s="4"/>
      <c r="FM1932" s="4"/>
      <c r="FN1932" s="4"/>
      <c r="FO1932" s="4"/>
      <c r="FP1932" s="4"/>
      <c r="FQ1932" s="4"/>
      <c r="FR1932" s="4"/>
      <c r="FS1932" s="4"/>
      <c r="FT1932" s="4"/>
      <c r="FU1932" s="4"/>
      <c r="FV1932" s="4"/>
      <c r="FW1932" s="4"/>
      <c r="FX1932" s="4"/>
      <c r="FY1932" s="4"/>
      <c r="FZ1932" s="4"/>
      <c r="GA1932" s="4"/>
      <c r="GB1932" s="4"/>
      <c r="GC1932" s="4"/>
      <c r="GD1932" s="4"/>
      <c r="GE1932" s="4"/>
      <c r="GF1932" s="4"/>
      <c r="GG1932" s="4"/>
      <c r="GH1932" s="4"/>
      <c r="GI1932" s="4"/>
      <c r="GJ1932" s="4"/>
      <c r="GK1932" s="4"/>
      <c r="GL1932" s="4"/>
      <c r="GM1932" s="4"/>
      <c r="GN1932" s="4"/>
      <c r="GO1932" s="4"/>
      <c r="GP1932" s="4"/>
      <c r="GQ1932" s="4"/>
      <c r="GR1932" s="4"/>
      <c r="GS1932" s="4">
        <v>100</v>
      </c>
      <c r="GT1932" s="4"/>
      <c r="GU1932" s="4"/>
      <c r="GV1932" s="4"/>
      <c r="GW1932" s="4"/>
      <c r="GX1932" s="4"/>
      <c r="GY1932" s="4"/>
      <c r="GZ1932" s="4"/>
      <c r="HA1932" s="4"/>
      <c r="HB1932" s="4"/>
      <c r="HC1932" s="4"/>
      <c r="HD1932" s="4"/>
      <c r="HE1932" s="4">
        <v>180</v>
      </c>
    </row>
    <row r="1933">
      <c r="A1933" s="2" t="s">
        <v>9385</v>
      </c>
      <c r="B1933" s="2" t="s">
        <v>299</v>
      </c>
      <c r="C1933" s="2" t="s">
        <v>849</v>
      </c>
      <c r="D1933" s="2" t="s">
        <v>301</v>
      </c>
      <c r="E1933" s="2" t="s">
        <v>302</v>
      </c>
      <c r="F1933" s="2" t="s">
        <v>9348</v>
      </c>
      <c r="G1933" s="2" t="s">
        <v>9348</v>
      </c>
      <c r="H1933" s="2" t="s">
        <v>9348</v>
      </c>
      <c r="I1933" s="2" t="s">
        <v>347</v>
      </c>
      <c r="J1933" s="2" t="s">
        <v>289</v>
      </c>
      <c r="K1933" s="2" t="s">
        <v>9379</v>
      </c>
      <c r="L1933" s="3">
        <v>14.75</v>
      </c>
      <c r="M1933" s="3">
        <v>15.49</v>
      </c>
      <c r="N1933" s="3">
        <v>29.99</v>
      </c>
      <c r="O1933" s="2" t="s">
        <v>240</v>
      </c>
      <c r="P1933" s="2" t="s">
        <v>233</v>
      </c>
      <c r="Q1933" s="2" t="s">
        <v>234</v>
      </c>
      <c r="R1933" s="2" t="s">
        <v>228</v>
      </c>
      <c r="S1933" s="2" t="s">
        <v>9380</v>
      </c>
      <c r="T1933" s="2" t="s">
        <v>415</v>
      </c>
      <c r="U1933" s="2" t="s">
        <v>308</v>
      </c>
      <c r="V1933" s="2" t="s">
        <v>859</v>
      </c>
      <c r="W1933" s="2" t="s">
        <v>269</v>
      </c>
      <c r="X1933" s="2" t="s">
        <v>228</v>
      </c>
      <c r="Y1933" s="2" t="s">
        <v>1205</v>
      </c>
      <c r="Z1933" s="4">
        <v>192</v>
      </c>
      <c r="AA1933" s="4">
        <f>=ROUNDDOWN(27.4285714285714,0)</f>
      </c>
      <c r="AB1933" s="5">
        <v>7</v>
      </c>
      <c r="AC1933" s="2" t="s">
        <v>209</v>
      </c>
      <c r="AD1933" s="4">
        <v>40</v>
      </c>
      <c r="AE1933" s="4">
        <v>200</v>
      </c>
      <c r="AF1933" s="6">
        <v>65</v>
      </c>
      <c r="AG1933" s="6"/>
      <c r="AH1933" s="7">
        <v>1</v>
      </c>
      <c r="AI1933" s="4"/>
      <c r="AJ1933" s="4">
        <f>=ROUNDDOWN({0},0)</f>
      </c>
      <c r="AK1933" s="5"/>
      <c r="AL1933" s="2" t="s">
        <v>228</v>
      </c>
      <c r="AM1933" s="4"/>
      <c r="AN1933" s="4"/>
      <c r="AO1933" s="7"/>
      <c r="AP1933" s="4"/>
      <c r="AQ1933" s="8"/>
      <c r="AR1933" s="4"/>
      <c r="AS1933" s="8"/>
      <c r="AT1933" s="7"/>
      <c r="AU1933" s="7"/>
      <c r="AV1933" s="4" t="s">
        <v>228</v>
      </c>
      <c r="AW1933" s="8" t="s">
        <v>228</v>
      </c>
      <c r="AX1933" s="4" t="s">
        <v>228</v>
      </c>
      <c r="AY1933" s="8" t="s">
        <v>228</v>
      </c>
      <c r="AZ1933" s="7" t="s">
        <v>228</v>
      </c>
      <c r="BA1933" s="7" t="s">
        <v>228</v>
      </c>
      <c r="BB1933" s="7"/>
      <c r="BC1933" s="4" t="s">
        <v>228</v>
      </c>
      <c r="BD1933" s="8" t="s">
        <v>228</v>
      </c>
      <c r="BE1933" s="4" t="s">
        <v>228</v>
      </c>
      <c r="BF1933" s="8" t="s">
        <v>228</v>
      </c>
      <c r="BG1933" s="7" t="s">
        <v>228</v>
      </c>
      <c r="BH1933" s="7" t="s">
        <v>228</v>
      </c>
      <c r="BI1933" s="7"/>
      <c r="BJ1933" s="4">
        <v>18</v>
      </c>
      <c r="BK1933" s="8">
        <v>293.42</v>
      </c>
      <c r="BL1933" s="2" t="s">
        <v>4440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9386</v>
      </c>
      <c r="BV1933" s="2" t="s">
        <v>228</v>
      </c>
      <c r="BW1933" s="2" t="s">
        <v>228</v>
      </c>
      <c r="BX1933" s="2" t="s">
        <v>273</v>
      </c>
      <c r="BY1933" s="2" t="s">
        <v>274</v>
      </c>
      <c r="BZ1933" s="2" t="s">
        <v>240</v>
      </c>
      <c r="CA1933" s="2" t="s">
        <v>9352</v>
      </c>
      <c r="CB1933" s="2" t="s">
        <v>228</v>
      </c>
      <c r="CC1933" s="2" t="s">
        <v>241</v>
      </c>
      <c r="CD1933" s="2" t="s">
        <v>228</v>
      </c>
      <c r="CE1933" s="4">
        <v>94</v>
      </c>
      <c r="CF1933" s="4"/>
      <c r="CG1933" s="4"/>
      <c r="CH1933" s="4">
        <v>98</v>
      </c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/>
      <c r="DF1933" s="4"/>
      <c r="DG1933" s="4"/>
      <c r="DH1933" s="4"/>
      <c r="DI1933" s="4"/>
      <c r="DJ1933" s="4"/>
      <c r="DK1933" s="4"/>
      <c r="DL1933" s="4"/>
      <c r="DM1933" s="4"/>
      <c r="DN1933" s="4"/>
      <c r="DO1933" s="4"/>
      <c r="DP1933" s="4"/>
      <c r="DQ1933" s="4"/>
      <c r="DR1933" s="4"/>
      <c r="DS1933" s="4"/>
      <c r="DT1933" s="4"/>
      <c r="DU1933" s="4"/>
      <c r="DV1933" s="4"/>
      <c r="DW1933" s="4"/>
      <c r="DX1933" s="4"/>
      <c r="DY1933" s="4"/>
      <c r="DZ1933" s="4"/>
      <c r="EA1933" s="4"/>
      <c r="EB1933" s="4"/>
      <c r="EC1933" s="4"/>
      <c r="ED1933" s="4"/>
      <c r="EE1933" s="4"/>
      <c r="EF1933" s="4"/>
      <c r="EG1933" s="4"/>
      <c r="EH1933" s="4"/>
      <c r="EI1933" s="4"/>
      <c r="EJ1933" s="4"/>
      <c r="EK1933" s="4"/>
      <c r="EL1933" s="4"/>
      <c r="EM1933" s="4"/>
      <c r="EN1933" s="4"/>
      <c r="EO1933" s="4"/>
      <c r="EP1933" s="4"/>
      <c r="EQ1933" s="4"/>
      <c r="ER1933" s="4"/>
      <c r="ES1933" s="4"/>
      <c r="ET1933" s="4"/>
      <c r="EU1933" s="4"/>
      <c r="EV1933" s="4"/>
      <c r="EW1933" s="4"/>
      <c r="EX1933" s="4"/>
      <c r="EY1933" s="4"/>
      <c r="EZ1933" s="4"/>
      <c r="FA1933" s="4"/>
      <c r="FB1933" s="4"/>
      <c r="FC1933" s="4"/>
      <c r="FD1933" s="4"/>
      <c r="FE1933" s="4"/>
      <c r="FF1933" s="4"/>
      <c r="FG1933" s="4"/>
      <c r="FH1933" s="4"/>
      <c r="FI1933" s="4"/>
      <c r="FJ1933" s="4"/>
      <c r="FK1933" s="4"/>
      <c r="FL1933" s="4"/>
      <c r="FM1933" s="4"/>
      <c r="FN1933" s="4"/>
      <c r="FO1933" s="4"/>
      <c r="FP1933" s="4"/>
      <c r="FQ1933" s="4"/>
      <c r="FR1933" s="4"/>
      <c r="FS1933" s="4"/>
      <c r="FT1933" s="4"/>
      <c r="FU1933" s="4"/>
      <c r="FV1933" s="4"/>
      <c r="FW1933" s="4"/>
      <c r="FX1933" s="4"/>
      <c r="FY1933" s="4"/>
      <c r="FZ1933" s="4"/>
      <c r="GA1933" s="4"/>
      <c r="GB1933" s="4"/>
      <c r="GC1933" s="4"/>
      <c r="GD1933" s="4"/>
      <c r="GE1933" s="4"/>
      <c r="GF1933" s="4"/>
      <c r="GG1933" s="4"/>
      <c r="GH1933" s="4"/>
      <c r="GI1933" s="4"/>
      <c r="GJ1933" s="4"/>
      <c r="GK1933" s="4"/>
      <c r="GL1933" s="4"/>
      <c r="GM1933" s="4"/>
      <c r="GN1933" s="4"/>
      <c r="GO1933" s="4"/>
      <c r="GP1933" s="4"/>
      <c r="GQ1933" s="4"/>
      <c r="GR1933" s="4"/>
      <c r="GS1933" s="4">
        <v>40</v>
      </c>
      <c r="GT1933" s="4"/>
      <c r="GU1933" s="4"/>
      <c r="GV1933" s="4"/>
      <c r="GW1933" s="4"/>
      <c r="GX1933" s="4"/>
      <c r="GY1933" s="4"/>
      <c r="GZ1933" s="4"/>
      <c r="HA1933" s="4"/>
      <c r="HB1933" s="4"/>
      <c r="HC1933" s="4"/>
      <c r="HD1933" s="4"/>
      <c r="HE1933" s="4">
        <v>160</v>
      </c>
    </row>
    <row r="1934">
      <c r="A1934" s="2" t="s">
        <v>9387</v>
      </c>
      <c r="B1934" s="2" t="s">
        <v>299</v>
      </c>
      <c r="C1934" s="2" t="s">
        <v>849</v>
      </c>
      <c r="D1934" s="2" t="s">
        <v>301</v>
      </c>
      <c r="E1934" s="2" t="s">
        <v>302</v>
      </c>
      <c r="F1934" s="2" t="s">
        <v>9348</v>
      </c>
      <c r="G1934" s="2" t="s">
        <v>9348</v>
      </c>
      <c r="H1934" s="2" t="s">
        <v>9348</v>
      </c>
      <c r="I1934" s="2" t="s">
        <v>347</v>
      </c>
      <c r="J1934" s="2" t="s">
        <v>294</v>
      </c>
      <c r="K1934" s="2" t="s">
        <v>9379</v>
      </c>
      <c r="L1934" s="3">
        <v>16.35</v>
      </c>
      <c r="M1934" s="3">
        <v>17.17</v>
      </c>
      <c r="N1934" s="3">
        <v>34.99</v>
      </c>
      <c r="O1934" s="2" t="s">
        <v>240</v>
      </c>
      <c r="P1934" s="2" t="s">
        <v>233</v>
      </c>
      <c r="Q1934" s="2" t="s">
        <v>234</v>
      </c>
      <c r="R1934" s="2" t="s">
        <v>228</v>
      </c>
      <c r="S1934" s="2" t="s">
        <v>9380</v>
      </c>
      <c r="T1934" s="2" t="s">
        <v>415</v>
      </c>
      <c r="U1934" s="2" t="s">
        <v>308</v>
      </c>
      <c r="V1934" s="2" t="s">
        <v>859</v>
      </c>
      <c r="W1934" s="2" t="s">
        <v>269</v>
      </c>
      <c r="X1934" s="2" t="s">
        <v>228</v>
      </c>
      <c r="Y1934" s="2" t="s">
        <v>1205</v>
      </c>
      <c r="Z1934" s="4">
        <v>70</v>
      </c>
      <c r="AA1934" s="4">
        <f>=ROUNDDOWN(23.3333333333333,0)</f>
      </c>
      <c r="AB1934" s="5">
        <v>3</v>
      </c>
      <c r="AC1934" s="2" t="s">
        <v>209</v>
      </c>
      <c r="AD1934" s="4">
        <v>30</v>
      </c>
      <c r="AE1934" s="4">
        <v>120</v>
      </c>
      <c r="AF1934" s="6">
        <v>65</v>
      </c>
      <c r="AG1934" s="6"/>
      <c r="AH1934" s="7">
        <v>1</v>
      </c>
      <c r="AI1934" s="4"/>
      <c r="AJ1934" s="4">
        <f>=ROUNDDOWN({0},0)</f>
      </c>
      <c r="AK1934" s="5"/>
      <c r="AL1934" s="2" t="s">
        <v>228</v>
      </c>
      <c r="AM1934" s="4"/>
      <c r="AN1934" s="4"/>
      <c r="AO1934" s="7"/>
      <c r="AP1934" s="4"/>
      <c r="AQ1934" s="8"/>
      <c r="AR1934" s="4"/>
      <c r="AS1934" s="8"/>
      <c r="AT1934" s="7"/>
      <c r="AU1934" s="7"/>
      <c r="AV1934" s="4" t="s">
        <v>228</v>
      </c>
      <c r="AW1934" s="8" t="s">
        <v>228</v>
      </c>
      <c r="AX1934" s="4" t="s">
        <v>228</v>
      </c>
      <c r="AY1934" s="8" t="s">
        <v>228</v>
      </c>
      <c r="AZ1934" s="7" t="s">
        <v>228</v>
      </c>
      <c r="BA1934" s="7" t="s">
        <v>228</v>
      </c>
      <c r="BB1934" s="7"/>
      <c r="BC1934" s="4" t="s">
        <v>228</v>
      </c>
      <c r="BD1934" s="8" t="s">
        <v>228</v>
      </c>
      <c r="BE1934" s="4" t="s">
        <v>228</v>
      </c>
      <c r="BF1934" s="8" t="s">
        <v>228</v>
      </c>
      <c r="BG1934" s="7" t="s">
        <v>228</v>
      </c>
      <c r="BH1934" s="7" t="s">
        <v>228</v>
      </c>
      <c r="BI1934" s="7"/>
      <c r="BJ1934" s="4">
        <v>5</v>
      </c>
      <c r="BK1934" s="8">
        <v>92.71</v>
      </c>
      <c r="BL1934" s="2" t="s">
        <v>1092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9388</v>
      </c>
      <c r="BV1934" s="2" t="s">
        <v>228</v>
      </c>
      <c r="BW1934" s="2" t="s">
        <v>228</v>
      </c>
      <c r="BX1934" s="2" t="s">
        <v>273</v>
      </c>
      <c r="BY1934" s="2" t="s">
        <v>274</v>
      </c>
      <c r="BZ1934" s="2" t="s">
        <v>240</v>
      </c>
      <c r="CA1934" s="2" t="s">
        <v>9352</v>
      </c>
      <c r="CB1934" s="2" t="s">
        <v>228</v>
      </c>
      <c r="CC1934" s="2" t="s">
        <v>241</v>
      </c>
      <c r="CD1934" s="2" t="s">
        <v>228</v>
      </c>
      <c r="CE1934" s="4">
        <v>43</v>
      </c>
      <c r="CF1934" s="4"/>
      <c r="CG1934" s="4"/>
      <c r="CH1934" s="4">
        <v>27</v>
      </c>
      <c r="CI1934" s="4"/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  <c r="CW1934" s="4"/>
      <c r="CX1934" s="4"/>
      <c r="CY1934" s="4"/>
      <c r="CZ1934" s="4"/>
      <c r="DA1934" s="4"/>
      <c r="DB1934" s="4"/>
      <c r="DC1934" s="4"/>
      <c r="DD1934" s="4"/>
      <c r="DE1934" s="4"/>
      <c r="DF1934" s="4"/>
      <c r="DG1934" s="4"/>
      <c r="DH1934" s="4"/>
      <c r="DI1934" s="4"/>
      <c r="DJ1934" s="4"/>
      <c r="DK1934" s="4"/>
      <c r="DL1934" s="4"/>
      <c r="DM1934" s="4"/>
      <c r="DN1934" s="4"/>
      <c r="DO1934" s="4"/>
      <c r="DP1934" s="4"/>
      <c r="DQ1934" s="4"/>
      <c r="DR1934" s="4"/>
      <c r="DS1934" s="4"/>
      <c r="DT1934" s="4"/>
      <c r="DU1934" s="4"/>
      <c r="DV1934" s="4"/>
      <c r="DW1934" s="4"/>
      <c r="DX1934" s="4"/>
      <c r="DY1934" s="4"/>
      <c r="DZ1934" s="4"/>
      <c r="EA1934" s="4"/>
      <c r="EB1934" s="4"/>
      <c r="EC1934" s="4"/>
      <c r="ED1934" s="4"/>
      <c r="EE1934" s="4"/>
      <c r="EF1934" s="4"/>
      <c r="EG1934" s="4"/>
      <c r="EH1934" s="4"/>
      <c r="EI1934" s="4"/>
      <c r="EJ1934" s="4"/>
      <c r="EK1934" s="4"/>
      <c r="EL1934" s="4"/>
      <c r="EM1934" s="4"/>
      <c r="EN1934" s="4"/>
      <c r="EO1934" s="4"/>
      <c r="EP1934" s="4"/>
      <c r="EQ1934" s="4"/>
      <c r="ER1934" s="4"/>
      <c r="ES1934" s="4"/>
      <c r="ET1934" s="4"/>
      <c r="EU1934" s="4"/>
      <c r="EV1934" s="4"/>
      <c r="EW1934" s="4"/>
      <c r="EX1934" s="4"/>
      <c r="EY1934" s="4"/>
      <c r="EZ1934" s="4"/>
      <c r="FA1934" s="4"/>
      <c r="FB1934" s="4"/>
      <c r="FC1934" s="4"/>
      <c r="FD1934" s="4"/>
      <c r="FE1934" s="4"/>
      <c r="FF1934" s="4"/>
      <c r="FG1934" s="4"/>
      <c r="FH1934" s="4"/>
      <c r="FI1934" s="4"/>
      <c r="FJ1934" s="4"/>
      <c r="FK1934" s="4"/>
      <c r="FL1934" s="4"/>
      <c r="FM1934" s="4"/>
      <c r="FN1934" s="4"/>
      <c r="FO1934" s="4"/>
      <c r="FP1934" s="4"/>
      <c r="FQ1934" s="4"/>
      <c r="FR1934" s="4"/>
      <c r="FS1934" s="4"/>
      <c r="FT1934" s="4"/>
      <c r="FU1934" s="4"/>
      <c r="FV1934" s="4"/>
      <c r="FW1934" s="4"/>
      <c r="FX1934" s="4"/>
      <c r="FY1934" s="4"/>
      <c r="FZ1934" s="4"/>
      <c r="GA1934" s="4"/>
      <c r="GB1934" s="4"/>
      <c r="GC1934" s="4"/>
      <c r="GD1934" s="4"/>
      <c r="GE1934" s="4"/>
      <c r="GF1934" s="4"/>
      <c r="GG1934" s="4"/>
      <c r="GH1934" s="4"/>
      <c r="GI1934" s="4"/>
      <c r="GJ1934" s="4"/>
      <c r="GK1934" s="4"/>
      <c r="GL1934" s="4"/>
      <c r="GM1934" s="4"/>
      <c r="GN1934" s="4"/>
      <c r="GO1934" s="4"/>
      <c r="GP1934" s="4"/>
      <c r="GQ1934" s="4"/>
      <c r="GR1934" s="4"/>
      <c r="GS1934" s="4">
        <v>30</v>
      </c>
      <c r="GT1934" s="4"/>
      <c r="GU1934" s="4"/>
      <c r="GV1934" s="4"/>
      <c r="GW1934" s="4"/>
      <c r="GX1934" s="4"/>
      <c r="GY1934" s="4"/>
      <c r="GZ1934" s="4"/>
      <c r="HA1934" s="4"/>
      <c r="HB1934" s="4"/>
      <c r="HC1934" s="4"/>
      <c r="HD1934" s="4"/>
      <c r="HE1934" s="4">
        <v>90</v>
      </c>
    </row>
    <row r="1935">
      <c r="A1935" s="2" t="s">
        <v>9389</v>
      </c>
      <c r="B1935" s="2" t="s">
        <v>223</v>
      </c>
      <c r="C1935" s="2" t="s">
        <v>3635</v>
      </c>
      <c r="D1935" s="2" t="s">
        <v>1407</v>
      </c>
      <c r="E1935" s="2" t="s">
        <v>1408</v>
      </c>
      <c r="F1935" s="2" t="s">
        <v>9390</v>
      </c>
      <c r="G1935" s="2" t="s">
        <v>9390</v>
      </c>
      <c r="H1935" s="2" t="s">
        <v>9390</v>
      </c>
      <c r="I1935" s="2" t="s">
        <v>5443</v>
      </c>
      <c r="J1935" s="2" t="s">
        <v>1412</v>
      </c>
      <c r="K1935" s="2" t="s">
        <v>265</v>
      </c>
      <c r="L1935" s="3">
        <v>33.38</v>
      </c>
      <c r="M1935" s="3">
        <v>35.05</v>
      </c>
      <c r="N1935" s="3">
        <v>64.99</v>
      </c>
      <c r="O1935" s="2" t="s">
        <v>461</v>
      </c>
      <c r="P1935" s="2" t="s">
        <v>333</v>
      </c>
      <c r="Q1935" s="2" t="s">
        <v>234</v>
      </c>
      <c r="R1935" s="2" t="s">
        <v>228</v>
      </c>
      <c r="S1935" s="2" t="s">
        <v>9391</v>
      </c>
      <c r="T1935" s="2" t="s">
        <v>3112</v>
      </c>
      <c r="U1935" s="2" t="s">
        <v>416</v>
      </c>
      <c r="V1935" s="2" t="s">
        <v>980</v>
      </c>
      <c r="W1935" s="2" t="s">
        <v>269</v>
      </c>
      <c r="X1935" s="2" t="s">
        <v>463</v>
      </c>
      <c r="Y1935" s="2" t="s">
        <v>5003</v>
      </c>
      <c r="Z1935" s="4">
        <v>414</v>
      </c>
      <c r="AA1935" s="4">
        <f>=ROUNDDOWN(20.7,0)</f>
      </c>
      <c r="AB1935" s="5">
        <v>20</v>
      </c>
      <c r="AC1935" s="2" t="s">
        <v>4983</v>
      </c>
      <c r="AD1935" s="4">
        <v>500</v>
      </c>
      <c r="AE1935" s="4">
        <v>500</v>
      </c>
      <c r="AF1935" s="6">
        <v>65</v>
      </c>
      <c r="AG1935" s="6"/>
      <c r="AH1935" s="7">
        <v>1</v>
      </c>
      <c r="AI1935" s="4"/>
      <c r="AJ1935" s="4">
        <f>=ROUNDDOWN({0},0)</f>
      </c>
      <c r="AK1935" s="5"/>
      <c r="AL1935" s="2" t="s">
        <v>228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/>
      <c r="AW1935" s="8"/>
      <c r="AX1935" s="4"/>
      <c r="AY1935" s="8"/>
      <c r="AZ1935" s="7"/>
      <c r="BA1935" s="7"/>
      <c r="BB1935" s="7"/>
      <c r="BC1935" s="4" t="s">
        <v>228</v>
      </c>
      <c r="BD1935" s="8" t="s">
        <v>228</v>
      </c>
      <c r="BE1935" s="4" t="s">
        <v>228</v>
      </c>
      <c r="BF1935" s="8" t="s">
        <v>228</v>
      </c>
      <c r="BG1935" s="7" t="s">
        <v>228</v>
      </c>
      <c r="BH1935" s="7" t="s">
        <v>228</v>
      </c>
      <c r="BI1935" s="7"/>
      <c r="BJ1935" s="4">
        <v>35</v>
      </c>
      <c r="BK1935" s="8">
        <v>893.09</v>
      </c>
      <c r="BL1935" s="2" t="s">
        <v>9392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9393</v>
      </c>
      <c r="BV1935" s="2" t="s">
        <v>228</v>
      </c>
      <c r="BW1935" s="2" t="s">
        <v>228</v>
      </c>
      <c r="BX1935" s="2" t="s">
        <v>337</v>
      </c>
      <c r="BY1935" s="2" t="s">
        <v>274</v>
      </c>
      <c r="BZ1935" s="2" t="s">
        <v>240</v>
      </c>
      <c r="CA1935" s="2" t="s">
        <v>1683</v>
      </c>
      <c r="CB1935" s="2" t="s">
        <v>7235</v>
      </c>
      <c r="CC1935" s="2" t="s">
        <v>241</v>
      </c>
      <c r="CD1935" s="2" t="s">
        <v>228</v>
      </c>
      <c r="CE1935" s="4">
        <v>414</v>
      </c>
      <c r="CF1935" s="4"/>
      <c r="CG1935" s="4"/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/>
      <c r="DH1935" s="4"/>
      <c r="DI1935" s="4"/>
      <c r="DJ1935" s="4"/>
      <c r="DK1935" s="4"/>
      <c r="DL1935" s="4"/>
      <c r="DM1935" s="4"/>
      <c r="DN1935" s="4"/>
      <c r="DO1935" s="4"/>
      <c r="DP1935" s="4"/>
      <c r="DQ1935" s="4"/>
      <c r="DR1935" s="4"/>
      <c r="DS1935" s="4"/>
      <c r="DT1935" s="4"/>
      <c r="DU1935" s="4"/>
      <c r="DV1935" s="4"/>
      <c r="DW1935" s="4"/>
      <c r="DX1935" s="4"/>
      <c r="DY1935" s="4"/>
      <c r="DZ1935" s="4"/>
      <c r="EA1935" s="4"/>
      <c r="EB1935" s="4"/>
      <c r="EC1935" s="4"/>
      <c r="ED1935" s="4"/>
      <c r="EE1935" s="4"/>
      <c r="EF1935" s="4"/>
      <c r="EG1935" s="4"/>
      <c r="EH1935" s="4"/>
      <c r="EI1935" s="4"/>
      <c r="EJ1935" s="4"/>
      <c r="EK1935" s="4"/>
      <c r="EL1935" s="4"/>
      <c r="EM1935" s="4"/>
      <c r="EN1935" s="4">
        <v>500</v>
      </c>
      <c r="EO1935" s="4"/>
      <c r="EP1935" s="4"/>
      <c r="EQ1935" s="4"/>
      <c r="ER1935" s="4"/>
      <c r="ES1935" s="4"/>
      <c r="ET1935" s="4"/>
      <c r="EU1935" s="4"/>
      <c r="EV1935" s="4"/>
      <c r="EW1935" s="4"/>
      <c r="EX1935" s="4"/>
      <c r="EY1935" s="4"/>
      <c r="EZ1935" s="4"/>
      <c r="FA1935" s="4"/>
      <c r="FB1935" s="4"/>
      <c r="FC1935" s="4"/>
      <c r="FD1935" s="4"/>
      <c r="FE1935" s="4"/>
      <c r="FF1935" s="4"/>
      <c r="FG1935" s="4"/>
      <c r="FH1935" s="4"/>
      <c r="FI1935" s="4"/>
      <c r="FJ1935" s="4"/>
      <c r="FK1935" s="4"/>
      <c r="FL1935" s="4"/>
      <c r="FM1935" s="4"/>
      <c r="FN1935" s="4"/>
      <c r="FO1935" s="4"/>
      <c r="FP1935" s="4"/>
      <c r="FQ1935" s="4"/>
      <c r="FR1935" s="4"/>
      <c r="FS1935" s="4"/>
      <c r="FT1935" s="4"/>
      <c r="FU1935" s="4"/>
      <c r="FV1935" s="4"/>
      <c r="FW1935" s="4"/>
      <c r="FX1935" s="4"/>
      <c r="FY1935" s="4"/>
      <c r="FZ1935" s="4"/>
      <c r="GA1935" s="4"/>
      <c r="GB1935" s="4"/>
      <c r="GC1935" s="4"/>
      <c r="GD1935" s="4"/>
      <c r="GE1935" s="4"/>
      <c r="GF1935" s="4"/>
      <c r="GG1935" s="4"/>
      <c r="GH1935" s="4"/>
      <c r="GI1935" s="4"/>
      <c r="GJ1935" s="4"/>
      <c r="GK1935" s="4"/>
      <c r="GL1935" s="4"/>
      <c r="GM1935" s="4"/>
      <c r="GN1935" s="4"/>
      <c r="GO1935" s="4"/>
      <c r="GP1935" s="4"/>
      <c r="GQ1935" s="4"/>
      <c r="GR1935" s="4"/>
      <c r="GS1935" s="4"/>
      <c r="GT1935" s="4"/>
      <c r="GU1935" s="4"/>
      <c r="GV1935" s="4"/>
      <c r="GW1935" s="4"/>
      <c r="GX1935" s="4"/>
      <c r="GY1935" s="4"/>
      <c r="GZ1935" s="4"/>
      <c r="HA1935" s="4"/>
      <c r="HB1935" s="4"/>
      <c r="HC1935" s="4"/>
      <c r="HD1935" s="4"/>
      <c r="HE1935" s="4"/>
    </row>
    <row r="1936">
      <c r="A1936" s="2" t="s">
        <v>9394</v>
      </c>
      <c r="B1936" s="2" t="s">
        <v>223</v>
      </c>
      <c r="C1936" s="2" t="s">
        <v>3635</v>
      </c>
      <c r="D1936" s="2" t="s">
        <v>1407</v>
      </c>
      <c r="E1936" s="2" t="s">
        <v>1408</v>
      </c>
      <c r="F1936" s="2" t="s">
        <v>9390</v>
      </c>
      <c r="G1936" s="2" t="s">
        <v>9390</v>
      </c>
      <c r="H1936" s="2" t="s">
        <v>9390</v>
      </c>
      <c r="I1936" s="2" t="s">
        <v>5443</v>
      </c>
      <c r="J1936" s="2" t="s">
        <v>1412</v>
      </c>
      <c r="K1936" s="2" t="s">
        <v>249</v>
      </c>
      <c r="L1936" s="3">
        <v>33.38</v>
      </c>
      <c r="M1936" s="3">
        <v>35.05</v>
      </c>
      <c r="N1936" s="3">
        <v>64.99</v>
      </c>
      <c r="O1936" s="2" t="s">
        <v>240</v>
      </c>
      <c r="P1936" s="2" t="s">
        <v>333</v>
      </c>
      <c r="Q1936" s="2" t="s">
        <v>234</v>
      </c>
      <c r="R1936" s="2" t="s">
        <v>228</v>
      </c>
      <c r="S1936" s="2" t="s">
        <v>9395</v>
      </c>
      <c r="T1936" s="2" t="s">
        <v>3112</v>
      </c>
      <c r="U1936" s="2" t="s">
        <v>416</v>
      </c>
      <c r="V1936" s="2" t="s">
        <v>980</v>
      </c>
      <c r="W1936" s="2" t="s">
        <v>269</v>
      </c>
      <c r="X1936" s="2" t="s">
        <v>463</v>
      </c>
      <c r="Y1936" s="2" t="s">
        <v>5003</v>
      </c>
      <c r="Z1936" s="4">
        <v>519</v>
      </c>
      <c r="AA1936" s="4">
        <f>=ROUNDDOWN(39.9230769230769,0)</f>
      </c>
      <c r="AB1936" s="5">
        <v>13</v>
      </c>
      <c r="AC1936" s="2" t="s">
        <v>4983</v>
      </c>
      <c r="AD1936" s="4">
        <v>370</v>
      </c>
      <c r="AE1936" s="4">
        <v>370</v>
      </c>
      <c r="AF1936" s="6">
        <v>65</v>
      </c>
      <c r="AG1936" s="6"/>
      <c r="AH1936" s="7">
        <v>1</v>
      </c>
      <c r="AI1936" s="4"/>
      <c r="AJ1936" s="4">
        <f>=ROUNDDOWN({0},0)</f>
      </c>
      <c r="AK1936" s="5"/>
      <c r="AL1936" s="2" t="s">
        <v>228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/>
      <c r="AW1936" s="8"/>
      <c r="AX1936" s="4"/>
      <c r="AY1936" s="8"/>
      <c r="AZ1936" s="7"/>
      <c r="BA1936" s="7"/>
      <c r="BB1936" s="7"/>
      <c r="BC1936" s="4" t="s">
        <v>228</v>
      </c>
      <c r="BD1936" s="8" t="s">
        <v>228</v>
      </c>
      <c r="BE1936" s="4" t="s">
        <v>228</v>
      </c>
      <c r="BF1936" s="8" t="s">
        <v>228</v>
      </c>
      <c r="BG1936" s="7" t="s">
        <v>228</v>
      </c>
      <c r="BH1936" s="7" t="s">
        <v>228</v>
      </c>
      <c r="BI1936" s="7"/>
      <c r="BJ1936" s="4">
        <v>45</v>
      </c>
      <c r="BK1936" s="8">
        <v>1127.32</v>
      </c>
      <c r="BL1936" s="2" t="s">
        <v>9396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9397</v>
      </c>
      <c r="BV1936" s="2" t="s">
        <v>228</v>
      </c>
      <c r="BW1936" s="2" t="s">
        <v>228</v>
      </c>
      <c r="BX1936" s="2" t="s">
        <v>337</v>
      </c>
      <c r="BY1936" s="2" t="s">
        <v>274</v>
      </c>
      <c r="BZ1936" s="2" t="s">
        <v>240</v>
      </c>
      <c r="CA1936" s="2" t="s">
        <v>1683</v>
      </c>
      <c r="CB1936" s="2" t="s">
        <v>5321</v>
      </c>
      <c r="CC1936" s="2" t="s">
        <v>241</v>
      </c>
      <c r="CD1936" s="2" t="s">
        <v>228</v>
      </c>
      <c r="CE1936" s="4">
        <v>519</v>
      </c>
      <c r="CF1936" s="4"/>
      <c r="CG1936" s="4"/>
      <c r="CH1936" s="4"/>
      <c r="CI1936" s="4"/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4"/>
      <c r="CX1936" s="4"/>
      <c r="CY1936" s="4"/>
      <c r="CZ1936" s="4"/>
      <c r="DA1936" s="4"/>
      <c r="DB1936" s="4"/>
      <c r="DC1936" s="4"/>
      <c r="DD1936" s="4"/>
      <c r="DE1936" s="4"/>
      <c r="DF1936" s="4"/>
      <c r="DG1936" s="4"/>
      <c r="DH1936" s="4"/>
      <c r="DI1936" s="4"/>
      <c r="DJ1936" s="4"/>
      <c r="DK1936" s="4"/>
      <c r="DL1936" s="4"/>
      <c r="DM1936" s="4"/>
      <c r="DN1936" s="4"/>
      <c r="DO1936" s="4"/>
      <c r="DP1936" s="4"/>
      <c r="DQ1936" s="4"/>
      <c r="DR1936" s="4"/>
      <c r="DS1936" s="4"/>
      <c r="DT1936" s="4"/>
      <c r="DU1936" s="4"/>
      <c r="DV1936" s="4"/>
      <c r="DW1936" s="4"/>
      <c r="DX1936" s="4"/>
      <c r="DY1936" s="4"/>
      <c r="DZ1936" s="4"/>
      <c r="EA1936" s="4"/>
      <c r="EB1936" s="4"/>
      <c r="EC1936" s="4"/>
      <c r="ED1936" s="4"/>
      <c r="EE1936" s="4"/>
      <c r="EF1936" s="4"/>
      <c r="EG1936" s="4"/>
      <c r="EH1936" s="4"/>
      <c r="EI1936" s="4"/>
      <c r="EJ1936" s="4"/>
      <c r="EK1936" s="4"/>
      <c r="EL1936" s="4"/>
      <c r="EM1936" s="4"/>
      <c r="EN1936" s="4">
        <v>370</v>
      </c>
      <c r="EO1936" s="4"/>
      <c r="EP1936" s="4"/>
      <c r="EQ1936" s="4"/>
      <c r="ER1936" s="4"/>
      <c r="ES1936" s="4"/>
      <c r="ET1936" s="4"/>
      <c r="EU1936" s="4"/>
      <c r="EV1936" s="4"/>
      <c r="EW1936" s="4"/>
      <c r="EX1936" s="4"/>
      <c r="EY1936" s="4"/>
      <c r="EZ1936" s="4"/>
      <c r="FA1936" s="4"/>
      <c r="FB1936" s="4"/>
      <c r="FC1936" s="4"/>
      <c r="FD1936" s="4"/>
      <c r="FE1936" s="4"/>
      <c r="FF1936" s="4"/>
      <c r="FG1936" s="4"/>
      <c r="FH1936" s="4"/>
      <c r="FI1936" s="4"/>
      <c r="FJ1936" s="4"/>
      <c r="FK1936" s="4"/>
      <c r="FL1936" s="4"/>
      <c r="FM1936" s="4"/>
      <c r="FN1936" s="4"/>
      <c r="FO1936" s="4"/>
      <c r="FP1936" s="4"/>
      <c r="FQ1936" s="4"/>
      <c r="FR1936" s="4"/>
      <c r="FS1936" s="4"/>
      <c r="FT1936" s="4"/>
      <c r="FU1936" s="4"/>
      <c r="FV1936" s="4"/>
      <c r="FW1936" s="4"/>
      <c r="FX1936" s="4"/>
      <c r="FY1936" s="4"/>
      <c r="FZ1936" s="4"/>
      <c r="GA1936" s="4"/>
      <c r="GB1936" s="4"/>
      <c r="GC1936" s="4"/>
      <c r="GD1936" s="4"/>
      <c r="GE1936" s="4"/>
      <c r="GF1936" s="4"/>
      <c r="GG1936" s="4"/>
      <c r="GH1936" s="4"/>
      <c r="GI1936" s="4"/>
      <c r="GJ1936" s="4"/>
      <c r="GK1936" s="4"/>
      <c r="GL1936" s="4"/>
      <c r="GM1936" s="4"/>
      <c r="GN1936" s="4"/>
      <c r="GO1936" s="4"/>
      <c r="GP1936" s="4"/>
      <c r="GQ1936" s="4"/>
      <c r="GR1936" s="4"/>
      <c r="GS1936" s="4"/>
      <c r="GT1936" s="4"/>
      <c r="GU1936" s="4"/>
      <c r="GV1936" s="4"/>
      <c r="GW1936" s="4"/>
      <c r="GX1936" s="4"/>
      <c r="GY1936" s="4"/>
      <c r="GZ1936" s="4"/>
      <c r="HA1936" s="4"/>
      <c r="HB1936" s="4"/>
      <c r="HC1936" s="4"/>
      <c r="HD1936" s="4"/>
      <c r="HE1936" s="4"/>
    </row>
    <row r="1937">
      <c r="A1937" s="2" t="s">
        <v>9398</v>
      </c>
      <c r="B1937" s="2" t="s">
        <v>223</v>
      </c>
      <c r="C1937" s="2" t="s">
        <v>3635</v>
      </c>
      <c r="D1937" s="2" t="s">
        <v>1407</v>
      </c>
      <c r="E1937" s="2" t="s">
        <v>1408</v>
      </c>
      <c r="F1937" s="2" t="s">
        <v>9390</v>
      </c>
      <c r="G1937" s="2" t="s">
        <v>9390</v>
      </c>
      <c r="H1937" s="2" t="s">
        <v>9390</v>
      </c>
      <c r="I1937" s="2" t="s">
        <v>5443</v>
      </c>
      <c r="J1937" s="2" t="s">
        <v>1412</v>
      </c>
      <c r="K1937" s="2" t="s">
        <v>7165</v>
      </c>
      <c r="L1937" s="3">
        <v>33.38</v>
      </c>
      <c r="M1937" s="3">
        <v>35.05</v>
      </c>
      <c r="N1937" s="3">
        <v>64.99</v>
      </c>
      <c r="O1937" s="2" t="s">
        <v>461</v>
      </c>
      <c r="P1937" s="2" t="s">
        <v>333</v>
      </c>
      <c r="Q1937" s="2" t="s">
        <v>234</v>
      </c>
      <c r="R1937" s="2" t="s">
        <v>228</v>
      </c>
      <c r="S1937" s="2" t="s">
        <v>9399</v>
      </c>
      <c r="T1937" s="2" t="s">
        <v>3112</v>
      </c>
      <c r="U1937" s="2" t="s">
        <v>416</v>
      </c>
      <c r="V1937" s="2" t="s">
        <v>980</v>
      </c>
      <c r="W1937" s="2" t="s">
        <v>269</v>
      </c>
      <c r="X1937" s="2" t="s">
        <v>463</v>
      </c>
      <c r="Y1937" s="2" t="s">
        <v>5003</v>
      </c>
      <c r="Z1937" s="4">
        <v>405</v>
      </c>
      <c r="AA1937" s="4">
        <f>=ROUNDDOWN(45,0)</f>
      </c>
      <c r="AB1937" s="5">
        <v>9</v>
      </c>
      <c r="AC1937" s="2" t="s">
        <v>4983</v>
      </c>
      <c r="AD1937" s="4">
        <v>280</v>
      </c>
      <c r="AE1937" s="4">
        <v>280</v>
      </c>
      <c r="AF1937" s="6">
        <v>65</v>
      </c>
      <c r="AG1937" s="6"/>
      <c r="AH1937" s="7">
        <v>1</v>
      </c>
      <c r="AI1937" s="4"/>
      <c r="AJ1937" s="4">
        <f>=ROUNDDOWN({0},0)</f>
      </c>
      <c r="AK1937" s="5"/>
      <c r="AL1937" s="2" t="s">
        <v>228</v>
      </c>
      <c r="AM1937" s="4"/>
      <c r="AN1937" s="4"/>
      <c r="AO1937" s="7"/>
      <c r="AP1937" s="4"/>
      <c r="AQ1937" s="8"/>
      <c r="AR1937" s="4"/>
      <c r="AS1937" s="8"/>
      <c r="AT1937" s="7"/>
      <c r="AU1937" s="7"/>
      <c r="AV1937" s="4"/>
      <c r="AW1937" s="8"/>
      <c r="AX1937" s="4"/>
      <c r="AY1937" s="8"/>
      <c r="AZ1937" s="7"/>
      <c r="BA1937" s="7"/>
      <c r="BB1937" s="7"/>
      <c r="BC1937" s="4" t="s">
        <v>228</v>
      </c>
      <c r="BD1937" s="8" t="s">
        <v>228</v>
      </c>
      <c r="BE1937" s="4" t="s">
        <v>228</v>
      </c>
      <c r="BF1937" s="8" t="s">
        <v>228</v>
      </c>
      <c r="BG1937" s="7" t="s">
        <v>228</v>
      </c>
      <c r="BH1937" s="7" t="s">
        <v>228</v>
      </c>
      <c r="BI1937" s="7"/>
      <c r="BJ1937" s="4">
        <v>28</v>
      </c>
      <c r="BK1937" s="8">
        <v>686.22</v>
      </c>
      <c r="BL1937" s="2" t="s">
        <v>9400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9401</v>
      </c>
      <c r="BV1937" s="2" t="s">
        <v>228</v>
      </c>
      <c r="BW1937" s="2" t="s">
        <v>228</v>
      </c>
      <c r="BX1937" s="2" t="s">
        <v>337</v>
      </c>
      <c r="BY1937" s="2" t="s">
        <v>274</v>
      </c>
      <c r="BZ1937" s="2" t="s">
        <v>240</v>
      </c>
      <c r="CA1937" s="2" t="s">
        <v>1683</v>
      </c>
      <c r="CB1937" s="2" t="s">
        <v>9402</v>
      </c>
      <c r="CC1937" s="2" t="s">
        <v>241</v>
      </c>
      <c r="CD1937" s="2" t="s">
        <v>228</v>
      </c>
      <c r="CE1937" s="4">
        <v>405</v>
      </c>
      <c r="CF1937" s="4"/>
      <c r="CG1937" s="4"/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  <c r="CW1937" s="4"/>
      <c r="CX1937" s="4"/>
      <c r="CY1937" s="4"/>
      <c r="CZ1937" s="4"/>
      <c r="DA1937" s="4"/>
      <c r="DB1937" s="4"/>
      <c r="DC1937" s="4"/>
      <c r="DD1937" s="4"/>
      <c r="DE1937" s="4"/>
      <c r="DF1937" s="4"/>
      <c r="DG1937" s="4"/>
      <c r="DH1937" s="4"/>
      <c r="DI1937" s="4"/>
      <c r="DJ1937" s="4"/>
      <c r="DK1937" s="4"/>
      <c r="DL1937" s="4"/>
      <c r="DM1937" s="4"/>
      <c r="DN1937" s="4"/>
      <c r="DO1937" s="4"/>
      <c r="DP1937" s="4"/>
      <c r="DQ1937" s="4"/>
      <c r="DR1937" s="4"/>
      <c r="DS1937" s="4"/>
      <c r="DT1937" s="4"/>
      <c r="DU1937" s="4"/>
      <c r="DV1937" s="4"/>
      <c r="DW1937" s="4"/>
      <c r="DX1937" s="4"/>
      <c r="DY1937" s="4"/>
      <c r="DZ1937" s="4"/>
      <c r="EA1937" s="4"/>
      <c r="EB1937" s="4"/>
      <c r="EC1937" s="4"/>
      <c r="ED1937" s="4"/>
      <c r="EE1937" s="4"/>
      <c r="EF1937" s="4"/>
      <c r="EG1937" s="4"/>
      <c r="EH1937" s="4"/>
      <c r="EI1937" s="4"/>
      <c r="EJ1937" s="4"/>
      <c r="EK1937" s="4"/>
      <c r="EL1937" s="4"/>
      <c r="EM1937" s="4"/>
      <c r="EN1937" s="4">
        <v>280</v>
      </c>
      <c r="EO1937" s="4"/>
      <c r="EP1937" s="4"/>
      <c r="EQ1937" s="4"/>
      <c r="ER1937" s="4"/>
      <c r="ES1937" s="4"/>
      <c r="ET1937" s="4"/>
      <c r="EU1937" s="4"/>
      <c r="EV1937" s="4"/>
      <c r="EW1937" s="4"/>
      <c r="EX1937" s="4"/>
      <c r="EY1937" s="4"/>
      <c r="EZ1937" s="4"/>
      <c r="FA1937" s="4"/>
      <c r="FB1937" s="4"/>
      <c r="FC1937" s="4"/>
      <c r="FD1937" s="4"/>
      <c r="FE1937" s="4"/>
      <c r="FF1937" s="4"/>
      <c r="FG1937" s="4"/>
      <c r="FH1937" s="4"/>
      <c r="FI1937" s="4"/>
      <c r="FJ1937" s="4"/>
      <c r="FK1937" s="4"/>
      <c r="FL1937" s="4"/>
      <c r="FM1937" s="4"/>
      <c r="FN1937" s="4"/>
      <c r="FO1937" s="4"/>
      <c r="FP1937" s="4"/>
      <c r="FQ1937" s="4"/>
      <c r="FR1937" s="4"/>
      <c r="FS1937" s="4"/>
      <c r="FT1937" s="4"/>
      <c r="FU1937" s="4"/>
      <c r="FV1937" s="4"/>
      <c r="FW1937" s="4"/>
      <c r="FX1937" s="4"/>
      <c r="FY1937" s="4"/>
      <c r="FZ1937" s="4"/>
      <c r="GA1937" s="4"/>
      <c r="GB1937" s="4"/>
      <c r="GC1937" s="4"/>
      <c r="GD1937" s="4"/>
      <c r="GE1937" s="4"/>
      <c r="GF1937" s="4"/>
      <c r="GG1937" s="4"/>
      <c r="GH1937" s="4"/>
      <c r="GI1937" s="4"/>
      <c r="GJ1937" s="4"/>
      <c r="GK1937" s="4"/>
      <c r="GL1937" s="4"/>
      <c r="GM1937" s="4"/>
      <c r="GN1937" s="4"/>
      <c r="GO1937" s="4"/>
      <c r="GP1937" s="4"/>
      <c r="GQ1937" s="4"/>
      <c r="GR1937" s="4"/>
      <c r="GS1937" s="4"/>
      <c r="GT1937" s="4"/>
      <c r="GU1937" s="4"/>
      <c r="GV1937" s="4"/>
      <c r="GW1937" s="4"/>
      <c r="GX1937" s="4"/>
      <c r="GY1937" s="4"/>
      <c r="GZ1937" s="4"/>
      <c r="HA1937" s="4"/>
      <c r="HB1937" s="4"/>
      <c r="HC1937" s="4"/>
      <c r="HD1937" s="4"/>
      <c r="HE1937" s="4"/>
    </row>
    <row r="1938">
      <c r="A1938" s="2" t="s">
        <v>9403</v>
      </c>
      <c r="B1938" s="2" t="s">
        <v>223</v>
      </c>
      <c r="C1938" s="2" t="s">
        <v>3635</v>
      </c>
      <c r="D1938" s="2" t="s">
        <v>1407</v>
      </c>
      <c r="E1938" s="2" t="s">
        <v>1408</v>
      </c>
      <c r="F1938" s="2" t="s">
        <v>9390</v>
      </c>
      <c r="G1938" s="2" t="s">
        <v>9390</v>
      </c>
      <c r="H1938" s="2" t="s">
        <v>9390</v>
      </c>
      <c r="I1938" s="2" t="s">
        <v>5443</v>
      </c>
      <c r="J1938" s="2" t="s">
        <v>1412</v>
      </c>
      <c r="K1938" s="2" t="s">
        <v>525</v>
      </c>
      <c r="L1938" s="3">
        <v>33.38</v>
      </c>
      <c r="M1938" s="3">
        <v>35.05</v>
      </c>
      <c r="N1938" s="3">
        <v>64.99</v>
      </c>
      <c r="O1938" s="2" t="s">
        <v>240</v>
      </c>
      <c r="P1938" s="2" t="s">
        <v>333</v>
      </c>
      <c r="Q1938" s="2" t="s">
        <v>234</v>
      </c>
      <c r="R1938" s="2" t="s">
        <v>228</v>
      </c>
      <c r="S1938" s="2" t="s">
        <v>9404</v>
      </c>
      <c r="T1938" s="2" t="s">
        <v>3112</v>
      </c>
      <c r="U1938" s="2" t="s">
        <v>416</v>
      </c>
      <c r="V1938" s="2" t="s">
        <v>980</v>
      </c>
      <c r="W1938" s="2" t="s">
        <v>269</v>
      </c>
      <c r="X1938" s="2" t="s">
        <v>463</v>
      </c>
      <c r="Y1938" s="2" t="s">
        <v>5003</v>
      </c>
      <c r="Z1938" s="4">
        <v>421</v>
      </c>
      <c r="AA1938" s="4">
        <f>=ROUNDDOWN(60.1428571428571,0)</f>
      </c>
      <c r="AB1938" s="5">
        <v>7</v>
      </c>
      <c r="AC1938" s="2" t="s">
        <v>4983</v>
      </c>
      <c r="AD1938" s="4">
        <v>270</v>
      </c>
      <c r="AE1938" s="4">
        <v>270</v>
      </c>
      <c r="AF1938" s="6">
        <v>65</v>
      </c>
      <c r="AG1938" s="6"/>
      <c r="AH1938" s="7">
        <v>1</v>
      </c>
      <c r="AI1938" s="4"/>
      <c r="AJ1938" s="4">
        <f>=ROUNDDOWN({0},0)</f>
      </c>
      <c r="AK1938" s="5"/>
      <c r="AL1938" s="2" t="s">
        <v>228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/>
      <c r="AW1938" s="8"/>
      <c r="AX1938" s="4"/>
      <c r="AY1938" s="8"/>
      <c r="AZ1938" s="7"/>
      <c r="BA1938" s="7"/>
      <c r="BB1938" s="7"/>
      <c r="BC1938" s="4" t="s">
        <v>228</v>
      </c>
      <c r="BD1938" s="8" t="s">
        <v>228</v>
      </c>
      <c r="BE1938" s="4" t="s">
        <v>228</v>
      </c>
      <c r="BF1938" s="8" t="s">
        <v>228</v>
      </c>
      <c r="BG1938" s="7" t="s">
        <v>228</v>
      </c>
      <c r="BH1938" s="7" t="s">
        <v>228</v>
      </c>
      <c r="BI1938" s="7"/>
      <c r="BJ1938" s="4">
        <v>21</v>
      </c>
      <c r="BK1938" s="8">
        <v>539.2</v>
      </c>
      <c r="BL1938" s="2" t="s">
        <v>9405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9406</v>
      </c>
      <c r="BV1938" s="2" t="s">
        <v>228</v>
      </c>
      <c r="BW1938" s="2" t="s">
        <v>228</v>
      </c>
      <c r="BX1938" s="2" t="s">
        <v>337</v>
      </c>
      <c r="BY1938" s="2" t="s">
        <v>274</v>
      </c>
      <c r="BZ1938" s="2" t="s">
        <v>240</v>
      </c>
      <c r="CA1938" s="2" t="s">
        <v>1683</v>
      </c>
      <c r="CB1938" s="2" t="s">
        <v>7666</v>
      </c>
      <c r="CC1938" s="2" t="s">
        <v>241</v>
      </c>
      <c r="CD1938" s="2" t="s">
        <v>228</v>
      </c>
      <c r="CE1938" s="4">
        <v>421</v>
      </c>
      <c r="CF1938" s="4"/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4"/>
      <c r="CX1938" s="4"/>
      <c r="CY1938" s="4"/>
      <c r="CZ1938" s="4"/>
      <c r="DA1938" s="4"/>
      <c r="DB1938" s="4"/>
      <c r="DC1938" s="4"/>
      <c r="DD1938" s="4"/>
      <c r="DE1938" s="4"/>
      <c r="DF1938" s="4"/>
      <c r="DG1938" s="4"/>
      <c r="DH1938" s="4"/>
      <c r="DI1938" s="4"/>
      <c r="DJ1938" s="4"/>
      <c r="DK1938" s="4"/>
      <c r="DL1938" s="4"/>
      <c r="DM1938" s="4"/>
      <c r="DN1938" s="4"/>
      <c r="DO1938" s="4"/>
      <c r="DP1938" s="4"/>
      <c r="DQ1938" s="4"/>
      <c r="DR1938" s="4"/>
      <c r="DS1938" s="4"/>
      <c r="DT1938" s="4"/>
      <c r="DU1938" s="4"/>
      <c r="DV1938" s="4"/>
      <c r="DW1938" s="4"/>
      <c r="DX1938" s="4"/>
      <c r="DY1938" s="4"/>
      <c r="DZ1938" s="4"/>
      <c r="EA1938" s="4"/>
      <c r="EB1938" s="4"/>
      <c r="EC1938" s="4"/>
      <c r="ED1938" s="4"/>
      <c r="EE1938" s="4"/>
      <c r="EF1938" s="4"/>
      <c r="EG1938" s="4"/>
      <c r="EH1938" s="4"/>
      <c r="EI1938" s="4"/>
      <c r="EJ1938" s="4"/>
      <c r="EK1938" s="4"/>
      <c r="EL1938" s="4"/>
      <c r="EM1938" s="4"/>
      <c r="EN1938" s="4">
        <v>270</v>
      </c>
      <c r="EO1938" s="4"/>
      <c r="EP1938" s="4"/>
      <c r="EQ1938" s="4"/>
      <c r="ER1938" s="4"/>
      <c r="ES1938" s="4"/>
      <c r="ET1938" s="4"/>
      <c r="EU1938" s="4"/>
      <c r="EV1938" s="4"/>
      <c r="EW1938" s="4"/>
      <c r="EX1938" s="4"/>
      <c r="EY1938" s="4"/>
      <c r="EZ1938" s="4"/>
      <c r="FA1938" s="4"/>
      <c r="FB1938" s="4"/>
      <c r="FC1938" s="4"/>
      <c r="FD1938" s="4"/>
      <c r="FE1938" s="4"/>
      <c r="FF1938" s="4"/>
      <c r="FG1938" s="4"/>
      <c r="FH1938" s="4"/>
      <c r="FI1938" s="4"/>
      <c r="FJ1938" s="4"/>
      <c r="FK1938" s="4"/>
      <c r="FL1938" s="4"/>
      <c r="FM1938" s="4"/>
      <c r="FN1938" s="4"/>
      <c r="FO1938" s="4"/>
      <c r="FP1938" s="4"/>
      <c r="FQ1938" s="4"/>
      <c r="FR1938" s="4"/>
      <c r="FS1938" s="4"/>
      <c r="FT1938" s="4"/>
      <c r="FU1938" s="4"/>
      <c r="FV1938" s="4"/>
      <c r="FW1938" s="4"/>
      <c r="FX1938" s="4"/>
      <c r="FY1938" s="4"/>
      <c r="FZ1938" s="4"/>
      <c r="GA1938" s="4"/>
      <c r="GB1938" s="4"/>
      <c r="GC1938" s="4"/>
      <c r="GD1938" s="4"/>
      <c r="GE1938" s="4"/>
      <c r="GF1938" s="4"/>
      <c r="GG1938" s="4"/>
      <c r="GH1938" s="4"/>
      <c r="GI1938" s="4"/>
      <c r="GJ1938" s="4"/>
      <c r="GK1938" s="4"/>
      <c r="GL1938" s="4"/>
      <c r="GM1938" s="4"/>
      <c r="GN1938" s="4"/>
      <c r="GO1938" s="4"/>
      <c r="GP1938" s="4"/>
      <c r="GQ1938" s="4"/>
      <c r="GR1938" s="4"/>
      <c r="GS1938" s="4"/>
      <c r="GT1938" s="4"/>
      <c r="GU1938" s="4"/>
      <c r="GV1938" s="4"/>
      <c r="GW1938" s="4"/>
      <c r="GX1938" s="4"/>
      <c r="GY1938" s="4"/>
      <c r="GZ1938" s="4"/>
      <c r="HA1938" s="4"/>
      <c r="HB1938" s="4"/>
      <c r="HC1938" s="4"/>
      <c r="HD1938" s="4"/>
      <c r="HE1938" s="4"/>
    </row>
    <row r="1939">
      <c r="A1939" s="2" t="s">
        <v>9407</v>
      </c>
      <c r="B1939" s="2" t="s">
        <v>299</v>
      </c>
      <c r="C1939" s="2" t="s">
        <v>345</v>
      </c>
      <c r="D1939" s="2" t="s">
        <v>301</v>
      </c>
      <c r="E1939" s="2" t="s">
        <v>302</v>
      </c>
      <c r="F1939" s="2" t="s">
        <v>9408</v>
      </c>
      <c r="G1939" s="2" t="s">
        <v>9408</v>
      </c>
      <c r="H1939" s="2" t="s">
        <v>9408</v>
      </c>
      <c r="I1939" s="2" t="s">
        <v>347</v>
      </c>
      <c r="J1939" s="2" t="s">
        <v>264</v>
      </c>
      <c r="K1939" s="2" t="s">
        <v>9409</v>
      </c>
      <c r="L1939" s="3">
        <v>15</v>
      </c>
      <c r="M1939" s="3">
        <v>15.75</v>
      </c>
      <c r="N1939" s="3">
        <v>29.99</v>
      </c>
      <c r="O1939" s="2" t="s">
        <v>240</v>
      </c>
      <c r="P1939" s="2" t="s">
        <v>266</v>
      </c>
      <c r="Q1939" s="2" t="s">
        <v>234</v>
      </c>
      <c r="R1939" s="2" t="s">
        <v>228</v>
      </c>
      <c r="S1939" s="2" t="s">
        <v>9410</v>
      </c>
      <c r="T1939" s="2" t="s">
        <v>9411</v>
      </c>
      <c r="U1939" s="2" t="s">
        <v>500</v>
      </c>
      <c r="V1939" s="2" t="s">
        <v>1644</v>
      </c>
      <c r="W1939" s="2" t="s">
        <v>309</v>
      </c>
      <c r="X1939" s="2" t="s">
        <v>269</v>
      </c>
      <c r="Y1939" s="2" t="s">
        <v>7685</v>
      </c>
      <c r="Z1939" s="4">
        <v>82</v>
      </c>
      <c r="AA1939" s="4">
        <f>=ROUNDDOWN(24.8484848484848,0)</f>
      </c>
      <c r="AB1939" s="5">
        <v>3.3</v>
      </c>
      <c r="AC1939" s="2" t="s">
        <v>187</v>
      </c>
      <c r="AD1939" s="4">
        <v>110</v>
      </c>
      <c r="AE1939" s="4">
        <v>110</v>
      </c>
      <c r="AF1939" s="6">
        <v>65</v>
      </c>
      <c r="AG1939" s="6"/>
      <c r="AH1939" s="7">
        <v>1</v>
      </c>
      <c r="AI1939" s="4"/>
      <c r="AJ1939" s="4">
        <f>=ROUNDDOWN({0},0)</f>
      </c>
      <c r="AK1939" s="5"/>
      <c r="AL1939" s="2" t="s">
        <v>228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 t="s">
        <v>228</v>
      </c>
      <c r="AW1939" s="8" t="s">
        <v>228</v>
      </c>
      <c r="AX1939" s="4" t="s">
        <v>228</v>
      </c>
      <c r="AY1939" s="8" t="s">
        <v>228</v>
      </c>
      <c r="AZ1939" s="7" t="s">
        <v>228</v>
      </c>
      <c r="BA1939" s="7" t="s">
        <v>228</v>
      </c>
      <c r="BB1939" s="7"/>
      <c r="BC1939" s="4" t="s">
        <v>228</v>
      </c>
      <c r="BD1939" s="8" t="s">
        <v>228</v>
      </c>
      <c r="BE1939" s="4" t="s">
        <v>228</v>
      </c>
      <c r="BF1939" s="8" t="s">
        <v>228</v>
      </c>
      <c r="BG1939" s="7" t="s">
        <v>228</v>
      </c>
      <c r="BH1939" s="7" t="s">
        <v>228</v>
      </c>
      <c r="BI1939" s="7"/>
      <c r="BJ1939" s="4">
        <v>14</v>
      </c>
      <c r="BK1939" s="8">
        <v>229.83</v>
      </c>
      <c r="BL1939" s="2" t="s">
        <v>360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9412</v>
      </c>
      <c r="BV1939" s="2" t="s">
        <v>228</v>
      </c>
      <c r="BW1939" s="2" t="s">
        <v>228</v>
      </c>
      <c r="BX1939" s="2" t="s">
        <v>273</v>
      </c>
      <c r="BY1939" s="2" t="s">
        <v>274</v>
      </c>
      <c r="BZ1939" s="2" t="s">
        <v>240</v>
      </c>
      <c r="CA1939" s="2" t="s">
        <v>1004</v>
      </c>
      <c r="CB1939" s="2" t="s">
        <v>2643</v>
      </c>
      <c r="CC1939" s="2" t="s">
        <v>241</v>
      </c>
      <c r="CD1939" s="2" t="s">
        <v>228</v>
      </c>
      <c r="CE1939" s="4">
        <v>82</v>
      </c>
      <c r="CF1939" s="4"/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  <c r="DL1939" s="4"/>
      <c r="DM1939" s="4"/>
      <c r="DN1939" s="4"/>
      <c r="DO1939" s="4"/>
      <c r="DP1939" s="4"/>
      <c r="DQ1939" s="4"/>
      <c r="DR1939" s="4"/>
      <c r="DS1939" s="4"/>
      <c r="DT1939" s="4"/>
      <c r="DU1939" s="4"/>
      <c r="DV1939" s="4"/>
      <c r="DW1939" s="4"/>
      <c r="DX1939" s="4"/>
      <c r="DY1939" s="4"/>
      <c r="DZ1939" s="4"/>
      <c r="EA1939" s="4"/>
      <c r="EB1939" s="4"/>
      <c r="EC1939" s="4"/>
      <c r="ED1939" s="4"/>
      <c r="EE1939" s="4"/>
      <c r="EF1939" s="4"/>
      <c r="EG1939" s="4"/>
      <c r="EH1939" s="4"/>
      <c r="EI1939" s="4"/>
      <c r="EJ1939" s="4"/>
      <c r="EK1939" s="4"/>
      <c r="EL1939" s="4"/>
      <c r="EM1939" s="4"/>
      <c r="EN1939" s="4"/>
      <c r="EO1939" s="4"/>
      <c r="EP1939" s="4"/>
      <c r="EQ1939" s="4"/>
      <c r="ER1939" s="4"/>
      <c r="ES1939" s="4"/>
      <c r="ET1939" s="4"/>
      <c r="EU1939" s="4"/>
      <c r="EV1939" s="4"/>
      <c r="EW1939" s="4"/>
      <c r="EX1939" s="4"/>
      <c r="EY1939" s="4"/>
      <c r="EZ1939" s="4"/>
      <c r="FA1939" s="4"/>
      <c r="FB1939" s="4"/>
      <c r="FC1939" s="4"/>
      <c r="FD1939" s="4"/>
      <c r="FE1939" s="4"/>
      <c r="FF1939" s="4"/>
      <c r="FG1939" s="4"/>
      <c r="FH1939" s="4"/>
      <c r="FI1939" s="4"/>
      <c r="FJ1939" s="4"/>
      <c r="FK1939" s="4"/>
      <c r="FL1939" s="4"/>
      <c r="FM1939" s="4"/>
      <c r="FN1939" s="4"/>
      <c r="FO1939" s="4"/>
      <c r="FP1939" s="4"/>
      <c r="FQ1939" s="4"/>
      <c r="FR1939" s="4"/>
      <c r="FS1939" s="4"/>
      <c r="FT1939" s="4"/>
      <c r="FU1939" s="4"/>
      <c r="FV1939" s="4"/>
      <c r="FW1939" s="4">
        <v>110</v>
      </c>
      <c r="FX1939" s="4"/>
      <c r="FY1939" s="4"/>
      <c r="FZ1939" s="4"/>
      <c r="GA1939" s="4"/>
      <c r="GB1939" s="4"/>
      <c r="GC1939" s="4"/>
      <c r="GD1939" s="4"/>
      <c r="GE1939" s="4"/>
      <c r="GF1939" s="4"/>
      <c r="GG1939" s="4"/>
      <c r="GH1939" s="4"/>
      <c r="GI1939" s="4"/>
      <c r="GJ1939" s="4"/>
      <c r="GK1939" s="4"/>
      <c r="GL1939" s="4"/>
      <c r="GM1939" s="4"/>
      <c r="GN1939" s="4"/>
      <c r="GO1939" s="4"/>
      <c r="GP1939" s="4"/>
      <c r="GQ1939" s="4"/>
      <c r="GR1939" s="4"/>
      <c r="GS1939" s="4"/>
      <c r="GT1939" s="4"/>
      <c r="GU1939" s="4"/>
      <c r="GV1939" s="4"/>
      <c r="GW1939" s="4"/>
      <c r="GX1939" s="4"/>
      <c r="GY1939" s="4"/>
      <c r="GZ1939" s="4"/>
      <c r="HA1939" s="4"/>
      <c r="HB1939" s="4"/>
      <c r="HC1939" s="4"/>
      <c r="HD1939" s="4"/>
      <c r="HE1939" s="4"/>
    </row>
    <row r="1940">
      <c r="A1940" s="2" t="s">
        <v>9413</v>
      </c>
      <c r="B1940" s="2" t="s">
        <v>299</v>
      </c>
      <c r="C1940" s="2" t="s">
        <v>345</v>
      </c>
      <c r="D1940" s="2" t="s">
        <v>301</v>
      </c>
      <c r="E1940" s="2" t="s">
        <v>302</v>
      </c>
      <c r="F1940" s="2" t="s">
        <v>9408</v>
      </c>
      <c r="G1940" s="2" t="s">
        <v>9408</v>
      </c>
      <c r="H1940" s="2" t="s">
        <v>9408</v>
      </c>
      <c r="I1940" s="2" t="s">
        <v>347</v>
      </c>
      <c r="J1940" s="2" t="s">
        <v>289</v>
      </c>
      <c r="K1940" s="2" t="s">
        <v>9409</v>
      </c>
      <c r="L1940" s="3">
        <v>19</v>
      </c>
      <c r="M1940" s="3">
        <v>19.95</v>
      </c>
      <c r="N1940" s="3">
        <v>37.99</v>
      </c>
      <c r="O1940" s="2" t="s">
        <v>240</v>
      </c>
      <c r="P1940" s="2" t="s">
        <v>266</v>
      </c>
      <c r="Q1940" s="2" t="s">
        <v>234</v>
      </c>
      <c r="R1940" s="2" t="s">
        <v>228</v>
      </c>
      <c r="S1940" s="2" t="s">
        <v>9410</v>
      </c>
      <c r="T1940" s="2" t="s">
        <v>9411</v>
      </c>
      <c r="U1940" s="2" t="s">
        <v>308</v>
      </c>
      <c r="V1940" s="2" t="s">
        <v>1644</v>
      </c>
      <c r="W1940" s="2" t="s">
        <v>309</v>
      </c>
      <c r="X1940" s="2" t="s">
        <v>269</v>
      </c>
      <c r="Y1940" s="2" t="s">
        <v>7685</v>
      </c>
      <c r="Z1940" s="4">
        <v>294</v>
      </c>
      <c r="AA1940" s="4">
        <f>=ROUNDDOWN(34.1860465116279,0)</f>
      </c>
      <c r="AB1940" s="5">
        <v>8.6</v>
      </c>
      <c r="AC1940" s="2" t="s">
        <v>187</v>
      </c>
      <c r="AD1940" s="4">
        <v>120</v>
      </c>
      <c r="AE1940" s="4">
        <v>360</v>
      </c>
      <c r="AF1940" s="6">
        <v>65</v>
      </c>
      <c r="AG1940" s="6"/>
      <c r="AH1940" s="7">
        <v>1</v>
      </c>
      <c r="AI1940" s="4"/>
      <c r="AJ1940" s="4">
        <f>=ROUNDDOWN({0},0)</f>
      </c>
      <c r="AK1940" s="5"/>
      <c r="AL1940" s="2" t="s">
        <v>228</v>
      </c>
      <c r="AM1940" s="4"/>
      <c r="AN1940" s="4"/>
      <c r="AO1940" s="7"/>
      <c r="AP1940" s="4"/>
      <c r="AQ1940" s="8"/>
      <c r="AR1940" s="4"/>
      <c r="AS1940" s="8"/>
      <c r="AT1940" s="7"/>
      <c r="AU1940" s="7"/>
      <c r="AV1940" s="4" t="s">
        <v>228</v>
      </c>
      <c r="AW1940" s="8" t="s">
        <v>228</v>
      </c>
      <c r="AX1940" s="4" t="s">
        <v>228</v>
      </c>
      <c r="AY1940" s="8" t="s">
        <v>228</v>
      </c>
      <c r="AZ1940" s="7" t="s">
        <v>228</v>
      </c>
      <c r="BA1940" s="7" t="s">
        <v>228</v>
      </c>
      <c r="BB1940" s="7"/>
      <c r="BC1940" s="4" t="s">
        <v>228</v>
      </c>
      <c r="BD1940" s="8" t="s">
        <v>228</v>
      </c>
      <c r="BE1940" s="4" t="s">
        <v>228</v>
      </c>
      <c r="BF1940" s="8" t="s">
        <v>228</v>
      </c>
      <c r="BG1940" s="7" t="s">
        <v>228</v>
      </c>
      <c r="BH1940" s="7" t="s">
        <v>228</v>
      </c>
      <c r="BI1940" s="7"/>
      <c r="BJ1940" s="4">
        <v>41</v>
      </c>
      <c r="BK1940" s="8">
        <v>877.64</v>
      </c>
      <c r="BL1940" s="2" t="s">
        <v>9414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9415</v>
      </c>
      <c r="BV1940" s="2" t="s">
        <v>228</v>
      </c>
      <c r="BW1940" s="2" t="s">
        <v>228</v>
      </c>
      <c r="BX1940" s="2" t="s">
        <v>273</v>
      </c>
      <c r="BY1940" s="2" t="s">
        <v>274</v>
      </c>
      <c r="BZ1940" s="2" t="s">
        <v>240</v>
      </c>
      <c r="CA1940" s="2" t="s">
        <v>1004</v>
      </c>
      <c r="CB1940" s="2" t="s">
        <v>932</v>
      </c>
      <c r="CC1940" s="2" t="s">
        <v>241</v>
      </c>
      <c r="CD1940" s="2" t="s">
        <v>228</v>
      </c>
      <c r="CE1940" s="4">
        <v>294</v>
      </c>
      <c r="CF1940" s="4"/>
      <c r="CG1940" s="4"/>
      <c r="CH1940" s="4"/>
      <c r="CI1940" s="4"/>
      <c r="CJ1940" s="4"/>
      <c r="CK1940" s="4"/>
      <c r="CL1940" s="4"/>
      <c r="CM1940" s="4"/>
      <c r="CN1940" s="4"/>
      <c r="CO1940" s="4"/>
      <c r="CP1940" s="4"/>
      <c r="CQ1940" s="4"/>
      <c r="CR1940" s="4"/>
      <c r="CS1940" s="4"/>
      <c r="CT1940" s="4"/>
      <c r="CU1940" s="4"/>
      <c r="CV1940" s="4"/>
      <c r="CW1940" s="4"/>
      <c r="CX1940" s="4"/>
      <c r="CY1940" s="4"/>
      <c r="CZ1940" s="4"/>
      <c r="DA1940" s="4"/>
      <c r="DB1940" s="4"/>
      <c r="DC1940" s="4"/>
      <c r="DD1940" s="4"/>
      <c r="DE1940" s="4"/>
      <c r="DF1940" s="4"/>
      <c r="DG1940" s="4"/>
      <c r="DH1940" s="4"/>
      <c r="DI1940" s="4"/>
      <c r="DJ1940" s="4"/>
      <c r="DK1940" s="4"/>
      <c r="DL1940" s="4"/>
      <c r="DM1940" s="4"/>
      <c r="DN1940" s="4"/>
      <c r="DO1940" s="4"/>
      <c r="DP1940" s="4"/>
      <c r="DQ1940" s="4"/>
      <c r="DR1940" s="4"/>
      <c r="DS1940" s="4"/>
      <c r="DT1940" s="4"/>
      <c r="DU1940" s="4"/>
      <c r="DV1940" s="4"/>
      <c r="DW1940" s="4"/>
      <c r="DX1940" s="4"/>
      <c r="DY1940" s="4"/>
      <c r="DZ1940" s="4"/>
      <c r="EA1940" s="4"/>
      <c r="EB1940" s="4"/>
      <c r="EC1940" s="4"/>
      <c r="ED1940" s="4"/>
      <c r="EE1940" s="4"/>
      <c r="EF1940" s="4"/>
      <c r="EG1940" s="4"/>
      <c r="EH1940" s="4"/>
      <c r="EI1940" s="4"/>
      <c r="EJ1940" s="4"/>
      <c r="EK1940" s="4"/>
      <c r="EL1940" s="4"/>
      <c r="EM1940" s="4"/>
      <c r="EN1940" s="4"/>
      <c r="EO1940" s="4"/>
      <c r="EP1940" s="4"/>
      <c r="EQ1940" s="4"/>
      <c r="ER1940" s="4"/>
      <c r="ES1940" s="4"/>
      <c r="ET1940" s="4"/>
      <c r="EU1940" s="4"/>
      <c r="EV1940" s="4"/>
      <c r="EW1940" s="4"/>
      <c r="EX1940" s="4"/>
      <c r="EY1940" s="4"/>
      <c r="EZ1940" s="4"/>
      <c r="FA1940" s="4"/>
      <c r="FB1940" s="4"/>
      <c r="FC1940" s="4"/>
      <c r="FD1940" s="4"/>
      <c r="FE1940" s="4"/>
      <c r="FF1940" s="4"/>
      <c r="FG1940" s="4"/>
      <c r="FH1940" s="4"/>
      <c r="FI1940" s="4"/>
      <c r="FJ1940" s="4"/>
      <c r="FK1940" s="4"/>
      <c r="FL1940" s="4"/>
      <c r="FM1940" s="4"/>
      <c r="FN1940" s="4"/>
      <c r="FO1940" s="4"/>
      <c r="FP1940" s="4"/>
      <c r="FQ1940" s="4"/>
      <c r="FR1940" s="4"/>
      <c r="FS1940" s="4"/>
      <c r="FT1940" s="4"/>
      <c r="FU1940" s="4"/>
      <c r="FV1940" s="4"/>
      <c r="FW1940" s="4">
        <v>120</v>
      </c>
      <c r="FX1940" s="4"/>
      <c r="FY1940" s="4"/>
      <c r="FZ1940" s="4"/>
      <c r="GA1940" s="4"/>
      <c r="GB1940" s="4"/>
      <c r="GC1940" s="4"/>
      <c r="GD1940" s="4"/>
      <c r="GE1940" s="4"/>
      <c r="GF1940" s="4"/>
      <c r="GG1940" s="4"/>
      <c r="GH1940" s="4"/>
      <c r="GI1940" s="4"/>
      <c r="GJ1940" s="4"/>
      <c r="GK1940" s="4"/>
      <c r="GL1940" s="4"/>
      <c r="GM1940" s="4"/>
      <c r="GN1940" s="4"/>
      <c r="GO1940" s="4"/>
      <c r="GP1940" s="4"/>
      <c r="GQ1940" s="4"/>
      <c r="GR1940" s="4"/>
      <c r="GS1940" s="4"/>
      <c r="GT1940" s="4"/>
      <c r="GU1940" s="4"/>
      <c r="GV1940" s="4"/>
      <c r="GW1940" s="4"/>
      <c r="GX1940" s="4"/>
      <c r="GY1940" s="4"/>
      <c r="GZ1940" s="4">
        <v>40</v>
      </c>
      <c r="HA1940" s="4"/>
      <c r="HB1940" s="4"/>
      <c r="HC1940" s="4"/>
      <c r="HD1940" s="4"/>
      <c r="HE1940" s="4">
        <v>200</v>
      </c>
    </row>
    <row r="1941">
      <c r="A1941" s="2" t="s">
        <v>9416</v>
      </c>
      <c r="B1941" s="2" t="s">
        <v>299</v>
      </c>
      <c r="C1941" s="2" t="s">
        <v>345</v>
      </c>
      <c r="D1941" s="2" t="s">
        <v>301</v>
      </c>
      <c r="E1941" s="2" t="s">
        <v>302</v>
      </c>
      <c r="F1941" s="2" t="s">
        <v>9408</v>
      </c>
      <c r="G1941" s="2" t="s">
        <v>9408</v>
      </c>
      <c r="H1941" s="2" t="s">
        <v>9408</v>
      </c>
      <c r="I1941" s="2" t="s">
        <v>347</v>
      </c>
      <c r="J1941" s="2" t="s">
        <v>294</v>
      </c>
      <c r="K1941" s="2" t="s">
        <v>9409</v>
      </c>
      <c r="L1941" s="3">
        <v>21.5</v>
      </c>
      <c r="M1941" s="3">
        <v>22.58</v>
      </c>
      <c r="N1941" s="3">
        <v>42.99</v>
      </c>
      <c r="O1941" s="2" t="s">
        <v>240</v>
      </c>
      <c r="P1941" s="2" t="s">
        <v>266</v>
      </c>
      <c r="Q1941" s="2" t="s">
        <v>234</v>
      </c>
      <c r="R1941" s="2" t="s">
        <v>228</v>
      </c>
      <c r="S1941" s="2" t="s">
        <v>9410</v>
      </c>
      <c r="T1941" s="2" t="s">
        <v>9411</v>
      </c>
      <c r="U1941" s="2" t="s">
        <v>308</v>
      </c>
      <c r="V1941" s="2" t="s">
        <v>1644</v>
      </c>
      <c r="W1941" s="2" t="s">
        <v>309</v>
      </c>
      <c r="X1941" s="2" t="s">
        <v>269</v>
      </c>
      <c r="Y1941" s="2" t="s">
        <v>7685</v>
      </c>
      <c r="Z1941" s="4">
        <v>126</v>
      </c>
      <c r="AA1941" s="4">
        <f>=ROUNDDOWN(20.655737704918,0)</f>
      </c>
      <c r="AB1941" s="5">
        <v>6.1</v>
      </c>
      <c r="AC1941" s="2" t="s">
        <v>187</v>
      </c>
      <c r="AD1941" s="4">
        <v>130</v>
      </c>
      <c r="AE1941" s="4">
        <v>390</v>
      </c>
      <c r="AF1941" s="6">
        <v>65</v>
      </c>
      <c r="AG1941" s="6"/>
      <c r="AH1941" s="7">
        <v>1</v>
      </c>
      <c r="AI1941" s="4"/>
      <c r="AJ1941" s="4">
        <f>=ROUNDDOWN({0},0)</f>
      </c>
      <c r="AK1941" s="5"/>
      <c r="AL1941" s="2" t="s">
        <v>228</v>
      </c>
      <c r="AM1941" s="4"/>
      <c r="AN1941" s="4"/>
      <c r="AO1941" s="7"/>
      <c r="AP1941" s="4"/>
      <c r="AQ1941" s="8"/>
      <c r="AR1941" s="4"/>
      <c r="AS1941" s="8"/>
      <c r="AT1941" s="7"/>
      <c r="AU1941" s="7"/>
      <c r="AV1941" s="4" t="s">
        <v>228</v>
      </c>
      <c r="AW1941" s="8" t="s">
        <v>228</v>
      </c>
      <c r="AX1941" s="4" t="s">
        <v>228</v>
      </c>
      <c r="AY1941" s="8" t="s">
        <v>228</v>
      </c>
      <c r="AZ1941" s="7" t="s">
        <v>228</v>
      </c>
      <c r="BA1941" s="7" t="s">
        <v>228</v>
      </c>
      <c r="BB1941" s="7"/>
      <c r="BC1941" s="4" t="s">
        <v>228</v>
      </c>
      <c r="BD1941" s="8" t="s">
        <v>228</v>
      </c>
      <c r="BE1941" s="4" t="s">
        <v>228</v>
      </c>
      <c r="BF1941" s="8" t="s">
        <v>228</v>
      </c>
      <c r="BG1941" s="7" t="s">
        <v>228</v>
      </c>
      <c r="BH1941" s="7" t="s">
        <v>228</v>
      </c>
      <c r="BI1941" s="7"/>
      <c r="BJ1941" s="4">
        <v>21</v>
      </c>
      <c r="BK1941" s="8">
        <v>500</v>
      </c>
      <c r="BL1941" s="2" t="s">
        <v>357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9417</v>
      </c>
      <c r="BV1941" s="2" t="s">
        <v>228</v>
      </c>
      <c r="BW1941" s="2" t="s">
        <v>228</v>
      </c>
      <c r="BX1941" s="2" t="s">
        <v>273</v>
      </c>
      <c r="BY1941" s="2" t="s">
        <v>274</v>
      </c>
      <c r="BZ1941" s="2" t="s">
        <v>240</v>
      </c>
      <c r="CA1941" s="2" t="s">
        <v>1004</v>
      </c>
      <c r="CB1941" s="2" t="s">
        <v>1824</v>
      </c>
      <c r="CC1941" s="2" t="s">
        <v>241</v>
      </c>
      <c r="CD1941" s="2" t="s">
        <v>228</v>
      </c>
      <c r="CE1941" s="4">
        <v>126</v>
      </c>
      <c r="CF1941" s="4"/>
      <c r="CG1941" s="4"/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/>
      <c r="CW1941" s="4"/>
      <c r="CX1941" s="4"/>
      <c r="CY1941" s="4"/>
      <c r="CZ1941" s="4"/>
      <c r="DA1941" s="4"/>
      <c r="DB1941" s="4"/>
      <c r="DC1941" s="4"/>
      <c r="DD1941" s="4"/>
      <c r="DE1941" s="4"/>
      <c r="DF1941" s="4"/>
      <c r="DG1941" s="4"/>
      <c r="DH1941" s="4"/>
      <c r="DI1941" s="4"/>
      <c r="DJ1941" s="4"/>
      <c r="DK1941" s="4"/>
      <c r="DL1941" s="4"/>
      <c r="DM1941" s="4"/>
      <c r="DN1941" s="4"/>
      <c r="DO1941" s="4"/>
      <c r="DP1941" s="4"/>
      <c r="DQ1941" s="4"/>
      <c r="DR1941" s="4"/>
      <c r="DS1941" s="4"/>
      <c r="DT1941" s="4"/>
      <c r="DU1941" s="4"/>
      <c r="DV1941" s="4"/>
      <c r="DW1941" s="4"/>
      <c r="DX1941" s="4"/>
      <c r="DY1941" s="4"/>
      <c r="DZ1941" s="4"/>
      <c r="EA1941" s="4"/>
      <c r="EB1941" s="4"/>
      <c r="EC1941" s="4"/>
      <c r="ED1941" s="4"/>
      <c r="EE1941" s="4"/>
      <c r="EF1941" s="4"/>
      <c r="EG1941" s="4"/>
      <c r="EH1941" s="4"/>
      <c r="EI1941" s="4"/>
      <c r="EJ1941" s="4"/>
      <c r="EK1941" s="4"/>
      <c r="EL1941" s="4"/>
      <c r="EM1941" s="4"/>
      <c r="EN1941" s="4"/>
      <c r="EO1941" s="4"/>
      <c r="EP1941" s="4"/>
      <c r="EQ1941" s="4"/>
      <c r="ER1941" s="4"/>
      <c r="ES1941" s="4"/>
      <c r="ET1941" s="4"/>
      <c r="EU1941" s="4"/>
      <c r="EV1941" s="4"/>
      <c r="EW1941" s="4"/>
      <c r="EX1941" s="4"/>
      <c r="EY1941" s="4"/>
      <c r="EZ1941" s="4"/>
      <c r="FA1941" s="4"/>
      <c r="FB1941" s="4"/>
      <c r="FC1941" s="4"/>
      <c r="FD1941" s="4"/>
      <c r="FE1941" s="4"/>
      <c r="FF1941" s="4"/>
      <c r="FG1941" s="4"/>
      <c r="FH1941" s="4"/>
      <c r="FI1941" s="4"/>
      <c r="FJ1941" s="4"/>
      <c r="FK1941" s="4"/>
      <c r="FL1941" s="4"/>
      <c r="FM1941" s="4"/>
      <c r="FN1941" s="4"/>
      <c r="FO1941" s="4"/>
      <c r="FP1941" s="4"/>
      <c r="FQ1941" s="4"/>
      <c r="FR1941" s="4"/>
      <c r="FS1941" s="4"/>
      <c r="FT1941" s="4"/>
      <c r="FU1941" s="4"/>
      <c r="FV1941" s="4"/>
      <c r="FW1941" s="4">
        <v>130</v>
      </c>
      <c r="FX1941" s="4"/>
      <c r="FY1941" s="4"/>
      <c r="FZ1941" s="4"/>
      <c r="GA1941" s="4"/>
      <c r="GB1941" s="4"/>
      <c r="GC1941" s="4"/>
      <c r="GD1941" s="4"/>
      <c r="GE1941" s="4"/>
      <c r="GF1941" s="4"/>
      <c r="GG1941" s="4"/>
      <c r="GH1941" s="4"/>
      <c r="GI1941" s="4"/>
      <c r="GJ1941" s="4"/>
      <c r="GK1941" s="4"/>
      <c r="GL1941" s="4"/>
      <c r="GM1941" s="4"/>
      <c r="GN1941" s="4"/>
      <c r="GO1941" s="4"/>
      <c r="GP1941" s="4"/>
      <c r="GQ1941" s="4"/>
      <c r="GR1941" s="4"/>
      <c r="GS1941" s="4"/>
      <c r="GT1941" s="4"/>
      <c r="GU1941" s="4"/>
      <c r="GV1941" s="4"/>
      <c r="GW1941" s="4"/>
      <c r="GX1941" s="4"/>
      <c r="GY1941" s="4"/>
      <c r="GZ1941" s="4">
        <v>70</v>
      </c>
      <c r="HA1941" s="4"/>
      <c r="HB1941" s="4"/>
      <c r="HC1941" s="4"/>
      <c r="HD1941" s="4"/>
      <c r="HE1941" s="4">
        <v>190</v>
      </c>
    </row>
    <row r="1942">
      <c r="A1942" s="2" t="s">
        <v>9418</v>
      </c>
      <c r="B1942" s="2" t="s">
        <v>299</v>
      </c>
      <c r="C1942" s="2" t="s">
        <v>345</v>
      </c>
      <c r="D1942" s="2" t="s">
        <v>301</v>
      </c>
      <c r="E1942" s="2" t="s">
        <v>302</v>
      </c>
      <c r="F1942" s="2" t="s">
        <v>9408</v>
      </c>
      <c r="G1942" s="2" t="s">
        <v>9408</v>
      </c>
      <c r="H1942" s="2" t="s">
        <v>9408</v>
      </c>
      <c r="I1942" s="2" t="s">
        <v>347</v>
      </c>
      <c r="J1942" s="2" t="s">
        <v>264</v>
      </c>
      <c r="K1942" s="2" t="s">
        <v>9419</v>
      </c>
      <c r="L1942" s="3">
        <v>15</v>
      </c>
      <c r="M1942" s="3">
        <v>15.75</v>
      </c>
      <c r="N1942" s="3">
        <v>29.99</v>
      </c>
      <c r="O1942" s="2" t="s">
        <v>240</v>
      </c>
      <c r="P1942" s="2" t="s">
        <v>266</v>
      </c>
      <c r="Q1942" s="2" t="s">
        <v>234</v>
      </c>
      <c r="R1942" s="2" t="s">
        <v>228</v>
      </c>
      <c r="S1942" s="2" t="s">
        <v>9420</v>
      </c>
      <c r="T1942" s="2" t="s">
        <v>9411</v>
      </c>
      <c r="U1942" s="2" t="s">
        <v>500</v>
      </c>
      <c r="V1942" s="2" t="s">
        <v>2042</v>
      </c>
      <c r="W1942" s="2" t="s">
        <v>309</v>
      </c>
      <c r="X1942" s="2" t="s">
        <v>269</v>
      </c>
      <c r="Y1942" s="2" t="s">
        <v>9421</v>
      </c>
      <c r="Z1942" s="4">
        <v>171</v>
      </c>
      <c r="AA1942" s="4">
        <f>=ROUNDDOWN(26.71875,0)</f>
      </c>
      <c r="AB1942" s="5">
        <v>6.4</v>
      </c>
      <c r="AC1942" s="2" t="s">
        <v>216</v>
      </c>
      <c r="AD1942" s="4">
        <v>200</v>
      </c>
      <c r="AE1942" s="4">
        <v>240</v>
      </c>
      <c r="AF1942" s="6">
        <v>65</v>
      </c>
      <c r="AG1942" s="6"/>
      <c r="AH1942" s="7">
        <v>1</v>
      </c>
      <c r="AI1942" s="4"/>
      <c r="AJ1942" s="4">
        <f>=ROUNDDOWN({0},0)</f>
      </c>
      <c r="AK1942" s="5"/>
      <c r="AL1942" s="2" t="s">
        <v>228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 t="s">
        <v>228</v>
      </c>
      <c r="AW1942" s="8" t="s">
        <v>228</v>
      </c>
      <c r="AX1942" s="4" t="s">
        <v>228</v>
      </c>
      <c r="AY1942" s="8" t="s">
        <v>228</v>
      </c>
      <c r="AZ1942" s="7" t="s">
        <v>228</v>
      </c>
      <c r="BA1942" s="7" t="s">
        <v>228</v>
      </c>
      <c r="BB1942" s="7"/>
      <c r="BC1942" s="4" t="s">
        <v>228</v>
      </c>
      <c r="BD1942" s="8" t="s">
        <v>228</v>
      </c>
      <c r="BE1942" s="4" t="s">
        <v>228</v>
      </c>
      <c r="BF1942" s="8" t="s">
        <v>228</v>
      </c>
      <c r="BG1942" s="7" t="s">
        <v>228</v>
      </c>
      <c r="BH1942" s="7" t="s">
        <v>228</v>
      </c>
      <c r="BI1942" s="7"/>
      <c r="BJ1942" s="4">
        <v>47</v>
      </c>
      <c r="BK1942" s="8">
        <v>797.11</v>
      </c>
      <c r="BL1942" s="2" t="s">
        <v>3138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9422</v>
      </c>
      <c r="BV1942" s="2" t="s">
        <v>228</v>
      </c>
      <c r="BW1942" s="2" t="s">
        <v>228</v>
      </c>
      <c r="BX1942" s="2" t="s">
        <v>273</v>
      </c>
      <c r="BY1942" s="2" t="s">
        <v>274</v>
      </c>
      <c r="BZ1942" s="2" t="s">
        <v>240</v>
      </c>
      <c r="CA1942" s="2" t="s">
        <v>9423</v>
      </c>
      <c r="CB1942" s="2" t="s">
        <v>1004</v>
      </c>
      <c r="CC1942" s="2" t="s">
        <v>241</v>
      </c>
      <c r="CD1942" s="2" t="s">
        <v>228</v>
      </c>
      <c r="CE1942" s="4">
        <v>171</v>
      </c>
      <c r="CF1942" s="4"/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  <c r="DL1942" s="4"/>
      <c r="DM1942" s="4"/>
      <c r="DN1942" s="4"/>
      <c r="DO1942" s="4"/>
      <c r="DP1942" s="4"/>
      <c r="DQ1942" s="4"/>
      <c r="DR1942" s="4"/>
      <c r="DS1942" s="4"/>
      <c r="DT1942" s="4"/>
      <c r="DU1942" s="4"/>
      <c r="DV1942" s="4"/>
      <c r="DW1942" s="4"/>
      <c r="DX1942" s="4"/>
      <c r="DY1942" s="4"/>
      <c r="DZ1942" s="4"/>
      <c r="EA1942" s="4"/>
      <c r="EB1942" s="4"/>
      <c r="EC1942" s="4"/>
      <c r="ED1942" s="4"/>
      <c r="EE1942" s="4"/>
      <c r="EF1942" s="4"/>
      <c r="EG1942" s="4"/>
      <c r="EH1942" s="4"/>
      <c r="EI1942" s="4"/>
      <c r="EJ1942" s="4"/>
      <c r="EK1942" s="4"/>
      <c r="EL1942" s="4"/>
      <c r="EM1942" s="4"/>
      <c r="EN1942" s="4"/>
      <c r="EO1942" s="4"/>
      <c r="EP1942" s="4"/>
      <c r="EQ1942" s="4"/>
      <c r="ER1942" s="4"/>
      <c r="ES1942" s="4"/>
      <c r="ET1942" s="4"/>
      <c r="EU1942" s="4"/>
      <c r="EV1942" s="4"/>
      <c r="EW1942" s="4"/>
      <c r="EX1942" s="4"/>
      <c r="EY1942" s="4"/>
      <c r="EZ1942" s="4"/>
      <c r="FA1942" s="4"/>
      <c r="FB1942" s="4"/>
      <c r="FC1942" s="4"/>
      <c r="FD1942" s="4"/>
      <c r="FE1942" s="4"/>
      <c r="FF1942" s="4"/>
      <c r="FG1942" s="4"/>
      <c r="FH1942" s="4"/>
      <c r="FI1942" s="4"/>
      <c r="FJ1942" s="4"/>
      <c r="FK1942" s="4"/>
      <c r="FL1942" s="4"/>
      <c r="FM1942" s="4"/>
      <c r="FN1942" s="4"/>
      <c r="FO1942" s="4"/>
      <c r="FP1942" s="4"/>
      <c r="FQ1942" s="4"/>
      <c r="FR1942" s="4"/>
      <c r="FS1942" s="4"/>
      <c r="FT1942" s="4"/>
      <c r="FU1942" s="4"/>
      <c r="FV1942" s="4"/>
      <c r="FW1942" s="4"/>
      <c r="FX1942" s="4"/>
      <c r="FY1942" s="4"/>
      <c r="FZ1942" s="4"/>
      <c r="GA1942" s="4"/>
      <c r="GB1942" s="4"/>
      <c r="GC1942" s="4"/>
      <c r="GD1942" s="4"/>
      <c r="GE1942" s="4"/>
      <c r="GF1942" s="4"/>
      <c r="GG1942" s="4"/>
      <c r="GH1942" s="4"/>
      <c r="GI1942" s="4"/>
      <c r="GJ1942" s="4"/>
      <c r="GK1942" s="4"/>
      <c r="GL1942" s="4"/>
      <c r="GM1942" s="4"/>
      <c r="GN1942" s="4"/>
      <c r="GO1942" s="4"/>
      <c r="GP1942" s="4"/>
      <c r="GQ1942" s="4"/>
      <c r="GR1942" s="4"/>
      <c r="GS1942" s="4"/>
      <c r="GT1942" s="4"/>
      <c r="GU1942" s="4"/>
      <c r="GV1942" s="4"/>
      <c r="GW1942" s="4"/>
      <c r="GX1942" s="4"/>
      <c r="GY1942" s="4"/>
      <c r="GZ1942" s="4">
        <v>200</v>
      </c>
      <c r="HA1942" s="4"/>
      <c r="HB1942" s="4"/>
      <c r="HC1942" s="4"/>
      <c r="HD1942" s="4"/>
      <c r="HE1942" s="4">
        <v>40</v>
      </c>
    </row>
    <row r="1943">
      <c r="A1943" s="2" t="s">
        <v>9424</v>
      </c>
      <c r="B1943" s="2" t="s">
        <v>299</v>
      </c>
      <c r="C1943" s="2" t="s">
        <v>345</v>
      </c>
      <c r="D1943" s="2" t="s">
        <v>301</v>
      </c>
      <c r="E1943" s="2" t="s">
        <v>302</v>
      </c>
      <c r="F1943" s="2" t="s">
        <v>9408</v>
      </c>
      <c r="G1943" s="2" t="s">
        <v>9408</v>
      </c>
      <c r="H1943" s="2" t="s">
        <v>9408</v>
      </c>
      <c r="I1943" s="2" t="s">
        <v>347</v>
      </c>
      <c r="J1943" s="2" t="s">
        <v>284</v>
      </c>
      <c r="K1943" s="2" t="s">
        <v>9419</v>
      </c>
      <c r="L1943" s="3">
        <v>16.5</v>
      </c>
      <c r="M1943" s="3">
        <v>17.33</v>
      </c>
      <c r="N1943" s="3">
        <v>32.99</v>
      </c>
      <c r="O1943" s="2" t="s">
        <v>240</v>
      </c>
      <c r="P1943" s="2" t="s">
        <v>266</v>
      </c>
      <c r="Q1943" s="2" t="s">
        <v>234</v>
      </c>
      <c r="R1943" s="2" t="s">
        <v>228</v>
      </c>
      <c r="S1943" s="2" t="s">
        <v>9420</v>
      </c>
      <c r="T1943" s="2" t="s">
        <v>9411</v>
      </c>
      <c r="U1943" s="2" t="s">
        <v>308</v>
      </c>
      <c r="V1943" s="2" t="s">
        <v>2042</v>
      </c>
      <c r="W1943" s="2" t="s">
        <v>309</v>
      </c>
      <c r="X1943" s="2" t="s">
        <v>269</v>
      </c>
      <c r="Y1943" s="2" t="s">
        <v>9421</v>
      </c>
      <c r="Z1943" s="4">
        <v>169</v>
      </c>
      <c r="AA1943" s="4">
        <f>=ROUNDDOWN(13.3070866141732,0)</f>
      </c>
      <c r="AB1943" s="5">
        <v>12.7</v>
      </c>
      <c r="AC1943" s="2" t="s">
        <v>160</v>
      </c>
      <c r="AD1943" s="4">
        <v>30</v>
      </c>
      <c r="AE1943" s="4">
        <v>310</v>
      </c>
      <c r="AF1943" s="6">
        <v>65</v>
      </c>
      <c r="AG1943" s="6"/>
      <c r="AH1943" s="7">
        <v>1</v>
      </c>
      <c r="AI1943" s="4"/>
      <c r="AJ1943" s="4">
        <f>=ROUNDDOWN({0},0)</f>
      </c>
      <c r="AK1943" s="5"/>
      <c r="AL1943" s="2" t="s">
        <v>228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 t="s">
        <v>228</v>
      </c>
      <c r="AW1943" s="8" t="s">
        <v>228</v>
      </c>
      <c r="AX1943" s="4" t="s">
        <v>228</v>
      </c>
      <c r="AY1943" s="8" t="s">
        <v>228</v>
      </c>
      <c r="AZ1943" s="7" t="s">
        <v>228</v>
      </c>
      <c r="BA1943" s="7" t="s">
        <v>228</v>
      </c>
      <c r="BB1943" s="7"/>
      <c r="BC1943" s="4" t="s">
        <v>228</v>
      </c>
      <c r="BD1943" s="8" t="s">
        <v>228</v>
      </c>
      <c r="BE1943" s="4" t="s">
        <v>228</v>
      </c>
      <c r="BF1943" s="8" t="s">
        <v>228</v>
      </c>
      <c r="BG1943" s="7" t="s">
        <v>228</v>
      </c>
      <c r="BH1943" s="7" t="s">
        <v>228</v>
      </c>
      <c r="BI1943" s="7"/>
      <c r="BJ1943" s="4">
        <v>60</v>
      </c>
      <c r="BK1943" s="8">
        <v>1131.08</v>
      </c>
      <c r="BL1943" s="2" t="s">
        <v>9425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9426</v>
      </c>
      <c r="BV1943" s="2" t="s">
        <v>228</v>
      </c>
      <c r="BW1943" s="2" t="s">
        <v>228</v>
      </c>
      <c r="BX1943" s="2" t="s">
        <v>273</v>
      </c>
      <c r="BY1943" s="2" t="s">
        <v>274</v>
      </c>
      <c r="BZ1943" s="2" t="s">
        <v>240</v>
      </c>
      <c r="CA1943" s="2" t="s">
        <v>9423</v>
      </c>
      <c r="CB1943" s="2" t="s">
        <v>4750</v>
      </c>
      <c r="CC1943" s="2" t="s">
        <v>241</v>
      </c>
      <c r="CD1943" s="2" t="s">
        <v>228</v>
      </c>
      <c r="CE1943" s="4">
        <v>169</v>
      </c>
      <c r="CF1943" s="4"/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/>
      <c r="DL1943" s="4"/>
      <c r="DM1943" s="4"/>
      <c r="DN1943" s="4"/>
      <c r="DO1943" s="4"/>
      <c r="DP1943" s="4"/>
      <c r="DQ1943" s="4"/>
      <c r="DR1943" s="4"/>
      <c r="DS1943" s="4"/>
      <c r="DT1943" s="4"/>
      <c r="DU1943" s="4"/>
      <c r="DV1943" s="4"/>
      <c r="DW1943" s="4"/>
      <c r="DX1943" s="4"/>
      <c r="DY1943" s="4"/>
      <c r="DZ1943" s="4"/>
      <c r="EA1943" s="4"/>
      <c r="EB1943" s="4"/>
      <c r="EC1943" s="4"/>
      <c r="ED1943" s="4"/>
      <c r="EE1943" s="4"/>
      <c r="EF1943" s="4"/>
      <c r="EG1943" s="4"/>
      <c r="EH1943" s="4"/>
      <c r="EI1943" s="4"/>
      <c r="EJ1943" s="4"/>
      <c r="EK1943" s="4"/>
      <c r="EL1943" s="4"/>
      <c r="EM1943" s="4"/>
      <c r="EN1943" s="4"/>
      <c r="EO1943" s="4"/>
      <c r="EP1943" s="4"/>
      <c r="EQ1943" s="4"/>
      <c r="ER1943" s="4"/>
      <c r="ES1943" s="4"/>
      <c r="ET1943" s="4"/>
      <c r="EU1943" s="4"/>
      <c r="EV1943" s="4">
        <v>30</v>
      </c>
      <c r="EW1943" s="4"/>
      <c r="EX1943" s="4"/>
      <c r="EY1943" s="4"/>
      <c r="EZ1943" s="4"/>
      <c r="FA1943" s="4"/>
      <c r="FB1943" s="4"/>
      <c r="FC1943" s="4"/>
      <c r="FD1943" s="4"/>
      <c r="FE1943" s="4"/>
      <c r="FF1943" s="4"/>
      <c r="FG1943" s="4"/>
      <c r="FH1943" s="4"/>
      <c r="FI1943" s="4"/>
      <c r="FJ1943" s="4"/>
      <c r="FK1943" s="4"/>
      <c r="FL1943" s="4"/>
      <c r="FM1943" s="4"/>
      <c r="FN1943" s="4"/>
      <c r="FO1943" s="4"/>
      <c r="FP1943" s="4"/>
      <c r="FQ1943" s="4"/>
      <c r="FR1943" s="4"/>
      <c r="FS1943" s="4"/>
      <c r="FT1943" s="4"/>
      <c r="FU1943" s="4">
        <v>60</v>
      </c>
      <c r="FV1943" s="4"/>
      <c r="FW1943" s="4"/>
      <c r="FX1943" s="4"/>
      <c r="FY1943" s="4"/>
      <c r="FZ1943" s="4"/>
      <c r="GA1943" s="4"/>
      <c r="GB1943" s="4"/>
      <c r="GC1943" s="4"/>
      <c r="GD1943" s="4"/>
      <c r="GE1943" s="4"/>
      <c r="GF1943" s="4"/>
      <c r="GG1943" s="4"/>
      <c r="GH1943" s="4"/>
      <c r="GI1943" s="4"/>
      <c r="GJ1943" s="4"/>
      <c r="GK1943" s="4"/>
      <c r="GL1943" s="4"/>
      <c r="GM1943" s="4"/>
      <c r="GN1943" s="4"/>
      <c r="GO1943" s="4"/>
      <c r="GP1943" s="4"/>
      <c r="GQ1943" s="4"/>
      <c r="GR1943" s="4"/>
      <c r="GS1943" s="4"/>
      <c r="GT1943" s="4"/>
      <c r="GU1943" s="4"/>
      <c r="GV1943" s="4"/>
      <c r="GW1943" s="4"/>
      <c r="GX1943" s="4"/>
      <c r="GY1943" s="4"/>
      <c r="GZ1943" s="4">
        <v>170</v>
      </c>
      <c r="HA1943" s="4"/>
      <c r="HB1943" s="4"/>
      <c r="HC1943" s="4"/>
      <c r="HD1943" s="4"/>
      <c r="HE1943" s="4">
        <v>50</v>
      </c>
    </row>
    <row r="1944">
      <c r="A1944" s="2" t="s">
        <v>9427</v>
      </c>
      <c r="B1944" s="2" t="s">
        <v>299</v>
      </c>
      <c r="C1944" s="2" t="s">
        <v>345</v>
      </c>
      <c r="D1944" s="2" t="s">
        <v>301</v>
      </c>
      <c r="E1944" s="2" t="s">
        <v>302</v>
      </c>
      <c r="F1944" s="2" t="s">
        <v>9408</v>
      </c>
      <c r="G1944" s="2" t="s">
        <v>9408</v>
      </c>
      <c r="H1944" s="2" t="s">
        <v>9408</v>
      </c>
      <c r="I1944" s="2" t="s">
        <v>347</v>
      </c>
      <c r="J1944" s="2" t="s">
        <v>289</v>
      </c>
      <c r="K1944" s="2" t="s">
        <v>9419</v>
      </c>
      <c r="L1944" s="3">
        <v>19</v>
      </c>
      <c r="M1944" s="3">
        <v>19.95</v>
      </c>
      <c r="N1944" s="3">
        <v>37.99</v>
      </c>
      <c r="O1944" s="2" t="s">
        <v>240</v>
      </c>
      <c r="P1944" s="2" t="s">
        <v>266</v>
      </c>
      <c r="Q1944" s="2" t="s">
        <v>234</v>
      </c>
      <c r="R1944" s="2" t="s">
        <v>228</v>
      </c>
      <c r="S1944" s="2" t="s">
        <v>9420</v>
      </c>
      <c r="T1944" s="2" t="s">
        <v>9411</v>
      </c>
      <c r="U1944" s="2" t="s">
        <v>308</v>
      </c>
      <c r="V1944" s="2" t="s">
        <v>2042</v>
      </c>
      <c r="W1944" s="2" t="s">
        <v>309</v>
      </c>
      <c r="X1944" s="2" t="s">
        <v>269</v>
      </c>
      <c r="Y1944" s="2" t="s">
        <v>9421</v>
      </c>
      <c r="Z1944" s="4">
        <v>296</v>
      </c>
      <c r="AA1944" s="4">
        <f>=ROUNDDOWN(26.4285714285714,0)</f>
      </c>
      <c r="AB1944" s="5">
        <v>11.2</v>
      </c>
      <c r="AC1944" s="2" t="s">
        <v>160</v>
      </c>
      <c r="AD1944" s="4">
        <v>100</v>
      </c>
      <c r="AE1944" s="4">
        <v>480</v>
      </c>
      <c r="AF1944" s="6">
        <v>65</v>
      </c>
      <c r="AG1944" s="6"/>
      <c r="AH1944" s="7">
        <v>1</v>
      </c>
      <c r="AI1944" s="4"/>
      <c r="AJ1944" s="4">
        <f>=ROUNDDOWN({0},0)</f>
      </c>
      <c r="AK1944" s="5"/>
      <c r="AL1944" s="2" t="s">
        <v>228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 t="s">
        <v>228</v>
      </c>
      <c r="AW1944" s="8" t="s">
        <v>228</v>
      </c>
      <c r="AX1944" s="4" t="s">
        <v>228</v>
      </c>
      <c r="AY1944" s="8" t="s">
        <v>228</v>
      </c>
      <c r="AZ1944" s="7" t="s">
        <v>228</v>
      </c>
      <c r="BA1944" s="7" t="s">
        <v>228</v>
      </c>
      <c r="BB1944" s="7"/>
      <c r="BC1944" s="4" t="s">
        <v>228</v>
      </c>
      <c r="BD1944" s="8" t="s">
        <v>228</v>
      </c>
      <c r="BE1944" s="4" t="s">
        <v>228</v>
      </c>
      <c r="BF1944" s="8" t="s">
        <v>228</v>
      </c>
      <c r="BG1944" s="7" t="s">
        <v>228</v>
      </c>
      <c r="BH1944" s="7" t="s">
        <v>228</v>
      </c>
      <c r="BI1944" s="7"/>
      <c r="BJ1944" s="4">
        <v>51</v>
      </c>
      <c r="BK1944" s="8">
        <v>1156.11</v>
      </c>
      <c r="BL1944" s="2" t="s">
        <v>9428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9429</v>
      </c>
      <c r="BV1944" s="2" t="s">
        <v>228</v>
      </c>
      <c r="BW1944" s="2" t="s">
        <v>228</v>
      </c>
      <c r="BX1944" s="2" t="s">
        <v>273</v>
      </c>
      <c r="BY1944" s="2" t="s">
        <v>274</v>
      </c>
      <c r="BZ1944" s="2" t="s">
        <v>240</v>
      </c>
      <c r="CA1944" s="2" t="s">
        <v>9423</v>
      </c>
      <c r="CB1944" s="2" t="s">
        <v>2222</v>
      </c>
      <c r="CC1944" s="2" t="s">
        <v>241</v>
      </c>
      <c r="CD1944" s="2" t="s">
        <v>228</v>
      </c>
      <c r="CE1944" s="4">
        <v>296</v>
      </c>
      <c r="CF1944" s="4"/>
      <c r="CG1944" s="4"/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4"/>
      <c r="CS1944" s="4"/>
      <c r="CT1944" s="4"/>
      <c r="CU1944" s="4"/>
      <c r="CV1944" s="4"/>
      <c r="CW1944" s="4"/>
      <c r="CX1944" s="4"/>
      <c r="CY1944" s="4"/>
      <c r="CZ1944" s="4"/>
      <c r="DA1944" s="4"/>
      <c r="DB1944" s="4"/>
      <c r="DC1944" s="4"/>
      <c r="DD1944" s="4"/>
      <c r="DE1944" s="4"/>
      <c r="DF1944" s="4"/>
      <c r="DG1944" s="4"/>
      <c r="DH1944" s="4"/>
      <c r="DI1944" s="4"/>
      <c r="DJ1944" s="4"/>
      <c r="DK1944" s="4"/>
      <c r="DL1944" s="4"/>
      <c r="DM1944" s="4"/>
      <c r="DN1944" s="4"/>
      <c r="DO1944" s="4"/>
      <c r="DP1944" s="4"/>
      <c r="DQ1944" s="4"/>
      <c r="DR1944" s="4"/>
      <c r="DS1944" s="4"/>
      <c r="DT1944" s="4"/>
      <c r="DU1944" s="4"/>
      <c r="DV1944" s="4"/>
      <c r="DW1944" s="4"/>
      <c r="DX1944" s="4"/>
      <c r="DY1944" s="4"/>
      <c r="DZ1944" s="4"/>
      <c r="EA1944" s="4"/>
      <c r="EB1944" s="4"/>
      <c r="EC1944" s="4"/>
      <c r="ED1944" s="4"/>
      <c r="EE1944" s="4"/>
      <c r="EF1944" s="4"/>
      <c r="EG1944" s="4"/>
      <c r="EH1944" s="4"/>
      <c r="EI1944" s="4"/>
      <c r="EJ1944" s="4"/>
      <c r="EK1944" s="4"/>
      <c r="EL1944" s="4"/>
      <c r="EM1944" s="4"/>
      <c r="EN1944" s="4"/>
      <c r="EO1944" s="4"/>
      <c r="EP1944" s="4"/>
      <c r="EQ1944" s="4"/>
      <c r="ER1944" s="4"/>
      <c r="ES1944" s="4"/>
      <c r="ET1944" s="4"/>
      <c r="EU1944" s="4"/>
      <c r="EV1944" s="4">
        <v>100</v>
      </c>
      <c r="EW1944" s="4"/>
      <c r="EX1944" s="4"/>
      <c r="EY1944" s="4"/>
      <c r="EZ1944" s="4"/>
      <c r="FA1944" s="4"/>
      <c r="FB1944" s="4"/>
      <c r="FC1944" s="4"/>
      <c r="FD1944" s="4"/>
      <c r="FE1944" s="4"/>
      <c r="FF1944" s="4"/>
      <c r="FG1944" s="4"/>
      <c r="FH1944" s="4"/>
      <c r="FI1944" s="4"/>
      <c r="FJ1944" s="4"/>
      <c r="FK1944" s="4"/>
      <c r="FL1944" s="4"/>
      <c r="FM1944" s="4"/>
      <c r="FN1944" s="4"/>
      <c r="FO1944" s="4"/>
      <c r="FP1944" s="4"/>
      <c r="FQ1944" s="4"/>
      <c r="FR1944" s="4"/>
      <c r="FS1944" s="4"/>
      <c r="FT1944" s="4"/>
      <c r="FU1944" s="4">
        <v>120</v>
      </c>
      <c r="FV1944" s="4"/>
      <c r="FW1944" s="4"/>
      <c r="FX1944" s="4"/>
      <c r="FY1944" s="4"/>
      <c r="FZ1944" s="4"/>
      <c r="GA1944" s="4"/>
      <c r="GB1944" s="4"/>
      <c r="GC1944" s="4"/>
      <c r="GD1944" s="4"/>
      <c r="GE1944" s="4"/>
      <c r="GF1944" s="4"/>
      <c r="GG1944" s="4"/>
      <c r="GH1944" s="4"/>
      <c r="GI1944" s="4"/>
      <c r="GJ1944" s="4"/>
      <c r="GK1944" s="4"/>
      <c r="GL1944" s="4"/>
      <c r="GM1944" s="4"/>
      <c r="GN1944" s="4"/>
      <c r="GO1944" s="4"/>
      <c r="GP1944" s="4"/>
      <c r="GQ1944" s="4"/>
      <c r="GR1944" s="4"/>
      <c r="GS1944" s="4"/>
      <c r="GT1944" s="4"/>
      <c r="GU1944" s="4"/>
      <c r="GV1944" s="4"/>
      <c r="GW1944" s="4"/>
      <c r="GX1944" s="4"/>
      <c r="GY1944" s="4"/>
      <c r="GZ1944" s="4">
        <v>200</v>
      </c>
      <c r="HA1944" s="4"/>
      <c r="HB1944" s="4"/>
      <c r="HC1944" s="4"/>
      <c r="HD1944" s="4"/>
      <c r="HE1944" s="4">
        <v>60</v>
      </c>
    </row>
    <row r="1945">
      <c r="A1945" s="2" t="s">
        <v>9430</v>
      </c>
      <c r="B1945" s="2" t="s">
        <v>299</v>
      </c>
      <c r="C1945" s="2" t="s">
        <v>345</v>
      </c>
      <c r="D1945" s="2" t="s">
        <v>301</v>
      </c>
      <c r="E1945" s="2" t="s">
        <v>302</v>
      </c>
      <c r="F1945" s="2" t="s">
        <v>9408</v>
      </c>
      <c r="G1945" s="2" t="s">
        <v>9408</v>
      </c>
      <c r="H1945" s="2" t="s">
        <v>9408</v>
      </c>
      <c r="I1945" s="2" t="s">
        <v>347</v>
      </c>
      <c r="J1945" s="2" t="s">
        <v>264</v>
      </c>
      <c r="K1945" s="2" t="s">
        <v>9431</v>
      </c>
      <c r="L1945" s="3">
        <v>15</v>
      </c>
      <c r="M1945" s="3">
        <v>15.75</v>
      </c>
      <c r="N1945" s="3">
        <v>29.99</v>
      </c>
      <c r="O1945" s="2" t="s">
        <v>240</v>
      </c>
      <c r="P1945" s="2" t="s">
        <v>266</v>
      </c>
      <c r="Q1945" s="2" t="s">
        <v>234</v>
      </c>
      <c r="R1945" s="2" t="s">
        <v>228</v>
      </c>
      <c r="S1945" s="2" t="s">
        <v>9432</v>
      </c>
      <c r="T1945" s="2" t="s">
        <v>9411</v>
      </c>
      <c r="U1945" s="2" t="s">
        <v>500</v>
      </c>
      <c r="V1945" s="2" t="s">
        <v>2042</v>
      </c>
      <c r="W1945" s="2" t="s">
        <v>309</v>
      </c>
      <c r="X1945" s="2" t="s">
        <v>269</v>
      </c>
      <c r="Y1945" s="2" t="s">
        <v>9421</v>
      </c>
      <c r="Z1945" s="4">
        <v>73</v>
      </c>
      <c r="AA1945" s="4">
        <f>=ROUNDDOWN(12.8070175438596,0)</f>
      </c>
      <c r="AB1945" s="5">
        <v>5.7</v>
      </c>
      <c r="AC1945" s="2" t="s">
        <v>160</v>
      </c>
      <c r="AD1945" s="4">
        <v>30</v>
      </c>
      <c r="AE1945" s="4">
        <v>240</v>
      </c>
      <c r="AF1945" s="6">
        <v>65</v>
      </c>
      <c r="AG1945" s="6"/>
      <c r="AH1945" s="7">
        <v>1</v>
      </c>
      <c r="AI1945" s="4"/>
      <c r="AJ1945" s="4">
        <f>=ROUNDDOWN({0},0)</f>
      </c>
      <c r="AK1945" s="5"/>
      <c r="AL1945" s="2" t="s">
        <v>228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 t="s">
        <v>228</v>
      </c>
      <c r="AW1945" s="8" t="s">
        <v>228</v>
      </c>
      <c r="AX1945" s="4" t="s">
        <v>228</v>
      </c>
      <c r="AY1945" s="8" t="s">
        <v>228</v>
      </c>
      <c r="AZ1945" s="7" t="s">
        <v>228</v>
      </c>
      <c r="BA1945" s="7" t="s">
        <v>228</v>
      </c>
      <c r="BB1945" s="7"/>
      <c r="BC1945" s="4" t="s">
        <v>228</v>
      </c>
      <c r="BD1945" s="8" t="s">
        <v>228</v>
      </c>
      <c r="BE1945" s="4" t="s">
        <v>228</v>
      </c>
      <c r="BF1945" s="8" t="s">
        <v>228</v>
      </c>
      <c r="BG1945" s="7" t="s">
        <v>228</v>
      </c>
      <c r="BH1945" s="7" t="s">
        <v>228</v>
      </c>
      <c r="BI1945" s="7"/>
      <c r="BJ1945" s="4">
        <v>31</v>
      </c>
      <c r="BK1945" s="8">
        <v>521.66</v>
      </c>
      <c r="BL1945" s="2" t="s">
        <v>1359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9433</v>
      </c>
      <c r="BV1945" s="2" t="s">
        <v>228</v>
      </c>
      <c r="BW1945" s="2" t="s">
        <v>228</v>
      </c>
      <c r="BX1945" s="2" t="s">
        <v>273</v>
      </c>
      <c r="BY1945" s="2" t="s">
        <v>274</v>
      </c>
      <c r="BZ1945" s="2" t="s">
        <v>240</v>
      </c>
      <c r="CA1945" s="2" t="s">
        <v>9423</v>
      </c>
      <c r="CB1945" s="2" t="s">
        <v>3296</v>
      </c>
      <c r="CC1945" s="2" t="s">
        <v>241</v>
      </c>
      <c r="CD1945" s="2" t="s">
        <v>228</v>
      </c>
      <c r="CE1945" s="4">
        <v>73</v>
      </c>
      <c r="CF1945" s="4"/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4"/>
      <c r="CX1945" s="4"/>
      <c r="CY1945" s="4"/>
      <c r="CZ1945" s="4"/>
      <c r="DA1945" s="4"/>
      <c r="DB1945" s="4"/>
      <c r="DC1945" s="4"/>
      <c r="DD1945" s="4"/>
      <c r="DE1945" s="4"/>
      <c r="DF1945" s="4"/>
      <c r="DG1945" s="4"/>
      <c r="DH1945" s="4"/>
      <c r="DI1945" s="4"/>
      <c r="DJ1945" s="4"/>
      <c r="DK1945" s="4"/>
      <c r="DL1945" s="4"/>
      <c r="DM1945" s="4"/>
      <c r="DN1945" s="4"/>
      <c r="DO1945" s="4"/>
      <c r="DP1945" s="4"/>
      <c r="DQ1945" s="4"/>
      <c r="DR1945" s="4"/>
      <c r="DS1945" s="4"/>
      <c r="DT1945" s="4"/>
      <c r="DU1945" s="4"/>
      <c r="DV1945" s="4"/>
      <c r="DW1945" s="4"/>
      <c r="DX1945" s="4"/>
      <c r="DY1945" s="4"/>
      <c r="DZ1945" s="4"/>
      <c r="EA1945" s="4"/>
      <c r="EB1945" s="4"/>
      <c r="EC1945" s="4"/>
      <c r="ED1945" s="4"/>
      <c r="EE1945" s="4"/>
      <c r="EF1945" s="4"/>
      <c r="EG1945" s="4"/>
      <c r="EH1945" s="4"/>
      <c r="EI1945" s="4"/>
      <c r="EJ1945" s="4"/>
      <c r="EK1945" s="4"/>
      <c r="EL1945" s="4"/>
      <c r="EM1945" s="4"/>
      <c r="EN1945" s="4"/>
      <c r="EO1945" s="4"/>
      <c r="EP1945" s="4"/>
      <c r="EQ1945" s="4"/>
      <c r="ER1945" s="4"/>
      <c r="ES1945" s="4"/>
      <c r="ET1945" s="4"/>
      <c r="EU1945" s="4"/>
      <c r="EV1945" s="4">
        <v>30</v>
      </c>
      <c r="EW1945" s="4"/>
      <c r="EX1945" s="4"/>
      <c r="EY1945" s="4"/>
      <c r="EZ1945" s="4"/>
      <c r="FA1945" s="4"/>
      <c r="FB1945" s="4"/>
      <c r="FC1945" s="4"/>
      <c r="FD1945" s="4"/>
      <c r="FE1945" s="4"/>
      <c r="FF1945" s="4"/>
      <c r="FG1945" s="4"/>
      <c r="FH1945" s="4"/>
      <c r="FI1945" s="4"/>
      <c r="FJ1945" s="4"/>
      <c r="FK1945" s="4"/>
      <c r="FL1945" s="4"/>
      <c r="FM1945" s="4"/>
      <c r="FN1945" s="4"/>
      <c r="FO1945" s="4"/>
      <c r="FP1945" s="4"/>
      <c r="FQ1945" s="4"/>
      <c r="FR1945" s="4"/>
      <c r="FS1945" s="4"/>
      <c r="FT1945" s="4"/>
      <c r="FU1945" s="4">
        <v>20</v>
      </c>
      <c r="FV1945" s="4"/>
      <c r="FW1945" s="4">
        <v>110</v>
      </c>
      <c r="FX1945" s="4"/>
      <c r="FY1945" s="4"/>
      <c r="FZ1945" s="4"/>
      <c r="GA1945" s="4"/>
      <c r="GB1945" s="4"/>
      <c r="GC1945" s="4"/>
      <c r="GD1945" s="4"/>
      <c r="GE1945" s="4"/>
      <c r="GF1945" s="4"/>
      <c r="GG1945" s="4"/>
      <c r="GH1945" s="4"/>
      <c r="GI1945" s="4"/>
      <c r="GJ1945" s="4"/>
      <c r="GK1945" s="4"/>
      <c r="GL1945" s="4"/>
      <c r="GM1945" s="4"/>
      <c r="GN1945" s="4"/>
      <c r="GO1945" s="4"/>
      <c r="GP1945" s="4"/>
      <c r="GQ1945" s="4"/>
      <c r="GR1945" s="4"/>
      <c r="GS1945" s="4"/>
      <c r="GT1945" s="4"/>
      <c r="GU1945" s="4"/>
      <c r="GV1945" s="4"/>
      <c r="GW1945" s="4"/>
      <c r="GX1945" s="4"/>
      <c r="GY1945" s="4"/>
      <c r="GZ1945" s="4">
        <v>50</v>
      </c>
      <c r="HA1945" s="4"/>
      <c r="HB1945" s="4"/>
      <c r="HC1945" s="4"/>
      <c r="HD1945" s="4"/>
      <c r="HE1945" s="4">
        <v>30</v>
      </c>
    </row>
    <row r="1946">
      <c r="A1946" s="2" t="s">
        <v>9434</v>
      </c>
      <c r="B1946" s="2" t="s">
        <v>299</v>
      </c>
      <c r="C1946" s="2" t="s">
        <v>345</v>
      </c>
      <c r="D1946" s="2" t="s">
        <v>301</v>
      </c>
      <c r="E1946" s="2" t="s">
        <v>302</v>
      </c>
      <c r="F1946" s="2" t="s">
        <v>9408</v>
      </c>
      <c r="G1946" s="2" t="s">
        <v>9408</v>
      </c>
      <c r="H1946" s="2" t="s">
        <v>9408</v>
      </c>
      <c r="I1946" s="2" t="s">
        <v>347</v>
      </c>
      <c r="J1946" s="2" t="s">
        <v>284</v>
      </c>
      <c r="K1946" s="2" t="s">
        <v>9431</v>
      </c>
      <c r="L1946" s="3">
        <v>16.5</v>
      </c>
      <c r="M1946" s="3">
        <v>17.33</v>
      </c>
      <c r="N1946" s="3">
        <v>32.99</v>
      </c>
      <c r="O1946" s="2" t="s">
        <v>240</v>
      </c>
      <c r="P1946" s="2" t="s">
        <v>266</v>
      </c>
      <c r="Q1946" s="2" t="s">
        <v>234</v>
      </c>
      <c r="R1946" s="2" t="s">
        <v>228</v>
      </c>
      <c r="S1946" s="2" t="s">
        <v>9432</v>
      </c>
      <c r="T1946" s="2" t="s">
        <v>9411</v>
      </c>
      <c r="U1946" s="2" t="s">
        <v>308</v>
      </c>
      <c r="V1946" s="2" t="s">
        <v>2042</v>
      </c>
      <c r="W1946" s="2" t="s">
        <v>309</v>
      </c>
      <c r="X1946" s="2" t="s">
        <v>269</v>
      </c>
      <c r="Y1946" s="2" t="s">
        <v>9421</v>
      </c>
      <c r="Z1946" s="4">
        <v>41</v>
      </c>
      <c r="AA1946" s="4">
        <f>=ROUNDDOWN(2.92857142857143,0)</f>
      </c>
      <c r="AB1946" s="5">
        <v>14</v>
      </c>
      <c r="AC1946" s="2" t="s">
        <v>160</v>
      </c>
      <c r="AD1946" s="4">
        <v>20</v>
      </c>
      <c r="AE1946" s="4">
        <v>620</v>
      </c>
      <c r="AF1946" s="6">
        <v>65</v>
      </c>
      <c r="AG1946" s="6"/>
      <c r="AH1946" s="7">
        <v>1</v>
      </c>
      <c r="AI1946" s="4"/>
      <c r="AJ1946" s="4">
        <f>=ROUNDDOWN({0},0)</f>
      </c>
      <c r="AK1946" s="5"/>
      <c r="AL1946" s="2" t="s">
        <v>228</v>
      </c>
      <c r="AM1946" s="4"/>
      <c r="AN1946" s="4"/>
      <c r="AO1946" s="7"/>
      <c r="AP1946" s="4"/>
      <c r="AQ1946" s="8"/>
      <c r="AR1946" s="4"/>
      <c r="AS1946" s="8"/>
      <c r="AT1946" s="7"/>
      <c r="AU1946" s="7"/>
      <c r="AV1946" s="4" t="s">
        <v>228</v>
      </c>
      <c r="AW1946" s="8" t="s">
        <v>228</v>
      </c>
      <c r="AX1946" s="4" t="s">
        <v>228</v>
      </c>
      <c r="AY1946" s="8" t="s">
        <v>228</v>
      </c>
      <c r="AZ1946" s="7" t="s">
        <v>228</v>
      </c>
      <c r="BA1946" s="7" t="s">
        <v>228</v>
      </c>
      <c r="BB1946" s="7"/>
      <c r="BC1946" s="4" t="s">
        <v>228</v>
      </c>
      <c r="BD1946" s="8" t="s">
        <v>228</v>
      </c>
      <c r="BE1946" s="4" t="s">
        <v>228</v>
      </c>
      <c r="BF1946" s="8" t="s">
        <v>228</v>
      </c>
      <c r="BG1946" s="7" t="s">
        <v>228</v>
      </c>
      <c r="BH1946" s="7" t="s">
        <v>228</v>
      </c>
      <c r="BI1946" s="7"/>
      <c r="BJ1946" s="4">
        <v>90</v>
      </c>
      <c r="BK1946" s="8">
        <v>1704.32</v>
      </c>
      <c r="BL1946" s="2" t="s">
        <v>9365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9435</v>
      </c>
      <c r="BV1946" s="2" t="s">
        <v>228</v>
      </c>
      <c r="BW1946" s="2" t="s">
        <v>228</v>
      </c>
      <c r="BX1946" s="2" t="s">
        <v>273</v>
      </c>
      <c r="BY1946" s="2" t="s">
        <v>274</v>
      </c>
      <c r="BZ1946" s="2" t="s">
        <v>240</v>
      </c>
      <c r="CA1946" s="2" t="s">
        <v>9423</v>
      </c>
      <c r="CB1946" s="2" t="s">
        <v>4129</v>
      </c>
      <c r="CC1946" s="2" t="s">
        <v>241</v>
      </c>
      <c r="CD1946" s="2" t="s">
        <v>228</v>
      </c>
      <c r="CE1946" s="4">
        <v>41</v>
      </c>
      <c r="CF1946" s="4"/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  <c r="CW1946" s="4"/>
      <c r="CX1946" s="4"/>
      <c r="CY1946" s="4"/>
      <c r="CZ1946" s="4"/>
      <c r="DA1946" s="4"/>
      <c r="DB1946" s="4"/>
      <c r="DC1946" s="4"/>
      <c r="DD1946" s="4"/>
      <c r="DE1946" s="4"/>
      <c r="DF1946" s="4"/>
      <c r="DG1946" s="4"/>
      <c r="DH1946" s="4"/>
      <c r="DI1946" s="4"/>
      <c r="DJ1946" s="4"/>
      <c r="DK1946" s="4"/>
      <c r="DL1946" s="4"/>
      <c r="DM1946" s="4"/>
      <c r="DN1946" s="4"/>
      <c r="DO1946" s="4"/>
      <c r="DP1946" s="4"/>
      <c r="DQ1946" s="4"/>
      <c r="DR1946" s="4"/>
      <c r="DS1946" s="4"/>
      <c r="DT1946" s="4"/>
      <c r="DU1946" s="4"/>
      <c r="DV1946" s="4"/>
      <c r="DW1946" s="4"/>
      <c r="DX1946" s="4"/>
      <c r="DY1946" s="4"/>
      <c r="DZ1946" s="4"/>
      <c r="EA1946" s="4"/>
      <c r="EB1946" s="4"/>
      <c r="EC1946" s="4"/>
      <c r="ED1946" s="4"/>
      <c r="EE1946" s="4"/>
      <c r="EF1946" s="4"/>
      <c r="EG1946" s="4"/>
      <c r="EH1946" s="4"/>
      <c r="EI1946" s="4"/>
      <c r="EJ1946" s="4"/>
      <c r="EK1946" s="4"/>
      <c r="EL1946" s="4"/>
      <c r="EM1946" s="4"/>
      <c r="EN1946" s="4"/>
      <c r="EO1946" s="4"/>
      <c r="EP1946" s="4"/>
      <c r="EQ1946" s="4"/>
      <c r="ER1946" s="4"/>
      <c r="ES1946" s="4"/>
      <c r="ET1946" s="4"/>
      <c r="EU1946" s="4"/>
      <c r="EV1946" s="4">
        <v>20</v>
      </c>
      <c r="EW1946" s="4"/>
      <c r="EX1946" s="4"/>
      <c r="EY1946" s="4"/>
      <c r="EZ1946" s="4"/>
      <c r="FA1946" s="4"/>
      <c r="FB1946" s="4"/>
      <c r="FC1946" s="4"/>
      <c r="FD1946" s="4"/>
      <c r="FE1946" s="4"/>
      <c r="FF1946" s="4"/>
      <c r="FG1946" s="4"/>
      <c r="FH1946" s="4"/>
      <c r="FI1946" s="4"/>
      <c r="FJ1946" s="4"/>
      <c r="FK1946" s="4"/>
      <c r="FL1946" s="4"/>
      <c r="FM1946" s="4"/>
      <c r="FN1946" s="4"/>
      <c r="FO1946" s="4"/>
      <c r="FP1946" s="4"/>
      <c r="FQ1946" s="4"/>
      <c r="FR1946" s="4"/>
      <c r="FS1946" s="4"/>
      <c r="FT1946" s="4"/>
      <c r="FU1946" s="4">
        <v>170</v>
      </c>
      <c r="FV1946" s="4"/>
      <c r="FW1946" s="4">
        <v>160</v>
      </c>
      <c r="FX1946" s="4"/>
      <c r="FY1946" s="4"/>
      <c r="FZ1946" s="4"/>
      <c r="GA1946" s="4"/>
      <c r="GB1946" s="4"/>
      <c r="GC1946" s="4"/>
      <c r="GD1946" s="4"/>
      <c r="GE1946" s="4"/>
      <c r="GF1946" s="4"/>
      <c r="GG1946" s="4"/>
      <c r="GH1946" s="4"/>
      <c r="GI1946" s="4"/>
      <c r="GJ1946" s="4"/>
      <c r="GK1946" s="4"/>
      <c r="GL1946" s="4"/>
      <c r="GM1946" s="4"/>
      <c r="GN1946" s="4"/>
      <c r="GO1946" s="4"/>
      <c r="GP1946" s="4"/>
      <c r="GQ1946" s="4"/>
      <c r="GR1946" s="4"/>
      <c r="GS1946" s="4"/>
      <c r="GT1946" s="4"/>
      <c r="GU1946" s="4"/>
      <c r="GV1946" s="4"/>
      <c r="GW1946" s="4"/>
      <c r="GX1946" s="4"/>
      <c r="GY1946" s="4"/>
      <c r="GZ1946" s="4">
        <v>220</v>
      </c>
      <c r="HA1946" s="4"/>
      <c r="HB1946" s="4"/>
      <c r="HC1946" s="4"/>
      <c r="HD1946" s="4"/>
      <c r="HE1946" s="4">
        <v>50</v>
      </c>
    </row>
    <row r="1947">
      <c r="A1947" s="2" t="s">
        <v>9436</v>
      </c>
      <c r="B1947" s="2" t="s">
        <v>299</v>
      </c>
      <c r="C1947" s="2" t="s">
        <v>345</v>
      </c>
      <c r="D1947" s="2" t="s">
        <v>301</v>
      </c>
      <c r="E1947" s="2" t="s">
        <v>302</v>
      </c>
      <c r="F1947" s="2" t="s">
        <v>9408</v>
      </c>
      <c r="G1947" s="2" t="s">
        <v>9408</v>
      </c>
      <c r="H1947" s="2" t="s">
        <v>9408</v>
      </c>
      <c r="I1947" s="2" t="s">
        <v>347</v>
      </c>
      <c r="J1947" s="2" t="s">
        <v>289</v>
      </c>
      <c r="K1947" s="2" t="s">
        <v>9431</v>
      </c>
      <c r="L1947" s="3">
        <v>19</v>
      </c>
      <c r="M1947" s="3">
        <v>19.95</v>
      </c>
      <c r="N1947" s="3">
        <v>37.99</v>
      </c>
      <c r="O1947" s="2" t="s">
        <v>240</v>
      </c>
      <c r="P1947" s="2" t="s">
        <v>266</v>
      </c>
      <c r="Q1947" s="2" t="s">
        <v>234</v>
      </c>
      <c r="R1947" s="2" t="s">
        <v>228</v>
      </c>
      <c r="S1947" s="2" t="s">
        <v>9432</v>
      </c>
      <c r="T1947" s="2" t="s">
        <v>9411</v>
      </c>
      <c r="U1947" s="2" t="s">
        <v>308</v>
      </c>
      <c r="V1947" s="2" t="s">
        <v>2042</v>
      </c>
      <c r="W1947" s="2" t="s">
        <v>309</v>
      </c>
      <c r="X1947" s="2" t="s">
        <v>269</v>
      </c>
      <c r="Y1947" s="2" t="s">
        <v>9421</v>
      </c>
      <c r="Z1947" s="4">
        <v>177</v>
      </c>
      <c r="AA1947" s="4">
        <f>=ROUNDDOWN(7.97297297297297,0)</f>
      </c>
      <c r="AB1947" s="5">
        <v>22.2</v>
      </c>
      <c r="AC1947" s="2" t="s">
        <v>160</v>
      </c>
      <c r="AD1947" s="4">
        <v>200</v>
      </c>
      <c r="AE1947" s="4">
        <v>860</v>
      </c>
      <c r="AF1947" s="6">
        <v>65</v>
      </c>
      <c r="AG1947" s="6"/>
      <c r="AH1947" s="7">
        <v>1</v>
      </c>
      <c r="AI1947" s="4"/>
      <c r="AJ1947" s="4">
        <f>=ROUNDDOWN({0},0)</f>
      </c>
      <c r="AK1947" s="5"/>
      <c r="AL1947" s="2" t="s">
        <v>228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 t="s">
        <v>228</v>
      </c>
      <c r="AW1947" s="8" t="s">
        <v>228</v>
      </c>
      <c r="AX1947" s="4" t="s">
        <v>228</v>
      </c>
      <c r="AY1947" s="8" t="s">
        <v>228</v>
      </c>
      <c r="AZ1947" s="7" t="s">
        <v>228</v>
      </c>
      <c r="BA1947" s="7" t="s">
        <v>228</v>
      </c>
      <c r="BB1947" s="7"/>
      <c r="BC1947" s="4" t="s">
        <v>228</v>
      </c>
      <c r="BD1947" s="8" t="s">
        <v>228</v>
      </c>
      <c r="BE1947" s="4" t="s">
        <v>228</v>
      </c>
      <c r="BF1947" s="8" t="s">
        <v>228</v>
      </c>
      <c r="BG1947" s="7" t="s">
        <v>228</v>
      </c>
      <c r="BH1947" s="7" t="s">
        <v>228</v>
      </c>
      <c r="BI1947" s="7"/>
      <c r="BJ1947" s="4">
        <v>97</v>
      </c>
      <c r="BK1947" s="8">
        <v>2106.09</v>
      </c>
      <c r="BL1947" s="2" t="s">
        <v>9428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9437</v>
      </c>
      <c r="BV1947" s="2" t="s">
        <v>228</v>
      </c>
      <c r="BW1947" s="2" t="s">
        <v>228</v>
      </c>
      <c r="BX1947" s="2" t="s">
        <v>273</v>
      </c>
      <c r="BY1947" s="2" t="s">
        <v>274</v>
      </c>
      <c r="BZ1947" s="2" t="s">
        <v>240</v>
      </c>
      <c r="CA1947" s="2" t="s">
        <v>9423</v>
      </c>
      <c r="CB1947" s="2" t="s">
        <v>2337</v>
      </c>
      <c r="CC1947" s="2" t="s">
        <v>241</v>
      </c>
      <c r="CD1947" s="2" t="s">
        <v>228</v>
      </c>
      <c r="CE1947" s="4">
        <v>177</v>
      </c>
      <c r="CF1947" s="4"/>
      <c r="CG1947" s="4"/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4"/>
      <c r="CX1947" s="4"/>
      <c r="CY1947" s="4"/>
      <c r="CZ1947" s="4"/>
      <c r="DA1947" s="4"/>
      <c r="DB1947" s="4"/>
      <c r="DC1947" s="4"/>
      <c r="DD1947" s="4"/>
      <c r="DE1947" s="4"/>
      <c r="DF1947" s="4"/>
      <c r="DG1947" s="4"/>
      <c r="DH1947" s="4"/>
      <c r="DI1947" s="4"/>
      <c r="DJ1947" s="4"/>
      <c r="DK1947" s="4"/>
      <c r="DL1947" s="4"/>
      <c r="DM1947" s="4"/>
      <c r="DN1947" s="4"/>
      <c r="DO1947" s="4"/>
      <c r="DP1947" s="4"/>
      <c r="DQ1947" s="4"/>
      <c r="DR1947" s="4"/>
      <c r="DS1947" s="4"/>
      <c r="DT1947" s="4"/>
      <c r="DU1947" s="4"/>
      <c r="DV1947" s="4"/>
      <c r="DW1947" s="4"/>
      <c r="DX1947" s="4"/>
      <c r="DY1947" s="4"/>
      <c r="DZ1947" s="4"/>
      <c r="EA1947" s="4"/>
      <c r="EB1947" s="4"/>
      <c r="EC1947" s="4"/>
      <c r="ED1947" s="4"/>
      <c r="EE1947" s="4"/>
      <c r="EF1947" s="4"/>
      <c r="EG1947" s="4"/>
      <c r="EH1947" s="4"/>
      <c r="EI1947" s="4"/>
      <c r="EJ1947" s="4"/>
      <c r="EK1947" s="4"/>
      <c r="EL1947" s="4"/>
      <c r="EM1947" s="4"/>
      <c r="EN1947" s="4"/>
      <c r="EO1947" s="4"/>
      <c r="EP1947" s="4"/>
      <c r="EQ1947" s="4"/>
      <c r="ER1947" s="4"/>
      <c r="ES1947" s="4"/>
      <c r="ET1947" s="4"/>
      <c r="EU1947" s="4"/>
      <c r="EV1947" s="4">
        <v>200</v>
      </c>
      <c r="EW1947" s="4"/>
      <c r="EX1947" s="4"/>
      <c r="EY1947" s="4"/>
      <c r="EZ1947" s="4"/>
      <c r="FA1947" s="4"/>
      <c r="FB1947" s="4"/>
      <c r="FC1947" s="4"/>
      <c r="FD1947" s="4"/>
      <c r="FE1947" s="4"/>
      <c r="FF1947" s="4"/>
      <c r="FG1947" s="4"/>
      <c r="FH1947" s="4"/>
      <c r="FI1947" s="4"/>
      <c r="FJ1947" s="4"/>
      <c r="FK1947" s="4"/>
      <c r="FL1947" s="4"/>
      <c r="FM1947" s="4"/>
      <c r="FN1947" s="4"/>
      <c r="FO1947" s="4"/>
      <c r="FP1947" s="4"/>
      <c r="FQ1947" s="4"/>
      <c r="FR1947" s="4"/>
      <c r="FS1947" s="4"/>
      <c r="FT1947" s="4"/>
      <c r="FU1947" s="4">
        <v>60</v>
      </c>
      <c r="FV1947" s="4"/>
      <c r="FW1947" s="4">
        <v>230</v>
      </c>
      <c r="FX1947" s="4"/>
      <c r="FY1947" s="4"/>
      <c r="FZ1947" s="4"/>
      <c r="GA1947" s="4"/>
      <c r="GB1947" s="4"/>
      <c r="GC1947" s="4"/>
      <c r="GD1947" s="4"/>
      <c r="GE1947" s="4"/>
      <c r="GF1947" s="4"/>
      <c r="GG1947" s="4"/>
      <c r="GH1947" s="4"/>
      <c r="GI1947" s="4"/>
      <c r="GJ1947" s="4"/>
      <c r="GK1947" s="4"/>
      <c r="GL1947" s="4"/>
      <c r="GM1947" s="4"/>
      <c r="GN1947" s="4"/>
      <c r="GO1947" s="4"/>
      <c r="GP1947" s="4"/>
      <c r="GQ1947" s="4"/>
      <c r="GR1947" s="4"/>
      <c r="GS1947" s="4"/>
      <c r="GT1947" s="4"/>
      <c r="GU1947" s="4"/>
      <c r="GV1947" s="4"/>
      <c r="GW1947" s="4"/>
      <c r="GX1947" s="4"/>
      <c r="GY1947" s="4"/>
      <c r="GZ1947" s="4">
        <v>260</v>
      </c>
      <c r="HA1947" s="4"/>
      <c r="HB1947" s="4"/>
      <c r="HC1947" s="4"/>
      <c r="HD1947" s="4"/>
      <c r="HE1947" s="4">
        <v>110</v>
      </c>
    </row>
    <row r="1948">
      <c r="A1948" s="2" t="s">
        <v>9438</v>
      </c>
      <c r="B1948" s="2" t="s">
        <v>834</v>
      </c>
      <c r="C1948" s="2" t="s">
        <v>885</v>
      </c>
      <c r="D1948" s="2" t="s">
        <v>1101</v>
      </c>
      <c r="E1948" s="2" t="s">
        <v>1102</v>
      </c>
      <c r="F1948" s="2" t="s">
        <v>9439</v>
      </c>
      <c r="G1948" s="2" t="s">
        <v>9439</v>
      </c>
      <c r="H1948" s="2" t="s">
        <v>9439</v>
      </c>
      <c r="I1948" s="2" t="s">
        <v>9440</v>
      </c>
      <c r="J1948" s="2" t="s">
        <v>840</v>
      </c>
      <c r="K1948" s="2" t="s">
        <v>9441</v>
      </c>
      <c r="L1948" s="3">
        <v>90</v>
      </c>
      <c r="M1948" s="3">
        <v>94.5</v>
      </c>
      <c r="N1948" s="3">
        <v>189.99</v>
      </c>
      <c r="O1948" s="2" t="s">
        <v>240</v>
      </c>
      <c r="P1948" s="2" t="s">
        <v>233</v>
      </c>
      <c r="Q1948" s="2" t="s">
        <v>234</v>
      </c>
      <c r="R1948" s="2" t="s">
        <v>228</v>
      </c>
      <c r="S1948" s="2" t="s">
        <v>228</v>
      </c>
      <c r="T1948" s="2" t="s">
        <v>228</v>
      </c>
      <c r="U1948" s="2" t="s">
        <v>520</v>
      </c>
      <c r="V1948" s="2" t="s">
        <v>842</v>
      </c>
      <c r="W1948" s="2" t="s">
        <v>4981</v>
      </c>
      <c r="X1948" s="2" t="s">
        <v>228</v>
      </c>
      <c r="Y1948" s="2" t="s">
        <v>9442</v>
      </c>
      <c r="Z1948" s="4">
        <v>66</v>
      </c>
      <c r="AA1948" s="4">
        <f>=ROUNDDOWN(33,0)</f>
      </c>
      <c r="AB1948" s="5">
        <v>2</v>
      </c>
      <c r="AC1948" s="2" t="s">
        <v>228</v>
      </c>
      <c r="AD1948" s="4"/>
      <c r="AE1948" s="4"/>
      <c r="AF1948" s="6">
        <v>63</v>
      </c>
      <c r="AG1948" s="6"/>
      <c r="AH1948" s="7">
        <v>1</v>
      </c>
      <c r="AI1948" s="4"/>
      <c r="AJ1948" s="4">
        <f>=ROUNDDOWN({0},0)</f>
      </c>
      <c r="AK1948" s="5"/>
      <c r="AL1948" s="2" t="s">
        <v>228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/>
      <c r="AW1948" s="8"/>
      <c r="AX1948" s="4"/>
      <c r="AY1948" s="8"/>
      <c r="AZ1948" s="7"/>
      <c r="BA1948" s="7"/>
      <c r="BB1948" s="7"/>
      <c r="BC1948" s="4"/>
      <c r="BD1948" s="8"/>
      <c r="BE1948" s="4"/>
      <c r="BF1948" s="8"/>
      <c r="BG1948" s="7"/>
      <c r="BH1948" s="7"/>
      <c r="BI1948" s="7"/>
      <c r="BJ1948" s="4">
        <v>2</v>
      </c>
      <c r="BK1948" s="8">
        <v>202.72</v>
      </c>
      <c r="BL1948" s="2" t="s">
        <v>9443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9444</v>
      </c>
      <c r="BV1948" s="2" t="s">
        <v>228</v>
      </c>
      <c r="BW1948" s="2" t="s">
        <v>228</v>
      </c>
      <c r="BX1948" s="2" t="s">
        <v>273</v>
      </c>
      <c r="BY1948" s="2" t="s">
        <v>274</v>
      </c>
      <c r="BZ1948" s="2" t="s">
        <v>240</v>
      </c>
      <c r="CA1948" s="2" t="s">
        <v>9445</v>
      </c>
      <c r="CB1948" s="2" t="s">
        <v>228</v>
      </c>
      <c r="CC1948" s="2" t="s">
        <v>241</v>
      </c>
      <c r="CD1948" s="2" t="s">
        <v>228</v>
      </c>
      <c r="CE1948" s="4"/>
      <c r="CF1948" s="4">
        <v>66</v>
      </c>
      <c r="CG1948" s="4"/>
      <c r="CH1948" s="4"/>
      <c r="CI1948" s="4"/>
      <c r="CJ1948" s="4"/>
      <c r="CK1948" s="4"/>
      <c r="CL1948" s="4"/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  <c r="CW1948" s="4"/>
      <c r="CX1948" s="4"/>
      <c r="CY1948" s="4"/>
      <c r="CZ1948" s="4"/>
      <c r="DA1948" s="4"/>
      <c r="DB1948" s="4"/>
      <c r="DC1948" s="4"/>
      <c r="DD1948" s="4"/>
      <c r="DE1948" s="4"/>
      <c r="DF1948" s="4"/>
      <c r="DG1948" s="4"/>
      <c r="DH1948" s="4"/>
      <c r="DI1948" s="4"/>
      <c r="DJ1948" s="4"/>
      <c r="DK1948" s="4"/>
      <c r="DL1948" s="4"/>
      <c r="DM1948" s="4"/>
      <c r="DN1948" s="4"/>
      <c r="DO1948" s="4"/>
      <c r="DP1948" s="4"/>
      <c r="DQ1948" s="4"/>
      <c r="DR1948" s="4"/>
      <c r="DS1948" s="4"/>
      <c r="DT1948" s="4"/>
      <c r="DU1948" s="4"/>
      <c r="DV1948" s="4"/>
      <c r="DW1948" s="4"/>
      <c r="DX1948" s="4"/>
      <c r="DY1948" s="4"/>
      <c r="DZ1948" s="4"/>
      <c r="EA1948" s="4"/>
      <c r="EB1948" s="4"/>
      <c r="EC1948" s="4"/>
      <c r="ED1948" s="4"/>
      <c r="EE1948" s="4"/>
      <c r="EF1948" s="4"/>
      <c r="EG1948" s="4"/>
      <c r="EH1948" s="4"/>
      <c r="EI1948" s="4"/>
      <c r="EJ1948" s="4"/>
      <c r="EK1948" s="4"/>
      <c r="EL1948" s="4"/>
      <c r="EM1948" s="4"/>
      <c r="EN1948" s="4"/>
      <c r="EO1948" s="4"/>
      <c r="EP1948" s="4"/>
      <c r="EQ1948" s="4"/>
      <c r="ER1948" s="4"/>
      <c r="ES1948" s="4"/>
      <c r="ET1948" s="4"/>
      <c r="EU1948" s="4"/>
      <c r="EV1948" s="4"/>
      <c r="EW1948" s="4"/>
      <c r="EX1948" s="4"/>
      <c r="EY1948" s="4"/>
      <c r="EZ1948" s="4"/>
      <c r="FA1948" s="4"/>
      <c r="FB1948" s="4"/>
      <c r="FC1948" s="4"/>
      <c r="FD1948" s="4"/>
      <c r="FE1948" s="4"/>
      <c r="FF1948" s="4"/>
      <c r="FG1948" s="4"/>
      <c r="FH1948" s="4"/>
      <c r="FI1948" s="4"/>
      <c r="FJ1948" s="4"/>
      <c r="FK1948" s="4"/>
      <c r="FL1948" s="4"/>
      <c r="FM1948" s="4"/>
      <c r="FN1948" s="4"/>
      <c r="FO1948" s="4"/>
      <c r="FP1948" s="4"/>
      <c r="FQ1948" s="4"/>
      <c r="FR1948" s="4"/>
      <c r="FS1948" s="4"/>
      <c r="FT1948" s="4"/>
      <c r="FU1948" s="4"/>
      <c r="FV1948" s="4"/>
      <c r="FW1948" s="4"/>
      <c r="FX1948" s="4"/>
      <c r="FY1948" s="4"/>
      <c r="FZ1948" s="4"/>
      <c r="GA1948" s="4"/>
      <c r="GB1948" s="4"/>
      <c r="GC1948" s="4"/>
      <c r="GD1948" s="4"/>
      <c r="GE1948" s="4"/>
      <c r="GF1948" s="4"/>
      <c r="GG1948" s="4"/>
      <c r="GH1948" s="4"/>
      <c r="GI1948" s="4"/>
      <c r="GJ1948" s="4"/>
      <c r="GK1948" s="4"/>
      <c r="GL1948" s="4"/>
      <c r="GM1948" s="4"/>
      <c r="GN1948" s="4"/>
      <c r="GO1948" s="4"/>
      <c r="GP1948" s="4"/>
      <c r="GQ1948" s="4"/>
      <c r="GR1948" s="4"/>
      <c r="GS1948" s="4"/>
      <c r="GT1948" s="4"/>
      <c r="GU1948" s="4"/>
      <c r="GV1948" s="4"/>
      <c r="GW1948" s="4"/>
      <c r="GX1948" s="4"/>
      <c r="GY1948" s="4"/>
      <c r="GZ1948" s="4"/>
      <c r="HA1948" s="4"/>
      <c r="HB1948" s="4"/>
      <c r="HC1948" s="4"/>
      <c r="HD1948" s="4"/>
      <c r="HE1948" s="4"/>
    </row>
    <row r="1949">
      <c r="A1949" s="2" t="s">
        <v>9446</v>
      </c>
      <c r="B1949" s="2" t="s">
        <v>1150</v>
      </c>
      <c r="C1949" s="2" t="s">
        <v>300</v>
      </c>
      <c r="D1949" s="2" t="s">
        <v>1316</v>
      </c>
      <c r="E1949" s="2" t="s">
        <v>1317</v>
      </c>
      <c r="F1949" s="2" t="s">
        <v>9447</v>
      </c>
      <c r="G1949" s="2" t="s">
        <v>9448</v>
      </c>
      <c r="H1949" s="2" t="s">
        <v>9449</v>
      </c>
      <c r="I1949" s="2" t="s">
        <v>8895</v>
      </c>
      <c r="J1949" s="2" t="s">
        <v>1189</v>
      </c>
      <c r="K1949" s="2" t="s">
        <v>9450</v>
      </c>
      <c r="L1949" s="3">
        <v>34.55</v>
      </c>
      <c r="M1949" s="3">
        <v>36.28</v>
      </c>
      <c r="N1949" s="3">
        <v>69.99</v>
      </c>
      <c r="O1949" s="2" t="s">
        <v>240</v>
      </c>
      <c r="P1949" s="2" t="s">
        <v>233</v>
      </c>
      <c r="Q1949" s="2" t="s">
        <v>234</v>
      </c>
      <c r="R1949" s="2" t="s">
        <v>228</v>
      </c>
      <c r="S1949" s="2" t="s">
        <v>9451</v>
      </c>
      <c r="T1949" s="2" t="s">
        <v>228</v>
      </c>
      <c r="U1949" s="2" t="s">
        <v>500</v>
      </c>
      <c r="V1949" s="2" t="s">
        <v>236</v>
      </c>
      <c r="W1949" s="2" t="s">
        <v>463</v>
      </c>
      <c r="X1949" s="2" t="s">
        <v>269</v>
      </c>
      <c r="Y1949" s="2" t="s">
        <v>8227</v>
      </c>
      <c r="Z1949" s="4">
        <v>220</v>
      </c>
      <c r="AA1949" s="4">
        <f>=ROUNDDOWN({0},0)</f>
      </c>
      <c r="AB1949" s="5"/>
      <c r="AC1949" s="2" t="s">
        <v>1788</v>
      </c>
      <c r="AD1949" s="4">
        <v>20</v>
      </c>
      <c r="AE1949" s="4">
        <v>140</v>
      </c>
      <c r="AF1949" s="6">
        <v>65</v>
      </c>
      <c r="AG1949" s="6"/>
      <c r="AH1949" s="7">
        <v>1</v>
      </c>
      <c r="AI1949" s="4"/>
      <c r="AJ1949" s="4">
        <f>=ROUNDDOWN({0},0)</f>
      </c>
      <c r="AK1949" s="5"/>
      <c r="AL1949" s="2" t="s">
        <v>228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 t="s">
        <v>228</v>
      </c>
      <c r="AW1949" s="8" t="s">
        <v>228</v>
      </c>
      <c r="AX1949" s="4" t="s">
        <v>228</v>
      </c>
      <c r="AY1949" s="8" t="s">
        <v>228</v>
      </c>
      <c r="AZ1949" s="7" t="s">
        <v>228</v>
      </c>
      <c r="BA1949" s="7" t="s">
        <v>228</v>
      </c>
      <c r="BB1949" s="7"/>
      <c r="BC1949" s="4" t="s">
        <v>228</v>
      </c>
      <c r="BD1949" s="8" t="s">
        <v>228</v>
      </c>
      <c r="BE1949" s="4" t="s">
        <v>228</v>
      </c>
      <c r="BF1949" s="8" t="s">
        <v>228</v>
      </c>
      <c r="BG1949" s="7" t="s">
        <v>228</v>
      </c>
      <c r="BH1949" s="7" t="s">
        <v>228</v>
      </c>
      <c r="BI1949" s="7"/>
      <c r="BJ1949" s="4"/>
      <c r="BK1949" s="8"/>
      <c r="BL1949" s="2" t="s">
        <v>228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238</v>
      </c>
      <c r="BV1949" s="2" t="s">
        <v>228</v>
      </c>
      <c r="BW1949" s="2" t="s">
        <v>228</v>
      </c>
      <c r="BX1949" s="2" t="s">
        <v>238</v>
      </c>
      <c r="BY1949" s="2" t="s">
        <v>4862</v>
      </c>
      <c r="BZ1949" s="2" t="s">
        <v>240</v>
      </c>
      <c r="CA1949" s="2" t="s">
        <v>228</v>
      </c>
      <c r="CB1949" s="2" t="s">
        <v>228</v>
      </c>
      <c r="CC1949" s="2" t="s">
        <v>241</v>
      </c>
      <c r="CD1949" s="2" t="s">
        <v>228</v>
      </c>
      <c r="CE1949" s="4">
        <v>220</v>
      </c>
      <c r="CF1949" s="4"/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>
        <v>20</v>
      </c>
      <c r="DG1949" s="4"/>
      <c r="DH1949" s="4"/>
      <c r="DI1949" s="4"/>
      <c r="DJ1949" s="4"/>
      <c r="DK1949" s="4"/>
      <c r="DL1949" s="4"/>
      <c r="DM1949" s="4"/>
      <c r="DN1949" s="4"/>
      <c r="DO1949" s="4"/>
      <c r="DP1949" s="4"/>
      <c r="DQ1949" s="4"/>
      <c r="DR1949" s="4"/>
      <c r="DS1949" s="4"/>
      <c r="DT1949" s="4"/>
      <c r="DU1949" s="4"/>
      <c r="DV1949" s="4"/>
      <c r="DW1949" s="4"/>
      <c r="DX1949" s="4"/>
      <c r="DY1949" s="4"/>
      <c r="DZ1949" s="4"/>
      <c r="EA1949" s="4"/>
      <c r="EB1949" s="4"/>
      <c r="EC1949" s="4"/>
      <c r="ED1949" s="4"/>
      <c r="EE1949" s="4"/>
      <c r="EF1949" s="4"/>
      <c r="EG1949" s="4"/>
      <c r="EH1949" s="4"/>
      <c r="EI1949" s="4"/>
      <c r="EJ1949" s="4">
        <v>120</v>
      </c>
      <c r="EK1949" s="4"/>
      <c r="EL1949" s="4"/>
      <c r="EM1949" s="4"/>
      <c r="EN1949" s="4"/>
      <c r="EO1949" s="4"/>
      <c r="EP1949" s="4"/>
      <c r="EQ1949" s="4"/>
      <c r="ER1949" s="4"/>
      <c r="ES1949" s="4"/>
      <c r="ET1949" s="4"/>
      <c r="EU1949" s="4"/>
      <c r="EV1949" s="4"/>
      <c r="EW1949" s="4"/>
      <c r="EX1949" s="4"/>
      <c r="EY1949" s="4"/>
      <c r="EZ1949" s="4"/>
      <c r="FA1949" s="4"/>
      <c r="FB1949" s="4"/>
      <c r="FC1949" s="4"/>
      <c r="FD1949" s="4"/>
      <c r="FE1949" s="4"/>
      <c r="FF1949" s="4"/>
      <c r="FG1949" s="4"/>
      <c r="FH1949" s="4"/>
      <c r="FI1949" s="4"/>
      <c r="FJ1949" s="4"/>
      <c r="FK1949" s="4"/>
      <c r="FL1949" s="4"/>
      <c r="FM1949" s="4"/>
      <c r="FN1949" s="4"/>
      <c r="FO1949" s="4"/>
      <c r="FP1949" s="4"/>
      <c r="FQ1949" s="4"/>
      <c r="FR1949" s="4"/>
      <c r="FS1949" s="4"/>
      <c r="FT1949" s="4"/>
      <c r="FU1949" s="4"/>
      <c r="FV1949" s="4"/>
      <c r="FW1949" s="4"/>
      <c r="FX1949" s="4"/>
      <c r="FY1949" s="4"/>
      <c r="FZ1949" s="4"/>
      <c r="GA1949" s="4"/>
      <c r="GB1949" s="4"/>
      <c r="GC1949" s="4"/>
      <c r="GD1949" s="4"/>
      <c r="GE1949" s="4"/>
      <c r="GF1949" s="4"/>
      <c r="GG1949" s="4"/>
      <c r="GH1949" s="4"/>
      <c r="GI1949" s="4"/>
      <c r="GJ1949" s="4"/>
      <c r="GK1949" s="4"/>
      <c r="GL1949" s="4"/>
      <c r="GM1949" s="4"/>
      <c r="GN1949" s="4"/>
      <c r="GO1949" s="4"/>
      <c r="GP1949" s="4"/>
      <c r="GQ1949" s="4"/>
      <c r="GR1949" s="4"/>
      <c r="GS1949" s="4"/>
      <c r="GT1949" s="4"/>
      <c r="GU1949" s="4"/>
      <c r="GV1949" s="4"/>
      <c r="GW1949" s="4"/>
      <c r="GX1949" s="4"/>
      <c r="GY1949" s="4"/>
      <c r="GZ1949" s="4"/>
      <c r="HA1949" s="4"/>
      <c r="HB1949" s="4"/>
      <c r="HC1949" s="4"/>
      <c r="HD1949" s="4"/>
      <c r="HE1949" s="4"/>
    </row>
    <row r="1950">
      <c r="A1950" s="2" t="s">
        <v>9452</v>
      </c>
      <c r="B1950" s="2" t="s">
        <v>1150</v>
      </c>
      <c r="C1950" s="2" t="s">
        <v>300</v>
      </c>
      <c r="D1950" s="2" t="s">
        <v>1316</v>
      </c>
      <c r="E1950" s="2" t="s">
        <v>8772</v>
      </c>
      <c r="F1950" s="2" t="s">
        <v>9447</v>
      </c>
      <c r="G1950" s="2" t="s">
        <v>9448</v>
      </c>
      <c r="H1950" s="2" t="s">
        <v>9449</v>
      </c>
      <c r="I1950" s="2" t="s">
        <v>8776</v>
      </c>
      <c r="J1950" s="2" t="s">
        <v>289</v>
      </c>
      <c r="K1950" s="2" t="s">
        <v>9450</v>
      </c>
      <c r="L1950" s="3">
        <v>49.5</v>
      </c>
      <c r="M1950" s="3">
        <v>51.98</v>
      </c>
      <c r="N1950" s="3">
        <v>99.99</v>
      </c>
      <c r="O1950" s="2" t="s">
        <v>240</v>
      </c>
      <c r="P1950" s="2" t="s">
        <v>233</v>
      </c>
      <c r="Q1950" s="2" t="s">
        <v>234</v>
      </c>
      <c r="R1950" s="2" t="s">
        <v>228</v>
      </c>
      <c r="S1950" s="2" t="s">
        <v>9451</v>
      </c>
      <c r="T1950" s="2" t="s">
        <v>228</v>
      </c>
      <c r="U1950" s="2" t="s">
        <v>500</v>
      </c>
      <c r="V1950" s="2" t="s">
        <v>236</v>
      </c>
      <c r="W1950" s="2" t="s">
        <v>463</v>
      </c>
      <c r="X1950" s="2" t="s">
        <v>269</v>
      </c>
      <c r="Y1950" s="2" t="s">
        <v>8227</v>
      </c>
      <c r="Z1950" s="4">
        <v>210</v>
      </c>
      <c r="AA1950" s="4">
        <f>=ROUNDDOWN({0},0)</f>
      </c>
      <c r="AB1950" s="5"/>
      <c r="AC1950" s="2" t="s">
        <v>1788</v>
      </c>
      <c r="AD1950" s="4">
        <v>210</v>
      </c>
      <c r="AE1950" s="4">
        <v>420</v>
      </c>
      <c r="AF1950" s="6">
        <v>65</v>
      </c>
      <c r="AG1950" s="6"/>
      <c r="AH1950" s="7">
        <v>1</v>
      </c>
      <c r="AI1950" s="4"/>
      <c r="AJ1950" s="4">
        <f>=ROUNDDOWN({0},0)</f>
      </c>
      <c r="AK1950" s="5"/>
      <c r="AL1950" s="2" t="s">
        <v>228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 t="s">
        <v>228</v>
      </c>
      <c r="AW1950" s="8" t="s">
        <v>228</v>
      </c>
      <c r="AX1950" s="4" t="s">
        <v>228</v>
      </c>
      <c r="AY1950" s="8" t="s">
        <v>228</v>
      </c>
      <c r="AZ1950" s="7" t="s">
        <v>228</v>
      </c>
      <c r="BA1950" s="7" t="s">
        <v>228</v>
      </c>
      <c r="BB1950" s="7"/>
      <c r="BC1950" s="4" t="s">
        <v>228</v>
      </c>
      <c r="BD1950" s="8" t="s">
        <v>228</v>
      </c>
      <c r="BE1950" s="4" t="s">
        <v>228</v>
      </c>
      <c r="BF1950" s="8" t="s">
        <v>228</v>
      </c>
      <c r="BG1950" s="7" t="s">
        <v>228</v>
      </c>
      <c r="BH1950" s="7" t="s">
        <v>228</v>
      </c>
      <c r="BI1950" s="7"/>
      <c r="BJ1950" s="4"/>
      <c r="BK1950" s="8"/>
      <c r="BL1950" s="2" t="s">
        <v>228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238</v>
      </c>
      <c r="BV1950" s="2" t="s">
        <v>228</v>
      </c>
      <c r="BW1950" s="2" t="s">
        <v>228</v>
      </c>
      <c r="BX1950" s="2" t="s">
        <v>238</v>
      </c>
      <c r="BY1950" s="2" t="s">
        <v>4862</v>
      </c>
      <c r="BZ1950" s="2" t="s">
        <v>240</v>
      </c>
      <c r="CA1950" s="2" t="s">
        <v>228</v>
      </c>
      <c r="CB1950" s="2" t="s">
        <v>228</v>
      </c>
      <c r="CC1950" s="2" t="s">
        <v>241</v>
      </c>
      <c r="CD1950" s="2" t="s">
        <v>228</v>
      </c>
      <c r="CE1950" s="4">
        <v>210</v>
      </c>
      <c r="CF1950" s="4"/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  <c r="CW1950" s="4"/>
      <c r="CX1950" s="4"/>
      <c r="CY1950" s="4"/>
      <c r="CZ1950" s="4"/>
      <c r="DA1950" s="4"/>
      <c r="DB1950" s="4"/>
      <c r="DC1950" s="4"/>
      <c r="DD1950" s="4"/>
      <c r="DE1950" s="4"/>
      <c r="DF1950" s="4">
        <v>210</v>
      </c>
      <c r="DG1950" s="4"/>
      <c r="DH1950" s="4"/>
      <c r="DI1950" s="4"/>
      <c r="DJ1950" s="4"/>
      <c r="DK1950" s="4"/>
      <c r="DL1950" s="4"/>
      <c r="DM1950" s="4"/>
      <c r="DN1950" s="4"/>
      <c r="DO1950" s="4"/>
      <c r="DP1950" s="4"/>
      <c r="DQ1950" s="4"/>
      <c r="DR1950" s="4"/>
      <c r="DS1950" s="4"/>
      <c r="DT1950" s="4"/>
      <c r="DU1950" s="4"/>
      <c r="DV1950" s="4"/>
      <c r="DW1950" s="4"/>
      <c r="DX1950" s="4"/>
      <c r="DY1950" s="4"/>
      <c r="DZ1950" s="4"/>
      <c r="EA1950" s="4"/>
      <c r="EB1950" s="4"/>
      <c r="EC1950" s="4"/>
      <c r="ED1950" s="4"/>
      <c r="EE1950" s="4"/>
      <c r="EF1950" s="4"/>
      <c r="EG1950" s="4"/>
      <c r="EH1950" s="4"/>
      <c r="EI1950" s="4"/>
      <c r="EJ1950" s="4">
        <v>210</v>
      </c>
      <c r="EK1950" s="4"/>
      <c r="EL1950" s="4"/>
      <c r="EM1950" s="4"/>
      <c r="EN1950" s="4"/>
      <c r="EO1950" s="4"/>
      <c r="EP1950" s="4"/>
      <c r="EQ1950" s="4"/>
      <c r="ER1950" s="4"/>
      <c r="ES1950" s="4"/>
      <c r="ET1950" s="4"/>
      <c r="EU1950" s="4"/>
      <c r="EV1950" s="4"/>
      <c r="EW1950" s="4"/>
      <c r="EX1950" s="4"/>
      <c r="EY1950" s="4"/>
      <c r="EZ1950" s="4"/>
      <c r="FA1950" s="4"/>
      <c r="FB1950" s="4"/>
      <c r="FC1950" s="4"/>
      <c r="FD1950" s="4"/>
      <c r="FE1950" s="4"/>
      <c r="FF1950" s="4"/>
      <c r="FG1950" s="4"/>
      <c r="FH1950" s="4"/>
      <c r="FI1950" s="4"/>
      <c r="FJ1950" s="4"/>
      <c r="FK1950" s="4"/>
      <c r="FL1950" s="4"/>
      <c r="FM1950" s="4"/>
      <c r="FN1950" s="4"/>
      <c r="FO1950" s="4"/>
      <c r="FP1950" s="4"/>
      <c r="FQ1950" s="4"/>
      <c r="FR1950" s="4"/>
      <c r="FS1950" s="4"/>
      <c r="FT1950" s="4"/>
      <c r="FU1950" s="4"/>
      <c r="FV1950" s="4"/>
      <c r="FW1950" s="4"/>
      <c r="FX1950" s="4"/>
      <c r="FY1950" s="4"/>
      <c r="FZ1950" s="4"/>
      <c r="GA1950" s="4"/>
      <c r="GB1950" s="4"/>
      <c r="GC1950" s="4"/>
      <c r="GD1950" s="4"/>
      <c r="GE1950" s="4"/>
      <c r="GF1950" s="4"/>
      <c r="GG1950" s="4"/>
      <c r="GH1950" s="4"/>
      <c r="GI1950" s="4"/>
      <c r="GJ1950" s="4"/>
      <c r="GK1950" s="4"/>
      <c r="GL1950" s="4"/>
      <c r="GM1950" s="4"/>
      <c r="GN1950" s="4"/>
      <c r="GO1950" s="4"/>
      <c r="GP1950" s="4"/>
      <c r="GQ1950" s="4"/>
      <c r="GR1950" s="4"/>
      <c r="GS1950" s="4"/>
      <c r="GT1950" s="4"/>
      <c r="GU1950" s="4"/>
      <c r="GV1950" s="4"/>
      <c r="GW1950" s="4"/>
      <c r="GX1950" s="4"/>
      <c r="GY1950" s="4"/>
      <c r="GZ1950" s="4"/>
      <c r="HA1950" s="4"/>
      <c r="HB1950" s="4"/>
      <c r="HC1950" s="4"/>
      <c r="HD1950" s="4"/>
      <c r="HE1950" s="4"/>
    </row>
    <row r="1951">
      <c r="A1951" s="2" t="s">
        <v>9453</v>
      </c>
      <c r="B1951" s="2" t="s">
        <v>1150</v>
      </c>
      <c r="C1951" s="2" t="s">
        <v>300</v>
      </c>
      <c r="D1951" s="2" t="s">
        <v>1316</v>
      </c>
      <c r="E1951" s="2" t="s">
        <v>8772</v>
      </c>
      <c r="F1951" s="2" t="s">
        <v>9447</v>
      </c>
      <c r="G1951" s="2" t="s">
        <v>9448</v>
      </c>
      <c r="H1951" s="2" t="s">
        <v>9449</v>
      </c>
      <c r="I1951" s="2" t="s">
        <v>8776</v>
      </c>
      <c r="J1951" s="2" t="s">
        <v>294</v>
      </c>
      <c r="K1951" s="2" t="s">
        <v>9450</v>
      </c>
      <c r="L1951" s="3">
        <v>64.25</v>
      </c>
      <c r="M1951" s="3">
        <v>67.46</v>
      </c>
      <c r="N1951" s="3">
        <v>129.99</v>
      </c>
      <c r="O1951" s="2" t="s">
        <v>240</v>
      </c>
      <c r="P1951" s="2" t="s">
        <v>233</v>
      </c>
      <c r="Q1951" s="2" t="s">
        <v>234</v>
      </c>
      <c r="R1951" s="2" t="s">
        <v>228</v>
      </c>
      <c r="S1951" s="2" t="s">
        <v>9451</v>
      </c>
      <c r="T1951" s="2" t="s">
        <v>228</v>
      </c>
      <c r="U1951" s="2" t="s">
        <v>500</v>
      </c>
      <c r="V1951" s="2" t="s">
        <v>236</v>
      </c>
      <c r="W1951" s="2" t="s">
        <v>463</v>
      </c>
      <c r="X1951" s="2" t="s">
        <v>269</v>
      </c>
      <c r="Y1951" s="2" t="s">
        <v>8227</v>
      </c>
      <c r="Z1951" s="4">
        <v>250</v>
      </c>
      <c r="AA1951" s="4">
        <f>=ROUNDDOWN({0},0)</f>
      </c>
      <c r="AB1951" s="5"/>
      <c r="AC1951" s="2" t="s">
        <v>1788</v>
      </c>
      <c r="AD1951" s="4">
        <v>260</v>
      </c>
      <c r="AE1951" s="4">
        <v>520</v>
      </c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228</v>
      </c>
      <c r="AM1951" s="4"/>
      <c r="AN1951" s="4"/>
      <c r="AO1951" s="7"/>
      <c r="AP1951" s="4"/>
      <c r="AQ1951" s="8"/>
      <c r="AR1951" s="4"/>
      <c r="AS1951" s="8"/>
      <c r="AT1951" s="7"/>
      <c r="AU1951" s="7"/>
      <c r="AV1951" s="4" t="s">
        <v>228</v>
      </c>
      <c r="AW1951" s="8" t="s">
        <v>228</v>
      </c>
      <c r="AX1951" s="4" t="s">
        <v>228</v>
      </c>
      <c r="AY1951" s="8" t="s">
        <v>228</v>
      </c>
      <c r="AZ1951" s="7" t="s">
        <v>228</v>
      </c>
      <c r="BA1951" s="7" t="s">
        <v>228</v>
      </c>
      <c r="BB1951" s="7"/>
      <c r="BC1951" s="4" t="s">
        <v>228</v>
      </c>
      <c r="BD1951" s="8" t="s">
        <v>228</v>
      </c>
      <c r="BE1951" s="4" t="s">
        <v>228</v>
      </c>
      <c r="BF1951" s="8" t="s">
        <v>228</v>
      </c>
      <c r="BG1951" s="7" t="s">
        <v>228</v>
      </c>
      <c r="BH1951" s="7" t="s">
        <v>228</v>
      </c>
      <c r="BI1951" s="7"/>
      <c r="BJ1951" s="4"/>
      <c r="BK1951" s="8"/>
      <c r="BL1951" s="2" t="s">
        <v>228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238</v>
      </c>
      <c r="BV1951" s="2" t="s">
        <v>228</v>
      </c>
      <c r="BW1951" s="2" t="s">
        <v>228</v>
      </c>
      <c r="BX1951" s="2" t="s">
        <v>238</v>
      </c>
      <c r="BY1951" s="2" t="s">
        <v>4862</v>
      </c>
      <c r="BZ1951" s="2" t="s">
        <v>240</v>
      </c>
      <c r="CA1951" s="2" t="s">
        <v>228</v>
      </c>
      <c r="CB1951" s="2" t="s">
        <v>228</v>
      </c>
      <c r="CC1951" s="2" t="s">
        <v>241</v>
      </c>
      <c r="CD1951" s="2" t="s">
        <v>228</v>
      </c>
      <c r="CE1951" s="4">
        <v>250</v>
      </c>
      <c r="CF1951" s="4"/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/>
      <c r="CY1951" s="4"/>
      <c r="CZ1951" s="4"/>
      <c r="DA1951" s="4"/>
      <c r="DB1951" s="4"/>
      <c r="DC1951" s="4"/>
      <c r="DD1951" s="4"/>
      <c r="DE1951" s="4"/>
      <c r="DF1951" s="4">
        <v>260</v>
      </c>
      <c r="DG1951" s="4"/>
      <c r="DH1951" s="4"/>
      <c r="DI1951" s="4"/>
      <c r="DJ1951" s="4"/>
      <c r="DK1951" s="4"/>
      <c r="DL1951" s="4"/>
      <c r="DM1951" s="4"/>
      <c r="DN1951" s="4"/>
      <c r="DO1951" s="4"/>
      <c r="DP1951" s="4"/>
      <c r="DQ1951" s="4"/>
      <c r="DR1951" s="4"/>
      <c r="DS1951" s="4"/>
      <c r="DT1951" s="4"/>
      <c r="DU1951" s="4"/>
      <c r="DV1951" s="4"/>
      <c r="DW1951" s="4"/>
      <c r="DX1951" s="4"/>
      <c r="DY1951" s="4"/>
      <c r="DZ1951" s="4"/>
      <c r="EA1951" s="4"/>
      <c r="EB1951" s="4"/>
      <c r="EC1951" s="4"/>
      <c r="ED1951" s="4"/>
      <c r="EE1951" s="4"/>
      <c r="EF1951" s="4"/>
      <c r="EG1951" s="4"/>
      <c r="EH1951" s="4"/>
      <c r="EI1951" s="4"/>
      <c r="EJ1951" s="4">
        <v>260</v>
      </c>
      <c r="EK1951" s="4"/>
      <c r="EL1951" s="4"/>
      <c r="EM1951" s="4"/>
      <c r="EN1951" s="4"/>
      <c r="EO1951" s="4"/>
      <c r="EP1951" s="4"/>
      <c r="EQ1951" s="4"/>
      <c r="ER1951" s="4"/>
      <c r="ES1951" s="4"/>
      <c r="ET1951" s="4"/>
      <c r="EU1951" s="4"/>
      <c r="EV1951" s="4"/>
      <c r="EW1951" s="4"/>
      <c r="EX1951" s="4"/>
      <c r="EY1951" s="4"/>
      <c r="EZ1951" s="4"/>
      <c r="FA1951" s="4"/>
      <c r="FB1951" s="4"/>
      <c r="FC1951" s="4"/>
      <c r="FD1951" s="4"/>
      <c r="FE1951" s="4"/>
      <c r="FF1951" s="4"/>
      <c r="FG1951" s="4"/>
      <c r="FH1951" s="4"/>
      <c r="FI1951" s="4"/>
      <c r="FJ1951" s="4"/>
      <c r="FK1951" s="4"/>
      <c r="FL1951" s="4"/>
      <c r="FM1951" s="4"/>
      <c r="FN1951" s="4"/>
      <c r="FO1951" s="4"/>
      <c r="FP1951" s="4"/>
      <c r="FQ1951" s="4"/>
      <c r="FR1951" s="4"/>
      <c r="FS1951" s="4"/>
      <c r="FT1951" s="4"/>
      <c r="FU1951" s="4"/>
      <c r="FV1951" s="4"/>
      <c r="FW1951" s="4"/>
      <c r="FX1951" s="4"/>
      <c r="FY1951" s="4"/>
      <c r="FZ1951" s="4"/>
      <c r="GA1951" s="4"/>
      <c r="GB1951" s="4"/>
      <c r="GC1951" s="4"/>
      <c r="GD1951" s="4"/>
      <c r="GE1951" s="4"/>
      <c r="GF1951" s="4"/>
      <c r="GG1951" s="4"/>
      <c r="GH1951" s="4"/>
      <c r="GI1951" s="4"/>
      <c r="GJ1951" s="4"/>
      <c r="GK1951" s="4"/>
      <c r="GL1951" s="4"/>
      <c r="GM1951" s="4"/>
      <c r="GN1951" s="4"/>
      <c r="GO1951" s="4"/>
      <c r="GP1951" s="4"/>
      <c r="GQ1951" s="4"/>
      <c r="GR1951" s="4"/>
      <c r="GS1951" s="4"/>
      <c r="GT1951" s="4"/>
      <c r="GU1951" s="4"/>
      <c r="GV1951" s="4"/>
      <c r="GW1951" s="4"/>
      <c r="GX1951" s="4"/>
      <c r="GY1951" s="4"/>
      <c r="GZ1951" s="4"/>
      <c r="HA1951" s="4"/>
      <c r="HB1951" s="4"/>
      <c r="HC1951" s="4"/>
      <c r="HD1951" s="4"/>
      <c r="HE1951" s="4"/>
    </row>
    <row r="1952">
      <c r="A1952" s="2" t="s">
        <v>9454</v>
      </c>
      <c r="B1952" s="2" t="s">
        <v>1150</v>
      </c>
      <c r="C1952" s="2" t="s">
        <v>300</v>
      </c>
      <c r="D1952" s="2" t="s">
        <v>1316</v>
      </c>
      <c r="E1952" s="2" t="s">
        <v>1317</v>
      </c>
      <c r="F1952" s="2" t="s">
        <v>9447</v>
      </c>
      <c r="G1952" s="2" t="s">
        <v>9448</v>
      </c>
      <c r="H1952" s="2" t="s">
        <v>9449</v>
      </c>
      <c r="I1952" s="2" t="s">
        <v>8895</v>
      </c>
      <c r="J1952" s="2" t="s">
        <v>1043</v>
      </c>
      <c r="K1952" s="2" t="s">
        <v>9450</v>
      </c>
      <c r="L1952" s="3">
        <v>39.69</v>
      </c>
      <c r="M1952" s="3">
        <v>41.67</v>
      </c>
      <c r="N1952" s="3">
        <v>79.99</v>
      </c>
      <c r="O1952" s="2" t="s">
        <v>240</v>
      </c>
      <c r="P1952" s="2" t="s">
        <v>233</v>
      </c>
      <c r="Q1952" s="2" t="s">
        <v>234</v>
      </c>
      <c r="R1952" s="2" t="s">
        <v>228</v>
      </c>
      <c r="S1952" s="2" t="s">
        <v>9451</v>
      </c>
      <c r="T1952" s="2" t="s">
        <v>228</v>
      </c>
      <c r="U1952" s="2" t="s">
        <v>500</v>
      </c>
      <c r="V1952" s="2" t="s">
        <v>236</v>
      </c>
      <c r="W1952" s="2" t="s">
        <v>463</v>
      </c>
      <c r="X1952" s="2" t="s">
        <v>269</v>
      </c>
      <c r="Y1952" s="2" t="s">
        <v>1786</v>
      </c>
      <c r="Z1952" s="4">
        <v>220</v>
      </c>
      <c r="AA1952" s="4">
        <f>=ROUNDDOWN({0},0)</f>
      </c>
      <c r="AB1952" s="5"/>
      <c r="AC1952" s="2" t="s">
        <v>1788</v>
      </c>
      <c r="AD1952" s="4">
        <v>70</v>
      </c>
      <c r="AE1952" s="4">
        <v>220</v>
      </c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228</v>
      </c>
      <c r="AM1952" s="4"/>
      <c r="AN1952" s="4"/>
      <c r="AO1952" s="7"/>
      <c r="AP1952" s="4"/>
      <c r="AQ1952" s="8"/>
      <c r="AR1952" s="4"/>
      <c r="AS1952" s="8"/>
      <c r="AT1952" s="7"/>
      <c r="AU1952" s="7"/>
      <c r="AV1952" s="4" t="s">
        <v>228</v>
      </c>
      <c r="AW1952" s="8" t="s">
        <v>228</v>
      </c>
      <c r="AX1952" s="4" t="s">
        <v>228</v>
      </c>
      <c r="AY1952" s="8" t="s">
        <v>228</v>
      </c>
      <c r="AZ1952" s="7" t="s">
        <v>228</v>
      </c>
      <c r="BA1952" s="7" t="s">
        <v>228</v>
      </c>
      <c r="BB1952" s="7"/>
      <c r="BC1952" s="4" t="s">
        <v>228</v>
      </c>
      <c r="BD1952" s="8" t="s">
        <v>228</v>
      </c>
      <c r="BE1952" s="4" t="s">
        <v>228</v>
      </c>
      <c r="BF1952" s="8" t="s">
        <v>228</v>
      </c>
      <c r="BG1952" s="7" t="s">
        <v>228</v>
      </c>
      <c r="BH1952" s="7" t="s">
        <v>228</v>
      </c>
      <c r="BI1952" s="7"/>
      <c r="BJ1952" s="4"/>
      <c r="BK1952" s="8"/>
      <c r="BL1952" s="2" t="s">
        <v>228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238</v>
      </c>
      <c r="BV1952" s="2" t="s">
        <v>228</v>
      </c>
      <c r="BW1952" s="2" t="s">
        <v>228</v>
      </c>
      <c r="BX1952" s="2" t="s">
        <v>238</v>
      </c>
      <c r="BY1952" s="2" t="s">
        <v>4862</v>
      </c>
      <c r="BZ1952" s="2" t="s">
        <v>240</v>
      </c>
      <c r="CA1952" s="2" t="s">
        <v>228</v>
      </c>
      <c r="CB1952" s="2" t="s">
        <v>228</v>
      </c>
      <c r="CC1952" s="2" t="s">
        <v>241</v>
      </c>
      <c r="CD1952" s="2" t="s">
        <v>228</v>
      </c>
      <c r="CE1952" s="4">
        <v>208</v>
      </c>
      <c r="CF1952" s="4"/>
      <c r="CG1952" s="4"/>
      <c r="CH1952" s="4"/>
      <c r="CI1952" s="4"/>
      <c r="CJ1952" s="4"/>
      <c r="CK1952" s="4">
        <v>12</v>
      </c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4"/>
      <c r="CX1952" s="4"/>
      <c r="CY1952" s="4"/>
      <c r="CZ1952" s="4"/>
      <c r="DA1952" s="4"/>
      <c r="DB1952" s="4"/>
      <c r="DC1952" s="4"/>
      <c r="DD1952" s="4"/>
      <c r="DE1952" s="4"/>
      <c r="DF1952" s="4">
        <v>70</v>
      </c>
      <c r="DG1952" s="4"/>
      <c r="DH1952" s="4"/>
      <c r="DI1952" s="4"/>
      <c r="DJ1952" s="4"/>
      <c r="DK1952" s="4"/>
      <c r="DL1952" s="4"/>
      <c r="DM1952" s="4"/>
      <c r="DN1952" s="4"/>
      <c r="DO1952" s="4"/>
      <c r="DP1952" s="4"/>
      <c r="DQ1952" s="4"/>
      <c r="DR1952" s="4"/>
      <c r="DS1952" s="4"/>
      <c r="DT1952" s="4"/>
      <c r="DU1952" s="4"/>
      <c r="DV1952" s="4"/>
      <c r="DW1952" s="4"/>
      <c r="DX1952" s="4"/>
      <c r="DY1952" s="4"/>
      <c r="DZ1952" s="4"/>
      <c r="EA1952" s="4"/>
      <c r="EB1952" s="4"/>
      <c r="EC1952" s="4"/>
      <c r="ED1952" s="4"/>
      <c r="EE1952" s="4"/>
      <c r="EF1952" s="4"/>
      <c r="EG1952" s="4"/>
      <c r="EH1952" s="4"/>
      <c r="EI1952" s="4"/>
      <c r="EJ1952" s="4">
        <v>150</v>
      </c>
      <c r="EK1952" s="4"/>
      <c r="EL1952" s="4"/>
      <c r="EM1952" s="4"/>
      <c r="EN1952" s="4"/>
      <c r="EO1952" s="4"/>
      <c r="EP1952" s="4"/>
      <c r="EQ1952" s="4"/>
      <c r="ER1952" s="4"/>
      <c r="ES1952" s="4"/>
      <c r="ET1952" s="4"/>
      <c r="EU1952" s="4"/>
      <c r="EV1952" s="4"/>
      <c r="EW1952" s="4"/>
      <c r="EX1952" s="4"/>
      <c r="EY1952" s="4"/>
      <c r="EZ1952" s="4"/>
      <c r="FA1952" s="4"/>
      <c r="FB1952" s="4"/>
      <c r="FC1952" s="4"/>
      <c r="FD1952" s="4"/>
      <c r="FE1952" s="4"/>
      <c r="FF1952" s="4"/>
      <c r="FG1952" s="4"/>
      <c r="FH1952" s="4"/>
      <c r="FI1952" s="4"/>
      <c r="FJ1952" s="4"/>
      <c r="FK1952" s="4"/>
      <c r="FL1952" s="4"/>
      <c r="FM1952" s="4"/>
      <c r="FN1952" s="4"/>
      <c r="FO1952" s="4"/>
      <c r="FP1952" s="4"/>
      <c r="FQ1952" s="4"/>
      <c r="FR1952" s="4"/>
      <c r="FS1952" s="4"/>
      <c r="FT1952" s="4"/>
      <c r="FU1952" s="4"/>
      <c r="FV1952" s="4"/>
      <c r="FW1952" s="4"/>
      <c r="FX1952" s="4"/>
      <c r="FY1952" s="4"/>
      <c r="FZ1952" s="4"/>
      <c r="GA1952" s="4"/>
      <c r="GB1952" s="4"/>
      <c r="GC1952" s="4"/>
      <c r="GD1952" s="4"/>
      <c r="GE1952" s="4"/>
      <c r="GF1952" s="4"/>
      <c r="GG1952" s="4"/>
      <c r="GH1952" s="4"/>
      <c r="GI1952" s="4"/>
      <c r="GJ1952" s="4"/>
      <c r="GK1952" s="4"/>
      <c r="GL1952" s="4"/>
      <c r="GM1952" s="4"/>
      <c r="GN1952" s="4"/>
      <c r="GO1952" s="4"/>
      <c r="GP1952" s="4"/>
      <c r="GQ1952" s="4"/>
      <c r="GR1952" s="4"/>
      <c r="GS1952" s="4"/>
      <c r="GT1952" s="4"/>
      <c r="GU1952" s="4"/>
      <c r="GV1952" s="4"/>
      <c r="GW1952" s="4"/>
      <c r="GX1952" s="4"/>
      <c r="GY1952" s="4"/>
      <c r="GZ1952" s="4"/>
      <c r="HA1952" s="4"/>
      <c r="HB1952" s="4"/>
      <c r="HC1952" s="4"/>
      <c r="HD1952" s="4"/>
      <c r="HE1952" s="4"/>
    </row>
    <row r="1953">
      <c r="A1953" s="2" t="s">
        <v>9455</v>
      </c>
      <c r="B1953" s="2" t="s">
        <v>1150</v>
      </c>
      <c r="C1953" s="2" t="s">
        <v>300</v>
      </c>
      <c r="D1953" s="2" t="s">
        <v>1316</v>
      </c>
      <c r="E1953" s="2" t="s">
        <v>1317</v>
      </c>
      <c r="F1953" s="2" t="s">
        <v>9447</v>
      </c>
      <c r="G1953" s="2" t="s">
        <v>9448</v>
      </c>
      <c r="H1953" s="2" t="s">
        <v>9449</v>
      </c>
      <c r="I1953" s="2" t="s">
        <v>9456</v>
      </c>
      <c r="J1953" s="2" t="s">
        <v>1043</v>
      </c>
      <c r="K1953" s="2" t="s">
        <v>265</v>
      </c>
      <c r="L1953" s="3">
        <v>39.69</v>
      </c>
      <c r="M1953" s="3">
        <v>41.67</v>
      </c>
      <c r="N1953" s="3">
        <v>79.99</v>
      </c>
      <c r="O1953" s="2" t="s">
        <v>240</v>
      </c>
      <c r="P1953" s="2" t="s">
        <v>889</v>
      </c>
      <c r="Q1953" s="2" t="s">
        <v>234</v>
      </c>
      <c r="R1953" s="2" t="s">
        <v>228</v>
      </c>
      <c r="S1953" s="2" t="s">
        <v>9457</v>
      </c>
      <c r="T1953" s="2" t="s">
        <v>228</v>
      </c>
      <c r="U1953" s="2" t="s">
        <v>500</v>
      </c>
      <c r="V1953" s="2" t="s">
        <v>236</v>
      </c>
      <c r="W1953" s="2" t="s">
        <v>463</v>
      </c>
      <c r="X1953" s="2" t="s">
        <v>269</v>
      </c>
      <c r="Y1953" s="2" t="s">
        <v>270</v>
      </c>
      <c r="Z1953" s="4">
        <v>316</v>
      </c>
      <c r="AA1953" s="4">
        <f>=ROUNDDOWN(8.77777777777778,0)</f>
      </c>
      <c r="AB1953" s="5">
        <v>36</v>
      </c>
      <c r="AC1953" s="2" t="s">
        <v>1014</v>
      </c>
      <c r="AD1953" s="4">
        <v>190</v>
      </c>
      <c r="AE1953" s="4">
        <v>960</v>
      </c>
      <c r="AF1953" s="6">
        <v>65</v>
      </c>
      <c r="AG1953" s="6">
        <v>48</v>
      </c>
      <c r="AH1953" s="7">
        <v>1</v>
      </c>
      <c r="AI1953" s="4"/>
      <c r="AJ1953" s="4">
        <f>=ROUNDDOWN({0},0)</f>
      </c>
      <c r="AK1953" s="5"/>
      <c r="AL1953" s="2" t="s">
        <v>228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/>
      <c r="AW1953" s="8"/>
      <c r="AX1953" s="4"/>
      <c r="AY1953" s="8"/>
      <c r="AZ1953" s="7"/>
      <c r="BA1953" s="7"/>
      <c r="BB1953" s="7"/>
      <c r="BC1953" s="4" t="s">
        <v>228</v>
      </c>
      <c r="BD1953" s="8" t="s">
        <v>228</v>
      </c>
      <c r="BE1953" s="4" t="s">
        <v>228</v>
      </c>
      <c r="BF1953" s="8" t="s">
        <v>228</v>
      </c>
      <c r="BG1953" s="7" t="s">
        <v>228</v>
      </c>
      <c r="BH1953" s="7" t="s">
        <v>228</v>
      </c>
      <c r="BI1953" s="7"/>
      <c r="BJ1953" s="4">
        <v>96</v>
      </c>
      <c r="BK1953" s="8">
        <v>4177.64</v>
      </c>
      <c r="BL1953" s="2" t="s">
        <v>9458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9459</v>
      </c>
      <c r="BV1953" s="2" t="s">
        <v>228</v>
      </c>
      <c r="BW1953" s="2" t="s">
        <v>228</v>
      </c>
      <c r="BX1953" s="2" t="s">
        <v>273</v>
      </c>
      <c r="BY1953" s="2" t="s">
        <v>274</v>
      </c>
      <c r="BZ1953" s="2" t="s">
        <v>240</v>
      </c>
      <c r="CA1953" s="2" t="s">
        <v>275</v>
      </c>
      <c r="CB1953" s="2" t="s">
        <v>1365</v>
      </c>
      <c r="CC1953" s="2" t="s">
        <v>241</v>
      </c>
      <c r="CD1953" s="2" t="s">
        <v>228</v>
      </c>
      <c r="CE1953" s="4">
        <v>257</v>
      </c>
      <c r="CF1953" s="4"/>
      <c r="CG1953" s="4"/>
      <c r="CH1953" s="4">
        <v>59</v>
      </c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4"/>
      <c r="CX1953" s="4"/>
      <c r="CY1953" s="4"/>
      <c r="CZ1953" s="4"/>
      <c r="DA1953" s="4"/>
      <c r="DB1953" s="4"/>
      <c r="DC1953" s="4"/>
      <c r="DD1953" s="4"/>
      <c r="DE1953" s="4"/>
      <c r="DF1953" s="4"/>
      <c r="DG1953" s="4"/>
      <c r="DH1953" s="4"/>
      <c r="DI1953" s="4"/>
      <c r="DJ1953" s="4"/>
      <c r="DK1953" s="4"/>
      <c r="DL1953" s="4"/>
      <c r="DM1953" s="4"/>
      <c r="DN1953" s="4"/>
      <c r="DO1953" s="4"/>
      <c r="DP1953" s="4">
        <v>190</v>
      </c>
      <c r="DQ1953" s="4"/>
      <c r="DR1953" s="4"/>
      <c r="DS1953" s="4"/>
      <c r="DT1953" s="4"/>
      <c r="DU1953" s="4"/>
      <c r="DV1953" s="4"/>
      <c r="DW1953" s="4"/>
      <c r="DX1953" s="4"/>
      <c r="DY1953" s="4"/>
      <c r="DZ1953" s="4"/>
      <c r="EA1953" s="4"/>
      <c r="EB1953" s="4"/>
      <c r="EC1953" s="4"/>
      <c r="ED1953" s="4"/>
      <c r="EE1953" s="4"/>
      <c r="EF1953" s="4"/>
      <c r="EG1953" s="4"/>
      <c r="EH1953" s="4"/>
      <c r="EI1953" s="4"/>
      <c r="EJ1953" s="4"/>
      <c r="EK1953" s="4"/>
      <c r="EL1953" s="4"/>
      <c r="EM1953" s="4"/>
      <c r="EN1953" s="4"/>
      <c r="EO1953" s="4"/>
      <c r="EP1953" s="4">
        <v>70</v>
      </c>
      <c r="EQ1953" s="4"/>
      <c r="ER1953" s="4">
        <v>350</v>
      </c>
      <c r="ES1953" s="4"/>
      <c r="ET1953" s="4"/>
      <c r="EU1953" s="4"/>
      <c r="EV1953" s="4"/>
      <c r="EW1953" s="4">
        <v>20</v>
      </c>
      <c r="EX1953" s="4"/>
      <c r="EY1953" s="4"/>
      <c r="EZ1953" s="4"/>
      <c r="FA1953" s="4"/>
      <c r="FB1953" s="4"/>
      <c r="FC1953" s="4"/>
      <c r="FD1953" s="4"/>
      <c r="FE1953" s="4"/>
      <c r="FF1953" s="4"/>
      <c r="FG1953" s="4"/>
      <c r="FH1953" s="4"/>
      <c r="FI1953" s="4">
        <v>120</v>
      </c>
      <c r="FJ1953" s="4"/>
      <c r="FK1953" s="4"/>
      <c r="FL1953" s="4"/>
      <c r="FM1953" s="4"/>
      <c r="FN1953" s="4"/>
      <c r="FO1953" s="4"/>
      <c r="FP1953" s="4"/>
      <c r="FQ1953" s="4"/>
      <c r="FR1953" s="4"/>
      <c r="FS1953" s="4"/>
      <c r="FT1953" s="4"/>
      <c r="FU1953" s="4"/>
      <c r="FV1953" s="4"/>
      <c r="FW1953" s="4">
        <v>140</v>
      </c>
      <c r="FX1953" s="4"/>
      <c r="FY1953" s="4"/>
      <c r="FZ1953" s="4"/>
      <c r="GA1953" s="4"/>
      <c r="GB1953" s="4"/>
      <c r="GC1953" s="4">
        <v>70</v>
      </c>
      <c r="GD1953" s="4"/>
      <c r="GE1953" s="4"/>
      <c r="GF1953" s="4"/>
      <c r="GG1953" s="4"/>
      <c r="GH1953" s="4"/>
      <c r="GI1953" s="4"/>
      <c r="GJ1953" s="4"/>
      <c r="GK1953" s="4"/>
      <c r="GL1953" s="4"/>
      <c r="GM1953" s="4"/>
      <c r="GN1953" s="4"/>
      <c r="GO1953" s="4"/>
      <c r="GP1953" s="4"/>
      <c r="GQ1953" s="4"/>
      <c r="GR1953" s="4"/>
      <c r="GS1953" s="4"/>
      <c r="GT1953" s="4"/>
      <c r="GU1953" s="4"/>
      <c r="GV1953" s="4"/>
      <c r="GW1953" s="4"/>
      <c r="GX1953" s="4"/>
      <c r="GY1953" s="4"/>
      <c r="GZ1953" s="4"/>
      <c r="HA1953" s="4"/>
      <c r="HB1953" s="4"/>
      <c r="HC1953" s="4"/>
      <c r="HD1953" s="4"/>
      <c r="HE1953" s="4"/>
    </row>
    <row r="1954">
      <c r="A1954" s="2" t="s">
        <v>9460</v>
      </c>
      <c r="B1954" s="2" t="s">
        <v>1150</v>
      </c>
      <c r="C1954" s="2" t="s">
        <v>300</v>
      </c>
      <c r="D1954" s="2" t="s">
        <v>1316</v>
      </c>
      <c r="E1954" s="2" t="s">
        <v>1317</v>
      </c>
      <c r="F1954" s="2" t="s">
        <v>9447</v>
      </c>
      <c r="G1954" s="2" t="s">
        <v>9448</v>
      </c>
      <c r="H1954" s="2" t="s">
        <v>9449</v>
      </c>
      <c r="I1954" s="2" t="s">
        <v>8895</v>
      </c>
      <c r="J1954" s="2" t="s">
        <v>1189</v>
      </c>
      <c r="K1954" s="2" t="s">
        <v>9461</v>
      </c>
      <c r="L1954" s="3">
        <v>34.55</v>
      </c>
      <c r="M1954" s="3">
        <v>36.28</v>
      </c>
      <c r="N1954" s="3">
        <v>69.99</v>
      </c>
      <c r="O1954" s="2" t="s">
        <v>240</v>
      </c>
      <c r="P1954" s="2" t="s">
        <v>233</v>
      </c>
      <c r="Q1954" s="2" t="s">
        <v>234</v>
      </c>
      <c r="R1954" s="2" t="s">
        <v>228</v>
      </c>
      <c r="S1954" s="2" t="s">
        <v>9451</v>
      </c>
      <c r="T1954" s="2" t="s">
        <v>228</v>
      </c>
      <c r="U1954" s="2" t="s">
        <v>500</v>
      </c>
      <c r="V1954" s="2" t="s">
        <v>236</v>
      </c>
      <c r="W1954" s="2" t="s">
        <v>463</v>
      </c>
      <c r="X1954" s="2" t="s">
        <v>269</v>
      </c>
      <c r="Y1954" s="2" t="s">
        <v>1786</v>
      </c>
      <c r="Z1954" s="4">
        <v>220</v>
      </c>
      <c r="AA1954" s="4">
        <f>=ROUNDDOWN({0},0)</f>
      </c>
      <c r="AB1954" s="5"/>
      <c r="AC1954" s="2" t="s">
        <v>1788</v>
      </c>
      <c r="AD1954" s="4">
        <v>20</v>
      </c>
      <c r="AE1954" s="4">
        <v>140</v>
      </c>
      <c r="AF1954" s="6">
        <v>65</v>
      </c>
      <c r="AG1954" s="6"/>
      <c r="AH1954" s="7">
        <v>1</v>
      </c>
      <c r="AI1954" s="4"/>
      <c r="AJ1954" s="4">
        <f>=ROUNDDOWN({0},0)</f>
      </c>
      <c r="AK1954" s="5"/>
      <c r="AL1954" s="2" t="s">
        <v>228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 t="s">
        <v>228</v>
      </c>
      <c r="AW1954" s="8" t="s">
        <v>228</v>
      </c>
      <c r="AX1954" s="4" t="s">
        <v>228</v>
      </c>
      <c r="AY1954" s="8" t="s">
        <v>228</v>
      </c>
      <c r="AZ1954" s="7" t="s">
        <v>228</v>
      </c>
      <c r="BA1954" s="7" t="s">
        <v>228</v>
      </c>
      <c r="BB1954" s="7"/>
      <c r="BC1954" s="4" t="s">
        <v>228</v>
      </c>
      <c r="BD1954" s="8" t="s">
        <v>228</v>
      </c>
      <c r="BE1954" s="4" t="s">
        <v>228</v>
      </c>
      <c r="BF1954" s="8" t="s">
        <v>228</v>
      </c>
      <c r="BG1954" s="7" t="s">
        <v>228</v>
      </c>
      <c r="BH1954" s="7" t="s">
        <v>228</v>
      </c>
      <c r="BI1954" s="7"/>
      <c r="BJ1954" s="4"/>
      <c r="BK1954" s="8"/>
      <c r="BL1954" s="2" t="s">
        <v>228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238</v>
      </c>
      <c r="BV1954" s="2" t="s">
        <v>228</v>
      </c>
      <c r="BW1954" s="2" t="s">
        <v>228</v>
      </c>
      <c r="BX1954" s="2" t="s">
        <v>238</v>
      </c>
      <c r="BY1954" s="2" t="s">
        <v>4862</v>
      </c>
      <c r="BZ1954" s="2" t="s">
        <v>240</v>
      </c>
      <c r="CA1954" s="2" t="s">
        <v>228</v>
      </c>
      <c r="CB1954" s="2" t="s">
        <v>228</v>
      </c>
      <c r="CC1954" s="2" t="s">
        <v>241</v>
      </c>
      <c r="CD1954" s="2" t="s">
        <v>228</v>
      </c>
      <c r="CE1954" s="4">
        <v>220</v>
      </c>
      <c r="CF1954" s="4"/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4"/>
      <c r="CX1954" s="4"/>
      <c r="CY1954" s="4"/>
      <c r="CZ1954" s="4"/>
      <c r="DA1954" s="4"/>
      <c r="DB1954" s="4"/>
      <c r="DC1954" s="4"/>
      <c r="DD1954" s="4"/>
      <c r="DE1954" s="4"/>
      <c r="DF1954" s="4">
        <v>20</v>
      </c>
      <c r="DG1954" s="4"/>
      <c r="DH1954" s="4"/>
      <c r="DI1954" s="4"/>
      <c r="DJ1954" s="4"/>
      <c r="DK1954" s="4"/>
      <c r="DL1954" s="4"/>
      <c r="DM1954" s="4"/>
      <c r="DN1954" s="4"/>
      <c r="DO1954" s="4"/>
      <c r="DP1954" s="4"/>
      <c r="DQ1954" s="4"/>
      <c r="DR1954" s="4"/>
      <c r="DS1954" s="4"/>
      <c r="DT1954" s="4"/>
      <c r="DU1954" s="4"/>
      <c r="DV1954" s="4"/>
      <c r="DW1954" s="4"/>
      <c r="DX1954" s="4"/>
      <c r="DY1954" s="4"/>
      <c r="DZ1954" s="4"/>
      <c r="EA1954" s="4"/>
      <c r="EB1954" s="4"/>
      <c r="EC1954" s="4"/>
      <c r="ED1954" s="4"/>
      <c r="EE1954" s="4"/>
      <c r="EF1954" s="4"/>
      <c r="EG1954" s="4"/>
      <c r="EH1954" s="4"/>
      <c r="EI1954" s="4"/>
      <c r="EJ1954" s="4">
        <v>120</v>
      </c>
      <c r="EK1954" s="4"/>
      <c r="EL1954" s="4"/>
      <c r="EM1954" s="4"/>
      <c r="EN1954" s="4"/>
      <c r="EO1954" s="4"/>
      <c r="EP1954" s="4"/>
      <c r="EQ1954" s="4"/>
      <c r="ER1954" s="4"/>
      <c r="ES1954" s="4"/>
      <c r="ET1954" s="4"/>
      <c r="EU1954" s="4"/>
      <c r="EV1954" s="4"/>
      <c r="EW1954" s="4"/>
      <c r="EX1954" s="4"/>
      <c r="EY1954" s="4"/>
      <c r="EZ1954" s="4"/>
      <c r="FA1954" s="4"/>
      <c r="FB1954" s="4"/>
      <c r="FC1954" s="4"/>
      <c r="FD1954" s="4"/>
      <c r="FE1954" s="4"/>
      <c r="FF1954" s="4"/>
      <c r="FG1954" s="4"/>
      <c r="FH1954" s="4"/>
      <c r="FI1954" s="4"/>
      <c r="FJ1954" s="4"/>
      <c r="FK1954" s="4"/>
      <c r="FL1954" s="4"/>
      <c r="FM1954" s="4"/>
      <c r="FN1954" s="4"/>
      <c r="FO1954" s="4"/>
      <c r="FP1954" s="4"/>
      <c r="FQ1954" s="4"/>
      <c r="FR1954" s="4"/>
      <c r="FS1954" s="4"/>
      <c r="FT1954" s="4"/>
      <c r="FU1954" s="4"/>
      <c r="FV1954" s="4"/>
      <c r="FW1954" s="4"/>
      <c r="FX1954" s="4"/>
      <c r="FY1954" s="4"/>
      <c r="FZ1954" s="4"/>
      <c r="GA1954" s="4"/>
      <c r="GB1954" s="4"/>
      <c r="GC1954" s="4"/>
      <c r="GD1954" s="4"/>
      <c r="GE1954" s="4"/>
      <c r="GF1954" s="4"/>
      <c r="GG1954" s="4"/>
      <c r="GH1954" s="4"/>
      <c r="GI1954" s="4"/>
      <c r="GJ1954" s="4"/>
      <c r="GK1954" s="4"/>
      <c r="GL1954" s="4"/>
      <c r="GM1954" s="4"/>
      <c r="GN1954" s="4"/>
      <c r="GO1954" s="4"/>
      <c r="GP1954" s="4"/>
      <c r="GQ1954" s="4"/>
      <c r="GR1954" s="4"/>
      <c r="GS1954" s="4"/>
      <c r="GT1954" s="4"/>
      <c r="GU1954" s="4"/>
      <c r="GV1954" s="4"/>
      <c r="GW1954" s="4"/>
      <c r="GX1954" s="4"/>
      <c r="GY1954" s="4"/>
      <c r="GZ1954" s="4"/>
      <c r="HA1954" s="4"/>
      <c r="HB1954" s="4"/>
      <c r="HC1954" s="4"/>
      <c r="HD1954" s="4"/>
      <c r="HE1954" s="4"/>
    </row>
    <row r="1955">
      <c r="A1955" s="2" t="s">
        <v>9462</v>
      </c>
      <c r="B1955" s="2" t="s">
        <v>1150</v>
      </c>
      <c r="C1955" s="2" t="s">
        <v>300</v>
      </c>
      <c r="D1955" s="2" t="s">
        <v>1316</v>
      </c>
      <c r="E1955" s="2" t="s">
        <v>8772</v>
      </c>
      <c r="F1955" s="2" t="s">
        <v>9447</v>
      </c>
      <c r="G1955" s="2" t="s">
        <v>9448</v>
      </c>
      <c r="H1955" s="2" t="s">
        <v>9449</v>
      </c>
      <c r="I1955" s="2" t="s">
        <v>8776</v>
      </c>
      <c r="J1955" s="2" t="s">
        <v>289</v>
      </c>
      <c r="K1955" s="2" t="s">
        <v>9461</v>
      </c>
      <c r="L1955" s="3">
        <v>49.5</v>
      </c>
      <c r="M1955" s="3">
        <v>51.98</v>
      </c>
      <c r="N1955" s="3">
        <v>99.99</v>
      </c>
      <c r="O1955" s="2" t="s">
        <v>240</v>
      </c>
      <c r="P1955" s="2" t="s">
        <v>233</v>
      </c>
      <c r="Q1955" s="2" t="s">
        <v>234</v>
      </c>
      <c r="R1955" s="2" t="s">
        <v>228</v>
      </c>
      <c r="S1955" s="2" t="s">
        <v>9451</v>
      </c>
      <c r="T1955" s="2" t="s">
        <v>228</v>
      </c>
      <c r="U1955" s="2" t="s">
        <v>500</v>
      </c>
      <c r="V1955" s="2" t="s">
        <v>236</v>
      </c>
      <c r="W1955" s="2" t="s">
        <v>463</v>
      </c>
      <c r="X1955" s="2" t="s">
        <v>269</v>
      </c>
      <c r="Y1955" s="2" t="s">
        <v>8227</v>
      </c>
      <c r="Z1955" s="4">
        <v>120</v>
      </c>
      <c r="AA1955" s="4">
        <f>=ROUNDDOWN({0},0)</f>
      </c>
      <c r="AB1955" s="5"/>
      <c r="AC1955" s="2" t="s">
        <v>1788</v>
      </c>
      <c r="AD1955" s="4">
        <v>120</v>
      </c>
      <c r="AE1955" s="4">
        <v>240</v>
      </c>
      <c r="AF1955" s="6">
        <v>65</v>
      </c>
      <c r="AG1955" s="6"/>
      <c r="AH1955" s="7">
        <v>1</v>
      </c>
      <c r="AI1955" s="4"/>
      <c r="AJ1955" s="4">
        <f>=ROUNDDOWN({0},0)</f>
      </c>
      <c r="AK1955" s="5"/>
      <c r="AL1955" s="2" t="s">
        <v>228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 t="s">
        <v>228</v>
      </c>
      <c r="AW1955" s="8" t="s">
        <v>228</v>
      </c>
      <c r="AX1955" s="4" t="s">
        <v>228</v>
      </c>
      <c r="AY1955" s="8" t="s">
        <v>228</v>
      </c>
      <c r="AZ1955" s="7" t="s">
        <v>228</v>
      </c>
      <c r="BA1955" s="7" t="s">
        <v>228</v>
      </c>
      <c r="BB1955" s="7"/>
      <c r="BC1955" s="4" t="s">
        <v>228</v>
      </c>
      <c r="BD1955" s="8" t="s">
        <v>228</v>
      </c>
      <c r="BE1955" s="4" t="s">
        <v>228</v>
      </c>
      <c r="BF1955" s="8" t="s">
        <v>228</v>
      </c>
      <c r="BG1955" s="7" t="s">
        <v>228</v>
      </c>
      <c r="BH1955" s="7" t="s">
        <v>228</v>
      </c>
      <c r="BI1955" s="7"/>
      <c r="BJ1955" s="4"/>
      <c r="BK1955" s="8"/>
      <c r="BL1955" s="2" t="s">
        <v>228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238</v>
      </c>
      <c r="BV1955" s="2" t="s">
        <v>228</v>
      </c>
      <c r="BW1955" s="2" t="s">
        <v>228</v>
      </c>
      <c r="BX1955" s="2" t="s">
        <v>238</v>
      </c>
      <c r="BY1955" s="2" t="s">
        <v>4862</v>
      </c>
      <c r="BZ1955" s="2" t="s">
        <v>240</v>
      </c>
      <c r="CA1955" s="2" t="s">
        <v>228</v>
      </c>
      <c r="CB1955" s="2" t="s">
        <v>228</v>
      </c>
      <c r="CC1955" s="2" t="s">
        <v>241</v>
      </c>
      <c r="CD1955" s="2" t="s">
        <v>228</v>
      </c>
      <c r="CE1955" s="4">
        <v>120</v>
      </c>
      <c r="CF1955" s="4"/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4"/>
      <c r="CX1955" s="4"/>
      <c r="CY1955" s="4"/>
      <c r="CZ1955" s="4"/>
      <c r="DA1955" s="4"/>
      <c r="DB1955" s="4"/>
      <c r="DC1955" s="4"/>
      <c r="DD1955" s="4"/>
      <c r="DE1955" s="4"/>
      <c r="DF1955" s="4">
        <v>120</v>
      </c>
      <c r="DG1955" s="4"/>
      <c r="DH1955" s="4"/>
      <c r="DI1955" s="4"/>
      <c r="DJ1955" s="4"/>
      <c r="DK1955" s="4"/>
      <c r="DL1955" s="4"/>
      <c r="DM1955" s="4"/>
      <c r="DN1955" s="4"/>
      <c r="DO1955" s="4"/>
      <c r="DP1955" s="4"/>
      <c r="DQ1955" s="4"/>
      <c r="DR1955" s="4"/>
      <c r="DS1955" s="4"/>
      <c r="DT1955" s="4"/>
      <c r="DU1955" s="4"/>
      <c r="DV1955" s="4"/>
      <c r="DW1955" s="4"/>
      <c r="DX1955" s="4"/>
      <c r="DY1955" s="4"/>
      <c r="DZ1955" s="4"/>
      <c r="EA1955" s="4"/>
      <c r="EB1955" s="4"/>
      <c r="EC1955" s="4"/>
      <c r="ED1955" s="4"/>
      <c r="EE1955" s="4"/>
      <c r="EF1955" s="4"/>
      <c r="EG1955" s="4"/>
      <c r="EH1955" s="4"/>
      <c r="EI1955" s="4"/>
      <c r="EJ1955" s="4">
        <v>120</v>
      </c>
      <c r="EK1955" s="4"/>
      <c r="EL1955" s="4"/>
      <c r="EM1955" s="4"/>
      <c r="EN1955" s="4"/>
      <c r="EO1955" s="4"/>
      <c r="EP1955" s="4"/>
      <c r="EQ1955" s="4"/>
      <c r="ER1955" s="4"/>
      <c r="ES1955" s="4"/>
      <c r="ET1955" s="4"/>
      <c r="EU1955" s="4"/>
      <c r="EV1955" s="4"/>
      <c r="EW1955" s="4"/>
      <c r="EX1955" s="4"/>
      <c r="EY1955" s="4"/>
      <c r="EZ1955" s="4"/>
      <c r="FA1955" s="4"/>
      <c r="FB1955" s="4"/>
      <c r="FC1955" s="4"/>
      <c r="FD1955" s="4"/>
      <c r="FE1955" s="4"/>
      <c r="FF1955" s="4"/>
      <c r="FG1955" s="4"/>
      <c r="FH1955" s="4"/>
      <c r="FI1955" s="4"/>
      <c r="FJ1955" s="4"/>
      <c r="FK1955" s="4"/>
      <c r="FL1955" s="4"/>
      <c r="FM1955" s="4"/>
      <c r="FN1955" s="4"/>
      <c r="FO1955" s="4"/>
      <c r="FP1955" s="4"/>
      <c r="FQ1955" s="4"/>
      <c r="FR1955" s="4"/>
      <c r="FS1955" s="4"/>
      <c r="FT1955" s="4"/>
      <c r="FU1955" s="4"/>
      <c r="FV1955" s="4"/>
      <c r="FW1955" s="4"/>
      <c r="FX1955" s="4"/>
      <c r="FY1955" s="4"/>
      <c r="FZ1955" s="4"/>
      <c r="GA1955" s="4"/>
      <c r="GB1955" s="4"/>
      <c r="GC1955" s="4"/>
      <c r="GD1955" s="4"/>
      <c r="GE1955" s="4"/>
      <c r="GF1955" s="4"/>
      <c r="GG1955" s="4"/>
      <c r="GH1955" s="4"/>
      <c r="GI1955" s="4"/>
      <c r="GJ1955" s="4"/>
      <c r="GK1955" s="4"/>
      <c r="GL1955" s="4"/>
      <c r="GM1955" s="4"/>
      <c r="GN1955" s="4"/>
      <c r="GO1955" s="4"/>
      <c r="GP1955" s="4"/>
      <c r="GQ1955" s="4"/>
      <c r="GR1955" s="4"/>
      <c r="GS1955" s="4"/>
      <c r="GT1955" s="4"/>
      <c r="GU1955" s="4"/>
      <c r="GV1955" s="4"/>
      <c r="GW1955" s="4"/>
      <c r="GX1955" s="4"/>
      <c r="GY1955" s="4"/>
      <c r="GZ1955" s="4"/>
      <c r="HA1955" s="4"/>
      <c r="HB1955" s="4"/>
      <c r="HC1955" s="4"/>
      <c r="HD1955" s="4"/>
      <c r="HE1955" s="4"/>
    </row>
    <row r="1956">
      <c r="A1956" s="2" t="s">
        <v>9463</v>
      </c>
      <c r="B1956" s="2" t="s">
        <v>1150</v>
      </c>
      <c r="C1956" s="2" t="s">
        <v>300</v>
      </c>
      <c r="D1956" s="2" t="s">
        <v>1316</v>
      </c>
      <c r="E1956" s="2" t="s">
        <v>8772</v>
      </c>
      <c r="F1956" s="2" t="s">
        <v>9447</v>
      </c>
      <c r="G1956" s="2" t="s">
        <v>9448</v>
      </c>
      <c r="H1956" s="2" t="s">
        <v>9449</v>
      </c>
      <c r="I1956" s="2" t="s">
        <v>8776</v>
      </c>
      <c r="J1956" s="2" t="s">
        <v>294</v>
      </c>
      <c r="K1956" s="2" t="s">
        <v>9461</v>
      </c>
      <c r="L1956" s="3">
        <v>64.25</v>
      </c>
      <c r="M1956" s="3">
        <v>67.46</v>
      </c>
      <c r="N1956" s="3">
        <v>129.99</v>
      </c>
      <c r="O1956" s="2" t="s">
        <v>240</v>
      </c>
      <c r="P1956" s="2" t="s">
        <v>233</v>
      </c>
      <c r="Q1956" s="2" t="s">
        <v>234</v>
      </c>
      <c r="R1956" s="2" t="s">
        <v>228</v>
      </c>
      <c r="S1956" s="2" t="s">
        <v>9451</v>
      </c>
      <c r="T1956" s="2" t="s">
        <v>228</v>
      </c>
      <c r="U1956" s="2" t="s">
        <v>500</v>
      </c>
      <c r="V1956" s="2" t="s">
        <v>236</v>
      </c>
      <c r="W1956" s="2" t="s">
        <v>463</v>
      </c>
      <c r="X1956" s="2" t="s">
        <v>269</v>
      </c>
      <c r="Y1956" s="2" t="s">
        <v>1786</v>
      </c>
      <c r="Z1956" s="4">
        <v>140</v>
      </c>
      <c r="AA1956" s="4">
        <f>=ROUNDDOWN({0},0)</f>
      </c>
      <c r="AB1956" s="5"/>
      <c r="AC1956" s="2" t="s">
        <v>1788</v>
      </c>
      <c r="AD1956" s="4">
        <v>150</v>
      </c>
      <c r="AE1956" s="4">
        <v>300</v>
      </c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228</v>
      </c>
      <c r="AM1956" s="4"/>
      <c r="AN1956" s="4"/>
      <c r="AO1956" s="7"/>
      <c r="AP1956" s="4"/>
      <c r="AQ1956" s="8"/>
      <c r="AR1956" s="4"/>
      <c r="AS1956" s="8"/>
      <c r="AT1956" s="7"/>
      <c r="AU1956" s="7"/>
      <c r="AV1956" s="4" t="s">
        <v>228</v>
      </c>
      <c r="AW1956" s="8" t="s">
        <v>228</v>
      </c>
      <c r="AX1956" s="4" t="s">
        <v>228</v>
      </c>
      <c r="AY1956" s="8" t="s">
        <v>228</v>
      </c>
      <c r="AZ1956" s="7" t="s">
        <v>228</v>
      </c>
      <c r="BA1956" s="7" t="s">
        <v>228</v>
      </c>
      <c r="BB1956" s="7"/>
      <c r="BC1956" s="4" t="s">
        <v>228</v>
      </c>
      <c r="BD1956" s="8" t="s">
        <v>228</v>
      </c>
      <c r="BE1956" s="4" t="s">
        <v>228</v>
      </c>
      <c r="BF1956" s="8" t="s">
        <v>228</v>
      </c>
      <c r="BG1956" s="7" t="s">
        <v>228</v>
      </c>
      <c r="BH1956" s="7" t="s">
        <v>228</v>
      </c>
      <c r="BI1956" s="7"/>
      <c r="BJ1956" s="4"/>
      <c r="BK1956" s="8"/>
      <c r="BL1956" s="2" t="s">
        <v>228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238</v>
      </c>
      <c r="BV1956" s="2" t="s">
        <v>228</v>
      </c>
      <c r="BW1956" s="2" t="s">
        <v>228</v>
      </c>
      <c r="BX1956" s="2" t="s">
        <v>238</v>
      </c>
      <c r="BY1956" s="2" t="s">
        <v>4862</v>
      </c>
      <c r="BZ1956" s="2" t="s">
        <v>240</v>
      </c>
      <c r="CA1956" s="2" t="s">
        <v>228</v>
      </c>
      <c r="CB1956" s="2" t="s">
        <v>228</v>
      </c>
      <c r="CC1956" s="2" t="s">
        <v>241</v>
      </c>
      <c r="CD1956" s="2" t="s">
        <v>228</v>
      </c>
      <c r="CE1956" s="4">
        <v>140</v>
      </c>
      <c r="CF1956" s="4"/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4"/>
      <c r="CX1956" s="4"/>
      <c r="CY1956" s="4"/>
      <c r="CZ1956" s="4"/>
      <c r="DA1956" s="4"/>
      <c r="DB1956" s="4"/>
      <c r="DC1956" s="4"/>
      <c r="DD1956" s="4"/>
      <c r="DE1956" s="4"/>
      <c r="DF1956" s="4">
        <v>150</v>
      </c>
      <c r="DG1956" s="4"/>
      <c r="DH1956" s="4"/>
      <c r="DI1956" s="4"/>
      <c r="DJ1956" s="4"/>
      <c r="DK1956" s="4"/>
      <c r="DL1956" s="4"/>
      <c r="DM1956" s="4"/>
      <c r="DN1956" s="4"/>
      <c r="DO1956" s="4"/>
      <c r="DP1956" s="4"/>
      <c r="DQ1956" s="4"/>
      <c r="DR1956" s="4"/>
      <c r="DS1956" s="4"/>
      <c r="DT1956" s="4"/>
      <c r="DU1956" s="4"/>
      <c r="DV1956" s="4"/>
      <c r="DW1956" s="4"/>
      <c r="DX1956" s="4"/>
      <c r="DY1956" s="4"/>
      <c r="DZ1956" s="4"/>
      <c r="EA1956" s="4"/>
      <c r="EB1956" s="4"/>
      <c r="EC1956" s="4"/>
      <c r="ED1956" s="4"/>
      <c r="EE1956" s="4"/>
      <c r="EF1956" s="4"/>
      <c r="EG1956" s="4"/>
      <c r="EH1956" s="4"/>
      <c r="EI1956" s="4"/>
      <c r="EJ1956" s="4">
        <v>150</v>
      </c>
      <c r="EK1956" s="4"/>
      <c r="EL1956" s="4"/>
      <c r="EM1956" s="4"/>
      <c r="EN1956" s="4"/>
      <c r="EO1956" s="4"/>
      <c r="EP1956" s="4"/>
      <c r="EQ1956" s="4"/>
      <c r="ER1956" s="4"/>
      <c r="ES1956" s="4"/>
      <c r="ET1956" s="4"/>
      <c r="EU1956" s="4"/>
      <c r="EV1956" s="4"/>
      <c r="EW1956" s="4"/>
      <c r="EX1956" s="4"/>
      <c r="EY1956" s="4"/>
      <c r="EZ1956" s="4"/>
      <c r="FA1956" s="4"/>
      <c r="FB1956" s="4"/>
      <c r="FC1956" s="4"/>
      <c r="FD1956" s="4"/>
      <c r="FE1956" s="4"/>
      <c r="FF1956" s="4"/>
      <c r="FG1956" s="4"/>
      <c r="FH1956" s="4"/>
      <c r="FI1956" s="4"/>
      <c r="FJ1956" s="4"/>
      <c r="FK1956" s="4"/>
      <c r="FL1956" s="4"/>
      <c r="FM1956" s="4"/>
      <c r="FN1956" s="4"/>
      <c r="FO1956" s="4"/>
      <c r="FP1956" s="4"/>
      <c r="FQ1956" s="4"/>
      <c r="FR1956" s="4"/>
      <c r="FS1956" s="4"/>
      <c r="FT1956" s="4"/>
      <c r="FU1956" s="4"/>
      <c r="FV1956" s="4"/>
      <c r="FW1956" s="4"/>
      <c r="FX1956" s="4"/>
      <c r="FY1956" s="4"/>
      <c r="FZ1956" s="4"/>
      <c r="GA1956" s="4"/>
      <c r="GB1956" s="4"/>
      <c r="GC1956" s="4"/>
      <c r="GD1956" s="4"/>
      <c r="GE1956" s="4"/>
      <c r="GF1956" s="4"/>
      <c r="GG1956" s="4"/>
      <c r="GH1956" s="4"/>
      <c r="GI1956" s="4"/>
      <c r="GJ1956" s="4"/>
      <c r="GK1956" s="4"/>
      <c r="GL1956" s="4"/>
      <c r="GM1956" s="4"/>
      <c r="GN1956" s="4"/>
      <c r="GO1956" s="4"/>
      <c r="GP1956" s="4"/>
      <c r="GQ1956" s="4"/>
      <c r="GR1956" s="4"/>
      <c r="GS1956" s="4"/>
      <c r="GT1956" s="4"/>
      <c r="GU1956" s="4"/>
      <c r="GV1956" s="4"/>
      <c r="GW1956" s="4"/>
      <c r="GX1956" s="4"/>
      <c r="GY1956" s="4"/>
      <c r="GZ1956" s="4"/>
      <c r="HA1956" s="4"/>
      <c r="HB1956" s="4"/>
      <c r="HC1956" s="4"/>
      <c r="HD1956" s="4"/>
      <c r="HE1956" s="4"/>
    </row>
    <row r="1957">
      <c r="A1957" s="2" t="s">
        <v>9464</v>
      </c>
      <c r="B1957" s="2" t="s">
        <v>1150</v>
      </c>
      <c r="C1957" s="2" t="s">
        <v>300</v>
      </c>
      <c r="D1957" s="2" t="s">
        <v>1316</v>
      </c>
      <c r="E1957" s="2" t="s">
        <v>1317</v>
      </c>
      <c r="F1957" s="2" t="s">
        <v>9447</v>
      </c>
      <c r="G1957" s="2" t="s">
        <v>9448</v>
      </c>
      <c r="H1957" s="2" t="s">
        <v>9449</v>
      </c>
      <c r="I1957" s="2" t="s">
        <v>8895</v>
      </c>
      <c r="J1957" s="2" t="s">
        <v>1043</v>
      </c>
      <c r="K1957" s="2" t="s">
        <v>9461</v>
      </c>
      <c r="L1957" s="3">
        <v>39.69</v>
      </c>
      <c r="M1957" s="3">
        <v>41.67</v>
      </c>
      <c r="N1957" s="3">
        <v>79.99</v>
      </c>
      <c r="O1957" s="2" t="s">
        <v>240</v>
      </c>
      <c r="P1957" s="2" t="s">
        <v>233</v>
      </c>
      <c r="Q1957" s="2" t="s">
        <v>234</v>
      </c>
      <c r="R1957" s="2" t="s">
        <v>228</v>
      </c>
      <c r="S1957" s="2" t="s">
        <v>9451</v>
      </c>
      <c r="T1957" s="2" t="s">
        <v>228</v>
      </c>
      <c r="U1957" s="2" t="s">
        <v>500</v>
      </c>
      <c r="V1957" s="2" t="s">
        <v>236</v>
      </c>
      <c r="W1957" s="2" t="s">
        <v>463</v>
      </c>
      <c r="X1957" s="2" t="s">
        <v>269</v>
      </c>
      <c r="Y1957" s="2" t="s">
        <v>1786</v>
      </c>
      <c r="Z1957" s="4">
        <v>219</v>
      </c>
      <c r="AA1957" s="4">
        <f>=ROUNDDOWN({0},0)</f>
      </c>
      <c r="AB1957" s="5"/>
      <c r="AC1957" s="2" t="s">
        <v>1788</v>
      </c>
      <c r="AD1957" s="4">
        <v>70</v>
      </c>
      <c r="AE1957" s="4">
        <v>220</v>
      </c>
      <c r="AF1957" s="6">
        <v>65</v>
      </c>
      <c r="AG1957" s="6"/>
      <c r="AH1957" s="7">
        <v>1</v>
      </c>
      <c r="AI1957" s="4"/>
      <c r="AJ1957" s="4">
        <f>=ROUNDDOWN({0},0)</f>
      </c>
      <c r="AK1957" s="5"/>
      <c r="AL1957" s="2" t="s">
        <v>228</v>
      </c>
      <c r="AM1957" s="4"/>
      <c r="AN1957" s="4"/>
      <c r="AO1957" s="7"/>
      <c r="AP1957" s="4"/>
      <c r="AQ1957" s="8"/>
      <c r="AR1957" s="4"/>
      <c r="AS1957" s="8"/>
      <c r="AT1957" s="7"/>
      <c r="AU1957" s="7"/>
      <c r="AV1957" s="4" t="s">
        <v>228</v>
      </c>
      <c r="AW1957" s="8" t="s">
        <v>228</v>
      </c>
      <c r="AX1957" s="4" t="s">
        <v>228</v>
      </c>
      <c r="AY1957" s="8" t="s">
        <v>228</v>
      </c>
      <c r="AZ1957" s="7" t="s">
        <v>228</v>
      </c>
      <c r="BA1957" s="7" t="s">
        <v>228</v>
      </c>
      <c r="BB1957" s="7"/>
      <c r="BC1957" s="4" t="s">
        <v>228</v>
      </c>
      <c r="BD1957" s="8" t="s">
        <v>228</v>
      </c>
      <c r="BE1957" s="4" t="s">
        <v>228</v>
      </c>
      <c r="BF1957" s="8" t="s">
        <v>228</v>
      </c>
      <c r="BG1957" s="7" t="s">
        <v>228</v>
      </c>
      <c r="BH1957" s="7" t="s">
        <v>228</v>
      </c>
      <c r="BI1957" s="7"/>
      <c r="BJ1957" s="4"/>
      <c r="BK1957" s="8"/>
      <c r="BL1957" s="2" t="s">
        <v>228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238</v>
      </c>
      <c r="BV1957" s="2" t="s">
        <v>228</v>
      </c>
      <c r="BW1957" s="2" t="s">
        <v>228</v>
      </c>
      <c r="BX1957" s="2" t="s">
        <v>238</v>
      </c>
      <c r="BY1957" s="2" t="s">
        <v>4862</v>
      </c>
      <c r="BZ1957" s="2" t="s">
        <v>240</v>
      </c>
      <c r="CA1957" s="2" t="s">
        <v>228</v>
      </c>
      <c r="CB1957" s="2" t="s">
        <v>228</v>
      </c>
      <c r="CC1957" s="2" t="s">
        <v>241</v>
      </c>
      <c r="CD1957" s="2" t="s">
        <v>228</v>
      </c>
      <c r="CE1957" s="4">
        <v>213</v>
      </c>
      <c r="CF1957" s="4"/>
      <c r="CG1957" s="4"/>
      <c r="CH1957" s="4"/>
      <c r="CI1957" s="4"/>
      <c r="CJ1957" s="4"/>
      <c r="CK1957" s="4">
        <v>6</v>
      </c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>
        <v>70</v>
      </c>
      <c r="DG1957" s="4"/>
      <c r="DH1957" s="4"/>
      <c r="DI1957" s="4"/>
      <c r="DJ1957" s="4"/>
      <c r="DK1957" s="4"/>
      <c r="DL1957" s="4"/>
      <c r="DM1957" s="4"/>
      <c r="DN1957" s="4"/>
      <c r="DO1957" s="4"/>
      <c r="DP1957" s="4"/>
      <c r="DQ1957" s="4"/>
      <c r="DR1957" s="4"/>
      <c r="DS1957" s="4"/>
      <c r="DT1957" s="4"/>
      <c r="DU1957" s="4"/>
      <c r="DV1957" s="4"/>
      <c r="DW1957" s="4"/>
      <c r="DX1957" s="4"/>
      <c r="DY1957" s="4"/>
      <c r="DZ1957" s="4"/>
      <c r="EA1957" s="4"/>
      <c r="EB1957" s="4"/>
      <c r="EC1957" s="4"/>
      <c r="ED1957" s="4"/>
      <c r="EE1957" s="4"/>
      <c r="EF1957" s="4"/>
      <c r="EG1957" s="4"/>
      <c r="EH1957" s="4"/>
      <c r="EI1957" s="4"/>
      <c r="EJ1957" s="4">
        <v>150</v>
      </c>
      <c r="EK1957" s="4"/>
      <c r="EL1957" s="4"/>
      <c r="EM1957" s="4"/>
      <c r="EN1957" s="4"/>
      <c r="EO1957" s="4"/>
      <c r="EP1957" s="4"/>
      <c r="EQ1957" s="4"/>
      <c r="ER1957" s="4"/>
      <c r="ES1957" s="4"/>
      <c r="ET1957" s="4"/>
      <c r="EU1957" s="4"/>
      <c r="EV1957" s="4"/>
      <c r="EW1957" s="4"/>
      <c r="EX1957" s="4"/>
      <c r="EY1957" s="4"/>
      <c r="EZ1957" s="4"/>
      <c r="FA1957" s="4"/>
      <c r="FB1957" s="4"/>
      <c r="FC1957" s="4"/>
      <c r="FD1957" s="4"/>
      <c r="FE1957" s="4"/>
      <c r="FF1957" s="4"/>
      <c r="FG1957" s="4"/>
      <c r="FH1957" s="4"/>
      <c r="FI1957" s="4"/>
      <c r="FJ1957" s="4"/>
      <c r="FK1957" s="4"/>
      <c r="FL1957" s="4"/>
      <c r="FM1957" s="4"/>
      <c r="FN1957" s="4"/>
      <c r="FO1957" s="4"/>
      <c r="FP1957" s="4"/>
      <c r="FQ1957" s="4"/>
      <c r="FR1957" s="4"/>
      <c r="FS1957" s="4"/>
      <c r="FT1957" s="4"/>
      <c r="FU1957" s="4"/>
      <c r="FV1957" s="4"/>
      <c r="FW1957" s="4"/>
      <c r="FX1957" s="4"/>
      <c r="FY1957" s="4"/>
      <c r="FZ1957" s="4"/>
      <c r="GA1957" s="4"/>
      <c r="GB1957" s="4"/>
      <c r="GC1957" s="4"/>
      <c r="GD1957" s="4"/>
      <c r="GE1957" s="4"/>
      <c r="GF1957" s="4"/>
      <c r="GG1957" s="4"/>
      <c r="GH1957" s="4"/>
      <c r="GI1957" s="4"/>
      <c r="GJ1957" s="4"/>
      <c r="GK1957" s="4"/>
      <c r="GL1957" s="4"/>
      <c r="GM1957" s="4"/>
      <c r="GN1957" s="4"/>
      <c r="GO1957" s="4"/>
      <c r="GP1957" s="4"/>
      <c r="GQ1957" s="4"/>
      <c r="GR1957" s="4"/>
      <c r="GS1957" s="4"/>
      <c r="GT1957" s="4"/>
      <c r="GU1957" s="4"/>
      <c r="GV1957" s="4"/>
      <c r="GW1957" s="4"/>
      <c r="GX1957" s="4"/>
      <c r="GY1957" s="4"/>
      <c r="GZ1957" s="4"/>
      <c r="HA1957" s="4"/>
      <c r="HB1957" s="4"/>
      <c r="HC1957" s="4"/>
      <c r="HD1957" s="4"/>
      <c r="HE1957" s="4"/>
    </row>
    <row r="1958">
      <c r="A1958" s="2" t="s">
        <v>9465</v>
      </c>
      <c r="B1958" s="2" t="s">
        <v>1150</v>
      </c>
      <c r="C1958" s="2" t="s">
        <v>300</v>
      </c>
      <c r="D1958" s="2" t="s">
        <v>1316</v>
      </c>
      <c r="E1958" s="2" t="s">
        <v>1317</v>
      </c>
      <c r="F1958" s="2" t="s">
        <v>9447</v>
      </c>
      <c r="G1958" s="2" t="s">
        <v>9448</v>
      </c>
      <c r="H1958" s="2" t="s">
        <v>9449</v>
      </c>
      <c r="I1958" s="2" t="s">
        <v>9456</v>
      </c>
      <c r="J1958" s="2" t="s">
        <v>856</v>
      </c>
      <c r="K1958" s="2" t="s">
        <v>251</v>
      </c>
      <c r="L1958" s="3">
        <v>26.9</v>
      </c>
      <c r="M1958" s="3">
        <v>28.24</v>
      </c>
      <c r="N1958" s="3">
        <v>54.99</v>
      </c>
      <c r="O1958" s="2" t="s">
        <v>240</v>
      </c>
      <c r="P1958" s="2" t="s">
        <v>889</v>
      </c>
      <c r="Q1958" s="2" t="s">
        <v>234</v>
      </c>
      <c r="R1958" s="2" t="s">
        <v>228</v>
      </c>
      <c r="S1958" s="2" t="s">
        <v>9466</v>
      </c>
      <c r="T1958" s="2" t="s">
        <v>228</v>
      </c>
      <c r="U1958" s="2" t="s">
        <v>520</v>
      </c>
      <c r="V1958" s="2" t="s">
        <v>236</v>
      </c>
      <c r="W1958" s="2" t="s">
        <v>463</v>
      </c>
      <c r="X1958" s="2" t="s">
        <v>269</v>
      </c>
      <c r="Y1958" s="2" t="s">
        <v>9467</v>
      </c>
      <c r="Z1958" s="4">
        <v>192</v>
      </c>
      <c r="AA1958" s="4">
        <f>=ROUNDDOWN(11.2941176470588,0)</f>
      </c>
      <c r="AB1958" s="5">
        <v>17</v>
      </c>
      <c r="AC1958" s="2" t="s">
        <v>154</v>
      </c>
      <c r="AD1958" s="4">
        <v>50</v>
      </c>
      <c r="AE1958" s="4">
        <v>400</v>
      </c>
      <c r="AF1958" s="6">
        <v>65</v>
      </c>
      <c r="AG1958" s="6">
        <v>48</v>
      </c>
      <c r="AH1958" s="7">
        <v>1</v>
      </c>
      <c r="AI1958" s="4"/>
      <c r="AJ1958" s="4">
        <f>=ROUNDDOWN({0},0)</f>
      </c>
      <c r="AK1958" s="5"/>
      <c r="AL1958" s="2" t="s">
        <v>228</v>
      </c>
      <c r="AM1958" s="4"/>
      <c r="AN1958" s="4"/>
      <c r="AO1958" s="7"/>
      <c r="AP1958" s="4"/>
      <c r="AQ1958" s="8"/>
      <c r="AR1958" s="4"/>
      <c r="AS1958" s="8"/>
      <c r="AT1958" s="7"/>
      <c r="AU1958" s="7"/>
      <c r="AV1958" s="4"/>
      <c r="AW1958" s="8"/>
      <c r="AX1958" s="4"/>
      <c r="AY1958" s="8"/>
      <c r="AZ1958" s="7"/>
      <c r="BA1958" s="7"/>
      <c r="BB1958" s="7"/>
      <c r="BC1958" s="4" t="s">
        <v>228</v>
      </c>
      <c r="BD1958" s="8" t="s">
        <v>228</v>
      </c>
      <c r="BE1958" s="4" t="s">
        <v>228</v>
      </c>
      <c r="BF1958" s="8" t="s">
        <v>228</v>
      </c>
      <c r="BG1958" s="7" t="s">
        <v>228</v>
      </c>
      <c r="BH1958" s="7" t="s">
        <v>228</v>
      </c>
      <c r="BI1958" s="7"/>
      <c r="BJ1958" s="4">
        <v>49</v>
      </c>
      <c r="BK1958" s="8">
        <v>1483.13</v>
      </c>
      <c r="BL1958" s="2" t="s">
        <v>9468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9469</v>
      </c>
      <c r="BV1958" s="2" t="s">
        <v>228</v>
      </c>
      <c r="BW1958" s="2" t="s">
        <v>228</v>
      </c>
      <c r="BX1958" s="2" t="s">
        <v>273</v>
      </c>
      <c r="BY1958" s="2" t="s">
        <v>274</v>
      </c>
      <c r="BZ1958" s="2" t="s">
        <v>240</v>
      </c>
      <c r="CA1958" s="2" t="s">
        <v>9467</v>
      </c>
      <c r="CB1958" s="2" t="s">
        <v>4080</v>
      </c>
      <c r="CC1958" s="2" t="s">
        <v>241</v>
      </c>
      <c r="CD1958" s="2" t="s">
        <v>228</v>
      </c>
      <c r="CE1958" s="4">
        <v>179</v>
      </c>
      <c r="CF1958" s="4"/>
      <c r="CG1958" s="4"/>
      <c r="CH1958" s="4">
        <v>13</v>
      </c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  <c r="CW1958" s="4"/>
      <c r="CX1958" s="4"/>
      <c r="CY1958" s="4"/>
      <c r="CZ1958" s="4"/>
      <c r="DA1958" s="4"/>
      <c r="DB1958" s="4"/>
      <c r="DC1958" s="4"/>
      <c r="DD1958" s="4"/>
      <c r="DE1958" s="4"/>
      <c r="DF1958" s="4"/>
      <c r="DG1958" s="4"/>
      <c r="DH1958" s="4"/>
      <c r="DI1958" s="4"/>
      <c r="DJ1958" s="4"/>
      <c r="DK1958" s="4"/>
      <c r="DL1958" s="4"/>
      <c r="DM1958" s="4"/>
      <c r="DN1958" s="4"/>
      <c r="DO1958" s="4"/>
      <c r="DP1958" s="4"/>
      <c r="DQ1958" s="4"/>
      <c r="DR1958" s="4"/>
      <c r="DS1958" s="4"/>
      <c r="DT1958" s="4"/>
      <c r="DU1958" s="4"/>
      <c r="DV1958" s="4"/>
      <c r="DW1958" s="4"/>
      <c r="DX1958" s="4"/>
      <c r="DY1958" s="4"/>
      <c r="DZ1958" s="4"/>
      <c r="EA1958" s="4"/>
      <c r="EB1958" s="4"/>
      <c r="EC1958" s="4"/>
      <c r="ED1958" s="4"/>
      <c r="EE1958" s="4"/>
      <c r="EF1958" s="4"/>
      <c r="EG1958" s="4"/>
      <c r="EH1958" s="4"/>
      <c r="EI1958" s="4"/>
      <c r="EJ1958" s="4"/>
      <c r="EK1958" s="4"/>
      <c r="EL1958" s="4"/>
      <c r="EM1958" s="4"/>
      <c r="EN1958" s="4"/>
      <c r="EO1958" s="4"/>
      <c r="EP1958" s="4">
        <v>50</v>
      </c>
      <c r="EQ1958" s="4"/>
      <c r="ER1958" s="4"/>
      <c r="ES1958" s="4"/>
      <c r="ET1958" s="4"/>
      <c r="EU1958" s="4"/>
      <c r="EV1958" s="4"/>
      <c r="EW1958" s="4"/>
      <c r="EX1958" s="4">
        <v>20</v>
      </c>
      <c r="EY1958" s="4"/>
      <c r="EZ1958" s="4"/>
      <c r="FA1958" s="4"/>
      <c r="FB1958" s="4"/>
      <c r="FC1958" s="4"/>
      <c r="FD1958" s="4"/>
      <c r="FE1958" s="4"/>
      <c r="FF1958" s="4"/>
      <c r="FG1958" s="4"/>
      <c r="FH1958" s="4"/>
      <c r="FI1958" s="4"/>
      <c r="FJ1958" s="4"/>
      <c r="FK1958" s="4"/>
      <c r="FL1958" s="4"/>
      <c r="FM1958" s="4"/>
      <c r="FN1958" s="4"/>
      <c r="FO1958" s="4"/>
      <c r="FP1958" s="4"/>
      <c r="FQ1958" s="4"/>
      <c r="FR1958" s="4"/>
      <c r="FS1958" s="4"/>
      <c r="FT1958" s="4"/>
      <c r="FU1958" s="4"/>
      <c r="FV1958" s="4"/>
      <c r="FW1958" s="4">
        <v>200</v>
      </c>
      <c r="FX1958" s="4"/>
      <c r="FY1958" s="4"/>
      <c r="FZ1958" s="4"/>
      <c r="GA1958" s="4"/>
      <c r="GB1958" s="4"/>
      <c r="GC1958" s="4">
        <v>130</v>
      </c>
      <c r="GD1958" s="4"/>
      <c r="GE1958" s="4"/>
      <c r="GF1958" s="4"/>
      <c r="GG1958" s="4"/>
      <c r="GH1958" s="4"/>
      <c r="GI1958" s="4"/>
      <c r="GJ1958" s="4"/>
      <c r="GK1958" s="4"/>
      <c r="GL1958" s="4"/>
      <c r="GM1958" s="4"/>
      <c r="GN1958" s="4"/>
      <c r="GO1958" s="4"/>
      <c r="GP1958" s="4"/>
      <c r="GQ1958" s="4"/>
      <c r="GR1958" s="4"/>
      <c r="GS1958" s="4"/>
      <c r="GT1958" s="4"/>
      <c r="GU1958" s="4"/>
      <c r="GV1958" s="4"/>
      <c r="GW1958" s="4"/>
      <c r="GX1958" s="4"/>
      <c r="GY1958" s="4"/>
      <c r="GZ1958" s="4"/>
      <c r="HA1958" s="4"/>
      <c r="HB1958" s="4"/>
      <c r="HC1958" s="4"/>
      <c r="HD1958" s="4"/>
      <c r="HE1958" s="4"/>
    </row>
    <row r="1959">
      <c r="A1959" s="2" t="s">
        <v>9470</v>
      </c>
      <c r="B1959" s="2" t="s">
        <v>223</v>
      </c>
      <c r="C1959" s="2" t="s">
        <v>731</v>
      </c>
      <c r="D1959" s="2" t="s">
        <v>9471</v>
      </c>
      <c r="E1959" s="2" t="s">
        <v>9472</v>
      </c>
      <c r="F1959" s="2" t="s">
        <v>9473</v>
      </c>
      <c r="G1959" s="2" t="s">
        <v>9473</v>
      </c>
      <c r="H1959" s="2" t="s">
        <v>9473</v>
      </c>
      <c r="I1959" s="2" t="s">
        <v>3638</v>
      </c>
      <c r="J1959" s="2" t="s">
        <v>284</v>
      </c>
      <c r="K1959" s="2" t="s">
        <v>249</v>
      </c>
      <c r="L1959" s="3">
        <v>70.19</v>
      </c>
      <c r="M1959" s="3">
        <v>73.7</v>
      </c>
      <c r="N1959" s="3">
        <v>129.99</v>
      </c>
      <c r="O1959" s="2" t="s">
        <v>461</v>
      </c>
      <c r="P1959" s="2" t="s">
        <v>333</v>
      </c>
      <c r="Q1959" s="2" t="s">
        <v>234</v>
      </c>
      <c r="R1959" s="2" t="s">
        <v>228</v>
      </c>
      <c r="S1959" s="2" t="s">
        <v>9474</v>
      </c>
      <c r="T1959" s="2" t="s">
        <v>3112</v>
      </c>
      <c r="U1959" s="2" t="s">
        <v>416</v>
      </c>
      <c r="V1959" s="2" t="s">
        <v>980</v>
      </c>
      <c r="W1959" s="2" t="s">
        <v>269</v>
      </c>
      <c r="X1959" s="2" t="s">
        <v>463</v>
      </c>
      <c r="Y1959" s="2" t="s">
        <v>9475</v>
      </c>
      <c r="Z1959" s="4">
        <v>47</v>
      </c>
      <c r="AA1959" s="4">
        <f>=ROUNDDOWN(5.40229885057471,0)</f>
      </c>
      <c r="AB1959" s="5">
        <v>8.7</v>
      </c>
      <c r="AC1959" s="2" t="s">
        <v>228</v>
      </c>
      <c r="AD1959" s="4"/>
      <c r="AE1959" s="4"/>
      <c r="AF1959" s="6">
        <v>58</v>
      </c>
      <c r="AG1959" s="6"/>
      <c r="AH1959" s="7">
        <v>1</v>
      </c>
      <c r="AI1959" s="4"/>
      <c r="AJ1959" s="4">
        <f>=ROUNDDOWN({0},0)</f>
      </c>
      <c r="AK1959" s="5"/>
      <c r="AL1959" s="2" t="s">
        <v>228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 t="s">
        <v>228</v>
      </c>
      <c r="AW1959" s="8" t="s">
        <v>228</v>
      </c>
      <c r="AX1959" s="4" t="s">
        <v>228</v>
      </c>
      <c r="AY1959" s="8" t="s">
        <v>228</v>
      </c>
      <c r="AZ1959" s="7" t="s">
        <v>228</v>
      </c>
      <c r="BA1959" s="7" t="s">
        <v>228</v>
      </c>
      <c r="BB1959" s="7"/>
      <c r="BC1959" s="4" t="s">
        <v>228</v>
      </c>
      <c r="BD1959" s="8" t="s">
        <v>228</v>
      </c>
      <c r="BE1959" s="4" t="s">
        <v>228</v>
      </c>
      <c r="BF1959" s="8" t="s">
        <v>228</v>
      </c>
      <c r="BG1959" s="7" t="s">
        <v>228</v>
      </c>
      <c r="BH1959" s="7" t="s">
        <v>228</v>
      </c>
      <c r="BI1959" s="7"/>
      <c r="BJ1959" s="4">
        <v>8</v>
      </c>
      <c r="BK1959" s="8">
        <v>385.93</v>
      </c>
      <c r="BL1959" s="2" t="s">
        <v>9476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9477</v>
      </c>
      <c r="BV1959" s="2" t="s">
        <v>228</v>
      </c>
      <c r="BW1959" s="2" t="s">
        <v>228</v>
      </c>
      <c r="BX1959" s="2" t="s">
        <v>337</v>
      </c>
      <c r="BY1959" s="2" t="s">
        <v>274</v>
      </c>
      <c r="BZ1959" s="2" t="s">
        <v>240</v>
      </c>
      <c r="CA1959" s="2" t="s">
        <v>9478</v>
      </c>
      <c r="CB1959" s="2" t="s">
        <v>9479</v>
      </c>
      <c r="CC1959" s="2" t="s">
        <v>241</v>
      </c>
      <c r="CD1959" s="2" t="s">
        <v>228</v>
      </c>
      <c r="CE1959" s="4">
        <v>47</v>
      </c>
      <c r="CF1959" s="4"/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  <c r="DL1959" s="4"/>
      <c r="DM1959" s="4"/>
      <c r="DN1959" s="4"/>
      <c r="DO1959" s="4"/>
      <c r="DP1959" s="4"/>
      <c r="DQ1959" s="4"/>
      <c r="DR1959" s="4"/>
      <c r="DS1959" s="4"/>
      <c r="DT1959" s="4"/>
      <c r="DU1959" s="4"/>
      <c r="DV1959" s="4"/>
      <c r="DW1959" s="4"/>
      <c r="DX1959" s="4"/>
      <c r="DY1959" s="4"/>
      <c r="DZ1959" s="4"/>
      <c r="EA1959" s="4"/>
      <c r="EB1959" s="4"/>
      <c r="EC1959" s="4"/>
      <c r="ED1959" s="4"/>
      <c r="EE1959" s="4"/>
      <c r="EF1959" s="4"/>
      <c r="EG1959" s="4"/>
      <c r="EH1959" s="4"/>
      <c r="EI1959" s="4"/>
      <c r="EJ1959" s="4"/>
      <c r="EK1959" s="4"/>
      <c r="EL1959" s="4"/>
      <c r="EM1959" s="4"/>
      <c r="EN1959" s="4"/>
      <c r="EO1959" s="4"/>
      <c r="EP1959" s="4"/>
      <c r="EQ1959" s="4"/>
      <c r="ER1959" s="4"/>
      <c r="ES1959" s="4"/>
      <c r="ET1959" s="4"/>
      <c r="EU1959" s="4"/>
      <c r="EV1959" s="4"/>
      <c r="EW1959" s="4"/>
      <c r="EX1959" s="4"/>
      <c r="EY1959" s="4"/>
      <c r="EZ1959" s="4"/>
      <c r="FA1959" s="4"/>
      <c r="FB1959" s="4"/>
      <c r="FC1959" s="4"/>
      <c r="FD1959" s="4"/>
      <c r="FE1959" s="4"/>
      <c r="FF1959" s="4"/>
      <c r="FG1959" s="4"/>
      <c r="FH1959" s="4"/>
      <c r="FI1959" s="4"/>
      <c r="FJ1959" s="4"/>
      <c r="FK1959" s="4"/>
      <c r="FL1959" s="4"/>
      <c r="FM1959" s="4"/>
      <c r="FN1959" s="4"/>
      <c r="FO1959" s="4"/>
      <c r="FP1959" s="4"/>
      <c r="FQ1959" s="4"/>
      <c r="FR1959" s="4"/>
      <c r="FS1959" s="4"/>
      <c r="FT1959" s="4"/>
      <c r="FU1959" s="4"/>
      <c r="FV1959" s="4"/>
      <c r="FW1959" s="4"/>
      <c r="FX1959" s="4"/>
      <c r="FY1959" s="4"/>
      <c r="FZ1959" s="4"/>
      <c r="GA1959" s="4"/>
      <c r="GB1959" s="4"/>
      <c r="GC1959" s="4"/>
      <c r="GD1959" s="4"/>
      <c r="GE1959" s="4"/>
      <c r="GF1959" s="4"/>
      <c r="GG1959" s="4"/>
      <c r="GH1959" s="4"/>
      <c r="GI1959" s="4"/>
      <c r="GJ1959" s="4"/>
      <c r="GK1959" s="4"/>
      <c r="GL1959" s="4"/>
      <c r="GM1959" s="4"/>
      <c r="GN1959" s="4"/>
      <c r="GO1959" s="4"/>
      <c r="GP1959" s="4"/>
      <c r="GQ1959" s="4"/>
      <c r="GR1959" s="4"/>
      <c r="GS1959" s="4"/>
      <c r="GT1959" s="4"/>
      <c r="GU1959" s="4"/>
      <c r="GV1959" s="4"/>
      <c r="GW1959" s="4"/>
      <c r="GX1959" s="4"/>
      <c r="GY1959" s="4"/>
      <c r="GZ1959" s="4"/>
      <c r="HA1959" s="4"/>
      <c r="HB1959" s="4"/>
      <c r="HC1959" s="4"/>
      <c r="HD1959" s="4"/>
      <c r="HE1959" s="4"/>
    </row>
    <row r="1960">
      <c r="A1960" s="2" t="s">
        <v>9480</v>
      </c>
      <c r="B1960" s="2" t="s">
        <v>223</v>
      </c>
      <c r="C1960" s="2" t="s">
        <v>731</v>
      </c>
      <c r="D1960" s="2" t="s">
        <v>9471</v>
      </c>
      <c r="E1960" s="2" t="s">
        <v>9472</v>
      </c>
      <c r="F1960" s="2" t="s">
        <v>9473</v>
      </c>
      <c r="G1960" s="2" t="s">
        <v>9473</v>
      </c>
      <c r="H1960" s="2" t="s">
        <v>9473</v>
      </c>
      <c r="I1960" s="2" t="s">
        <v>3638</v>
      </c>
      <c r="J1960" s="2" t="s">
        <v>294</v>
      </c>
      <c r="K1960" s="2" t="s">
        <v>249</v>
      </c>
      <c r="L1960" s="3">
        <v>102.59</v>
      </c>
      <c r="M1960" s="3">
        <v>107.72</v>
      </c>
      <c r="N1960" s="3">
        <v>189.99</v>
      </c>
      <c r="O1960" s="2" t="s">
        <v>232</v>
      </c>
      <c r="P1960" s="2" t="s">
        <v>333</v>
      </c>
      <c r="Q1960" s="2" t="s">
        <v>234</v>
      </c>
      <c r="R1960" s="2" t="s">
        <v>228</v>
      </c>
      <c r="S1960" s="2" t="s">
        <v>9474</v>
      </c>
      <c r="T1960" s="2" t="s">
        <v>3112</v>
      </c>
      <c r="U1960" s="2" t="s">
        <v>416</v>
      </c>
      <c r="V1960" s="2" t="s">
        <v>980</v>
      </c>
      <c r="W1960" s="2" t="s">
        <v>269</v>
      </c>
      <c r="X1960" s="2" t="s">
        <v>463</v>
      </c>
      <c r="Y1960" s="2" t="s">
        <v>9475</v>
      </c>
      <c r="Z1960" s="4"/>
      <c r="AA1960" s="4">
        <f>=ROUNDDOWN({0},0)</f>
      </c>
      <c r="AB1960" s="5"/>
      <c r="AC1960" s="2" t="s">
        <v>228</v>
      </c>
      <c r="AD1960" s="4"/>
      <c r="AE1960" s="4"/>
      <c r="AF1960" s="6">
        <v>58</v>
      </c>
      <c r="AG1960" s="6"/>
      <c r="AH1960" s="7">
        <v>0</v>
      </c>
      <c r="AI1960" s="4"/>
      <c r="AJ1960" s="4">
        <f>=ROUNDDOWN({0},0)</f>
      </c>
      <c r="AK1960" s="5"/>
      <c r="AL1960" s="2" t="s">
        <v>228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 t="s">
        <v>228</v>
      </c>
      <c r="AW1960" s="8" t="s">
        <v>228</v>
      </c>
      <c r="AX1960" s="4" t="s">
        <v>228</v>
      </c>
      <c r="AY1960" s="8" t="s">
        <v>228</v>
      </c>
      <c r="AZ1960" s="7" t="s">
        <v>228</v>
      </c>
      <c r="BA1960" s="7" t="s">
        <v>228</v>
      </c>
      <c r="BB1960" s="7"/>
      <c r="BC1960" s="4" t="s">
        <v>228</v>
      </c>
      <c r="BD1960" s="8" t="s">
        <v>228</v>
      </c>
      <c r="BE1960" s="4" t="s">
        <v>228</v>
      </c>
      <c r="BF1960" s="8" t="s">
        <v>228</v>
      </c>
      <c r="BG1960" s="7" t="s">
        <v>228</v>
      </c>
      <c r="BH1960" s="7" t="s">
        <v>228</v>
      </c>
      <c r="BI1960" s="7"/>
      <c r="BJ1960" s="4"/>
      <c r="BK1960" s="8"/>
      <c r="BL1960" s="2" t="s">
        <v>5868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9481</v>
      </c>
      <c r="BV1960" s="2" t="s">
        <v>228</v>
      </c>
      <c r="BW1960" s="2" t="s">
        <v>228</v>
      </c>
      <c r="BX1960" s="2" t="s">
        <v>337</v>
      </c>
      <c r="BY1960" s="2" t="s">
        <v>274</v>
      </c>
      <c r="BZ1960" s="2" t="s">
        <v>240</v>
      </c>
      <c r="CA1960" s="2" t="s">
        <v>9478</v>
      </c>
      <c r="CB1960" s="2" t="s">
        <v>9482</v>
      </c>
      <c r="CC1960" s="2" t="s">
        <v>241</v>
      </c>
      <c r="CD1960" s="2" t="s">
        <v>228</v>
      </c>
      <c r="CE1960" s="4"/>
      <c r="CF1960" s="4"/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4"/>
      <c r="CX1960" s="4"/>
      <c r="CY1960" s="4"/>
      <c r="CZ1960" s="4"/>
      <c r="DA1960" s="4"/>
      <c r="DB1960" s="4"/>
      <c r="DC1960" s="4"/>
      <c r="DD1960" s="4"/>
      <c r="DE1960" s="4"/>
      <c r="DF1960" s="4"/>
      <c r="DG1960" s="4"/>
      <c r="DH1960" s="4"/>
      <c r="DI1960" s="4"/>
      <c r="DJ1960" s="4"/>
      <c r="DK1960" s="4"/>
      <c r="DL1960" s="4"/>
      <c r="DM1960" s="4"/>
      <c r="DN1960" s="4"/>
      <c r="DO1960" s="4"/>
      <c r="DP1960" s="4"/>
      <c r="DQ1960" s="4"/>
      <c r="DR1960" s="4"/>
      <c r="DS1960" s="4"/>
      <c r="DT1960" s="4"/>
      <c r="DU1960" s="4"/>
      <c r="DV1960" s="4"/>
      <c r="DW1960" s="4"/>
      <c r="DX1960" s="4"/>
      <c r="DY1960" s="4"/>
      <c r="DZ1960" s="4"/>
      <c r="EA1960" s="4"/>
      <c r="EB1960" s="4"/>
      <c r="EC1960" s="4"/>
      <c r="ED1960" s="4"/>
      <c r="EE1960" s="4"/>
      <c r="EF1960" s="4"/>
      <c r="EG1960" s="4"/>
      <c r="EH1960" s="4"/>
      <c r="EI1960" s="4"/>
      <c r="EJ1960" s="4"/>
      <c r="EK1960" s="4"/>
      <c r="EL1960" s="4"/>
      <c r="EM1960" s="4"/>
      <c r="EN1960" s="4"/>
      <c r="EO1960" s="4"/>
      <c r="EP1960" s="4"/>
      <c r="EQ1960" s="4"/>
      <c r="ER1960" s="4"/>
      <c r="ES1960" s="4"/>
      <c r="ET1960" s="4"/>
      <c r="EU1960" s="4"/>
      <c r="EV1960" s="4"/>
      <c r="EW1960" s="4"/>
      <c r="EX1960" s="4"/>
      <c r="EY1960" s="4"/>
      <c r="EZ1960" s="4"/>
      <c r="FA1960" s="4"/>
      <c r="FB1960" s="4"/>
      <c r="FC1960" s="4"/>
      <c r="FD1960" s="4"/>
      <c r="FE1960" s="4"/>
      <c r="FF1960" s="4"/>
      <c r="FG1960" s="4"/>
      <c r="FH1960" s="4"/>
      <c r="FI1960" s="4"/>
      <c r="FJ1960" s="4"/>
      <c r="FK1960" s="4"/>
      <c r="FL1960" s="4"/>
      <c r="FM1960" s="4"/>
      <c r="FN1960" s="4"/>
      <c r="FO1960" s="4"/>
      <c r="FP1960" s="4"/>
      <c r="FQ1960" s="4"/>
      <c r="FR1960" s="4"/>
      <c r="FS1960" s="4"/>
      <c r="FT1960" s="4"/>
      <c r="FU1960" s="4"/>
      <c r="FV1960" s="4"/>
      <c r="FW1960" s="4"/>
      <c r="FX1960" s="4"/>
      <c r="FY1960" s="4"/>
      <c r="FZ1960" s="4"/>
      <c r="GA1960" s="4"/>
      <c r="GB1960" s="4"/>
      <c r="GC1960" s="4"/>
      <c r="GD1960" s="4"/>
      <c r="GE1960" s="4"/>
      <c r="GF1960" s="4"/>
      <c r="GG1960" s="4"/>
      <c r="GH1960" s="4"/>
      <c r="GI1960" s="4"/>
      <c r="GJ1960" s="4"/>
      <c r="GK1960" s="4"/>
      <c r="GL1960" s="4"/>
      <c r="GM1960" s="4"/>
      <c r="GN1960" s="4"/>
      <c r="GO1960" s="4"/>
      <c r="GP1960" s="4"/>
      <c r="GQ1960" s="4"/>
      <c r="GR1960" s="4"/>
      <c r="GS1960" s="4"/>
      <c r="GT1960" s="4"/>
      <c r="GU1960" s="4"/>
      <c r="GV1960" s="4"/>
      <c r="GW1960" s="4"/>
      <c r="GX1960" s="4"/>
      <c r="GY1960" s="4"/>
      <c r="GZ1960" s="4"/>
      <c r="HA1960" s="4"/>
      <c r="HB1960" s="4"/>
      <c r="HC1960" s="4"/>
      <c r="HD1960" s="4"/>
      <c r="HE1960" s="4"/>
    </row>
    <row r="1961">
      <c r="A1961" s="2" t="s">
        <v>9483</v>
      </c>
      <c r="B1961" s="2" t="s">
        <v>223</v>
      </c>
      <c r="C1961" s="2" t="s">
        <v>731</v>
      </c>
      <c r="D1961" s="2" t="s">
        <v>9471</v>
      </c>
      <c r="E1961" s="2" t="s">
        <v>9472</v>
      </c>
      <c r="F1961" s="2" t="s">
        <v>9473</v>
      </c>
      <c r="G1961" s="2" t="s">
        <v>9473</v>
      </c>
      <c r="H1961" s="2" t="s">
        <v>9473</v>
      </c>
      <c r="I1961" s="2" t="s">
        <v>3638</v>
      </c>
      <c r="J1961" s="2" t="s">
        <v>284</v>
      </c>
      <c r="K1961" s="2" t="s">
        <v>251</v>
      </c>
      <c r="L1961" s="3">
        <v>70.19</v>
      </c>
      <c r="M1961" s="3">
        <v>73.7</v>
      </c>
      <c r="N1961" s="3">
        <v>129.99</v>
      </c>
      <c r="O1961" s="2" t="s">
        <v>461</v>
      </c>
      <c r="P1961" s="2" t="s">
        <v>333</v>
      </c>
      <c r="Q1961" s="2" t="s">
        <v>234</v>
      </c>
      <c r="R1961" s="2" t="s">
        <v>228</v>
      </c>
      <c r="S1961" s="2" t="s">
        <v>9484</v>
      </c>
      <c r="T1961" s="2" t="s">
        <v>3112</v>
      </c>
      <c r="U1961" s="2" t="s">
        <v>416</v>
      </c>
      <c r="V1961" s="2" t="s">
        <v>980</v>
      </c>
      <c r="W1961" s="2" t="s">
        <v>269</v>
      </c>
      <c r="X1961" s="2" t="s">
        <v>463</v>
      </c>
      <c r="Y1961" s="2" t="s">
        <v>9475</v>
      </c>
      <c r="Z1961" s="4">
        <v>107</v>
      </c>
      <c r="AA1961" s="4">
        <f>=ROUNDDOWN(13.5443037974684,0)</f>
      </c>
      <c r="AB1961" s="5">
        <v>7.9</v>
      </c>
      <c r="AC1961" s="2" t="s">
        <v>228</v>
      </c>
      <c r="AD1961" s="4"/>
      <c r="AE1961" s="4"/>
      <c r="AF1961" s="6">
        <v>58</v>
      </c>
      <c r="AG1961" s="6"/>
      <c r="AH1961" s="7">
        <v>1</v>
      </c>
      <c r="AI1961" s="4"/>
      <c r="AJ1961" s="4">
        <f>=ROUNDDOWN({0},0)</f>
      </c>
      <c r="AK1961" s="5"/>
      <c r="AL1961" s="2" t="s">
        <v>228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/>
      <c r="AW1961" s="8"/>
      <c r="AX1961" s="4"/>
      <c r="AY1961" s="8"/>
      <c r="AZ1961" s="7"/>
      <c r="BA1961" s="7"/>
      <c r="BB1961" s="7"/>
      <c r="BC1961" s="4" t="s">
        <v>228</v>
      </c>
      <c r="BD1961" s="8" t="s">
        <v>228</v>
      </c>
      <c r="BE1961" s="4" t="s">
        <v>228</v>
      </c>
      <c r="BF1961" s="8" t="s">
        <v>228</v>
      </c>
      <c r="BG1961" s="7" t="s">
        <v>228</v>
      </c>
      <c r="BH1961" s="7" t="s">
        <v>228</v>
      </c>
      <c r="BI1961" s="7"/>
      <c r="BJ1961" s="4">
        <v>5</v>
      </c>
      <c r="BK1961" s="8">
        <v>219.42</v>
      </c>
      <c r="BL1961" s="2" t="s">
        <v>9485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9486</v>
      </c>
      <c r="BV1961" s="2" t="s">
        <v>228</v>
      </c>
      <c r="BW1961" s="2" t="s">
        <v>228</v>
      </c>
      <c r="BX1961" s="2" t="s">
        <v>337</v>
      </c>
      <c r="BY1961" s="2" t="s">
        <v>274</v>
      </c>
      <c r="BZ1961" s="2" t="s">
        <v>240</v>
      </c>
      <c r="CA1961" s="2" t="s">
        <v>9478</v>
      </c>
      <c r="CB1961" s="2" t="s">
        <v>9487</v>
      </c>
      <c r="CC1961" s="2" t="s">
        <v>241</v>
      </c>
      <c r="CD1961" s="2" t="s">
        <v>228</v>
      </c>
      <c r="CE1961" s="4">
        <v>107</v>
      </c>
      <c r="CF1961" s="4"/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4"/>
      <c r="CX1961" s="4"/>
      <c r="CY1961" s="4"/>
      <c r="CZ1961" s="4"/>
      <c r="DA1961" s="4"/>
      <c r="DB1961" s="4"/>
      <c r="DC1961" s="4"/>
      <c r="DD1961" s="4"/>
      <c r="DE1961" s="4"/>
      <c r="DF1961" s="4"/>
      <c r="DG1961" s="4"/>
      <c r="DH1961" s="4"/>
      <c r="DI1961" s="4"/>
      <c r="DJ1961" s="4"/>
      <c r="DK1961" s="4"/>
      <c r="DL1961" s="4"/>
      <c r="DM1961" s="4"/>
      <c r="DN1961" s="4"/>
      <c r="DO1961" s="4"/>
      <c r="DP1961" s="4"/>
      <c r="DQ1961" s="4"/>
      <c r="DR1961" s="4"/>
      <c r="DS1961" s="4"/>
      <c r="DT1961" s="4"/>
      <c r="DU1961" s="4"/>
      <c r="DV1961" s="4"/>
      <c r="DW1961" s="4"/>
      <c r="DX1961" s="4"/>
      <c r="DY1961" s="4"/>
      <c r="DZ1961" s="4"/>
      <c r="EA1961" s="4"/>
      <c r="EB1961" s="4"/>
      <c r="EC1961" s="4"/>
      <c r="ED1961" s="4"/>
      <c r="EE1961" s="4"/>
      <c r="EF1961" s="4"/>
      <c r="EG1961" s="4"/>
      <c r="EH1961" s="4"/>
      <c r="EI1961" s="4"/>
      <c r="EJ1961" s="4"/>
      <c r="EK1961" s="4"/>
      <c r="EL1961" s="4"/>
      <c r="EM1961" s="4"/>
      <c r="EN1961" s="4"/>
      <c r="EO1961" s="4"/>
      <c r="EP1961" s="4"/>
      <c r="EQ1961" s="4"/>
      <c r="ER1961" s="4"/>
      <c r="ES1961" s="4"/>
      <c r="ET1961" s="4"/>
      <c r="EU1961" s="4"/>
      <c r="EV1961" s="4"/>
      <c r="EW1961" s="4"/>
      <c r="EX1961" s="4"/>
      <c r="EY1961" s="4"/>
      <c r="EZ1961" s="4"/>
      <c r="FA1961" s="4"/>
      <c r="FB1961" s="4"/>
      <c r="FC1961" s="4"/>
      <c r="FD1961" s="4"/>
      <c r="FE1961" s="4"/>
      <c r="FF1961" s="4"/>
      <c r="FG1961" s="4"/>
      <c r="FH1961" s="4"/>
      <c r="FI1961" s="4"/>
      <c r="FJ1961" s="4"/>
      <c r="FK1961" s="4"/>
      <c r="FL1961" s="4"/>
      <c r="FM1961" s="4"/>
      <c r="FN1961" s="4"/>
      <c r="FO1961" s="4"/>
      <c r="FP1961" s="4"/>
      <c r="FQ1961" s="4"/>
      <c r="FR1961" s="4"/>
      <c r="FS1961" s="4"/>
      <c r="FT1961" s="4"/>
      <c r="FU1961" s="4"/>
      <c r="FV1961" s="4"/>
      <c r="FW1961" s="4"/>
      <c r="FX1961" s="4"/>
      <c r="FY1961" s="4"/>
      <c r="FZ1961" s="4"/>
      <c r="GA1961" s="4"/>
      <c r="GB1961" s="4"/>
      <c r="GC1961" s="4"/>
      <c r="GD1961" s="4"/>
      <c r="GE1961" s="4"/>
      <c r="GF1961" s="4"/>
      <c r="GG1961" s="4"/>
      <c r="GH1961" s="4"/>
      <c r="GI1961" s="4"/>
      <c r="GJ1961" s="4"/>
      <c r="GK1961" s="4"/>
      <c r="GL1961" s="4"/>
      <c r="GM1961" s="4"/>
      <c r="GN1961" s="4"/>
      <c r="GO1961" s="4"/>
      <c r="GP1961" s="4"/>
      <c r="GQ1961" s="4"/>
      <c r="GR1961" s="4"/>
      <c r="GS1961" s="4"/>
      <c r="GT1961" s="4"/>
      <c r="GU1961" s="4"/>
      <c r="GV1961" s="4"/>
      <c r="GW1961" s="4"/>
      <c r="GX1961" s="4"/>
      <c r="GY1961" s="4"/>
      <c r="GZ1961" s="4"/>
      <c r="HA1961" s="4"/>
      <c r="HB1961" s="4"/>
      <c r="HC1961" s="4"/>
      <c r="HD1961" s="4"/>
      <c r="HE1961" s="4"/>
    </row>
    <row r="1962">
      <c r="A1962" s="2" t="s">
        <v>9488</v>
      </c>
      <c r="B1962" s="2" t="s">
        <v>958</v>
      </c>
      <c r="C1962" s="2" t="s">
        <v>300</v>
      </c>
      <c r="D1962" s="2" t="s">
        <v>959</v>
      </c>
      <c r="E1962" s="2" t="s">
        <v>960</v>
      </c>
      <c r="F1962" s="2" t="s">
        <v>9489</v>
      </c>
      <c r="G1962" s="2" t="s">
        <v>9490</v>
      </c>
      <c r="H1962" s="2" t="s">
        <v>9491</v>
      </c>
      <c r="I1962" s="2" t="s">
        <v>9492</v>
      </c>
      <c r="J1962" s="2" t="s">
        <v>840</v>
      </c>
      <c r="K1962" s="2" t="s">
        <v>1021</v>
      </c>
      <c r="L1962" s="3">
        <v>171</v>
      </c>
      <c r="M1962" s="3">
        <v>179.55</v>
      </c>
      <c r="N1962" s="3">
        <v>369</v>
      </c>
      <c r="O1962" s="2" t="s">
        <v>240</v>
      </c>
      <c r="P1962" s="2" t="s">
        <v>1012</v>
      </c>
      <c r="Q1962" s="2" t="s">
        <v>234</v>
      </c>
      <c r="R1962" s="2" t="s">
        <v>228</v>
      </c>
      <c r="S1962" s="2" t="s">
        <v>228</v>
      </c>
      <c r="T1962" s="2" t="s">
        <v>228</v>
      </c>
      <c r="U1962" s="2" t="s">
        <v>416</v>
      </c>
      <c r="V1962" s="2" t="s">
        <v>236</v>
      </c>
      <c r="W1962" s="2" t="s">
        <v>463</v>
      </c>
      <c r="X1962" s="2" t="s">
        <v>309</v>
      </c>
      <c r="Y1962" s="2" t="s">
        <v>9493</v>
      </c>
      <c r="Z1962" s="4">
        <v>236</v>
      </c>
      <c r="AA1962" s="4">
        <f>=ROUNDDOWN(94.4,0)</f>
      </c>
      <c r="AB1962" s="5">
        <v>2.5</v>
      </c>
      <c r="AC1962" s="2" t="s">
        <v>228</v>
      </c>
      <c r="AD1962" s="4"/>
      <c r="AE1962" s="4"/>
      <c r="AF1962" s="6">
        <v>74</v>
      </c>
      <c r="AG1962" s="6"/>
      <c r="AH1962" s="7">
        <v>1</v>
      </c>
      <c r="AI1962" s="4"/>
      <c r="AJ1962" s="4">
        <f>=ROUNDDOWN({0},0)</f>
      </c>
      <c r="AK1962" s="5"/>
      <c r="AL1962" s="2" t="s">
        <v>228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/>
      <c r="AW1962" s="8"/>
      <c r="AX1962" s="4"/>
      <c r="AY1962" s="8"/>
      <c r="AZ1962" s="7"/>
      <c r="BA1962" s="7"/>
      <c r="BB1962" s="7"/>
      <c r="BC1962" s="4"/>
      <c r="BD1962" s="8"/>
      <c r="BE1962" s="4"/>
      <c r="BF1962" s="8"/>
      <c r="BG1962" s="7"/>
      <c r="BH1962" s="7"/>
      <c r="BI1962" s="7"/>
      <c r="BJ1962" s="4">
        <v>10</v>
      </c>
      <c r="BK1962" s="8">
        <v>1679.06</v>
      </c>
      <c r="BL1962" s="2" t="s">
        <v>9494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9495</v>
      </c>
      <c r="BV1962" s="2" t="s">
        <v>228</v>
      </c>
      <c r="BW1962" s="2" t="s">
        <v>228</v>
      </c>
      <c r="BX1962" s="2" t="s">
        <v>273</v>
      </c>
      <c r="BY1962" s="2" t="s">
        <v>274</v>
      </c>
      <c r="BZ1962" s="2" t="s">
        <v>240</v>
      </c>
      <c r="CA1962" s="2" t="s">
        <v>9493</v>
      </c>
      <c r="CB1962" s="2" t="s">
        <v>9496</v>
      </c>
      <c r="CC1962" s="2" t="s">
        <v>241</v>
      </c>
      <c r="CD1962" s="2" t="s">
        <v>228</v>
      </c>
      <c r="CE1962" s="4"/>
      <c r="CF1962" s="4">
        <v>236</v>
      </c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4"/>
      <c r="CX1962" s="4"/>
      <c r="CY1962" s="4"/>
      <c r="CZ1962" s="4"/>
      <c r="DA1962" s="4"/>
      <c r="DB1962" s="4"/>
      <c r="DC1962" s="4"/>
      <c r="DD1962" s="4"/>
      <c r="DE1962" s="4"/>
      <c r="DF1962" s="4"/>
      <c r="DG1962" s="4"/>
      <c r="DH1962" s="4"/>
      <c r="DI1962" s="4"/>
      <c r="DJ1962" s="4"/>
      <c r="DK1962" s="4"/>
      <c r="DL1962" s="4"/>
      <c r="DM1962" s="4"/>
      <c r="DN1962" s="4"/>
      <c r="DO1962" s="4"/>
      <c r="DP1962" s="4"/>
      <c r="DQ1962" s="4"/>
      <c r="DR1962" s="4"/>
      <c r="DS1962" s="4"/>
      <c r="DT1962" s="4"/>
      <c r="DU1962" s="4"/>
      <c r="DV1962" s="4"/>
      <c r="DW1962" s="4"/>
      <c r="DX1962" s="4"/>
      <c r="DY1962" s="4"/>
      <c r="DZ1962" s="4"/>
      <c r="EA1962" s="4"/>
      <c r="EB1962" s="4"/>
      <c r="EC1962" s="4"/>
      <c r="ED1962" s="4"/>
      <c r="EE1962" s="4"/>
      <c r="EF1962" s="4"/>
      <c r="EG1962" s="4"/>
      <c r="EH1962" s="4"/>
      <c r="EI1962" s="4"/>
      <c r="EJ1962" s="4"/>
      <c r="EK1962" s="4"/>
      <c r="EL1962" s="4"/>
      <c r="EM1962" s="4"/>
      <c r="EN1962" s="4"/>
      <c r="EO1962" s="4"/>
      <c r="EP1962" s="4"/>
      <c r="EQ1962" s="4"/>
      <c r="ER1962" s="4"/>
      <c r="ES1962" s="4"/>
      <c r="ET1962" s="4"/>
      <c r="EU1962" s="4"/>
      <c r="EV1962" s="4"/>
      <c r="EW1962" s="4"/>
      <c r="EX1962" s="4"/>
      <c r="EY1962" s="4"/>
      <c r="EZ1962" s="4"/>
      <c r="FA1962" s="4"/>
      <c r="FB1962" s="4"/>
      <c r="FC1962" s="4"/>
      <c r="FD1962" s="4"/>
      <c r="FE1962" s="4"/>
      <c r="FF1962" s="4"/>
      <c r="FG1962" s="4"/>
      <c r="FH1962" s="4"/>
      <c r="FI1962" s="4"/>
      <c r="FJ1962" s="4"/>
      <c r="FK1962" s="4"/>
      <c r="FL1962" s="4"/>
      <c r="FM1962" s="4"/>
      <c r="FN1962" s="4"/>
      <c r="FO1962" s="4"/>
      <c r="FP1962" s="4"/>
      <c r="FQ1962" s="4"/>
      <c r="FR1962" s="4"/>
      <c r="FS1962" s="4"/>
      <c r="FT1962" s="4"/>
      <c r="FU1962" s="4"/>
      <c r="FV1962" s="4"/>
      <c r="FW1962" s="4"/>
      <c r="FX1962" s="4"/>
      <c r="FY1962" s="4"/>
      <c r="FZ1962" s="4"/>
      <c r="GA1962" s="4"/>
      <c r="GB1962" s="4"/>
      <c r="GC1962" s="4"/>
      <c r="GD1962" s="4"/>
      <c r="GE1962" s="4"/>
      <c r="GF1962" s="4"/>
      <c r="GG1962" s="4"/>
      <c r="GH1962" s="4"/>
      <c r="GI1962" s="4"/>
      <c r="GJ1962" s="4"/>
      <c r="GK1962" s="4"/>
      <c r="GL1962" s="4"/>
      <c r="GM1962" s="4"/>
      <c r="GN1962" s="4"/>
      <c r="GO1962" s="4"/>
      <c r="GP1962" s="4"/>
      <c r="GQ1962" s="4"/>
      <c r="GR1962" s="4"/>
      <c r="GS1962" s="4"/>
      <c r="GT1962" s="4"/>
      <c r="GU1962" s="4"/>
      <c r="GV1962" s="4"/>
      <c r="GW1962" s="4"/>
      <c r="GX1962" s="4"/>
      <c r="GY1962" s="4"/>
      <c r="GZ1962" s="4"/>
      <c r="HA1962" s="4"/>
      <c r="HB1962" s="4"/>
      <c r="HC1962" s="4"/>
      <c r="HD1962" s="4"/>
      <c r="HE1962" s="4"/>
    </row>
    <row r="1963">
      <c r="A1963" s="2" t="s">
        <v>9497</v>
      </c>
      <c r="B1963" s="2" t="s">
        <v>223</v>
      </c>
      <c r="C1963" s="2" t="s">
        <v>4000</v>
      </c>
      <c r="D1963" s="2" t="s">
        <v>1407</v>
      </c>
      <c r="E1963" s="2" t="s">
        <v>1408</v>
      </c>
      <c r="F1963" s="2" t="s">
        <v>9498</v>
      </c>
      <c r="G1963" s="2" t="s">
        <v>7705</v>
      </c>
      <c r="H1963" s="2" t="s">
        <v>9499</v>
      </c>
      <c r="I1963" s="2" t="s">
        <v>9500</v>
      </c>
      <c r="J1963" s="2" t="s">
        <v>1412</v>
      </c>
      <c r="K1963" s="2" t="s">
        <v>978</v>
      </c>
      <c r="L1963" s="3">
        <v>32.2</v>
      </c>
      <c r="M1963" s="3">
        <v>33.81</v>
      </c>
      <c r="N1963" s="3">
        <v>69.99</v>
      </c>
      <c r="O1963" s="2" t="s">
        <v>461</v>
      </c>
      <c r="P1963" s="2" t="s">
        <v>922</v>
      </c>
      <c r="Q1963" s="2" t="s">
        <v>234</v>
      </c>
      <c r="R1963" s="2" t="s">
        <v>228</v>
      </c>
      <c r="S1963" s="2" t="s">
        <v>9501</v>
      </c>
      <c r="T1963" s="2" t="s">
        <v>228</v>
      </c>
      <c r="U1963" s="2" t="s">
        <v>228</v>
      </c>
      <c r="V1963" s="2" t="s">
        <v>980</v>
      </c>
      <c r="W1963" s="2" t="s">
        <v>309</v>
      </c>
      <c r="X1963" s="2" t="s">
        <v>228</v>
      </c>
      <c r="Y1963" s="2" t="s">
        <v>9502</v>
      </c>
      <c r="Z1963" s="4">
        <v>265</v>
      </c>
      <c r="AA1963" s="4">
        <f>=ROUNDDOWN(29.4444444444444,0)</f>
      </c>
      <c r="AB1963" s="5">
        <v>9</v>
      </c>
      <c r="AC1963" s="2" t="s">
        <v>228</v>
      </c>
      <c r="AD1963" s="4"/>
      <c r="AE1963" s="4"/>
      <c r="AF1963" s="6">
        <v>61</v>
      </c>
      <c r="AG1963" s="6"/>
      <c r="AH1963" s="7">
        <v>1</v>
      </c>
      <c r="AI1963" s="4"/>
      <c r="AJ1963" s="4">
        <f>=ROUNDDOWN({0},0)</f>
      </c>
      <c r="AK1963" s="5"/>
      <c r="AL1963" s="2" t="s">
        <v>228</v>
      </c>
      <c r="AM1963" s="4"/>
      <c r="AN1963" s="4"/>
      <c r="AO1963" s="7"/>
      <c r="AP1963" s="4"/>
      <c r="AQ1963" s="8"/>
      <c r="AR1963" s="4"/>
      <c r="AS1963" s="8"/>
      <c r="AT1963" s="7"/>
      <c r="AU1963" s="7"/>
      <c r="AV1963" s="4"/>
      <c r="AW1963" s="8"/>
      <c r="AX1963" s="4"/>
      <c r="AY1963" s="8"/>
      <c r="AZ1963" s="7"/>
      <c r="BA1963" s="7"/>
      <c r="BB1963" s="7"/>
      <c r="BC1963" s="4" t="s">
        <v>228</v>
      </c>
      <c r="BD1963" s="8" t="s">
        <v>228</v>
      </c>
      <c r="BE1963" s="4" t="s">
        <v>228</v>
      </c>
      <c r="BF1963" s="8" t="s">
        <v>228</v>
      </c>
      <c r="BG1963" s="7" t="s">
        <v>228</v>
      </c>
      <c r="BH1963" s="7" t="s">
        <v>228</v>
      </c>
      <c r="BI1963" s="7"/>
      <c r="BJ1963" s="4">
        <v>31</v>
      </c>
      <c r="BK1963" s="8">
        <v>620.65</v>
      </c>
      <c r="BL1963" s="2" t="s">
        <v>4012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9503</v>
      </c>
      <c r="BV1963" s="2" t="s">
        <v>228</v>
      </c>
      <c r="BW1963" s="2" t="s">
        <v>228</v>
      </c>
      <c r="BX1963" s="2" t="s">
        <v>337</v>
      </c>
      <c r="BY1963" s="2" t="s">
        <v>274</v>
      </c>
      <c r="BZ1963" s="2" t="s">
        <v>240</v>
      </c>
      <c r="CA1963" s="2" t="s">
        <v>2029</v>
      </c>
      <c r="CB1963" s="2" t="s">
        <v>8663</v>
      </c>
      <c r="CC1963" s="2" t="s">
        <v>241</v>
      </c>
      <c r="CD1963" s="2" t="s">
        <v>228</v>
      </c>
      <c r="CE1963" s="4">
        <v>265</v>
      </c>
      <c r="CF1963" s="4"/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/>
      <c r="CZ1963" s="4"/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  <c r="DL1963" s="4"/>
      <c r="DM1963" s="4"/>
      <c r="DN1963" s="4"/>
      <c r="DO1963" s="4"/>
      <c r="DP1963" s="4"/>
      <c r="DQ1963" s="4"/>
      <c r="DR1963" s="4"/>
      <c r="DS1963" s="4"/>
      <c r="DT1963" s="4"/>
      <c r="DU1963" s="4"/>
      <c r="DV1963" s="4"/>
      <c r="DW1963" s="4"/>
      <c r="DX1963" s="4"/>
      <c r="DY1963" s="4"/>
      <c r="DZ1963" s="4"/>
      <c r="EA1963" s="4"/>
      <c r="EB1963" s="4"/>
      <c r="EC1963" s="4"/>
      <c r="ED1963" s="4"/>
      <c r="EE1963" s="4"/>
      <c r="EF1963" s="4"/>
      <c r="EG1963" s="4"/>
      <c r="EH1963" s="4"/>
      <c r="EI1963" s="4"/>
      <c r="EJ1963" s="4"/>
      <c r="EK1963" s="4"/>
      <c r="EL1963" s="4"/>
      <c r="EM1963" s="4"/>
      <c r="EN1963" s="4"/>
      <c r="EO1963" s="4"/>
      <c r="EP1963" s="4"/>
      <c r="EQ1963" s="4"/>
      <c r="ER1963" s="4"/>
      <c r="ES1963" s="4"/>
      <c r="ET1963" s="4"/>
      <c r="EU1963" s="4"/>
      <c r="EV1963" s="4"/>
      <c r="EW1963" s="4"/>
      <c r="EX1963" s="4"/>
      <c r="EY1963" s="4"/>
      <c r="EZ1963" s="4"/>
      <c r="FA1963" s="4"/>
      <c r="FB1963" s="4"/>
      <c r="FC1963" s="4"/>
      <c r="FD1963" s="4"/>
      <c r="FE1963" s="4"/>
      <c r="FF1963" s="4"/>
      <c r="FG1963" s="4"/>
      <c r="FH1963" s="4"/>
      <c r="FI1963" s="4"/>
      <c r="FJ1963" s="4"/>
      <c r="FK1963" s="4"/>
      <c r="FL1963" s="4"/>
      <c r="FM1963" s="4"/>
      <c r="FN1963" s="4"/>
      <c r="FO1963" s="4"/>
      <c r="FP1963" s="4"/>
      <c r="FQ1963" s="4"/>
      <c r="FR1963" s="4"/>
      <c r="FS1963" s="4"/>
      <c r="FT1963" s="4"/>
      <c r="FU1963" s="4"/>
      <c r="FV1963" s="4"/>
      <c r="FW1963" s="4"/>
      <c r="FX1963" s="4"/>
      <c r="FY1963" s="4"/>
      <c r="FZ1963" s="4"/>
      <c r="GA1963" s="4"/>
      <c r="GB1963" s="4"/>
      <c r="GC1963" s="4"/>
      <c r="GD1963" s="4"/>
      <c r="GE1963" s="4"/>
      <c r="GF1963" s="4"/>
      <c r="GG1963" s="4"/>
      <c r="GH1963" s="4"/>
      <c r="GI1963" s="4"/>
      <c r="GJ1963" s="4"/>
      <c r="GK1963" s="4"/>
      <c r="GL1963" s="4"/>
      <c r="GM1963" s="4"/>
      <c r="GN1963" s="4"/>
      <c r="GO1963" s="4"/>
      <c r="GP1963" s="4"/>
      <c r="GQ1963" s="4"/>
      <c r="GR1963" s="4"/>
      <c r="GS1963" s="4"/>
      <c r="GT1963" s="4"/>
      <c r="GU1963" s="4"/>
      <c r="GV1963" s="4"/>
      <c r="GW1963" s="4"/>
      <c r="GX1963" s="4"/>
      <c r="GY1963" s="4"/>
      <c r="GZ1963" s="4"/>
      <c r="HA1963" s="4"/>
      <c r="HB1963" s="4"/>
      <c r="HC1963" s="4"/>
      <c r="HD1963" s="4"/>
      <c r="HE1963" s="4"/>
    </row>
    <row r="1964">
      <c r="A1964" s="2" t="s">
        <v>9504</v>
      </c>
      <c r="B1964" s="2" t="s">
        <v>1374</v>
      </c>
      <c r="C1964" s="2" t="s">
        <v>849</v>
      </c>
      <c r="D1964" s="2" t="s">
        <v>1399</v>
      </c>
      <c r="E1964" s="2" t="s">
        <v>1400</v>
      </c>
      <c r="F1964" s="2" t="s">
        <v>9498</v>
      </c>
      <c r="G1964" s="2" t="s">
        <v>7705</v>
      </c>
      <c r="H1964" s="2" t="s">
        <v>9499</v>
      </c>
      <c r="I1964" s="2" t="s">
        <v>9505</v>
      </c>
      <c r="J1964" s="2" t="s">
        <v>1402</v>
      </c>
      <c r="K1964" s="2" t="s">
        <v>7925</v>
      </c>
      <c r="L1964" s="3">
        <v>13.2</v>
      </c>
      <c r="M1964" s="3">
        <v>13.86</v>
      </c>
      <c r="N1964" s="3">
        <v>29.99</v>
      </c>
      <c r="O1964" s="2" t="s">
        <v>240</v>
      </c>
      <c r="P1964" s="2" t="s">
        <v>266</v>
      </c>
      <c r="Q1964" s="2" t="s">
        <v>234</v>
      </c>
      <c r="R1964" s="2" t="s">
        <v>228</v>
      </c>
      <c r="S1964" s="2" t="s">
        <v>9506</v>
      </c>
      <c r="T1964" s="2" t="s">
        <v>228</v>
      </c>
      <c r="U1964" s="2" t="s">
        <v>228</v>
      </c>
      <c r="V1964" s="2" t="s">
        <v>980</v>
      </c>
      <c r="W1964" s="2" t="s">
        <v>417</v>
      </c>
      <c r="X1964" s="2" t="s">
        <v>228</v>
      </c>
      <c r="Y1964" s="2" t="s">
        <v>9507</v>
      </c>
      <c r="Z1964" s="4">
        <v>597</v>
      </c>
      <c r="AA1964" s="4">
        <f>=ROUNDDOWN(20.5862068965517,0)</f>
      </c>
      <c r="AB1964" s="5">
        <v>29</v>
      </c>
      <c r="AC1964" s="2" t="s">
        <v>159</v>
      </c>
      <c r="AD1964" s="4">
        <v>420</v>
      </c>
      <c r="AE1964" s="4">
        <v>420</v>
      </c>
      <c r="AF1964" s="6">
        <v>65</v>
      </c>
      <c r="AG1964" s="6"/>
      <c r="AH1964" s="7">
        <v>1</v>
      </c>
      <c r="AI1964" s="4"/>
      <c r="AJ1964" s="4">
        <f>=ROUNDDOWN({0},0)</f>
      </c>
      <c r="AK1964" s="5"/>
      <c r="AL1964" s="2" t="s">
        <v>228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/>
      <c r="AW1964" s="8"/>
      <c r="AX1964" s="4"/>
      <c r="AY1964" s="8"/>
      <c r="AZ1964" s="7"/>
      <c r="BA1964" s="7"/>
      <c r="BB1964" s="7"/>
      <c r="BC1964" s="4" t="s">
        <v>228</v>
      </c>
      <c r="BD1964" s="8" t="s">
        <v>228</v>
      </c>
      <c r="BE1964" s="4" t="s">
        <v>228</v>
      </c>
      <c r="BF1964" s="8" t="s">
        <v>228</v>
      </c>
      <c r="BG1964" s="7" t="s">
        <v>228</v>
      </c>
      <c r="BH1964" s="7" t="s">
        <v>228</v>
      </c>
      <c r="BI1964" s="7"/>
      <c r="BJ1964" s="4">
        <v>109</v>
      </c>
      <c r="BK1964" s="8">
        <v>1563.56</v>
      </c>
      <c r="BL1964" s="2" t="s">
        <v>9508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9509</v>
      </c>
      <c r="BV1964" s="2" t="s">
        <v>228</v>
      </c>
      <c r="BW1964" s="2" t="s">
        <v>228</v>
      </c>
      <c r="BX1964" s="2" t="s">
        <v>273</v>
      </c>
      <c r="BY1964" s="2" t="s">
        <v>274</v>
      </c>
      <c r="BZ1964" s="2" t="s">
        <v>240</v>
      </c>
      <c r="CA1964" s="2" t="s">
        <v>9510</v>
      </c>
      <c r="CB1964" s="2" t="s">
        <v>4547</v>
      </c>
      <c r="CC1964" s="2" t="s">
        <v>241</v>
      </c>
      <c r="CD1964" s="2" t="s">
        <v>228</v>
      </c>
      <c r="CE1964" s="4">
        <v>597</v>
      </c>
      <c r="CF1964" s="4"/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4"/>
      <c r="CX1964" s="4"/>
      <c r="CY1964" s="4"/>
      <c r="CZ1964" s="4"/>
      <c r="DA1964" s="4"/>
      <c r="DB1964" s="4"/>
      <c r="DC1964" s="4"/>
      <c r="DD1964" s="4"/>
      <c r="DE1964" s="4"/>
      <c r="DF1964" s="4"/>
      <c r="DG1964" s="4"/>
      <c r="DH1964" s="4"/>
      <c r="DI1964" s="4"/>
      <c r="DJ1964" s="4"/>
      <c r="DK1964" s="4"/>
      <c r="DL1964" s="4"/>
      <c r="DM1964" s="4"/>
      <c r="DN1964" s="4"/>
      <c r="DO1964" s="4"/>
      <c r="DP1964" s="4"/>
      <c r="DQ1964" s="4"/>
      <c r="DR1964" s="4"/>
      <c r="DS1964" s="4"/>
      <c r="DT1964" s="4"/>
      <c r="DU1964" s="4"/>
      <c r="DV1964" s="4"/>
      <c r="DW1964" s="4"/>
      <c r="DX1964" s="4"/>
      <c r="DY1964" s="4"/>
      <c r="DZ1964" s="4"/>
      <c r="EA1964" s="4"/>
      <c r="EB1964" s="4"/>
      <c r="EC1964" s="4"/>
      <c r="ED1964" s="4"/>
      <c r="EE1964" s="4"/>
      <c r="EF1964" s="4"/>
      <c r="EG1964" s="4"/>
      <c r="EH1964" s="4"/>
      <c r="EI1964" s="4"/>
      <c r="EJ1964" s="4"/>
      <c r="EK1964" s="4"/>
      <c r="EL1964" s="4"/>
      <c r="EM1964" s="4"/>
      <c r="EN1964" s="4"/>
      <c r="EO1964" s="4"/>
      <c r="EP1964" s="4"/>
      <c r="EQ1964" s="4"/>
      <c r="ER1964" s="4"/>
      <c r="ES1964" s="4"/>
      <c r="ET1964" s="4"/>
      <c r="EU1964" s="4">
        <v>420</v>
      </c>
      <c r="EV1964" s="4"/>
      <c r="EW1964" s="4"/>
      <c r="EX1964" s="4"/>
      <c r="EY1964" s="4"/>
      <c r="EZ1964" s="4"/>
      <c r="FA1964" s="4"/>
      <c r="FB1964" s="4"/>
      <c r="FC1964" s="4"/>
      <c r="FD1964" s="4"/>
      <c r="FE1964" s="4"/>
      <c r="FF1964" s="4"/>
      <c r="FG1964" s="4"/>
      <c r="FH1964" s="4"/>
      <c r="FI1964" s="4"/>
      <c r="FJ1964" s="4"/>
      <c r="FK1964" s="4"/>
      <c r="FL1964" s="4"/>
      <c r="FM1964" s="4"/>
      <c r="FN1964" s="4"/>
      <c r="FO1964" s="4"/>
      <c r="FP1964" s="4"/>
      <c r="FQ1964" s="4"/>
      <c r="FR1964" s="4"/>
      <c r="FS1964" s="4"/>
      <c r="FT1964" s="4"/>
      <c r="FU1964" s="4"/>
      <c r="FV1964" s="4"/>
      <c r="FW1964" s="4"/>
      <c r="FX1964" s="4"/>
      <c r="FY1964" s="4"/>
      <c r="FZ1964" s="4"/>
      <c r="GA1964" s="4"/>
      <c r="GB1964" s="4"/>
      <c r="GC1964" s="4"/>
      <c r="GD1964" s="4"/>
      <c r="GE1964" s="4"/>
      <c r="GF1964" s="4"/>
      <c r="GG1964" s="4"/>
      <c r="GH1964" s="4"/>
      <c r="GI1964" s="4"/>
      <c r="GJ1964" s="4"/>
      <c r="GK1964" s="4"/>
      <c r="GL1964" s="4"/>
      <c r="GM1964" s="4"/>
      <c r="GN1964" s="4"/>
      <c r="GO1964" s="4"/>
      <c r="GP1964" s="4"/>
      <c r="GQ1964" s="4"/>
      <c r="GR1964" s="4"/>
      <c r="GS1964" s="4"/>
      <c r="GT1964" s="4"/>
      <c r="GU1964" s="4"/>
      <c r="GV1964" s="4"/>
      <c r="GW1964" s="4"/>
      <c r="GX1964" s="4"/>
      <c r="GY1964" s="4"/>
      <c r="GZ1964" s="4"/>
      <c r="HA1964" s="4"/>
      <c r="HB1964" s="4"/>
      <c r="HC1964" s="4"/>
      <c r="HD1964" s="4"/>
      <c r="HE1964" s="4"/>
    </row>
    <row r="1965">
      <c r="A1965" s="2" t="s">
        <v>9511</v>
      </c>
      <c r="B1965" s="2" t="s">
        <v>848</v>
      </c>
      <c r="C1965" s="2" t="s">
        <v>849</v>
      </c>
      <c r="D1965" s="2" t="s">
        <v>850</v>
      </c>
      <c r="E1965" s="2" t="s">
        <v>851</v>
      </c>
      <c r="F1965" s="2" t="s">
        <v>9498</v>
      </c>
      <c r="G1965" s="2" t="s">
        <v>7705</v>
      </c>
      <c r="H1965" s="2" t="s">
        <v>9499</v>
      </c>
      <c r="I1965" s="2" t="s">
        <v>9512</v>
      </c>
      <c r="J1965" s="2" t="s">
        <v>856</v>
      </c>
      <c r="K1965" s="2" t="s">
        <v>7105</v>
      </c>
      <c r="L1965" s="3">
        <v>26.1</v>
      </c>
      <c r="M1965" s="3">
        <v>27.4</v>
      </c>
      <c r="N1965" s="3">
        <v>57.99</v>
      </c>
      <c r="O1965" s="2" t="s">
        <v>240</v>
      </c>
      <c r="P1965" s="2" t="s">
        <v>266</v>
      </c>
      <c r="Q1965" s="2" t="s">
        <v>234</v>
      </c>
      <c r="R1965" s="2" t="s">
        <v>228</v>
      </c>
      <c r="S1965" s="2" t="s">
        <v>9513</v>
      </c>
      <c r="T1965" s="2" t="s">
        <v>415</v>
      </c>
      <c r="U1965" s="2" t="s">
        <v>308</v>
      </c>
      <c r="V1965" s="2" t="s">
        <v>980</v>
      </c>
      <c r="W1965" s="2" t="s">
        <v>417</v>
      </c>
      <c r="X1965" s="2" t="s">
        <v>309</v>
      </c>
      <c r="Y1965" s="2" t="s">
        <v>2750</v>
      </c>
      <c r="Z1965" s="4">
        <v>357</v>
      </c>
      <c r="AA1965" s="4">
        <f>=ROUNDDOWN(71.4,0)</f>
      </c>
      <c r="AB1965" s="5">
        <v>5</v>
      </c>
      <c r="AC1965" s="2" t="s">
        <v>228</v>
      </c>
      <c r="AD1965" s="4"/>
      <c r="AE1965" s="4"/>
      <c r="AF1965" s="6">
        <v>64</v>
      </c>
      <c r="AG1965" s="6"/>
      <c r="AH1965" s="7">
        <v>1</v>
      </c>
      <c r="AI1965" s="4"/>
      <c r="AJ1965" s="4">
        <f>=ROUNDDOWN({0},0)</f>
      </c>
      <c r="AK1965" s="5"/>
      <c r="AL1965" s="2" t="s">
        <v>228</v>
      </c>
      <c r="AM1965" s="4"/>
      <c r="AN1965" s="4"/>
      <c r="AO1965" s="7"/>
      <c r="AP1965" s="4"/>
      <c r="AQ1965" s="8"/>
      <c r="AR1965" s="4"/>
      <c r="AS1965" s="8"/>
      <c r="AT1965" s="7"/>
      <c r="AU1965" s="7"/>
      <c r="AV1965" s="4"/>
      <c r="AW1965" s="8"/>
      <c r="AX1965" s="4"/>
      <c r="AY1965" s="8"/>
      <c r="AZ1965" s="7"/>
      <c r="BA1965" s="7"/>
      <c r="BB1965" s="7"/>
      <c r="BC1965" s="4" t="s">
        <v>228</v>
      </c>
      <c r="BD1965" s="8" t="s">
        <v>228</v>
      </c>
      <c r="BE1965" s="4" t="s">
        <v>228</v>
      </c>
      <c r="BF1965" s="8" t="s">
        <v>228</v>
      </c>
      <c r="BG1965" s="7" t="s">
        <v>228</v>
      </c>
      <c r="BH1965" s="7" t="s">
        <v>228</v>
      </c>
      <c r="BI1965" s="7"/>
      <c r="BJ1965" s="4">
        <v>19</v>
      </c>
      <c r="BK1965" s="8">
        <v>516.93</v>
      </c>
      <c r="BL1965" s="2" t="s">
        <v>1363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9514</v>
      </c>
      <c r="BV1965" s="2" t="s">
        <v>228</v>
      </c>
      <c r="BW1965" s="2" t="s">
        <v>228</v>
      </c>
      <c r="BX1965" s="2" t="s">
        <v>273</v>
      </c>
      <c r="BY1965" s="2" t="s">
        <v>274</v>
      </c>
      <c r="BZ1965" s="2" t="s">
        <v>240</v>
      </c>
      <c r="CA1965" s="2" t="s">
        <v>9515</v>
      </c>
      <c r="CB1965" s="2" t="s">
        <v>9516</v>
      </c>
      <c r="CC1965" s="2" t="s">
        <v>241</v>
      </c>
      <c r="CD1965" s="2" t="s">
        <v>228</v>
      </c>
      <c r="CE1965" s="4">
        <v>357</v>
      </c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/>
      <c r="CZ1965" s="4"/>
      <c r="DA1965" s="4"/>
      <c r="DB1965" s="4"/>
      <c r="DC1965" s="4"/>
      <c r="DD1965" s="4"/>
      <c r="DE1965" s="4"/>
      <c r="DF1965" s="4"/>
      <c r="DG1965" s="4"/>
      <c r="DH1965" s="4"/>
      <c r="DI1965" s="4"/>
      <c r="DJ1965" s="4"/>
      <c r="DK1965" s="4"/>
      <c r="DL1965" s="4"/>
      <c r="DM1965" s="4"/>
      <c r="DN1965" s="4"/>
      <c r="DO1965" s="4"/>
      <c r="DP1965" s="4"/>
      <c r="DQ1965" s="4"/>
      <c r="DR1965" s="4"/>
      <c r="DS1965" s="4"/>
      <c r="DT1965" s="4"/>
      <c r="DU1965" s="4"/>
      <c r="DV1965" s="4"/>
      <c r="DW1965" s="4"/>
      <c r="DX1965" s="4"/>
      <c r="DY1965" s="4"/>
      <c r="DZ1965" s="4"/>
      <c r="EA1965" s="4"/>
      <c r="EB1965" s="4"/>
      <c r="EC1965" s="4"/>
      <c r="ED1965" s="4"/>
      <c r="EE1965" s="4"/>
      <c r="EF1965" s="4"/>
      <c r="EG1965" s="4"/>
      <c r="EH1965" s="4"/>
      <c r="EI1965" s="4"/>
      <c r="EJ1965" s="4"/>
      <c r="EK1965" s="4"/>
      <c r="EL1965" s="4"/>
      <c r="EM1965" s="4"/>
      <c r="EN1965" s="4"/>
      <c r="EO1965" s="4"/>
      <c r="EP1965" s="4"/>
      <c r="EQ1965" s="4"/>
      <c r="ER1965" s="4"/>
      <c r="ES1965" s="4"/>
      <c r="ET1965" s="4"/>
      <c r="EU1965" s="4"/>
      <c r="EV1965" s="4"/>
      <c r="EW1965" s="4"/>
      <c r="EX1965" s="4"/>
      <c r="EY1965" s="4"/>
      <c r="EZ1965" s="4"/>
      <c r="FA1965" s="4"/>
      <c r="FB1965" s="4"/>
      <c r="FC1965" s="4"/>
      <c r="FD1965" s="4"/>
      <c r="FE1965" s="4"/>
      <c r="FF1965" s="4"/>
      <c r="FG1965" s="4"/>
      <c r="FH1965" s="4"/>
      <c r="FI1965" s="4"/>
      <c r="FJ1965" s="4"/>
      <c r="FK1965" s="4"/>
      <c r="FL1965" s="4"/>
      <c r="FM1965" s="4"/>
      <c r="FN1965" s="4"/>
      <c r="FO1965" s="4"/>
      <c r="FP1965" s="4"/>
      <c r="FQ1965" s="4"/>
      <c r="FR1965" s="4"/>
      <c r="FS1965" s="4"/>
      <c r="FT1965" s="4"/>
      <c r="FU1965" s="4"/>
      <c r="FV1965" s="4"/>
      <c r="FW1965" s="4"/>
      <c r="FX1965" s="4"/>
      <c r="FY1965" s="4"/>
      <c r="FZ1965" s="4"/>
      <c r="GA1965" s="4"/>
      <c r="GB1965" s="4"/>
      <c r="GC1965" s="4"/>
      <c r="GD1965" s="4"/>
      <c r="GE1965" s="4"/>
      <c r="GF1965" s="4"/>
      <c r="GG1965" s="4"/>
      <c r="GH1965" s="4"/>
      <c r="GI1965" s="4"/>
      <c r="GJ1965" s="4"/>
      <c r="GK1965" s="4"/>
      <c r="GL1965" s="4"/>
      <c r="GM1965" s="4"/>
      <c r="GN1965" s="4"/>
      <c r="GO1965" s="4"/>
      <c r="GP1965" s="4"/>
      <c r="GQ1965" s="4"/>
      <c r="GR1965" s="4"/>
      <c r="GS1965" s="4"/>
      <c r="GT1965" s="4"/>
      <c r="GU1965" s="4"/>
      <c r="GV1965" s="4"/>
      <c r="GW1965" s="4"/>
      <c r="GX1965" s="4"/>
      <c r="GY1965" s="4"/>
      <c r="GZ1965" s="4"/>
      <c r="HA1965" s="4"/>
      <c r="HB1965" s="4"/>
      <c r="HC1965" s="4"/>
      <c r="HD1965" s="4"/>
      <c r="HE1965" s="4"/>
    </row>
    <row r="1966">
      <c r="A1966" s="2" t="s">
        <v>9517</v>
      </c>
      <c r="B1966" s="2" t="s">
        <v>970</v>
      </c>
      <c r="C1966" s="2" t="s">
        <v>849</v>
      </c>
      <c r="D1966" s="2" t="s">
        <v>971</v>
      </c>
      <c r="E1966" s="2" t="s">
        <v>972</v>
      </c>
      <c r="F1966" s="2" t="s">
        <v>9498</v>
      </c>
      <c r="G1966" s="2" t="s">
        <v>7705</v>
      </c>
      <c r="H1966" s="2" t="s">
        <v>9499</v>
      </c>
      <c r="I1966" s="2" t="s">
        <v>9518</v>
      </c>
      <c r="J1966" s="2" t="s">
        <v>1525</v>
      </c>
      <c r="K1966" s="2" t="s">
        <v>7312</v>
      </c>
      <c r="L1966" s="3">
        <v>19.2</v>
      </c>
      <c r="M1966" s="3">
        <v>20.16</v>
      </c>
      <c r="N1966" s="3">
        <v>39.99</v>
      </c>
      <c r="O1966" s="2" t="s">
        <v>240</v>
      </c>
      <c r="P1966" s="2" t="s">
        <v>266</v>
      </c>
      <c r="Q1966" s="2" t="s">
        <v>234</v>
      </c>
      <c r="R1966" s="2" t="s">
        <v>228</v>
      </c>
      <c r="S1966" s="2" t="s">
        <v>9519</v>
      </c>
      <c r="T1966" s="2" t="s">
        <v>228</v>
      </c>
      <c r="U1966" s="2" t="s">
        <v>228</v>
      </c>
      <c r="V1966" s="2" t="s">
        <v>980</v>
      </c>
      <c r="W1966" s="2" t="s">
        <v>269</v>
      </c>
      <c r="X1966" s="2" t="s">
        <v>981</v>
      </c>
      <c r="Y1966" s="2" t="s">
        <v>4031</v>
      </c>
      <c r="Z1966" s="4">
        <v>70</v>
      </c>
      <c r="AA1966" s="4">
        <f>=ROUNDDOWN(3.88888888888889,0)</f>
      </c>
      <c r="AB1966" s="5">
        <v>18</v>
      </c>
      <c r="AC1966" s="2" t="s">
        <v>1947</v>
      </c>
      <c r="AD1966" s="4">
        <v>264</v>
      </c>
      <c r="AE1966" s="4">
        <v>704</v>
      </c>
      <c r="AF1966" s="6">
        <v>65</v>
      </c>
      <c r="AG1966" s="6"/>
      <c r="AH1966" s="7">
        <v>1</v>
      </c>
      <c r="AI1966" s="4"/>
      <c r="AJ1966" s="4">
        <f>=ROUNDDOWN({0},0)</f>
      </c>
      <c r="AK1966" s="5"/>
      <c r="AL1966" s="2" t="s">
        <v>228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/>
      <c r="AW1966" s="8"/>
      <c r="AX1966" s="4"/>
      <c r="AY1966" s="8"/>
      <c r="AZ1966" s="7"/>
      <c r="BA1966" s="7"/>
      <c r="BB1966" s="7"/>
      <c r="BC1966" s="4" t="s">
        <v>228</v>
      </c>
      <c r="BD1966" s="8" t="s">
        <v>228</v>
      </c>
      <c r="BE1966" s="4" t="s">
        <v>228</v>
      </c>
      <c r="BF1966" s="8" t="s">
        <v>228</v>
      </c>
      <c r="BG1966" s="7" t="s">
        <v>228</v>
      </c>
      <c r="BH1966" s="7" t="s">
        <v>228</v>
      </c>
      <c r="BI1966" s="7"/>
      <c r="BJ1966" s="4">
        <v>171</v>
      </c>
      <c r="BK1966" s="8">
        <v>3032.85</v>
      </c>
      <c r="BL1966" s="2" t="s">
        <v>9520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9521</v>
      </c>
      <c r="BV1966" s="2" t="s">
        <v>228</v>
      </c>
      <c r="BW1966" s="2" t="s">
        <v>228</v>
      </c>
      <c r="BX1966" s="2" t="s">
        <v>5060</v>
      </c>
      <c r="BY1966" s="2" t="s">
        <v>274</v>
      </c>
      <c r="BZ1966" s="2" t="s">
        <v>240</v>
      </c>
      <c r="CA1966" s="2" t="s">
        <v>5116</v>
      </c>
      <c r="CB1966" s="2" t="s">
        <v>5646</v>
      </c>
      <c r="CC1966" s="2" t="s">
        <v>241</v>
      </c>
      <c r="CD1966" s="2" t="s">
        <v>228</v>
      </c>
      <c r="CE1966" s="4">
        <v>70</v>
      </c>
      <c r="CF1966" s="4"/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  <c r="CW1966" s="4"/>
      <c r="CX1966" s="4"/>
      <c r="CY1966" s="4"/>
      <c r="CZ1966" s="4"/>
      <c r="DA1966" s="4"/>
      <c r="DB1966" s="4"/>
      <c r="DC1966" s="4"/>
      <c r="DD1966" s="4"/>
      <c r="DE1966" s="4"/>
      <c r="DF1966" s="4"/>
      <c r="DG1966" s="4"/>
      <c r="DH1966" s="4"/>
      <c r="DI1966" s="4"/>
      <c r="DJ1966" s="4"/>
      <c r="DK1966" s="4"/>
      <c r="DL1966" s="4"/>
      <c r="DM1966" s="4"/>
      <c r="DN1966" s="4"/>
      <c r="DO1966" s="4"/>
      <c r="DP1966" s="4"/>
      <c r="DQ1966" s="4"/>
      <c r="DR1966" s="4"/>
      <c r="DS1966" s="4"/>
      <c r="DT1966" s="4"/>
      <c r="DU1966" s="4"/>
      <c r="DV1966" s="4"/>
      <c r="DW1966" s="4"/>
      <c r="DX1966" s="4"/>
      <c r="DY1966" s="4"/>
      <c r="DZ1966" s="4">
        <v>264</v>
      </c>
      <c r="EA1966" s="4"/>
      <c r="EB1966" s="4"/>
      <c r="EC1966" s="4"/>
      <c r="ED1966" s="4"/>
      <c r="EE1966" s="4"/>
      <c r="EF1966" s="4"/>
      <c r="EG1966" s="4"/>
      <c r="EH1966" s="4"/>
      <c r="EI1966" s="4"/>
      <c r="EJ1966" s="4"/>
      <c r="EK1966" s="4"/>
      <c r="EL1966" s="4"/>
      <c r="EM1966" s="4"/>
      <c r="EN1966" s="4"/>
      <c r="EO1966" s="4"/>
      <c r="EP1966" s="4"/>
      <c r="EQ1966" s="4"/>
      <c r="ER1966" s="4"/>
      <c r="ES1966" s="4"/>
      <c r="ET1966" s="4"/>
      <c r="EU1966" s="4"/>
      <c r="EV1966" s="4"/>
      <c r="EW1966" s="4"/>
      <c r="EX1966" s="4"/>
      <c r="EY1966" s="4"/>
      <c r="EZ1966" s="4"/>
      <c r="FA1966" s="4"/>
      <c r="FB1966" s="4"/>
      <c r="FC1966" s="4"/>
      <c r="FD1966" s="4"/>
      <c r="FE1966" s="4"/>
      <c r="FF1966" s="4"/>
      <c r="FG1966" s="4"/>
      <c r="FH1966" s="4"/>
      <c r="FI1966" s="4"/>
      <c r="FJ1966" s="4"/>
      <c r="FK1966" s="4"/>
      <c r="FL1966" s="4"/>
      <c r="FM1966" s="4"/>
      <c r="FN1966" s="4"/>
      <c r="FO1966" s="4"/>
      <c r="FP1966" s="4"/>
      <c r="FQ1966" s="4"/>
      <c r="FR1966" s="4"/>
      <c r="FS1966" s="4"/>
      <c r="FT1966" s="4"/>
      <c r="FU1966" s="4"/>
      <c r="FV1966" s="4"/>
      <c r="FW1966" s="4"/>
      <c r="FX1966" s="4"/>
      <c r="FY1966" s="4"/>
      <c r="FZ1966" s="4"/>
      <c r="GA1966" s="4"/>
      <c r="GB1966" s="4">
        <v>440</v>
      </c>
      <c r="GC1966" s="4"/>
      <c r="GD1966" s="4"/>
      <c r="GE1966" s="4"/>
      <c r="GF1966" s="4"/>
      <c r="GG1966" s="4"/>
      <c r="GH1966" s="4"/>
      <c r="GI1966" s="4"/>
      <c r="GJ1966" s="4"/>
      <c r="GK1966" s="4"/>
      <c r="GL1966" s="4"/>
      <c r="GM1966" s="4"/>
      <c r="GN1966" s="4"/>
      <c r="GO1966" s="4"/>
      <c r="GP1966" s="4"/>
      <c r="GQ1966" s="4"/>
      <c r="GR1966" s="4"/>
      <c r="GS1966" s="4"/>
      <c r="GT1966" s="4"/>
      <c r="GU1966" s="4"/>
      <c r="GV1966" s="4"/>
      <c r="GW1966" s="4"/>
      <c r="GX1966" s="4"/>
      <c r="GY1966" s="4"/>
      <c r="GZ1966" s="4"/>
      <c r="HA1966" s="4"/>
      <c r="HB1966" s="4"/>
      <c r="HC1966" s="4"/>
      <c r="HD1966" s="4"/>
      <c r="HE1966" s="4"/>
    </row>
    <row r="1967">
      <c r="A1967" s="2" t="s">
        <v>9522</v>
      </c>
      <c r="B1967" s="2" t="s">
        <v>1150</v>
      </c>
      <c r="C1967" s="2" t="s">
        <v>300</v>
      </c>
      <c r="D1967" s="2" t="s">
        <v>1112</v>
      </c>
      <c r="E1967" s="2" t="s">
        <v>1165</v>
      </c>
      <c r="F1967" s="2" t="s">
        <v>9523</v>
      </c>
      <c r="G1967" s="2" t="s">
        <v>9524</v>
      </c>
      <c r="H1967" s="2" t="s">
        <v>9525</v>
      </c>
      <c r="I1967" s="2" t="s">
        <v>9526</v>
      </c>
      <c r="J1967" s="2" t="s">
        <v>1189</v>
      </c>
      <c r="K1967" s="2" t="s">
        <v>251</v>
      </c>
      <c r="L1967" s="3">
        <v>47.61</v>
      </c>
      <c r="M1967" s="3">
        <v>49.99</v>
      </c>
      <c r="N1967" s="3">
        <v>99.99</v>
      </c>
      <c r="O1967" s="2" t="s">
        <v>461</v>
      </c>
      <c r="P1967" s="2" t="s">
        <v>333</v>
      </c>
      <c r="Q1967" s="2" t="s">
        <v>234</v>
      </c>
      <c r="R1967" s="2" t="s">
        <v>228</v>
      </c>
      <c r="S1967" s="2" t="s">
        <v>9527</v>
      </c>
      <c r="T1967" s="2" t="s">
        <v>415</v>
      </c>
      <c r="U1967" s="2" t="s">
        <v>1331</v>
      </c>
      <c r="V1967" s="2" t="s">
        <v>1681</v>
      </c>
      <c r="W1967" s="2" t="s">
        <v>463</v>
      </c>
      <c r="X1967" s="2" t="s">
        <v>743</v>
      </c>
      <c r="Y1967" s="2" t="s">
        <v>8516</v>
      </c>
      <c r="Z1967" s="4">
        <v>222</v>
      </c>
      <c r="AA1967" s="4">
        <f>=ROUNDDOWN(74,0)</f>
      </c>
      <c r="AB1967" s="5">
        <v>3</v>
      </c>
      <c r="AC1967" s="2" t="s">
        <v>228</v>
      </c>
      <c r="AD1967" s="4"/>
      <c r="AE1967" s="4"/>
      <c r="AF1967" s="6">
        <v>64</v>
      </c>
      <c r="AG1967" s="6"/>
      <c r="AH1967" s="7">
        <v>1</v>
      </c>
      <c r="AI1967" s="4"/>
      <c r="AJ1967" s="4">
        <f>=ROUNDDOWN({0},0)</f>
      </c>
      <c r="AK1967" s="5"/>
      <c r="AL1967" s="2" t="s">
        <v>228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 t="s">
        <v>228</v>
      </c>
      <c r="AW1967" s="8" t="s">
        <v>228</v>
      </c>
      <c r="AX1967" s="4" t="s">
        <v>228</v>
      </c>
      <c r="AY1967" s="8" t="s">
        <v>228</v>
      </c>
      <c r="AZ1967" s="7" t="s">
        <v>228</v>
      </c>
      <c r="BA1967" s="7" t="s">
        <v>228</v>
      </c>
      <c r="BB1967" s="7"/>
      <c r="BC1967" s="4" t="s">
        <v>228</v>
      </c>
      <c r="BD1967" s="8" t="s">
        <v>228</v>
      </c>
      <c r="BE1967" s="4" t="s">
        <v>228</v>
      </c>
      <c r="BF1967" s="8" t="s">
        <v>228</v>
      </c>
      <c r="BG1967" s="7" t="s">
        <v>228</v>
      </c>
      <c r="BH1967" s="7" t="s">
        <v>228</v>
      </c>
      <c r="BI1967" s="7"/>
      <c r="BJ1967" s="4">
        <v>13</v>
      </c>
      <c r="BK1967" s="8">
        <v>480.8</v>
      </c>
      <c r="BL1967" s="2" t="s">
        <v>357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9528</v>
      </c>
      <c r="BV1967" s="2" t="s">
        <v>228</v>
      </c>
      <c r="BW1967" s="2" t="s">
        <v>228</v>
      </c>
      <c r="BX1967" s="2" t="s">
        <v>337</v>
      </c>
      <c r="BY1967" s="2" t="s">
        <v>274</v>
      </c>
      <c r="BZ1967" s="2" t="s">
        <v>240</v>
      </c>
      <c r="CA1967" s="2" t="s">
        <v>4615</v>
      </c>
      <c r="CB1967" s="2" t="s">
        <v>1824</v>
      </c>
      <c r="CC1967" s="2" t="s">
        <v>241</v>
      </c>
      <c r="CD1967" s="2" t="s">
        <v>228</v>
      </c>
      <c r="CE1967" s="4">
        <v>222</v>
      </c>
      <c r="CF1967" s="4"/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4"/>
      <c r="CX1967" s="4"/>
      <c r="CY1967" s="4"/>
      <c r="CZ1967" s="4"/>
      <c r="DA1967" s="4"/>
      <c r="DB1967" s="4"/>
      <c r="DC1967" s="4"/>
      <c r="DD1967" s="4"/>
      <c r="DE1967" s="4"/>
      <c r="DF1967" s="4"/>
      <c r="DG1967" s="4"/>
      <c r="DH1967" s="4"/>
      <c r="DI1967" s="4"/>
      <c r="DJ1967" s="4"/>
      <c r="DK1967" s="4"/>
      <c r="DL1967" s="4"/>
      <c r="DM1967" s="4"/>
      <c r="DN1967" s="4"/>
      <c r="DO1967" s="4"/>
      <c r="DP1967" s="4"/>
      <c r="DQ1967" s="4"/>
      <c r="DR1967" s="4"/>
      <c r="DS1967" s="4"/>
      <c r="DT1967" s="4"/>
      <c r="DU1967" s="4"/>
      <c r="DV1967" s="4"/>
      <c r="DW1967" s="4"/>
      <c r="DX1967" s="4"/>
      <c r="DY1967" s="4"/>
      <c r="DZ1967" s="4"/>
      <c r="EA1967" s="4"/>
      <c r="EB1967" s="4"/>
      <c r="EC1967" s="4"/>
      <c r="ED1967" s="4"/>
      <c r="EE1967" s="4"/>
      <c r="EF1967" s="4"/>
      <c r="EG1967" s="4"/>
      <c r="EH1967" s="4"/>
      <c r="EI1967" s="4"/>
      <c r="EJ1967" s="4"/>
      <c r="EK1967" s="4"/>
      <c r="EL1967" s="4"/>
      <c r="EM1967" s="4"/>
      <c r="EN1967" s="4"/>
      <c r="EO1967" s="4"/>
      <c r="EP1967" s="4"/>
      <c r="EQ1967" s="4"/>
      <c r="ER1967" s="4"/>
      <c r="ES1967" s="4"/>
      <c r="ET1967" s="4"/>
      <c r="EU1967" s="4"/>
      <c r="EV1967" s="4"/>
      <c r="EW1967" s="4"/>
      <c r="EX1967" s="4"/>
      <c r="EY1967" s="4"/>
      <c r="EZ1967" s="4"/>
      <c r="FA1967" s="4"/>
      <c r="FB1967" s="4"/>
      <c r="FC1967" s="4"/>
      <c r="FD1967" s="4"/>
      <c r="FE1967" s="4"/>
      <c r="FF1967" s="4"/>
      <c r="FG1967" s="4"/>
      <c r="FH1967" s="4"/>
      <c r="FI1967" s="4"/>
      <c r="FJ1967" s="4"/>
      <c r="FK1967" s="4"/>
      <c r="FL1967" s="4"/>
      <c r="FM1967" s="4"/>
      <c r="FN1967" s="4"/>
      <c r="FO1967" s="4"/>
      <c r="FP1967" s="4"/>
      <c r="FQ1967" s="4"/>
      <c r="FR1967" s="4"/>
      <c r="FS1967" s="4"/>
      <c r="FT1967" s="4"/>
      <c r="FU1967" s="4"/>
      <c r="FV1967" s="4"/>
      <c r="FW1967" s="4"/>
      <c r="FX1967" s="4"/>
      <c r="FY1967" s="4"/>
      <c r="FZ1967" s="4"/>
      <c r="GA1967" s="4"/>
      <c r="GB1967" s="4"/>
      <c r="GC1967" s="4"/>
      <c r="GD1967" s="4"/>
      <c r="GE1967" s="4"/>
      <c r="GF1967" s="4"/>
      <c r="GG1967" s="4"/>
      <c r="GH1967" s="4"/>
      <c r="GI1967" s="4"/>
      <c r="GJ1967" s="4"/>
      <c r="GK1967" s="4"/>
      <c r="GL1967" s="4"/>
      <c r="GM1967" s="4"/>
      <c r="GN1967" s="4"/>
      <c r="GO1967" s="4"/>
      <c r="GP1967" s="4"/>
      <c r="GQ1967" s="4"/>
      <c r="GR1967" s="4"/>
      <c r="GS1967" s="4"/>
      <c r="GT1967" s="4"/>
      <c r="GU1967" s="4"/>
      <c r="GV1967" s="4"/>
      <c r="GW1967" s="4"/>
      <c r="GX1967" s="4"/>
      <c r="GY1967" s="4"/>
      <c r="GZ1967" s="4"/>
      <c r="HA1967" s="4"/>
      <c r="HB1967" s="4"/>
      <c r="HC1967" s="4"/>
      <c r="HD1967" s="4"/>
      <c r="HE1967" s="4"/>
    </row>
    <row r="1968">
      <c r="A1968" s="2" t="s">
        <v>9529</v>
      </c>
      <c r="B1968" s="2" t="s">
        <v>1150</v>
      </c>
      <c r="C1968" s="2" t="s">
        <v>300</v>
      </c>
      <c r="D1968" s="2" t="s">
        <v>1112</v>
      </c>
      <c r="E1968" s="2" t="s">
        <v>1165</v>
      </c>
      <c r="F1968" s="2" t="s">
        <v>9523</v>
      </c>
      <c r="G1968" s="2" t="s">
        <v>9524</v>
      </c>
      <c r="H1968" s="2" t="s">
        <v>9525</v>
      </c>
      <c r="I1968" s="2" t="s">
        <v>9526</v>
      </c>
      <c r="J1968" s="2" t="s">
        <v>1043</v>
      </c>
      <c r="K1968" s="2" t="s">
        <v>251</v>
      </c>
      <c r="L1968" s="3">
        <v>52.38</v>
      </c>
      <c r="M1968" s="3">
        <v>55</v>
      </c>
      <c r="N1968" s="3">
        <v>109.99</v>
      </c>
      <c r="O1968" s="2" t="s">
        <v>461</v>
      </c>
      <c r="P1968" s="2" t="s">
        <v>333</v>
      </c>
      <c r="Q1968" s="2" t="s">
        <v>234</v>
      </c>
      <c r="R1968" s="2" t="s">
        <v>228</v>
      </c>
      <c r="S1968" s="2" t="s">
        <v>9527</v>
      </c>
      <c r="T1968" s="2" t="s">
        <v>415</v>
      </c>
      <c r="U1968" s="2" t="s">
        <v>1331</v>
      </c>
      <c r="V1968" s="2" t="s">
        <v>1681</v>
      </c>
      <c r="W1968" s="2" t="s">
        <v>463</v>
      </c>
      <c r="X1968" s="2" t="s">
        <v>743</v>
      </c>
      <c r="Y1968" s="2" t="s">
        <v>5733</v>
      </c>
      <c r="Z1968" s="4">
        <v>195</v>
      </c>
      <c r="AA1968" s="4">
        <f>=ROUNDDOWN(33.6206896551724,0)</f>
      </c>
      <c r="AB1968" s="5">
        <v>5.8</v>
      </c>
      <c r="AC1968" s="2" t="s">
        <v>228</v>
      </c>
      <c r="AD1968" s="4"/>
      <c r="AE1968" s="4"/>
      <c r="AF1968" s="6">
        <v>64</v>
      </c>
      <c r="AG1968" s="6"/>
      <c r="AH1968" s="7">
        <v>1</v>
      </c>
      <c r="AI1968" s="4"/>
      <c r="AJ1968" s="4">
        <f>=ROUNDDOWN({0},0)</f>
      </c>
      <c r="AK1968" s="5"/>
      <c r="AL1968" s="2" t="s">
        <v>228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 t="s">
        <v>228</v>
      </c>
      <c r="AW1968" s="8" t="s">
        <v>228</v>
      </c>
      <c r="AX1968" s="4" t="s">
        <v>228</v>
      </c>
      <c r="AY1968" s="8" t="s">
        <v>228</v>
      </c>
      <c r="AZ1968" s="7" t="s">
        <v>228</v>
      </c>
      <c r="BA1968" s="7" t="s">
        <v>228</v>
      </c>
      <c r="BB1968" s="7"/>
      <c r="BC1968" s="4" t="s">
        <v>228</v>
      </c>
      <c r="BD1968" s="8" t="s">
        <v>228</v>
      </c>
      <c r="BE1968" s="4" t="s">
        <v>228</v>
      </c>
      <c r="BF1968" s="8" t="s">
        <v>228</v>
      </c>
      <c r="BG1968" s="7" t="s">
        <v>228</v>
      </c>
      <c r="BH1968" s="7" t="s">
        <v>228</v>
      </c>
      <c r="BI1968" s="7"/>
      <c r="BJ1968" s="4">
        <v>25</v>
      </c>
      <c r="BK1968" s="8">
        <v>976.78</v>
      </c>
      <c r="BL1968" s="2" t="s">
        <v>9006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9530</v>
      </c>
      <c r="BV1968" s="2" t="s">
        <v>228</v>
      </c>
      <c r="BW1968" s="2" t="s">
        <v>228</v>
      </c>
      <c r="BX1968" s="2" t="s">
        <v>337</v>
      </c>
      <c r="BY1968" s="2" t="s">
        <v>274</v>
      </c>
      <c r="BZ1968" s="2" t="s">
        <v>240</v>
      </c>
      <c r="CA1968" s="2" t="s">
        <v>4615</v>
      </c>
      <c r="CB1968" s="2" t="s">
        <v>1001</v>
      </c>
      <c r="CC1968" s="2" t="s">
        <v>241</v>
      </c>
      <c r="CD1968" s="2" t="s">
        <v>228</v>
      </c>
      <c r="CE1968" s="4">
        <v>195</v>
      </c>
      <c r="CF1968" s="4"/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  <c r="CW1968" s="4"/>
      <c r="CX1968" s="4"/>
      <c r="CY1968" s="4"/>
      <c r="CZ1968" s="4"/>
      <c r="DA1968" s="4"/>
      <c r="DB1968" s="4"/>
      <c r="DC1968" s="4"/>
      <c r="DD1968" s="4"/>
      <c r="DE1968" s="4"/>
      <c r="DF1968" s="4"/>
      <c r="DG1968" s="4"/>
      <c r="DH1968" s="4"/>
      <c r="DI1968" s="4"/>
      <c r="DJ1968" s="4"/>
      <c r="DK1968" s="4"/>
      <c r="DL1968" s="4"/>
      <c r="DM1968" s="4"/>
      <c r="DN1968" s="4"/>
      <c r="DO1968" s="4"/>
      <c r="DP1968" s="4"/>
      <c r="DQ1968" s="4"/>
      <c r="DR1968" s="4"/>
      <c r="DS1968" s="4"/>
      <c r="DT1968" s="4"/>
      <c r="DU1968" s="4"/>
      <c r="DV1968" s="4"/>
      <c r="DW1968" s="4"/>
      <c r="DX1968" s="4"/>
      <c r="DY1968" s="4"/>
      <c r="DZ1968" s="4"/>
      <c r="EA1968" s="4"/>
      <c r="EB1968" s="4"/>
      <c r="EC1968" s="4"/>
      <c r="ED1968" s="4"/>
      <c r="EE1968" s="4"/>
      <c r="EF1968" s="4"/>
      <c r="EG1968" s="4"/>
      <c r="EH1968" s="4"/>
      <c r="EI1968" s="4"/>
      <c r="EJ1968" s="4"/>
      <c r="EK1968" s="4"/>
      <c r="EL1968" s="4"/>
      <c r="EM1968" s="4"/>
      <c r="EN1968" s="4"/>
      <c r="EO1968" s="4"/>
      <c r="EP1968" s="4"/>
      <c r="EQ1968" s="4"/>
      <c r="ER1968" s="4"/>
      <c r="ES1968" s="4"/>
      <c r="ET1968" s="4"/>
      <c r="EU1968" s="4"/>
      <c r="EV1968" s="4"/>
      <c r="EW1968" s="4"/>
      <c r="EX1968" s="4"/>
      <c r="EY1968" s="4"/>
      <c r="EZ1968" s="4"/>
      <c r="FA1968" s="4"/>
      <c r="FB1968" s="4"/>
      <c r="FC1968" s="4"/>
      <c r="FD1968" s="4"/>
      <c r="FE1968" s="4"/>
      <c r="FF1968" s="4"/>
      <c r="FG1968" s="4"/>
      <c r="FH1968" s="4"/>
      <c r="FI1968" s="4"/>
      <c r="FJ1968" s="4"/>
      <c r="FK1968" s="4"/>
      <c r="FL1968" s="4"/>
      <c r="FM1968" s="4"/>
      <c r="FN1968" s="4"/>
      <c r="FO1968" s="4"/>
      <c r="FP1968" s="4"/>
      <c r="FQ1968" s="4"/>
      <c r="FR1968" s="4"/>
      <c r="FS1968" s="4"/>
      <c r="FT1968" s="4"/>
      <c r="FU1968" s="4"/>
      <c r="FV1968" s="4"/>
      <c r="FW1968" s="4"/>
      <c r="FX1968" s="4"/>
      <c r="FY1968" s="4"/>
      <c r="FZ1968" s="4"/>
      <c r="GA1968" s="4"/>
      <c r="GB1968" s="4"/>
      <c r="GC1968" s="4"/>
      <c r="GD1968" s="4"/>
      <c r="GE1968" s="4"/>
      <c r="GF1968" s="4"/>
      <c r="GG1968" s="4"/>
      <c r="GH1968" s="4"/>
      <c r="GI1968" s="4"/>
      <c r="GJ1968" s="4"/>
      <c r="GK1968" s="4"/>
      <c r="GL1968" s="4"/>
      <c r="GM1968" s="4"/>
      <c r="GN1968" s="4"/>
      <c r="GO1968" s="4"/>
      <c r="GP1968" s="4"/>
      <c r="GQ1968" s="4"/>
      <c r="GR1968" s="4"/>
      <c r="GS1968" s="4"/>
      <c r="GT1968" s="4"/>
      <c r="GU1968" s="4"/>
      <c r="GV1968" s="4"/>
      <c r="GW1968" s="4"/>
      <c r="GX1968" s="4"/>
      <c r="GY1968" s="4"/>
      <c r="GZ1968" s="4"/>
      <c r="HA1968" s="4"/>
      <c r="HB1968" s="4"/>
      <c r="HC1968" s="4"/>
      <c r="HD1968" s="4"/>
      <c r="HE1968" s="4"/>
    </row>
    <row r="1969">
      <c r="A1969" s="2" t="s">
        <v>9531</v>
      </c>
      <c r="B1969" s="2" t="s">
        <v>299</v>
      </c>
      <c r="C1969" s="2" t="s">
        <v>259</v>
      </c>
      <c r="D1969" s="2" t="s">
        <v>301</v>
      </c>
      <c r="E1969" s="2" t="s">
        <v>302</v>
      </c>
      <c r="F1969" s="2" t="s">
        <v>9532</v>
      </c>
      <c r="G1969" s="2" t="s">
        <v>9532</v>
      </c>
      <c r="H1969" s="2" t="s">
        <v>9532</v>
      </c>
      <c r="I1969" s="2" t="s">
        <v>9533</v>
      </c>
      <c r="J1969" s="2" t="s">
        <v>284</v>
      </c>
      <c r="K1969" s="2" t="s">
        <v>978</v>
      </c>
      <c r="L1969" s="3">
        <v>32.5</v>
      </c>
      <c r="M1969" s="3">
        <v>34.12</v>
      </c>
      <c r="N1969" s="3">
        <v>64.99</v>
      </c>
      <c r="O1969" s="2" t="s">
        <v>461</v>
      </c>
      <c r="P1969" s="2" t="s">
        <v>333</v>
      </c>
      <c r="Q1969" s="2" t="s">
        <v>234</v>
      </c>
      <c r="R1969" s="2" t="s">
        <v>228</v>
      </c>
      <c r="S1969" s="2" t="s">
        <v>9534</v>
      </c>
      <c r="T1969" s="2" t="s">
        <v>4823</v>
      </c>
      <c r="U1969" s="2" t="s">
        <v>228</v>
      </c>
      <c r="V1969" s="2" t="s">
        <v>236</v>
      </c>
      <c r="W1969" s="2" t="s">
        <v>269</v>
      </c>
      <c r="X1969" s="2" t="s">
        <v>228</v>
      </c>
      <c r="Y1969" s="2" t="s">
        <v>2437</v>
      </c>
      <c r="Z1969" s="4">
        <v>27</v>
      </c>
      <c r="AA1969" s="4">
        <f>=ROUNDDOWN(67.5,0)</f>
      </c>
      <c r="AB1969" s="5">
        <v>0.4</v>
      </c>
      <c r="AC1969" s="2" t="s">
        <v>228</v>
      </c>
      <c r="AD1969" s="4"/>
      <c r="AE1969" s="4"/>
      <c r="AF1969" s="6">
        <v>65</v>
      </c>
      <c r="AG1969" s="6"/>
      <c r="AH1969" s="7">
        <v>1</v>
      </c>
      <c r="AI1969" s="4"/>
      <c r="AJ1969" s="4">
        <f>=ROUNDDOWN({0},0)</f>
      </c>
      <c r="AK1969" s="5"/>
      <c r="AL1969" s="2" t="s">
        <v>228</v>
      </c>
      <c r="AM1969" s="4"/>
      <c r="AN1969" s="4"/>
      <c r="AO1969" s="7"/>
      <c r="AP1969" s="4"/>
      <c r="AQ1969" s="8"/>
      <c r="AR1969" s="4"/>
      <c r="AS1969" s="8"/>
      <c r="AT1969" s="7"/>
      <c r="AU1969" s="7"/>
      <c r="AV1969" s="4" t="s">
        <v>228</v>
      </c>
      <c r="AW1969" s="8" t="s">
        <v>228</v>
      </c>
      <c r="AX1969" s="4" t="s">
        <v>228</v>
      </c>
      <c r="AY1969" s="8" t="s">
        <v>228</v>
      </c>
      <c r="AZ1969" s="7" t="s">
        <v>228</v>
      </c>
      <c r="BA1969" s="7" t="s">
        <v>228</v>
      </c>
      <c r="BB1969" s="7"/>
      <c r="BC1969" s="4" t="s">
        <v>228</v>
      </c>
      <c r="BD1969" s="8" t="s">
        <v>228</v>
      </c>
      <c r="BE1969" s="4" t="s">
        <v>228</v>
      </c>
      <c r="BF1969" s="8" t="s">
        <v>228</v>
      </c>
      <c r="BG1969" s="7" t="s">
        <v>228</v>
      </c>
      <c r="BH1969" s="7" t="s">
        <v>228</v>
      </c>
      <c r="BI1969" s="7"/>
      <c r="BJ1969" s="4">
        <v>1</v>
      </c>
      <c r="BK1969" s="8">
        <v>34.13</v>
      </c>
      <c r="BL1969" s="2" t="s">
        <v>9535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9536</v>
      </c>
      <c r="BV1969" s="2" t="s">
        <v>228</v>
      </c>
      <c r="BW1969" s="2" t="s">
        <v>228</v>
      </c>
      <c r="BX1969" s="2" t="s">
        <v>337</v>
      </c>
      <c r="BY1969" s="2" t="s">
        <v>274</v>
      </c>
      <c r="BZ1969" s="2" t="s">
        <v>240</v>
      </c>
      <c r="CA1969" s="2" t="s">
        <v>561</v>
      </c>
      <c r="CB1969" s="2" t="s">
        <v>9537</v>
      </c>
      <c r="CC1969" s="2" t="s">
        <v>241</v>
      </c>
      <c r="CD1969" s="2" t="s">
        <v>228</v>
      </c>
      <c r="CE1969" s="4">
        <v>27</v>
      </c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4"/>
      <c r="CX1969" s="4"/>
      <c r="CY1969" s="4"/>
      <c r="CZ1969" s="4"/>
      <c r="DA1969" s="4"/>
      <c r="DB1969" s="4"/>
      <c r="DC1969" s="4"/>
      <c r="DD1969" s="4"/>
      <c r="DE1969" s="4"/>
      <c r="DF1969" s="4"/>
      <c r="DG1969" s="4"/>
      <c r="DH1969" s="4"/>
      <c r="DI1969" s="4"/>
      <c r="DJ1969" s="4"/>
      <c r="DK1969" s="4"/>
      <c r="DL1969" s="4"/>
      <c r="DM1969" s="4"/>
      <c r="DN1969" s="4"/>
      <c r="DO1969" s="4"/>
      <c r="DP1969" s="4"/>
      <c r="DQ1969" s="4"/>
      <c r="DR1969" s="4"/>
      <c r="DS1969" s="4"/>
      <c r="DT1969" s="4"/>
      <c r="DU1969" s="4"/>
      <c r="DV1969" s="4"/>
      <c r="DW1969" s="4"/>
      <c r="DX1969" s="4"/>
      <c r="DY1969" s="4"/>
      <c r="DZ1969" s="4"/>
      <c r="EA1969" s="4"/>
      <c r="EB1969" s="4"/>
      <c r="EC1969" s="4"/>
      <c r="ED1969" s="4"/>
      <c r="EE1969" s="4"/>
      <c r="EF1969" s="4"/>
      <c r="EG1969" s="4"/>
      <c r="EH1969" s="4"/>
      <c r="EI1969" s="4"/>
      <c r="EJ1969" s="4"/>
      <c r="EK1969" s="4"/>
      <c r="EL1969" s="4"/>
      <c r="EM1969" s="4"/>
      <c r="EN1969" s="4"/>
      <c r="EO1969" s="4"/>
      <c r="EP1969" s="4"/>
      <c r="EQ1969" s="4"/>
      <c r="ER1969" s="4"/>
      <c r="ES1969" s="4"/>
      <c r="ET1969" s="4"/>
      <c r="EU1969" s="4"/>
      <c r="EV1969" s="4"/>
      <c r="EW1969" s="4"/>
      <c r="EX1969" s="4"/>
      <c r="EY1969" s="4"/>
      <c r="EZ1969" s="4"/>
      <c r="FA1969" s="4"/>
      <c r="FB1969" s="4"/>
      <c r="FC1969" s="4"/>
      <c r="FD1969" s="4"/>
      <c r="FE1969" s="4"/>
      <c r="FF1969" s="4"/>
      <c r="FG1969" s="4"/>
      <c r="FH1969" s="4"/>
      <c r="FI1969" s="4"/>
      <c r="FJ1969" s="4"/>
      <c r="FK1969" s="4"/>
      <c r="FL1969" s="4"/>
      <c r="FM1969" s="4"/>
      <c r="FN1969" s="4"/>
      <c r="FO1969" s="4"/>
      <c r="FP1969" s="4"/>
      <c r="FQ1969" s="4"/>
      <c r="FR1969" s="4"/>
      <c r="FS1969" s="4"/>
      <c r="FT1969" s="4"/>
      <c r="FU1969" s="4"/>
      <c r="FV1969" s="4"/>
      <c r="FW1969" s="4"/>
      <c r="FX1969" s="4"/>
      <c r="FY1969" s="4"/>
      <c r="FZ1969" s="4"/>
      <c r="GA1969" s="4"/>
      <c r="GB1969" s="4"/>
      <c r="GC1969" s="4"/>
      <c r="GD1969" s="4"/>
      <c r="GE1969" s="4"/>
      <c r="GF1969" s="4"/>
      <c r="GG1969" s="4"/>
      <c r="GH1969" s="4"/>
      <c r="GI1969" s="4"/>
      <c r="GJ1969" s="4"/>
      <c r="GK1969" s="4"/>
      <c r="GL1969" s="4"/>
      <c r="GM1969" s="4"/>
      <c r="GN1969" s="4"/>
      <c r="GO1969" s="4"/>
      <c r="GP1969" s="4"/>
      <c r="GQ1969" s="4"/>
      <c r="GR1969" s="4"/>
      <c r="GS1969" s="4"/>
      <c r="GT1969" s="4"/>
      <c r="GU1969" s="4"/>
      <c r="GV1969" s="4"/>
      <c r="GW1969" s="4"/>
      <c r="GX1969" s="4"/>
      <c r="GY1969" s="4"/>
      <c r="GZ1969" s="4"/>
      <c r="HA1969" s="4"/>
      <c r="HB1969" s="4"/>
      <c r="HC1969" s="4"/>
      <c r="HD1969" s="4"/>
      <c r="HE1969" s="4"/>
    </row>
    <row r="1970">
      <c r="A1970" s="2" t="s">
        <v>9538</v>
      </c>
      <c r="B1970" s="2" t="s">
        <v>299</v>
      </c>
      <c r="C1970" s="2" t="s">
        <v>259</v>
      </c>
      <c r="D1970" s="2" t="s">
        <v>301</v>
      </c>
      <c r="E1970" s="2" t="s">
        <v>302</v>
      </c>
      <c r="F1970" s="2" t="s">
        <v>9532</v>
      </c>
      <c r="G1970" s="2" t="s">
        <v>9532</v>
      </c>
      <c r="H1970" s="2" t="s">
        <v>9532</v>
      </c>
      <c r="I1970" s="2" t="s">
        <v>9533</v>
      </c>
      <c r="J1970" s="2" t="s">
        <v>294</v>
      </c>
      <c r="K1970" s="2" t="s">
        <v>978</v>
      </c>
      <c r="L1970" s="3">
        <v>41.65</v>
      </c>
      <c r="M1970" s="3">
        <v>43.73</v>
      </c>
      <c r="N1970" s="3">
        <v>84.99</v>
      </c>
      <c r="O1970" s="2" t="s">
        <v>240</v>
      </c>
      <c r="P1970" s="2" t="s">
        <v>333</v>
      </c>
      <c r="Q1970" s="2" t="s">
        <v>234</v>
      </c>
      <c r="R1970" s="2" t="s">
        <v>228</v>
      </c>
      <c r="S1970" s="2" t="s">
        <v>9534</v>
      </c>
      <c r="T1970" s="2" t="s">
        <v>4823</v>
      </c>
      <c r="U1970" s="2" t="s">
        <v>228</v>
      </c>
      <c r="V1970" s="2" t="s">
        <v>236</v>
      </c>
      <c r="W1970" s="2" t="s">
        <v>269</v>
      </c>
      <c r="X1970" s="2" t="s">
        <v>228</v>
      </c>
      <c r="Y1970" s="2" t="s">
        <v>2437</v>
      </c>
      <c r="Z1970" s="4">
        <v>25</v>
      </c>
      <c r="AA1970" s="4">
        <f>=ROUNDDOWN(16.6666666666667,0)</f>
      </c>
      <c r="AB1970" s="5">
        <v>1.5</v>
      </c>
      <c r="AC1970" s="2" t="s">
        <v>228</v>
      </c>
      <c r="AD1970" s="4"/>
      <c r="AE1970" s="4"/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228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 t="s">
        <v>228</v>
      </c>
      <c r="AW1970" s="8" t="s">
        <v>228</v>
      </c>
      <c r="AX1970" s="4" t="s">
        <v>228</v>
      </c>
      <c r="AY1970" s="8" t="s">
        <v>228</v>
      </c>
      <c r="AZ1970" s="7" t="s">
        <v>228</v>
      </c>
      <c r="BA1970" s="7" t="s">
        <v>228</v>
      </c>
      <c r="BB1970" s="7"/>
      <c r="BC1970" s="4" t="s">
        <v>228</v>
      </c>
      <c r="BD1970" s="8" t="s">
        <v>228</v>
      </c>
      <c r="BE1970" s="4" t="s">
        <v>228</v>
      </c>
      <c r="BF1970" s="8" t="s">
        <v>228</v>
      </c>
      <c r="BG1970" s="7" t="s">
        <v>228</v>
      </c>
      <c r="BH1970" s="7" t="s">
        <v>228</v>
      </c>
      <c r="BI1970" s="7"/>
      <c r="BJ1970" s="4">
        <v>9</v>
      </c>
      <c r="BK1970" s="8">
        <v>371.03</v>
      </c>
      <c r="BL1970" s="2" t="s">
        <v>9539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9540</v>
      </c>
      <c r="BV1970" s="2" t="s">
        <v>228</v>
      </c>
      <c r="BW1970" s="2" t="s">
        <v>228</v>
      </c>
      <c r="BX1970" s="2" t="s">
        <v>337</v>
      </c>
      <c r="BY1970" s="2" t="s">
        <v>274</v>
      </c>
      <c r="BZ1970" s="2" t="s">
        <v>240</v>
      </c>
      <c r="CA1970" s="2" t="s">
        <v>561</v>
      </c>
      <c r="CB1970" s="2" t="s">
        <v>9332</v>
      </c>
      <c r="CC1970" s="2" t="s">
        <v>241</v>
      </c>
      <c r="CD1970" s="2" t="s">
        <v>228</v>
      </c>
      <c r="CE1970" s="4">
        <v>25</v>
      </c>
      <c r="CF1970" s="4"/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4"/>
      <c r="CX1970" s="4"/>
      <c r="CY1970" s="4"/>
      <c r="CZ1970" s="4"/>
      <c r="DA1970" s="4"/>
      <c r="DB1970" s="4"/>
      <c r="DC1970" s="4"/>
      <c r="DD1970" s="4"/>
      <c r="DE1970" s="4"/>
      <c r="DF1970" s="4"/>
      <c r="DG1970" s="4"/>
      <c r="DH1970" s="4"/>
      <c r="DI1970" s="4"/>
      <c r="DJ1970" s="4"/>
      <c r="DK1970" s="4"/>
      <c r="DL1970" s="4"/>
      <c r="DM1970" s="4"/>
      <c r="DN1970" s="4"/>
      <c r="DO1970" s="4"/>
      <c r="DP1970" s="4"/>
      <c r="DQ1970" s="4"/>
      <c r="DR1970" s="4"/>
      <c r="DS1970" s="4"/>
      <c r="DT1970" s="4"/>
      <c r="DU1970" s="4"/>
      <c r="DV1970" s="4"/>
      <c r="DW1970" s="4"/>
      <c r="DX1970" s="4"/>
      <c r="DY1970" s="4"/>
      <c r="DZ1970" s="4"/>
      <c r="EA1970" s="4"/>
      <c r="EB1970" s="4"/>
      <c r="EC1970" s="4"/>
      <c r="ED1970" s="4"/>
      <c r="EE1970" s="4"/>
      <c r="EF1970" s="4"/>
      <c r="EG1970" s="4"/>
      <c r="EH1970" s="4"/>
      <c r="EI1970" s="4"/>
      <c r="EJ1970" s="4"/>
      <c r="EK1970" s="4"/>
      <c r="EL1970" s="4"/>
      <c r="EM1970" s="4"/>
      <c r="EN1970" s="4"/>
      <c r="EO1970" s="4"/>
      <c r="EP1970" s="4"/>
      <c r="EQ1970" s="4"/>
      <c r="ER1970" s="4"/>
      <c r="ES1970" s="4"/>
      <c r="ET1970" s="4"/>
      <c r="EU1970" s="4"/>
      <c r="EV1970" s="4"/>
      <c r="EW1970" s="4"/>
      <c r="EX1970" s="4"/>
      <c r="EY1970" s="4"/>
      <c r="EZ1970" s="4"/>
      <c r="FA1970" s="4"/>
      <c r="FB1970" s="4"/>
      <c r="FC1970" s="4"/>
      <c r="FD1970" s="4"/>
      <c r="FE1970" s="4"/>
      <c r="FF1970" s="4"/>
      <c r="FG1970" s="4"/>
      <c r="FH1970" s="4"/>
      <c r="FI1970" s="4"/>
      <c r="FJ1970" s="4"/>
      <c r="FK1970" s="4"/>
      <c r="FL1970" s="4"/>
      <c r="FM1970" s="4"/>
      <c r="FN1970" s="4"/>
      <c r="FO1970" s="4"/>
      <c r="FP1970" s="4"/>
      <c r="FQ1970" s="4"/>
      <c r="FR1970" s="4"/>
      <c r="FS1970" s="4"/>
      <c r="FT1970" s="4"/>
      <c r="FU1970" s="4"/>
      <c r="FV1970" s="4"/>
      <c r="FW1970" s="4"/>
      <c r="FX1970" s="4"/>
      <c r="FY1970" s="4"/>
      <c r="FZ1970" s="4"/>
      <c r="GA1970" s="4"/>
      <c r="GB1970" s="4"/>
      <c r="GC1970" s="4"/>
      <c r="GD1970" s="4"/>
      <c r="GE1970" s="4"/>
      <c r="GF1970" s="4"/>
      <c r="GG1970" s="4"/>
      <c r="GH1970" s="4"/>
      <c r="GI1970" s="4"/>
      <c r="GJ1970" s="4"/>
      <c r="GK1970" s="4"/>
      <c r="GL1970" s="4"/>
      <c r="GM1970" s="4"/>
      <c r="GN1970" s="4"/>
      <c r="GO1970" s="4"/>
      <c r="GP1970" s="4"/>
      <c r="GQ1970" s="4"/>
      <c r="GR1970" s="4"/>
      <c r="GS1970" s="4"/>
      <c r="GT1970" s="4"/>
      <c r="GU1970" s="4"/>
      <c r="GV1970" s="4"/>
      <c r="GW1970" s="4"/>
      <c r="GX1970" s="4"/>
      <c r="GY1970" s="4"/>
      <c r="GZ1970" s="4"/>
      <c r="HA1970" s="4"/>
      <c r="HB1970" s="4"/>
      <c r="HC1970" s="4"/>
      <c r="HD1970" s="4"/>
      <c r="HE1970" s="4"/>
    </row>
    <row r="1971">
      <c r="A1971" s="2" t="s">
        <v>9541</v>
      </c>
      <c r="B1971" s="2" t="s">
        <v>299</v>
      </c>
      <c r="C1971" s="2" t="s">
        <v>259</v>
      </c>
      <c r="D1971" s="2" t="s">
        <v>301</v>
      </c>
      <c r="E1971" s="2" t="s">
        <v>302</v>
      </c>
      <c r="F1971" s="2" t="s">
        <v>9532</v>
      </c>
      <c r="G1971" s="2" t="s">
        <v>9532</v>
      </c>
      <c r="H1971" s="2" t="s">
        <v>9532</v>
      </c>
      <c r="I1971" s="2" t="s">
        <v>9533</v>
      </c>
      <c r="J1971" s="2" t="s">
        <v>312</v>
      </c>
      <c r="K1971" s="2" t="s">
        <v>978</v>
      </c>
      <c r="L1971" s="3">
        <v>41.65</v>
      </c>
      <c r="M1971" s="3">
        <v>43.73</v>
      </c>
      <c r="N1971" s="3">
        <v>84.99</v>
      </c>
      <c r="O1971" s="2" t="s">
        <v>240</v>
      </c>
      <c r="P1971" s="2" t="s">
        <v>333</v>
      </c>
      <c r="Q1971" s="2" t="s">
        <v>234</v>
      </c>
      <c r="R1971" s="2" t="s">
        <v>228</v>
      </c>
      <c r="S1971" s="2" t="s">
        <v>9534</v>
      </c>
      <c r="T1971" s="2" t="s">
        <v>4823</v>
      </c>
      <c r="U1971" s="2" t="s">
        <v>228</v>
      </c>
      <c r="V1971" s="2" t="s">
        <v>236</v>
      </c>
      <c r="W1971" s="2" t="s">
        <v>269</v>
      </c>
      <c r="X1971" s="2" t="s">
        <v>228</v>
      </c>
      <c r="Y1971" s="2" t="s">
        <v>2437</v>
      </c>
      <c r="Z1971" s="4">
        <v>20</v>
      </c>
      <c r="AA1971" s="4">
        <f>=ROUNDDOWN(100,0)</f>
      </c>
      <c r="AB1971" s="5">
        <v>0.2</v>
      </c>
      <c r="AC1971" s="2" t="s">
        <v>228</v>
      </c>
      <c r="AD1971" s="4"/>
      <c r="AE1971" s="4"/>
      <c r="AF1971" s="6">
        <v>65</v>
      </c>
      <c r="AG1971" s="6"/>
      <c r="AH1971" s="7">
        <v>1</v>
      </c>
      <c r="AI1971" s="4"/>
      <c r="AJ1971" s="4">
        <f>=ROUNDDOWN({0},0)</f>
      </c>
      <c r="AK1971" s="5"/>
      <c r="AL1971" s="2" t="s">
        <v>228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 t="s">
        <v>228</v>
      </c>
      <c r="AW1971" s="8" t="s">
        <v>228</v>
      </c>
      <c r="AX1971" s="4" t="s">
        <v>228</v>
      </c>
      <c r="AY1971" s="8" t="s">
        <v>228</v>
      </c>
      <c r="AZ1971" s="7" t="s">
        <v>228</v>
      </c>
      <c r="BA1971" s="7" t="s">
        <v>228</v>
      </c>
      <c r="BB1971" s="7"/>
      <c r="BC1971" s="4" t="s">
        <v>228</v>
      </c>
      <c r="BD1971" s="8" t="s">
        <v>228</v>
      </c>
      <c r="BE1971" s="4" t="s">
        <v>228</v>
      </c>
      <c r="BF1971" s="8" t="s">
        <v>228</v>
      </c>
      <c r="BG1971" s="7" t="s">
        <v>228</v>
      </c>
      <c r="BH1971" s="7" t="s">
        <v>228</v>
      </c>
      <c r="BI1971" s="7"/>
      <c r="BJ1971" s="4">
        <v>1</v>
      </c>
      <c r="BK1971" s="8">
        <v>43.73</v>
      </c>
      <c r="BL1971" s="2" t="s">
        <v>9542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9543</v>
      </c>
      <c r="BV1971" s="2" t="s">
        <v>228</v>
      </c>
      <c r="BW1971" s="2" t="s">
        <v>228</v>
      </c>
      <c r="BX1971" s="2" t="s">
        <v>337</v>
      </c>
      <c r="BY1971" s="2" t="s">
        <v>274</v>
      </c>
      <c r="BZ1971" s="2" t="s">
        <v>240</v>
      </c>
      <c r="CA1971" s="2" t="s">
        <v>561</v>
      </c>
      <c r="CB1971" s="2" t="s">
        <v>9544</v>
      </c>
      <c r="CC1971" s="2" t="s">
        <v>241</v>
      </c>
      <c r="CD1971" s="2" t="s">
        <v>228</v>
      </c>
      <c r="CE1971" s="4">
        <v>20</v>
      </c>
      <c r="CF1971" s="4"/>
      <c r="CG1971" s="4"/>
      <c r="CH1971" s="4"/>
      <c r="CI1971" s="4"/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4"/>
      <c r="CX1971" s="4"/>
      <c r="CY1971" s="4"/>
      <c r="CZ1971" s="4"/>
      <c r="DA1971" s="4"/>
      <c r="DB1971" s="4"/>
      <c r="DC1971" s="4"/>
      <c r="DD1971" s="4"/>
      <c r="DE1971" s="4"/>
      <c r="DF1971" s="4"/>
      <c r="DG1971" s="4"/>
      <c r="DH1971" s="4"/>
      <c r="DI1971" s="4"/>
      <c r="DJ1971" s="4"/>
      <c r="DK1971" s="4"/>
      <c r="DL1971" s="4"/>
      <c r="DM1971" s="4"/>
      <c r="DN1971" s="4"/>
      <c r="DO1971" s="4"/>
      <c r="DP1971" s="4"/>
      <c r="DQ1971" s="4"/>
      <c r="DR1971" s="4"/>
      <c r="DS1971" s="4"/>
      <c r="DT1971" s="4"/>
      <c r="DU1971" s="4"/>
      <c r="DV1971" s="4"/>
      <c r="DW1971" s="4"/>
      <c r="DX1971" s="4"/>
      <c r="DY1971" s="4"/>
      <c r="DZ1971" s="4"/>
      <c r="EA1971" s="4"/>
      <c r="EB1971" s="4"/>
      <c r="EC1971" s="4"/>
      <c r="ED1971" s="4"/>
      <c r="EE1971" s="4"/>
      <c r="EF1971" s="4"/>
      <c r="EG1971" s="4"/>
      <c r="EH1971" s="4"/>
      <c r="EI1971" s="4"/>
      <c r="EJ1971" s="4"/>
      <c r="EK1971" s="4"/>
      <c r="EL1971" s="4"/>
      <c r="EM1971" s="4"/>
      <c r="EN1971" s="4"/>
      <c r="EO1971" s="4"/>
      <c r="EP1971" s="4"/>
      <c r="EQ1971" s="4"/>
      <c r="ER1971" s="4"/>
      <c r="ES1971" s="4"/>
      <c r="ET1971" s="4"/>
      <c r="EU1971" s="4"/>
      <c r="EV1971" s="4"/>
      <c r="EW1971" s="4"/>
      <c r="EX1971" s="4"/>
      <c r="EY1971" s="4"/>
      <c r="EZ1971" s="4"/>
      <c r="FA1971" s="4"/>
      <c r="FB1971" s="4"/>
      <c r="FC1971" s="4"/>
      <c r="FD1971" s="4"/>
      <c r="FE1971" s="4"/>
      <c r="FF1971" s="4"/>
      <c r="FG1971" s="4"/>
      <c r="FH1971" s="4"/>
      <c r="FI1971" s="4"/>
      <c r="FJ1971" s="4"/>
      <c r="FK1971" s="4"/>
      <c r="FL1971" s="4"/>
      <c r="FM1971" s="4"/>
      <c r="FN1971" s="4"/>
      <c r="FO1971" s="4"/>
      <c r="FP1971" s="4"/>
      <c r="FQ1971" s="4"/>
      <c r="FR1971" s="4"/>
      <c r="FS1971" s="4"/>
      <c r="FT1971" s="4"/>
      <c r="FU1971" s="4"/>
      <c r="FV1971" s="4"/>
      <c r="FW1971" s="4"/>
      <c r="FX1971" s="4"/>
      <c r="FY1971" s="4"/>
      <c r="FZ1971" s="4"/>
      <c r="GA1971" s="4"/>
      <c r="GB1971" s="4"/>
      <c r="GC1971" s="4"/>
      <c r="GD1971" s="4"/>
      <c r="GE1971" s="4"/>
      <c r="GF1971" s="4"/>
      <c r="GG1971" s="4"/>
      <c r="GH1971" s="4"/>
      <c r="GI1971" s="4"/>
      <c r="GJ1971" s="4"/>
      <c r="GK1971" s="4"/>
      <c r="GL1971" s="4"/>
      <c r="GM1971" s="4"/>
      <c r="GN1971" s="4"/>
      <c r="GO1971" s="4"/>
      <c r="GP1971" s="4"/>
      <c r="GQ1971" s="4"/>
      <c r="GR1971" s="4"/>
      <c r="GS1971" s="4"/>
      <c r="GT1971" s="4"/>
      <c r="GU1971" s="4"/>
      <c r="GV1971" s="4"/>
      <c r="GW1971" s="4"/>
      <c r="GX1971" s="4"/>
      <c r="GY1971" s="4"/>
      <c r="GZ1971" s="4"/>
      <c r="HA1971" s="4"/>
      <c r="HB1971" s="4"/>
      <c r="HC1971" s="4"/>
      <c r="HD1971" s="4"/>
      <c r="HE1971" s="4"/>
    </row>
    <row r="1972">
      <c r="A1972" s="2" t="s">
        <v>9545</v>
      </c>
      <c r="B1972" s="2" t="s">
        <v>258</v>
      </c>
      <c r="C1972" s="2" t="s">
        <v>259</v>
      </c>
      <c r="D1972" s="2" t="s">
        <v>1862</v>
      </c>
      <c r="E1972" s="2" t="s">
        <v>9546</v>
      </c>
      <c r="F1972" s="2" t="s">
        <v>9532</v>
      </c>
      <c r="G1972" s="2" t="s">
        <v>9532</v>
      </c>
      <c r="H1972" s="2" t="s">
        <v>9532</v>
      </c>
      <c r="I1972" s="2" t="s">
        <v>9547</v>
      </c>
      <c r="J1972" s="2" t="s">
        <v>9548</v>
      </c>
      <c r="K1972" s="2" t="s">
        <v>480</v>
      </c>
      <c r="L1972" s="3">
        <v>25.3</v>
      </c>
      <c r="M1972" s="3">
        <v>26.56</v>
      </c>
      <c r="N1972" s="3">
        <v>54.99</v>
      </c>
      <c r="O1972" s="2" t="s">
        <v>240</v>
      </c>
      <c r="P1972" s="2" t="s">
        <v>266</v>
      </c>
      <c r="Q1972" s="2" t="s">
        <v>234</v>
      </c>
      <c r="R1972" s="2" t="s">
        <v>228</v>
      </c>
      <c r="S1972" s="2" t="s">
        <v>9549</v>
      </c>
      <c r="T1972" s="2" t="s">
        <v>228</v>
      </c>
      <c r="U1972" s="2" t="s">
        <v>228</v>
      </c>
      <c r="V1972" s="2" t="s">
        <v>236</v>
      </c>
      <c r="W1972" s="2" t="s">
        <v>9550</v>
      </c>
      <c r="X1972" s="2" t="s">
        <v>228</v>
      </c>
      <c r="Y1972" s="2" t="s">
        <v>2263</v>
      </c>
      <c r="Z1972" s="4">
        <v>384</v>
      </c>
      <c r="AA1972" s="4">
        <f>=ROUNDDOWN(22.5882352941176,0)</f>
      </c>
      <c r="AB1972" s="5">
        <v>17</v>
      </c>
      <c r="AC1972" s="2" t="s">
        <v>173</v>
      </c>
      <c r="AD1972" s="4">
        <v>200</v>
      </c>
      <c r="AE1972" s="4">
        <v>350</v>
      </c>
      <c r="AF1972" s="6">
        <v>65</v>
      </c>
      <c r="AG1972" s="6"/>
      <c r="AH1972" s="7">
        <v>1</v>
      </c>
      <c r="AI1972" s="4"/>
      <c r="AJ1972" s="4">
        <f>=ROUNDDOWN({0},0)</f>
      </c>
      <c r="AK1972" s="5"/>
      <c r="AL1972" s="2" t="s">
        <v>228</v>
      </c>
      <c r="AM1972" s="4"/>
      <c r="AN1972" s="4"/>
      <c r="AO1972" s="7"/>
      <c r="AP1972" s="4"/>
      <c r="AQ1972" s="8"/>
      <c r="AR1972" s="4"/>
      <c r="AS1972" s="8"/>
      <c r="AT1972" s="7"/>
      <c r="AU1972" s="7"/>
      <c r="AV1972" s="4"/>
      <c r="AW1972" s="8"/>
      <c r="AX1972" s="4"/>
      <c r="AY1972" s="8"/>
      <c r="AZ1972" s="7"/>
      <c r="BA1972" s="7"/>
      <c r="BB1972" s="7"/>
      <c r="BC1972" s="4" t="s">
        <v>228</v>
      </c>
      <c r="BD1972" s="8" t="s">
        <v>228</v>
      </c>
      <c r="BE1972" s="4" t="s">
        <v>228</v>
      </c>
      <c r="BF1972" s="8" t="s">
        <v>228</v>
      </c>
      <c r="BG1972" s="7" t="s">
        <v>228</v>
      </c>
      <c r="BH1972" s="7" t="s">
        <v>228</v>
      </c>
      <c r="BI1972" s="7"/>
      <c r="BJ1972" s="4">
        <v>97</v>
      </c>
      <c r="BK1972" s="8">
        <v>2599.74</v>
      </c>
      <c r="BL1972" s="2" t="s">
        <v>9551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9552</v>
      </c>
      <c r="BV1972" s="2" t="s">
        <v>228</v>
      </c>
      <c r="BW1972" s="2" t="s">
        <v>228</v>
      </c>
      <c r="BX1972" s="2" t="s">
        <v>273</v>
      </c>
      <c r="BY1972" s="2" t="s">
        <v>274</v>
      </c>
      <c r="BZ1972" s="2" t="s">
        <v>240</v>
      </c>
      <c r="CA1972" s="2" t="s">
        <v>7507</v>
      </c>
      <c r="CB1972" s="2" t="s">
        <v>9553</v>
      </c>
      <c r="CC1972" s="2" t="s">
        <v>241</v>
      </c>
      <c r="CD1972" s="2" t="s">
        <v>228</v>
      </c>
      <c r="CE1972" s="4">
        <v>384</v>
      </c>
      <c r="CF1972" s="4"/>
      <c r="CG1972" s="4"/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  <c r="CW1972" s="4"/>
      <c r="CX1972" s="4"/>
      <c r="CY1972" s="4"/>
      <c r="CZ1972" s="4"/>
      <c r="DA1972" s="4"/>
      <c r="DB1972" s="4"/>
      <c r="DC1972" s="4"/>
      <c r="DD1972" s="4"/>
      <c r="DE1972" s="4"/>
      <c r="DF1972" s="4"/>
      <c r="DG1972" s="4"/>
      <c r="DH1972" s="4"/>
      <c r="DI1972" s="4"/>
      <c r="DJ1972" s="4"/>
      <c r="DK1972" s="4"/>
      <c r="DL1972" s="4"/>
      <c r="DM1972" s="4"/>
      <c r="DN1972" s="4"/>
      <c r="DO1972" s="4"/>
      <c r="DP1972" s="4"/>
      <c r="DQ1972" s="4"/>
      <c r="DR1972" s="4"/>
      <c r="DS1972" s="4"/>
      <c r="DT1972" s="4"/>
      <c r="DU1972" s="4"/>
      <c r="DV1972" s="4"/>
      <c r="DW1972" s="4"/>
      <c r="DX1972" s="4"/>
      <c r="DY1972" s="4"/>
      <c r="DZ1972" s="4"/>
      <c r="EA1972" s="4"/>
      <c r="EB1972" s="4"/>
      <c r="EC1972" s="4"/>
      <c r="ED1972" s="4"/>
      <c r="EE1972" s="4"/>
      <c r="EF1972" s="4"/>
      <c r="EG1972" s="4"/>
      <c r="EH1972" s="4"/>
      <c r="EI1972" s="4"/>
      <c r="EJ1972" s="4"/>
      <c r="EK1972" s="4"/>
      <c r="EL1972" s="4"/>
      <c r="EM1972" s="4"/>
      <c r="EN1972" s="4"/>
      <c r="EO1972" s="4"/>
      <c r="EP1972" s="4"/>
      <c r="EQ1972" s="4"/>
      <c r="ER1972" s="4"/>
      <c r="ES1972" s="4"/>
      <c r="ET1972" s="4"/>
      <c r="EU1972" s="4"/>
      <c r="EV1972" s="4"/>
      <c r="EW1972" s="4"/>
      <c r="EX1972" s="4"/>
      <c r="EY1972" s="4"/>
      <c r="EZ1972" s="4"/>
      <c r="FA1972" s="4"/>
      <c r="FB1972" s="4"/>
      <c r="FC1972" s="4"/>
      <c r="FD1972" s="4"/>
      <c r="FE1972" s="4"/>
      <c r="FF1972" s="4"/>
      <c r="FG1972" s="4"/>
      <c r="FH1972" s="4"/>
      <c r="FI1972" s="4">
        <v>200</v>
      </c>
      <c r="FJ1972" s="4"/>
      <c r="FK1972" s="4"/>
      <c r="FL1972" s="4"/>
      <c r="FM1972" s="4"/>
      <c r="FN1972" s="4"/>
      <c r="FO1972" s="4"/>
      <c r="FP1972" s="4"/>
      <c r="FQ1972" s="4"/>
      <c r="FR1972" s="4"/>
      <c r="FS1972" s="4"/>
      <c r="FT1972" s="4"/>
      <c r="FU1972" s="4"/>
      <c r="FV1972" s="4"/>
      <c r="FW1972" s="4"/>
      <c r="FX1972" s="4"/>
      <c r="FY1972" s="4"/>
      <c r="FZ1972" s="4"/>
      <c r="GA1972" s="4"/>
      <c r="GB1972" s="4">
        <v>150</v>
      </c>
      <c r="GC1972" s="4"/>
      <c r="GD1972" s="4"/>
      <c r="GE1972" s="4"/>
      <c r="GF1972" s="4"/>
      <c r="GG1972" s="4"/>
      <c r="GH1972" s="4"/>
      <c r="GI1972" s="4"/>
      <c r="GJ1972" s="4"/>
      <c r="GK1972" s="4"/>
      <c r="GL1972" s="4"/>
      <c r="GM1972" s="4"/>
      <c r="GN1972" s="4"/>
      <c r="GO1972" s="4"/>
      <c r="GP1972" s="4"/>
      <c r="GQ1972" s="4"/>
      <c r="GR1972" s="4"/>
      <c r="GS1972" s="4"/>
      <c r="GT1972" s="4"/>
      <c r="GU1972" s="4"/>
      <c r="GV1972" s="4"/>
      <c r="GW1972" s="4"/>
      <c r="GX1972" s="4"/>
      <c r="GY1972" s="4"/>
      <c r="GZ1972" s="4"/>
      <c r="HA1972" s="4"/>
      <c r="HB1972" s="4"/>
      <c r="HC1972" s="4"/>
      <c r="HD1972" s="4"/>
      <c r="HE1972" s="4"/>
    </row>
    <row r="1973">
      <c r="A1973" s="2" t="s">
        <v>9554</v>
      </c>
      <c r="B1973" s="2" t="s">
        <v>970</v>
      </c>
      <c r="C1973" s="2" t="s">
        <v>849</v>
      </c>
      <c r="D1973" s="2" t="s">
        <v>971</v>
      </c>
      <c r="E1973" s="2" t="s">
        <v>972</v>
      </c>
      <c r="F1973" s="2" t="s">
        <v>9555</v>
      </c>
      <c r="G1973" s="2" t="s">
        <v>9556</v>
      </c>
      <c r="H1973" s="2" t="s">
        <v>4533</v>
      </c>
      <c r="I1973" s="2" t="s">
        <v>9557</v>
      </c>
      <c r="J1973" s="2" t="s">
        <v>1525</v>
      </c>
      <c r="K1973" s="2" t="s">
        <v>8523</v>
      </c>
      <c r="L1973" s="3">
        <v>15.75</v>
      </c>
      <c r="M1973" s="3">
        <v>16.54</v>
      </c>
      <c r="N1973" s="3">
        <v>34.99</v>
      </c>
      <c r="O1973" s="2" t="s">
        <v>240</v>
      </c>
      <c r="P1973" s="2" t="s">
        <v>333</v>
      </c>
      <c r="Q1973" s="2" t="s">
        <v>234</v>
      </c>
      <c r="R1973" s="2" t="s">
        <v>228</v>
      </c>
      <c r="S1973" s="2" t="s">
        <v>9558</v>
      </c>
      <c r="T1973" s="2" t="s">
        <v>415</v>
      </c>
      <c r="U1973" s="2" t="s">
        <v>416</v>
      </c>
      <c r="V1973" s="2" t="s">
        <v>859</v>
      </c>
      <c r="W1973" s="2" t="s">
        <v>417</v>
      </c>
      <c r="X1973" s="2" t="s">
        <v>981</v>
      </c>
      <c r="Y1973" s="2" t="s">
        <v>9559</v>
      </c>
      <c r="Z1973" s="4">
        <v>352</v>
      </c>
      <c r="AA1973" s="4">
        <f>=ROUNDDOWN(32.5925925925926,0)</f>
      </c>
      <c r="AB1973" s="5">
        <v>10.8</v>
      </c>
      <c r="AC1973" s="2" t="s">
        <v>228</v>
      </c>
      <c r="AD1973" s="4"/>
      <c r="AE1973" s="4"/>
      <c r="AF1973" s="6">
        <v>64</v>
      </c>
      <c r="AG1973" s="6"/>
      <c r="AH1973" s="7">
        <v>1</v>
      </c>
      <c r="AI1973" s="4"/>
      <c r="AJ1973" s="4">
        <f>=ROUNDDOWN({0},0)</f>
      </c>
      <c r="AK1973" s="5"/>
      <c r="AL1973" s="2" t="s">
        <v>228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/>
      <c r="AW1973" s="8"/>
      <c r="AX1973" s="4"/>
      <c r="AY1973" s="8"/>
      <c r="AZ1973" s="7"/>
      <c r="BA1973" s="7"/>
      <c r="BB1973" s="7"/>
      <c r="BC1973" s="4"/>
      <c r="BD1973" s="8"/>
      <c r="BE1973" s="4"/>
      <c r="BF1973" s="8"/>
      <c r="BG1973" s="7"/>
      <c r="BH1973" s="7"/>
      <c r="BI1973" s="7"/>
      <c r="BJ1973" s="4">
        <v>33</v>
      </c>
      <c r="BK1973" s="8">
        <v>619.87</v>
      </c>
      <c r="BL1973" s="2" t="s">
        <v>9560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9561</v>
      </c>
      <c r="BV1973" s="2" t="s">
        <v>228</v>
      </c>
      <c r="BW1973" s="2" t="s">
        <v>228</v>
      </c>
      <c r="BX1973" s="2" t="s">
        <v>337</v>
      </c>
      <c r="BY1973" s="2" t="s">
        <v>274</v>
      </c>
      <c r="BZ1973" s="2" t="s">
        <v>240</v>
      </c>
      <c r="CA1973" s="2" t="s">
        <v>9562</v>
      </c>
      <c r="CB1973" s="2" t="s">
        <v>9563</v>
      </c>
      <c r="CC1973" s="2" t="s">
        <v>241</v>
      </c>
      <c r="CD1973" s="2" t="s">
        <v>228</v>
      </c>
      <c r="CE1973" s="4">
        <v>352</v>
      </c>
      <c r="CF1973" s="4"/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/>
      <c r="DE1973" s="4"/>
      <c r="DF1973" s="4"/>
      <c r="DG1973" s="4"/>
      <c r="DH1973" s="4"/>
      <c r="DI1973" s="4"/>
      <c r="DJ1973" s="4"/>
      <c r="DK1973" s="4"/>
      <c r="DL1973" s="4"/>
      <c r="DM1973" s="4"/>
      <c r="DN1973" s="4"/>
      <c r="DO1973" s="4"/>
      <c r="DP1973" s="4"/>
      <c r="DQ1973" s="4"/>
      <c r="DR1973" s="4"/>
      <c r="DS1973" s="4"/>
      <c r="DT1973" s="4"/>
      <c r="DU1973" s="4"/>
      <c r="DV1973" s="4"/>
      <c r="DW1973" s="4"/>
      <c r="DX1973" s="4"/>
      <c r="DY1973" s="4"/>
      <c r="DZ1973" s="4"/>
      <c r="EA1973" s="4"/>
      <c r="EB1973" s="4"/>
      <c r="EC1973" s="4"/>
      <c r="ED1973" s="4"/>
      <c r="EE1973" s="4"/>
      <c r="EF1973" s="4"/>
      <c r="EG1973" s="4"/>
      <c r="EH1973" s="4"/>
      <c r="EI1973" s="4"/>
      <c r="EJ1973" s="4"/>
      <c r="EK1973" s="4"/>
      <c r="EL1973" s="4"/>
      <c r="EM1973" s="4"/>
      <c r="EN1973" s="4"/>
      <c r="EO1973" s="4"/>
      <c r="EP1973" s="4"/>
      <c r="EQ1973" s="4"/>
      <c r="ER1973" s="4"/>
      <c r="ES1973" s="4"/>
      <c r="ET1973" s="4"/>
      <c r="EU1973" s="4"/>
      <c r="EV1973" s="4"/>
      <c r="EW1973" s="4"/>
      <c r="EX1973" s="4"/>
      <c r="EY1973" s="4"/>
      <c r="EZ1973" s="4"/>
      <c r="FA1973" s="4"/>
      <c r="FB1973" s="4"/>
      <c r="FC1973" s="4"/>
      <c r="FD1973" s="4"/>
      <c r="FE1973" s="4"/>
      <c r="FF1973" s="4"/>
      <c r="FG1973" s="4"/>
      <c r="FH1973" s="4"/>
      <c r="FI1973" s="4"/>
      <c r="FJ1973" s="4"/>
      <c r="FK1973" s="4"/>
      <c r="FL1973" s="4"/>
      <c r="FM1973" s="4"/>
      <c r="FN1973" s="4"/>
      <c r="FO1973" s="4"/>
      <c r="FP1973" s="4"/>
      <c r="FQ1973" s="4"/>
      <c r="FR1973" s="4"/>
      <c r="FS1973" s="4"/>
      <c r="FT1973" s="4"/>
      <c r="FU1973" s="4"/>
      <c r="FV1973" s="4"/>
      <c r="FW1973" s="4"/>
      <c r="FX1973" s="4"/>
      <c r="FY1973" s="4"/>
      <c r="FZ1973" s="4"/>
      <c r="GA1973" s="4"/>
      <c r="GB1973" s="4"/>
      <c r="GC1973" s="4"/>
      <c r="GD1973" s="4"/>
      <c r="GE1973" s="4"/>
      <c r="GF1973" s="4"/>
      <c r="GG1973" s="4"/>
      <c r="GH1973" s="4"/>
      <c r="GI1973" s="4"/>
      <c r="GJ1973" s="4"/>
      <c r="GK1973" s="4"/>
      <c r="GL1973" s="4"/>
      <c r="GM1973" s="4"/>
      <c r="GN1973" s="4"/>
      <c r="GO1973" s="4"/>
      <c r="GP1973" s="4"/>
      <c r="GQ1973" s="4"/>
      <c r="GR1973" s="4"/>
      <c r="GS1973" s="4"/>
      <c r="GT1973" s="4"/>
      <c r="GU1973" s="4"/>
      <c r="GV1973" s="4"/>
      <c r="GW1973" s="4"/>
      <c r="GX1973" s="4"/>
      <c r="GY1973" s="4"/>
      <c r="GZ1973" s="4"/>
      <c r="HA1973" s="4"/>
      <c r="HB1973" s="4"/>
      <c r="HC1973" s="4"/>
      <c r="HD1973" s="4"/>
      <c r="HE1973" s="4"/>
    </row>
    <row r="1974">
      <c r="A1974" s="2" t="s">
        <v>9564</v>
      </c>
      <c r="B1974" s="2" t="s">
        <v>1150</v>
      </c>
      <c r="C1974" s="2" t="s">
        <v>773</v>
      </c>
      <c r="D1974" s="2" t="s">
        <v>1112</v>
      </c>
      <c r="E1974" s="2" t="s">
        <v>1165</v>
      </c>
      <c r="F1974" s="2" t="s">
        <v>9565</v>
      </c>
      <c r="G1974" s="2" t="s">
        <v>9565</v>
      </c>
      <c r="H1974" s="2" t="s">
        <v>9565</v>
      </c>
      <c r="I1974" s="2" t="s">
        <v>3216</v>
      </c>
      <c r="J1974" s="2" t="s">
        <v>289</v>
      </c>
      <c r="K1974" s="2" t="s">
        <v>231</v>
      </c>
      <c r="L1974" s="3">
        <v>150</v>
      </c>
      <c r="M1974" s="3">
        <v>157.5</v>
      </c>
      <c r="N1974" s="3">
        <v>299.99</v>
      </c>
      <c r="O1974" s="2" t="s">
        <v>240</v>
      </c>
      <c r="P1974" s="2" t="s">
        <v>233</v>
      </c>
      <c r="Q1974" s="2" t="s">
        <v>234</v>
      </c>
      <c r="R1974" s="2" t="s">
        <v>228</v>
      </c>
      <c r="S1974" s="2" t="s">
        <v>228</v>
      </c>
      <c r="T1974" s="2" t="s">
        <v>228</v>
      </c>
      <c r="U1974" s="2" t="s">
        <v>791</v>
      </c>
      <c r="V1974" s="2" t="s">
        <v>842</v>
      </c>
      <c r="W1974" s="2" t="s">
        <v>228</v>
      </c>
      <c r="X1974" s="2" t="s">
        <v>228</v>
      </c>
      <c r="Y1974" s="2" t="s">
        <v>228</v>
      </c>
      <c r="Z1974" s="4"/>
      <c r="AA1974" s="4">
        <f>=ROUNDDOWN({0},0)</f>
      </c>
      <c r="AB1974" s="5"/>
      <c r="AC1974" s="2" t="s">
        <v>3218</v>
      </c>
      <c r="AD1974" s="4">
        <v>200</v>
      </c>
      <c r="AE1974" s="4">
        <v>200</v>
      </c>
      <c r="AF1974" s="6">
        <v>67</v>
      </c>
      <c r="AG1974" s="6"/>
      <c r="AH1974" s="7"/>
      <c r="AI1974" s="4"/>
      <c r="AJ1974" s="4">
        <f>=ROUNDDOWN({0},0)</f>
      </c>
      <c r="AK1974" s="5"/>
      <c r="AL1974" s="2" t="s">
        <v>228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 t="s">
        <v>228</v>
      </c>
      <c r="AW1974" s="8" t="s">
        <v>228</v>
      </c>
      <c r="AX1974" s="4" t="s">
        <v>228</v>
      </c>
      <c r="AY1974" s="8" t="s">
        <v>228</v>
      </c>
      <c r="AZ1974" s="7" t="s">
        <v>228</v>
      </c>
      <c r="BA1974" s="7" t="s">
        <v>228</v>
      </c>
      <c r="BB1974" s="7"/>
      <c r="BC1974" s="4" t="s">
        <v>228</v>
      </c>
      <c r="BD1974" s="8" t="s">
        <v>228</v>
      </c>
      <c r="BE1974" s="4" t="s">
        <v>228</v>
      </c>
      <c r="BF1974" s="8" t="s">
        <v>228</v>
      </c>
      <c r="BG1974" s="7" t="s">
        <v>228</v>
      </c>
      <c r="BH1974" s="7" t="s">
        <v>228</v>
      </c>
      <c r="BI1974" s="7"/>
      <c r="BJ1974" s="4"/>
      <c r="BK1974" s="8"/>
      <c r="BL1974" s="2" t="s">
        <v>228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238</v>
      </c>
      <c r="BV1974" s="2" t="s">
        <v>228</v>
      </c>
      <c r="BW1974" s="2" t="s">
        <v>228</v>
      </c>
      <c r="BX1974" s="2" t="s">
        <v>238</v>
      </c>
      <c r="BY1974" s="2" t="s">
        <v>239</v>
      </c>
      <c r="BZ1974" s="2" t="s">
        <v>240</v>
      </c>
      <c r="CA1974" s="2" t="s">
        <v>228</v>
      </c>
      <c r="CB1974" s="2" t="s">
        <v>228</v>
      </c>
      <c r="CC1974" s="2" t="s">
        <v>241</v>
      </c>
      <c r="CD1974" s="2" t="s">
        <v>228</v>
      </c>
      <c r="CE1974" s="4"/>
      <c r="CF1974" s="4"/>
      <c r="CG1974" s="4"/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4"/>
      <c r="CX1974" s="4"/>
      <c r="CY1974" s="4"/>
      <c r="CZ1974" s="4"/>
      <c r="DA1974" s="4"/>
      <c r="DB1974" s="4"/>
      <c r="DC1974" s="4"/>
      <c r="DD1974" s="4"/>
      <c r="DE1974" s="4"/>
      <c r="DF1974" s="4"/>
      <c r="DG1974" s="4"/>
      <c r="DH1974" s="4"/>
      <c r="DI1974" s="4"/>
      <c r="DJ1974" s="4"/>
      <c r="DK1974" s="4"/>
      <c r="DL1974" s="4"/>
      <c r="DM1974" s="4"/>
      <c r="DN1974" s="4"/>
      <c r="DO1974" s="4"/>
      <c r="DP1974" s="4"/>
      <c r="DQ1974" s="4"/>
      <c r="DR1974" s="4"/>
      <c r="DS1974" s="4"/>
      <c r="DT1974" s="4"/>
      <c r="DU1974" s="4"/>
      <c r="DV1974" s="4"/>
      <c r="DW1974" s="4"/>
      <c r="DX1974" s="4"/>
      <c r="DY1974" s="4"/>
      <c r="DZ1974" s="4"/>
      <c r="EA1974" s="4"/>
      <c r="EB1974" s="4"/>
      <c r="EC1974" s="4"/>
      <c r="ED1974" s="4"/>
      <c r="EE1974" s="4"/>
      <c r="EF1974" s="4"/>
      <c r="EG1974" s="4"/>
      <c r="EH1974" s="4"/>
      <c r="EI1974" s="4"/>
      <c r="EJ1974" s="4"/>
      <c r="EK1974" s="4"/>
      <c r="EL1974" s="4"/>
      <c r="EM1974" s="4"/>
      <c r="EN1974" s="4"/>
      <c r="EO1974" s="4"/>
      <c r="EP1974" s="4"/>
      <c r="EQ1974" s="4"/>
      <c r="ER1974" s="4"/>
      <c r="ES1974" s="4"/>
      <c r="ET1974" s="4"/>
      <c r="EU1974" s="4"/>
      <c r="EV1974" s="4"/>
      <c r="EW1974" s="4"/>
      <c r="EX1974" s="4"/>
      <c r="EY1974" s="4"/>
      <c r="EZ1974" s="4"/>
      <c r="FA1974" s="4"/>
      <c r="FB1974" s="4"/>
      <c r="FC1974" s="4"/>
      <c r="FD1974" s="4"/>
      <c r="FE1974" s="4"/>
      <c r="FF1974" s="4"/>
      <c r="FG1974" s="4"/>
      <c r="FH1974" s="4"/>
      <c r="FI1974" s="4"/>
      <c r="FJ1974" s="4"/>
      <c r="FK1974" s="4"/>
      <c r="FL1974" s="4"/>
      <c r="FM1974" s="4"/>
      <c r="FN1974" s="4"/>
      <c r="FO1974" s="4"/>
      <c r="FP1974" s="4"/>
      <c r="FQ1974" s="4"/>
      <c r="FR1974" s="4"/>
      <c r="FS1974" s="4"/>
      <c r="FT1974" s="4"/>
      <c r="FU1974" s="4"/>
      <c r="FV1974" s="4"/>
      <c r="FW1974" s="4"/>
      <c r="FX1974" s="4"/>
      <c r="FY1974" s="4"/>
      <c r="FZ1974" s="4"/>
      <c r="GA1974" s="4"/>
      <c r="GB1974" s="4"/>
      <c r="GC1974" s="4"/>
      <c r="GD1974" s="4"/>
      <c r="GE1974" s="4"/>
      <c r="GF1974" s="4"/>
      <c r="GG1974" s="4"/>
      <c r="GH1974" s="4"/>
      <c r="GI1974" s="4"/>
      <c r="GJ1974" s="4"/>
      <c r="GK1974" s="4">
        <v>200</v>
      </c>
      <c r="GL1974" s="4"/>
      <c r="GM1974" s="4"/>
      <c r="GN1974" s="4"/>
      <c r="GO1974" s="4"/>
      <c r="GP1974" s="4"/>
      <c r="GQ1974" s="4"/>
      <c r="GR1974" s="4"/>
      <c r="GS1974" s="4"/>
      <c r="GT1974" s="4"/>
      <c r="GU1974" s="4"/>
      <c r="GV1974" s="4"/>
      <c r="GW1974" s="4"/>
      <c r="GX1974" s="4"/>
      <c r="GY1974" s="4"/>
      <c r="GZ1974" s="4"/>
      <c r="HA1974" s="4"/>
      <c r="HB1974" s="4"/>
      <c r="HC1974" s="4"/>
      <c r="HD1974" s="4"/>
      <c r="HE1974" s="4"/>
    </row>
    <row r="1975">
      <c r="A1975" s="2" t="s">
        <v>9566</v>
      </c>
      <c r="B1975" s="2" t="s">
        <v>1150</v>
      </c>
      <c r="C1975" s="2" t="s">
        <v>773</v>
      </c>
      <c r="D1975" s="2" t="s">
        <v>1112</v>
      </c>
      <c r="E1975" s="2" t="s">
        <v>1165</v>
      </c>
      <c r="F1975" s="2" t="s">
        <v>9565</v>
      </c>
      <c r="G1975" s="2" t="s">
        <v>9565</v>
      </c>
      <c r="H1975" s="2" t="s">
        <v>9565</v>
      </c>
      <c r="I1975" s="2" t="s">
        <v>3216</v>
      </c>
      <c r="J1975" s="2" t="s">
        <v>294</v>
      </c>
      <c r="K1975" s="2" t="s">
        <v>231</v>
      </c>
      <c r="L1975" s="3">
        <v>175</v>
      </c>
      <c r="M1975" s="3">
        <v>183.75</v>
      </c>
      <c r="N1975" s="3">
        <v>349.99</v>
      </c>
      <c r="O1975" s="2" t="s">
        <v>240</v>
      </c>
      <c r="P1975" s="2" t="s">
        <v>233</v>
      </c>
      <c r="Q1975" s="2" t="s">
        <v>234</v>
      </c>
      <c r="R1975" s="2" t="s">
        <v>228</v>
      </c>
      <c r="S1975" s="2" t="s">
        <v>228</v>
      </c>
      <c r="T1975" s="2" t="s">
        <v>228</v>
      </c>
      <c r="U1975" s="2" t="s">
        <v>1162</v>
      </c>
      <c r="V1975" s="2" t="s">
        <v>842</v>
      </c>
      <c r="W1975" s="2" t="s">
        <v>228</v>
      </c>
      <c r="X1975" s="2" t="s">
        <v>228</v>
      </c>
      <c r="Y1975" s="2" t="s">
        <v>228</v>
      </c>
      <c r="Z1975" s="4"/>
      <c r="AA1975" s="4">
        <f>=ROUNDDOWN({0},0)</f>
      </c>
      <c r="AB1975" s="5"/>
      <c r="AC1975" s="2" t="s">
        <v>3218</v>
      </c>
      <c r="AD1975" s="4">
        <v>300</v>
      </c>
      <c r="AE1975" s="4">
        <v>300</v>
      </c>
      <c r="AF1975" s="6">
        <v>67</v>
      </c>
      <c r="AG1975" s="6"/>
      <c r="AH1975" s="7"/>
      <c r="AI1975" s="4"/>
      <c r="AJ1975" s="4">
        <f>=ROUNDDOWN({0},0)</f>
      </c>
      <c r="AK1975" s="5"/>
      <c r="AL1975" s="2" t="s">
        <v>228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 t="s">
        <v>228</v>
      </c>
      <c r="AW1975" s="8" t="s">
        <v>228</v>
      </c>
      <c r="AX1975" s="4" t="s">
        <v>228</v>
      </c>
      <c r="AY1975" s="8" t="s">
        <v>228</v>
      </c>
      <c r="AZ1975" s="7" t="s">
        <v>228</v>
      </c>
      <c r="BA1975" s="7" t="s">
        <v>228</v>
      </c>
      <c r="BB1975" s="7"/>
      <c r="BC1975" s="4" t="s">
        <v>228</v>
      </c>
      <c r="BD1975" s="8" t="s">
        <v>228</v>
      </c>
      <c r="BE1975" s="4" t="s">
        <v>228</v>
      </c>
      <c r="BF1975" s="8" t="s">
        <v>228</v>
      </c>
      <c r="BG1975" s="7" t="s">
        <v>228</v>
      </c>
      <c r="BH1975" s="7" t="s">
        <v>228</v>
      </c>
      <c r="BI1975" s="7"/>
      <c r="BJ1975" s="4"/>
      <c r="BK1975" s="8"/>
      <c r="BL1975" s="2" t="s">
        <v>228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238</v>
      </c>
      <c r="BV1975" s="2" t="s">
        <v>228</v>
      </c>
      <c r="BW1975" s="2" t="s">
        <v>228</v>
      </c>
      <c r="BX1975" s="2" t="s">
        <v>238</v>
      </c>
      <c r="BY1975" s="2" t="s">
        <v>239</v>
      </c>
      <c r="BZ1975" s="2" t="s">
        <v>240</v>
      </c>
      <c r="CA1975" s="2" t="s">
        <v>228</v>
      </c>
      <c r="CB1975" s="2" t="s">
        <v>228</v>
      </c>
      <c r="CC1975" s="2" t="s">
        <v>241</v>
      </c>
      <c r="CD1975" s="2" t="s">
        <v>228</v>
      </c>
      <c r="CE1975" s="4"/>
      <c r="CF1975" s="4"/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/>
      <c r="DA1975" s="4"/>
      <c r="DB1975" s="4"/>
      <c r="DC1975" s="4"/>
      <c r="DD1975" s="4"/>
      <c r="DE1975" s="4"/>
      <c r="DF1975" s="4"/>
      <c r="DG1975" s="4"/>
      <c r="DH1975" s="4"/>
      <c r="DI1975" s="4"/>
      <c r="DJ1975" s="4"/>
      <c r="DK1975" s="4"/>
      <c r="DL1975" s="4"/>
      <c r="DM1975" s="4"/>
      <c r="DN1975" s="4"/>
      <c r="DO1975" s="4"/>
      <c r="DP1975" s="4"/>
      <c r="DQ1975" s="4"/>
      <c r="DR1975" s="4"/>
      <c r="DS1975" s="4"/>
      <c r="DT1975" s="4"/>
      <c r="DU1975" s="4"/>
      <c r="DV1975" s="4"/>
      <c r="DW1975" s="4"/>
      <c r="DX1975" s="4"/>
      <c r="DY1975" s="4"/>
      <c r="DZ1975" s="4"/>
      <c r="EA1975" s="4"/>
      <c r="EB1975" s="4"/>
      <c r="EC1975" s="4"/>
      <c r="ED1975" s="4"/>
      <c r="EE1975" s="4"/>
      <c r="EF1975" s="4"/>
      <c r="EG1975" s="4"/>
      <c r="EH1975" s="4"/>
      <c r="EI1975" s="4"/>
      <c r="EJ1975" s="4"/>
      <c r="EK1975" s="4"/>
      <c r="EL1975" s="4"/>
      <c r="EM1975" s="4"/>
      <c r="EN1975" s="4"/>
      <c r="EO1975" s="4"/>
      <c r="EP1975" s="4"/>
      <c r="EQ1975" s="4"/>
      <c r="ER1975" s="4"/>
      <c r="ES1975" s="4"/>
      <c r="ET1975" s="4"/>
      <c r="EU1975" s="4"/>
      <c r="EV1975" s="4"/>
      <c r="EW1975" s="4"/>
      <c r="EX1975" s="4"/>
      <c r="EY1975" s="4"/>
      <c r="EZ1975" s="4"/>
      <c r="FA1975" s="4"/>
      <c r="FB1975" s="4"/>
      <c r="FC1975" s="4"/>
      <c r="FD1975" s="4"/>
      <c r="FE1975" s="4"/>
      <c r="FF1975" s="4"/>
      <c r="FG1975" s="4"/>
      <c r="FH1975" s="4"/>
      <c r="FI1975" s="4"/>
      <c r="FJ1975" s="4"/>
      <c r="FK1975" s="4"/>
      <c r="FL1975" s="4"/>
      <c r="FM1975" s="4"/>
      <c r="FN1975" s="4"/>
      <c r="FO1975" s="4"/>
      <c r="FP1975" s="4"/>
      <c r="FQ1975" s="4"/>
      <c r="FR1975" s="4"/>
      <c r="FS1975" s="4"/>
      <c r="FT1975" s="4"/>
      <c r="FU1975" s="4"/>
      <c r="FV1975" s="4"/>
      <c r="FW1975" s="4"/>
      <c r="FX1975" s="4"/>
      <c r="FY1975" s="4"/>
      <c r="FZ1975" s="4"/>
      <c r="GA1975" s="4"/>
      <c r="GB1975" s="4"/>
      <c r="GC1975" s="4"/>
      <c r="GD1975" s="4"/>
      <c r="GE1975" s="4"/>
      <c r="GF1975" s="4"/>
      <c r="GG1975" s="4"/>
      <c r="GH1975" s="4"/>
      <c r="GI1975" s="4"/>
      <c r="GJ1975" s="4"/>
      <c r="GK1975" s="4">
        <v>300</v>
      </c>
      <c r="GL1975" s="4"/>
      <c r="GM1975" s="4"/>
      <c r="GN1975" s="4"/>
      <c r="GO1975" s="4"/>
      <c r="GP1975" s="4"/>
      <c r="GQ1975" s="4"/>
      <c r="GR1975" s="4"/>
      <c r="GS1975" s="4"/>
      <c r="GT1975" s="4"/>
      <c r="GU1975" s="4"/>
      <c r="GV1975" s="4"/>
      <c r="GW1975" s="4"/>
      <c r="GX1975" s="4"/>
      <c r="GY1975" s="4"/>
      <c r="GZ1975" s="4"/>
      <c r="HA1975" s="4"/>
      <c r="HB1975" s="4"/>
      <c r="HC1975" s="4"/>
      <c r="HD1975" s="4"/>
      <c r="HE1975" s="4"/>
    </row>
    <row r="1976">
      <c r="A1976" s="2" t="s">
        <v>9567</v>
      </c>
      <c r="B1976" s="2" t="s">
        <v>958</v>
      </c>
      <c r="C1976" s="2" t="s">
        <v>885</v>
      </c>
      <c r="D1976" s="2" t="s">
        <v>959</v>
      </c>
      <c r="E1976" s="2" t="s">
        <v>3094</v>
      </c>
      <c r="F1976" s="2" t="s">
        <v>9568</v>
      </c>
      <c r="G1976" s="2" t="s">
        <v>9568</v>
      </c>
      <c r="H1976" s="2" t="s">
        <v>9568</v>
      </c>
      <c r="I1976" s="2" t="s">
        <v>6694</v>
      </c>
      <c r="J1976" s="2" t="s">
        <v>840</v>
      </c>
      <c r="K1976" s="2" t="s">
        <v>9569</v>
      </c>
      <c r="L1976" s="3">
        <v>162.45</v>
      </c>
      <c r="M1976" s="3">
        <v>170.57</v>
      </c>
      <c r="N1976" s="3">
        <v>339</v>
      </c>
      <c r="O1976" s="2" t="s">
        <v>461</v>
      </c>
      <c r="P1976" s="2" t="s">
        <v>333</v>
      </c>
      <c r="Q1976" s="2" t="s">
        <v>234</v>
      </c>
      <c r="R1976" s="2" t="s">
        <v>228</v>
      </c>
      <c r="S1976" s="2" t="s">
        <v>228</v>
      </c>
      <c r="T1976" s="2" t="s">
        <v>228</v>
      </c>
      <c r="U1976" s="2" t="s">
        <v>416</v>
      </c>
      <c r="V1976" s="2" t="s">
        <v>236</v>
      </c>
      <c r="W1976" s="2" t="s">
        <v>417</v>
      </c>
      <c r="X1976" s="2" t="s">
        <v>1514</v>
      </c>
      <c r="Y1976" s="2" t="s">
        <v>1467</v>
      </c>
      <c r="Z1976" s="4">
        <v>57</v>
      </c>
      <c r="AA1976" s="4">
        <f>=ROUNDDOWN(51.8181818181818,0)</f>
      </c>
      <c r="AB1976" s="5">
        <v>1.1</v>
      </c>
      <c r="AC1976" s="2" t="s">
        <v>228</v>
      </c>
      <c r="AD1976" s="4"/>
      <c r="AE1976" s="4"/>
      <c r="AF1976" s="6">
        <v>65</v>
      </c>
      <c r="AG1976" s="6"/>
      <c r="AH1976" s="7">
        <v>1</v>
      </c>
      <c r="AI1976" s="4"/>
      <c r="AJ1976" s="4">
        <f>=ROUNDDOWN({0},0)</f>
      </c>
      <c r="AK1976" s="5"/>
      <c r="AL1976" s="2" t="s">
        <v>228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/>
      <c r="AW1976" s="8"/>
      <c r="AX1976" s="4"/>
      <c r="AY1976" s="8"/>
      <c r="AZ1976" s="7"/>
      <c r="BA1976" s="7"/>
      <c r="BB1976" s="7"/>
      <c r="BC1976" s="4"/>
      <c r="BD1976" s="8"/>
      <c r="BE1976" s="4"/>
      <c r="BF1976" s="8"/>
      <c r="BG1976" s="7"/>
      <c r="BH1976" s="7"/>
      <c r="BI1976" s="7"/>
      <c r="BJ1976" s="4">
        <v>3</v>
      </c>
      <c r="BK1976" s="8">
        <v>452.35</v>
      </c>
      <c r="BL1976" s="2" t="s">
        <v>2018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9570</v>
      </c>
      <c r="BV1976" s="2" t="s">
        <v>228</v>
      </c>
      <c r="BW1976" s="2" t="s">
        <v>228</v>
      </c>
      <c r="BX1976" s="2" t="s">
        <v>337</v>
      </c>
      <c r="BY1976" s="2" t="s">
        <v>274</v>
      </c>
      <c r="BZ1976" s="2" t="s">
        <v>240</v>
      </c>
      <c r="CA1976" s="2" t="s">
        <v>3683</v>
      </c>
      <c r="CB1976" s="2" t="s">
        <v>6911</v>
      </c>
      <c r="CC1976" s="2" t="s">
        <v>241</v>
      </c>
      <c r="CD1976" s="2" t="s">
        <v>228</v>
      </c>
      <c r="CE1976" s="4"/>
      <c r="CF1976" s="4">
        <v>57</v>
      </c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4"/>
      <c r="CX1976" s="4"/>
      <c r="CY1976" s="4"/>
      <c r="CZ1976" s="4"/>
      <c r="DA1976" s="4"/>
      <c r="DB1976" s="4"/>
      <c r="DC1976" s="4"/>
      <c r="DD1976" s="4"/>
      <c r="DE1976" s="4"/>
      <c r="DF1976" s="4"/>
      <c r="DG1976" s="4"/>
      <c r="DH1976" s="4"/>
      <c r="DI1976" s="4"/>
      <c r="DJ1976" s="4"/>
      <c r="DK1976" s="4"/>
      <c r="DL1976" s="4"/>
      <c r="DM1976" s="4"/>
      <c r="DN1976" s="4"/>
      <c r="DO1976" s="4"/>
      <c r="DP1976" s="4"/>
      <c r="DQ1976" s="4"/>
      <c r="DR1976" s="4"/>
      <c r="DS1976" s="4"/>
      <c r="DT1976" s="4"/>
      <c r="DU1976" s="4"/>
      <c r="DV1976" s="4"/>
      <c r="DW1976" s="4"/>
      <c r="DX1976" s="4"/>
      <c r="DY1976" s="4"/>
      <c r="DZ1976" s="4"/>
      <c r="EA1976" s="4"/>
      <c r="EB1976" s="4"/>
      <c r="EC1976" s="4"/>
      <c r="ED1976" s="4"/>
      <c r="EE1976" s="4"/>
      <c r="EF1976" s="4"/>
      <c r="EG1976" s="4"/>
      <c r="EH1976" s="4"/>
      <c r="EI1976" s="4"/>
      <c r="EJ1976" s="4"/>
      <c r="EK1976" s="4"/>
      <c r="EL1976" s="4"/>
      <c r="EM1976" s="4"/>
      <c r="EN1976" s="4"/>
      <c r="EO1976" s="4"/>
      <c r="EP1976" s="4"/>
      <c r="EQ1976" s="4"/>
      <c r="ER1976" s="4"/>
      <c r="ES1976" s="4"/>
      <c r="ET1976" s="4"/>
      <c r="EU1976" s="4"/>
      <c r="EV1976" s="4"/>
      <c r="EW1976" s="4"/>
      <c r="EX1976" s="4"/>
      <c r="EY1976" s="4"/>
      <c r="EZ1976" s="4"/>
      <c r="FA1976" s="4"/>
      <c r="FB1976" s="4"/>
      <c r="FC1976" s="4"/>
      <c r="FD1976" s="4"/>
      <c r="FE1976" s="4"/>
      <c r="FF1976" s="4"/>
      <c r="FG1976" s="4"/>
      <c r="FH1976" s="4"/>
      <c r="FI1976" s="4"/>
      <c r="FJ1976" s="4"/>
      <c r="FK1976" s="4"/>
      <c r="FL1976" s="4"/>
      <c r="FM1976" s="4"/>
      <c r="FN1976" s="4"/>
      <c r="FO1976" s="4"/>
      <c r="FP1976" s="4"/>
      <c r="FQ1976" s="4"/>
      <c r="FR1976" s="4"/>
      <c r="FS1976" s="4"/>
      <c r="FT1976" s="4"/>
      <c r="FU1976" s="4"/>
      <c r="FV1976" s="4"/>
      <c r="FW1976" s="4"/>
      <c r="FX1976" s="4"/>
      <c r="FY1976" s="4"/>
      <c r="FZ1976" s="4"/>
      <c r="GA1976" s="4"/>
      <c r="GB1976" s="4"/>
      <c r="GC1976" s="4"/>
      <c r="GD1976" s="4"/>
      <c r="GE1976" s="4"/>
      <c r="GF1976" s="4"/>
      <c r="GG1976" s="4"/>
      <c r="GH1976" s="4"/>
      <c r="GI1976" s="4"/>
      <c r="GJ1976" s="4"/>
      <c r="GK1976" s="4"/>
      <c r="GL1976" s="4"/>
      <c r="GM1976" s="4"/>
      <c r="GN1976" s="4"/>
      <c r="GO1976" s="4"/>
      <c r="GP1976" s="4"/>
      <c r="GQ1976" s="4"/>
      <c r="GR1976" s="4"/>
      <c r="GS1976" s="4"/>
      <c r="GT1976" s="4"/>
      <c r="GU1976" s="4"/>
      <c r="GV1976" s="4"/>
      <c r="GW1976" s="4"/>
      <c r="GX1976" s="4"/>
      <c r="GY1976" s="4"/>
      <c r="GZ1976" s="4"/>
      <c r="HA1976" s="4"/>
      <c r="HB1976" s="4"/>
      <c r="HC1976" s="4"/>
      <c r="HD1976" s="4"/>
      <c r="HE1976" s="4"/>
    </row>
    <row r="1977">
      <c r="A1977" s="2" t="s">
        <v>9571</v>
      </c>
      <c r="B1977" s="2" t="s">
        <v>848</v>
      </c>
      <c r="C1977" s="2" t="s">
        <v>849</v>
      </c>
      <c r="D1977" s="2" t="s">
        <v>1112</v>
      </c>
      <c r="E1977" s="2" t="s">
        <v>1113</v>
      </c>
      <c r="F1977" s="2" t="s">
        <v>1050</v>
      </c>
      <c r="G1977" s="2" t="s">
        <v>9572</v>
      </c>
      <c r="H1977" s="2" t="s">
        <v>9573</v>
      </c>
      <c r="I1977" s="2" t="s">
        <v>9574</v>
      </c>
      <c r="J1977" s="2" t="s">
        <v>856</v>
      </c>
      <c r="K1977" s="2" t="s">
        <v>305</v>
      </c>
      <c r="L1977" s="3">
        <v>23.8</v>
      </c>
      <c r="M1977" s="3">
        <v>24.99</v>
      </c>
      <c r="N1977" s="3">
        <v>49.99</v>
      </c>
      <c r="O1977" s="2" t="s">
        <v>240</v>
      </c>
      <c r="P1977" s="2" t="s">
        <v>233</v>
      </c>
      <c r="Q1977" s="2" t="s">
        <v>234</v>
      </c>
      <c r="R1977" s="2" t="s">
        <v>228</v>
      </c>
      <c r="S1977" s="2" t="s">
        <v>9575</v>
      </c>
      <c r="T1977" s="2" t="s">
        <v>415</v>
      </c>
      <c r="U1977" s="2" t="s">
        <v>520</v>
      </c>
      <c r="V1977" s="2" t="s">
        <v>236</v>
      </c>
      <c r="W1977" s="2" t="s">
        <v>417</v>
      </c>
      <c r="X1977" s="2" t="s">
        <v>269</v>
      </c>
      <c r="Y1977" s="2" t="s">
        <v>2169</v>
      </c>
      <c r="Z1977" s="4">
        <v>514</v>
      </c>
      <c r="AA1977" s="4">
        <f>=ROUNDDOWN(102.8,0)</f>
      </c>
      <c r="AB1977" s="5">
        <v>5</v>
      </c>
      <c r="AC1977" s="2" t="s">
        <v>228</v>
      </c>
      <c r="AD1977" s="4"/>
      <c r="AE1977" s="4"/>
      <c r="AF1977" s="6">
        <v>64</v>
      </c>
      <c r="AG1977" s="6"/>
      <c r="AH1977" s="7">
        <v>1</v>
      </c>
      <c r="AI1977" s="4"/>
      <c r="AJ1977" s="4">
        <f>=ROUNDDOWN({0},0)</f>
      </c>
      <c r="AK1977" s="5"/>
      <c r="AL1977" s="2" t="s">
        <v>228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/>
      <c r="AW1977" s="8"/>
      <c r="AX1977" s="4"/>
      <c r="AY1977" s="8"/>
      <c r="AZ1977" s="7"/>
      <c r="BA1977" s="7"/>
      <c r="BB1977" s="7"/>
      <c r="BC1977" s="4" t="s">
        <v>228</v>
      </c>
      <c r="BD1977" s="8" t="s">
        <v>228</v>
      </c>
      <c r="BE1977" s="4" t="s">
        <v>228</v>
      </c>
      <c r="BF1977" s="8" t="s">
        <v>228</v>
      </c>
      <c r="BG1977" s="7" t="s">
        <v>228</v>
      </c>
      <c r="BH1977" s="7" t="s">
        <v>228</v>
      </c>
      <c r="BI1977" s="7"/>
      <c r="BJ1977" s="4">
        <v>31</v>
      </c>
      <c r="BK1977" s="8">
        <v>835.96</v>
      </c>
      <c r="BL1977" s="2" t="s">
        <v>3816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9576</v>
      </c>
      <c r="BV1977" s="2" t="s">
        <v>228</v>
      </c>
      <c r="BW1977" s="2" t="s">
        <v>228</v>
      </c>
      <c r="BX1977" s="2" t="s">
        <v>273</v>
      </c>
      <c r="BY1977" s="2" t="s">
        <v>274</v>
      </c>
      <c r="BZ1977" s="2" t="s">
        <v>240</v>
      </c>
      <c r="CA1977" s="2" t="s">
        <v>6465</v>
      </c>
      <c r="CB1977" s="2" t="s">
        <v>4688</v>
      </c>
      <c r="CC1977" s="2" t="s">
        <v>241</v>
      </c>
      <c r="CD1977" s="2" t="s">
        <v>228</v>
      </c>
      <c r="CE1977" s="4">
        <v>290</v>
      </c>
      <c r="CF1977" s="4"/>
      <c r="CG1977" s="4"/>
      <c r="CH1977" s="4">
        <v>224</v>
      </c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/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  <c r="DL1977" s="4"/>
      <c r="DM1977" s="4"/>
      <c r="DN1977" s="4"/>
      <c r="DO1977" s="4"/>
      <c r="DP1977" s="4"/>
      <c r="DQ1977" s="4"/>
      <c r="DR1977" s="4"/>
      <c r="DS1977" s="4"/>
      <c r="DT1977" s="4"/>
      <c r="DU1977" s="4"/>
      <c r="DV1977" s="4"/>
      <c r="DW1977" s="4"/>
      <c r="DX1977" s="4"/>
      <c r="DY1977" s="4"/>
      <c r="DZ1977" s="4"/>
      <c r="EA1977" s="4"/>
      <c r="EB1977" s="4"/>
      <c r="EC1977" s="4"/>
      <c r="ED1977" s="4"/>
      <c r="EE1977" s="4"/>
      <c r="EF1977" s="4"/>
      <c r="EG1977" s="4"/>
      <c r="EH1977" s="4"/>
      <c r="EI1977" s="4"/>
      <c r="EJ1977" s="4"/>
      <c r="EK1977" s="4"/>
      <c r="EL1977" s="4"/>
      <c r="EM1977" s="4"/>
      <c r="EN1977" s="4"/>
      <c r="EO1977" s="4"/>
      <c r="EP1977" s="4"/>
      <c r="EQ1977" s="4"/>
      <c r="ER1977" s="4"/>
      <c r="ES1977" s="4"/>
      <c r="ET1977" s="4"/>
      <c r="EU1977" s="4"/>
      <c r="EV1977" s="4"/>
      <c r="EW1977" s="4"/>
      <c r="EX1977" s="4"/>
      <c r="EY1977" s="4"/>
      <c r="EZ1977" s="4"/>
      <c r="FA1977" s="4"/>
      <c r="FB1977" s="4"/>
      <c r="FC1977" s="4"/>
      <c r="FD1977" s="4"/>
      <c r="FE1977" s="4"/>
      <c r="FF1977" s="4"/>
      <c r="FG1977" s="4"/>
      <c r="FH1977" s="4"/>
      <c r="FI1977" s="4"/>
      <c r="FJ1977" s="4"/>
      <c r="FK1977" s="4"/>
      <c r="FL1977" s="4"/>
      <c r="FM1977" s="4"/>
      <c r="FN1977" s="4"/>
      <c r="FO1977" s="4"/>
      <c r="FP1977" s="4"/>
      <c r="FQ1977" s="4"/>
      <c r="FR1977" s="4"/>
      <c r="FS1977" s="4"/>
      <c r="FT1977" s="4"/>
      <c r="FU1977" s="4"/>
      <c r="FV1977" s="4"/>
      <c r="FW1977" s="4"/>
      <c r="FX1977" s="4"/>
      <c r="FY1977" s="4"/>
      <c r="FZ1977" s="4"/>
      <c r="GA1977" s="4"/>
      <c r="GB1977" s="4"/>
      <c r="GC1977" s="4"/>
      <c r="GD1977" s="4"/>
      <c r="GE1977" s="4"/>
      <c r="GF1977" s="4"/>
      <c r="GG1977" s="4"/>
      <c r="GH1977" s="4"/>
      <c r="GI1977" s="4"/>
      <c r="GJ1977" s="4"/>
      <c r="GK1977" s="4"/>
      <c r="GL1977" s="4"/>
      <c r="GM1977" s="4"/>
      <c r="GN1977" s="4"/>
      <c r="GO1977" s="4"/>
      <c r="GP1977" s="4"/>
      <c r="GQ1977" s="4"/>
      <c r="GR1977" s="4"/>
      <c r="GS1977" s="4"/>
      <c r="GT1977" s="4"/>
      <c r="GU1977" s="4"/>
      <c r="GV1977" s="4"/>
      <c r="GW1977" s="4"/>
      <c r="GX1977" s="4"/>
      <c r="GY1977" s="4"/>
      <c r="GZ1977" s="4"/>
      <c r="HA1977" s="4"/>
      <c r="HB1977" s="4"/>
      <c r="HC1977" s="4"/>
      <c r="HD1977" s="4"/>
      <c r="HE1977" s="4"/>
    </row>
    <row r="1978">
      <c r="A1978" s="2" t="s">
        <v>9577</v>
      </c>
      <c r="B1978" s="2" t="s">
        <v>848</v>
      </c>
      <c r="C1978" s="2" t="s">
        <v>849</v>
      </c>
      <c r="D1978" s="2" t="s">
        <v>1112</v>
      </c>
      <c r="E1978" s="2" t="s">
        <v>1113</v>
      </c>
      <c r="F1978" s="2" t="s">
        <v>1050</v>
      </c>
      <c r="G1978" s="2" t="s">
        <v>9572</v>
      </c>
      <c r="H1978" s="2" t="s">
        <v>9573</v>
      </c>
      <c r="I1978" s="2" t="s">
        <v>9574</v>
      </c>
      <c r="J1978" s="2" t="s">
        <v>856</v>
      </c>
      <c r="K1978" s="2" t="s">
        <v>231</v>
      </c>
      <c r="L1978" s="3">
        <v>23.8</v>
      </c>
      <c r="M1978" s="3">
        <v>24.99</v>
      </c>
      <c r="N1978" s="3">
        <v>49.99</v>
      </c>
      <c r="O1978" s="2" t="s">
        <v>240</v>
      </c>
      <c r="P1978" s="2" t="s">
        <v>233</v>
      </c>
      <c r="Q1978" s="2" t="s">
        <v>234</v>
      </c>
      <c r="R1978" s="2" t="s">
        <v>228</v>
      </c>
      <c r="S1978" s="2" t="s">
        <v>9578</v>
      </c>
      <c r="T1978" s="2" t="s">
        <v>415</v>
      </c>
      <c r="U1978" s="2" t="s">
        <v>520</v>
      </c>
      <c r="V1978" s="2" t="s">
        <v>236</v>
      </c>
      <c r="W1978" s="2" t="s">
        <v>417</v>
      </c>
      <c r="X1978" s="2" t="s">
        <v>269</v>
      </c>
      <c r="Y1978" s="2" t="s">
        <v>2169</v>
      </c>
      <c r="Z1978" s="4">
        <v>540</v>
      </c>
      <c r="AA1978" s="4">
        <f>=ROUNDDOWN(135,0)</f>
      </c>
      <c r="AB1978" s="5">
        <v>4</v>
      </c>
      <c r="AC1978" s="2" t="s">
        <v>228</v>
      </c>
      <c r="AD1978" s="4"/>
      <c r="AE1978" s="4"/>
      <c r="AF1978" s="6">
        <v>64</v>
      </c>
      <c r="AG1978" s="6"/>
      <c r="AH1978" s="7">
        <v>1</v>
      </c>
      <c r="AI1978" s="4"/>
      <c r="AJ1978" s="4">
        <f>=ROUNDDOWN({0},0)</f>
      </c>
      <c r="AK1978" s="5"/>
      <c r="AL1978" s="2" t="s">
        <v>228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 t="s">
        <v>228</v>
      </c>
      <c r="AW1978" s="8" t="s">
        <v>228</v>
      </c>
      <c r="AX1978" s="4" t="s">
        <v>228</v>
      </c>
      <c r="AY1978" s="8" t="s">
        <v>228</v>
      </c>
      <c r="AZ1978" s="7" t="s">
        <v>228</v>
      </c>
      <c r="BA1978" s="7" t="s">
        <v>228</v>
      </c>
      <c r="BB1978" s="7"/>
      <c r="BC1978" s="4" t="s">
        <v>228</v>
      </c>
      <c r="BD1978" s="8" t="s">
        <v>228</v>
      </c>
      <c r="BE1978" s="4" t="s">
        <v>228</v>
      </c>
      <c r="BF1978" s="8" t="s">
        <v>228</v>
      </c>
      <c r="BG1978" s="7" t="s">
        <v>228</v>
      </c>
      <c r="BH1978" s="7" t="s">
        <v>228</v>
      </c>
      <c r="BI1978" s="7"/>
      <c r="BJ1978" s="4">
        <v>12</v>
      </c>
      <c r="BK1978" s="8">
        <v>323.52</v>
      </c>
      <c r="BL1978" s="2" t="s">
        <v>3165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9579</v>
      </c>
      <c r="BV1978" s="2" t="s">
        <v>228</v>
      </c>
      <c r="BW1978" s="2" t="s">
        <v>228</v>
      </c>
      <c r="BX1978" s="2" t="s">
        <v>273</v>
      </c>
      <c r="BY1978" s="2" t="s">
        <v>274</v>
      </c>
      <c r="BZ1978" s="2" t="s">
        <v>240</v>
      </c>
      <c r="CA1978" s="2" t="s">
        <v>6465</v>
      </c>
      <c r="CB1978" s="2" t="s">
        <v>2113</v>
      </c>
      <c r="CC1978" s="2" t="s">
        <v>241</v>
      </c>
      <c r="CD1978" s="2" t="s">
        <v>228</v>
      </c>
      <c r="CE1978" s="4">
        <v>295</v>
      </c>
      <c r="CF1978" s="4"/>
      <c r="CG1978" s="4"/>
      <c r="CH1978" s="4">
        <v>245</v>
      </c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  <c r="CW1978" s="4"/>
      <c r="CX1978" s="4"/>
      <c r="CY1978" s="4"/>
      <c r="CZ1978" s="4"/>
      <c r="DA1978" s="4"/>
      <c r="DB1978" s="4"/>
      <c r="DC1978" s="4"/>
      <c r="DD1978" s="4"/>
      <c r="DE1978" s="4"/>
      <c r="DF1978" s="4"/>
      <c r="DG1978" s="4"/>
      <c r="DH1978" s="4"/>
      <c r="DI1978" s="4"/>
      <c r="DJ1978" s="4"/>
      <c r="DK1978" s="4"/>
      <c r="DL1978" s="4"/>
      <c r="DM1978" s="4"/>
      <c r="DN1978" s="4"/>
      <c r="DO1978" s="4"/>
      <c r="DP1978" s="4"/>
      <c r="DQ1978" s="4"/>
      <c r="DR1978" s="4"/>
      <c r="DS1978" s="4"/>
      <c r="DT1978" s="4"/>
      <c r="DU1978" s="4"/>
      <c r="DV1978" s="4"/>
      <c r="DW1978" s="4"/>
      <c r="DX1978" s="4"/>
      <c r="DY1978" s="4"/>
      <c r="DZ1978" s="4"/>
      <c r="EA1978" s="4"/>
      <c r="EB1978" s="4"/>
      <c r="EC1978" s="4"/>
      <c r="ED1978" s="4"/>
      <c r="EE1978" s="4"/>
      <c r="EF1978" s="4"/>
      <c r="EG1978" s="4"/>
      <c r="EH1978" s="4"/>
      <c r="EI1978" s="4"/>
      <c r="EJ1978" s="4"/>
      <c r="EK1978" s="4"/>
      <c r="EL1978" s="4"/>
      <c r="EM1978" s="4"/>
      <c r="EN1978" s="4"/>
      <c r="EO1978" s="4"/>
      <c r="EP1978" s="4"/>
      <c r="EQ1978" s="4"/>
      <c r="ER1978" s="4"/>
      <c r="ES1978" s="4"/>
      <c r="ET1978" s="4"/>
      <c r="EU1978" s="4"/>
      <c r="EV1978" s="4"/>
      <c r="EW1978" s="4"/>
      <c r="EX1978" s="4"/>
      <c r="EY1978" s="4"/>
      <c r="EZ1978" s="4"/>
      <c r="FA1978" s="4"/>
      <c r="FB1978" s="4"/>
      <c r="FC1978" s="4"/>
      <c r="FD1978" s="4"/>
      <c r="FE1978" s="4"/>
      <c r="FF1978" s="4"/>
      <c r="FG1978" s="4"/>
      <c r="FH1978" s="4"/>
      <c r="FI1978" s="4"/>
      <c r="FJ1978" s="4"/>
      <c r="FK1978" s="4"/>
      <c r="FL1978" s="4"/>
      <c r="FM1978" s="4"/>
      <c r="FN1978" s="4"/>
      <c r="FO1978" s="4"/>
      <c r="FP1978" s="4"/>
      <c r="FQ1978" s="4"/>
      <c r="FR1978" s="4"/>
      <c r="FS1978" s="4"/>
      <c r="FT1978" s="4"/>
      <c r="FU1978" s="4"/>
      <c r="FV1978" s="4"/>
      <c r="FW1978" s="4"/>
      <c r="FX1978" s="4"/>
      <c r="FY1978" s="4"/>
      <c r="FZ1978" s="4"/>
      <c r="GA1978" s="4"/>
      <c r="GB1978" s="4"/>
      <c r="GC1978" s="4"/>
      <c r="GD1978" s="4"/>
      <c r="GE1978" s="4"/>
      <c r="GF1978" s="4"/>
      <c r="GG1978" s="4"/>
      <c r="GH1978" s="4"/>
      <c r="GI1978" s="4"/>
      <c r="GJ1978" s="4"/>
      <c r="GK1978" s="4"/>
      <c r="GL1978" s="4"/>
      <c r="GM1978" s="4"/>
      <c r="GN1978" s="4"/>
      <c r="GO1978" s="4"/>
      <c r="GP1978" s="4"/>
      <c r="GQ1978" s="4"/>
      <c r="GR1978" s="4"/>
      <c r="GS1978" s="4"/>
      <c r="GT1978" s="4"/>
      <c r="GU1978" s="4"/>
      <c r="GV1978" s="4"/>
      <c r="GW1978" s="4"/>
      <c r="GX1978" s="4"/>
      <c r="GY1978" s="4"/>
      <c r="GZ1978" s="4"/>
      <c r="HA1978" s="4"/>
      <c r="HB1978" s="4"/>
      <c r="HC1978" s="4"/>
      <c r="HD1978" s="4"/>
      <c r="HE1978" s="4"/>
    </row>
    <row r="1979">
      <c r="A1979" s="2" t="s">
        <v>9580</v>
      </c>
      <c r="B1979" s="2" t="s">
        <v>848</v>
      </c>
      <c r="C1979" s="2" t="s">
        <v>849</v>
      </c>
      <c r="D1979" s="2" t="s">
        <v>1112</v>
      </c>
      <c r="E1979" s="2" t="s">
        <v>1113</v>
      </c>
      <c r="F1979" s="2" t="s">
        <v>1050</v>
      </c>
      <c r="G1979" s="2" t="s">
        <v>9572</v>
      </c>
      <c r="H1979" s="2" t="s">
        <v>9573</v>
      </c>
      <c r="I1979" s="2" t="s">
        <v>9574</v>
      </c>
      <c r="J1979" s="2" t="s">
        <v>1189</v>
      </c>
      <c r="K1979" s="2" t="s">
        <v>231</v>
      </c>
      <c r="L1979" s="3">
        <v>28.57</v>
      </c>
      <c r="M1979" s="3">
        <v>30</v>
      </c>
      <c r="N1979" s="3">
        <v>59.99</v>
      </c>
      <c r="O1979" s="2" t="s">
        <v>240</v>
      </c>
      <c r="P1979" s="2" t="s">
        <v>233</v>
      </c>
      <c r="Q1979" s="2" t="s">
        <v>234</v>
      </c>
      <c r="R1979" s="2" t="s">
        <v>228</v>
      </c>
      <c r="S1979" s="2" t="s">
        <v>9578</v>
      </c>
      <c r="T1979" s="2" t="s">
        <v>415</v>
      </c>
      <c r="U1979" s="2" t="s">
        <v>500</v>
      </c>
      <c r="V1979" s="2" t="s">
        <v>236</v>
      </c>
      <c r="W1979" s="2" t="s">
        <v>417</v>
      </c>
      <c r="X1979" s="2" t="s">
        <v>269</v>
      </c>
      <c r="Y1979" s="2" t="s">
        <v>9581</v>
      </c>
      <c r="Z1979" s="4">
        <v>830</v>
      </c>
      <c r="AA1979" s="4">
        <f>=ROUNDDOWN(118.571428571429,0)</f>
      </c>
      <c r="AB1979" s="5">
        <v>7</v>
      </c>
      <c r="AC1979" s="2" t="s">
        <v>228</v>
      </c>
      <c r="AD1979" s="4"/>
      <c r="AE1979" s="4"/>
      <c r="AF1979" s="6">
        <v>64</v>
      </c>
      <c r="AG1979" s="6"/>
      <c r="AH1979" s="7">
        <v>1</v>
      </c>
      <c r="AI1979" s="4"/>
      <c r="AJ1979" s="4">
        <f>=ROUNDDOWN({0},0)</f>
      </c>
      <c r="AK1979" s="5"/>
      <c r="AL1979" s="2" t="s">
        <v>228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 t="s">
        <v>228</v>
      </c>
      <c r="AW1979" s="8" t="s">
        <v>228</v>
      </c>
      <c r="AX1979" s="4" t="s">
        <v>228</v>
      </c>
      <c r="AY1979" s="8" t="s">
        <v>228</v>
      </c>
      <c r="AZ1979" s="7" t="s">
        <v>228</v>
      </c>
      <c r="BA1979" s="7" t="s">
        <v>228</v>
      </c>
      <c r="BB1979" s="7"/>
      <c r="BC1979" s="4" t="s">
        <v>228</v>
      </c>
      <c r="BD1979" s="8" t="s">
        <v>228</v>
      </c>
      <c r="BE1979" s="4" t="s">
        <v>228</v>
      </c>
      <c r="BF1979" s="8" t="s">
        <v>228</v>
      </c>
      <c r="BG1979" s="7" t="s">
        <v>228</v>
      </c>
      <c r="BH1979" s="7" t="s">
        <v>228</v>
      </c>
      <c r="BI1979" s="7"/>
      <c r="BJ1979" s="4">
        <v>23</v>
      </c>
      <c r="BK1979" s="8">
        <v>740.7</v>
      </c>
      <c r="BL1979" s="2" t="s">
        <v>509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9582</v>
      </c>
      <c r="BV1979" s="2" t="s">
        <v>228</v>
      </c>
      <c r="BW1979" s="2" t="s">
        <v>228</v>
      </c>
      <c r="BX1979" s="2" t="s">
        <v>273</v>
      </c>
      <c r="BY1979" s="2" t="s">
        <v>274</v>
      </c>
      <c r="BZ1979" s="2" t="s">
        <v>240</v>
      </c>
      <c r="CA1979" s="2" t="s">
        <v>6465</v>
      </c>
      <c r="CB1979" s="2" t="s">
        <v>228</v>
      </c>
      <c r="CC1979" s="2" t="s">
        <v>241</v>
      </c>
      <c r="CD1979" s="2" t="s">
        <v>228</v>
      </c>
      <c r="CE1979" s="4">
        <v>487</v>
      </c>
      <c r="CF1979" s="4"/>
      <c r="CG1979" s="4"/>
      <c r="CH1979" s="4">
        <v>343</v>
      </c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4"/>
      <c r="CX1979" s="4"/>
      <c r="CY1979" s="4"/>
      <c r="CZ1979" s="4"/>
      <c r="DA1979" s="4"/>
      <c r="DB1979" s="4"/>
      <c r="DC1979" s="4"/>
      <c r="DD1979" s="4"/>
      <c r="DE1979" s="4"/>
      <c r="DF1979" s="4"/>
      <c r="DG1979" s="4"/>
      <c r="DH1979" s="4"/>
      <c r="DI1979" s="4"/>
      <c r="DJ1979" s="4"/>
      <c r="DK1979" s="4"/>
      <c r="DL1979" s="4"/>
      <c r="DM1979" s="4"/>
      <c r="DN1979" s="4"/>
      <c r="DO1979" s="4"/>
      <c r="DP1979" s="4"/>
      <c r="DQ1979" s="4"/>
      <c r="DR1979" s="4"/>
      <c r="DS1979" s="4"/>
      <c r="DT1979" s="4"/>
      <c r="DU1979" s="4"/>
      <c r="DV1979" s="4"/>
      <c r="DW1979" s="4"/>
      <c r="DX1979" s="4"/>
      <c r="DY1979" s="4"/>
      <c r="DZ1979" s="4"/>
      <c r="EA1979" s="4"/>
      <c r="EB1979" s="4"/>
      <c r="EC1979" s="4"/>
      <c r="ED1979" s="4"/>
      <c r="EE1979" s="4"/>
      <c r="EF1979" s="4"/>
      <c r="EG1979" s="4"/>
      <c r="EH1979" s="4"/>
      <c r="EI1979" s="4"/>
      <c r="EJ1979" s="4"/>
      <c r="EK1979" s="4"/>
      <c r="EL1979" s="4"/>
      <c r="EM1979" s="4"/>
      <c r="EN1979" s="4"/>
      <c r="EO1979" s="4"/>
      <c r="EP1979" s="4"/>
      <c r="EQ1979" s="4"/>
      <c r="ER1979" s="4"/>
      <c r="ES1979" s="4"/>
      <c r="ET1979" s="4"/>
      <c r="EU1979" s="4"/>
      <c r="EV1979" s="4"/>
      <c r="EW1979" s="4"/>
      <c r="EX1979" s="4"/>
      <c r="EY1979" s="4"/>
      <c r="EZ1979" s="4"/>
      <c r="FA1979" s="4"/>
      <c r="FB1979" s="4"/>
      <c r="FC1979" s="4"/>
      <c r="FD1979" s="4"/>
      <c r="FE1979" s="4"/>
      <c r="FF1979" s="4"/>
      <c r="FG1979" s="4"/>
      <c r="FH1979" s="4"/>
      <c r="FI1979" s="4"/>
      <c r="FJ1979" s="4"/>
      <c r="FK1979" s="4"/>
      <c r="FL1979" s="4"/>
      <c r="FM1979" s="4"/>
      <c r="FN1979" s="4"/>
      <c r="FO1979" s="4"/>
      <c r="FP1979" s="4"/>
      <c r="FQ1979" s="4"/>
      <c r="FR1979" s="4"/>
      <c r="FS1979" s="4"/>
      <c r="FT1979" s="4"/>
      <c r="FU1979" s="4"/>
      <c r="FV1979" s="4"/>
      <c r="FW1979" s="4"/>
      <c r="FX1979" s="4"/>
      <c r="FY1979" s="4"/>
      <c r="FZ1979" s="4"/>
      <c r="GA1979" s="4"/>
      <c r="GB1979" s="4"/>
      <c r="GC1979" s="4"/>
      <c r="GD1979" s="4"/>
      <c r="GE1979" s="4"/>
      <c r="GF1979" s="4"/>
      <c r="GG1979" s="4"/>
      <c r="GH1979" s="4"/>
      <c r="GI1979" s="4"/>
      <c r="GJ1979" s="4"/>
      <c r="GK1979" s="4"/>
      <c r="GL1979" s="4"/>
      <c r="GM1979" s="4"/>
      <c r="GN1979" s="4"/>
      <c r="GO1979" s="4"/>
      <c r="GP1979" s="4"/>
      <c r="GQ1979" s="4"/>
      <c r="GR1979" s="4"/>
      <c r="GS1979" s="4"/>
      <c r="GT1979" s="4"/>
      <c r="GU1979" s="4"/>
      <c r="GV1979" s="4"/>
      <c r="GW1979" s="4"/>
      <c r="GX1979" s="4"/>
      <c r="GY1979" s="4"/>
      <c r="GZ1979" s="4"/>
      <c r="HA1979" s="4"/>
      <c r="HB1979" s="4"/>
      <c r="HC1979" s="4"/>
      <c r="HD1979" s="4"/>
      <c r="HE1979" s="4"/>
    </row>
    <row r="1980">
      <c r="A1980" s="2" t="s">
        <v>9583</v>
      </c>
      <c r="B1980" s="2" t="s">
        <v>848</v>
      </c>
      <c r="C1980" s="2" t="s">
        <v>849</v>
      </c>
      <c r="D1980" s="2" t="s">
        <v>1112</v>
      </c>
      <c r="E1980" s="2" t="s">
        <v>1113</v>
      </c>
      <c r="F1980" s="2" t="s">
        <v>1050</v>
      </c>
      <c r="G1980" s="2" t="s">
        <v>9572</v>
      </c>
      <c r="H1980" s="2" t="s">
        <v>9573</v>
      </c>
      <c r="I1980" s="2" t="s">
        <v>9574</v>
      </c>
      <c r="J1980" s="2" t="s">
        <v>1189</v>
      </c>
      <c r="K1980" s="2" t="s">
        <v>251</v>
      </c>
      <c r="L1980" s="3">
        <v>28.57</v>
      </c>
      <c r="M1980" s="3">
        <v>30</v>
      </c>
      <c r="N1980" s="3">
        <v>59.99</v>
      </c>
      <c r="O1980" s="2" t="s">
        <v>240</v>
      </c>
      <c r="P1980" s="2" t="s">
        <v>233</v>
      </c>
      <c r="Q1980" s="2" t="s">
        <v>234</v>
      </c>
      <c r="R1980" s="2" t="s">
        <v>228</v>
      </c>
      <c r="S1980" s="2" t="s">
        <v>9584</v>
      </c>
      <c r="T1980" s="2" t="s">
        <v>415</v>
      </c>
      <c r="U1980" s="2" t="s">
        <v>500</v>
      </c>
      <c r="V1980" s="2" t="s">
        <v>236</v>
      </c>
      <c r="W1980" s="2" t="s">
        <v>417</v>
      </c>
      <c r="X1980" s="2" t="s">
        <v>269</v>
      </c>
      <c r="Y1980" s="2" t="s">
        <v>9581</v>
      </c>
      <c r="Z1980" s="4">
        <v>257</v>
      </c>
      <c r="AA1980" s="4">
        <f>=ROUNDDOWN(28.5555555555556,0)</f>
      </c>
      <c r="AB1980" s="5">
        <v>9</v>
      </c>
      <c r="AC1980" s="2" t="s">
        <v>228</v>
      </c>
      <c r="AD1980" s="4"/>
      <c r="AE1980" s="4"/>
      <c r="AF1980" s="6">
        <v>64</v>
      </c>
      <c r="AG1980" s="6"/>
      <c r="AH1980" s="7">
        <v>1</v>
      </c>
      <c r="AI1980" s="4"/>
      <c r="AJ1980" s="4">
        <f>=ROUNDDOWN({0},0)</f>
      </c>
      <c r="AK1980" s="5"/>
      <c r="AL1980" s="2" t="s">
        <v>228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/>
      <c r="AW1980" s="8"/>
      <c r="AX1980" s="4"/>
      <c r="AY1980" s="8"/>
      <c r="AZ1980" s="7"/>
      <c r="BA1980" s="7"/>
      <c r="BB1980" s="7"/>
      <c r="BC1980" s="4" t="s">
        <v>228</v>
      </c>
      <c r="BD1980" s="8" t="s">
        <v>228</v>
      </c>
      <c r="BE1980" s="4" t="s">
        <v>228</v>
      </c>
      <c r="BF1980" s="8" t="s">
        <v>228</v>
      </c>
      <c r="BG1980" s="7" t="s">
        <v>228</v>
      </c>
      <c r="BH1980" s="7" t="s">
        <v>228</v>
      </c>
      <c r="BI1980" s="7"/>
      <c r="BJ1980" s="4">
        <v>32</v>
      </c>
      <c r="BK1980" s="8">
        <v>1034.1</v>
      </c>
      <c r="BL1980" s="2" t="s">
        <v>509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9585</v>
      </c>
      <c r="BV1980" s="2" t="s">
        <v>228</v>
      </c>
      <c r="BW1980" s="2" t="s">
        <v>228</v>
      </c>
      <c r="BX1980" s="2" t="s">
        <v>273</v>
      </c>
      <c r="BY1980" s="2" t="s">
        <v>274</v>
      </c>
      <c r="BZ1980" s="2" t="s">
        <v>240</v>
      </c>
      <c r="CA1980" s="2" t="s">
        <v>6465</v>
      </c>
      <c r="CB1980" s="2" t="s">
        <v>2371</v>
      </c>
      <c r="CC1980" s="2" t="s">
        <v>241</v>
      </c>
      <c r="CD1980" s="2" t="s">
        <v>228</v>
      </c>
      <c r="CE1980" s="4">
        <v>257</v>
      </c>
      <c r="CF1980" s="4"/>
      <c r="CG1980" s="4"/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4"/>
      <c r="CS1980" s="4"/>
      <c r="CT1980" s="4"/>
      <c r="CU1980" s="4"/>
      <c r="CV1980" s="4"/>
      <c r="CW1980" s="4"/>
      <c r="CX1980" s="4"/>
      <c r="CY1980" s="4"/>
      <c r="CZ1980" s="4"/>
      <c r="DA1980" s="4"/>
      <c r="DB1980" s="4"/>
      <c r="DC1980" s="4"/>
      <c r="DD1980" s="4"/>
      <c r="DE1980" s="4"/>
      <c r="DF1980" s="4"/>
      <c r="DG1980" s="4"/>
      <c r="DH1980" s="4"/>
      <c r="DI1980" s="4"/>
      <c r="DJ1980" s="4"/>
      <c r="DK1980" s="4"/>
      <c r="DL1980" s="4"/>
      <c r="DM1980" s="4"/>
      <c r="DN1980" s="4"/>
      <c r="DO1980" s="4"/>
      <c r="DP1980" s="4"/>
      <c r="DQ1980" s="4"/>
      <c r="DR1980" s="4"/>
      <c r="DS1980" s="4"/>
      <c r="DT1980" s="4"/>
      <c r="DU1980" s="4"/>
      <c r="DV1980" s="4"/>
      <c r="DW1980" s="4"/>
      <c r="DX1980" s="4"/>
      <c r="DY1980" s="4"/>
      <c r="DZ1980" s="4"/>
      <c r="EA1980" s="4"/>
      <c r="EB1980" s="4"/>
      <c r="EC1980" s="4"/>
      <c r="ED1980" s="4"/>
      <c r="EE1980" s="4"/>
      <c r="EF1980" s="4"/>
      <c r="EG1980" s="4"/>
      <c r="EH1980" s="4"/>
      <c r="EI1980" s="4"/>
      <c r="EJ1980" s="4"/>
      <c r="EK1980" s="4"/>
      <c r="EL1980" s="4"/>
      <c r="EM1980" s="4"/>
      <c r="EN1980" s="4"/>
      <c r="EO1980" s="4"/>
      <c r="EP1980" s="4"/>
      <c r="EQ1980" s="4"/>
      <c r="ER1980" s="4"/>
      <c r="ES1980" s="4"/>
      <c r="ET1980" s="4"/>
      <c r="EU1980" s="4"/>
      <c r="EV1980" s="4"/>
      <c r="EW1980" s="4"/>
      <c r="EX1980" s="4"/>
      <c r="EY1980" s="4"/>
      <c r="EZ1980" s="4"/>
      <c r="FA1980" s="4"/>
      <c r="FB1980" s="4"/>
      <c r="FC1980" s="4"/>
      <c r="FD1980" s="4"/>
      <c r="FE1980" s="4"/>
      <c r="FF1980" s="4"/>
      <c r="FG1980" s="4"/>
      <c r="FH1980" s="4"/>
      <c r="FI1980" s="4"/>
      <c r="FJ1980" s="4"/>
      <c r="FK1980" s="4"/>
      <c r="FL1980" s="4"/>
      <c r="FM1980" s="4"/>
      <c r="FN1980" s="4"/>
      <c r="FO1980" s="4"/>
      <c r="FP1980" s="4"/>
      <c r="FQ1980" s="4"/>
      <c r="FR1980" s="4"/>
      <c r="FS1980" s="4"/>
      <c r="FT1980" s="4"/>
      <c r="FU1980" s="4"/>
      <c r="FV1980" s="4"/>
      <c r="FW1980" s="4"/>
      <c r="FX1980" s="4"/>
      <c r="FY1980" s="4"/>
      <c r="FZ1980" s="4"/>
      <c r="GA1980" s="4"/>
      <c r="GB1980" s="4"/>
      <c r="GC1980" s="4"/>
      <c r="GD1980" s="4"/>
      <c r="GE1980" s="4"/>
      <c r="GF1980" s="4"/>
      <c r="GG1980" s="4"/>
      <c r="GH1980" s="4"/>
      <c r="GI1980" s="4"/>
      <c r="GJ1980" s="4"/>
      <c r="GK1980" s="4"/>
      <c r="GL1980" s="4"/>
      <c r="GM1980" s="4"/>
      <c r="GN1980" s="4"/>
      <c r="GO1980" s="4"/>
      <c r="GP1980" s="4"/>
      <c r="GQ1980" s="4"/>
      <c r="GR1980" s="4"/>
      <c r="GS1980" s="4"/>
      <c r="GT1980" s="4"/>
      <c r="GU1980" s="4"/>
      <c r="GV1980" s="4"/>
      <c r="GW1980" s="4"/>
      <c r="GX1980" s="4"/>
      <c r="GY1980" s="4"/>
      <c r="GZ1980" s="4"/>
      <c r="HA1980" s="4"/>
      <c r="HB1980" s="4"/>
      <c r="HC1980" s="4"/>
      <c r="HD1980" s="4"/>
      <c r="HE1980" s="4"/>
    </row>
    <row r="1981">
      <c r="A1981" s="2" t="s">
        <v>9586</v>
      </c>
      <c r="B1981" s="2" t="s">
        <v>958</v>
      </c>
      <c r="C1981" s="2" t="s">
        <v>835</v>
      </c>
      <c r="D1981" s="2" t="s">
        <v>9587</v>
      </c>
      <c r="E1981" s="2" t="s">
        <v>9588</v>
      </c>
      <c r="F1981" s="2" t="s">
        <v>9589</v>
      </c>
      <c r="G1981" s="2" t="s">
        <v>228</v>
      </c>
      <c r="H1981" s="2" t="s">
        <v>228</v>
      </c>
      <c r="I1981" s="2" t="s">
        <v>9590</v>
      </c>
      <c r="J1981" s="2" t="s">
        <v>289</v>
      </c>
      <c r="K1981" s="2" t="s">
        <v>9591</v>
      </c>
      <c r="L1981" s="3">
        <v>190</v>
      </c>
      <c r="M1981" s="3">
        <v>199.5</v>
      </c>
      <c r="N1981" s="3">
        <v>399</v>
      </c>
      <c r="O1981" s="2" t="s">
        <v>491</v>
      </c>
      <c r="P1981" s="2" t="s">
        <v>333</v>
      </c>
      <c r="Q1981" s="2" t="s">
        <v>234</v>
      </c>
      <c r="R1981" s="2" t="s">
        <v>228</v>
      </c>
      <c r="S1981" s="2" t="s">
        <v>9592</v>
      </c>
      <c r="T1981" s="2" t="s">
        <v>228</v>
      </c>
      <c r="U1981" s="2" t="s">
        <v>228</v>
      </c>
      <c r="V1981" s="2" t="s">
        <v>236</v>
      </c>
      <c r="W1981" s="2" t="s">
        <v>3057</v>
      </c>
      <c r="X1981" s="2" t="s">
        <v>228</v>
      </c>
      <c r="Y1981" s="2" t="s">
        <v>270</v>
      </c>
      <c r="Z1981" s="4">
        <v>16</v>
      </c>
      <c r="AA1981" s="4">
        <f>=ROUNDDOWN(20,0)</f>
      </c>
      <c r="AB1981" s="5">
        <v>0.8</v>
      </c>
      <c r="AC1981" s="2" t="s">
        <v>228</v>
      </c>
      <c r="AD1981" s="4"/>
      <c r="AE1981" s="4"/>
      <c r="AF1981" s="6">
        <v>74</v>
      </c>
      <c r="AG1981" s="6"/>
      <c r="AH1981" s="7">
        <v>1</v>
      </c>
      <c r="AI1981" s="4"/>
      <c r="AJ1981" s="4">
        <f>=ROUNDDOWN({0},0)</f>
      </c>
      <c r="AK1981" s="5"/>
      <c r="AL1981" s="2" t="s">
        <v>228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/>
      <c r="AW1981" s="8"/>
      <c r="AX1981" s="4"/>
      <c r="AY1981" s="8"/>
      <c r="AZ1981" s="7"/>
      <c r="BA1981" s="7"/>
      <c r="BB1981" s="7"/>
      <c r="BC1981" s="4"/>
      <c r="BD1981" s="8"/>
      <c r="BE1981" s="4"/>
      <c r="BF1981" s="8"/>
      <c r="BG1981" s="7"/>
      <c r="BH1981" s="7"/>
      <c r="BI1981" s="7"/>
      <c r="BJ1981" s="4">
        <v>3</v>
      </c>
      <c r="BK1981" s="8">
        <v>389.04</v>
      </c>
      <c r="BL1981" s="2" t="s">
        <v>9593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9594</v>
      </c>
      <c r="BV1981" s="2" t="s">
        <v>228</v>
      </c>
      <c r="BW1981" s="2" t="s">
        <v>228</v>
      </c>
      <c r="BX1981" s="2" t="s">
        <v>337</v>
      </c>
      <c r="BY1981" s="2" t="s">
        <v>274</v>
      </c>
      <c r="BZ1981" s="2" t="s">
        <v>240</v>
      </c>
      <c r="CA1981" s="2" t="s">
        <v>339</v>
      </c>
      <c r="CB1981" s="2" t="s">
        <v>9595</v>
      </c>
      <c r="CC1981" s="2" t="s">
        <v>241</v>
      </c>
      <c r="CD1981" s="2" t="s">
        <v>228</v>
      </c>
      <c r="CE1981" s="4"/>
      <c r="CF1981" s="4">
        <v>16</v>
      </c>
      <c r="CG1981" s="4"/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4"/>
      <c r="CT1981" s="4"/>
      <c r="CU1981" s="4"/>
      <c r="CV1981" s="4"/>
      <c r="CW1981" s="4"/>
      <c r="CX1981" s="4"/>
      <c r="CY1981" s="4"/>
      <c r="CZ1981" s="4"/>
      <c r="DA1981" s="4"/>
      <c r="DB1981" s="4"/>
      <c r="DC1981" s="4"/>
      <c r="DD1981" s="4"/>
      <c r="DE1981" s="4"/>
      <c r="DF1981" s="4"/>
      <c r="DG1981" s="4"/>
      <c r="DH1981" s="4"/>
      <c r="DI1981" s="4"/>
      <c r="DJ1981" s="4"/>
      <c r="DK1981" s="4"/>
      <c r="DL1981" s="4"/>
      <c r="DM1981" s="4"/>
      <c r="DN1981" s="4"/>
      <c r="DO1981" s="4"/>
      <c r="DP1981" s="4"/>
      <c r="DQ1981" s="4"/>
      <c r="DR1981" s="4"/>
      <c r="DS1981" s="4"/>
      <c r="DT1981" s="4"/>
      <c r="DU1981" s="4"/>
      <c r="DV1981" s="4"/>
      <c r="DW1981" s="4"/>
      <c r="DX1981" s="4"/>
      <c r="DY1981" s="4"/>
      <c r="DZ1981" s="4"/>
      <c r="EA1981" s="4"/>
      <c r="EB1981" s="4"/>
      <c r="EC1981" s="4"/>
      <c r="ED1981" s="4"/>
      <c r="EE1981" s="4"/>
      <c r="EF1981" s="4"/>
      <c r="EG1981" s="4"/>
      <c r="EH1981" s="4"/>
      <c r="EI1981" s="4"/>
      <c r="EJ1981" s="4"/>
      <c r="EK1981" s="4"/>
      <c r="EL1981" s="4"/>
      <c r="EM1981" s="4"/>
      <c r="EN1981" s="4"/>
      <c r="EO1981" s="4"/>
      <c r="EP1981" s="4"/>
      <c r="EQ1981" s="4"/>
      <c r="ER1981" s="4"/>
      <c r="ES1981" s="4"/>
      <c r="ET1981" s="4"/>
      <c r="EU1981" s="4"/>
      <c r="EV1981" s="4"/>
      <c r="EW1981" s="4"/>
      <c r="EX1981" s="4"/>
      <c r="EY1981" s="4"/>
      <c r="EZ1981" s="4"/>
      <c r="FA1981" s="4"/>
      <c r="FB1981" s="4"/>
      <c r="FC1981" s="4"/>
      <c r="FD1981" s="4"/>
      <c r="FE1981" s="4"/>
      <c r="FF1981" s="4"/>
      <c r="FG1981" s="4"/>
      <c r="FH1981" s="4"/>
      <c r="FI1981" s="4"/>
      <c r="FJ1981" s="4"/>
      <c r="FK1981" s="4"/>
      <c r="FL1981" s="4"/>
      <c r="FM1981" s="4"/>
      <c r="FN1981" s="4"/>
      <c r="FO1981" s="4"/>
      <c r="FP1981" s="4"/>
      <c r="FQ1981" s="4"/>
      <c r="FR1981" s="4"/>
      <c r="FS1981" s="4"/>
      <c r="FT1981" s="4"/>
      <c r="FU1981" s="4"/>
      <c r="FV1981" s="4"/>
      <c r="FW1981" s="4"/>
      <c r="FX1981" s="4"/>
      <c r="FY1981" s="4"/>
      <c r="FZ1981" s="4"/>
      <c r="GA1981" s="4"/>
      <c r="GB1981" s="4"/>
      <c r="GC1981" s="4"/>
      <c r="GD1981" s="4"/>
      <c r="GE1981" s="4"/>
      <c r="GF1981" s="4"/>
      <c r="GG1981" s="4"/>
      <c r="GH1981" s="4"/>
      <c r="GI1981" s="4"/>
      <c r="GJ1981" s="4"/>
      <c r="GK1981" s="4"/>
      <c r="GL1981" s="4"/>
      <c r="GM1981" s="4"/>
      <c r="GN1981" s="4"/>
      <c r="GO1981" s="4"/>
      <c r="GP1981" s="4"/>
      <c r="GQ1981" s="4"/>
      <c r="GR1981" s="4"/>
      <c r="GS1981" s="4"/>
      <c r="GT1981" s="4"/>
      <c r="GU1981" s="4"/>
      <c r="GV1981" s="4"/>
      <c r="GW1981" s="4"/>
      <c r="GX1981" s="4"/>
      <c r="GY1981" s="4"/>
      <c r="GZ1981" s="4"/>
      <c r="HA1981" s="4"/>
      <c r="HB1981" s="4"/>
      <c r="HC1981" s="4"/>
      <c r="HD1981" s="4"/>
      <c r="HE1981" s="4"/>
    </row>
    <row r="1982">
      <c r="A1982" s="2" t="s">
        <v>9596</v>
      </c>
      <c r="B1982" s="2" t="s">
        <v>834</v>
      </c>
      <c r="C1982" s="2" t="s">
        <v>835</v>
      </c>
      <c r="D1982" s="2" t="s">
        <v>836</v>
      </c>
      <c r="E1982" s="2" t="s">
        <v>837</v>
      </c>
      <c r="F1982" s="2" t="s">
        <v>9597</v>
      </c>
      <c r="G1982" s="2" t="s">
        <v>9597</v>
      </c>
      <c r="H1982" s="2" t="s">
        <v>9597</v>
      </c>
      <c r="I1982" s="2" t="s">
        <v>9598</v>
      </c>
      <c r="J1982" s="2" t="s">
        <v>840</v>
      </c>
      <c r="K1982" s="2" t="s">
        <v>823</v>
      </c>
      <c r="L1982" s="3">
        <v>85.5</v>
      </c>
      <c r="M1982" s="3">
        <v>89.78</v>
      </c>
      <c r="N1982" s="3">
        <v>199</v>
      </c>
      <c r="O1982" s="2" t="s">
        <v>461</v>
      </c>
      <c r="P1982" s="2" t="s">
        <v>333</v>
      </c>
      <c r="Q1982" s="2" t="s">
        <v>234</v>
      </c>
      <c r="R1982" s="2" t="s">
        <v>228</v>
      </c>
      <c r="S1982" s="2" t="s">
        <v>228</v>
      </c>
      <c r="T1982" s="2" t="s">
        <v>228</v>
      </c>
      <c r="U1982" s="2" t="s">
        <v>416</v>
      </c>
      <c r="V1982" s="2" t="s">
        <v>842</v>
      </c>
      <c r="W1982" s="2" t="s">
        <v>743</v>
      </c>
      <c r="X1982" s="2" t="s">
        <v>417</v>
      </c>
      <c r="Y1982" s="2" t="s">
        <v>472</v>
      </c>
      <c r="Z1982" s="4">
        <v>73</v>
      </c>
      <c r="AA1982" s="4">
        <f>=ROUNDDOWN(91.25,0)</f>
      </c>
      <c r="AB1982" s="5">
        <v>0.8</v>
      </c>
      <c r="AC1982" s="2" t="s">
        <v>228</v>
      </c>
      <c r="AD1982" s="4"/>
      <c r="AE1982" s="4"/>
      <c r="AF1982" s="6">
        <v>63</v>
      </c>
      <c r="AG1982" s="6"/>
      <c r="AH1982" s="7">
        <v>1</v>
      </c>
      <c r="AI1982" s="4"/>
      <c r="AJ1982" s="4">
        <f>=ROUNDDOWN({0},0)</f>
      </c>
      <c r="AK1982" s="5"/>
      <c r="AL1982" s="2" t="s">
        <v>228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/>
      <c r="AW1982" s="8"/>
      <c r="AX1982" s="4"/>
      <c r="AY1982" s="8"/>
      <c r="AZ1982" s="7"/>
      <c r="BA1982" s="7"/>
      <c r="BB1982" s="7"/>
      <c r="BC1982" s="4"/>
      <c r="BD1982" s="8"/>
      <c r="BE1982" s="4"/>
      <c r="BF1982" s="8"/>
      <c r="BG1982" s="7"/>
      <c r="BH1982" s="7"/>
      <c r="BI1982" s="7"/>
      <c r="BJ1982" s="4">
        <v>2</v>
      </c>
      <c r="BK1982" s="8">
        <v>147.63</v>
      </c>
      <c r="BL1982" s="2" t="s">
        <v>4951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9599</v>
      </c>
      <c r="BV1982" s="2" t="s">
        <v>228</v>
      </c>
      <c r="BW1982" s="2" t="s">
        <v>228</v>
      </c>
      <c r="BX1982" s="2" t="s">
        <v>337</v>
      </c>
      <c r="BY1982" s="2" t="s">
        <v>274</v>
      </c>
      <c r="BZ1982" s="2" t="s">
        <v>240</v>
      </c>
      <c r="CA1982" s="2" t="s">
        <v>845</v>
      </c>
      <c r="CB1982" s="2" t="s">
        <v>1026</v>
      </c>
      <c r="CC1982" s="2" t="s">
        <v>241</v>
      </c>
      <c r="CD1982" s="2" t="s">
        <v>228</v>
      </c>
      <c r="CE1982" s="4"/>
      <c r="CF1982" s="4">
        <v>73</v>
      </c>
      <c r="CG1982" s="4"/>
      <c r="CH1982" s="4"/>
      <c r="CI1982" s="4"/>
      <c r="CJ1982" s="4"/>
      <c r="CK1982" s="4"/>
      <c r="CL1982" s="4"/>
      <c r="CM1982" s="4"/>
      <c r="CN1982" s="4"/>
      <c r="CO1982" s="4"/>
      <c r="CP1982" s="4"/>
      <c r="CQ1982" s="4"/>
      <c r="CR1982" s="4"/>
      <c r="CS1982" s="4"/>
      <c r="CT1982" s="4"/>
      <c r="CU1982" s="4"/>
      <c r="CV1982" s="4"/>
      <c r="CW1982" s="4"/>
      <c r="CX1982" s="4"/>
      <c r="CY1982" s="4"/>
      <c r="CZ1982" s="4"/>
      <c r="DA1982" s="4"/>
      <c r="DB1982" s="4"/>
      <c r="DC1982" s="4"/>
      <c r="DD1982" s="4"/>
      <c r="DE1982" s="4"/>
      <c r="DF1982" s="4"/>
      <c r="DG1982" s="4"/>
      <c r="DH1982" s="4"/>
      <c r="DI1982" s="4"/>
      <c r="DJ1982" s="4"/>
      <c r="DK1982" s="4"/>
      <c r="DL1982" s="4"/>
      <c r="DM1982" s="4"/>
      <c r="DN1982" s="4"/>
      <c r="DO1982" s="4"/>
      <c r="DP1982" s="4"/>
      <c r="DQ1982" s="4"/>
      <c r="DR1982" s="4"/>
      <c r="DS1982" s="4"/>
      <c r="DT1982" s="4"/>
      <c r="DU1982" s="4"/>
      <c r="DV1982" s="4"/>
      <c r="DW1982" s="4"/>
      <c r="DX1982" s="4"/>
      <c r="DY1982" s="4"/>
      <c r="DZ1982" s="4"/>
      <c r="EA1982" s="4"/>
      <c r="EB1982" s="4"/>
      <c r="EC1982" s="4"/>
      <c r="ED1982" s="4"/>
      <c r="EE1982" s="4"/>
      <c r="EF1982" s="4"/>
      <c r="EG1982" s="4"/>
      <c r="EH1982" s="4"/>
      <c r="EI1982" s="4"/>
      <c r="EJ1982" s="4"/>
      <c r="EK1982" s="4"/>
      <c r="EL1982" s="4"/>
      <c r="EM1982" s="4"/>
      <c r="EN1982" s="4"/>
      <c r="EO1982" s="4"/>
      <c r="EP1982" s="4"/>
      <c r="EQ1982" s="4"/>
      <c r="ER1982" s="4"/>
      <c r="ES1982" s="4"/>
      <c r="ET1982" s="4"/>
      <c r="EU1982" s="4"/>
      <c r="EV1982" s="4"/>
      <c r="EW1982" s="4"/>
      <c r="EX1982" s="4"/>
      <c r="EY1982" s="4"/>
      <c r="EZ1982" s="4"/>
      <c r="FA1982" s="4"/>
      <c r="FB1982" s="4"/>
      <c r="FC1982" s="4"/>
      <c r="FD1982" s="4"/>
      <c r="FE1982" s="4"/>
      <c r="FF1982" s="4"/>
      <c r="FG1982" s="4"/>
      <c r="FH1982" s="4"/>
      <c r="FI1982" s="4"/>
      <c r="FJ1982" s="4"/>
      <c r="FK1982" s="4"/>
      <c r="FL1982" s="4"/>
      <c r="FM1982" s="4"/>
      <c r="FN1982" s="4"/>
      <c r="FO1982" s="4"/>
      <c r="FP1982" s="4"/>
      <c r="FQ1982" s="4"/>
      <c r="FR1982" s="4"/>
      <c r="FS1982" s="4"/>
      <c r="FT1982" s="4"/>
      <c r="FU1982" s="4"/>
      <c r="FV1982" s="4"/>
      <c r="FW1982" s="4"/>
      <c r="FX1982" s="4"/>
      <c r="FY1982" s="4"/>
      <c r="FZ1982" s="4"/>
      <c r="GA1982" s="4"/>
      <c r="GB1982" s="4"/>
      <c r="GC1982" s="4"/>
      <c r="GD1982" s="4"/>
      <c r="GE1982" s="4"/>
      <c r="GF1982" s="4"/>
      <c r="GG1982" s="4"/>
      <c r="GH1982" s="4"/>
      <c r="GI1982" s="4"/>
      <c r="GJ1982" s="4"/>
      <c r="GK1982" s="4"/>
      <c r="GL1982" s="4"/>
      <c r="GM1982" s="4"/>
      <c r="GN1982" s="4"/>
      <c r="GO1982" s="4"/>
      <c r="GP1982" s="4"/>
      <c r="GQ1982" s="4"/>
      <c r="GR1982" s="4"/>
      <c r="GS1982" s="4"/>
      <c r="GT1982" s="4"/>
      <c r="GU1982" s="4"/>
      <c r="GV1982" s="4"/>
      <c r="GW1982" s="4"/>
      <c r="GX1982" s="4"/>
      <c r="GY1982" s="4"/>
      <c r="GZ1982" s="4"/>
      <c r="HA1982" s="4"/>
      <c r="HB1982" s="4"/>
      <c r="HC1982" s="4"/>
      <c r="HD1982" s="4"/>
      <c r="HE1982" s="4"/>
    </row>
    <row r="1983">
      <c r="A1983" s="2" t="s">
        <v>9600</v>
      </c>
      <c r="B1983" s="2" t="s">
        <v>1150</v>
      </c>
      <c r="C1983" s="2" t="s">
        <v>835</v>
      </c>
      <c r="D1983" s="2" t="s">
        <v>1316</v>
      </c>
      <c r="E1983" s="2" t="s">
        <v>2396</v>
      </c>
      <c r="F1983" s="2" t="s">
        <v>9601</v>
      </c>
      <c r="G1983" s="2" t="s">
        <v>9601</v>
      </c>
      <c r="H1983" s="2" t="s">
        <v>9601</v>
      </c>
      <c r="I1983" s="2" t="s">
        <v>9602</v>
      </c>
      <c r="J1983" s="2" t="s">
        <v>1043</v>
      </c>
      <c r="K1983" s="2" t="s">
        <v>9603</v>
      </c>
      <c r="L1983" s="3">
        <v>81.19</v>
      </c>
      <c r="M1983" s="3">
        <v>85.25</v>
      </c>
      <c r="N1983" s="3">
        <v>139.99</v>
      </c>
      <c r="O1983" s="2" t="s">
        <v>491</v>
      </c>
      <c r="P1983" s="2" t="s">
        <v>1116</v>
      </c>
      <c r="Q1983" s="2" t="s">
        <v>234</v>
      </c>
      <c r="R1983" s="2" t="s">
        <v>727</v>
      </c>
      <c r="S1983" s="2" t="s">
        <v>228</v>
      </c>
      <c r="T1983" s="2" t="s">
        <v>228</v>
      </c>
      <c r="U1983" s="2" t="s">
        <v>228</v>
      </c>
      <c r="V1983" s="2" t="s">
        <v>842</v>
      </c>
      <c r="W1983" s="2" t="s">
        <v>228</v>
      </c>
      <c r="X1983" s="2" t="s">
        <v>228</v>
      </c>
      <c r="Y1983" s="2" t="s">
        <v>9604</v>
      </c>
      <c r="Z1983" s="4">
        <v>11</v>
      </c>
      <c r="AA1983" s="4">
        <f>=ROUNDDOWN(5.78947368421053,0)</f>
      </c>
      <c r="AB1983" s="5">
        <v>1.9</v>
      </c>
      <c r="AC1983" s="2" t="s">
        <v>228</v>
      </c>
      <c r="AD1983" s="4"/>
      <c r="AE1983" s="4"/>
      <c r="AF1983" s="6">
        <v>64</v>
      </c>
      <c r="AG1983" s="6"/>
      <c r="AH1983" s="7">
        <v>0.6452</v>
      </c>
      <c r="AI1983" s="4"/>
      <c r="AJ1983" s="4">
        <f>=ROUNDDOWN({0},0)</f>
      </c>
      <c r="AK1983" s="5"/>
      <c r="AL1983" s="2" t="s">
        <v>228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/>
      <c r="AW1983" s="8"/>
      <c r="AX1983" s="4"/>
      <c r="AY1983" s="8"/>
      <c r="AZ1983" s="7"/>
      <c r="BA1983" s="7"/>
      <c r="BB1983" s="7"/>
      <c r="BC1983" s="4"/>
      <c r="BD1983" s="8"/>
      <c r="BE1983" s="4"/>
      <c r="BF1983" s="8"/>
      <c r="BG1983" s="7"/>
      <c r="BH1983" s="7"/>
      <c r="BI1983" s="7"/>
      <c r="BJ1983" s="4">
        <v>9</v>
      </c>
      <c r="BK1983" s="8">
        <v>584.55</v>
      </c>
      <c r="BL1983" s="2" t="s">
        <v>3722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9605</v>
      </c>
      <c r="BV1983" s="2" t="s">
        <v>228</v>
      </c>
      <c r="BW1983" s="2" t="s">
        <v>228</v>
      </c>
      <c r="BX1983" s="2" t="s">
        <v>273</v>
      </c>
      <c r="BY1983" s="2" t="s">
        <v>274</v>
      </c>
      <c r="BZ1983" s="2" t="s">
        <v>240</v>
      </c>
      <c r="CA1983" s="2" t="s">
        <v>781</v>
      </c>
      <c r="CB1983" s="2" t="s">
        <v>6882</v>
      </c>
      <c r="CC1983" s="2" t="s">
        <v>241</v>
      </c>
      <c r="CD1983" s="2" t="s">
        <v>228</v>
      </c>
      <c r="CE1983" s="4">
        <v>11</v>
      </c>
      <c r="CF1983" s="4"/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  <c r="CW1983" s="4"/>
      <c r="CX1983" s="4"/>
      <c r="CY1983" s="4"/>
      <c r="CZ1983" s="4"/>
      <c r="DA1983" s="4"/>
      <c r="DB1983" s="4"/>
      <c r="DC1983" s="4"/>
      <c r="DD1983" s="4"/>
      <c r="DE1983" s="4"/>
      <c r="DF1983" s="4"/>
      <c r="DG1983" s="4"/>
      <c r="DH1983" s="4"/>
      <c r="DI1983" s="4"/>
      <c r="DJ1983" s="4"/>
      <c r="DK1983" s="4"/>
      <c r="DL1983" s="4"/>
      <c r="DM1983" s="4"/>
      <c r="DN1983" s="4"/>
      <c r="DO1983" s="4"/>
      <c r="DP1983" s="4"/>
      <c r="DQ1983" s="4"/>
      <c r="DR1983" s="4"/>
      <c r="DS1983" s="4"/>
      <c r="DT1983" s="4"/>
      <c r="DU1983" s="4"/>
      <c r="DV1983" s="4"/>
      <c r="DW1983" s="4"/>
      <c r="DX1983" s="4"/>
      <c r="DY1983" s="4"/>
      <c r="DZ1983" s="4"/>
      <c r="EA1983" s="4"/>
      <c r="EB1983" s="4"/>
      <c r="EC1983" s="4"/>
      <c r="ED1983" s="4"/>
      <c r="EE1983" s="4"/>
      <c r="EF1983" s="4"/>
      <c r="EG1983" s="4"/>
      <c r="EH1983" s="4"/>
      <c r="EI1983" s="4"/>
      <c r="EJ1983" s="4"/>
      <c r="EK1983" s="4"/>
      <c r="EL1983" s="4"/>
      <c r="EM1983" s="4"/>
      <c r="EN1983" s="4"/>
      <c r="EO1983" s="4"/>
      <c r="EP1983" s="4"/>
      <c r="EQ1983" s="4"/>
      <c r="ER1983" s="4"/>
      <c r="ES1983" s="4"/>
      <c r="ET1983" s="4"/>
      <c r="EU1983" s="4"/>
      <c r="EV1983" s="4"/>
      <c r="EW1983" s="4"/>
      <c r="EX1983" s="4"/>
      <c r="EY1983" s="4"/>
      <c r="EZ1983" s="4"/>
      <c r="FA1983" s="4"/>
      <c r="FB1983" s="4"/>
      <c r="FC1983" s="4"/>
      <c r="FD1983" s="4"/>
      <c r="FE1983" s="4"/>
      <c r="FF1983" s="4"/>
      <c r="FG1983" s="4"/>
      <c r="FH1983" s="4"/>
      <c r="FI1983" s="4"/>
      <c r="FJ1983" s="4"/>
      <c r="FK1983" s="4"/>
      <c r="FL1983" s="4"/>
      <c r="FM1983" s="4"/>
      <c r="FN1983" s="4"/>
      <c r="FO1983" s="4"/>
      <c r="FP1983" s="4"/>
      <c r="FQ1983" s="4"/>
      <c r="FR1983" s="4"/>
      <c r="FS1983" s="4"/>
      <c r="FT1983" s="4"/>
      <c r="FU1983" s="4"/>
      <c r="FV1983" s="4"/>
      <c r="FW1983" s="4"/>
      <c r="FX1983" s="4"/>
      <c r="FY1983" s="4"/>
      <c r="FZ1983" s="4"/>
      <c r="GA1983" s="4"/>
      <c r="GB1983" s="4"/>
      <c r="GC1983" s="4"/>
      <c r="GD1983" s="4"/>
      <c r="GE1983" s="4"/>
      <c r="GF1983" s="4"/>
      <c r="GG1983" s="4"/>
      <c r="GH1983" s="4"/>
      <c r="GI1983" s="4"/>
      <c r="GJ1983" s="4"/>
      <c r="GK1983" s="4"/>
      <c r="GL1983" s="4"/>
      <c r="GM1983" s="4"/>
      <c r="GN1983" s="4"/>
      <c r="GO1983" s="4"/>
      <c r="GP1983" s="4"/>
      <c r="GQ1983" s="4"/>
      <c r="GR1983" s="4"/>
      <c r="GS1983" s="4"/>
      <c r="GT1983" s="4"/>
      <c r="GU1983" s="4"/>
      <c r="GV1983" s="4"/>
      <c r="GW1983" s="4"/>
      <c r="GX1983" s="4"/>
      <c r="GY1983" s="4"/>
      <c r="GZ1983" s="4"/>
      <c r="HA1983" s="4"/>
      <c r="HB1983" s="4"/>
      <c r="HC1983" s="4"/>
      <c r="HD1983" s="4"/>
      <c r="HE1983" s="4"/>
    </row>
    <row r="1984">
      <c r="A1984" s="2" t="s">
        <v>9606</v>
      </c>
      <c r="B1984" s="2" t="s">
        <v>1150</v>
      </c>
      <c r="C1984" s="2" t="s">
        <v>300</v>
      </c>
      <c r="D1984" s="2" t="s">
        <v>850</v>
      </c>
      <c r="E1984" s="2" t="s">
        <v>1038</v>
      </c>
      <c r="F1984" s="2" t="s">
        <v>2559</v>
      </c>
      <c r="G1984" s="2" t="s">
        <v>9607</v>
      </c>
      <c r="H1984" s="2" t="s">
        <v>9608</v>
      </c>
      <c r="I1984" s="2" t="s">
        <v>9609</v>
      </c>
      <c r="J1984" s="2" t="s">
        <v>1189</v>
      </c>
      <c r="K1984" s="2" t="s">
        <v>9610</v>
      </c>
      <c r="L1984" s="3">
        <v>27.42</v>
      </c>
      <c r="M1984" s="3">
        <v>28.79</v>
      </c>
      <c r="N1984" s="3">
        <v>59.99</v>
      </c>
      <c r="O1984" s="2" t="s">
        <v>240</v>
      </c>
      <c r="P1984" s="2" t="s">
        <v>266</v>
      </c>
      <c r="Q1984" s="2" t="s">
        <v>234</v>
      </c>
      <c r="R1984" s="2" t="s">
        <v>228</v>
      </c>
      <c r="S1984" s="2" t="s">
        <v>9611</v>
      </c>
      <c r="T1984" s="2" t="s">
        <v>350</v>
      </c>
      <c r="U1984" s="2" t="s">
        <v>500</v>
      </c>
      <c r="V1984" s="2" t="s">
        <v>374</v>
      </c>
      <c r="W1984" s="2" t="s">
        <v>1761</v>
      </c>
      <c r="X1984" s="2" t="s">
        <v>417</v>
      </c>
      <c r="Y1984" s="2" t="s">
        <v>9612</v>
      </c>
      <c r="Z1984" s="4">
        <v>82</v>
      </c>
      <c r="AA1984" s="4">
        <f>=ROUNDDOWN(41,0)</f>
      </c>
      <c r="AB1984" s="5">
        <v>2</v>
      </c>
      <c r="AC1984" s="2" t="s">
        <v>218</v>
      </c>
      <c r="AD1984" s="4">
        <v>30</v>
      </c>
      <c r="AE1984" s="4">
        <v>30</v>
      </c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228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 t="s">
        <v>228</v>
      </c>
      <c r="AW1984" s="8" t="s">
        <v>228</v>
      </c>
      <c r="AX1984" s="4" t="s">
        <v>228</v>
      </c>
      <c r="AY1984" s="8" t="s">
        <v>228</v>
      </c>
      <c r="AZ1984" s="7" t="s">
        <v>228</v>
      </c>
      <c r="BA1984" s="7" t="s">
        <v>228</v>
      </c>
      <c r="BB1984" s="7"/>
      <c r="BC1984" s="4" t="s">
        <v>228</v>
      </c>
      <c r="BD1984" s="8" t="s">
        <v>228</v>
      </c>
      <c r="BE1984" s="4" t="s">
        <v>228</v>
      </c>
      <c r="BF1984" s="8" t="s">
        <v>228</v>
      </c>
      <c r="BG1984" s="7" t="s">
        <v>228</v>
      </c>
      <c r="BH1984" s="7" t="s">
        <v>228</v>
      </c>
      <c r="BI1984" s="7"/>
      <c r="BJ1984" s="4">
        <v>7</v>
      </c>
      <c r="BK1984" s="8">
        <v>218.21</v>
      </c>
      <c r="BL1984" s="2" t="s">
        <v>318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9613</v>
      </c>
      <c r="BV1984" s="2" t="s">
        <v>228</v>
      </c>
      <c r="BW1984" s="2" t="s">
        <v>228</v>
      </c>
      <c r="BX1984" s="2" t="s">
        <v>273</v>
      </c>
      <c r="BY1984" s="2" t="s">
        <v>274</v>
      </c>
      <c r="BZ1984" s="2" t="s">
        <v>240</v>
      </c>
      <c r="CA1984" s="2" t="s">
        <v>5801</v>
      </c>
      <c r="CB1984" s="2" t="s">
        <v>3101</v>
      </c>
      <c r="CC1984" s="2" t="s">
        <v>241</v>
      </c>
      <c r="CD1984" s="2" t="s">
        <v>228</v>
      </c>
      <c r="CE1984" s="4">
        <v>82</v>
      </c>
      <c r="CF1984" s="4"/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4"/>
      <c r="CS1984" s="4"/>
      <c r="CT1984" s="4"/>
      <c r="CU1984" s="4"/>
      <c r="CV1984" s="4"/>
      <c r="CW1984" s="4"/>
      <c r="CX1984" s="4"/>
      <c r="CY1984" s="4"/>
      <c r="CZ1984" s="4"/>
      <c r="DA1984" s="4"/>
      <c r="DB1984" s="4"/>
      <c r="DC1984" s="4"/>
      <c r="DD1984" s="4"/>
      <c r="DE1984" s="4"/>
      <c r="DF1984" s="4"/>
      <c r="DG1984" s="4"/>
      <c r="DH1984" s="4"/>
      <c r="DI1984" s="4"/>
      <c r="DJ1984" s="4"/>
      <c r="DK1984" s="4"/>
      <c r="DL1984" s="4"/>
      <c r="DM1984" s="4"/>
      <c r="DN1984" s="4"/>
      <c r="DO1984" s="4"/>
      <c r="DP1984" s="4"/>
      <c r="DQ1984" s="4"/>
      <c r="DR1984" s="4"/>
      <c r="DS1984" s="4"/>
      <c r="DT1984" s="4"/>
      <c r="DU1984" s="4"/>
      <c r="DV1984" s="4"/>
      <c r="DW1984" s="4"/>
      <c r="DX1984" s="4"/>
      <c r="DY1984" s="4"/>
      <c r="DZ1984" s="4"/>
      <c r="EA1984" s="4"/>
      <c r="EB1984" s="4"/>
      <c r="EC1984" s="4"/>
      <c r="ED1984" s="4"/>
      <c r="EE1984" s="4"/>
      <c r="EF1984" s="4"/>
      <c r="EG1984" s="4"/>
      <c r="EH1984" s="4"/>
      <c r="EI1984" s="4"/>
      <c r="EJ1984" s="4"/>
      <c r="EK1984" s="4"/>
      <c r="EL1984" s="4"/>
      <c r="EM1984" s="4"/>
      <c r="EN1984" s="4"/>
      <c r="EO1984" s="4"/>
      <c r="EP1984" s="4"/>
      <c r="EQ1984" s="4"/>
      <c r="ER1984" s="4"/>
      <c r="ES1984" s="4"/>
      <c r="ET1984" s="4"/>
      <c r="EU1984" s="4"/>
      <c r="EV1984" s="4"/>
      <c r="EW1984" s="4"/>
      <c r="EX1984" s="4"/>
      <c r="EY1984" s="4"/>
      <c r="EZ1984" s="4"/>
      <c r="FA1984" s="4"/>
      <c r="FB1984" s="4"/>
      <c r="FC1984" s="4"/>
      <c r="FD1984" s="4"/>
      <c r="FE1984" s="4"/>
      <c r="FF1984" s="4"/>
      <c r="FG1984" s="4"/>
      <c r="FH1984" s="4"/>
      <c r="FI1984" s="4"/>
      <c r="FJ1984" s="4"/>
      <c r="FK1984" s="4"/>
      <c r="FL1984" s="4"/>
      <c r="FM1984" s="4"/>
      <c r="FN1984" s="4"/>
      <c r="FO1984" s="4"/>
      <c r="FP1984" s="4"/>
      <c r="FQ1984" s="4"/>
      <c r="FR1984" s="4"/>
      <c r="FS1984" s="4"/>
      <c r="FT1984" s="4"/>
      <c r="FU1984" s="4"/>
      <c r="FV1984" s="4"/>
      <c r="FW1984" s="4"/>
      <c r="FX1984" s="4"/>
      <c r="FY1984" s="4"/>
      <c r="FZ1984" s="4"/>
      <c r="GA1984" s="4"/>
      <c r="GB1984" s="4"/>
      <c r="GC1984" s="4"/>
      <c r="GD1984" s="4"/>
      <c r="GE1984" s="4"/>
      <c r="GF1984" s="4"/>
      <c r="GG1984" s="4"/>
      <c r="GH1984" s="4"/>
      <c r="GI1984" s="4"/>
      <c r="GJ1984" s="4"/>
      <c r="GK1984" s="4"/>
      <c r="GL1984" s="4"/>
      <c r="GM1984" s="4"/>
      <c r="GN1984" s="4"/>
      <c r="GO1984" s="4"/>
      <c r="GP1984" s="4"/>
      <c r="GQ1984" s="4"/>
      <c r="GR1984" s="4"/>
      <c r="GS1984" s="4"/>
      <c r="GT1984" s="4"/>
      <c r="GU1984" s="4"/>
      <c r="GV1984" s="4"/>
      <c r="GW1984" s="4"/>
      <c r="GX1984" s="4"/>
      <c r="GY1984" s="4"/>
      <c r="GZ1984" s="4"/>
      <c r="HA1984" s="4"/>
      <c r="HB1984" s="4">
        <v>30</v>
      </c>
      <c r="HC1984" s="4"/>
      <c r="HD1984" s="4"/>
      <c r="HE1984" s="4"/>
    </row>
    <row r="1985">
      <c r="A1985" s="2" t="s">
        <v>9614</v>
      </c>
      <c r="B1985" s="2" t="s">
        <v>1150</v>
      </c>
      <c r="C1985" s="2" t="s">
        <v>300</v>
      </c>
      <c r="D1985" s="2" t="s">
        <v>1112</v>
      </c>
      <c r="E1985" s="2" t="s">
        <v>1165</v>
      </c>
      <c r="F1985" s="2" t="s">
        <v>2559</v>
      </c>
      <c r="G1985" s="2" t="s">
        <v>9607</v>
      </c>
      <c r="H1985" s="2" t="s">
        <v>9608</v>
      </c>
      <c r="I1985" s="2" t="s">
        <v>9615</v>
      </c>
      <c r="J1985" s="2" t="s">
        <v>1043</v>
      </c>
      <c r="K1985" s="2" t="s">
        <v>9610</v>
      </c>
      <c r="L1985" s="3">
        <v>41.14</v>
      </c>
      <c r="M1985" s="3">
        <v>43.2</v>
      </c>
      <c r="N1985" s="3">
        <v>89.99</v>
      </c>
      <c r="O1985" s="2" t="s">
        <v>240</v>
      </c>
      <c r="P1985" s="2" t="s">
        <v>266</v>
      </c>
      <c r="Q1985" s="2" t="s">
        <v>234</v>
      </c>
      <c r="R1985" s="2" t="s">
        <v>228</v>
      </c>
      <c r="S1985" s="2" t="s">
        <v>9611</v>
      </c>
      <c r="T1985" s="2" t="s">
        <v>350</v>
      </c>
      <c r="U1985" s="2" t="s">
        <v>308</v>
      </c>
      <c r="V1985" s="2" t="s">
        <v>374</v>
      </c>
      <c r="W1985" s="2" t="s">
        <v>1761</v>
      </c>
      <c r="X1985" s="2" t="s">
        <v>417</v>
      </c>
      <c r="Y1985" s="2" t="s">
        <v>9616</v>
      </c>
      <c r="Z1985" s="4">
        <v>148</v>
      </c>
      <c r="AA1985" s="4">
        <f>=ROUNDDOWN(14.8,0)</f>
      </c>
      <c r="AB1985" s="5">
        <v>10</v>
      </c>
      <c r="AC1985" s="2" t="s">
        <v>218</v>
      </c>
      <c r="AD1985" s="4">
        <v>320</v>
      </c>
      <c r="AE1985" s="4">
        <v>320</v>
      </c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228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 t="s">
        <v>228</v>
      </c>
      <c r="AW1985" s="8" t="s">
        <v>228</v>
      </c>
      <c r="AX1985" s="4" t="s">
        <v>228</v>
      </c>
      <c r="AY1985" s="8" t="s">
        <v>228</v>
      </c>
      <c r="AZ1985" s="7" t="s">
        <v>228</v>
      </c>
      <c r="BA1985" s="7" t="s">
        <v>228</v>
      </c>
      <c r="BB1985" s="7" t="s">
        <v>228</v>
      </c>
      <c r="BC1985" s="4" t="s">
        <v>228</v>
      </c>
      <c r="BD1985" s="8" t="s">
        <v>228</v>
      </c>
      <c r="BE1985" s="4" t="s">
        <v>228</v>
      </c>
      <c r="BF1985" s="8" t="s">
        <v>228</v>
      </c>
      <c r="BG1985" s="7" t="s">
        <v>228</v>
      </c>
      <c r="BH1985" s="7" t="s">
        <v>228</v>
      </c>
      <c r="BI1985" s="7"/>
      <c r="BJ1985" s="4">
        <v>36</v>
      </c>
      <c r="BK1985" s="8">
        <v>1689.52</v>
      </c>
      <c r="BL1985" s="2" t="s">
        <v>9617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9618</v>
      </c>
      <c r="BV1985" s="2" t="s">
        <v>228</v>
      </c>
      <c r="BW1985" s="2" t="s">
        <v>228</v>
      </c>
      <c r="BX1985" s="2" t="s">
        <v>273</v>
      </c>
      <c r="BY1985" s="2" t="s">
        <v>274</v>
      </c>
      <c r="BZ1985" s="2" t="s">
        <v>240</v>
      </c>
      <c r="CA1985" s="2" t="s">
        <v>6465</v>
      </c>
      <c r="CB1985" s="2" t="s">
        <v>1542</v>
      </c>
      <c r="CC1985" s="2" t="s">
        <v>241</v>
      </c>
      <c r="CD1985" s="2" t="s">
        <v>228</v>
      </c>
      <c r="CE1985" s="4">
        <v>148</v>
      </c>
      <c r="CF1985" s="4"/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  <c r="CW1985" s="4"/>
      <c r="CX1985" s="4"/>
      <c r="CY1985" s="4"/>
      <c r="CZ1985" s="4"/>
      <c r="DA1985" s="4"/>
      <c r="DB1985" s="4"/>
      <c r="DC1985" s="4"/>
      <c r="DD1985" s="4"/>
      <c r="DE1985" s="4"/>
      <c r="DF1985" s="4"/>
      <c r="DG1985" s="4"/>
      <c r="DH1985" s="4"/>
      <c r="DI1985" s="4"/>
      <c r="DJ1985" s="4"/>
      <c r="DK1985" s="4"/>
      <c r="DL1985" s="4"/>
      <c r="DM1985" s="4"/>
      <c r="DN1985" s="4"/>
      <c r="DO1985" s="4"/>
      <c r="DP1985" s="4"/>
      <c r="DQ1985" s="4"/>
      <c r="DR1985" s="4"/>
      <c r="DS1985" s="4"/>
      <c r="DT1985" s="4"/>
      <c r="DU1985" s="4"/>
      <c r="DV1985" s="4"/>
      <c r="DW1985" s="4"/>
      <c r="DX1985" s="4"/>
      <c r="DY1985" s="4"/>
      <c r="DZ1985" s="4"/>
      <c r="EA1985" s="4"/>
      <c r="EB1985" s="4"/>
      <c r="EC1985" s="4"/>
      <c r="ED1985" s="4"/>
      <c r="EE1985" s="4"/>
      <c r="EF1985" s="4"/>
      <c r="EG1985" s="4"/>
      <c r="EH1985" s="4"/>
      <c r="EI1985" s="4"/>
      <c r="EJ1985" s="4"/>
      <c r="EK1985" s="4"/>
      <c r="EL1985" s="4"/>
      <c r="EM1985" s="4"/>
      <c r="EN1985" s="4"/>
      <c r="EO1985" s="4"/>
      <c r="EP1985" s="4"/>
      <c r="EQ1985" s="4"/>
      <c r="ER1985" s="4"/>
      <c r="ES1985" s="4"/>
      <c r="ET1985" s="4"/>
      <c r="EU1985" s="4"/>
      <c r="EV1985" s="4"/>
      <c r="EW1985" s="4"/>
      <c r="EX1985" s="4"/>
      <c r="EY1985" s="4"/>
      <c r="EZ1985" s="4"/>
      <c r="FA1985" s="4"/>
      <c r="FB1985" s="4"/>
      <c r="FC1985" s="4"/>
      <c r="FD1985" s="4"/>
      <c r="FE1985" s="4"/>
      <c r="FF1985" s="4"/>
      <c r="FG1985" s="4"/>
      <c r="FH1985" s="4"/>
      <c r="FI1985" s="4"/>
      <c r="FJ1985" s="4"/>
      <c r="FK1985" s="4"/>
      <c r="FL1985" s="4"/>
      <c r="FM1985" s="4"/>
      <c r="FN1985" s="4"/>
      <c r="FO1985" s="4"/>
      <c r="FP1985" s="4"/>
      <c r="FQ1985" s="4"/>
      <c r="FR1985" s="4"/>
      <c r="FS1985" s="4"/>
      <c r="FT1985" s="4"/>
      <c r="FU1985" s="4"/>
      <c r="FV1985" s="4"/>
      <c r="FW1985" s="4"/>
      <c r="FX1985" s="4"/>
      <c r="FY1985" s="4"/>
      <c r="FZ1985" s="4"/>
      <c r="GA1985" s="4"/>
      <c r="GB1985" s="4"/>
      <c r="GC1985" s="4"/>
      <c r="GD1985" s="4"/>
      <c r="GE1985" s="4"/>
      <c r="GF1985" s="4"/>
      <c r="GG1985" s="4"/>
      <c r="GH1985" s="4"/>
      <c r="GI1985" s="4"/>
      <c r="GJ1985" s="4"/>
      <c r="GK1985" s="4"/>
      <c r="GL1985" s="4"/>
      <c r="GM1985" s="4"/>
      <c r="GN1985" s="4"/>
      <c r="GO1985" s="4"/>
      <c r="GP1985" s="4"/>
      <c r="GQ1985" s="4"/>
      <c r="GR1985" s="4"/>
      <c r="GS1985" s="4"/>
      <c r="GT1985" s="4"/>
      <c r="GU1985" s="4"/>
      <c r="GV1985" s="4"/>
      <c r="GW1985" s="4"/>
      <c r="GX1985" s="4"/>
      <c r="GY1985" s="4"/>
      <c r="GZ1985" s="4"/>
      <c r="HA1985" s="4"/>
      <c r="HB1985" s="4">
        <v>320</v>
      </c>
      <c r="HC1985" s="4"/>
      <c r="HD1985" s="4"/>
      <c r="HE1985" s="4"/>
    </row>
    <row r="1986">
      <c r="A1986" s="2" t="s">
        <v>9619</v>
      </c>
      <c r="B1986" s="2" t="s">
        <v>1150</v>
      </c>
      <c r="C1986" s="2" t="s">
        <v>300</v>
      </c>
      <c r="D1986" s="2" t="s">
        <v>850</v>
      </c>
      <c r="E1986" s="2" t="s">
        <v>1038</v>
      </c>
      <c r="F1986" s="2" t="s">
        <v>2559</v>
      </c>
      <c r="G1986" s="2" t="s">
        <v>9607</v>
      </c>
      <c r="H1986" s="2" t="s">
        <v>9608</v>
      </c>
      <c r="I1986" s="2" t="s">
        <v>9609</v>
      </c>
      <c r="J1986" s="2" t="s">
        <v>1043</v>
      </c>
      <c r="K1986" s="2" t="s">
        <v>9610</v>
      </c>
      <c r="L1986" s="3">
        <v>32</v>
      </c>
      <c r="M1986" s="3">
        <v>33.6</v>
      </c>
      <c r="N1986" s="3">
        <v>69.99</v>
      </c>
      <c r="O1986" s="2" t="s">
        <v>240</v>
      </c>
      <c r="P1986" s="2" t="s">
        <v>266</v>
      </c>
      <c r="Q1986" s="2" t="s">
        <v>234</v>
      </c>
      <c r="R1986" s="2" t="s">
        <v>228</v>
      </c>
      <c r="S1986" s="2" t="s">
        <v>9611</v>
      </c>
      <c r="T1986" s="2" t="s">
        <v>350</v>
      </c>
      <c r="U1986" s="2" t="s">
        <v>500</v>
      </c>
      <c r="V1986" s="2" t="s">
        <v>374</v>
      </c>
      <c r="W1986" s="2" t="s">
        <v>1761</v>
      </c>
      <c r="X1986" s="2" t="s">
        <v>417</v>
      </c>
      <c r="Y1986" s="2" t="s">
        <v>9612</v>
      </c>
      <c r="Z1986" s="4">
        <v>85</v>
      </c>
      <c r="AA1986" s="4">
        <f>=ROUNDDOWN(42.5,0)</f>
      </c>
      <c r="AB1986" s="5">
        <v>2</v>
      </c>
      <c r="AC1986" s="2" t="s">
        <v>218</v>
      </c>
      <c r="AD1986" s="4">
        <v>30</v>
      </c>
      <c r="AE1986" s="4">
        <v>30</v>
      </c>
      <c r="AF1986" s="6">
        <v>65</v>
      </c>
      <c r="AG1986" s="6"/>
      <c r="AH1986" s="7">
        <v>1</v>
      </c>
      <c r="AI1986" s="4"/>
      <c r="AJ1986" s="4">
        <f>=ROUNDDOWN({0},0)</f>
      </c>
      <c r="AK1986" s="5"/>
      <c r="AL1986" s="2" t="s">
        <v>228</v>
      </c>
      <c r="AM1986" s="4"/>
      <c r="AN1986" s="4"/>
      <c r="AO1986" s="7"/>
      <c r="AP1986" s="4"/>
      <c r="AQ1986" s="8"/>
      <c r="AR1986" s="4"/>
      <c r="AS1986" s="8"/>
      <c r="AT1986" s="7"/>
      <c r="AU1986" s="7"/>
      <c r="AV1986" s="4" t="s">
        <v>228</v>
      </c>
      <c r="AW1986" s="8" t="s">
        <v>228</v>
      </c>
      <c r="AX1986" s="4" t="s">
        <v>228</v>
      </c>
      <c r="AY1986" s="8" t="s">
        <v>228</v>
      </c>
      <c r="AZ1986" s="7" t="s">
        <v>228</v>
      </c>
      <c r="BA1986" s="7" t="s">
        <v>228</v>
      </c>
      <c r="BB1986" s="7" t="s">
        <v>228</v>
      </c>
      <c r="BC1986" s="4" t="s">
        <v>228</v>
      </c>
      <c r="BD1986" s="8" t="s">
        <v>228</v>
      </c>
      <c r="BE1986" s="4" t="s">
        <v>228</v>
      </c>
      <c r="BF1986" s="8" t="s">
        <v>228</v>
      </c>
      <c r="BG1986" s="7" t="s">
        <v>228</v>
      </c>
      <c r="BH1986" s="7" t="s">
        <v>228</v>
      </c>
      <c r="BI1986" s="7"/>
      <c r="BJ1986" s="4">
        <v>3</v>
      </c>
      <c r="BK1986" s="8">
        <v>103.49</v>
      </c>
      <c r="BL1986" s="2" t="s">
        <v>521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9620</v>
      </c>
      <c r="BV1986" s="2" t="s">
        <v>228</v>
      </c>
      <c r="BW1986" s="2" t="s">
        <v>228</v>
      </c>
      <c r="BX1986" s="2" t="s">
        <v>273</v>
      </c>
      <c r="BY1986" s="2" t="s">
        <v>274</v>
      </c>
      <c r="BZ1986" s="2" t="s">
        <v>240</v>
      </c>
      <c r="CA1986" s="2" t="s">
        <v>5801</v>
      </c>
      <c r="CB1986" s="2" t="s">
        <v>228</v>
      </c>
      <c r="CC1986" s="2" t="s">
        <v>241</v>
      </c>
      <c r="CD1986" s="2" t="s">
        <v>228</v>
      </c>
      <c r="CE1986" s="4">
        <v>85</v>
      </c>
      <c r="CF1986" s="4"/>
      <c r="CG1986" s="4"/>
      <c r="CH1986" s="4"/>
      <c r="CI1986" s="4"/>
      <c r="CJ1986" s="4"/>
      <c r="CK1986" s="4"/>
      <c r="CL1986" s="4"/>
      <c r="CM1986" s="4"/>
      <c r="CN1986" s="4"/>
      <c r="CO1986" s="4"/>
      <c r="CP1986" s="4"/>
      <c r="CQ1986" s="4"/>
      <c r="CR1986" s="4"/>
      <c r="CS1986" s="4"/>
      <c r="CT1986" s="4"/>
      <c r="CU1986" s="4"/>
      <c r="CV1986" s="4"/>
      <c r="CW1986" s="4"/>
      <c r="CX1986" s="4"/>
      <c r="CY1986" s="4"/>
      <c r="CZ1986" s="4"/>
      <c r="DA1986" s="4"/>
      <c r="DB1986" s="4"/>
      <c r="DC1986" s="4"/>
      <c r="DD1986" s="4"/>
      <c r="DE1986" s="4"/>
      <c r="DF1986" s="4"/>
      <c r="DG1986" s="4"/>
      <c r="DH1986" s="4"/>
      <c r="DI1986" s="4"/>
      <c r="DJ1986" s="4"/>
      <c r="DK1986" s="4"/>
      <c r="DL1986" s="4"/>
      <c r="DM1986" s="4"/>
      <c r="DN1986" s="4"/>
      <c r="DO1986" s="4"/>
      <c r="DP1986" s="4"/>
      <c r="DQ1986" s="4"/>
      <c r="DR1986" s="4"/>
      <c r="DS1986" s="4"/>
      <c r="DT1986" s="4"/>
      <c r="DU1986" s="4"/>
      <c r="DV1986" s="4"/>
      <c r="DW1986" s="4"/>
      <c r="DX1986" s="4"/>
      <c r="DY1986" s="4"/>
      <c r="DZ1986" s="4"/>
      <c r="EA1986" s="4"/>
      <c r="EB1986" s="4"/>
      <c r="EC1986" s="4"/>
      <c r="ED1986" s="4"/>
      <c r="EE1986" s="4"/>
      <c r="EF1986" s="4"/>
      <c r="EG1986" s="4"/>
      <c r="EH1986" s="4"/>
      <c r="EI1986" s="4"/>
      <c r="EJ1986" s="4"/>
      <c r="EK1986" s="4"/>
      <c r="EL1986" s="4"/>
      <c r="EM1986" s="4"/>
      <c r="EN1986" s="4"/>
      <c r="EO1986" s="4"/>
      <c r="EP1986" s="4"/>
      <c r="EQ1986" s="4"/>
      <c r="ER1986" s="4"/>
      <c r="ES1986" s="4"/>
      <c r="ET1986" s="4"/>
      <c r="EU1986" s="4"/>
      <c r="EV1986" s="4"/>
      <c r="EW1986" s="4"/>
      <c r="EX1986" s="4"/>
      <c r="EY1986" s="4"/>
      <c r="EZ1986" s="4"/>
      <c r="FA1986" s="4"/>
      <c r="FB1986" s="4"/>
      <c r="FC1986" s="4"/>
      <c r="FD1986" s="4"/>
      <c r="FE1986" s="4"/>
      <c r="FF1986" s="4"/>
      <c r="FG1986" s="4"/>
      <c r="FH1986" s="4"/>
      <c r="FI1986" s="4"/>
      <c r="FJ1986" s="4"/>
      <c r="FK1986" s="4"/>
      <c r="FL1986" s="4"/>
      <c r="FM1986" s="4"/>
      <c r="FN1986" s="4"/>
      <c r="FO1986" s="4"/>
      <c r="FP1986" s="4"/>
      <c r="FQ1986" s="4"/>
      <c r="FR1986" s="4"/>
      <c r="FS1986" s="4"/>
      <c r="FT1986" s="4"/>
      <c r="FU1986" s="4"/>
      <c r="FV1986" s="4"/>
      <c r="FW1986" s="4"/>
      <c r="FX1986" s="4"/>
      <c r="FY1986" s="4"/>
      <c r="FZ1986" s="4"/>
      <c r="GA1986" s="4"/>
      <c r="GB1986" s="4"/>
      <c r="GC1986" s="4"/>
      <c r="GD1986" s="4"/>
      <c r="GE1986" s="4"/>
      <c r="GF1986" s="4"/>
      <c r="GG1986" s="4"/>
      <c r="GH1986" s="4"/>
      <c r="GI1986" s="4"/>
      <c r="GJ1986" s="4"/>
      <c r="GK1986" s="4"/>
      <c r="GL1986" s="4"/>
      <c r="GM1986" s="4"/>
      <c r="GN1986" s="4"/>
      <c r="GO1986" s="4"/>
      <c r="GP1986" s="4"/>
      <c r="GQ1986" s="4"/>
      <c r="GR1986" s="4"/>
      <c r="GS1986" s="4"/>
      <c r="GT1986" s="4"/>
      <c r="GU1986" s="4"/>
      <c r="GV1986" s="4"/>
      <c r="GW1986" s="4"/>
      <c r="GX1986" s="4"/>
      <c r="GY1986" s="4"/>
      <c r="GZ1986" s="4"/>
      <c r="HA1986" s="4"/>
      <c r="HB1986" s="4">
        <v>30</v>
      </c>
      <c r="HC1986" s="4"/>
      <c r="HD1986" s="4"/>
      <c r="HE1986" s="4"/>
    </row>
    <row r="1987">
      <c r="A1987" s="2" t="s">
        <v>9621</v>
      </c>
      <c r="B1987" s="2" t="s">
        <v>223</v>
      </c>
      <c r="C1987" s="2" t="s">
        <v>3635</v>
      </c>
      <c r="D1987" s="2" t="s">
        <v>1407</v>
      </c>
      <c r="E1987" s="2" t="s">
        <v>3636</v>
      </c>
      <c r="F1987" s="2" t="s">
        <v>9622</v>
      </c>
      <c r="G1987" s="2" t="s">
        <v>9622</v>
      </c>
      <c r="H1987" s="2" t="s">
        <v>9622</v>
      </c>
      <c r="I1987" s="2" t="s">
        <v>3638</v>
      </c>
      <c r="J1987" s="2" t="s">
        <v>284</v>
      </c>
      <c r="K1987" s="2" t="s">
        <v>265</v>
      </c>
      <c r="L1987" s="3">
        <v>50.08</v>
      </c>
      <c r="M1987" s="3">
        <v>52.58</v>
      </c>
      <c r="N1987" s="3">
        <v>99.99</v>
      </c>
      <c r="O1987" s="2" t="s">
        <v>461</v>
      </c>
      <c r="P1987" s="2" t="s">
        <v>922</v>
      </c>
      <c r="Q1987" s="2" t="s">
        <v>234</v>
      </c>
      <c r="R1987" s="2" t="s">
        <v>228</v>
      </c>
      <c r="S1987" s="2" t="s">
        <v>228</v>
      </c>
      <c r="T1987" s="2" t="s">
        <v>675</v>
      </c>
      <c r="U1987" s="2" t="s">
        <v>416</v>
      </c>
      <c r="V1987" s="2" t="s">
        <v>236</v>
      </c>
      <c r="W1987" s="2" t="s">
        <v>269</v>
      </c>
      <c r="X1987" s="2" t="s">
        <v>228</v>
      </c>
      <c r="Y1987" s="2" t="s">
        <v>1898</v>
      </c>
      <c r="Z1987" s="4">
        <v>117</v>
      </c>
      <c r="AA1987" s="4">
        <f>=ROUNDDOWN(117,0)</f>
      </c>
      <c r="AB1987" s="5">
        <v>1</v>
      </c>
      <c r="AC1987" s="2" t="s">
        <v>228</v>
      </c>
      <c r="AD1987" s="4"/>
      <c r="AE1987" s="4"/>
      <c r="AF1987" s="6">
        <v>58</v>
      </c>
      <c r="AG1987" s="6"/>
      <c r="AH1987" s="7">
        <v>1</v>
      </c>
      <c r="AI1987" s="4"/>
      <c r="AJ1987" s="4">
        <f>=ROUNDDOWN({0},0)</f>
      </c>
      <c r="AK1987" s="5"/>
      <c r="AL1987" s="2" t="s">
        <v>228</v>
      </c>
      <c r="AM1987" s="4"/>
      <c r="AN1987" s="4"/>
      <c r="AO1987" s="7"/>
      <c r="AP1987" s="4"/>
      <c r="AQ1987" s="8"/>
      <c r="AR1987" s="4"/>
      <c r="AS1987" s="8"/>
      <c r="AT1987" s="7"/>
      <c r="AU1987" s="7"/>
      <c r="AV1987" s="4"/>
      <c r="AW1987" s="8"/>
      <c r="AX1987" s="4"/>
      <c r="AY1987" s="8"/>
      <c r="AZ1987" s="7"/>
      <c r="BA1987" s="7"/>
      <c r="BB1987" s="7"/>
      <c r="BC1987" s="4" t="s">
        <v>228</v>
      </c>
      <c r="BD1987" s="8" t="s">
        <v>228</v>
      </c>
      <c r="BE1987" s="4" t="s">
        <v>228</v>
      </c>
      <c r="BF1987" s="8" t="s">
        <v>228</v>
      </c>
      <c r="BG1987" s="7" t="s">
        <v>228</v>
      </c>
      <c r="BH1987" s="7" t="s">
        <v>228</v>
      </c>
      <c r="BI1987" s="7"/>
      <c r="BJ1987" s="4">
        <v>32</v>
      </c>
      <c r="BK1987" s="8">
        <v>839.66</v>
      </c>
      <c r="BL1987" s="2" t="s">
        <v>1322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9623</v>
      </c>
      <c r="BV1987" s="2" t="s">
        <v>228</v>
      </c>
      <c r="BW1987" s="2" t="s">
        <v>228</v>
      </c>
      <c r="BX1987" s="2" t="s">
        <v>337</v>
      </c>
      <c r="BY1987" s="2" t="s">
        <v>274</v>
      </c>
      <c r="BZ1987" s="2" t="s">
        <v>240</v>
      </c>
      <c r="CA1987" s="2" t="s">
        <v>1685</v>
      </c>
      <c r="CB1987" s="2" t="s">
        <v>8104</v>
      </c>
      <c r="CC1987" s="2" t="s">
        <v>241</v>
      </c>
      <c r="CD1987" s="2" t="s">
        <v>228</v>
      </c>
      <c r="CE1987" s="4">
        <v>117</v>
      </c>
      <c r="CF1987" s="4"/>
      <c r="CG1987" s="4"/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  <c r="CW1987" s="4"/>
      <c r="CX1987" s="4"/>
      <c r="CY1987" s="4"/>
      <c r="CZ1987" s="4"/>
      <c r="DA1987" s="4"/>
      <c r="DB1987" s="4"/>
      <c r="DC1987" s="4"/>
      <c r="DD1987" s="4"/>
      <c r="DE1987" s="4"/>
      <c r="DF1987" s="4"/>
      <c r="DG1987" s="4"/>
      <c r="DH1987" s="4"/>
      <c r="DI1987" s="4"/>
      <c r="DJ1987" s="4"/>
      <c r="DK1987" s="4"/>
      <c r="DL1987" s="4"/>
      <c r="DM1987" s="4"/>
      <c r="DN1987" s="4"/>
      <c r="DO1987" s="4"/>
      <c r="DP1987" s="4"/>
      <c r="DQ1987" s="4"/>
      <c r="DR1987" s="4"/>
      <c r="DS1987" s="4"/>
      <c r="DT1987" s="4"/>
      <c r="DU1987" s="4"/>
      <c r="DV1987" s="4"/>
      <c r="DW1987" s="4"/>
      <c r="DX1987" s="4"/>
      <c r="DY1987" s="4"/>
      <c r="DZ1987" s="4"/>
      <c r="EA1987" s="4"/>
      <c r="EB1987" s="4"/>
      <c r="EC1987" s="4"/>
      <c r="ED1987" s="4"/>
      <c r="EE1987" s="4"/>
      <c r="EF1987" s="4"/>
      <c r="EG1987" s="4"/>
      <c r="EH1987" s="4"/>
      <c r="EI1987" s="4"/>
      <c r="EJ1987" s="4"/>
      <c r="EK1987" s="4"/>
      <c r="EL1987" s="4"/>
      <c r="EM1987" s="4"/>
      <c r="EN1987" s="4"/>
      <c r="EO1987" s="4"/>
      <c r="EP1987" s="4"/>
      <c r="EQ1987" s="4"/>
      <c r="ER1987" s="4"/>
      <c r="ES1987" s="4"/>
      <c r="ET1987" s="4"/>
      <c r="EU1987" s="4"/>
      <c r="EV1987" s="4"/>
      <c r="EW1987" s="4"/>
      <c r="EX1987" s="4"/>
      <c r="EY1987" s="4"/>
      <c r="EZ1987" s="4"/>
      <c r="FA1987" s="4"/>
      <c r="FB1987" s="4"/>
      <c r="FC1987" s="4"/>
      <c r="FD1987" s="4"/>
      <c r="FE1987" s="4"/>
      <c r="FF1987" s="4"/>
      <c r="FG1987" s="4"/>
      <c r="FH1987" s="4"/>
      <c r="FI1987" s="4"/>
      <c r="FJ1987" s="4"/>
      <c r="FK1987" s="4"/>
      <c r="FL1987" s="4"/>
      <c r="FM1987" s="4"/>
      <c r="FN1987" s="4"/>
      <c r="FO1987" s="4"/>
      <c r="FP1987" s="4"/>
      <c r="FQ1987" s="4"/>
      <c r="FR1987" s="4"/>
      <c r="FS1987" s="4"/>
      <c r="FT1987" s="4"/>
      <c r="FU1987" s="4"/>
      <c r="FV1987" s="4"/>
      <c r="FW1987" s="4"/>
      <c r="FX1987" s="4"/>
      <c r="FY1987" s="4"/>
      <c r="FZ1987" s="4"/>
      <c r="GA1987" s="4"/>
      <c r="GB1987" s="4"/>
      <c r="GC1987" s="4"/>
      <c r="GD1987" s="4"/>
      <c r="GE1987" s="4"/>
      <c r="GF1987" s="4"/>
      <c r="GG1987" s="4"/>
      <c r="GH1987" s="4"/>
      <c r="GI1987" s="4"/>
      <c r="GJ1987" s="4"/>
      <c r="GK1987" s="4"/>
      <c r="GL1987" s="4"/>
      <c r="GM1987" s="4"/>
      <c r="GN1987" s="4"/>
      <c r="GO1987" s="4"/>
      <c r="GP1987" s="4"/>
      <c r="GQ1987" s="4"/>
      <c r="GR1987" s="4"/>
      <c r="GS1987" s="4"/>
      <c r="GT1987" s="4"/>
      <c r="GU1987" s="4"/>
      <c r="GV1987" s="4"/>
      <c r="GW1987" s="4"/>
      <c r="GX1987" s="4"/>
      <c r="GY1987" s="4"/>
      <c r="GZ1987" s="4"/>
      <c r="HA1987" s="4"/>
      <c r="HB1987" s="4"/>
      <c r="HC1987" s="4"/>
      <c r="HD1987" s="4"/>
      <c r="HE1987" s="4"/>
    </row>
    <row r="1988">
      <c r="A1988" s="2" t="s">
        <v>9624</v>
      </c>
      <c r="B1988" s="2" t="s">
        <v>223</v>
      </c>
      <c r="C1988" s="2" t="s">
        <v>3635</v>
      </c>
      <c r="D1988" s="2" t="s">
        <v>1407</v>
      </c>
      <c r="E1988" s="2" t="s">
        <v>3636</v>
      </c>
      <c r="F1988" s="2" t="s">
        <v>9622</v>
      </c>
      <c r="G1988" s="2" t="s">
        <v>9622</v>
      </c>
      <c r="H1988" s="2" t="s">
        <v>9622</v>
      </c>
      <c r="I1988" s="2" t="s">
        <v>3638</v>
      </c>
      <c r="J1988" s="2" t="s">
        <v>289</v>
      </c>
      <c r="K1988" s="2" t="s">
        <v>1421</v>
      </c>
      <c r="L1988" s="3">
        <v>72.34</v>
      </c>
      <c r="M1988" s="3">
        <v>75.96</v>
      </c>
      <c r="N1988" s="3">
        <v>144.99</v>
      </c>
      <c r="O1988" s="2" t="s">
        <v>461</v>
      </c>
      <c r="P1988" s="2" t="s">
        <v>922</v>
      </c>
      <c r="Q1988" s="2" t="s">
        <v>234</v>
      </c>
      <c r="R1988" s="2" t="s">
        <v>228</v>
      </c>
      <c r="S1988" s="2" t="s">
        <v>228</v>
      </c>
      <c r="T1988" s="2" t="s">
        <v>675</v>
      </c>
      <c r="U1988" s="2" t="s">
        <v>416</v>
      </c>
      <c r="V1988" s="2" t="s">
        <v>236</v>
      </c>
      <c r="W1988" s="2" t="s">
        <v>269</v>
      </c>
      <c r="X1988" s="2" t="s">
        <v>228</v>
      </c>
      <c r="Y1988" s="2" t="s">
        <v>1898</v>
      </c>
      <c r="Z1988" s="4">
        <v>34</v>
      </c>
      <c r="AA1988" s="4">
        <f>=ROUNDDOWN(34,0)</f>
      </c>
      <c r="AB1988" s="5">
        <v>1</v>
      </c>
      <c r="AC1988" s="2" t="s">
        <v>228</v>
      </c>
      <c r="AD1988" s="4"/>
      <c r="AE1988" s="4"/>
      <c r="AF1988" s="6">
        <v>58</v>
      </c>
      <c r="AG1988" s="6"/>
      <c r="AH1988" s="7">
        <v>1</v>
      </c>
      <c r="AI1988" s="4"/>
      <c r="AJ1988" s="4">
        <f>=ROUNDDOWN({0},0)</f>
      </c>
      <c r="AK1988" s="5"/>
      <c r="AL1988" s="2" t="s">
        <v>228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/>
      <c r="AW1988" s="8"/>
      <c r="AX1988" s="4"/>
      <c r="AY1988" s="8"/>
      <c r="AZ1988" s="7"/>
      <c r="BA1988" s="7"/>
      <c r="BB1988" s="7"/>
      <c r="BC1988" s="4" t="s">
        <v>228</v>
      </c>
      <c r="BD1988" s="8" t="s">
        <v>228</v>
      </c>
      <c r="BE1988" s="4" t="s">
        <v>228</v>
      </c>
      <c r="BF1988" s="8" t="s">
        <v>228</v>
      </c>
      <c r="BG1988" s="7" t="s">
        <v>228</v>
      </c>
      <c r="BH1988" s="7" t="s">
        <v>228</v>
      </c>
      <c r="BI1988" s="7"/>
      <c r="BJ1988" s="4">
        <v>8</v>
      </c>
      <c r="BK1988" s="8">
        <v>303.3</v>
      </c>
      <c r="BL1988" s="2" t="s">
        <v>1322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9625</v>
      </c>
      <c r="BV1988" s="2" t="s">
        <v>228</v>
      </c>
      <c r="BW1988" s="2" t="s">
        <v>228</v>
      </c>
      <c r="BX1988" s="2" t="s">
        <v>337</v>
      </c>
      <c r="BY1988" s="2" t="s">
        <v>274</v>
      </c>
      <c r="BZ1988" s="2" t="s">
        <v>240</v>
      </c>
      <c r="CA1988" s="2" t="s">
        <v>1685</v>
      </c>
      <c r="CB1988" s="2" t="s">
        <v>9626</v>
      </c>
      <c r="CC1988" s="2" t="s">
        <v>241</v>
      </c>
      <c r="CD1988" s="2" t="s">
        <v>228</v>
      </c>
      <c r="CE1988" s="4">
        <v>34</v>
      </c>
      <c r="CF1988" s="4"/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  <c r="CW1988" s="4"/>
      <c r="CX1988" s="4"/>
      <c r="CY1988" s="4"/>
      <c r="CZ1988" s="4"/>
      <c r="DA1988" s="4"/>
      <c r="DB1988" s="4"/>
      <c r="DC1988" s="4"/>
      <c r="DD1988" s="4"/>
      <c r="DE1988" s="4"/>
      <c r="DF1988" s="4"/>
      <c r="DG1988" s="4"/>
      <c r="DH1988" s="4"/>
      <c r="DI1988" s="4"/>
      <c r="DJ1988" s="4"/>
      <c r="DK1988" s="4"/>
      <c r="DL1988" s="4"/>
      <c r="DM1988" s="4"/>
      <c r="DN1988" s="4"/>
      <c r="DO1988" s="4"/>
      <c r="DP1988" s="4"/>
      <c r="DQ1988" s="4"/>
      <c r="DR1988" s="4"/>
      <c r="DS1988" s="4"/>
      <c r="DT1988" s="4"/>
      <c r="DU1988" s="4"/>
      <c r="DV1988" s="4"/>
      <c r="DW1988" s="4"/>
      <c r="DX1988" s="4"/>
      <c r="DY1988" s="4"/>
      <c r="DZ1988" s="4"/>
      <c r="EA1988" s="4"/>
      <c r="EB1988" s="4"/>
      <c r="EC1988" s="4"/>
      <c r="ED1988" s="4"/>
      <c r="EE1988" s="4"/>
      <c r="EF1988" s="4"/>
      <c r="EG1988" s="4"/>
      <c r="EH1988" s="4"/>
      <c r="EI1988" s="4"/>
      <c r="EJ1988" s="4"/>
      <c r="EK1988" s="4"/>
      <c r="EL1988" s="4"/>
      <c r="EM1988" s="4"/>
      <c r="EN1988" s="4"/>
      <c r="EO1988" s="4"/>
      <c r="EP1988" s="4"/>
      <c r="EQ1988" s="4"/>
      <c r="ER1988" s="4"/>
      <c r="ES1988" s="4"/>
      <c r="ET1988" s="4"/>
      <c r="EU1988" s="4"/>
      <c r="EV1988" s="4"/>
      <c r="EW1988" s="4"/>
      <c r="EX1988" s="4"/>
      <c r="EY1988" s="4"/>
      <c r="EZ1988" s="4"/>
      <c r="FA1988" s="4"/>
      <c r="FB1988" s="4"/>
      <c r="FC1988" s="4"/>
      <c r="FD1988" s="4"/>
      <c r="FE1988" s="4"/>
      <c r="FF1988" s="4"/>
      <c r="FG1988" s="4"/>
      <c r="FH1988" s="4"/>
      <c r="FI1988" s="4"/>
      <c r="FJ1988" s="4"/>
      <c r="FK1988" s="4"/>
      <c r="FL1988" s="4"/>
      <c r="FM1988" s="4"/>
      <c r="FN1988" s="4"/>
      <c r="FO1988" s="4"/>
      <c r="FP1988" s="4"/>
      <c r="FQ1988" s="4"/>
      <c r="FR1988" s="4"/>
      <c r="FS1988" s="4"/>
      <c r="FT1988" s="4"/>
      <c r="FU1988" s="4"/>
      <c r="FV1988" s="4"/>
      <c r="FW1988" s="4"/>
      <c r="FX1988" s="4"/>
      <c r="FY1988" s="4"/>
      <c r="FZ1988" s="4"/>
      <c r="GA1988" s="4"/>
      <c r="GB1988" s="4"/>
      <c r="GC1988" s="4"/>
      <c r="GD1988" s="4"/>
      <c r="GE1988" s="4"/>
      <c r="GF1988" s="4"/>
      <c r="GG1988" s="4"/>
      <c r="GH1988" s="4"/>
      <c r="GI1988" s="4"/>
      <c r="GJ1988" s="4"/>
      <c r="GK1988" s="4"/>
      <c r="GL1988" s="4"/>
      <c r="GM1988" s="4"/>
      <c r="GN1988" s="4"/>
      <c r="GO1988" s="4"/>
      <c r="GP1988" s="4"/>
      <c r="GQ1988" s="4"/>
      <c r="GR1988" s="4"/>
      <c r="GS1988" s="4"/>
      <c r="GT1988" s="4"/>
      <c r="GU1988" s="4"/>
      <c r="GV1988" s="4"/>
      <c r="GW1988" s="4"/>
      <c r="GX1988" s="4"/>
      <c r="GY1988" s="4"/>
      <c r="GZ1988" s="4"/>
      <c r="HA1988" s="4"/>
      <c r="HB1988" s="4"/>
      <c r="HC1988" s="4"/>
      <c r="HD1988" s="4"/>
      <c r="HE1988" s="4"/>
    </row>
    <row r="1989">
      <c r="A1989" s="2" t="s">
        <v>9627</v>
      </c>
      <c r="B1989" s="2" t="s">
        <v>223</v>
      </c>
      <c r="C1989" s="2" t="s">
        <v>3635</v>
      </c>
      <c r="D1989" s="2" t="s">
        <v>1407</v>
      </c>
      <c r="E1989" s="2" t="s">
        <v>3636</v>
      </c>
      <c r="F1989" s="2" t="s">
        <v>9622</v>
      </c>
      <c r="G1989" s="2" t="s">
        <v>9622</v>
      </c>
      <c r="H1989" s="2" t="s">
        <v>9622</v>
      </c>
      <c r="I1989" s="2" t="s">
        <v>3638</v>
      </c>
      <c r="J1989" s="2" t="s">
        <v>284</v>
      </c>
      <c r="K1989" s="2" t="s">
        <v>1960</v>
      </c>
      <c r="L1989" s="3">
        <v>50.08</v>
      </c>
      <c r="M1989" s="3">
        <v>52.58</v>
      </c>
      <c r="N1989" s="3">
        <v>99.99</v>
      </c>
      <c r="O1989" s="2" t="s">
        <v>461</v>
      </c>
      <c r="P1989" s="2" t="s">
        <v>922</v>
      </c>
      <c r="Q1989" s="2" t="s">
        <v>234</v>
      </c>
      <c r="R1989" s="2" t="s">
        <v>228</v>
      </c>
      <c r="S1989" s="2" t="s">
        <v>228</v>
      </c>
      <c r="T1989" s="2" t="s">
        <v>675</v>
      </c>
      <c r="U1989" s="2" t="s">
        <v>416</v>
      </c>
      <c r="V1989" s="2" t="s">
        <v>236</v>
      </c>
      <c r="W1989" s="2" t="s">
        <v>269</v>
      </c>
      <c r="X1989" s="2" t="s">
        <v>228</v>
      </c>
      <c r="Y1989" s="2" t="s">
        <v>1898</v>
      </c>
      <c r="Z1989" s="4">
        <v>147</v>
      </c>
      <c r="AA1989" s="4">
        <f>=ROUNDDOWN(7.86096256684492,0)</f>
      </c>
      <c r="AB1989" s="5">
        <v>18.7</v>
      </c>
      <c r="AC1989" s="2" t="s">
        <v>228</v>
      </c>
      <c r="AD1989" s="4"/>
      <c r="AE1989" s="4"/>
      <c r="AF1989" s="6">
        <v>58</v>
      </c>
      <c r="AG1989" s="6"/>
      <c r="AH1989" s="7">
        <v>1</v>
      </c>
      <c r="AI1989" s="4"/>
      <c r="AJ1989" s="4">
        <f>=ROUNDDOWN({0},0)</f>
      </c>
      <c r="AK1989" s="5"/>
      <c r="AL1989" s="2" t="s">
        <v>228</v>
      </c>
      <c r="AM1989" s="4"/>
      <c r="AN1989" s="4"/>
      <c r="AO1989" s="7"/>
      <c r="AP1989" s="4"/>
      <c r="AQ1989" s="8"/>
      <c r="AR1989" s="4"/>
      <c r="AS1989" s="8"/>
      <c r="AT1989" s="7"/>
      <c r="AU1989" s="7"/>
      <c r="AV1989" s="4" t="s">
        <v>228</v>
      </c>
      <c r="AW1989" s="8" t="s">
        <v>228</v>
      </c>
      <c r="AX1989" s="4" t="s">
        <v>228</v>
      </c>
      <c r="AY1989" s="8" t="s">
        <v>228</v>
      </c>
      <c r="AZ1989" s="7" t="s">
        <v>228</v>
      </c>
      <c r="BA1989" s="7" t="s">
        <v>228</v>
      </c>
      <c r="BB1989" s="7"/>
      <c r="BC1989" s="4" t="s">
        <v>228</v>
      </c>
      <c r="BD1989" s="8" t="s">
        <v>228</v>
      </c>
      <c r="BE1989" s="4" t="s">
        <v>228</v>
      </c>
      <c r="BF1989" s="8" t="s">
        <v>228</v>
      </c>
      <c r="BG1989" s="7" t="s">
        <v>228</v>
      </c>
      <c r="BH1989" s="7" t="s">
        <v>228</v>
      </c>
      <c r="BI1989" s="7"/>
      <c r="BJ1989" s="4">
        <v>19</v>
      </c>
      <c r="BK1989" s="8">
        <v>524.72</v>
      </c>
      <c r="BL1989" s="2" t="s">
        <v>9628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9629</v>
      </c>
      <c r="BV1989" s="2" t="s">
        <v>228</v>
      </c>
      <c r="BW1989" s="2" t="s">
        <v>228</v>
      </c>
      <c r="BX1989" s="2" t="s">
        <v>337</v>
      </c>
      <c r="BY1989" s="2" t="s">
        <v>274</v>
      </c>
      <c r="BZ1989" s="2" t="s">
        <v>240</v>
      </c>
      <c r="CA1989" s="2" t="s">
        <v>1685</v>
      </c>
      <c r="CB1989" s="2" t="s">
        <v>5829</v>
      </c>
      <c r="CC1989" s="2" t="s">
        <v>241</v>
      </c>
      <c r="CD1989" s="2" t="s">
        <v>228</v>
      </c>
      <c r="CE1989" s="4">
        <v>147</v>
      </c>
      <c r="CF1989" s="4"/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4"/>
      <c r="CX1989" s="4"/>
      <c r="CY1989" s="4"/>
      <c r="CZ1989" s="4"/>
      <c r="DA1989" s="4"/>
      <c r="DB1989" s="4"/>
      <c r="DC1989" s="4"/>
      <c r="DD1989" s="4"/>
      <c r="DE1989" s="4"/>
      <c r="DF1989" s="4"/>
      <c r="DG1989" s="4"/>
      <c r="DH1989" s="4"/>
      <c r="DI1989" s="4"/>
      <c r="DJ1989" s="4"/>
      <c r="DK1989" s="4"/>
      <c r="DL1989" s="4"/>
      <c r="DM1989" s="4"/>
      <c r="DN1989" s="4"/>
      <c r="DO1989" s="4"/>
      <c r="DP1989" s="4"/>
      <c r="DQ1989" s="4"/>
      <c r="DR1989" s="4"/>
      <c r="DS1989" s="4"/>
      <c r="DT1989" s="4"/>
      <c r="DU1989" s="4"/>
      <c r="DV1989" s="4"/>
      <c r="DW1989" s="4"/>
      <c r="DX1989" s="4"/>
      <c r="DY1989" s="4"/>
      <c r="DZ1989" s="4"/>
      <c r="EA1989" s="4"/>
      <c r="EB1989" s="4"/>
      <c r="EC1989" s="4"/>
      <c r="ED1989" s="4"/>
      <c r="EE1989" s="4"/>
      <c r="EF1989" s="4"/>
      <c r="EG1989" s="4"/>
      <c r="EH1989" s="4"/>
      <c r="EI1989" s="4"/>
      <c r="EJ1989" s="4"/>
      <c r="EK1989" s="4"/>
      <c r="EL1989" s="4"/>
      <c r="EM1989" s="4"/>
      <c r="EN1989" s="4"/>
      <c r="EO1989" s="4"/>
      <c r="EP1989" s="4"/>
      <c r="EQ1989" s="4"/>
      <c r="ER1989" s="4"/>
      <c r="ES1989" s="4"/>
      <c r="ET1989" s="4"/>
      <c r="EU1989" s="4"/>
      <c r="EV1989" s="4"/>
      <c r="EW1989" s="4"/>
      <c r="EX1989" s="4"/>
      <c r="EY1989" s="4"/>
      <c r="EZ1989" s="4"/>
      <c r="FA1989" s="4"/>
      <c r="FB1989" s="4"/>
      <c r="FC1989" s="4"/>
      <c r="FD1989" s="4"/>
      <c r="FE1989" s="4"/>
      <c r="FF1989" s="4"/>
      <c r="FG1989" s="4"/>
      <c r="FH1989" s="4"/>
      <c r="FI1989" s="4"/>
      <c r="FJ1989" s="4"/>
      <c r="FK1989" s="4"/>
      <c r="FL1989" s="4"/>
      <c r="FM1989" s="4"/>
      <c r="FN1989" s="4"/>
      <c r="FO1989" s="4"/>
      <c r="FP1989" s="4"/>
      <c r="FQ1989" s="4"/>
      <c r="FR1989" s="4"/>
      <c r="FS1989" s="4"/>
      <c r="FT1989" s="4"/>
      <c r="FU1989" s="4"/>
      <c r="FV1989" s="4"/>
      <c r="FW1989" s="4"/>
      <c r="FX1989" s="4"/>
      <c r="FY1989" s="4"/>
      <c r="FZ1989" s="4"/>
      <c r="GA1989" s="4"/>
      <c r="GB1989" s="4"/>
      <c r="GC1989" s="4"/>
      <c r="GD1989" s="4"/>
      <c r="GE1989" s="4"/>
      <c r="GF1989" s="4"/>
      <c r="GG1989" s="4"/>
      <c r="GH1989" s="4"/>
      <c r="GI1989" s="4"/>
      <c r="GJ1989" s="4"/>
      <c r="GK1989" s="4"/>
      <c r="GL1989" s="4"/>
      <c r="GM1989" s="4"/>
      <c r="GN1989" s="4"/>
      <c r="GO1989" s="4"/>
      <c r="GP1989" s="4"/>
      <c r="GQ1989" s="4"/>
      <c r="GR1989" s="4"/>
      <c r="GS1989" s="4"/>
      <c r="GT1989" s="4"/>
      <c r="GU1989" s="4"/>
      <c r="GV1989" s="4"/>
      <c r="GW1989" s="4"/>
      <c r="GX1989" s="4"/>
      <c r="GY1989" s="4"/>
      <c r="GZ1989" s="4"/>
      <c r="HA1989" s="4"/>
      <c r="HB1989" s="4"/>
      <c r="HC1989" s="4"/>
      <c r="HD1989" s="4"/>
      <c r="HE1989" s="4"/>
    </row>
    <row r="1990">
      <c r="A1990" s="2" t="s">
        <v>9630</v>
      </c>
      <c r="B1990" s="2" t="s">
        <v>223</v>
      </c>
      <c r="C1990" s="2" t="s">
        <v>3635</v>
      </c>
      <c r="D1990" s="2" t="s">
        <v>1407</v>
      </c>
      <c r="E1990" s="2" t="s">
        <v>3636</v>
      </c>
      <c r="F1990" s="2" t="s">
        <v>9622</v>
      </c>
      <c r="G1990" s="2" t="s">
        <v>9622</v>
      </c>
      <c r="H1990" s="2" t="s">
        <v>9622</v>
      </c>
      <c r="I1990" s="2" t="s">
        <v>3638</v>
      </c>
      <c r="J1990" s="2" t="s">
        <v>289</v>
      </c>
      <c r="K1990" s="2" t="s">
        <v>1960</v>
      </c>
      <c r="L1990" s="3">
        <v>72.34</v>
      </c>
      <c r="M1990" s="3">
        <v>75.96</v>
      </c>
      <c r="N1990" s="3">
        <v>144.99</v>
      </c>
      <c r="O1990" s="2" t="s">
        <v>461</v>
      </c>
      <c r="P1990" s="2" t="s">
        <v>922</v>
      </c>
      <c r="Q1990" s="2" t="s">
        <v>234</v>
      </c>
      <c r="R1990" s="2" t="s">
        <v>228</v>
      </c>
      <c r="S1990" s="2" t="s">
        <v>228</v>
      </c>
      <c r="T1990" s="2" t="s">
        <v>675</v>
      </c>
      <c r="U1990" s="2" t="s">
        <v>416</v>
      </c>
      <c r="V1990" s="2" t="s">
        <v>236</v>
      </c>
      <c r="W1990" s="2" t="s">
        <v>269</v>
      </c>
      <c r="X1990" s="2" t="s">
        <v>228</v>
      </c>
      <c r="Y1990" s="2" t="s">
        <v>1898</v>
      </c>
      <c r="Z1990" s="4">
        <v>67</v>
      </c>
      <c r="AA1990" s="4">
        <f>=ROUNDDOWN(33.5,0)</f>
      </c>
      <c r="AB1990" s="5">
        <v>2</v>
      </c>
      <c r="AC1990" s="2" t="s">
        <v>228</v>
      </c>
      <c r="AD1990" s="4"/>
      <c r="AE1990" s="4"/>
      <c r="AF1990" s="6">
        <v>58</v>
      </c>
      <c r="AG1990" s="6"/>
      <c r="AH1990" s="7">
        <v>1</v>
      </c>
      <c r="AI1990" s="4"/>
      <c r="AJ1990" s="4">
        <f>=ROUNDDOWN({0},0)</f>
      </c>
      <c r="AK1990" s="5"/>
      <c r="AL1990" s="2" t="s">
        <v>228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 t="s">
        <v>228</v>
      </c>
      <c r="AW1990" s="8" t="s">
        <v>228</v>
      </c>
      <c r="AX1990" s="4" t="s">
        <v>228</v>
      </c>
      <c r="AY1990" s="8" t="s">
        <v>228</v>
      </c>
      <c r="AZ1990" s="7" t="s">
        <v>228</v>
      </c>
      <c r="BA1990" s="7" t="s">
        <v>228</v>
      </c>
      <c r="BB1990" s="7"/>
      <c r="BC1990" s="4" t="s">
        <v>228</v>
      </c>
      <c r="BD1990" s="8" t="s">
        <v>228</v>
      </c>
      <c r="BE1990" s="4" t="s">
        <v>228</v>
      </c>
      <c r="BF1990" s="8" t="s">
        <v>228</v>
      </c>
      <c r="BG1990" s="7" t="s">
        <v>228</v>
      </c>
      <c r="BH1990" s="7" t="s">
        <v>228</v>
      </c>
      <c r="BI1990" s="7"/>
      <c r="BJ1990" s="4">
        <v>8</v>
      </c>
      <c r="BK1990" s="8">
        <v>305.11</v>
      </c>
      <c r="BL1990" s="2" t="s">
        <v>9631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9632</v>
      </c>
      <c r="BV1990" s="2" t="s">
        <v>228</v>
      </c>
      <c r="BW1990" s="2" t="s">
        <v>228</v>
      </c>
      <c r="BX1990" s="2" t="s">
        <v>337</v>
      </c>
      <c r="BY1990" s="2" t="s">
        <v>274</v>
      </c>
      <c r="BZ1990" s="2" t="s">
        <v>240</v>
      </c>
      <c r="CA1990" s="2" t="s">
        <v>1685</v>
      </c>
      <c r="CB1990" s="2" t="s">
        <v>9633</v>
      </c>
      <c r="CC1990" s="2" t="s">
        <v>241</v>
      </c>
      <c r="CD1990" s="2" t="s">
        <v>228</v>
      </c>
      <c r="CE1990" s="4">
        <v>67</v>
      </c>
      <c r="CF1990" s="4"/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4"/>
      <c r="CS1990" s="4"/>
      <c r="CT1990" s="4"/>
      <c r="CU1990" s="4"/>
      <c r="CV1990" s="4"/>
      <c r="CW1990" s="4"/>
      <c r="CX1990" s="4"/>
      <c r="CY1990" s="4"/>
      <c r="CZ1990" s="4"/>
      <c r="DA1990" s="4"/>
      <c r="DB1990" s="4"/>
      <c r="DC1990" s="4"/>
      <c r="DD1990" s="4"/>
      <c r="DE1990" s="4"/>
      <c r="DF1990" s="4"/>
      <c r="DG1990" s="4"/>
      <c r="DH1990" s="4"/>
      <c r="DI1990" s="4"/>
      <c r="DJ1990" s="4"/>
      <c r="DK1990" s="4"/>
      <c r="DL1990" s="4"/>
      <c r="DM1990" s="4"/>
      <c r="DN1990" s="4"/>
      <c r="DO1990" s="4"/>
      <c r="DP1990" s="4"/>
      <c r="DQ1990" s="4"/>
      <c r="DR1990" s="4"/>
      <c r="DS1990" s="4"/>
      <c r="DT1990" s="4"/>
      <c r="DU1990" s="4"/>
      <c r="DV1990" s="4"/>
      <c r="DW1990" s="4"/>
      <c r="DX1990" s="4"/>
      <c r="DY1990" s="4"/>
      <c r="DZ1990" s="4"/>
      <c r="EA1990" s="4"/>
      <c r="EB1990" s="4"/>
      <c r="EC1990" s="4"/>
      <c r="ED1990" s="4"/>
      <c r="EE1990" s="4"/>
      <c r="EF1990" s="4"/>
      <c r="EG1990" s="4"/>
      <c r="EH1990" s="4"/>
      <c r="EI1990" s="4"/>
      <c r="EJ1990" s="4"/>
      <c r="EK1990" s="4"/>
      <c r="EL1990" s="4"/>
      <c r="EM1990" s="4"/>
      <c r="EN1990" s="4"/>
      <c r="EO1990" s="4"/>
      <c r="EP1990" s="4"/>
      <c r="EQ1990" s="4"/>
      <c r="ER1990" s="4"/>
      <c r="ES1990" s="4"/>
      <c r="ET1990" s="4"/>
      <c r="EU1990" s="4"/>
      <c r="EV1990" s="4"/>
      <c r="EW1990" s="4"/>
      <c r="EX1990" s="4"/>
      <c r="EY1990" s="4"/>
      <c r="EZ1990" s="4"/>
      <c r="FA1990" s="4"/>
      <c r="FB1990" s="4"/>
      <c r="FC1990" s="4"/>
      <c r="FD1990" s="4"/>
      <c r="FE1990" s="4"/>
      <c r="FF1990" s="4"/>
      <c r="FG1990" s="4"/>
      <c r="FH1990" s="4"/>
      <c r="FI1990" s="4"/>
      <c r="FJ1990" s="4"/>
      <c r="FK1990" s="4"/>
      <c r="FL1990" s="4"/>
      <c r="FM1990" s="4"/>
      <c r="FN1990" s="4"/>
      <c r="FO1990" s="4"/>
      <c r="FP1990" s="4"/>
      <c r="FQ1990" s="4"/>
      <c r="FR1990" s="4"/>
      <c r="FS1990" s="4"/>
      <c r="FT1990" s="4"/>
      <c r="FU1990" s="4"/>
      <c r="FV1990" s="4"/>
      <c r="FW1990" s="4"/>
      <c r="FX1990" s="4"/>
      <c r="FY1990" s="4"/>
      <c r="FZ1990" s="4"/>
      <c r="GA1990" s="4"/>
      <c r="GB1990" s="4"/>
      <c r="GC1990" s="4"/>
      <c r="GD1990" s="4"/>
      <c r="GE1990" s="4"/>
      <c r="GF1990" s="4"/>
      <c r="GG1990" s="4"/>
      <c r="GH1990" s="4"/>
      <c r="GI1990" s="4"/>
      <c r="GJ1990" s="4"/>
      <c r="GK1990" s="4"/>
      <c r="GL1990" s="4"/>
      <c r="GM1990" s="4"/>
      <c r="GN1990" s="4"/>
      <c r="GO1990" s="4"/>
      <c r="GP1990" s="4"/>
      <c r="GQ1990" s="4"/>
      <c r="GR1990" s="4"/>
      <c r="GS1990" s="4"/>
      <c r="GT1990" s="4"/>
      <c r="GU1990" s="4"/>
      <c r="GV1990" s="4"/>
      <c r="GW1990" s="4"/>
      <c r="GX1990" s="4"/>
      <c r="GY1990" s="4"/>
      <c r="GZ1990" s="4"/>
      <c r="HA1990" s="4"/>
      <c r="HB1990" s="4"/>
      <c r="HC1990" s="4"/>
      <c r="HD1990" s="4"/>
      <c r="HE1990" s="4"/>
    </row>
    <row r="1991">
      <c r="A1991" s="2" t="s">
        <v>9634</v>
      </c>
      <c r="B1991" s="2" t="s">
        <v>223</v>
      </c>
      <c r="C1991" s="2" t="s">
        <v>3635</v>
      </c>
      <c r="D1991" s="2" t="s">
        <v>1407</v>
      </c>
      <c r="E1991" s="2" t="s">
        <v>3636</v>
      </c>
      <c r="F1991" s="2" t="s">
        <v>9622</v>
      </c>
      <c r="G1991" s="2" t="s">
        <v>9622</v>
      </c>
      <c r="H1991" s="2" t="s">
        <v>9622</v>
      </c>
      <c r="I1991" s="2" t="s">
        <v>3638</v>
      </c>
      <c r="J1991" s="2" t="s">
        <v>264</v>
      </c>
      <c r="K1991" s="2" t="s">
        <v>249</v>
      </c>
      <c r="L1991" s="3">
        <v>44.51</v>
      </c>
      <c r="M1991" s="3">
        <v>46.74</v>
      </c>
      <c r="N1991" s="3">
        <v>89.99</v>
      </c>
      <c r="O1991" s="2" t="s">
        <v>461</v>
      </c>
      <c r="P1991" s="2" t="s">
        <v>922</v>
      </c>
      <c r="Q1991" s="2" t="s">
        <v>234</v>
      </c>
      <c r="R1991" s="2" t="s">
        <v>228</v>
      </c>
      <c r="S1991" s="2" t="s">
        <v>228</v>
      </c>
      <c r="T1991" s="2" t="s">
        <v>675</v>
      </c>
      <c r="U1991" s="2" t="s">
        <v>416</v>
      </c>
      <c r="V1991" s="2" t="s">
        <v>236</v>
      </c>
      <c r="W1991" s="2" t="s">
        <v>269</v>
      </c>
      <c r="X1991" s="2" t="s">
        <v>228</v>
      </c>
      <c r="Y1991" s="2" t="s">
        <v>1898</v>
      </c>
      <c r="Z1991" s="4"/>
      <c r="AA1991" s="4">
        <f>=ROUNDDOWN({0},0)</f>
      </c>
      <c r="AB1991" s="5">
        <v>35.4</v>
      </c>
      <c r="AC1991" s="2" t="s">
        <v>228</v>
      </c>
      <c r="AD1991" s="4"/>
      <c r="AE1991" s="4"/>
      <c r="AF1991" s="6">
        <v>58</v>
      </c>
      <c r="AG1991" s="6"/>
      <c r="AH1991" s="7">
        <v>0.7419</v>
      </c>
      <c r="AI1991" s="4"/>
      <c r="AJ1991" s="4">
        <f>=ROUNDDOWN({0},0)</f>
      </c>
      <c r="AK1991" s="5"/>
      <c r="AL1991" s="2" t="s">
        <v>228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 t="s">
        <v>228</v>
      </c>
      <c r="AW1991" s="8" t="s">
        <v>228</v>
      </c>
      <c r="AX1991" s="4" t="s">
        <v>228</v>
      </c>
      <c r="AY1991" s="8" t="s">
        <v>228</v>
      </c>
      <c r="AZ1991" s="7" t="s">
        <v>228</v>
      </c>
      <c r="BA1991" s="7" t="s">
        <v>228</v>
      </c>
      <c r="BB1991" s="7"/>
      <c r="BC1991" s="4" t="s">
        <v>228</v>
      </c>
      <c r="BD1991" s="8" t="s">
        <v>228</v>
      </c>
      <c r="BE1991" s="4" t="s">
        <v>228</v>
      </c>
      <c r="BF1991" s="8" t="s">
        <v>228</v>
      </c>
      <c r="BG1991" s="7" t="s">
        <v>228</v>
      </c>
      <c r="BH1991" s="7" t="s">
        <v>228</v>
      </c>
      <c r="BI1991" s="7"/>
      <c r="BJ1991" s="4">
        <v>27</v>
      </c>
      <c r="BK1991" s="8">
        <v>676.46</v>
      </c>
      <c r="BL1991" s="2" t="s">
        <v>9635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9636</v>
      </c>
      <c r="BV1991" s="2" t="s">
        <v>228</v>
      </c>
      <c r="BW1991" s="2" t="s">
        <v>228</v>
      </c>
      <c r="BX1991" s="2" t="s">
        <v>337</v>
      </c>
      <c r="BY1991" s="2" t="s">
        <v>274</v>
      </c>
      <c r="BZ1991" s="2" t="s">
        <v>240</v>
      </c>
      <c r="CA1991" s="2" t="s">
        <v>1685</v>
      </c>
      <c r="CB1991" s="2" t="s">
        <v>5829</v>
      </c>
      <c r="CC1991" s="2" t="s">
        <v>241</v>
      </c>
      <c r="CD1991" s="2" t="s">
        <v>228</v>
      </c>
      <c r="CE1991" s="4"/>
      <c r="CF1991" s="4"/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  <c r="CW1991" s="4"/>
      <c r="CX1991" s="4"/>
      <c r="CY1991" s="4"/>
      <c r="CZ1991" s="4"/>
      <c r="DA1991" s="4"/>
      <c r="DB1991" s="4"/>
      <c r="DC1991" s="4"/>
      <c r="DD1991" s="4"/>
      <c r="DE1991" s="4"/>
      <c r="DF1991" s="4"/>
      <c r="DG1991" s="4"/>
      <c r="DH1991" s="4"/>
      <c r="DI1991" s="4"/>
      <c r="DJ1991" s="4"/>
      <c r="DK1991" s="4"/>
      <c r="DL1991" s="4"/>
      <c r="DM1991" s="4"/>
      <c r="DN1991" s="4"/>
      <c r="DO1991" s="4"/>
      <c r="DP1991" s="4"/>
      <c r="DQ1991" s="4"/>
      <c r="DR1991" s="4"/>
      <c r="DS1991" s="4"/>
      <c r="DT1991" s="4"/>
      <c r="DU1991" s="4"/>
      <c r="DV1991" s="4"/>
      <c r="DW1991" s="4"/>
      <c r="DX1991" s="4"/>
      <c r="DY1991" s="4"/>
      <c r="DZ1991" s="4"/>
      <c r="EA1991" s="4"/>
      <c r="EB1991" s="4"/>
      <c r="EC1991" s="4"/>
      <c r="ED1991" s="4"/>
      <c r="EE1991" s="4"/>
      <c r="EF1991" s="4"/>
      <c r="EG1991" s="4"/>
      <c r="EH1991" s="4"/>
      <c r="EI1991" s="4"/>
      <c r="EJ1991" s="4"/>
      <c r="EK1991" s="4"/>
      <c r="EL1991" s="4"/>
      <c r="EM1991" s="4"/>
      <c r="EN1991" s="4"/>
      <c r="EO1991" s="4"/>
      <c r="EP1991" s="4"/>
      <c r="EQ1991" s="4"/>
      <c r="ER1991" s="4"/>
      <c r="ES1991" s="4"/>
      <c r="ET1991" s="4"/>
      <c r="EU1991" s="4"/>
      <c r="EV1991" s="4"/>
      <c r="EW1991" s="4"/>
      <c r="EX1991" s="4"/>
      <c r="EY1991" s="4"/>
      <c r="EZ1991" s="4"/>
      <c r="FA1991" s="4"/>
      <c r="FB1991" s="4"/>
      <c r="FC1991" s="4"/>
      <c r="FD1991" s="4"/>
      <c r="FE1991" s="4"/>
      <c r="FF1991" s="4"/>
      <c r="FG1991" s="4"/>
      <c r="FH1991" s="4"/>
      <c r="FI1991" s="4"/>
      <c r="FJ1991" s="4"/>
      <c r="FK1991" s="4"/>
      <c r="FL1991" s="4"/>
      <c r="FM1991" s="4"/>
      <c r="FN1991" s="4"/>
      <c r="FO1991" s="4"/>
      <c r="FP1991" s="4"/>
      <c r="FQ1991" s="4"/>
      <c r="FR1991" s="4"/>
      <c r="FS1991" s="4"/>
      <c r="FT1991" s="4"/>
      <c r="FU1991" s="4"/>
      <c r="FV1991" s="4"/>
      <c r="FW1991" s="4"/>
      <c r="FX1991" s="4"/>
      <c r="FY1991" s="4"/>
      <c r="FZ1991" s="4"/>
      <c r="GA1991" s="4"/>
      <c r="GB1991" s="4"/>
      <c r="GC1991" s="4"/>
      <c r="GD1991" s="4"/>
      <c r="GE1991" s="4"/>
      <c r="GF1991" s="4"/>
      <c r="GG1991" s="4"/>
      <c r="GH1991" s="4"/>
      <c r="GI1991" s="4"/>
      <c r="GJ1991" s="4"/>
      <c r="GK1991" s="4"/>
      <c r="GL1991" s="4"/>
      <c r="GM1991" s="4"/>
      <c r="GN1991" s="4"/>
      <c r="GO1991" s="4"/>
      <c r="GP1991" s="4"/>
      <c r="GQ1991" s="4"/>
      <c r="GR1991" s="4"/>
      <c r="GS1991" s="4"/>
      <c r="GT1991" s="4"/>
      <c r="GU1991" s="4"/>
      <c r="GV1991" s="4"/>
      <c r="GW1991" s="4"/>
      <c r="GX1991" s="4"/>
      <c r="GY1991" s="4"/>
      <c r="GZ1991" s="4"/>
      <c r="HA1991" s="4"/>
      <c r="HB1991" s="4"/>
      <c r="HC1991" s="4"/>
      <c r="HD1991" s="4"/>
      <c r="HE1991" s="4"/>
    </row>
    <row r="1992">
      <c r="A1992" s="2" t="s">
        <v>9637</v>
      </c>
      <c r="B1992" s="2" t="s">
        <v>223</v>
      </c>
      <c r="C1992" s="2" t="s">
        <v>3635</v>
      </c>
      <c r="D1992" s="2" t="s">
        <v>1407</v>
      </c>
      <c r="E1992" s="2" t="s">
        <v>3636</v>
      </c>
      <c r="F1992" s="2" t="s">
        <v>9622</v>
      </c>
      <c r="G1992" s="2" t="s">
        <v>9622</v>
      </c>
      <c r="H1992" s="2" t="s">
        <v>9622</v>
      </c>
      <c r="I1992" s="2" t="s">
        <v>3638</v>
      </c>
      <c r="J1992" s="2" t="s">
        <v>289</v>
      </c>
      <c r="K1992" s="2" t="s">
        <v>249</v>
      </c>
      <c r="L1992" s="3">
        <v>72.34</v>
      </c>
      <c r="M1992" s="3">
        <v>75.96</v>
      </c>
      <c r="N1992" s="3">
        <v>144.99</v>
      </c>
      <c r="O1992" s="2" t="s">
        <v>461</v>
      </c>
      <c r="P1992" s="2" t="s">
        <v>922</v>
      </c>
      <c r="Q1992" s="2" t="s">
        <v>234</v>
      </c>
      <c r="R1992" s="2" t="s">
        <v>228</v>
      </c>
      <c r="S1992" s="2" t="s">
        <v>228</v>
      </c>
      <c r="T1992" s="2" t="s">
        <v>675</v>
      </c>
      <c r="U1992" s="2" t="s">
        <v>416</v>
      </c>
      <c r="V1992" s="2" t="s">
        <v>236</v>
      </c>
      <c r="W1992" s="2" t="s">
        <v>269</v>
      </c>
      <c r="X1992" s="2" t="s">
        <v>228</v>
      </c>
      <c r="Y1992" s="2" t="s">
        <v>1898</v>
      </c>
      <c r="Z1992" s="4">
        <v>340</v>
      </c>
      <c r="AA1992" s="4">
        <f>=ROUNDDOWN(340,0)</f>
      </c>
      <c r="AB1992" s="5">
        <v>1</v>
      </c>
      <c r="AC1992" s="2" t="s">
        <v>228</v>
      </c>
      <c r="AD1992" s="4"/>
      <c r="AE1992" s="4"/>
      <c r="AF1992" s="6">
        <v>58</v>
      </c>
      <c r="AG1992" s="6"/>
      <c r="AH1992" s="7">
        <v>1</v>
      </c>
      <c r="AI1992" s="4"/>
      <c r="AJ1992" s="4">
        <f>=ROUNDDOWN({0},0)</f>
      </c>
      <c r="AK1992" s="5"/>
      <c r="AL1992" s="2" t="s">
        <v>228</v>
      </c>
      <c r="AM1992" s="4"/>
      <c r="AN1992" s="4"/>
      <c r="AO1992" s="7"/>
      <c r="AP1992" s="4"/>
      <c r="AQ1992" s="8"/>
      <c r="AR1992" s="4"/>
      <c r="AS1992" s="8"/>
      <c r="AT1992" s="7"/>
      <c r="AU1992" s="7"/>
      <c r="AV1992" s="4" t="s">
        <v>228</v>
      </c>
      <c r="AW1992" s="8" t="s">
        <v>228</v>
      </c>
      <c r="AX1992" s="4" t="s">
        <v>228</v>
      </c>
      <c r="AY1992" s="8" t="s">
        <v>228</v>
      </c>
      <c r="AZ1992" s="7" t="s">
        <v>228</v>
      </c>
      <c r="BA1992" s="7" t="s">
        <v>228</v>
      </c>
      <c r="BB1992" s="7"/>
      <c r="BC1992" s="4" t="s">
        <v>228</v>
      </c>
      <c r="BD1992" s="8" t="s">
        <v>228</v>
      </c>
      <c r="BE1992" s="4" t="s">
        <v>228</v>
      </c>
      <c r="BF1992" s="8" t="s">
        <v>228</v>
      </c>
      <c r="BG1992" s="7" t="s">
        <v>228</v>
      </c>
      <c r="BH1992" s="7" t="s">
        <v>228</v>
      </c>
      <c r="BI1992" s="7"/>
      <c r="BJ1992" s="4">
        <v>29</v>
      </c>
      <c r="BK1992" s="8">
        <v>1098.9</v>
      </c>
      <c r="BL1992" s="2" t="s">
        <v>521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9638</v>
      </c>
      <c r="BV1992" s="2" t="s">
        <v>228</v>
      </c>
      <c r="BW1992" s="2" t="s">
        <v>228</v>
      </c>
      <c r="BX1992" s="2" t="s">
        <v>337</v>
      </c>
      <c r="BY1992" s="2" t="s">
        <v>274</v>
      </c>
      <c r="BZ1992" s="2" t="s">
        <v>240</v>
      </c>
      <c r="CA1992" s="2" t="s">
        <v>1685</v>
      </c>
      <c r="CB1992" s="2" t="s">
        <v>1740</v>
      </c>
      <c r="CC1992" s="2" t="s">
        <v>241</v>
      </c>
      <c r="CD1992" s="2" t="s">
        <v>228</v>
      </c>
      <c r="CE1992" s="4">
        <v>340</v>
      </c>
      <c r="CF1992" s="4"/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4"/>
      <c r="CS1992" s="4"/>
      <c r="CT1992" s="4"/>
      <c r="CU1992" s="4"/>
      <c r="CV1992" s="4"/>
      <c r="CW1992" s="4"/>
      <c r="CX1992" s="4"/>
      <c r="CY1992" s="4"/>
      <c r="CZ1992" s="4"/>
      <c r="DA1992" s="4"/>
      <c r="DB1992" s="4"/>
      <c r="DC1992" s="4"/>
      <c r="DD1992" s="4"/>
      <c r="DE1992" s="4"/>
      <c r="DF1992" s="4"/>
      <c r="DG1992" s="4"/>
      <c r="DH1992" s="4"/>
      <c r="DI1992" s="4"/>
      <c r="DJ1992" s="4"/>
      <c r="DK1992" s="4"/>
      <c r="DL1992" s="4"/>
      <c r="DM1992" s="4"/>
      <c r="DN1992" s="4"/>
      <c r="DO1992" s="4"/>
      <c r="DP1992" s="4"/>
      <c r="DQ1992" s="4"/>
      <c r="DR1992" s="4"/>
      <c r="DS1992" s="4"/>
      <c r="DT1992" s="4"/>
      <c r="DU1992" s="4"/>
      <c r="DV1992" s="4"/>
      <c r="DW1992" s="4"/>
      <c r="DX1992" s="4"/>
      <c r="DY1992" s="4"/>
      <c r="DZ1992" s="4"/>
      <c r="EA1992" s="4"/>
      <c r="EB1992" s="4"/>
      <c r="EC1992" s="4"/>
      <c r="ED1992" s="4"/>
      <c r="EE1992" s="4"/>
      <c r="EF1992" s="4"/>
      <c r="EG1992" s="4"/>
      <c r="EH1992" s="4"/>
      <c r="EI1992" s="4"/>
      <c r="EJ1992" s="4"/>
      <c r="EK1992" s="4"/>
      <c r="EL1992" s="4"/>
      <c r="EM1992" s="4"/>
      <c r="EN1992" s="4"/>
      <c r="EO1992" s="4"/>
      <c r="EP1992" s="4"/>
      <c r="EQ1992" s="4"/>
      <c r="ER1992" s="4"/>
      <c r="ES1992" s="4"/>
      <c r="ET1992" s="4"/>
      <c r="EU1992" s="4"/>
      <c r="EV1992" s="4"/>
      <c r="EW1992" s="4"/>
      <c r="EX1992" s="4"/>
      <c r="EY1992" s="4"/>
      <c r="EZ1992" s="4"/>
      <c r="FA1992" s="4"/>
      <c r="FB1992" s="4"/>
      <c r="FC1992" s="4"/>
      <c r="FD1992" s="4"/>
      <c r="FE1992" s="4"/>
      <c r="FF1992" s="4"/>
      <c r="FG1992" s="4"/>
      <c r="FH1992" s="4"/>
      <c r="FI1992" s="4"/>
      <c r="FJ1992" s="4"/>
      <c r="FK1992" s="4"/>
      <c r="FL1992" s="4"/>
      <c r="FM1992" s="4"/>
      <c r="FN1992" s="4"/>
      <c r="FO1992" s="4"/>
      <c r="FP1992" s="4"/>
      <c r="FQ1992" s="4"/>
      <c r="FR1992" s="4"/>
      <c r="FS1992" s="4"/>
      <c r="FT1992" s="4"/>
      <c r="FU1992" s="4"/>
      <c r="FV1992" s="4"/>
      <c r="FW1992" s="4"/>
      <c r="FX1992" s="4"/>
      <c r="FY1992" s="4"/>
      <c r="FZ1992" s="4"/>
      <c r="GA1992" s="4"/>
      <c r="GB1992" s="4"/>
      <c r="GC1992" s="4"/>
      <c r="GD1992" s="4"/>
      <c r="GE1992" s="4"/>
      <c r="GF1992" s="4"/>
      <c r="GG1992" s="4"/>
      <c r="GH1992" s="4"/>
      <c r="GI1992" s="4"/>
      <c r="GJ1992" s="4"/>
      <c r="GK1992" s="4"/>
      <c r="GL1992" s="4"/>
      <c r="GM1992" s="4"/>
      <c r="GN1992" s="4"/>
      <c r="GO1992" s="4"/>
      <c r="GP1992" s="4"/>
      <c r="GQ1992" s="4"/>
      <c r="GR1992" s="4"/>
      <c r="GS1992" s="4"/>
      <c r="GT1992" s="4"/>
      <c r="GU1992" s="4"/>
      <c r="GV1992" s="4"/>
      <c r="GW1992" s="4"/>
      <c r="GX1992" s="4"/>
      <c r="GY1992" s="4"/>
      <c r="GZ1992" s="4"/>
      <c r="HA1992" s="4"/>
      <c r="HB1992" s="4"/>
      <c r="HC1992" s="4"/>
      <c r="HD1992" s="4"/>
      <c r="HE1992" s="4"/>
    </row>
    <row r="1993">
      <c r="A1993" s="2" t="s">
        <v>9639</v>
      </c>
      <c r="B1993" s="2" t="s">
        <v>223</v>
      </c>
      <c r="C1993" s="2" t="s">
        <v>3635</v>
      </c>
      <c r="D1993" s="2" t="s">
        <v>1407</v>
      </c>
      <c r="E1993" s="2" t="s">
        <v>3636</v>
      </c>
      <c r="F1993" s="2" t="s">
        <v>9622</v>
      </c>
      <c r="G1993" s="2" t="s">
        <v>9622</v>
      </c>
      <c r="H1993" s="2" t="s">
        <v>9622</v>
      </c>
      <c r="I1993" s="2" t="s">
        <v>3638</v>
      </c>
      <c r="J1993" s="2" t="s">
        <v>264</v>
      </c>
      <c r="K1993" s="2" t="s">
        <v>480</v>
      </c>
      <c r="L1993" s="3">
        <v>44.51</v>
      </c>
      <c r="M1993" s="3">
        <v>46.74</v>
      </c>
      <c r="N1993" s="3">
        <v>89.99</v>
      </c>
      <c r="O1993" s="2" t="s">
        <v>461</v>
      </c>
      <c r="P1993" s="2" t="s">
        <v>922</v>
      </c>
      <c r="Q1993" s="2" t="s">
        <v>234</v>
      </c>
      <c r="R1993" s="2" t="s">
        <v>228</v>
      </c>
      <c r="S1993" s="2" t="s">
        <v>228</v>
      </c>
      <c r="T1993" s="2" t="s">
        <v>675</v>
      </c>
      <c r="U1993" s="2" t="s">
        <v>416</v>
      </c>
      <c r="V1993" s="2" t="s">
        <v>236</v>
      </c>
      <c r="W1993" s="2" t="s">
        <v>269</v>
      </c>
      <c r="X1993" s="2" t="s">
        <v>228</v>
      </c>
      <c r="Y1993" s="2" t="s">
        <v>5449</v>
      </c>
      <c r="Z1993" s="4">
        <v>45</v>
      </c>
      <c r="AA1993" s="4">
        <f>=ROUNDDOWN(0.963597430406852,0)</f>
      </c>
      <c r="AB1993" s="5">
        <v>46.7</v>
      </c>
      <c r="AC1993" s="2" t="s">
        <v>228</v>
      </c>
      <c r="AD1993" s="4"/>
      <c r="AE1993" s="4"/>
      <c r="AF1993" s="6">
        <v>58</v>
      </c>
      <c r="AG1993" s="6"/>
      <c r="AH1993" s="7">
        <v>1</v>
      </c>
      <c r="AI1993" s="4"/>
      <c r="AJ1993" s="4">
        <f>=ROUNDDOWN({0},0)</f>
      </c>
      <c r="AK1993" s="5"/>
      <c r="AL1993" s="2" t="s">
        <v>228</v>
      </c>
      <c r="AM1993" s="4"/>
      <c r="AN1993" s="4"/>
      <c r="AO1993" s="7"/>
      <c r="AP1993" s="4"/>
      <c r="AQ1993" s="8"/>
      <c r="AR1993" s="4"/>
      <c r="AS1993" s="8"/>
      <c r="AT1993" s="7"/>
      <c r="AU1993" s="7"/>
      <c r="AV1993" s="4" t="s">
        <v>228</v>
      </c>
      <c r="AW1993" s="8" t="s">
        <v>228</v>
      </c>
      <c r="AX1993" s="4" t="s">
        <v>228</v>
      </c>
      <c r="AY1993" s="8" t="s">
        <v>228</v>
      </c>
      <c r="AZ1993" s="7" t="s">
        <v>228</v>
      </c>
      <c r="BA1993" s="7" t="s">
        <v>228</v>
      </c>
      <c r="BB1993" s="7"/>
      <c r="BC1993" s="4" t="s">
        <v>228</v>
      </c>
      <c r="BD1993" s="8" t="s">
        <v>228</v>
      </c>
      <c r="BE1993" s="4" t="s">
        <v>228</v>
      </c>
      <c r="BF1993" s="8" t="s">
        <v>228</v>
      </c>
      <c r="BG1993" s="7" t="s">
        <v>228</v>
      </c>
      <c r="BH1993" s="7" t="s">
        <v>228</v>
      </c>
      <c r="BI1993" s="7"/>
      <c r="BJ1993" s="4">
        <v>47</v>
      </c>
      <c r="BK1993" s="8">
        <v>1145.19</v>
      </c>
      <c r="BL1993" s="2" t="s">
        <v>9640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9641</v>
      </c>
      <c r="BV1993" s="2" t="s">
        <v>228</v>
      </c>
      <c r="BW1993" s="2" t="s">
        <v>228</v>
      </c>
      <c r="BX1993" s="2" t="s">
        <v>337</v>
      </c>
      <c r="BY1993" s="2" t="s">
        <v>274</v>
      </c>
      <c r="BZ1993" s="2" t="s">
        <v>240</v>
      </c>
      <c r="CA1993" s="2" t="s">
        <v>1685</v>
      </c>
      <c r="CB1993" s="2" t="s">
        <v>5829</v>
      </c>
      <c r="CC1993" s="2" t="s">
        <v>241</v>
      </c>
      <c r="CD1993" s="2" t="s">
        <v>228</v>
      </c>
      <c r="CE1993" s="4">
        <v>45</v>
      </c>
      <c r="CF1993" s="4"/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  <c r="CW1993" s="4"/>
      <c r="CX1993" s="4"/>
      <c r="CY1993" s="4"/>
      <c r="CZ1993" s="4"/>
      <c r="DA1993" s="4"/>
      <c r="DB1993" s="4"/>
      <c r="DC1993" s="4"/>
      <c r="DD1993" s="4"/>
      <c r="DE1993" s="4"/>
      <c r="DF1993" s="4"/>
      <c r="DG1993" s="4"/>
      <c r="DH1993" s="4"/>
      <c r="DI1993" s="4"/>
      <c r="DJ1993" s="4"/>
      <c r="DK1993" s="4"/>
      <c r="DL1993" s="4"/>
      <c r="DM1993" s="4"/>
      <c r="DN1993" s="4"/>
      <c r="DO1993" s="4"/>
      <c r="DP1993" s="4"/>
      <c r="DQ1993" s="4"/>
      <c r="DR1993" s="4"/>
      <c r="DS1993" s="4"/>
      <c r="DT1993" s="4"/>
      <c r="DU1993" s="4"/>
      <c r="DV1993" s="4"/>
      <c r="DW1993" s="4"/>
      <c r="DX1993" s="4"/>
      <c r="DY1993" s="4"/>
      <c r="DZ1993" s="4"/>
      <c r="EA1993" s="4"/>
      <c r="EB1993" s="4"/>
      <c r="EC1993" s="4"/>
      <c r="ED1993" s="4"/>
      <c r="EE1993" s="4"/>
      <c r="EF1993" s="4"/>
      <c r="EG1993" s="4"/>
      <c r="EH1993" s="4"/>
      <c r="EI1993" s="4"/>
      <c r="EJ1993" s="4"/>
      <c r="EK1993" s="4"/>
      <c r="EL1993" s="4"/>
      <c r="EM1993" s="4"/>
      <c r="EN1993" s="4"/>
      <c r="EO1993" s="4"/>
      <c r="EP1993" s="4"/>
      <c r="EQ1993" s="4"/>
      <c r="ER1993" s="4"/>
      <c r="ES1993" s="4"/>
      <c r="ET1993" s="4"/>
      <c r="EU1993" s="4"/>
      <c r="EV1993" s="4"/>
      <c r="EW1993" s="4"/>
      <c r="EX1993" s="4"/>
      <c r="EY1993" s="4"/>
      <c r="EZ1993" s="4"/>
      <c r="FA1993" s="4"/>
      <c r="FB1993" s="4"/>
      <c r="FC1993" s="4"/>
      <c r="FD1993" s="4"/>
      <c r="FE1993" s="4"/>
      <c r="FF1993" s="4"/>
      <c r="FG1993" s="4"/>
      <c r="FH1993" s="4"/>
      <c r="FI1993" s="4"/>
      <c r="FJ1993" s="4"/>
      <c r="FK1993" s="4"/>
      <c r="FL1993" s="4"/>
      <c r="FM1993" s="4"/>
      <c r="FN1993" s="4"/>
      <c r="FO1993" s="4"/>
      <c r="FP1993" s="4"/>
      <c r="FQ1993" s="4"/>
      <c r="FR1993" s="4"/>
      <c r="FS1993" s="4"/>
      <c r="FT1993" s="4"/>
      <c r="FU1993" s="4"/>
      <c r="FV1993" s="4"/>
      <c r="FW1993" s="4"/>
      <c r="FX1993" s="4"/>
      <c r="FY1993" s="4"/>
      <c r="FZ1993" s="4"/>
      <c r="GA1993" s="4"/>
      <c r="GB1993" s="4"/>
      <c r="GC1993" s="4"/>
      <c r="GD1993" s="4"/>
      <c r="GE1993" s="4"/>
      <c r="GF1993" s="4"/>
      <c r="GG1993" s="4"/>
      <c r="GH1993" s="4"/>
      <c r="GI1993" s="4"/>
      <c r="GJ1993" s="4"/>
      <c r="GK1993" s="4"/>
      <c r="GL1993" s="4"/>
      <c r="GM1993" s="4"/>
      <c r="GN1993" s="4"/>
      <c r="GO1993" s="4"/>
      <c r="GP1993" s="4"/>
      <c r="GQ1993" s="4"/>
      <c r="GR1993" s="4"/>
      <c r="GS1993" s="4"/>
      <c r="GT1993" s="4"/>
      <c r="GU1993" s="4"/>
      <c r="GV1993" s="4"/>
      <c r="GW1993" s="4"/>
      <c r="GX1993" s="4"/>
      <c r="GY1993" s="4"/>
      <c r="GZ1993" s="4"/>
      <c r="HA1993" s="4"/>
      <c r="HB1993" s="4"/>
      <c r="HC1993" s="4"/>
      <c r="HD1993" s="4"/>
      <c r="HE1993" s="4"/>
    </row>
    <row r="1994">
      <c r="A1994" s="2" t="s">
        <v>9642</v>
      </c>
      <c r="B1994" s="2" t="s">
        <v>223</v>
      </c>
      <c r="C1994" s="2" t="s">
        <v>3635</v>
      </c>
      <c r="D1994" s="2" t="s">
        <v>1407</v>
      </c>
      <c r="E1994" s="2" t="s">
        <v>3636</v>
      </c>
      <c r="F1994" s="2" t="s">
        <v>9622</v>
      </c>
      <c r="G1994" s="2" t="s">
        <v>9622</v>
      </c>
      <c r="H1994" s="2" t="s">
        <v>9622</v>
      </c>
      <c r="I1994" s="2" t="s">
        <v>3638</v>
      </c>
      <c r="J1994" s="2" t="s">
        <v>289</v>
      </c>
      <c r="K1994" s="2" t="s">
        <v>480</v>
      </c>
      <c r="L1994" s="3">
        <v>72.34</v>
      </c>
      <c r="M1994" s="3">
        <v>75.96</v>
      </c>
      <c r="N1994" s="3">
        <v>144.99</v>
      </c>
      <c r="O1994" s="2" t="s">
        <v>461</v>
      </c>
      <c r="P1994" s="2" t="s">
        <v>922</v>
      </c>
      <c r="Q1994" s="2" t="s">
        <v>234</v>
      </c>
      <c r="R1994" s="2" t="s">
        <v>228</v>
      </c>
      <c r="S1994" s="2" t="s">
        <v>228</v>
      </c>
      <c r="T1994" s="2" t="s">
        <v>675</v>
      </c>
      <c r="U1994" s="2" t="s">
        <v>416</v>
      </c>
      <c r="V1994" s="2" t="s">
        <v>236</v>
      </c>
      <c r="W1994" s="2" t="s">
        <v>269</v>
      </c>
      <c r="X1994" s="2" t="s">
        <v>228</v>
      </c>
      <c r="Y1994" s="2" t="s">
        <v>2089</v>
      </c>
      <c r="Z1994" s="4">
        <v>125</v>
      </c>
      <c r="AA1994" s="4">
        <f>=ROUNDDOWN(125,0)</f>
      </c>
      <c r="AB1994" s="5">
        <v>1</v>
      </c>
      <c r="AC1994" s="2" t="s">
        <v>228</v>
      </c>
      <c r="AD1994" s="4"/>
      <c r="AE1994" s="4"/>
      <c r="AF1994" s="6">
        <v>58</v>
      </c>
      <c r="AG1994" s="6"/>
      <c r="AH1994" s="7">
        <v>1</v>
      </c>
      <c r="AI1994" s="4"/>
      <c r="AJ1994" s="4">
        <f>=ROUNDDOWN({0},0)</f>
      </c>
      <c r="AK1994" s="5"/>
      <c r="AL1994" s="2" t="s">
        <v>228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 t="s">
        <v>228</v>
      </c>
      <c r="AW1994" s="8" t="s">
        <v>228</v>
      </c>
      <c r="AX1994" s="4" t="s">
        <v>228</v>
      </c>
      <c r="AY1994" s="8" t="s">
        <v>228</v>
      </c>
      <c r="AZ1994" s="7" t="s">
        <v>228</v>
      </c>
      <c r="BA1994" s="7" t="s">
        <v>228</v>
      </c>
      <c r="BB1994" s="7"/>
      <c r="BC1994" s="4" t="s">
        <v>228</v>
      </c>
      <c r="BD1994" s="8" t="s">
        <v>228</v>
      </c>
      <c r="BE1994" s="4" t="s">
        <v>228</v>
      </c>
      <c r="BF1994" s="8" t="s">
        <v>228</v>
      </c>
      <c r="BG1994" s="7" t="s">
        <v>228</v>
      </c>
      <c r="BH1994" s="7" t="s">
        <v>228</v>
      </c>
      <c r="BI1994" s="7"/>
      <c r="BJ1994" s="4">
        <v>23</v>
      </c>
      <c r="BK1994" s="8">
        <v>895.64</v>
      </c>
      <c r="BL1994" s="2" t="s">
        <v>2193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9643</v>
      </c>
      <c r="BV1994" s="2" t="s">
        <v>228</v>
      </c>
      <c r="BW1994" s="2" t="s">
        <v>228</v>
      </c>
      <c r="BX1994" s="2" t="s">
        <v>337</v>
      </c>
      <c r="BY1994" s="2" t="s">
        <v>274</v>
      </c>
      <c r="BZ1994" s="2" t="s">
        <v>240</v>
      </c>
      <c r="CA1994" s="2" t="s">
        <v>1685</v>
      </c>
      <c r="CB1994" s="2" t="s">
        <v>6414</v>
      </c>
      <c r="CC1994" s="2" t="s">
        <v>241</v>
      </c>
      <c r="CD1994" s="2" t="s">
        <v>228</v>
      </c>
      <c r="CE1994" s="4">
        <v>125</v>
      </c>
      <c r="CF1994" s="4"/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  <c r="CW1994" s="4"/>
      <c r="CX1994" s="4"/>
      <c r="CY1994" s="4"/>
      <c r="CZ1994" s="4"/>
      <c r="DA1994" s="4"/>
      <c r="DB1994" s="4"/>
      <c r="DC1994" s="4"/>
      <c r="DD1994" s="4"/>
      <c r="DE1994" s="4"/>
      <c r="DF1994" s="4"/>
      <c r="DG1994" s="4"/>
      <c r="DH1994" s="4"/>
      <c r="DI1994" s="4"/>
      <c r="DJ1994" s="4"/>
      <c r="DK1994" s="4"/>
      <c r="DL1994" s="4"/>
      <c r="DM1994" s="4"/>
      <c r="DN1994" s="4"/>
      <c r="DO1994" s="4"/>
      <c r="DP1994" s="4"/>
      <c r="DQ1994" s="4"/>
      <c r="DR1994" s="4"/>
      <c r="DS1994" s="4"/>
      <c r="DT1994" s="4"/>
      <c r="DU1994" s="4"/>
      <c r="DV1994" s="4"/>
      <c r="DW1994" s="4"/>
      <c r="DX1994" s="4"/>
      <c r="DY1994" s="4"/>
      <c r="DZ1994" s="4"/>
      <c r="EA1994" s="4"/>
      <c r="EB1994" s="4"/>
      <c r="EC1994" s="4"/>
      <c r="ED1994" s="4"/>
      <c r="EE1994" s="4"/>
      <c r="EF1994" s="4"/>
      <c r="EG1994" s="4"/>
      <c r="EH1994" s="4"/>
      <c r="EI1994" s="4"/>
      <c r="EJ1994" s="4"/>
      <c r="EK1994" s="4"/>
      <c r="EL1994" s="4"/>
      <c r="EM1994" s="4"/>
      <c r="EN1994" s="4"/>
      <c r="EO1994" s="4"/>
      <c r="EP1994" s="4"/>
      <c r="EQ1994" s="4"/>
      <c r="ER1994" s="4"/>
      <c r="ES1994" s="4"/>
      <c r="ET1994" s="4"/>
      <c r="EU1994" s="4"/>
      <c r="EV1994" s="4"/>
      <c r="EW1994" s="4"/>
      <c r="EX1994" s="4"/>
      <c r="EY1994" s="4"/>
      <c r="EZ1994" s="4"/>
      <c r="FA1994" s="4"/>
      <c r="FB1994" s="4"/>
      <c r="FC1994" s="4"/>
      <c r="FD1994" s="4"/>
      <c r="FE1994" s="4"/>
      <c r="FF1994" s="4"/>
      <c r="FG1994" s="4"/>
      <c r="FH1994" s="4"/>
      <c r="FI1994" s="4"/>
      <c r="FJ1994" s="4"/>
      <c r="FK1994" s="4"/>
      <c r="FL1994" s="4"/>
      <c r="FM1994" s="4"/>
      <c r="FN1994" s="4"/>
      <c r="FO1994" s="4"/>
      <c r="FP1994" s="4"/>
      <c r="FQ1994" s="4"/>
      <c r="FR1994" s="4"/>
      <c r="FS1994" s="4"/>
      <c r="FT1994" s="4"/>
      <c r="FU1994" s="4"/>
      <c r="FV1994" s="4"/>
      <c r="FW1994" s="4"/>
      <c r="FX1994" s="4"/>
      <c r="FY1994" s="4"/>
      <c r="FZ1994" s="4"/>
      <c r="GA1994" s="4"/>
      <c r="GB1994" s="4"/>
      <c r="GC1994" s="4"/>
      <c r="GD1994" s="4"/>
      <c r="GE1994" s="4"/>
      <c r="GF1994" s="4"/>
      <c r="GG1994" s="4"/>
      <c r="GH1994" s="4"/>
      <c r="GI1994" s="4"/>
      <c r="GJ1994" s="4"/>
      <c r="GK1994" s="4"/>
      <c r="GL1994" s="4"/>
      <c r="GM1994" s="4"/>
      <c r="GN1994" s="4"/>
      <c r="GO1994" s="4"/>
      <c r="GP1994" s="4"/>
      <c r="GQ1994" s="4"/>
      <c r="GR1994" s="4"/>
      <c r="GS1994" s="4"/>
      <c r="GT1994" s="4"/>
      <c r="GU1994" s="4"/>
      <c r="GV1994" s="4"/>
      <c r="GW1994" s="4"/>
      <c r="GX1994" s="4"/>
      <c r="GY1994" s="4"/>
      <c r="GZ1994" s="4"/>
      <c r="HA1994" s="4"/>
      <c r="HB1994" s="4"/>
      <c r="HC1994" s="4"/>
      <c r="HD1994" s="4"/>
      <c r="HE1994" s="4"/>
    </row>
    <row r="1995">
      <c r="A1995" s="2" t="s">
        <v>9644</v>
      </c>
      <c r="B1995" s="2" t="s">
        <v>223</v>
      </c>
      <c r="C1995" s="2" t="s">
        <v>3635</v>
      </c>
      <c r="D1995" s="2" t="s">
        <v>1407</v>
      </c>
      <c r="E1995" s="2" t="s">
        <v>3636</v>
      </c>
      <c r="F1995" s="2" t="s">
        <v>9622</v>
      </c>
      <c r="G1995" s="2" t="s">
        <v>9622</v>
      </c>
      <c r="H1995" s="2" t="s">
        <v>9622</v>
      </c>
      <c r="I1995" s="2" t="s">
        <v>3638</v>
      </c>
      <c r="J1995" s="2" t="s">
        <v>294</v>
      </c>
      <c r="K1995" s="2" t="s">
        <v>480</v>
      </c>
      <c r="L1995" s="3">
        <v>77.9</v>
      </c>
      <c r="M1995" s="3">
        <v>81.8</v>
      </c>
      <c r="N1995" s="3">
        <v>154.99</v>
      </c>
      <c r="O1995" s="2" t="s">
        <v>461</v>
      </c>
      <c r="P1995" s="2" t="s">
        <v>922</v>
      </c>
      <c r="Q1995" s="2" t="s">
        <v>234</v>
      </c>
      <c r="R1995" s="2" t="s">
        <v>228</v>
      </c>
      <c r="S1995" s="2" t="s">
        <v>228</v>
      </c>
      <c r="T1995" s="2" t="s">
        <v>675</v>
      </c>
      <c r="U1995" s="2" t="s">
        <v>416</v>
      </c>
      <c r="V1995" s="2" t="s">
        <v>236</v>
      </c>
      <c r="W1995" s="2" t="s">
        <v>269</v>
      </c>
      <c r="X1995" s="2" t="s">
        <v>228</v>
      </c>
      <c r="Y1995" s="2" t="s">
        <v>2089</v>
      </c>
      <c r="Z1995" s="4">
        <v>61</v>
      </c>
      <c r="AA1995" s="4">
        <f>=ROUNDDOWN(30.5,0)</f>
      </c>
      <c r="AB1995" s="5">
        <v>2</v>
      </c>
      <c r="AC1995" s="2" t="s">
        <v>228</v>
      </c>
      <c r="AD1995" s="4"/>
      <c r="AE1995" s="4"/>
      <c r="AF1995" s="6">
        <v>58</v>
      </c>
      <c r="AG1995" s="6"/>
      <c r="AH1995" s="7">
        <v>1</v>
      </c>
      <c r="AI1995" s="4"/>
      <c r="AJ1995" s="4">
        <f>=ROUNDDOWN({0},0)</f>
      </c>
      <c r="AK1995" s="5"/>
      <c r="AL1995" s="2" t="s">
        <v>228</v>
      </c>
      <c r="AM1995" s="4"/>
      <c r="AN1995" s="4"/>
      <c r="AO1995" s="7"/>
      <c r="AP1995" s="4"/>
      <c r="AQ1995" s="8"/>
      <c r="AR1995" s="4"/>
      <c r="AS1995" s="8"/>
      <c r="AT1995" s="7"/>
      <c r="AU1995" s="7"/>
      <c r="AV1995" s="4" t="s">
        <v>228</v>
      </c>
      <c r="AW1995" s="8" t="s">
        <v>228</v>
      </c>
      <c r="AX1995" s="4" t="s">
        <v>228</v>
      </c>
      <c r="AY1995" s="8" t="s">
        <v>228</v>
      </c>
      <c r="AZ1995" s="7" t="s">
        <v>228</v>
      </c>
      <c r="BA1995" s="7" t="s">
        <v>228</v>
      </c>
      <c r="BB1995" s="7"/>
      <c r="BC1995" s="4" t="s">
        <v>228</v>
      </c>
      <c r="BD1995" s="8" t="s">
        <v>228</v>
      </c>
      <c r="BE1995" s="4" t="s">
        <v>228</v>
      </c>
      <c r="BF1995" s="8" t="s">
        <v>228</v>
      </c>
      <c r="BG1995" s="7" t="s">
        <v>228</v>
      </c>
      <c r="BH1995" s="7" t="s">
        <v>228</v>
      </c>
      <c r="BI1995" s="7"/>
      <c r="BJ1995" s="4">
        <v>24</v>
      </c>
      <c r="BK1995" s="8">
        <v>1109.07</v>
      </c>
      <c r="BL1995" s="2" t="s">
        <v>9645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9646</v>
      </c>
      <c r="BV1995" s="2" t="s">
        <v>228</v>
      </c>
      <c r="BW1995" s="2" t="s">
        <v>228</v>
      </c>
      <c r="BX1995" s="2" t="s">
        <v>337</v>
      </c>
      <c r="BY1995" s="2" t="s">
        <v>274</v>
      </c>
      <c r="BZ1995" s="2" t="s">
        <v>240</v>
      </c>
      <c r="CA1995" s="2" t="s">
        <v>1685</v>
      </c>
      <c r="CB1995" s="2" t="s">
        <v>9647</v>
      </c>
      <c r="CC1995" s="2" t="s">
        <v>241</v>
      </c>
      <c r="CD1995" s="2" t="s">
        <v>228</v>
      </c>
      <c r="CE1995" s="4">
        <v>61</v>
      </c>
      <c r="CF1995" s="4"/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  <c r="CW1995" s="4"/>
      <c r="CX1995" s="4"/>
      <c r="CY1995" s="4"/>
      <c r="CZ1995" s="4"/>
      <c r="DA1995" s="4"/>
      <c r="DB1995" s="4"/>
      <c r="DC1995" s="4"/>
      <c r="DD1995" s="4"/>
      <c r="DE1995" s="4"/>
      <c r="DF1995" s="4"/>
      <c r="DG1995" s="4"/>
      <c r="DH1995" s="4"/>
      <c r="DI1995" s="4"/>
      <c r="DJ1995" s="4"/>
      <c r="DK1995" s="4"/>
      <c r="DL1995" s="4"/>
      <c r="DM1995" s="4"/>
      <c r="DN1995" s="4"/>
      <c r="DO1995" s="4"/>
      <c r="DP1995" s="4"/>
      <c r="DQ1995" s="4"/>
      <c r="DR1995" s="4"/>
      <c r="DS1995" s="4"/>
      <c r="DT1995" s="4"/>
      <c r="DU1995" s="4"/>
      <c r="DV1995" s="4"/>
      <c r="DW1995" s="4"/>
      <c r="DX1995" s="4"/>
      <c r="DY1995" s="4"/>
      <c r="DZ1995" s="4"/>
      <c r="EA1995" s="4"/>
      <c r="EB1995" s="4"/>
      <c r="EC1995" s="4"/>
      <c r="ED1995" s="4"/>
      <c r="EE1995" s="4"/>
      <c r="EF1995" s="4"/>
      <c r="EG1995" s="4"/>
      <c r="EH1995" s="4"/>
      <c r="EI1995" s="4"/>
      <c r="EJ1995" s="4"/>
      <c r="EK1995" s="4"/>
      <c r="EL1995" s="4"/>
      <c r="EM1995" s="4"/>
      <c r="EN1995" s="4"/>
      <c r="EO1995" s="4"/>
      <c r="EP1995" s="4"/>
      <c r="EQ1995" s="4"/>
      <c r="ER1995" s="4"/>
      <c r="ES1995" s="4"/>
      <c r="ET1995" s="4"/>
      <c r="EU1995" s="4"/>
      <c r="EV1995" s="4"/>
      <c r="EW1995" s="4"/>
      <c r="EX1995" s="4"/>
      <c r="EY1995" s="4"/>
      <c r="EZ1995" s="4"/>
      <c r="FA1995" s="4"/>
      <c r="FB1995" s="4"/>
      <c r="FC1995" s="4"/>
      <c r="FD1995" s="4"/>
      <c r="FE1995" s="4"/>
      <c r="FF1995" s="4"/>
      <c r="FG1995" s="4"/>
      <c r="FH1995" s="4"/>
      <c r="FI1995" s="4"/>
      <c r="FJ1995" s="4"/>
      <c r="FK1995" s="4"/>
      <c r="FL1995" s="4"/>
      <c r="FM1995" s="4"/>
      <c r="FN1995" s="4"/>
      <c r="FO1995" s="4"/>
      <c r="FP1995" s="4"/>
      <c r="FQ1995" s="4"/>
      <c r="FR1995" s="4"/>
      <c r="FS1995" s="4"/>
      <c r="FT1995" s="4"/>
      <c r="FU1995" s="4"/>
      <c r="FV1995" s="4"/>
      <c r="FW1995" s="4"/>
      <c r="FX1995" s="4"/>
      <c r="FY1995" s="4"/>
      <c r="FZ1995" s="4"/>
      <c r="GA1995" s="4"/>
      <c r="GB1995" s="4"/>
      <c r="GC1995" s="4"/>
      <c r="GD1995" s="4"/>
      <c r="GE1995" s="4"/>
      <c r="GF1995" s="4"/>
      <c r="GG1995" s="4"/>
      <c r="GH1995" s="4"/>
      <c r="GI1995" s="4"/>
      <c r="GJ1995" s="4"/>
      <c r="GK1995" s="4"/>
      <c r="GL1995" s="4"/>
      <c r="GM1995" s="4"/>
      <c r="GN1995" s="4"/>
      <c r="GO1995" s="4"/>
      <c r="GP1995" s="4"/>
      <c r="GQ1995" s="4"/>
      <c r="GR1995" s="4"/>
      <c r="GS1995" s="4"/>
      <c r="GT1995" s="4"/>
      <c r="GU1995" s="4"/>
      <c r="GV1995" s="4"/>
      <c r="GW1995" s="4"/>
      <c r="GX1995" s="4"/>
      <c r="GY1995" s="4"/>
      <c r="GZ1995" s="4"/>
      <c r="HA1995" s="4"/>
      <c r="HB1995" s="4"/>
      <c r="HC1995" s="4"/>
      <c r="HD1995" s="4"/>
      <c r="HE1995" s="4"/>
    </row>
    <row r="1996">
      <c r="A1996" s="2" t="s">
        <v>9648</v>
      </c>
      <c r="B1996" s="2" t="s">
        <v>223</v>
      </c>
      <c r="C1996" s="2" t="s">
        <v>3635</v>
      </c>
      <c r="D1996" s="2" t="s">
        <v>1407</v>
      </c>
      <c r="E1996" s="2" t="s">
        <v>3636</v>
      </c>
      <c r="F1996" s="2" t="s">
        <v>9622</v>
      </c>
      <c r="G1996" s="2" t="s">
        <v>9622</v>
      </c>
      <c r="H1996" s="2" t="s">
        <v>9622</v>
      </c>
      <c r="I1996" s="2" t="s">
        <v>3638</v>
      </c>
      <c r="J1996" s="2" t="s">
        <v>264</v>
      </c>
      <c r="K1996" s="2" t="s">
        <v>251</v>
      </c>
      <c r="L1996" s="3">
        <v>44.51</v>
      </c>
      <c r="M1996" s="3">
        <v>46.74</v>
      </c>
      <c r="N1996" s="3">
        <v>89.99</v>
      </c>
      <c r="O1996" s="2" t="s">
        <v>461</v>
      </c>
      <c r="P1996" s="2" t="s">
        <v>922</v>
      </c>
      <c r="Q1996" s="2" t="s">
        <v>234</v>
      </c>
      <c r="R1996" s="2" t="s">
        <v>228</v>
      </c>
      <c r="S1996" s="2" t="s">
        <v>228</v>
      </c>
      <c r="T1996" s="2" t="s">
        <v>675</v>
      </c>
      <c r="U1996" s="2" t="s">
        <v>416</v>
      </c>
      <c r="V1996" s="2" t="s">
        <v>236</v>
      </c>
      <c r="W1996" s="2" t="s">
        <v>269</v>
      </c>
      <c r="X1996" s="2" t="s">
        <v>228</v>
      </c>
      <c r="Y1996" s="2" t="s">
        <v>2089</v>
      </c>
      <c r="Z1996" s="4">
        <v>104</v>
      </c>
      <c r="AA1996" s="4">
        <f>=ROUNDDOWN(52,0)</f>
      </c>
      <c r="AB1996" s="5">
        <v>2</v>
      </c>
      <c r="AC1996" s="2" t="s">
        <v>228</v>
      </c>
      <c r="AD1996" s="4"/>
      <c r="AE1996" s="4"/>
      <c r="AF1996" s="6">
        <v>58</v>
      </c>
      <c r="AG1996" s="6"/>
      <c r="AH1996" s="7">
        <v>1</v>
      </c>
      <c r="AI1996" s="4"/>
      <c r="AJ1996" s="4">
        <f>=ROUNDDOWN({0},0)</f>
      </c>
      <c r="AK1996" s="5"/>
      <c r="AL1996" s="2" t="s">
        <v>228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 t="s">
        <v>228</v>
      </c>
      <c r="AW1996" s="8" t="s">
        <v>228</v>
      </c>
      <c r="AX1996" s="4" t="s">
        <v>228</v>
      </c>
      <c r="AY1996" s="8" t="s">
        <v>228</v>
      </c>
      <c r="AZ1996" s="7" t="s">
        <v>228</v>
      </c>
      <c r="BA1996" s="7" t="s">
        <v>228</v>
      </c>
      <c r="BB1996" s="7"/>
      <c r="BC1996" s="4" t="s">
        <v>228</v>
      </c>
      <c r="BD1996" s="8" t="s">
        <v>228</v>
      </c>
      <c r="BE1996" s="4" t="s">
        <v>228</v>
      </c>
      <c r="BF1996" s="8" t="s">
        <v>228</v>
      </c>
      <c r="BG1996" s="7" t="s">
        <v>228</v>
      </c>
      <c r="BH1996" s="7" t="s">
        <v>228</v>
      </c>
      <c r="BI1996" s="7"/>
      <c r="BJ1996" s="4">
        <v>32</v>
      </c>
      <c r="BK1996" s="8">
        <v>770.87</v>
      </c>
      <c r="BL1996" s="2" t="s">
        <v>9649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9650</v>
      </c>
      <c r="BV1996" s="2" t="s">
        <v>228</v>
      </c>
      <c r="BW1996" s="2" t="s">
        <v>228</v>
      </c>
      <c r="BX1996" s="2" t="s">
        <v>337</v>
      </c>
      <c r="BY1996" s="2" t="s">
        <v>274</v>
      </c>
      <c r="BZ1996" s="2" t="s">
        <v>240</v>
      </c>
      <c r="CA1996" s="2" t="s">
        <v>1685</v>
      </c>
      <c r="CB1996" s="2" t="s">
        <v>5829</v>
      </c>
      <c r="CC1996" s="2" t="s">
        <v>241</v>
      </c>
      <c r="CD1996" s="2" t="s">
        <v>228</v>
      </c>
      <c r="CE1996" s="4">
        <v>104</v>
      </c>
      <c r="CF1996" s="4"/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  <c r="CW1996" s="4"/>
      <c r="CX1996" s="4"/>
      <c r="CY1996" s="4"/>
      <c r="CZ1996" s="4"/>
      <c r="DA1996" s="4"/>
      <c r="DB1996" s="4"/>
      <c r="DC1996" s="4"/>
      <c r="DD1996" s="4"/>
      <c r="DE1996" s="4"/>
      <c r="DF1996" s="4"/>
      <c r="DG1996" s="4"/>
      <c r="DH1996" s="4"/>
      <c r="DI1996" s="4"/>
      <c r="DJ1996" s="4"/>
      <c r="DK1996" s="4"/>
      <c r="DL1996" s="4"/>
      <c r="DM1996" s="4"/>
      <c r="DN1996" s="4"/>
      <c r="DO1996" s="4"/>
      <c r="DP1996" s="4"/>
      <c r="DQ1996" s="4"/>
      <c r="DR1996" s="4"/>
      <c r="DS1996" s="4"/>
      <c r="DT1996" s="4"/>
      <c r="DU1996" s="4"/>
      <c r="DV1996" s="4"/>
      <c r="DW1996" s="4"/>
      <c r="DX1996" s="4"/>
      <c r="DY1996" s="4"/>
      <c r="DZ1996" s="4"/>
      <c r="EA1996" s="4"/>
      <c r="EB1996" s="4"/>
      <c r="EC1996" s="4"/>
      <c r="ED1996" s="4"/>
      <c r="EE1996" s="4"/>
      <c r="EF1996" s="4"/>
      <c r="EG1996" s="4"/>
      <c r="EH1996" s="4"/>
      <c r="EI1996" s="4"/>
      <c r="EJ1996" s="4"/>
      <c r="EK1996" s="4"/>
      <c r="EL1996" s="4"/>
      <c r="EM1996" s="4"/>
      <c r="EN1996" s="4"/>
      <c r="EO1996" s="4"/>
      <c r="EP1996" s="4"/>
      <c r="EQ1996" s="4"/>
      <c r="ER1996" s="4"/>
      <c r="ES1996" s="4"/>
      <c r="ET1996" s="4"/>
      <c r="EU1996" s="4"/>
      <c r="EV1996" s="4"/>
      <c r="EW1996" s="4"/>
      <c r="EX1996" s="4"/>
      <c r="EY1996" s="4"/>
      <c r="EZ1996" s="4"/>
      <c r="FA1996" s="4"/>
      <c r="FB1996" s="4"/>
      <c r="FC1996" s="4"/>
      <c r="FD1996" s="4"/>
      <c r="FE1996" s="4"/>
      <c r="FF1996" s="4"/>
      <c r="FG1996" s="4"/>
      <c r="FH1996" s="4"/>
      <c r="FI1996" s="4"/>
      <c r="FJ1996" s="4"/>
      <c r="FK1996" s="4"/>
      <c r="FL1996" s="4"/>
      <c r="FM1996" s="4"/>
      <c r="FN1996" s="4"/>
      <c r="FO1996" s="4"/>
      <c r="FP1996" s="4"/>
      <c r="FQ1996" s="4"/>
      <c r="FR1996" s="4"/>
      <c r="FS1996" s="4"/>
      <c r="FT1996" s="4"/>
      <c r="FU1996" s="4"/>
      <c r="FV1996" s="4"/>
      <c r="FW1996" s="4"/>
      <c r="FX1996" s="4"/>
      <c r="FY1996" s="4"/>
      <c r="FZ1996" s="4"/>
      <c r="GA1996" s="4"/>
      <c r="GB1996" s="4"/>
      <c r="GC1996" s="4"/>
      <c r="GD1996" s="4"/>
      <c r="GE1996" s="4"/>
      <c r="GF1996" s="4"/>
      <c r="GG1996" s="4"/>
      <c r="GH1996" s="4"/>
      <c r="GI1996" s="4"/>
      <c r="GJ1996" s="4"/>
      <c r="GK1996" s="4"/>
      <c r="GL1996" s="4"/>
      <c r="GM1996" s="4"/>
      <c r="GN1996" s="4"/>
      <c r="GO1996" s="4"/>
      <c r="GP1996" s="4"/>
      <c r="GQ1996" s="4"/>
      <c r="GR1996" s="4"/>
      <c r="GS1996" s="4"/>
      <c r="GT1996" s="4"/>
      <c r="GU1996" s="4"/>
      <c r="GV1996" s="4"/>
      <c r="GW1996" s="4"/>
      <c r="GX1996" s="4"/>
      <c r="GY1996" s="4"/>
      <c r="GZ1996" s="4"/>
      <c r="HA1996" s="4"/>
      <c r="HB1996" s="4"/>
      <c r="HC1996" s="4"/>
      <c r="HD1996" s="4"/>
      <c r="HE1996" s="4"/>
    </row>
    <row r="1997">
      <c r="A1997" s="2" t="s">
        <v>9651</v>
      </c>
      <c r="B1997" s="2" t="s">
        <v>223</v>
      </c>
      <c r="C1997" s="2" t="s">
        <v>3635</v>
      </c>
      <c r="D1997" s="2" t="s">
        <v>1407</v>
      </c>
      <c r="E1997" s="2" t="s">
        <v>3636</v>
      </c>
      <c r="F1997" s="2" t="s">
        <v>9622</v>
      </c>
      <c r="G1997" s="2" t="s">
        <v>9622</v>
      </c>
      <c r="H1997" s="2" t="s">
        <v>9622</v>
      </c>
      <c r="I1997" s="2" t="s">
        <v>3638</v>
      </c>
      <c r="J1997" s="2" t="s">
        <v>284</v>
      </c>
      <c r="K1997" s="2" t="s">
        <v>251</v>
      </c>
      <c r="L1997" s="3">
        <v>50.08</v>
      </c>
      <c r="M1997" s="3">
        <v>52.58</v>
      </c>
      <c r="N1997" s="3">
        <v>99.99</v>
      </c>
      <c r="O1997" s="2" t="s">
        <v>461</v>
      </c>
      <c r="P1997" s="2" t="s">
        <v>922</v>
      </c>
      <c r="Q1997" s="2" t="s">
        <v>234</v>
      </c>
      <c r="R1997" s="2" t="s">
        <v>228</v>
      </c>
      <c r="S1997" s="2" t="s">
        <v>228</v>
      </c>
      <c r="T1997" s="2" t="s">
        <v>675</v>
      </c>
      <c r="U1997" s="2" t="s">
        <v>416</v>
      </c>
      <c r="V1997" s="2" t="s">
        <v>236</v>
      </c>
      <c r="W1997" s="2" t="s">
        <v>269</v>
      </c>
      <c r="X1997" s="2" t="s">
        <v>228</v>
      </c>
      <c r="Y1997" s="2" t="s">
        <v>2089</v>
      </c>
      <c r="Z1997" s="4">
        <v>105</v>
      </c>
      <c r="AA1997" s="4">
        <f>=ROUNDDOWN(52.5,0)</f>
      </c>
      <c r="AB1997" s="5">
        <v>2</v>
      </c>
      <c r="AC1997" s="2" t="s">
        <v>228</v>
      </c>
      <c r="AD1997" s="4"/>
      <c r="AE1997" s="4"/>
      <c r="AF1997" s="6">
        <v>58</v>
      </c>
      <c r="AG1997" s="6"/>
      <c r="AH1997" s="7">
        <v>1</v>
      </c>
      <c r="AI1997" s="4"/>
      <c r="AJ1997" s="4">
        <f>=ROUNDDOWN({0},0)</f>
      </c>
      <c r="AK1997" s="5"/>
      <c r="AL1997" s="2" t="s">
        <v>228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 t="s">
        <v>228</v>
      </c>
      <c r="AW1997" s="8" t="s">
        <v>228</v>
      </c>
      <c r="AX1997" s="4" t="s">
        <v>228</v>
      </c>
      <c r="AY1997" s="8" t="s">
        <v>228</v>
      </c>
      <c r="AZ1997" s="7" t="s">
        <v>228</v>
      </c>
      <c r="BA1997" s="7" t="s">
        <v>228</v>
      </c>
      <c r="BB1997" s="7"/>
      <c r="BC1997" s="4" t="s">
        <v>228</v>
      </c>
      <c r="BD1997" s="8" t="s">
        <v>228</v>
      </c>
      <c r="BE1997" s="4" t="s">
        <v>228</v>
      </c>
      <c r="BF1997" s="8" t="s">
        <v>228</v>
      </c>
      <c r="BG1997" s="7" t="s">
        <v>228</v>
      </c>
      <c r="BH1997" s="7" t="s">
        <v>228</v>
      </c>
      <c r="BI1997" s="7"/>
      <c r="BJ1997" s="4">
        <v>21</v>
      </c>
      <c r="BK1997" s="8">
        <v>550.83</v>
      </c>
      <c r="BL1997" s="2" t="s">
        <v>622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9652</v>
      </c>
      <c r="BV1997" s="2" t="s">
        <v>228</v>
      </c>
      <c r="BW1997" s="2" t="s">
        <v>228</v>
      </c>
      <c r="BX1997" s="2" t="s">
        <v>337</v>
      </c>
      <c r="BY1997" s="2" t="s">
        <v>274</v>
      </c>
      <c r="BZ1997" s="2" t="s">
        <v>240</v>
      </c>
      <c r="CA1997" s="2" t="s">
        <v>1685</v>
      </c>
      <c r="CB1997" s="2" t="s">
        <v>9653</v>
      </c>
      <c r="CC1997" s="2" t="s">
        <v>241</v>
      </c>
      <c r="CD1997" s="2" t="s">
        <v>228</v>
      </c>
      <c r="CE1997" s="4">
        <v>105</v>
      </c>
      <c r="CF1997" s="4"/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4"/>
      <c r="CX1997" s="4"/>
      <c r="CY1997" s="4"/>
      <c r="CZ1997" s="4"/>
      <c r="DA1997" s="4"/>
      <c r="DB1997" s="4"/>
      <c r="DC1997" s="4"/>
      <c r="DD1997" s="4"/>
      <c r="DE1997" s="4"/>
      <c r="DF1997" s="4"/>
      <c r="DG1997" s="4"/>
      <c r="DH1997" s="4"/>
      <c r="DI1997" s="4"/>
      <c r="DJ1997" s="4"/>
      <c r="DK1997" s="4"/>
      <c r="DL1997" s="4"/>
      <c r="DM1997" s="4"/>
      <c r="DN1997" s="4"/>
      <c r="DO1997" s="4"/>
      <c r="DP1997" s="4"/>
      <c r="DQ1997" s="4"/>
      <c r="DR1997" s="4"/>
      <c r="DS1997" s="4"/>
      <c r="DT1997" s="4"/>
      <c r="DU1997" s="4"/>
      <c r="DV1997" s="4"/>
      <c r="DW1997" s="4"/>
      <c r="DX1997" s="4"/>
      <c r="DY1997" s="4"/>
      <c r="DZ1997" s="4"/>
      <c r="EA1997" s="4"/>
      <c r="EB1997" s="4"/>
      <c r="EC1997" s="4"/>
      <c r="ED1997" s="4"/>
      <c r="EE1997" s="4"/>
      <c r="EF1997" s="4"/>
      <c r="EG1997" s="4"/>
      <c r="EH1997" s="4"/>
      <c r="EI1997" s="4"/>
      <c r="EJ1997" s="4"/>
      <c r="EK1997" s="4"/>
      <c r="EL1997" s="4"/>
      <c r="EM1997" s="4"/>
      <c r="EN1997" s="4"/>
      <c r="EO1997" s="4"/>
      <c r="EP1997" s="4"/>
      <c r="EQ1997" s="4"/>
      <c r="ER1997" s="4"/>
      <c r="ES1997" s="4"/>
      <c r="ET1997" s="4"/>
      <c r="EU1997" s="4"/>
      <c r="EV1997" s="4"/>
      <c r="EW1997" s="4"/>
      <c r="EX1997" s="4"/>
      <c r="EY1997" s="4"/>
      <c r="EZ1997" s="4"/>
      <c r="FA1997" s="4"/>
      <c r="FB1997" s="4"/>
      <c r="FC1997" s="4"/>
      <c r="FD1997" s="4"/>
      <c r="FE1997" s="4"/>
      <c r="FF1997" s="4"/>
      <c r="FG1997" s="4"/>
      <c r="FH1997" s="4"/>
      <c r="FI1997" s="4"/>
      <c r="FJ1997" s="4"/>
      <c r="FK1997" s="4"/>
      <c r="FL1997" s="4"/>
      <c r="FM1997" s="4"/>
      <c r="FN1997" s="4"/>
      <c r="FO1997" s="4"/>
      <c r="FP1997" s="4"/>
      <c r="FQ1997" s="4"/>
      <c r="FR1997" s="4"/>
      <c r="FS1997" s="4"/>
      <c r="FT1997" s="4"/>
      <c r="FU1997" s="4"/>
      <c r="FV1997" s="4"/>
      <c r="FW1997" s="4"/>
      <c r="FX1997" s="4"/>
      <c r="FY1997" s="4"/>
      <c r="FZ1997" s="4"/>
      <c r="GA1997" s="4"/>
      <c r="GB1997" s="4"/>
      <c r="GC1997" s="4"/>
      <c r="GD1997" s="4"/>
      <c r="GE1997" s="4"/>
      <c r="GF1997" s="4"/>
      <c r="GG1997" s="4"/>
      <c r="GH1997" s="4"/>
      <c r="GI1997" s="4"/>
      <c r="GJ1997" s="4"/>
      <c r="GK1997" s="4"/>
      <c r="GL1997" s="4"/>
      <c r="GM1997" s="4"/>
      <c r="GN1997" s="4"/>
      <c r="GO1997" s="4"/>
      <c r="GP1997" s="4"/>
      <c r="GQ1997" s="4"/>
      <c r="GR1997" s="4"/>
      <c r="GS1997" s="4"/>
      <c r="GT1997" s="4"/>
      <c r="GU1997" s="4"/>
      <c r="GV1997" s="4"/>
      <c r="GW1997" s="4"/>
      <c r="GX1997" s="4"/>
      <c r="GY1997" s="4"/>
      <c r="GZ1997" s="4"/>
      <c r="HA1997" s="4"/>
      <c r="HB1997" s="4"/>
      <c r="HC1997" s="4"/>
      <c r="HD1997" s="4"/>
      <c r="HE1997" s="4"/>
    </row>
    <row r="1998">
      <c r="A1998" s="2" t="s">
        <v>9654</v>
      </c>
      <c r="B1998" s="2" t="s">
        <v>223</v>
      </c>
      <c r="C1998" s="2" t="s">
        <v>3635</v>
      </c>
      <c r="D1998" s="2" t="s">
        <v>1407</v>
      </c>
      <c r="E1998" s="2" t="s">
        <v>3636</v>
      </c>
      <c r="F1998" s="2" t="s">
        <v>9622</v>
      </c>
      <c r="G1998" s="2" t="s">
        <v>9622</v>
      </c>
      <c r="H1998" s="2" t="s">
        <v>9622</v>
      </c>
      <c r="I1998" s="2" t="s">
        <v>3638</v>
      </c>
      <c r="J1998" s="2" t="s">
        <v>289</v>
      </c>
      <c r="K1998" s="2" t="s">
        <v>251</v>
      </c>
      <c r="L1998" s="3">
        <v>72.34</v>
      </c>
      <c r="M1998" s="3">
        <v>75.96</v>
      </c>
      <c r="N1998" s="3">
        <v>144.99</v>
      </c>
      <c r="O1998" s="2" t="s">
        <v>461</v>
      </c>
      <c r="P1998" s="2" t="s">
        <v>922</v>
      </c>
      <c r="Q1998" s="2" t="s">
        <v>234</v>
      </c>
      <c r="R1998" s="2" t="s">
        <v>228</v>
      </c>
      <c r="S1998" s="2" t="s">
        <v>228</v>
      </c>
      <c r="T1998" s="2" t="s">
        <v>675</v>
      </c>
      <c r="U1998" s="2" t="s">
        <v>416</v>
      </c>
      <c r="V1998" s="2" t="s">
        <v>236</v>
      </c>
      <c r="W1998" s="2" t="s">
        <v>269</v>
      </c>
      <c r="X1998" s="2" t="s">
        <v>228</v>
      </c>
      <c r="Y1998" s="2" t="s">
        <v>2089</v>
      </c>
      <c r="Z1998" s="4">
        <v>134</v>
      </c>
      <c r="AA1998" s="4">
        <f>=ROUNDDOWN(44.6666666666667,0)</f>
      </c>
      <c r="AB1998" s="5">
        <v>3</v>
      </c>
      <c r="AC1998" s="2" t="s">
        <v>228</v>
      </c>
      <c r="AD1998" s="4"/>
      <c r="AE1998" s="4"/>
      <c r="AF1998" s="6">
        <v>58</v>
      </c>
      <c r="AG1998" s="6"/>
      <c r="AH1998" s="7">
        <v>1</v>
      </c>
      <c r="AI1998" s="4"/>
      <c r="AJ1998" s="4">
        <f>=ROUNDDOWN({0},0)</f>
      </c>
      <c r="AK1998" s="5"/>
      <c r="AL1998" s="2" t="s">
        <v>228</v>
      </c>
      <c r="AM1998" s="4"/>
      <c r="AN1998" s="4"/>
      <c r="AO1998" s="7"/>
      <c r="AP1998" s="4"/>
      <c r="AQ1998" s="8"/>
      <c r="AR1998" s="4"/>
      <c r="AS1998" s="8"/>
      <c r="AT1998" s="7"/>
      <c r="AU1998" s="7"/>
      <c r="AV1998" s="4" t="s">
        <v>228</v>
      </c>
      <c r="AW1998" s="8" t="s">
        <v>228</v>
      </c>
      <c r="AX1998" s="4" t="s">
        <v>228</v>
      </c>
      <c r="AY1998" s="8" t="s">
        <v>228</v>
      </c>
      <c r="AZ1998" s="7" t="s">
        <v>228</v>
      </c>
      <c r="BA1998" s="7" t="s">
        <v>228</v>
      </c>
      <c r="BB1998" s="7"/>
      <c r="BC1998" s="4" t="s">
        <v>228</v>
      </c>
      <c r="BD1998" s="8" t="s">
        <v>228</v>
      </c>
      <c r="BE1998" s="4" t="s">
        <v>228</v>
      </c>
      <c r="BF1998" s="8" t="s">
        <v>228</v>
      </c>
      <c r="BG1998" s="7" t="s">
        <v>228</v>
      </c>
      <c r="BH1998" s="7" t="s">
        <v>228</v>
      </c>
      <c r="BI1998" s="7"/>
      <c r="BJ1998" s="4">
        <v>14</v>
      </c>
      <c r="BK1998" s="8">
        <v>532.45</v>
      </c>
      <c r="BL1998" s="2" t="s">
        <v>2507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9655</v>
      </c>
      <c r="BV1998" s="2" t="s">
        <v>228</v>
      </c>
      <c r="BW1998" s="2" t="s">
        <v>228</v>
      </c>
      <c r="BX1998" s="2" t="s">
        <v>337</v>
      </c>
      <c r="BY1998" s="2" t="s">
        <v>274</v>
      </c>
      <c r="BZ1998" s="2" t="s">
        <v>240</v>
      </c>
      <c r="CA1998" s="2" t="s">
        <v>1685</v>
      </c>
      <c r="CB1998" s="2" t="s">
        <v>7190</v>
      </c>
      <c r="CC1998" s="2" t="s">
        <v>241</v>
      </c>
      <c r="CD1998" s="2" t="s">
        <v>228</v>
      </c>
      <c r="CE1998" s="4">
        <v>134</v>
      </c>
      <c r="CF1998" s="4"/>
      <c r="CG1998" s="4"/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  <c r="CW1998" s="4"/>
      <c r="CX1998" s="4"/>
      <c r="CY1998" s="4"/>
      <c r="CZ1998" s="4"/>
      <c r="DA1998" s="4"/>
      <c r="DB1998" s="4"/>
      <c r="DC1998" s="4"/>
      <c r="DD1998" s="4"/>
      <c r="DE1998" s="4"/>
      <c r="DF1998" s="4"/>
      <c r="DG1998" s="4"/>
      <c r="DH1998" s="4"/>
      <c r="DI1998" s="4"/>
      <c r="DJ1998" s="4"/>
      <c r="DK1998" s="4"/>
      <c r="DL1998" s="4"/>
      <c r="DM1998" s="4"/>
      <c r="DN1998" s="4"/>
      <c r="DO1998" s="4"/>
      <c r="DP1998" s="4"/>
      <c r="DQ1998" s="4"/>
      <c r="DR1998" s="4"/>
      <c r="DS1998" s="4"/>
      <c r="DT1998" s="4"/>
      <c r="DU1998" s="4"/>
      <c r="DV1998" s="4"/>
      <c r="DW1998" s="4"/>
      <c r="DX1998" s="4"/>
      <c r="DY1998" s="4"/>
      <c r="DZ1998" s="4"/>
      <c r="EA1998" s="4"/>
      <c r="EB1998" s="4"/>
      <c r="EC1998" s="4"/>
      <c r="ED1998" s="4"/>
      <c r="EE1998" s="4"/>
      <c r="EF1998" s="4"/>
      <c r="EG1998" s="4"/>
      <c r="EH1998" s="4"/>
      <c r="EI1998" s="4"/>
      <c r="EJ1998" s="4"/>
      <c r="EK1998" s="4"/>
      <c r="EL1998" s="4"/>
      <c r="EM1998" s="4"/>
      <c r="EN1998" s="4"/>
      <c r="EO1998" s="4"/>
      <c r="EP1998" s="4"/>
      <c r="EQ1998" s="4"/>
      <c r="ER1998" s="4"/>
      <c r="ES1998" s="4"/>
      <c r="ET1998" s="4"/>
      <c r="EU1998" s="4"/>
      <c r="EV1998" s="4"/>
      <c r="EW1998" s="4"/>
      <c r="EX1998" s="4"/>
      <c r="EY1998" s="4"/>
      <c r="EZ1998" s="4"/>
      <c r="FA1998" s="4"/>
      <c r="FB1998" s="4"/>
      <c r="FC1998" s="4"/>
      <c r="FD1998" s="4"/>
      <c r="FE1998" s="4"/>
      <c r="FF1998" s="4"/>
      <c r="FG1998" s="4"/>
      <c r="FH1998" s="4"/>
      <c r="FI1998" s="4"/>
      <c r="FJ1998" s="4"/>
      <c r="FK1998" s="4"/>
      <c r="FL1998" s="4"/>
      <c r="FM1998" s="4"/>
      <c r="FN1998" s="4"/>
      <c r="FO1998" s="4"/>
      <c r="FP1998" s="4"/>
      <c r="FQ1998" s="4"/>
      <c r="FR1998" s="4"/>
      <c r="FS1998" s="4"/>
      <c r="FT1998" s="4"/>
      <c r="FU1998" s="4"/>
      <c r="FV1998" s="4"/>
      <c r="FW1998" s="4"/>
      <c r="FX1998" s="4"/>
      <c r="FY1998" s="4"/>
      <c r="FZ1998" s="4"/>
      <c r="GA1998" s="4"/>
      <c r="GB1998" s="4"/>
      <c r="GC1998" s="4"/>
      <c r="GD1998" s="4"/>
      <c r="GE1998" s="4"/>
      <c r="GF1998" s="4"/>
      <c r="GG1998" s="4"/>
      <c r="GH1998" s="4"/>
      <c r="GI1998" s="4"/>
      <c r="GJ1998" s="4"/>
      <c r="GK1998" s="4"/>
      <c r="GL1998" s="4"/>
      <c r="GM1998" s="4"/>
      <c r="GN1998" s="4"/>
      <c r="GO1998" s="4"/>
      <c r="GP1998" s="4"/>
      <c r="GQ1998" s="4"/>
      <c r="GR1998" s="4"/>
      <c r="GS1998" s="4"/>
      <c r="GT1998" s="4"/>
      <c r="GU1998" s="4"/>
      <c r="GV1998" s="4"/>
      <c r="GW1998" s="4"/>
      <c r="GX1998" s="4"/>
      <c r="GY1998" s="4"/>
      <c r="GZ1998" s="4"/>
      <c r="HA1998" s="4"/>
      <c r="HB1998" s="4"/>
      <c r="HC1998" s="4"/>
      <c r="HD1998" s="4"/>
      <c r="HE1998" s="4"/>
    </row>
    <row r="1999">
      <c r="A1999" s="2" t="s">
        <v>9656</v>
      </c>
      <c r="B1999" s="2" t="s">
        <v>223</v>
      </c>
      <c r="C1999" s="2" t="s">
        <v>3635</v>
      </c>
      <c r="D1999" s="2" t="s">
        <v>1407</v>
      </c>
      <c r="E1999" s="2" t="s">
        <v>3636</v>
      </c>
      <c r="F1999" s="2" t="s">
        <v>9622</v>
      </c>
      <c r="G1999" s="2" t="s">
        <v>9622</v>
      </c>
      <c r="H1999" s="2" t="s">
        <v>9622</v>
      </c>
      <c r="I1999" s="2" t="s">
        <v>3638</v>
      </c>
      <c r="J1999" s="2" t="s">
        <v>294</v>
      </c>
      <c r="K1999" s="2" t="s">
        <v>1478</v>
      </c>
      <c r="L1999" s="3">
        <v>77.9</v>
      </c>
      <c r="M1999" s="3">
        <v>81.8</v>
      </c>
      <c r="N1999" s="3">
        <v>154.99</v>
      </c>
      <c r="O1999" s="2" t="s">
        <v>461</v>
      </c>
      <c r="P1999" s="2" t="s">
        <v>922</v>
      </c>
      <c r="Q1999" s="2" t="s">
        <v>234</v>
      </c>
      <c r="R1999" s="2" t="s">
        <v>228</v>
      </c>
      <c r="S1999" s="2" t="s">
        <v>228</v>
      </c>
      <c r="T1999" s="2" t="s">
        <v>675</v>
      </c>
      <c r="U1999" s="2" t="s">
        <v>416</v>
      </c>
      <c r="V1999" s="2" t="s">
        <v>236</v>
      </c>
      <c r="W1999" s="2" t="s">
        <v>269</v>
      </c>
      <c r="X1999" s="2" t="s">
        <v>228</v>
      </c>
      <c r="Y1999" s="2" t="s">
        <v>2089</v>
      </c>
      <c r="Z1999" s="4">
        <v>137</v>
      </c>
      <c r="AA1999" s="4">
        <f>=ROUNDDOWN(45.6666666666667,0)</f>
      </c>
      <c r="AB1999" s="5">
        <v>3</v>
      </c>
      <c r="AC1999" s="2" t="s">
        <v>228</v>
      </c>
      <c r="AD1999" s="4"/>
      <c r="AE1999" s="4"/>
      <c r="AF1999" s="6">
        <v>58</v>
      </c>
      <c r="AG1999" s="6"/>
      <c r="AH1999" s="7">
        <v>1</v>
      </c>
      <c r="AI1999" s="4"/>
      <c r="AJ1999" s="4">
        <f>=ROUNDDOWN({0},0)</f>
      </c>
      <c r="AK1999" s="5"/>
      <c r="AL1999" s="2" t="s">
        <v>228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/>
      <c r="AW1999" s="8"/>
      <c r="AX1999" s="4"/>
      <c r="AY1999" s="8"/>
      <c r="AZ1999" s="7"/>
      <c r="BA1999" s="7"/>
      <c r="BB1999" s="7"/>
      <c r="BC1999" s="4" t="s">
        <v>228</v>
      </c>
      <c r="BD1999" s="8" t="s">
        <v>228</v>
      </c>
      <c r="BE1999" s="4" t="s">
        <v>228</v>
      </c>
      <c r="BF1999" s="8" t="s">
        <v>228</v>
      </c>
      <c r="BG1999" s="7" t="s">
        <v>228</v>
      </c>
      <c r="BH1999" s="7" t="s">
        <v>228</v>
      </c>
      <c r="BI1999" s="7"/>
      <c r="BJ1999" s="4">
        <v>23</v>
      </c>
      <c r="BK1999" s="8">
        <v>1061.44</v>
      </c>
      <c r="BL1999" s="2" t="s">
        <v>9657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9658</v>
      </c>
      <c r="BV1999" s="2" t="s">
        <v>228</v>
      </c>
      <c r="BW1999" s="2" t="s">
        <v>228</v>
      </c>
      <c r="BX1999" s="2" t="s">
        <v>337</v>
      </c>
      <c r="BY1999" s="2" t="s">
        <v>274</v>
      </c>
      <c r="BZ1999" s="2" t="s">
        <v>240</v>
      </c>
      <c r="CA1999" s="2" t="s">
        <v>1685</v>
      </c>
      <c r="CB1999" s="2" t="s">
        <v>2948</v>
      </c>
      <c r="CC1999" s="2" t="s">
        <v>241</v>
      </c>
      <c r="CD1999" s="2" t="s">
        <v>228</v>
      </c>
      <c r="CE1999" s="4">
        <v>137</v>
      </c>
      <c r="CF1999" s="4"/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4"/>
      <c r="CX1999" s="4"/>
      <c r="CY1999" s="4"/>
      <c r="CZ1999" s="4"/>
      <c r="DA1999" s="4"/>
      <c r="DB1999" s="4"/>
      <c r="DC1999" s="4"/>
      <c r="DD1999" s="4"/>
      <c r="DE1999" s="4"/>
      <c r="DF1999" s="4"/>
      <c r="DG1999" s="4"/>
      <c r="DH1999" s="4"/>
      <c r="DI1999" s="4"/>
      <c r="DJ1999" s="4"/>
      <c r="DK1999" s="4"/>
      <c r="DL1999" s="4"/>
      <c r="DM1999" s="4"/>
      <c r="DN1999" s="4"/>
      <c r="DO1999" s="4"/>
      <c r="DP1999" s="4"/>
      <c r="DQ1999" s="4"/>
      <c r="DR1999" s="4"/>
      <c r="DS1999" s="4"/>
      <c r="DT1999" s="4"/>
      <c r="DU1999" s="4"/>
      <c r="DV1999" s="4"/>
      <c r="DW1999" s="4"/>
      <c r="DX1999" s="4"/>
      <c r="DY1999" s="4"/>
      <c r="DZ1999" s="4"/>
      <c r="EA1999" s="4"/>
      <c r="EB1999" s="4"/>
      <c r="EC1999" s="4"/>
      <c r="ED1999" s="4"/>
      <c r="EE1999" s="4"/>
      <c r="EF1999" s="4"/>
      <c r="EG1999" s="4"/>
      <c r="EH1999" s="4"/>
      <c r="EI1999" s="4"/>
      <c r="EJ1999" s="4"/>
      <c r="EK1999" s="4"/>
      <c r="EL1999" s="4"/>
      <c r="EM1999" s="4"/>
      <c r="EN1999" s="4"/>
      <c r="EO1999" s="4"/>
      <c r="EP1999" s="4"/>
      <c r="EQ1999" s="4"/>
      <c r="ER1999" s="4"/>
      <c r="ES1999" s="4"/>
      <c r="ET1999" s="4"/>
      <c r="EU1999" s="4"/>
      <c r="EV1999" s="4"/>
      <c r="EW1999" s="4"/>
      <c r="EX1999" s="4"/>
      <c r="EY1999" s="4"/>
      <c r="EZ1999" s="4"/>
      <c r="FA1999" s="4"/>
      <c r="FB1999" s="4"/>
      <c r="FC1999" s="4"/>
      <c r="FD1999" s="4"/>
      <c r="FE1999" s="4"/>
      <c r="FF1999" s="4"/>
      <c r="FG1999" s="4"/>
      <c r="FH1999" s="4"/>
      <c r="FI1999" s="4"/>
      <c r="FJ1999" s="4"/>
      <c r="FK1999" s="4"/>
      <c r="FL1999" s="4"/>
      <c r="FM1999" s="4"/>
      <c r="FN1999" s="4"/>
      <c r="FO1999" s="4"/>
      <c r="FP1999" s="4"/>
      <c r="FQ1999" s="4"/>
      <c r="FR1999" s="4"/>
      <c r="FS1999" s="4"/>
      <c r="FT1999" s="4"/>
      <c r="FU1999" s="4"/>
      <c r="FV1999" s="4"/>
      <c r="FW1999" s="4"/>
      <c r="FX1999" s="4"/>
      <c r="FY1999" s="4"/>
      <c r="FZ1999" s="4"/>
      <c r="GA1999" s="4"/>
      <c r="GB1999" s="4"/>
      <c r="GC1999" s="4"/>
      <c r="GD1999" s="4"/>
      <c r="GE1999" s="4"/>
      <c r="GF1999" s="4"/>
      <c r="GG1999" s="4"/>
      <c r="GH1999" s="4"/>
      <c r="GI1999" s="4"/>
      <c r="GJ1999" s="4"/>
      <c r="GK1999" s="4"/>
      <c r="GL1999" s="4"/>
      <c r="GM1999" s="4"/>
      <c r="GN1999" s="4"/>
      <c r="GO1999" s="4"/>
      <c r="GP1999" s="4"/>
      <c r="GQ1999" s="4"/>
      <c r="GR1999" s="4"/>
      <c r="GS1999" s="4"/>
      <c r="GT1999" s="4"/>
      <c r="GU1999" s="4"/>
      <c r="GV1999" s="4"/>
      <c r="GW1999" s="4"/>
      <c r="GX1999" s="4"/>
      <c r="GY1999" s="4"/>
      <c r="GZ1999" s="4"/>
      <c r="HA1999" s="4"/>
      <c r="HB1999" s="4"/>
      <c r="HC1999" s="4"/>
      <c r="HD1999" s="4"/>
      <c r="HE1999" s="4"/>
    </row>
    <row r="2000">
      <c r="A2000" s="2" t="s">
        <v>9659</v>
      </c>
      <c r="B2000" s="2" t="s">
        <v>1150</v>
      </c>
      <c r="C2000" s="2" t="s">
        <v>300</v>
      </c>
      <c r="D2000" s="2" t="s">
        <v>1316</v>
      </c>
      <c r="E2000" s="2" t="s">
        <v>9660</v>
      </c>
      <c r="F2000" s="2" t="s">
        <v>9661</v>
      </c>
      <c r="G2000" s="2" t="s">
        <v>9662</v>
      </c>
      <c r="H2000" s="2" t="s">
        <v>9663</v>
      </c>
      <c r="I2000" s="2" t="s">
        <v>9664</v>
      </c>
      <c r="J2000" s="2" t="s">
        <v>9665</v>
      </c>
      <c r="K2000" s="2" t="s">
        <v>249</v>
      </c>
      <c r="L2000" s="3">
        <v>49.35</v>
      </c>
      <c r="M2000" s="3">
        <v>51.81</v>
      </c>
      <c r="N2000" s="3">
        <v>104.99</v>
      </c>
      <c r="O2000" s="2" t="s">
        <v>240</v>
      </c>
      <c r="P2000" s="2" t="s">
        <v>233</v>
      </c>
      <c r="Q2000" s="2" t="s">
        <v>234</v>
      </c>
      <c r="R2000" s="2" t="s">
        <v>228</v>
      </c>
      <c r="S2000" s="2" t="s">
        <v>9666</v>
      </c>
      <c r="T2000" s="2" t="s">
        <v>1414</v>
      </c>
      <c r="U2000" s="2" t="s">
        <v>1054</v>
      </c>
      <c r="V2000" s="2" t="s">
        <v>1438</v>
      </c>
      <c r="W2000" s="2" t="s">
        <v>1267</v>
      </c>
      <c r="X2000" s="2" t="s">
        <v>2834</v>
      </c>
      <c r="Y2000" s="2" t="s">
        <v>6556</v>
      </c>
      <c r="Z2000" s="4">
        <v>122</v>
      </c>
      <c r="AA2000" s="4">
        <f>=ROUNDDOWN(17.4285714285714,0)</f>
      </c>
      <c r="AB2000" s="5">
        <v>7</v>
      </c>
      <c r="AC2000" s="2" t="s">
        <v>1516</v>
      </c>
      <c r="AD2000" s="4">
        <v>120</v>
      </c>
      <c r="AE2000" s="4">
        <v>240</v>
      </c>
      <c r="AF2000" s="6">
        <v>65</v>
      </c>
      <c r="AG2000" s="6"/>
      <c r="AH2000" s="7">
        <v>1</v>
      </c>
      <c r="AI2000" s="4"/>
      <c r="AJ2000" s="4">
        <f>=ROUNDDOWN({0},0)</f>
      </c>
      <c r="AK2000" s="5"/>
      <c r="AL2000" s="2" t="s">
        <v>228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/>
      <c r="AW2000" s="8"/>
      <c r="AX2000" s="4"/>
      <c r="AY2000" s="8"/>
      <c r="AZ2000" s="7"/>
      <c r="BA2000" s="7"/>
      <c r="BB2000" s="7"/>
      <c r="BC2000" s="4" t="s">
        <v>228</v>
      </c>
      <c r="BD2000" s="8" t="s">
        <v>228</v>
      </c>
      <c r="BE2000" s="4" t="s">
        <v>228</v>
      </c>
      <c r="BF2000" s="8" t="s">
        <v>228</v>
      </c>
      <c r="BG2000" s="7" t="s">
        <v>228</v>
      </c>
      <c r="BH2000" s="7" t="s">
        <v>228</v>
      </c>
      <c r="BI2000" s="7"/>
      <c r="BJ2000" s="4">
        <v>5</v>
      </c>
      <c r="BK2000" s="8">
        <v>250.88</v>
      </c>
      <c r="BL2000" s="2" t="s">
        <v>9667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9668</v>
      </c>
      <c r="BV2000" s="2" t="s">
        <v>228</v>
      </c>
      <c r="BW2000" s="2" t="s">
        <v>228</v>
      </c>
      <c r="BX2000" s="2" t="s">
        <v>273</v>
      </c>
      <c r="BY2000" s="2" t="s">
        <v>274</v>
      </c>
      <c r="BZ2000" s="2" t="s">
        <v>240</v>
      </c>
      <c r="CA2000" s="2" t="s">
        <v>5919</v>
      </c>
      <c r="CB2000" s="2" t="s">
        <v>3101</v>
      </c>
      <c r="CC2000" s="2" t="s">
        <v>241</v>
      </c>
      <c r="CD2000" s="2" t="s">
        <v>228</v>
      </c>
      <c r="CE2000" s="4">
        <v>122</v>
      </c>
      <c r="CF2000" s="4"/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  <c r="CW2000" s="4"/>
      <c r="CX2000" s="4"/>
      <c r="CY2000" s="4"/>
      <c r="CZ2000" s="4"/>
      <c r="DA2000" s="4"/>
      <c r="DB2000" s="4"/>
      <c r="DC2000" s="4"/>
      <c r="DD2000" s="4"/>
      <c r="DE2000" s="4"/>
      <c r="DF2000" s="4"/>
      <c r="DG2000" s="4"/>
      <c r="DH2000" s="4"/>
      <c r="DI2000" s="4"/>
      <c r="DJ2000" s="4"/>
      <c r="DK2000" s="4"/>
      <c r="DL2000" s="4"/>
      <c r="DM2000" s="4"/>
      <c r="DN2000" s="4"/>
      <c r="DO2000" s="4"/>
      <c r="DP2000" s="4"/>
      <c r="DQ2000" s="4"/>
      <c r="DR2000" s="4"/>
      <c r="DS2000" s="4"/>
      <c r="DT2000" s="4"/>
      <c r="DU2000" s="4"/>
      <c r="DV2000" s="4"/>
      <c r="DW2000" s="4"/>
      <c r="DX2000" s="4"/>
      <c r="DY2000" s="4"/>
      <c r="DZ2000" s="4"/>
      <c r="EA2000" s="4"/>
      <c r="EB2000" s="4"/>
      <c r="EC2000" s="4"/>
      <c r="ED2000" s="4"/>
      <c r="EE2000" s="4"/>
      <c r="EF2000" s="4"/>
      <c r="EG2000" s="4">
        <v>120</v>
      </c>
      <c r="EH2000" s="4"/>
      <c r="EI2000" s="4"/>
      <c r="EJ2000" s="4"/>
      <c r="EK2000" s="4"/>
      <c r="EL2000" s="4"/>
      <c r="EM2000" s="4"/>
      <c r="EN2000" s="4"/>
      <c r="EO2000" s="4"/>
      <c r="EP2000" s="4"/>
      <c r="EQ2000" s="4"/>
      <c r="ER2000" s="4"/>
      <c r="ES2000" s="4"/>
      <c r="ET2000" s="4"/>
      <c r="EU2000" s="4"/>
      <c r="EV2000" s="4"/>
      <c r="EW2000" s="4"/>
      <c r="EX2000" s="4"/>
      <c r="EY2000" s="4"/>
      <c r="EZ2000" s="4"/>
      <c r="FA2000" s="4"/>
      <c r="FB2000" s="4"/>
      <c r="FC2000" s="4"/>
      <c r="FD2000" s="4">
        <v>70</v>
      </c>
      <c r="FE2000" s="4"/>
      <c r="FF2000" s="4"/>
      <c r="FG2000" s="4"/>
      <c r="FH2000" s="4"/>
      <c r="FI2000" s="4"/>
      <c r="FJ2000" s="4"/>
      <c r="FK2000" s="4"/>
      <c r="FL2000" s="4"/>
      <c r="FM2000" s="4"/>
      <c r="FN2000" s="4"/>
      <c r="FO2000" s="4"/>
      <c r="FP2000" s="4"/>
      <c r="FQ2000" s="4"/>
      <c r="FR2000" s="4"/>
      <c r="FS2000" s="4"/>
      <c r="FT2000" s="4"/>
      <c r="FU2000" s="4"/>
      <c r="FV2000" s="4"/>
      <c r="FW2000" s="4"/>
      <c r="FX2000" s="4"/>
      <c r="FY2000" s="4"/>
      <c r="FZ2000" s="4"/>
      <c r="GA2000" s="4"/>
      <c r="GB2000" s="4"/>
      <c r="GC2000" s="4">
        <v>50</v>
      </c>
      <c r="GD2000" s="4"/>
      <c r="GE2000" s="4"/>
      <c r="GF2000" s="4"/>
      <c r="GG2000" s="4"/>
      <c r="GH2000" s="4"/>
      <c r="GI2000" s="4"/>
      <c r="GJ2000" s="4"/>
      <c r="GK2000" s="4"/>
      <c r="GL2000" s="4"/>
      <c r="GM2000" s="4"/>
      <c r="GN2000" s="4"/>
      <c r="GO2000" s="4"/>
      <c r="GP2000" s="4"/>
      <c r="GQ2000" s="4"/>
      <c r="GR2000" s="4"/>
      <c r="GS2000" s="4"/>
      <c r="GT2000" s="4"/>
      <c r="GU2000" s="4"/>
      <c r="GV2000" s="4"/>
      <c r="GW2000" s="4"/>
      <c r="GX2000" s="4"/>
      <c r="GY2000" s="4"/>
      <c r="GZ2000" s="4"/>
      <c r="HA2000" s="4"/>
      <c r="HB2000" s="4"/>
      <c r="HC2000" s="4"/>
      <c r="HD2000" s="4"/>
      <c r="HE2000" s="4"/>
    </row>
    <row r="2001">
      <c r="A2001" s="2" t="s">
        <v>9669</v>
      </c>
      <c r="B2001" s="2" t="s">
        <v>1150</v>
      </c>
      <c r="C2001" s="2" t="s">
        <v>300</v>
      </c>
      <c r="D2001" s="2" t="s">
        <v>1316</v>
      </c>
      <c r="E2001" s="2" t="s">
        <v>9660</v>
      </c>
      <c r="F2001" s="2" t="s">
        <v>9661</v>
      </c>
      <c r="G2001" s="2" t="s">
        <v>9662</v>
      </c>
      <c r="H2001" s="2" t="s">
        <v>9663</v>
      </c>
      <c r="I2001" s="2" t="s">
        <v>9664</v>
      </c>
      <c r="J2001" s="2" t="s">
        <v>9665</v>
      </c>
      <c r="K2001" s="2" t="s">
        <v>6094</v>
      </c>
      <c r="L2001" s="3">
        <v>49.35</v>
      </c>
      <c r="M2001" s="3">
        <v>51.81</v>
      </c>
      <c r="N2001" s="3">
        <v>104.99</v>
      </c>
      <c r="O2001" s="2" t="s">
        <v>240</v>
      </c>
      <c r="P2001" s="2" t="s">
        <v>233</v>
      </c>
      <c r="Q2001" s="2" t="s">
        <v>234</v>
      </c>
      <c r="R2001" s="2" t="s">
        <v>228</v>
      </c>
      <c r="S2001" s="2" t="s">
        <v>9670</v>
      </c>
      <c r="T2001" s="2" t="s">
        <v>1414</v>
      </c>
      <c r="U2001" s="2" t="s">
        <v>1054</v>
      </c>
      <c r="V2001" s="2" t="s">
        <v>1438</v>
      </c>
      <c r="W2001" s="2" t="s">
        <v>1267</v>
      </c>
      <c r="X2001" s="2" t="s">
        <v>2834</v>
      </c>
      <c r="Y2001" s="2" t="s">
        <v>6556</v>
      </c>
      <c r="Z2001" s="4">
        <v>127</v>
      </c>
      <c r="AA2001" s="4">
        <f>=ROUNDDOWN(9.76923076923077,0)</f>
      </c>
      <c r="AB2001" s="5">
        <v>13</v>
      </c>
      <c r="AC2001" s="2" t="s">
        <v>1516</v>
      </c>
      <c r="AD2001" s="4">
        <v>180</v>
      </c>
      <c r="AE2001" s="4">
        <v>440</v>
      </c>
      <c r="AF2001" s="6">
        <v>65</v>
      </c>
      <c r="AG2001" s="6"/>
      <c r="AH2001" s="7">
        <v>1</v>
      </c>
      <c r="AI2001" s="4"/>
      <c r="AJ2001" s="4">
        <f>=ROUNDDOWN({0},0)</f>
      </c>
      <c r="AK2001" s="5"/>
      <c r="AL2001" s="2" t="s">
        <v>228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/>
      <c r="AW2001" s="8"/>
      <c r="AX2001" s="4"/>
      <c r="AY2001" s="8"/>
      <c r="AZ2001" s="7"/>
      <c r="BA2001" s="7"/>
      <c r="BB2001" s="7"/>
      <c r="BC2001" s="4" t="s">
        <v>228</v>
      </c>
      <c r="BD2001" s="8" t="s">
        <v>228</v>
      </c>
      <c r="BE2001" s="4" t="s">
        <v>228</v>
      </c>
      <c r="BF2001" s="8" t="s">
        <v>228</v>
      </c>
      <c r="BG2001" s="7" t="s">
        <v>228</v>
      </c>
      <c r="BH2001" s="7" t="s">
        <v>228</v>
      </c>
      <c r="BI2001" s="7"/>
      <c r="BJ2001" s="4">
        <v>22</v>
      </c>
      <c r="BK2001" s="8">
        <v>1244.02</v>
      </c>
      <c r="BL2001" s="2" t="s">
        <v>9671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9672</v>
      </c>
      <c r="BV2001" s="2" t="s">
        <v>228</v>
      </c>
      <c r="BW2001" s="2" t="s">
        <v>228</v>
      </c>
      <c r="BX2001" s="2" t="s">
        <v>273</v>
      </c>
      <c r="BY2001" s="2" t="s">
        <v>274</v>
      </c>
      <c r="BZ2001" s="2" t="s">
        <v>240</v>
      </c>
      <c r="CA2001" s="2" t="s">
        <v>2997</v>
      </c>
      <c r="CB2001" s="2" t="s">
        <v>4500</v>
      </c>
      <c r="CC2001" s="2" t="s">
        <v>241</v>
      </c>
      <c r="CD2001" s="2" t="s">
        <v>228</v>
      </c>
      <c r="CE2001" s="4">
        <v>127</v>
      </c>
      <c r="CF2001" s="4"/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4"/>
      <c r="CX2001" s="4"/>
      <c r="CY2001" s="4"/>
      <c r="CZ2001" s="4"/>
      <c r="DA2001" s="4"/>
      <c r="DB2001" s="4"/>
      <c r="DC2001" s="4"/>
      <c r="DD2001" s="4"/>
      <c r="DE2001" s="4"/>
      <c r="DF2001" s="4"/>
      <c r="DG2001" s="4"/>
      <c r="DH2001" s="4"/>
      <c r="DI2001" s="4"/>
      <c r="DJ2001" s="4"/>
      <c r="DK2001" s="4"/>
      <c r="DL2001" s="4"/>
      <c r="DM2001" s="4"/>
      <c r="DN2001" s="4"/>
      <c r="DO2001" s="4"/>
      <c r="DP2001" s="4"/>
      <c r="DQ2001" s="4"/>
      <c r="DR2001" s="4"/>
      <c r="DS2001" s="4"/>
      <c r="DT2001" s="4"/>
      <c r="DU2001" s="4"/>
      <c r="DV2001" s="4"/>
      <c r="DW2001" s="4"/>
      <c r="DX2001" s="4"/>
      <c r="DY2001" s="4"/>
      <c r="DZ2001" s="4"/>
      <c r="EA2001" s="4"/>
      <c r="EB2001" s="4"/>
      <c r="EC2001" s="4"/>
      <c r="ED2001" s="4"/>
      <c r="EE2001" s="4"/>
      <c r="EF2001" s="4"/>
      <c r="EG2001" s="4">
        <v>180</v>
      </c>
      <c r="EH2001" s="4"/>
      <c r="EI2001" s="4"/>
      <c r="EJ2001" s="4"/>
      <c r="EK2001" s="4"/>
      <c r="EL2001" s="4"/>
      <c r="EM2001" s="4"/>
      <c r="EN2001" s="4"/>
      <c r="EO2001" s="4"/>
      <c r="EP2001" s="4"/>
      <c r="EQ2001" s="4"/>
      <c r="ER2001" s="4"/>
      <c r="ES2001" s="4"/>
      <c r="ET2001" s="4"/>
      <c r="EU2001" s="4"/>
      <c r="EV2001" s="4"/>
      <c r="EW2001" s="4"/>
      <c r="EX2001" s="4"/>
      <c r="EY2001" s="4"/>
      <c r="EZ2001" s="4"/>
      <c r="FA2001" s="4"/>
      <c r="FB2001" s="4"/>
      <c r="FC2001" s="4"/>
      <c r="FD2001" s="4">
        <v>60</v>
      </c>
      <c r="FE2001" s="4"/>
      <c r="FF2001" s="4"/>
      <c r="FG2001" s="4"/>
      <c r="FH2001" s="4"/>
      <c r="FI2001" s="4"/>
      <c r="FJ2001" s="4"/>
      <c r="FK2001" s="4"/>
      <c r="FL2001" s="4"/>
      <c r="FM2001" s="4"/>
      <c r="FN2001" s="4"/>
      <c r="FO2001" s="4"/>
      <c r="FP2001" s="4"/>
      <c r="FQ2001" s="4"/>
      <c r="FR2001" s="4"/>
      <c r="FS2001" s="4"/>
      <c r="FT2001" s="4"/>
      <c r="FU2001" s="4"/>
      <c r="FV2001" s="4"/>
      <c r="FW2001" s="4"/>
      <c r="FX2001" s="4"/>
      <c r="FY2001" s="4"/>
      <c r="FZ2001" s="4"/>
      <c r="GA2001" s="4"/>
      <c r="GB2001" s="4"/>
      <c r="GC2001" s="4">
        <v>200</v>
      </c>
      <c r="GD2001" s="4"/>
      <c r="GE2001" s="4"/>
      <c r="GF2001" s="4"/>
      <c r="GG2001" s="4"/>
      <c r="GH2001" s="4"/>
      <c r="GI2001" s="4"/>
      <c r="GJ2001" s="4"/>
      <c r="GK2001" s="4"/>
      <c r="GL2001" s="4"/>
      <c r="GM2001" s="4"/>
      <c r="GN2001" s="4"/>
      <c r="GO2001" s="4"/>
      <c r="GP2001" s="4"/>
      <c r="GQ2001" s="4"/>
      <c r="GR2001" s="4"/>
      <c r="GS2001" s="4"/>
      <c r="GT2001" s="4"/>
      <c r="GU2001" s="4"/>
      <c r="GV2001" s="4"/>
      <c r="GW2001" s="4"/>
      <c r="GX2001" s="4"/>
      <c r="GY2001" s="4"/>
      <c r="GZ2001" s="4"/>
      <c r="HA2001" s="4"/>
      <c r="HB2001" s="4"/>
      <c r="HC2001" s="4"/>
      <c r="HD2001" s="4"/>
      <c r="HE2001" s="4"/>
    </row>
    <row r="2002">
      <c r="A2002" s="2" t="s">
        <v>9673</v>
      </c>
      <c r="B2002" s="2" t="s">
        <v>1150</v>
      </c>
      <c r="C2002" s="2" t="s">
        <v>300</v>
      </c>
      <c r="D2002" s="2" t="s">
        <v>850</v>
      </c>
      <c r="E2002" s="2" t="s">
        <v>851</v>
      </c>
      <c r="F2002" s="2" t="s">
        <v>9661</v>
      </c>
      <c r="G2002" s="2" t="s">
        <v>9662</v>
      </c>
      <c r="H2002" s="2" t="s">
        <v>9663</v>
      </c>
      <c r="I2002" s="2" t="s">
        <v>9674</v>
      </c>
      <c r="J2002" s="2" t="s">
        <v>1189</v>
      </c>
      <c r="K2002" s="2" t="s">
        <v>1390</v>
      </c>
      <c r="L2002" s="3">
        <v>53.9</v>
      </c>
      <c r="M2002" s="3">
        <v>56.59</v>
      </c>
      <c r="N2002" s="3">
        <v>109.99</v>
      </c>
      <c r="O2002" s="2" t="s">
        <v>240</v>
      </c>
      <c r="P2002" s="2" t="s">
        <v>266</v>
      </c>
      <c r="Q2002" s="2" t="s">
        <v>234</v>
      </c>
      <c r="R2002" s="2" t="s">
        <v>228</v>
      </c>
      <c r="S2002" s="2" t="s">
        <v>228</v>
      </c>
      <c r="T2002" s="2" t="s">
        <v>228</v>
      </c>
      <c r="U2002" s="2" t="s">
        <v>1054</v>
      </c>
      <c r="V2002" s="2" t="s">
        <v>1438</v>
      </c>
      <c r="W2002" s="2" t="s">
        <v>1267</v>
      </c>
      <c r="X2002" s="2" t="s">
        <v>2834</v>
      </c>
      <c r="Y2002" s="2" t="s">
        <v>9675</v>
      </c>
      <c r="Z2002" s="4">
        <v>99</v>
      </c>
      <c r="AA2002" s="4">
        <f>=ROUNDDOWN(33,0)</f>
      </c>
      <c r="AB2002" s="5">
        <v>3</v>
      </c>
      <c r="AC2002" s="2" t="s">
        <v>1516</v>
      </c>
      <c r="AD2002" s="4">
        <v>50</v>
      </c>
      <c r="AE2002" s="4">
        <v>170</v>
      </c>
      <c r="AF2002" s="6">
        <v>65</v>
      </c>
      <c r="AG2002" s="6"/>
      <c r="AH2002" s="7">
        <v>1</v>
      </c>
      <c r="AI2002" s="4"/>
      <c r="AJ2002" s="4">
        <f>=ROUNDDOWN({0},0)</f>
      </c>
      <c r="AK2002" s="5"/>
      <c r="AL2002" s="2" t="s">
        <v>228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/>
      <c r="AW2002" s="8"/>
      <c r="AX2002" s="4"/>
      <c r="AY2002" s="8"/>
      <c r="AZ2002" s="7"/>
      <c r="BA2002" s="7"/>
      <c r="BB2002" s="7"/>
      <c r="BC2002" s="4" t="s">
        <v>228</v>
      </c>
      <c r="BD2002" s="8" t="s">
        <v>228</v>
      </c>
      <c r="BE2002" s="4" t="s">
        <v>228</v>
      </c>
      <c r="BF2002" s="8" t="s">
        <v>228</v>
      </c>
      <c r="BG2002" s="7" t="s">
        <v>228</v>
      </c>
      <c r="BH2002" s="7" t="s">
        <v>228</v>
      </c>
      <c r="BI2002" s="7"/>
      <c r="BJ2002" s="4">
        <v>6</v>
      </c>
      <c r="BK2002" s="8">
        <v>323.33</v>
      </c>
      <c r="BL2002" s="2" t="s">
        <v>6302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9676</v>
      </c>
      <c r="BV2002" s="2" t="s">
        <v>228</v>
      </c>
      <c r="BW2002" s="2" t="s">
        <v>228</v>
      </c>
      <c r="BX2002" s="2" t="s">
        <v>273</v>
      </c>
      <c r="BY2002" s="2" t="s">
        <v>274</v>
      </c>
      <c r="BZ2002" s="2" t="s">
        <v>240</v>
      </c>
      <c r="CA2002" s="2" t="s">
        <v>9677</v>
      </c>
      <c r="CB2002" s="2" t="s">
        <v>5141</v>
      </c>
      <c r="CC2002" s="2" t="s">
        <v>241</v>
      </c>
      <c r="CD2002" s="2" t="s">
        <v>228</v>
      </c>
      <c r="CE2002" s="4">
        <v>99</v>
      </c>
      <c r="CF2002" s="4"/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  <c r="CW2002" s="4"/>
      <c r="CX2002" s="4"/>
      <c r="CY2002" s="4"/>
      <c r="CZ2002" s="4"/>
      <c r="DA2002" s="4"/>
      <c r="DB2002" s="4"/>
      <c r="DC2002" s="4"/>
      <c r="DD2002" s="4"/>
      <c r="DE2002" s="4"/>
      <c r="DF2002" s="4"/>
      <c r="DG2002" s="4"/>
      <c r="DH2002" s="4"/>
      <c r="DI2002" s="4"/>
      <c r="DJ2002" s="4"/>
      <c r="DK2002" s="4"/>
      <c r="DL2002" s="4"/>
      <c r="DM2002" s="4"/>
      <c r="DN2002" s="4"/>
      <c r="DO2002" s="4"/>
      <c r="DP2002" s="4"/>
      <c r="DQ2002" s="4"/>
      <c r="DR2002" s="4"/>
      <c r="DS2002" s="4"/>
      <c r="DT2002" s="4"/>
      <c r="DU2002" s="4"/>
      <c r="DV2002" s="4"/>
      <c r="DW2002" s="4"/>
      <c r="DX2002" s="4"/>
      <c r="DY2002" s="4"/>
      <c r="DZ2002" s="4"/>
      <c r="EA2002" s="4"/>
      <c r="EB2002" s="4"/>
      <c r="EC2002" s="4"/>
      <c r="ED2002" s="4"/>
      <c r="EE2002" s="4"/>
      <c r="EF2002" s="4"/>
      <c r="EG2002" s="4">
        <v>50</v>
      </c>
      <c r="EH2002" s="4"/>
      <c r="EI2002" s="4"/>
      <c r="EJ2002" s="4"/>
      <c r="EK2002" s="4"/>
      <c r="EL2002" s="4"/>
      <c r="EM2002" s="4"/>
      <c r="EN2002" s="4"/>
      <c r="EO2002" s="4"/>
      <c r="EP2002" s="4"/>
      <c r="EQ2002" s="4"/>
      <c r="ER2002" s="4"/>
      <c r="ES2002" s="4"/>
      <c r="ET2002" s="4"/>
      <c r="EU2002" s="4"/>
      <c r="EV2002" s="4"/>
      <c r="EW2002" s="4"/>
      <c r="EX2002" s="4"/>
      <c r="EY2002" s="4"/>
      <c r="EZ2002" s="4"/>
      <c r="FA2002" s="4"/>
      <c r="FB2002" s="4"/>
      <c r="FC2002" s="4"/>
      <c r="FD2002" s="4"/>
      <c r="FE2002" s="4"/>
      <c r="FF2002" s="4"/>
      <c r="FG2002" s="4"/>
      <c r="FH2002" s="4"/>
      <c r="FI2002" s="4"/>
      <c r="FJ2002" s="4"/>
      <c r="FK2002" s="4">
        <v>120</v>
      </c>
      <c r="FL2002" s="4"/>
      <c r="FM2002" s="4"/>
      <c r="FN2002" s="4"/>
      <c r="FO2002" s="4"/>
      <c r="FP2002" s="4"/>
      <c r="FQ2002" s="4"/>
      <c r="FR2002" s="4"/>
      <c r="FS2002" s="4"/>
      <c r="FT2002" s="4"/>
      <c r="FU2002" s="4"/>
      <c r="FV2002" s="4"/>
      <c r="FW2002" s="4"/>
      <c r="FX2002" s="4"/>
      <c r="FY2002" s="4"/>
      <c r="FZ2002" s="4"/>
      <c r="GA2002" s="4"/>
      <c r="GB2002" s="4"/>
      <c r="GC2002" s="4"/>
      <c r="GD2002" s="4"/>
      <c r="GE2002" s="4"/>
      <c r="GF2002" s="4"/>
      <c r="GG2002" s="4"/>
      <c r="GH2002" s="4"/>
      <c r="GI2002" s="4"/>
      <c r="GJ2002" s="4"/>
      <c r="GK2002" s="4"/>
      <c r="GL2002" s="4"/>
      <c r="GM2002" s="4"/>
      <c r="GN2002" s="4"/>
      <c r="GO2002" s="4"/>
      <c r="GP2002" s="4"/>
      <c r="GQ2002" s="4"/>
      <c r="GR2002" s="4"/>
      <c r="GS2002" s="4"/>
      <c r="GT2002" s="4"/>
      <c r="GU2002" s="4"/>
      <c r="GV2002" s="4"/>
      <c r="GW2002" s="4"/>
      <c r="GX2002" s="4"/>
      <c r="GY2002" s="4"/>
      <c r="GZ2002" s="4"/>
      <c r="HA2002" s="4"/>
      <c r="HB2002" s="4"/>
      <c r="HC2002" s="4"/>
      <c r="HD2002" s="4"/>
      <c r="HE2002" s="4"/>
    </row>
    <row r="2003">
      <c r="A2003" s="2" t="s">
        <v>9678</v>
      </c>
      <c r="B2003" s="2" t="s">
        <v>223</v>
      </c>
      <c r="C2003" s="2" t="s">
        <v>1261</v>
      </c>
      <c r="D2003" s="2" t="s">
        <v>1601</v>
      </c>
      <c r="E2003" s="2" t="s">
        <v>1602</v>
      </c>
      <c r="F2003" s="2" t="s">
        <v>9679</v>
      </c>
      <c r="G2003" s="2" t="s">
        <v>9679</v>
      </c>
      <c r="H2003" s="2" t="s">
        <v>9679</v>
      </c>
      <c r="I2003" s="2" t="s">
        <v>7222</v>
      </c>
      <c r="J2003" s="2" t="s">
        <v>2651</v>
      </c>
      <c r="K2003" s="2" t="s">
        <v>305</v>
      </c>
      <c r="L2003" s="3">
        <v>16.1</v>
      </c>
      <c r="M2003" s="3">
        <v>16.9</v>
      </c>
      <c r="N2003" s="3">
        <v>34.99</v>
      </c>
      <c r="O2003" s="2" t="s">
        <v>240</v>
      </c>
      <c r="P2003" s="2" t="s">
        <v>333</v>
      </c>
      <c r="Q2003" s="2" t="s">
        <v>234</v>
      </c>
      <c r="R2003" s="2" t="s">
        <v>228</v>
      </c>
      <c r="S2003" s="2" t="s">
        <v>9680</v>
      </c>
      <c r="T2003" s="2" t="s">
        <v>1266</v>
      </c>
      <c r="U2003" s="2" t="s">
        <v>228</v>
      </c>
      <c r="V2003" s="2" t="s">
        <v>1438</v>
      </c>
      <c r="W2003" s="2" t="s">
        <v>1267</v>
      </c>
      <c r="X2003" s="2" t="s">
        <v>1268</v>
      </c>
      <c r="Y2003" s="2" t="s">
        <v>270</v>
      </c>
      <c r="Z2003" s="4"/>
      <c r="AA2003" s="4">
        <f>=ROUNDDOWN({0},0)</f>
      </c>
      <c r="AB2003" s="5">
        <v>9</v>
      </c>
      <c r="AC2003" s="2" t="s">
        <v>228</v>
      </c>
      <c r="AD2003" s="4"/>
      <c r="AE2003" s="4"/>
      <c r="AF2003" s="6">
        <v>65</v>
      </c>
      <c r="AG2003" s="6"/>
      <c r="AH2003" s="7">
        <v>0</v>
      </c>
      <c r="AI2003" s="4"/>
      <c r="AJ2003" s="4">
        <f>=ROUNDDOWN({0},0)</f>
      </c>
      <c r="AK2003" s="5"/>
      <c r="AL2003" s="2" t="s">
        <v>228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/>
      <c r="AW2003" s="8"/>
      <c r="AX2003" s="4"/>
      <c r="AY2003" s="8"/>
      <c r="AZ2003" s="7"/>
      <c r="BA2003" s="7"/>
      <c r="BB2003" s="7"/>
      <c r="BC2003" s="4"/>
      <c r="BD2003" s="8"/>
      <c r="BE2003" s="4"/>
      <c r="BF2003" s="8"/>
      <c r="BG2003" s="7"/>
      <c r="BH2003" s="7"/>
      <c r="BI2003" s="7"/>
      <c r="BJ2003" s="4"/>
      <c r="BK2003" s="8"/>
      <c r="BL2003" s="2" t="s">
        <v>4746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9681</v>
      </c>
      <c r="BV2003" s="2" t="s">
        <v>228</v>
      </c>
      <c r="BW2003" s="2" t="s">
        <v>228</v>
      </c>
      <c r="BX2003" s="2" t="s">
        <v>337</v>
      </c>
      <c r="BY2003" s="2" t="s">
        <v>274</v>
      </c>
      <c r="BZ2003" s="2" t="s">
        <v>240</v>
      </c>
      <c r="CA2003" s="2" t="s">
        <v>2655</v>
      </c>
      <c r="CB2003" s="2" t="s">
        <v>7226</v>
      </c>
      <c r="CC2003" s="2" t="s">
        <v>241</v>
      </c>
      <c r="CD2003" s="2" t="s">
        <v>228</v>
      </c>
      <c r="CE2003" s="4"/>
      <c r="CF2003" s="4"/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4"/>
      <c r="CX2003" s="4"/>
      <c r="CY2003" s="4"/>
      <c r="CZ2003" s="4"/>
      <c r="DA2003" s="4"/>
      <c r="DB2003" s="4"/>
      <c r="DC2003" s="4"/>
      <c r="DD2003" s="4"/>
      <c r="DE2003" s="4"/>
      <c r="DF2003" s="4"/>
      <c r="DG2003" s="4"/>
      <c r="DH2003" s="4"/>
      <c r="DI2003" s="4"/>
      <c r="DJ2003" s="4"/>
      <c r="DK2003" s="4"/>
      <c r="DL2003" s="4"/>
      <c r="DM2003" s="4"/>
      <c r="DN2003" s="4"/>
      <c r="DO2003" s="4"/>
      <c r="DP2003" s="4"/>
      <c r="DQ2003" s="4"/>
      <c r="DR2003" s="4"/>
      <c r="DS2003" s="4"/>
      <c r="DT2003" s="4"/>
      <c r="DU2003" s="4"/>
      <c r="DV2003" s="4"/>
      <c r="DW2003" s="4"/>
      <c r="DX2003" s="4"/>
      <c r="DY2003" s="4"/>
      <c r="DZ2003" s="4"/>
      <c r="EA2003" s="4"/>
      <c r="EB2003" s="4"/>
      <c r="EC2003" s="4"/>
      <c r="ED2003" s="4"/>
      <c r="EE2003" s="4"/>
      <c r="EF2003" s="4"/>
      <c r="EG2003" s="4"/>
      <c r="EH2003" s="4"/>
      <c r="EI2003" s="4"/>
      <c r="EJ2003" s="4"/>
      <c r="EK2003" s="4"/>
      <c r="EL2003" s="4"/>
      <c r="EM2003" s="4"/>
      <c r="EN2003" s="4"/>
      <c r="EO2003" s="4"/>
      <c r="EP2003" s="4"/>
      <c r="EQ2003" s="4"/>
      <c r="ER2003" s="4"/>
      <c r="ES2003" s="4"/>
      <c r="ET2003" s="4"/>
      <c r="EU2003" s="4"/>
      <c r="EV2003" s="4"/>
      <c r="EW2003" s="4"/>
      <c r="EX2003" s="4"/>
      <c r="EY2003" s="4"/>
      <c r="EZ2003" s="4"/>
      <c r="FA2003" s="4"/>
      <c r="FB2003" s="4"/>
      <c r="FC2003" s="4"/>
      <c r="FD2003" s="4"/>
      <c r="FE2003" s="4"/>
      <c r="FF2003" s="4"/>
      <c r="FG2003" s="4"/>
      <c r="FH2003" s="4"/>
      <c r="FI2003" s="4"/>
      <c r="FJ2003" s="4"/>
      <c r="FK2003" s="4"/>
      <c r="FL2003" s="4"/>
      <c r="FM2003" s="4"/>
      <c r="FN2003" s="4"/>
      <c r="FO2003" s="4"/>
      <c r="FP2003" s="4"/>
      <c r="FQ2003" s="4"/>
      <c r="FR2003" s="4"/>
      <c r="FS2003" s="4"/>
      <c r="FT2003" s="4"/>
      <c r="FU2003" s="4"/>
      <c r="FV2003" s="4"/>
      <c r="FW2003" s="4"/>
      <c r="FX2003" s="4"/>
      <c r="FY2003" s="4"/>
      <c r="FZ2003" s="4"/>
      <c r="GA2003" s="4"/>
      <c r="GB2003" s="4"/>
      <c r="GC2003" s="4"/>
      <c r="GD2003" s="4"/>
      <c r="GE2003" s="4"/>
      <c r="GF2003" s="4"/>
      <c r="GG2003" s="4"/>
      <c r="GH2003" s="4"/>
      <c r="GI2003" s="4"/>
      <c r="GJ2003" s="4"/>
      <c r="GK2003" s="4"/>
      <c r="GL2003" s="4"/>
      <c r="GM2003" s="4"/>
      <c r="GN2003" s="4"/>
      <c r="GO2003" s="4"/>
      <c r="GP2003" s="4"/>
      <c r="GQ2003" s="4"/>
      <c r="GR2003" s="4"/>
      <c r="GS2003" s="4"/>
      <c r="GT2003" s="4"/>
      <c r="GU2003" s="4"/>
      <c r="GV2003" s="4"/>
      <c r="GW2003" s="4"/>
      <c r="GX2003" s="4"/>
      <c r="GY2003" s="4"/>
      <c r="GZ2003" s="4"/>
      <c r="HA2003" s="4"/>
      <c r="HB2003" s="4"/>
      <c r="HC2003" s="4"/>
      <c r="HD2003" s="4"/>
      <c r="HE2003" s="4"/>
    </row>
    <row r="2004">
      <c r="A2004" s="2" t="s">
        <v>9682</v>
      </c>
      <c r="B2004" s="2" t="s">
        <v>1276</v>
      </c>
      <c r="C2004" s="2" t="s">
        <v>300</v>
      </c>
      <c r="D2004" s="2" t="s">
        <v>1276</v>
      </c>
      <c r="E2004" s="2" t="s">
        <v>1276</v>
      </c>
      <c r="F2004" s="2" t="s">
        <v>9683</v>
      </c>
      <c r="G2004" s="2" t="s">
        <v>9684</v>
      </c>
      <c r="H2004" s="2" t="s">
        <v>9685</v>
      </c>
      <c r="I2004" s="2" t="s">
        <v>9686</v>
      </c>
      <c r="J2004" s="2" t="s">
        <v>3202</v>
      </c>
      <c r="K2004" s="2" t="s">
        <v>265</v>
      </c>
      <c r="L2004" s="3">
        <v>37.57</v>
      </c>
      <c r="M2004" s="3">
        <v>39.45</v>
      </c>
      <c r="N2004" s="3">
        <v>84.99</v>
      </c>
      <c r="O2004" s="2" t="s">
        <v>461</v>
      </c>
      <c r="P2004" s="2" t="s">
        <v>333</v>
      </c>
      <c r="Q2004" s="2" t="s">
        <v>234</v>
      </c>
      <c r="R2004" s="2" t="s">
        <v>228</v>
      </c>
      <c r="S2004" s="2" t="s">
        <v>9687</v>
      </c>
      <c r="T2004" s="2" t="s">
        <v>228</v>
      </c>
      <c r="U2004" s="2" t="s">
        <v>416</v>
      </c>
      <c r="V2004" s="2" t="s">
        <v>859</v>
      </c>
      <c r="W2004" s="2" t="s">
        <v>417</v>
      </c>
      <c r="X2004" s="2" t="s">
        <v>228</v>
      </c>
      <c r="Y2004" s="2" t="s">
        <v>1932</v>
      </c>
      <c r="Z2004" s="4">
        <v>72</v>
      </c>
      <c r="AA2004" s="4">
        <f>=ROUNDDOWN(48,0)</f>
      </c>
      <c r="AB2004" s="5">
        <v>1.5</v>
      </c>
      <c r="AC2004" s="2" t="s">
        <v>228</v>
      </c>
      <c r="AD2004" s="4"/>
      <c r="AE2004" s="4"/>
      <c r="AF2004" s="6">
        <v>63</v>
      </c>
      <c r="AG2004" s="6"/>
      <c r="AH2004" s="7">
        <v>0.9355</v>
      </c>
      <c r="AI2004" s="4"/>
      <c r="AJ2004" s="4">
        <f>=ROUNDDOWN({0},0)</f>
      </c>
      <c r="AK2004" s="5"/>
      <c r="AL2004" s="2" t="s">
        <v>228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 t="s">
        <v>228</v>
      </c>
      <c r="AW2004" s="8" t="s">
        <v>228</v>
      </c>
      <c r="AX2004" s="4" t="s">
        <v>228</v>
      </c>
      <c r="AY2004" s="8" t="s">
        <v>228</v>
      </c>
      <c r="AZ2004" s="7" t="s">
        <v>228</v>
      </c>
      <c r="BA2004" s="7" t="s">
        <v>228</v>
      </c>
      <c r="BB2004" s="7"/>
      <c r="BC2004" s="4" t="s">
        <v>228</v>
      </c>
      <c r="BD2004" s="8" t="s">
        <v>228</v>
      </c>
      <c r="BE2004" s="4" t="s">
        <v>228</v>
      </c>
      <c r="BF2004" s="8" t="s">
        <v>228</v>
      </c>
      <c r="BG2004" s="7" t="s">
        <v>228</v>
      </c>
      <c r="BH2004" s="7" t="s">
        <v>228</v>
      </c>
      <c r="BI2004" s="7"/>
      <c r="BJ2004" s="4">
        <v>3</v>
      </c>
      <c r="BK2004" s="8">
        <v>126.05</v>
      </c>
      <c r="BL2004" s="2" t="s">
        <v>9688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9689</v>
      </c>
      <c r="BV2004" s="2" t="s">
        <v>228</v>
      </c>
      <c r="BW2004" s="2" t="s">
        <v>228</v>
      </c>
      <c r="BX2004" s="2" t="s">
        <v>337</v>
      </c>
      <c r="BY2004" s="2" t="s">
        <v>274</v>
      </c>
      <c r="BZ2004" s="2" t="s">
        <v>240</v>
      </c>
      <c r="CA2004" s="2" t="s">
        <v>5351</v>
      </c>
      <c r="CB2004" s="2" t="s">
        <v>228</v>
      </c>
      <c r="CC2004" s="2" t="s">
        <v>241</v>
      </c>
      <c r="CD2004" s="2" t="s">
        <v>228</v>
      </c>
      <c r="CE2004" s="4"/>
      <c r="CF2004" s="4">
        <v>72</v>
      </c>
      <c r="CG2004" s="4"/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  <c r="CW2004" s="4"/>
      <c r="CX2004" s="4"/>
      <c r="CY2004" s="4"/>
      <c r="CZ2004" s="4"/>
      <c r="DA2004" s="4"/>
      <c r="DB2004" s="4"/>
      <c r="DC2004" s="4"/>
      <c r="DD2004" s="4"/>
      <c r="DE2004" s="4"/>
      <c r="DF2004" s="4"/>
      <c r="DG2004" s="4"/>
      <c r="DH2004" s="4"/>
      <c r="DI2004" s="4"/>
      <c r="DJ2004" s="4"/>
      <c r="DK2004" s="4"/>
      <c r="DL2004" s="4"/>
      <c r="DM2004" s="4"/>
      <c r="DN2004" s="4"/>
      <c r="DO2004" s="4"/>
      <c r="DP2004" s="4"/>
      <c r="DQ2004" s="4"/>
      <c r="DR2004" s="4"/>
      <c r="DS2004" s="4"/>
      <c r="DT2004" s="4"/>
      <c r="DU2004" s="4"/>
      <c r="DV2004" s="4"/>
      <c r="DW2004" s="4"/>
      <c r="DX2004" s="4"/>
      <c r="DY2004" s="4"/>
      <c r="DZ2004" s="4"/>
      <c r="EA2004" s="4"/>
      <c r="EB2004" s="4"/>
      <c r="EC2004" s="4"/>
      <c r="ED2004" s="4"/>
      <c r="EE2004" s="4"/>
      <c r="EF2004" s="4"/>
      <c r="EG2004" s="4"/>
      <c r="EH2004" s="4"/>
      <c r="EI2004" s="4"/>
      <c r="EJ2004" s="4"/>
      <c r="EK2004" s="4"/>
      <c r="EL2004" s="4"/>
      <c r="EM2004" s="4"/>
      <c r="EN2004" s="4"/>
      <c r="EO2004" s="4"/>
      <c r="EP2004" s="4"/>
      <c r="EQ2004" s="4"/>
      <c r="ER2004" s="4"/>
      <c r="ES2004" s="4"/>
      <c r="ET2004" s="4"/>
      <c r="EU2004" s="4"/>
      <c r="EV2004" s="4"/>
      <c r="EW2004" s="4"/>
      <c r="EX2004" s="4"/>
      <c r="EY2004" s="4"/>
      <c r="EZ2004" s="4"/>
      <c r="FA2004" s="4"/>
      <c r="FB2004" s="4"/>
      <c r="FC2004" s="4"/>
      <c r="FD2004" s="4"/>
      <c r="FE2004" s="4"/>
      <c r="FF2004" s="4"/>
      <c r="FG2004" s="4"/>
      <c r="FH2004" s="4"/>
      <c r="FI2004" s="4"/>
      <c r="FJ2004" s="4"/>
      <c r="FK2004" s="4"/>
      <c r="FL2004" s="4"/>
      <c r="FM2004" s="4"/>
      <c r="FN2004" s="4"/>
      <c r="FO2004" s="4"/>
      <c r="FP2004" s="4"/>
      <c r="FQ2004" s="4"/>
      <c r="FR2004" s="4"/>
      <c r="FS2004" s="4"/>
      <c r="FT2004" s="4"/>
      <c r="FU2004" s="4"/>
      <c r="FV2004" s="4"/>
      <c r="FW2004" s="4"/>
      <c r="FX2004" s="4"/>
      <c r="FY2004" s="4"/>
      <c r="FZ2004" s="4"/>
      <c r="GA2004" s="4"/>
      <c r="GB2004" s="4"/>
      <c r="GC2004" s="4"/>
      <c r="GD2004" s="4"/>
      <c r="GE2004" s="4"/>
      <c r="GF2004" s="4"/>
      <c r="GG2004" s="4"/>
      <c r="GH2004" s="4"/>
      <c r="GI2004" s="4"/>
      <c r="GJ2004" s="4"/>
      <c r="GK2004" s="4"/>
      <c r="GL2004" s="4"/>
      <c r="GM2004" s="4"/>
      <c r="GN2004" s="4"/>
      <c r="GO2004" s="4"/>
      <c r="GP2004" s="4"/>
      <c r="GQ2004" s="4"/>
      <c r="GR2004" s="4"/>
      <c r="GS2004" s="4"/>
      <c r="GT2004" s="4"/>
      <c r="GU2004" s="4"/>
      <c r="GV2004" s="4"/>
      <c r="GW2004" s="4"/>
      <c r="GX2004" s="4"/>
      <c r="GY2004" s="4"/>
      <c r="GZ2004" s="4"/>
      <c r="HA2004" s="4"/>
      <c r="HB2004" s="4"/>
      <c r="HC2004" s="4"/>
      <c r="HD2004" s="4"/>
      <c r="HE2004" s="4"/>
    </row>
    <row r="2005">
      <c r="A2005" s="2" t="s">
        <v>9690</v>
      </c>
      <c r="B2005" s="2" t="s">
        <v>1276</v>
      </c>
      <c r="C2005" s="2" t="s">
        <v>300</v>
      </c>
      <c r="D2005" s="2" t="s">
        <v>1276</v>
      </c>
      <c r="E2005" s="2" t="s">
        <v>1276</v>
      </c>
      <c r="F2005" s="2" t="s">
        <v>9683</v>
      </c>
      <c r="G2005" s="2" t="s">
        <v>9684</v>
      </c>
      <c r="H2005" s="2" t="s">
        <v>9685</v>
      </c>
      <c r="I2005" s="2" t="s">
        <v>9686</v>
      </c>
      <c r="J2005" s="2" t="s">
        <v>1711</v>
      </c>
      <c r="K2005" s="2" t="s">
        <v>265</v>
      </c>
      <c r="L2005" s="3">
        <v>65.45</v>
      </c>
      <c r="M2005" s="3">
        <v>68.72</v>
      </c>
      <c r="N2005" s="3">
        <v>149.99</v>
      </c>
      <c r="O2005" s="2" t="s">
        <v>461</v>
      </c>
      <c r="P2005" s="2" t="s">
        <v>333</v>
      </c>
      <c r="Q2005" s="2" t="s">
        <v>234</v>
      </c>
      <c r="R2005" s="2" t="s">
        <v>228</v>
      </c>
      <c r="S2005" s="2" t="s">
        <v>9687</v>
      </c>
      <c r="T2005" s="2" t="s">
        <v>228</v>
      </c>
      <c r="U2005" s="2" t="s">
        <v>416</v>
      </c>
      <c r="V2005" s="2" t="s">
        <v>859</v>
      </c>
      <c r="W2005" s="2" t="s">
        <v>417</v>
      </c>
      <c r="X2005" s="2" t="s">
        <v>228</v>
      </c>
      <c r="Y2005" s="2" t="s">
        <v>1932</v>
      </c>
      <c r="Z2005" s="4">
        <v>74</v>
      </c>
      <c r="AA2005" s="4">
        <f>=ROUNDDOWN(82.2222222222222,0)</f>
      </c>
      <c r="AB2005" s="5">
        <v>0.9</v>
      </c>
      <c r="AC2005" s="2" t="s">
        <v>228</v>
      </c>
      <c r="AD2005" s="4"/>
      <c r="AE2005" s="4"/>
      <c r="AF2005" s="6">
        <v>63</v>
      </c>
      <c r="AG2005" s="6"/>
      <c r="AH2005" s="7">
        <v>1</v>
      </c>
      <c r="AI2005" s="4"/>
      <c r="AJ2005" s="4">
        <f>=ROUNDDOWN({0},0)</f>
      </c>
      <c r="AK2005" s="5"/>
      <c r="AL2005" s="2" t="s">
        <v>228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 t="s">
        <v>228</v>
      </c>
      <c r="AW2005" s="8" t="s">
        <v>228</v>
      </c>
      <c r="AX2005" s="4" t="s">
        <v>228</v>
      </c>
      <c r="AY2005" s="8" t="s">
        <v>228</v>
      </c>
      <c r="AZ2005" s="7" t="s">
        <v>228</v>
      </c>
      <c r="BA2005" s="7" t="s">
        <v>228</v>
      </c>
      <c r="BB2005" s="7"/>
      <c r="BC2005" s="4" t="s">
        <v>228</v>
      </c>
      <c r="BD2005" s="8" t="s">
        <v>228</v>
      </c>
      <c r="BE2005" s="4" t="s">
        <v>228</v>
      </c>
      <c r="BF2005" s="8" t="s">
        <v>228</v>
      </c>
      <c r="BG2005" s="7" t="s">
        <v>228</v>
      </c>
      <c r="BH2005" s="7" t="s">
        <v>228</v>
      </c>
      <c r="BI2005" s="7"/>
      <c r="BJ2005" s="4">
        <v>2</v>
      </c>
      <c r="BK2005" s="8">
        <v>221.99</v>
      </c>
      <c r="BL2005" s="2" t="s">
        <v>8328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9691</v>
      </c>
      <c r="BV2005" s="2" t="s">
        <v>228</v>
      </c>
      <c r="BW2005" s="2" t="s">
        <v>228</v>
      </c>
      <c r="BX2005" s="2" t="s">
        <v>337</v>
      </c>
      <c r="BY2005" s="2" t="s">
        <v>274</v>
      </c>
      <c r="BZ2005" s="2" t="s">
        <v>240</v>
      </c>
      <c r="CA2005" s="2" t="s">
        <v>5351</v>
      </c>
      <c r="CB2005" s="2" t="s">
        <v>228</v>
      </c>
      <c r="CC2005" s="2" t="s">
        <v>241</v>
      </c>
      <c r="CD2005" s="2" t="s">
        <v>228</v>
      </c>
      <c r="CE2005" s="4"/>
      <c r="CF2005" s="4">
        <v>74</v>
      </c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4"/>
      <c r="CX2005" s="4"/>
      <c r="CY2005" s="4"/>
      <c r="CZ2005" s="4"/>
      <c r="DA2005" s="4"/>
      <c r="DB2005" s="4"/>
      <c r="DC2005" s="4"/>
      <c r="DD2005" s="4"/>
      <c r="DE2005" s="4"/>
      <c r="DF2005" s="4"/>
      <c r="DG2005" s="4"/>
      <c r="DH2005" s="4"/>
      <c r="DI2005" s="4"/>
      <c r="DJ2005" s="4"/>
      <c r="DK2005" s="4"/>
      <c r="DL2005" s="4"/>
      <c r="DM2005" s="4"/>
      <c r="DN2005" s="4"/>
      <c r="DO2005" s="4"/>
      <c r="DP2005" s="4"/>
      <c r="DQ2005" s="4"/>
      <c r="DR2005" s="4"/>
      <c r="DS2005" s="4"/>
      <c r="DT2005" s="4"/>
      <c r="DU2005" s="4"/>
      <c r="DV2005" s="4"/>
      <c r="DW2005" s="4"/>
      <c r="DX2005" s="4"/>
      <c r="DY2005" s="4"/>
      <c r="DZ2005" s="4"/>
      <c r="EA2005" s="4"/>
      <c r="EB2005" s="4"/>
      <c r="EC2005" s="4"/>
      <c r="ED2005" s="4"/>
      <c r="EE2005" s="4"/>
      <c r="EF2005" s="4"/>
      <c r="EG2005" s="4"/>
      <c r="EH2005" s="4"/>
      <c r="EI2005" s="4"/>
      <c r="EJ2005" s="4"/>
      <c r="EK2005" s="4"/>
      <c r="EL2005" s="4"/>
      <c r="EM2005" s="4"/>
      <c r="EN2005" s="4"/>
      <c r="EO2005" s="4"/>
      <c r="EP2005" s="4"/>
      <c r="EQ2005" s="4"/>
      <c r="ER2005" s="4"/>
      <c r="ES2005" s="4"/>
      <c r="ET2005" s="4"/>
      <c r="EU2005" s="4"/>
      <c r="EV2005" s="4"/>
      <c r="EW2005" s="4"/>
      <c r="EX2005" s="4"/>
      <c r="EY2005" s="4"/>
      <c r="EZ2005" s="4"/>
      <c r="FA2005" s="4"/>
      <c r="FB2005" s="4"/>
      <c r="FC2005" s="4"/>
      <c r="FD2005" s="4"/>
      <c r="FE2005" s="4"/>
      <c r="FF2005" s="4"/>
      <c r="FG2005" s="4"/>
      <c r="FH2005" s="4"/>
      <c r="FI2005" s="4"/>
      <c r="FJ2005" s="4"/>
      <c r="FK2005" s="4"/>
      <c r="FL2005" s="4"/>
      <c r="FM2005" s="4"/>
      <c r="FN2005" s="4"/>
      <c r="FO2005" s="4"/>
      <c r="FP2005" s="4"/>
      <c r="FQ2005" s="4"/>
      <c r="FR2005" s="4"/>
      <c r="FS2005" s="4"/>
      <c r="FT2005" s="4"/>
      <c r="FU2005" s="4"/>
      <c r="FV2005" s="4"/>
      <c r="FW2005" s="4"/>
      <c r="FX2005" s="4"/>
      <c r="FY2005" s="4"/>
      <c r="FZ2005" s="4"/>
      <c r="GA2005" s="4"/>
      <c r="GB2005" s="4"/>
      <c r="GC2005" s="4"/>
      <c r="GD2005" s="4"/>
      <c r="GE2005" s="4"/>
      <c r="GF2005" s="4"/>
      <c r="GG2005" s="4"/>
      <c r="GH2005" s="4"/>
      <c r="GI2005" s="4"/>
      <c r="GJ2005" s="4"/>
      <c r="GK2005" s="4"/>
      <c r="GL2005" s="4"/>
      <c r="GM2005" s="4"/>
      <c r="GN2005" s="4"/>
      <c r="GO2005" s="4"/>
      <c r="GP2005" s="4"/>
      <c r="GQ2005" s="4"/>
      <c r="GR2005" s="4"/>
      <c r="GS2005" s="4"/>
      <c r="GT2005" s="4"/>
      <c r="GU2005" s="4"/>
      <c r="GV2005" s="4"/>
      <c r="GW2005" s="4"/>
      <c r="GX2005" s="4"/>
      <c r="GY2005" s="4"/>
      <c r="GZ2005" s="4"/>
      <c r="HA2005" s="4"/>
      <c r="HB2005" s="4"/>
      <c r="HC2005" s="4"/>
      <c r="HD2005" s="4"/>
      <c r="HE2005" s="4"/>
    </row>
    <row r="2006">
      <c r="A2006" s="2" t="s">
        <v>9692</v>
      </c>
      <c r="B2006" s="2" t="s">
        <v>1276</v>
      </c>
      <c r="C2006" s="2" t="s">
        <v>300</v>
      </c>
      <c r="D2006" s="2" t="s">
        <v>1276</v>
      </c>
      <c r="E2006" s="2" t="s">
        <v>1276</v>
      </c>
      <c r="F2006" s="2" t="s">
        <v>9683</v>
      </c>
      <c r="G2006" s="2" t="s">
        <v>9684</v>
      </c>
      <c r="H2006" s="2" t="s">
        <v>9685</v>
      </c>
      <c r="I2006" s="2" t="s">
        <v>9686</v>
      </c>
      <c r="J2006" s="2" t="s">
        <v>1280</v>
      </c>
      <c r="K2006" s="2" t="s">
        <v>265</v>
      </c>
      <c r="L2006" s="3">
        <v>99.93</v>
      </c>
      <c r="M2006" s="3">
        <v>104.93</v>
      </c>
      <c r="N2006" s="3">
        <v>224.99</v>
      </c>
      <c r="O2006" s="2" t="s">
        <v>461</v>
      </c>
      <c r="P2006" s="2" t="s">
        <v>333</v>
      </c>
      <c r="Q2006" s="2" t="s">
        <v>234</v>
      </c>
      <c r="R2006" s="2" t="s">
        <v>228</v>
      </c>
      <c r="S2006" s="2" t="s">
        <v>9687</v>
      </c>
      <c r="T2006" s="2" t="s">
        <v>228</v>
      </c>
      <c r="U2006" s="2" t="s">
        <v>416</v>
      </c>
      <c r="V2006" s="2" t="s">
        <v>859</v>
      </c>
      <c r="W2006" s="2" t="s">
        <v>417</v>
      </c>
      <c r="X2006" s="2" t="s">
        <v>228</v>
      </c>
      <c r="Y2006" s="2" t="s">
        <v>1932</v>
      </c>
      <c r="Z2006" s="4">
        <v>43</v>
      </c>
      <c r="AA2006" s="4">
        <f>=ROUNDDOWN(43,0)</f>
      </c>
      <c r="AB2006" s="5">
        <v>1</v>
      </c>
      <c r="AC2006" s="2" t="s">
        <v>228</v>
      </c>
      <c r="AD2006" s="4"/>
      <c r="AE2006" s="4"/>
      <c r="AF2006" s="6">
        <v>63</v>
      </c>
      <c r="AG2006" s="6"/>
      <c r="AH2006" s="7">
        <v>1</v>
      </c>
      <c r="AI2006" s="4"/>
      <c r="AJ2006" s="4">
        <f>=ROUNDDOWN({0},0)</f>
      </c>
      <c r="AK2006" s="5"/>
      <c r="AL2006" s="2" t="s">
        <v>228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 t="s">
        <v>228</v>
      </c>
      <c r="AW2006" s="8" t="s">
        <v>228</v>
      </c>
      <c r="AX2006" s="4" t="s">
        <v>228</v>
      </c>
      <c r="AY2006" s="8" t="s">
        <v>228</v>
      </c>
      <c r="AZ2006" s="7" t="s">
        <v>228</v>
      </c>
      <c r="BA2006" s="7" t="s">
        <v>228</v>
      </c>
      <c r="BB2006" s="7"/>
      <c r="BC2006" s="4" t="s">
        <v>228</v>
      </c>
      <c r="BD2006" s="8" t="s">
        <v>228</v>
      </c>
      <c r="BE2006" s="4" t="s">
        <v>228</v>
      </c>
      <c r="BF2006" s="8" t="s">
        <v>228</v>
      </c>
      <c r="BG2006" s="7" t="s">
        <v>228</v>
      </c>
      <c r="BH2006" s="7" t="s">
        <v>228</v>
      </c>
      <c r="BI2006" s="7"/>
      <c r="BJ2006" s="4"/>
      <c r="BK2006" s="8"/>
      <c r="BL2006" s="2" t="s">
        <v>228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9693</v>
      </c>
      <c r="BV2006" s="2" t="s">
        <v>228</v>
      </c>
      <c r="BW2006" s="2" t="s">
        <v>228</v>
      </c>
      <c r="BX2006" s="2" t="s">
        <v>337</v>
      </c>
      <c r="BY2006" s="2" t="s">
        <v>274</v>
      </c>
      <c r="BZ2006" s="2" t="s">
        <v>240</v>
      </c>
      <c r="CA2006" s="2" t="s">
        <v>5351</v>
      </c>
      <c r="CB2006" s="2" t="s">
        <v>5632</v>
      </c>
      <c r="CC2006" s="2" t="s">
        <v>241</v>
      </c>
      <c r="CD2006" s="2" t="s">
        <v>228</v>
      </c>
      <c r="CE2006" s="4"/>
      <c r="CF2006" s="4">
        <v>43</v>
      </c>
      <c r="CG2006" s="4"/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  <c r="CW2006" s="4"/>
      <c r="CX2006" s="4"/>
      <c r="CY2006" s="4"/>
      <c r="CZ2006" s="4"/>
      <c r="DA2006" s="4"/>
      <c r="DB2006" s="4"/>
      <c r="DC2006" s="4"/>
      <c r="DD2006" s="4"/>
      <c r="DE2006" s="4"/>
      <c r="DF2006" s="4"/>
      <c r="DG2006" s="4"/>
      <c r="DH2006" s="4"/>
      <c r="DI2006" s="4"/>
      <c r="DJ2006" s="4"/>
      <c r="DK2006" s="4"/>
      <c r="DL2006" s="4"/>
      <c r="DM2006" s="4"/>
      <c r="DN2006" s="4"/>
      <c r="DO2006" s="4"/>
      <c r="DP2006" s="4"/>
      <c r="DQ2006" s="4"/>
      <c r="DR2006" s="4"/>
      <c r="DS2006" s="4"/>
      <c r="DT2006" s="4"/>
      <c r="DU2006" s="4"/>
      <c r="DV2006" s="4"/>
      <c r="DW2006" s="4"/>
      <c r="DX2006" s="4"/>
      <c r="DY2006" s="4"/>
      <c r="DZ2006" s="4"/>
      <c r="EA2006" s="4"/>
      <c r="EB2006" s="4"/>
      <c r="EC2006" s="4"/>
      <c r="ED2006" s="4"/>
      <c r="EE2006" s="4"/>
      <c r="EF2006" s="4"/>
      <c r="EG2006" s="4"/>
      <c r="EH2006" s="4"/>
      <c r="EI2006" s="4"/>
      <c r="EJ2006" s="4"/>
      <c r="EK2006" s="4"/>
      <c r="EL2006" s="4"/>
      <c r="EM2006" s="4"/>
      <c r="EN2006" s="4"/>
      <c r="EO2006" s="4"/>
      <c r="EP2006" s="4"/>
      <c r="EQ2006" s="4"/>
      <c r="ER2006" s="4"/>
      <c r="ES2006" s="4"/>
      <c r="ET2006" s="4"/>
      <c r="EU2006" s="4"/>
      <c r="EV2006" s="4"/>
      <c r="EW2006" s="4"/>
      <c r="EX2006" s="4"/>
      <c r="EY2006" s="4"/>
      <c r="EZ2006" s="4"/>
      <c r="FA2006" s="4"/>
      <c r="FB2006" s="4"/>
      <c r="FC2006" s="4"/>
      <c r="FD2006" s="4"/>
      <c r="FE2006" s="4"/>
      <c r="FF2006" s="4"/>
      <c r="FG2006" s="4"/>
      <c r="FH2006" s="4"/>
      <c r="FI2006" s="4"/>
      <c r="FJ2006" s="4"/>
      <c r="FK2006" s="4"/>
      <c r="FL2006" s="4"/>
      <c r="FM2006" s="4"/>
      <c r="FN2006" s="4"/>
      <c r="FO2006" s="4"/>
      <c r="FP2006" s="4"/>
      <c r="FQ2006" s="4"/>
      <c r="FR2006" s="4"/>
      <c r="FS2006" s="4"/>
      <c r="FT2006" s="4"/>
      <c r="FU2006" s="4"/>
      <c r="FV2006" s="4"/>
      <c r="FW2006" s="4"/>
      <c r="FX2006" s="4"/>
      <c r="FY2006" s="4"/>
      <c r="FZ2006" s="4"/>
      <c r="GA2006" s="4"/>
      <c r="GB2006" s="4"/>
      <c r="GC2006" s="4"/>
      <c r="GD2006" s="4"/>
      <c r="GE2006" s="4"/>
      <c r="GF2006" s="4"/>
      <c r="GG2006" s="4"/>
      <c r="GH2006" s="4"/>
      <c r="GI2006" s="4"/>
      <c r="GJ2006" s="4"/>
      <c r="GK2006" s="4"/>
      <c r="GL2006" s="4"/>
      <c r="GM2006" s="4"/>
      <c r="GN2006" s="4"/>
      <c r="GO2006" s="4"/>
      <c r="GP2006" s="4"/>
      <c r="GQ2006" s="4"/>
      <c r="GR2006" s="4"/>
      <c r="GS2006" s="4"/>
      <c r="GT2006" s="4"/>
      <c r="GU2006" s="4"/>
      <c r="GV2006" s="4"/>
      <c r="GW2006" s="4"/>
      <c r="GX2006" s="4"/>
      <c r="GY2006" s="4"/>
      <c r="GZ2006" s="4"/>
      <c r="HA2006" s="4"/>
      <c r="HB2006" s="4"/>
      <c r="HC2006" s="4"/>
      <c r="HD2006" s="4"/>
      <c r="HE2006" s="4"/>
    </row>
    <row r="2007">
      <c r="A2007" s="2" t="s">
        <v>9694</v>
      </c>
      <c r="B2007" s="2" t="s">
        <v>1276</v>
      </c>
      <c r="C2007" s="2" t="s">
        <v>300</v>
      </c>
      <c r="D2007" s="2" t="s">
        <v>1276</v>
      </c>
      <c r="E2007" s="2" t="s">
        <v>1276</v>
      </c>
      <c r="F2007" s="2" t="s">
        <v>9683</v>
      </c>
      <c r="G2007" s="2" t="s">
        <v>9684</v>
      </c>
      <c r="H2007" s="2" t="s">
        <v>9685</v>
      </c>
      <c r="I2007" s="2" t="s">
        <v>9686</v>
      </c>
      <c r="J2007" s="2" t="s">
        <v>1937</v>
      </c>
      <c r="K2007" s="2" t="s">
        <v>265</v>
      </c>
      <c r="L2007" s="3">
        <v>129.38</v>
      </c>
      <c r="M2007" s="3">
        <v>135.85</v>
      </c>
      <c r="N2007" s="3">
        <v>289.99</v>
      </c>
      <c r="O2007" s="2" t="s">
        <v>461</v>
      </c>
      <c r="P2007" s="2" t="s">
        <v>333</v>
      </c>
      <c r="Q2007" s="2" t="s">
        <v>234</v>
      </c>
      <c r="R2007" s="2" t="s">
        <v>228</v>
      </c>
      <c r="S2007" s="2" t="s">
        <v>9687</v>
      </c>
      <c r="T2007" s="2" t="s">
        <v>228</v>
      </c>
      <c r="U2007" s="2" t="s">
        <v>416</v>
      </c>
      <c r="V2007" s="2" t="s">
        <v>859</v>
      </c>
      <c r="W2007" s="2" t="s">
        <v>417</v>
      </c>
      <c r="X2007" s="2" t="s">
        <v>228</v>
      </c>
      <c r="Y2007" s="2" t="s">
        <v>1932</v>
      </c>
      <c r="Z2007" s="4">
        <v>42</v>
      </c>
      <c r="AA2007" s="4">
        <f>=ROUNDDOWN({0},0)</f>
      </c>
      <c r="AB2007" s="5"/>
      <c r="AC2007" s="2" t="s">
        <v>228</v>
      </c>
      <c r="AD2007" s="4"/>
      <c r="AE2007" s="4"/>
      <c r="AF2007" s="6">
        <v>63</v>
      </c>
      <c r="AG2007" s="6"/>
      <c r="AH2007" s="7">
        <v>1</v>
      </c>
      <c r="AI2007" s="4"/>
      <c r="AJ2007" s="4">
        <f>=ROUNDDOWN({0},0)</f>
      </c>
      <c r="AK2007" s="5"/>
      <c r="AL2007" s="2" t="s">
        <v>228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 t="s">
        <v>228</v>
      </c>
      <c r="AW2007" s="8" t="s">
        <v>228</v>
      </c>
      <c r="AX2007" s="4" t="s">
        <v>228</v>
      </c>
      <c r="AY2007" s="8" t="s">
        <v>228</v>
      </c>
      <c r="AZ2007" s="7" t="s">
        <v>228</v>
      </c>
      <c r="BA2007" s="7" t="s">
        <v>228</v>
      </c>
      <c r="BB2007" s="7"/>
      <c r="BC2007" s="4" t="s">
        <v>228</v>
      </c>
      <c r="BD2007" s="8" t="s">
        <v>228</v>
      </c>
      <c r="BE2007" s="4" t="s">
        <v>228</v>
      </c>
      <c r="BF2007" s="8" t="s">
        <v>228</v>
      </c>
      <c r="BG2007" s="7" t="s">
        <v>228</v>
      </c>
      <c r="BH2007" s="7" t="s">
        <v>228</v>
      </c>
      <c r="BI2007" s="7"/>
      <c r="BJ2007" s="4"/>
      <c r="BK2007" s="8"/>
      <c r="BL2007" s="2" t="s">
        <v>2986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9695</v>
      </c>
      <c r="BV2007" s="2" t="s">
        <v>228</v>
      </c>
      <c r="BW2007" s="2" t="s">
        <v>228</v>
      </c>
      <c r="BX2007" s="2" t="s">
        <v>337</v>
      </c>
      <c r="BY2007" s="2" t="s">
        <v>274</v>
      </c>
      <c r="BZ2007" s="2" t="s">
        <v>240</v>
      </c>
      <c r="CA2007" s="2" t="s">
        <v>5351</v>
      </c>
      <c r="CB2007" s="2" t="s">
        <v>228</v>
      </c>
      <c r="CC2007" s="2" t="s">
        <v>241</v>
      </c>
      <c r="CD2007" s="2" t="s">
        <v>228</v>
      </c>
      <c r="CE2007" s="4"/>
      <c r="CF2007" s="4">
        <v>42</v>
      </c>
      <c r="CG2007" s="4"/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4"/>
      <c r="CX2007" s="4"/>
      <c r="CY2007" s="4"/>
      <c r="CZ2007" s="4"/>
      <c r="DA2007" s="4"/>
      <c r="DB2007" s="4"/>
      <c r="DC2007" s="4"/>
      <c r="DD2007" s="4"/>
      <c r="DE2007" s="4"/>
      <c r="DF2007" s="4"/>
      <c r="DG2007" s="4"/>
      <c r="DH2007" s="4"/>
      <c r="DI2007" s="4"/>
      <c r="DJ2007" s="4"/>
      <c r="DK2007" s="4"/>
      <c r="DL2007" s="4"/>
      <c r="DM2007" s="4"/>
      <c r="DN2007" s="4"/>
      <c r="DO2007" s="4"/>
      <c r="DP2007" s="4"/>
      <c r="DQ2007" s="4"/>
      <c r="DR2007" s="4"/>
      <c r="DS2007" s="4"/>
      <c r="DT2007" s="4"/>
      <c r="DU2007" s="4"/>
      <c r="DV2007" s="4"/>
      <c r="DW2007" s="4"/>
      <c r="DX2007" s="4"/>
      <c r="DY2007" s="4"/>
      <c r="DZ2007" s="4"/>
      <c r="EA2007" s="4"/>
      <c r="EB2007" s="4"/>
      <c r="EC2007" s="4"/>
      <c r="ED2007" s="4"/>
      <c r="EE2007" s="4"/>
      <c r="EF2007" s="4"/>
      <c r="EG2007" s="4"/>
      <c r="EH2007" s="4"/>
      <c r="EI2007" s="4"/>
      <c r="EJ2007" s="4"/>
      <c r="EK2007" s="4"/>
      <c r="EL2007" s="4"/>
      <c r="EM2007" s="4"/>
      <c r="EN2007" s="4"/>
      <c r="EO2007" s="4"/>
      <c r="EP2007" s="4"/>
      <c r="EQ2007" s="4"/>
      <c r="ER2007" s="4"/>
      <c r="ES2007" s="4"/>
      <c r="ET2007" s="4"/>
      <c r="EU2007" s="4"/>
      <c r="EV2007" s="4"/>
      <c r="EW2007" s="4"/>
      <c r="EX2007" s="4"/>
      <c r="EY2007" s="4"/>
      <c r="EZ2007" s="4"/>
      <c r="FA2007" s="4"/>
      <c r="FB2007" s="4"/>
      <c r="FC2007" s="4"/>
      <c r="FD2007" s="4"/>
      <c r="FE2007" s="4"/>
      <c r="FF2007" s="4"/>
      <c r="FG2007" s="4"/>
      <c r="FH2007" s="4"/>
      <c r="FI2007" s="4"/>
      <c r="FJ2007" s="4"/>
      <c r="FK2007" s="4"/>
      <c r="FL2007" s="4"/>
      <c r="FM2007" s="4"/>
      <c r="FN2007" s="4"/>
      <c r="FO2007" s="4"/>
      <c r="FP2007" s="4"/>
      <c r="FQ2007" s="4"/>
      <c r="FR2007" s="4"/>
      <c r="FS2007" s="4"/>
      <c r="FT2007" s="4"/>
      <c r="FU2007" s="4"/>
      <c r="FV2007" s="4"/>
      <c r="FW2007" s="4"/>
      <c r="FX2007" s="4"/>
      <c r="FY2007" s="4"/>
      <c r="FZ2007" s="4"/>
      <c r="GA2007" s="4"/>
      <c r="GB2007" s="4"/>
      <c r="GC2007" s="4"/>
      <c r="GD2007" s="4"/>
      <c r="GE2007" s="4"/>
      <c r="GF2007" s="4"/>
      <c r="GG2007" s="4"/>
      <c r="GH2007" s="4"/>
      <c r="GI2007" s="4"/>
      <c r="GJ2007" s="4"/>
      <c r="GK2007" s="4"/>
      <c r="GL2007" s="4"/>
      <c r="GM2007" s="4"/>
      <c r="GN2007" s="4"/>
      <c r="GO2007" s="4"/>
      <c r="GP2007" s="4"/>
      <c r="GQ2007" s="4"/>
      <c r="GR2007" s="4"/>
      <c r="GS2007" s="4"/>
      <c r="GT2007" s="4"/>
      <c r="GU2007" s="4"/>
      <c r="GV2007" s="4"/>
      <c r="GW2007" s="4"/>
      <c r="GX2007" s="4"/>
      <c r="GY2007" s="4"/>
      <c r="GZ2007" s="4"/>
      <c r="HA2007" s="4"/>
      <c r="HB2007" s="4"/>
      <c r="HC2007" s="4"/>
      <c r="HD2007" s="4"/>
      <c r="HE2007" s="4"/>
    </row>
    <row r="2008">
      <c r="A2008" s="2" t="s">
        <v>9696</v>
      </c>
      <c r="B2008" s="2" t="s">
        <v>1276</v>
      </c>
      <c r="C2008" s="2" t="s">
        <v>300</v>
      </c>
      <c r="D2008" s="2" t="s">
        <v>1276</v>
      </c>
      <c r="E2008" s="2" t="s">
        <v>1276</v>
      </c>
      <c r="F2008" s="2" t="s">
        <v>9683</v>
      </c>
      <c r="G2008" s="2" t="s">
        <v>9684</v>
      </c>
      <c r="H2008" s="2" t="s">
        <v>9685</v>
      </c>
      <c r="I2008" s="2" t="s">
        <v>9686</v>
      </c>
      <c r="J2008" s="2" t="s">
        <v>1711</v>
      </c>
      <c r="K2008" s="2" t="s">
        <v>9697</v>
      </c>
      <c r="L2008" s="3">
        <v>65.45</v>
      </c>
      <c r="M2008" s="3">
        <v>68.72</v>
      </c>
      <c r="N2008" s="3">
        <v>149.99</v>
      </c>
      <c r="O2008" s="2" t="s">
        <v>461</v>
      </c>
      <c r="P2008" s="2" t="s">
        <v>333</v>
      </c>
      <c r="Q2008" s="2" t="s">
        <v>234</v>
      </c>
      <c r="R2008" s="2" t="s">
        <v>228</v>
      </c>
      <c r="S2008" s="2" t="s">
        <v>228</v>
      </c>
      <c r="T2008" s="2" t="s">
        <v>228</v>
      </c>
      <c r="U2008" s="2" t="s">
        <v>416</v>
      </c>
      <c r="V2008" s="2" t="s">
        <v>859</v>
      </c>
      <c r="W2008" s="2" t="s">
        <v>417</v>
      </c>
      <c r="X2008" s="2" t="s">
        <v>228</v>
      </c>
      <c r="Y2008" s="2" t="s">
        <v>5003</v>
      </c>
      <c r="Z2008" s="4">
        <v>292</v>
      </c>
      <c r="AA2008" s="4">
        <f>=ROUNDDOWN(584,0)</f>
      </c>
      <c r="AB2008" s="5">
        <v>0.5</v>
      </c>
      <c r="AC2008" s="2" t="s">
        <v>228</v>
      </c>
      <c r="AD2008" s="4"/>
      <c r="AE2008" s="4"/>
      <c r="AF2008" s="6">
        <v>63</v>
      </c>
      <c r="AG2008" s="6"/>
      <c r="AH2008" s="7">
        <v>1</v>
      </c>
      <c r="AI2008" s="4"/>
      <c r="AJ2008" s="4">
        <f>=ROUNDDOWN({0},0)</f>
      </c>
      <c r="AK2008" s="5"/>
      <c r="AL2008" s="2" t="s">
        <v>228</v>
      </c>
      <c r="AM2008" s="4"/>
      <c r="AN2008" s="4"/>
      <c r="AO2008" s="7"/>
      <c r="AP2008" s="4"/>
      <c r="AQ2008" s="8"/>
      <c r="AR2008" s="4"/>
      <c r="AS2008" s="8"/>
      <c r="AT2008" s="7"/>
      <c r="AU2008" s="7"/>
      <c r="AV2008" s="4" t="s">
        <v>228</v>
      </c>
      <c r="AW2008" s="8" t="s">
        <v>228</v>
      </c>
      <c r="AX2008" s="4" t="s">
        <v>228</v>
      </c>
      <c r="AY2008" s="8" t="s">
        <v>228</v>
      </c>
      <c r="AZ2008" s="7" t="s">
        <v>228</v>
      </c>
      <c r="BA2008" s="7" t="s">
        <v>228</v>
      </c>
      <c r="BB2008" s="7"/>
      <c r="BC2008" s="4" t="s">
        <v>228</v>
      </c>
      <c r="BD2008" s="8" t="s">
        <v>228</v>
      </c>
      <c r="BE2008" s="4" t="s">
        <v>228</v>
      </c>
      <c r="BF2008" s="8" t="s">
        <v>228</v>
      </c>
      <c r="BG2008" s="7" t="s">
        <v>228</v>
      </c>
      <c r="BH2008" s="7" t="s">
        <v>228</v>
      </c>
      <c r="BI2008" s="7"/>
      <c r="BJ2008" s="4">
        <v>4</v>
      </c>
      <c r="BK2008" s="8">
        <v>302.73</v>
      </c>
      <c r="BL2008" s="2" t="s">
        <v>9698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9699</v>
      </c>
      <c r="BV2008" s="2" t="s">
        <v>228</v>
      </c>
      <c r="BW2008" s="2" t="s">
        <v>228</v>
      </c>
      <c r="BX2008" s="2" t="s">
        <v>337</v>
      </c>
      <c r="BY2008" s="2" t="s">
        <v>274</v>
      </c>
      <c r="BZ2008" s="2" t="s">
        <v>240</v>
      </c>
      <c r="CA2008" s="2" t="s">
        <v>2948</v>
      </c>
      <c r="CB2008" s="2" t="s">
        <v>3821</v>
      </c>
      <c r="CC2008" s="2" t="s">
        <v>241</v>
      </c>
      <c r="CD2008" s="2" t="s">
        <v>228</v>
      </c>
      <c r="CE2008" s="4"/>
      <c r="CF2008" s="4">
        <v>292</v>
      </c>
      <c r="CG2008" s="4"/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4"/>
      <c r="CT2008" s="4"/>
      <c r="CU2008" s="4"/>
      <c r="CV2008" s="4"/>
      <c r="CW2008" s="4"/>
      <c r="CX2008" s="4"/>
      <c r="CY2008" s="4"/>
      <c r="CZ2008" s="4"/>
      <c r="DA2008" s="4"/>
      <c r="DB2008" s="4"/>
      <c r="DC2008" s="4"/>
      <c r="DD2008" s="4"/>
      <c r="DE2008" s="4"/>
      <c r="DF2008" s="4"/>
      <c r="DG2008" s="4"/>
      <c r="DH2008" s="4"/>
      <c r="DI2008" s="4"/>
      <c r="DJ2008" s="4"/>
      <c r="DK2008" s="4"/>
      <c r="DL2008" s="4"/>
      <c r="DM2008" s="4"/>
      <c r="DN2008" s="4"/>
      <c r="DO2008" s="4"/>
      <c r="DP2008" s="4"/>
      <c r="DQ2008" s="4"/>
      <c r="DR2008" s="4"/>
      <c r="DS2008" s="4"/>
      <c r="DT2008" s="4"/>
      <c r="DU2008" s="4"/>
      <c r="DV2008" s="4"/>
      <c r="DW2008" s="4"/>
      <c r="DX2008" s="4"/>
      <c r="DY2008" s="4"/>
      <c r="DZ2008" s="4"/>
      <c r="EA2008" s="4"/>
      <c r="EB2008" s="4"/>
      <c r="EC2008" s="4"/>
      <c r="ED2008" s="4"/>
      <c r="EE2008" s="4"/>
      <c r="EF2008" s="4"/>
      <c r="EG2008" s="4"/>
      <c r="EH2008" s="4"/>
      <c r="EI2008" s="4"/>
      <c r="EJ2008" s="4"/>
      <c r="EK2008" s="4"/>
      <c r="EL2008" s="4"/>
      <c r="EM2008" s="4"/>
      <c r="EN2008" s="4"/>
      <c r="EO2008" s="4"/>
      <c r="EP2008" s="4"/>
      <c r="EQ2008" s="4"/>
      <c r="ER2008" s="4"/>
      <c r="ES2008" s="4"/>
      <c r="ET2008" s="4"/>
      <c r="EU2008" s="4"/>
      <c r="EV2008" s="4"/>
      <c r="EW2008" s="4"/>
      <c r="EX2008" s="4"/>
      <c r="EY2008" s="4"/>
      <c r="EZ2008" s="4"/>
      <c r="FA2008" s="4"/>
      <c r="FB2008" s="4"/>
      <c r="FC2008" s="4"/>
      <c r="FD2008" s="4"/>
      <c r="FE2008" s="4"/>
      <c r="FF2008" s="4"/>
      <c r="FG2008" s="4"/>
      <c r="FH2008" s="4"/>
      <c r="FI2008" s="4"/>
      <c r="FJ2008" s="4"/>
      <c r="FK2008" s="4"/>
      <c r="FL2008" s="4"/>
      <c r="FM2008" s="4"/>
      <c r="FN2008" s="4"/>
      <c r="FO2008" s="4"/>
      <c r="FP2008" s="4"/>
      <c r="FQ2008" s="4"/>
      <c r="FR2008" s="4"/>
      <c r="FS2008" s="4"/>
      <c r="FT2008" s="4"/>
      <c r="FU2008" s="4"/>
      <c r="FV2008" s="4"/>
      <c r="FW2008" s="4"/>
      <c r="FX2008" s="4"/>
      <c r="FY2008" s="4"/>
      <c r="FZ2008" s="4"/>
      <c r="GA2008" s="4"/>
      <c r="GB2008" s="4"/>
      <c r="GC2008" s="4"/>
      <c r="GD2008" s="4"/>
      <c r="GE2008" s="4"/>
      <c r="GF2008" s="4"/>
      <c r="GG2008" s="4"/>
      <c r="GH2008" s="4"/>
      <c r="GI2008" s="4"/>
      <c r="GJ2008" s="4"/>
      <c r="GK2008" s="4"/>
      <c r="GL2008" s="4"/>
      <c r="GM2008" s="4"/>
      <c r="GN2008" s="4"/>
      <c r="GO2008" s="4"/>
      <c r="GP2008" s="4"/>
      <c r="GQ2008" s="4"/>
      <c r="GR2008" s="4"/>
      <c r="GS2008" s="4"/>
      <c r="GT2008" s="4"/>
      <c r="GU2008" s="4"/>
      <c r="GV2008" s="4"/>
      <c r="GW2008" s="4"/>
      <c r="GX2008" s="4"/>
      <c r="GY2008" s="4"/>
      <c r="GZ2008" s="4"/>
      <c r="HA2008" s="4"/>
      <c r="HB2008" s="4"/>
      <c r="HC2008" s="4"/>
      <c r="HD2008" s="4"/>
      <c r="HE2008" s="4"/>
    </row>
    <row r="2009">
      <c r="A2009" s="2" t="s">
        <v>9700</v>
      </c>
      <c r="B2009" s="2" t="s">
        <v>1276</v>
      </c>
      <c r="C2009" s="2" t="s">
        <v>300</v>
      </c>
      <c r="D2009" s="2" t="s">
        <v>1276</v>
      </c>
      <c r="E2009" s="2" t="s">
        <v>1276</v>
      </c>
      <c r="F2009" s="2" t="s">
        <v>9683</v>
      </c>
      <c r="G2009" s="2" t="s">
        <v>9684</v>
      </c>
      <c r="H2009" s="2" t="s">
        <v>9685</v>
      </c>
      <c r="I2009" s="2" t="s">
        <v>9686</v>
      </c>
      <c r="J2009" s="2" t="s">
        <v>1280</v>
      </c>
      <c r="K2009" s="2" t="s">
        <v>9697</v>
      </c>
      <c r="L2009" s="3">
        <v>99.93</v>
      </c>
      <c r="M2009" s="3">
        <v>104.93</v>
      </c>
      <c r="N2009" s="3">
        <v>224.99</v>
      </c>
      <c r="O2009" s="2" t="s">
        <v>461</v>
      </c>
      <c r="P2009" s="2" t="s">
        <v>333</v>
      </c>
      <c r="Q2009" s="2" t="s">
        <v>234</v>
      </c>
      <c r="R2009" s="2" t="s">
        <v>228</v>
      </c>
      <c r="S2009" s="2" t="s">
        <v>228</v>
      </c>
      <c r="T2009" s="2" t="s">
        <v>228</v>
      </c>
      <c r="U2009" s="2" t="s">
        <v>416</v>
      </c>
      <c r="V2009" s="2" t="s">
        <v>859</v>
      </c>
      <c r="W2009" s="2" t="s">
        <v>417</v>
      </c>
      <c r="X2009" s="2" t="s">
        <v>228</v>
      </c>
      <c r="Y2009" s="2" t="s">
        <v>5003</v>
      </c>
      <c r="Z2009" s="4">
        <v>222</v>
      </c>
      <c r="AA2009" s="4">
        <f>=ROUNDDOWN(317.142857142857,0)</f>
      </c>
      <c r="AB2009" s="5">
        <v>0.7</v>
      </c>
      <c r="AC2009" s="2" t="s">
        <v>228</v>
      </c>
      <c r="AD2009" s="4"/>
      <c r="AE2009" s="4"/>
      <c r="AF2009" s="6">
        <v>63</v>
      </c>
      <c r="AG2009" s="6"/>
      <c r="AH2009" s="7">
        <v>1</v>
      </c>
      <c r="AI2009" s="4"/>
      <c r="AJ2009" s="4">
        <f>=ROUNDDOWN({0},0)</f>
      </c>
      <c r="AK2009" s="5"/>
      <c r="AL2009" s="2" t="s">
        <v>228</v>
      </c>
      <c r="AM2009" s="4"/>
      <c r="AN2009" s="4"/>
      <c r="AO2009" s="7"/>
      <c r="AP2009" s="4"/>
      <c r="AQ2009" s="8"/>
      <c r="AR2009" s="4"/>
      <c r="AS2009" s="8"/>
      <c r="AT2009" s="7"/>
      <c r="AU2009" s="7"/>
      <c r="AV2009" s="4" t="s">
        <v>228</v>
      </c>
      <c r="AW2009" s="8" t="s">
        <v>228</v>
      </c>
      <c r="AX2009" s="4" t="s">
        <v>228</v>
      </c>
      <c r="AY2009" s="8" t="s">
        <v>228</v>
      </c>
      <c r="AZ2009" s="7" t="s">
        <v>228</v>
      </c>
      <c r="BA2009" s="7" t="s">
        <v>228</v>
      </c>
      <c r="BB2009" s="7"/>
      <c r="BC2009" s="4" t="s">
        <v>228</v>
      </c>
      <c r="BD2009" s="8" t="s">
        <v>228</v>
      </c>
      <c r="BE2009" s="4" t="s">
        <v>228</v>
      </c>
      <c r="BF2009" s="8" t="s">
        <v>228</v>
      </c>
      <c r="BG2009" s="7" t="s">
        <v>228</v>
      </c>
      <c r="BH2009" s="7" t="s">
        <v>228</v>
      </c>
      <c r="BI2009" s="7"/>
      <c r="BJ2009" s="4">
        <v>3</v>
      </c>
      <c r="BK2009" s="8">
        <v>325.26</v>
      </c>
      <c r="BL2009" s="2" t="s">
        <v>5831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9701</v>
      </c>
      <c r="BV2009" s="2" t="s">
        <v>228</v>
      </c>
      <c r="BW2009" s="2" t="s">
        <v>228</v>
      </c>
      <c r="BX2009" s="2" t="s">
        <v>337</v>
      </c>
      <c r="BY2009" s="2" t="s">
        <v>274</v>
      </c>
      <c r="BZ2009" s="2" t="s">
        <v>240</v>
      </c>
      <c r="CA2009" s="2" t="s">
        <v>2948</v>
      </c>
      <c r="CB2009" s="2" t="s">
        <v>228</v>
      </c>
      <c r="CC2009" s="2" t="s">
        <v>241</v>
      </c>
      <c r="CD2009" s="2" t="s">
        <v>228</v>
      </c>
      <c r="CE2009" s="4"/>
      <c r="CF2009" s="4">
        <v>222</v>
      </c>
      <c r="CG2009" s="4"/>
      <c r="CH2009" s="4"/>
      <c r="CI2009" s="4"/>
      <c r="CJ2009" s="4"/>
      <c r="CK2009" s="4"/>
      <c r="CL2009" s="4"/>
      <c r="CM2009" s="4"/>
      <c r="CN2009" s="4"/>
      <c r="CO2009" s="4"/>
      <c r="CP2009" s="4"/>
      <c r="CQ2009" s="4"/>
      <c r="CR2009" s="4"/>
      <c r="CS2009" s="4"/>
      <c r="CT2009" s="4"/>
      <c r="CU2009" s="4"/>
      <c r="CV2009" s="4"/>
      <c r="CW2009" s="4"/>
      <c r="CX2009" s="4"/>
      <c r="CY2009" s="4"/>
      <c r="CZ2009" s="4"/>
      <c r="DA2009" s="4"/>
      <c r="DB2009" s="4"/>
      <c r="DC2009" s="4"/>
      <c r="DD2009" s="4"/>
      <c r="DE2009" s="4"/>
      <c r="DF2009" s="4"/>
      <c r="DG2009" s="4"/>
      <c r="DH2009" s="4"/>
      <c r="DI2009" s="4"/>
      <c r="DJ2009" s="4"/>
      <c r="DK2009" s="4"/>
      <c r="DL2009" s="4"/>
      <c r="DM2009" s="4"/>
      <c r="DN2009" s="4"/>
      <c r="DO2009" s="4"/>
      <c r="DP2009" s="4"/>
      <c r="DQ2009" s="4"/>
      <c r="DR2009" s="4"/>
      <c r="DS2009" s="4"/>
      <c r="DT2009" s="4"/>
      <c r="DU2009" s="4"/>
      <c r="DV2009" s="4"/>
      <c r="DW2009" s="4"/>
      <c r="DX2009" s="4"/>
      <c r="DY2009" s="4"/>
      <c r="DZ2009" s="4"/>
      <c r="EA2009" s="4"/>
      <c r="EB2009" s="4"/>
      <c r="EC2009" s="4"/>
      <c r="ED2009" s="4"/>
      <c r="EE2009" s="4"/>
      <c r="EF2009" s="4"/>
      <c r="EG2009" s="4"/>
      <c r="EH2009" s="4"/>
      <c r="EI2009" s="4"/>
      <c r="EJ2009" s="4"/>
      <c r="EK2009" s="4"/>
      <c r="EL2009" s="4"/>
      <c r="EM2009" s="4"/>
      <c r="EN2009" s="4"/>
      <c r="EO2009" s="4"/>
      <c r="EP2009" s="4"/>
      <c r="EQ2009" s="4"/>
      <c r="ER2009" s="4"/>
      <c r="ES2009" s="4"/>
      <c r="ET2009" s="4"/>
      <c r="EU2009" s="4"/>
      <c r="EV2009" s="4"/>
      <c r="EW2009" s="4"/>
      <c r="EX2009" s="4"/>
      <c r="EY2009" s="4"/>
      <c r="EZ2009" s="4"/>
      <c r="FA2009" s="4"/>
      <c r="FB2009" s="4"/>
      <c r="FC2009" s="4"/>
      <c r="FD2009" s="4"/>
      <c r="FE2009" s="4"/>
      <c r="FF2009" s="4"/>
      <c r="FG2009" s="4"/>
      <c r="FH2009" s="4"/>
      <c r="FI2009" s="4"/>
      <c r="FJ2009" s="4"/>
      <c r="FK2009" s="4"/>
      <c r="FL2009" s="4"/>
      <c r="FM2009" s="4"/>
      <c r="FN2009" s="4"/>
      <c r="FO2009" s="4"/>
      <c r="FP2009" s="4"/>
      <c r="FQ2009" s="4"/>
      <c r="FR2009" s="4"/>
      <c r="FS2009" s="4"/>
      <c r="FT2009" s="4"/>
      <c r="FU2009" s="4"/>
      <c r="FV2009" s="4"/>
      <c r="FW2009" s="4"/>
      <c r="FX2009" s="4"/>
      <c r="FY2009" s="4"/>
      <c r="FZ2009" s="4"/>
      <c r="GA2009" s="4"/>
      <c r="GB2009" s="4"/>
      <c r="GC2009" s="4"/>
      <c r="GD2009" s="4"/>
      <c r="GE2009" s="4"/>
      <c r="GF2009" s="4"/>
      <c r="GG2009" s="4"/>
      <c r="GH2009" s="4"/>
      <c r="GI2009" s="4"/>
      <c r="GJ2009" s="4"/>
      <c r="GK2009" s="4"/>
      <c r="GL2009" s="4"/>
      <c r="GM2009" s="4"/>
      <c r="GN2009" s="4"/>
      <c r="GO2009" s="4"/>
      <c r="GP2009" s="4"/>
      <c r="GQ2009" s="4"/>
      <c r="GR2009" s="4"/>
      <c r="GS2009" s="4"/>
      <c r="GT2009" s="4"/>
      <c r="GU2009" s="4"/>
      <c r="GV2009" s="4"/>
      <c r="GW2009" s="4"/>
      <c r="GX2009" s="4"/>
      <c r="GY2009" s="4"/>
      <c r="GZ2009" s="4"/>
      <c r="HA2009" s="4"/>
      <c r="HB2009" s="4"/>
      <c r="HC2009" s="4"/>
      <c r="HD2009" s="4"/>
      <c r="HE2009" s="4"/>
    </row>
    <row r="2010">
      <c r="A2010" s="2" t="s">
        <v>9702</v>
      </c>
      <c r="B2010" s="2" t="s">
        <v>1276</v>
      </c>
      <c r="C2010" s="2" t="s">
        <v>300</v>
      </c>
      <c r="D2010" s="2" t="s">
        <v>1276</v>
      </c>
      <c r="E2010" s="2" t="s">
        <v>1276</v>
      </c>
      <c r="F2010" s="2" t="s">
        <v>9683</v>
      </c>
      <c r="G2010" s="2" t="s">
        <v>9684</v>
      </c>
      <c r="H2010" s="2" t="s">
        <v>9685</v>
      </c>
      <c r="I2010" s="2" t="s">
        <v>9686</v>
      </c>
      <c r="J2010" s="2" t="s">
        <v>1937</v>
      </c>
      <c r="K2010" s="2" t="s">
        <v>9697</v>
      </c>
      <c r="L2010" s="3">
        <v>129.38</v>
      </c>
      <c r="M2010" s="3">
        <v>135.85</v>
      </c>
      <c r="N2010" s="3">
        <v>289.99</v>
      </c>
      <c r="O2010" s="2" t="s">
        <v>461</v>
      </c>
      <c r="P2010" s="2" t="s">
        <v>333</v>
      </c>
      <c r="Q2010" s="2" t="s">
        <v>234</v>
      </c>
      <c r="R2010" s="2" t="s">
        <v>228</v>
      </c>
      <c r="S2010" s="2" t="s">
        <v>228</v>
      </c>
      <c r="T2010" s="2" t="s">
        <v>228</v>
      </c>
      <c r="U2010" s="2" t="s">
        <v>416</v>
      </c>
      <c r="V2010" s="2" t="s">
        <v>859</v>
      </c>
      <c r="W2010" s="2" t="s">
        <v>417</v>
      </c>
      <c r="X2010" s="2" t="s">
        <v>228</v>
      </c>
      <c r="Y2010" s="2" t="s">
        <v>5003</v>
      </c>
      <c r="Z2010" s="4">
        <v>171</v>
      </c>
      <c r="AA2010" s="4">
        <f>=ROUNDDOWN(77.7272727272727,0)</f>
      </c>
      <c r="AB2010" s="5">
        <v>2.2</v>
      </c>
      <c r="AC2010" s="2" t="s">
        <v>228</v>
      </c>
      <c r="AD2010" s="4"/>
      <c r="AE2010" s="4"/>
      <c r="AF2010" s="6">
        <v>63</v>
      </c>
      <c r="AG2010" s="6"/>
      <c r="AH2010" s="7">
        <v>1</v>
      </c>
      <c r="AI2010" s="4"/>
      <c r="AJ2010" s="4">
        <f>=ROUNDDOWN({0},0)</f>
      </c>
      <c r="AK2010" s="5"/>
      <c r="AL2010" s="2" t="s">
        <v>228</v>
      </c>
      <c r="AM2010" s="4"/>
      <c r="AN2010" s="4"/>
      <c r="AO2010" s="7"/>
      <c r="AP2010" s="4"/>
      <c r="AQ2010" s="8"/>
      <c r="AR2010" s="4"/>
      <c r="AS2010" s="8"/>
      <c r="AT2010" s="7"/>
      <c r="AU2010" s="7"/>
      <c r="AV2010" s="4" t="s">
        <v>228</v>
      </c>
      <c r="AW2010" s="8" t="s">
        <v>228</v>
      </c>
      <c r="AX2010" s="4" t="s">
        <v>228</v>
      </c>
      <c r="AY2010" s="8" t="s">
        <v>228</v>
      </c>
      <c r="AZ2010" s="7" t="s">
        <v>228</v>
      </c>
      <c r="BA2010" s="7" t="s">
        <v>228</v>
      </c>
      <c r="BB2010" s="7"/>
      <c r="BC2010" s="4" t="s">
        <v>228</v>
      </c>
      <c r="BD2010" s="8" t="s">
        <v>228</v>
      </c>
      <c r="BE2010" s="4" t="s">
        <v>228</v>
      </c>
      <c r="BF2010" s="8" t="s">
        <v>228</v>
      </c>
      <c r="BG2010" s="7" t="s">
        <v>228</v>
      </c>
      <c r="BH2010" s="7" t="s">
        <v>228</v>
      </c>
      <c r="BI2010" s="7"/>
      <c r="BJ2010" s="4">
        <v>9</v>
      </c>
      <c r="BK2010" s="8">
        <v>1255.24</v>
      </c>
      <c r="BL2010" s="2" t="s">
        <v>5947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9703</v>
      </c>
      <c r="BV2010" s="2" t="s">
        <v>228</v>
      </c>
      <c r="BW2010" s="2" t="s">
        <v>228</v>
      </c>
      <c r="BX2010" s="2" t="s">
        <v>337</v>
      </c>
      <c r="BY2010" s="2" t="s">
        <v>274</v>
      </c>
      <c r="BZ2010" s="2" t="s">
        <v>240</v>
      </c>
      <c r="CA2010" s="2" t="s">
        <v>2948</v>
      </c>
      <c r="CB2010" s="2" t="s">
        <v>9704</v>
      </c>
      <c r="CC2010" s="2" t="s">
        <v>241</v>
      </c>
      <c r="CD2010" s="2" t="s">
        <v>228</v>
      </c>
      <c r="CE2010" s="4"/>
      <c r="CF2010" s="4">
        <v>171</v>
      </c>
      <c r="CG2010" s="4"/>
      <c r="CH2010" s="4"/>
      <c r="CI2010" s="4"/>
      <c r="CJ2010" s="4"/>
      <c r="CK2010" s="4"/>
      <c r="CL2010" s="4"/>
      <c r="CM2010" s="4"/>
      <c r="CN2010" s="4"/>
      <c r="CO2010" s="4"/>
      <c r="CP2010" s="4"/>
      <c r="CQ2010" s="4"/>
      <c r="CR2010" s="4"/>
      <c r="CS2010" s="4"/>
      <c r="CT2010" s="4"/>
      <c r="CU2010" s="4"/>
      <c r="CV2010" s="4"/>
      <c r="CW2010" s="4"/>
      <c r="CX2010" s="4"/>
      <c r="CY2010" s="4"/>
      <c r="CZ2010" s="4"/>
      <c r="DA2010" s="4"/>
      <c r="DB2010" s="4"/>
      <c r="DC2010" s="4"/>
      <c r="DD2010" s="4"/>
      <c r="DE2010" s="4"/>
      <c r="DF2010" s="4"/>
      <c r="DG2010" s="4"/>
      <c r="DH2010" s="4"/>
      <c r="DI2010" s="4"/>
      <c r="DJ2010" s="4"/>
      <c r="DK2010" s="4"/>
      <c r="DL2010" s="4"/>
      <c r="DM2010" s="4"/>
      <c r="DN2010" s="4"/>
      <c r="DO2010" s="4"/>
      <c r="DP2010" s="4"/>
      <c r="DQ2010" s="4"/>
      <c r="DR2010" s="4"/>
      <c r="DS2010" s="4"/>
      <c r="DT2010" s="4"/>
      <c r="DU2010" s="4"/>
      <c r="DV2010" s="4"/>
      <c r="DW2010" s="4"/>
      <c r="DX2010" s="4"/>
      <c r="DY2010" s="4"/>
      <c r="DZ2010" s="4"/>
      <c r="EA2010" s="4"/>
      <c r="EB2010" s="4"/>
      <c r="EC2010" s="4"/>
      <c r="ED2010" s="4"/>
      <c r="EE2010" s="4"/>
      <c r="EF2010" s="4"/>
      <c r="EG2010" s="4"/>
      <c r="EH2010" s="4"/>
      <c r="EI2010" s="4"/>
      <c r="EJ2010" s="4"/>
      <c r="EK2010" s="4"/>
      <c r="EL2010" s="4"/>
      <c r="EM2010" s="4"/>
      <c r="EN2010" s="4"/>
      <c r="EO2010" s="4"/>
      <c r="EP2010" s="4"/>
      <c r="EQ2010" s="4"/>
      <c r="ER2010" s="4"/>
      <c r="ES2010" s="4"/>
      <c r="ET2010" s="4"/>
      <c r="EU2010" s="4"/>
      <c r="EV2010" s="4"/>
      <c r="EW2010" s="4"/>
      <c r="EX2010" s="4"/>
      <c r="EY2010" s="4"/>
      <c r="EZ2010" s="4"/>
      <c r="FA2010" s="4"/>
      <c r="FB2010" s="4"/>
      <c r="FC2010" s="4"/>
      <c r="FD2010" s="4"/>
      <c r="FE2010" s="4"/>
      <c r="FF2010" s="4"/>
      <c r="FG2010" s="4"/>
      <c r="FH2010" s="4"/>
      <c r="FI2010" s="4"/>
      <c r="FJ2010" s="4"/>
      <c r="FK2010" s="4"/>
      <c r="FL2010" s="4"/>
      <c r="FM2010" s="4"/>
      <c r="FN2010" s="4"/>
      <c r="FO2010" s="4"/>
      <c r="FP2010" s="4"/>
      <c r="FQ2010" s="4"/>
      <c r="FR2010" s="4"/>
      <c r="FS2010" s="4"/>
      <c r="FT2010" s="4"/>
      <c r="FU2010" s="4"/>
      <c r="FV2010" s="4"/>
      <c r="FW2010" s="4"/>
      <c r="FX2010" s="4"/>
      <c r="FY2010" s="4"/>
      <c r="FZ2010" s="4"/>
      <c r="GA2010" s="4"/>
      <c r="GB2010" s="4"/>
      <c r="GC2010" s="4"/>
      <c r="GD2010" s="4"/>
      <c r="GE2010" s="4"/>
      <c r="GF2010" s="4"/>
      <c r="GG2010" s="4"/>
      <c r="GH2010" s="4"/>
      <c r="GI2010" s="4"/>
      <c r="GJ2010" s="4"/>
      <c r="GK2010" s="4"/>
      <c r="GL2010" s="4"/>
      <c r="GM2010" s="4"/>
      <c r="GN2010" s="4"/>
      <c r="GO2010" s="4"/>
      <c r="GP2010" s="4"/>
      <c r="GQ2010" s="4"/>
      <c r="GR2010" s="4"/>
      <c r="GS2010" s="4"/>
      <c r="GT2010" s="4"/>
      <c r="GU2010" s="4"/>
      <c r="GV2010" s="4"/>
      <c r="GW2010" s="4"/>
      <c r="GX2010" s="4"/>
      <c r="GY2010" s="4"/>
      <c r="GZ2010" s="4"/>
      <c r="HA2010" s="4"/>
      <c r="HB2010" s="4"/>
      <c r="HC2010" s="4"/>
      <c r="HD2010" s="4"/>
      <c r="HE2010" s="4"/>
    </row>
    <row r="2011">
      <c r="A2011" s="2" t="s">
        <v>9705</v>
      </c>
      <c r="B2011" s="2" t="s">
        <v>223</v>
      </c>
      <c r="C2011" s="2" t="s">
        <v>300</v>
      </c>
      <c r="D2011" s="2" t="s">
        <v>1112</v>
      </c>
      <c r="E2011" s="2" t="s">
        <v>1113</v>
      </c>
      <c r="F2011" s="2" t="s">
        <v>9706</v>
      </c>
      <c r="G2011" s="2" t="s">
        <v>4955</v>
      </c>
      <c r="H2011" s="2" t="s">
        <v>4955</v>
      </c>
      <c r="I2011" s="2" t="s">
        <v>9707</v>
      </c>
      <c r="J2011" s="2" t="s">
        <v>264</v>
      </c>
      <c r="K2011" s="2" t="s">
        <v>1421</v>
      </c>
      <c r="L2011" s="3">
        <v>47.61</v>
      </c>
      <c r="M2011" s="3">
        <v>49.99</v>
      </c>
      <c r="N2011" s="3">
        <v>99.99</v>
      </c>
      <c r="O2011" s="2" t="s">
        <v>240</v>
      </c>
      <c r="P2011" s="2" t="s">
        <v>233</v>
      </c>
      <c r="Q2011" s="2" t="s">
        <v>234</v>
      </c>
      <c r="R2011" s="2" t="s">
        <v>228</v>
      </c>
      <c r="S2011" s="2" t="s">
        <v>9708</v>
      </c>
      <c r="T2011" s="2" t="s">
        <v>9709</v>
      </c>
      <c r="U2011" s="2" t="s">
        <v>520</v>
      </c>
      <c r="V2011" s="2" t="s">
        <v>236</v>
      </c>
      <c r="W2011" s="2" t="s">
        <v>1761</v>
      </c>
      <c r="X2011" s="2" t="s">
        <v>1267</v>
      </c>
      <c r="Y2011" s="2" t="s">
        <v>3591</v>
      </c>
      <c r="Z2011" s="4">
        <v>59</v>
      </c>
      <c r="AA2011" s="4">
        <f>=ROUNDDOWN(11.8,0)</f>
      </c>
      <c r="AB2011" s="5">
        <v>5</v>
      </c>
      <c r="AC2011" s="2" t="s">
        <v>1461</v>
      </c>
      <c r="AD2011" s="4">
        <v>60</v>
      </c>
      <c r="AE2011" s="4">
        <v>60</v>
      </c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228</v>
      </c>
      <c r="AM2011" s="4"/>
      <c r="AN2011" s="4"/>
      <c r="AO2011" s="7"/>
      <c r="AP2011" s="4"/>
      <c r="AQ2011" s="8"/>
      <c r="AR2011" s="4"/>
      <c r="AS2011" s="8"/>
      <c r="AT2011" s="7"/>
      <c r="AU2011" s="7"/>
      <c r="AV2011" s="4" t="s">
        <v>228</v>
      </c>
      <c r="AW2011" s="8" t="s">
        <v>228</v>
      </c>
      <c r="AX2011" s="4" t="s">
        <v>228</v>
      </c>
      <c r="AY2011" s="8" t="s">
        <v>228</v>
      </c>
      <c r="AZ2011" s="7" t="s">
        <v>228</v>
      </c>
      <c r="BA2011" s="7" t="s">
        <v>228</v>
      </c>
      <c r="BB2011" s="7"/>
      <c r="BC2011" s="4" t="s">
        <v>228</v>
      </c>
      <c r="BD2011" s="8" t="s">
        <v>228</v>
      </c>
      <c r="BE2011" s="4" t="s">
        <v>228</v>
      </c>
      <c r="BF2011" s="8" t="s">
        <v>228</v>
      </c>
      <c r="BG2011" s="7" t="s">
        <v>228</v>
      </c>
      <c r="BH2011" s="7" t="s">
        <v>228</v>
      </c>
      <c r="BI2011" s="7"/>
      <c r="BJ2011" s="4">
        <v>1</v>
      </c>
      <c r="BK2011" s="8">
        <v>53.99</v>
      </c>
      <c r="BL2011" s="2" t="s">
        <v>622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9710</v>
      </c>
      <c r="BV2011" s="2" t="s">
        <v>228</v>
      </c>
      <c r="BW2011" s="2" t="s">
        <v>228</v>
      </c>
      <c r="BX2011" s="2" t="s">
        <v>238</v>
      </c>
      <c r="BY2011" s="2" t="s">
        <v>274</v>
      </c>
      <c r="BZ2011" s="2" t="s">
        <v>240</v>
      </c>
      <c r="CA2011" s="2" t="s">
        <v>1160</v>
      </c>
      <c r="CB2011" s="2" t="s">
        <v>228</v>
      </c>
      <c r="CC2011" s="2" t="s">
        <v>241</v>
      </c>
      <c r="CD2011" s="2" t="s">
        <v>228</v>
      </c>
      <c r="CE2011" s="4">
        <v>59</v>
      </c>
      <c r="CF2011" s="4"/>
      <c r="CG2011" s="4"/>
      <c r="CH2011" s="4"/>
      <c r="CI2011" s="4"/>
      <c r="CJ2011" s="4"/>
      <c r="CK2011" s="4"/>
      <c r="CL2011" s="4"/>
      <c r="CM2011" s="4"/>
      <c r="CN2011" s="4"/>
      <c r="CO2011" s="4"/>
      <c r="CP2011" s="4"/>
      <c r="CQ2011" s="4"/>
      <c r="CR2011" s="4"/>
      <c r="CS2011" s="4"/>
      <c r="CT2011" s="4"/>
      <c r="CU2011" s="4"/>
      <c r="CV2011" s="4"/>
      <c r="CW2011" s="4"/>
      <c r="CX2011" s="4"/>
      <c r="CY2011" s="4"/>
      <c r="CZ2011" s="4"/>
      <c r="DA2011" s="4">
        <v>60</v>
      </c>
      <c r="DB2011" s="4"/>
      <c r="DC2011" s="4"/>
      <c r="DD2011" s="4"/>
      <c r="DE2011" s="4"/>
      <c r="DF2011" s="4"/>
      <c r="DG2011" s="4"/>
      <c r="DH2011" s="4"/>
      <c r="DI2011" s="4"/>
      <c r="DJ2011" s="4"/>
      <c r="DK2011" s="4"/>
      <c r="DL2011" s="4"/>
      <c r="DM2011" s="4"/>
      <c r="DN2011" s="4"/>
      <c r="DO2011" s="4"/>
      <c r="DP2011" s="4"/>
      <c r="DQ2011" s="4"/>
      <c r="DR2011" s="4"/>
      <c r="DS2011" s="4"/>
      <c r="DT2011" s="4"/>
      <c r="DU2011" s="4"/>
      <c r="DV2011" s="4"/>
      <c r="DW2011" s="4"/>
      <c r="DX2011" s="4"/>
      <c r="DY2011" s="4"/>
      <c r="DZ2011" s="4"/>
      <c r="EA2011" s="4"/>
      <c r="EB2011" s="4"/>
      <c r="EC2011" s="4"/>
      <c r="ED2011" s="4"/>
      <c r="EE2011" s="4"/>
      <c r="EF2011" s="4"/>
      <c r="EG2011" s="4"/>
      <c r="EH2011" s="4"/>
      <c r="EI2011" s="4"/>
      <c r="EJ2011" s="4"/>
      <c r="EK2011" s="4"/>
      <c r="EL2011" s="4"/>
      <c r="EM2011" s="4"/>
      <c r="EN2011" s="4"/>
      <c r="EO2011" s="4"/>
      <c r="EP2011" s="4"/>
      <c r="EQ2011" s="4"/>
      <c r="ER2011" s="4"/>
      <c r="ES2011" s="4"/>
      <c r="ET2011" s="4"/>
      <c r="EU2011" s="4"/>
      <c r="EV2011" s="4"/>
      <c r="EW2011" s="4"/>
      <c r="EX2011" s="4"/>
      <c r="EY2011" s="4"/>
      <c r="EZ2011" s="4"/>
      <c r="FA2011" s="4"/>
      <c r="FB2011" s="4"/>
      <c r="FC2011" s="4"/>
      <c r="FD2011" s="4"/>
      <c r="FE2011" s="4"/>
      <c r="FF2011" s="4"/>
      <c r="FG2011" s="4"/>
      <c r="FH2011" s="4"/>
      <c r="FI2011" s="4"/>
      <c r="FJ2011" s="4"/>
      <c r="FK2011" s="4"/>
      <c r="FL2011" s="4"/>
      <c r="FM2011" s="4"/>
      <c r="FN2011" s="4"/>
      <c r="FO2011" s="4"/>
      <c r="FP2011" s="4"/>
      <c r="FQ2011" s="4"/>
      <c r="FR2011" s="4"/>
      <c r="FS2011" s="4"/>
      <c r="FT2011" s="4"/>
      <c r="FU2011" s="4"/>
      <c r="FV2011" s="4"/>
      <c r="FW2011" s="4"/>
      <c r="FX2011" s="4"/>
      <c r="FY2011" s="4"/>
      <c r="FZ2011" s="4"/>
      <c r="GA2011" s="4"/>
      <c r="GB2011" s="4"/>
      <c r="GC2011" s="4"/>
      <c r="GD2011" s="4"/>
      <c r="GE2011" s="4"/>
      <c r="GF2011" s="4"/>
      <c r="GG2011" s="4"/>
      <c r="GH2011" s="4"/>
      <c r="GI2011" s="4"/>
      <c r="GJ2011" s="4"/>
      <c r="GK2011" s="4"/>
      <c r="GL2011" s="4"/>
      <c r="GM2011" s="4"/>
      <c r="GN2011" s="4"/>
      <c r="GO2011" s="4"/>
      <c r="GP2011" s="4"/>
      <c r="GQ2011" s="4"/>
      <c r="GR2011" s="4"/>
      <c r="GS2011" s="4"/>
      <c r="GT2011" s="4"/>
      <c r="GU2011" s="4"/>
      <c r="GV2011" s="4"/>
      <c r="GW2011" s="4"/>
      <c r="GX2011" s="4"/>
      <c r="GY2011" s="4"/>
      <c r="GZ2011" s="4"/>
      <c r="HA2011" s="4"/>
      <c r="HB2011" s="4"/>
      <c r="HC2011" s="4"/>
      <c r="HD2011" s="4"/>
      <c r="HE2011" s="4"/>
    </row>
    <row r="2012">
      <c r="A2012" s="2" t="s">
        <v>9711</v>
      </c>
      <c r="B2012" s="2" t="s">
        <v>223</v>
      </c>
      <c r="C2012" s="2" t="s">
        <v>300</v>
      </c>
      <c r="D2012" s="2" t="s">
        <v>1112</v>
      </c>
      <c r="E2012" s="2" t="s">
        <v>1113</v>
      </c>
      <c r="F2012" s="2" t="s">
        <v>9706</v>
      </c>
      <c r="G2012" s="2" t="s">
        <v>4955</v>
      </c>
      <c r="H2012" s="2" t="s">
        <v>4955</v>
      </c>
      <c r="I2012" s="2" t="s">
        <v>9707</v>
      </c>
      <c r="J2012" s="2" t="s">
        <v>294</v>
      </c>
      <c r="K2012" s="2" t="s">
        <v>1421</v>
      </c>
      <c r="L2012" s="3">
        <v>71.42</v>
      </c>
      <c r="M2012" s="3">
        <v>74.99</v>
      </c>
      <c r="N2012" s="3">
        <v>149.99</v>
      </c>
      <c r="O2012" s="2" t="s">
        <v>240</v>
      </c>
      <c r="P2012" s="2" t="s">
        <v>233</v>
      </c>
      <c r="Q2012" s="2" t="s">
        <v>234</v>
      </c>
      <c r="R2012" s="2" t="s">
        <v>228</v>
      </c>
      <c r="S2012" s="2" t="s">
        <v>9708</v>
      </c>
      <c r="T2012" s="2" t="s">
        <v>9709</v>
      </c>
      <c r="U2012" s="2" t="s">
        <v>500</v>
      </c>
      <c r="V2012" s="2" t="s">
        <v>236</v>
      </c>
      <c r="W2012" s="2" t="s">
        <v>1761</v>
      </c>
      <c r="X2012" s="2" t="s">
        <v>1267</v>
      </c>
      <c r="Y2012" s="2" t="s">
        <v>3591</v>
      </c>
      <c r="Z2012" s="4">
        <v>180</v>
      </c>
      <c r="AA2012" s="4">
        <f>=ROUNDDOWN(18,0)</f>
      </c>
      <c r="AB2012" s="5">
        <v>10</v>
      </c>
      <c r="AC2012" s="2" t="s">
        <v>1461</v>
      </c>
      <c r="AD2012" s="4">
        <v>190</v>
      </c>
      <c r="AE2012" s="4">
        <v>190</v>
      </c>
      <c r="AF2012" s="6">
        <v>65</v>
      </c>
      <c r="AG2012" s="6"/>
      <c r="AH2012" s="7">
        <v>1</v>
      </c>
      <c r="AI2012" s="4"/>
      <c r="AJ2012" s="4">
        <f>=ROUNDDOWN({0},0)</f>
      </c>
      <c r="AK2012" s="5"/>
      <c r="AL2012" s="2" t="s">
        <v>228</v>
      </c>
      <c r="AM2012" s="4"/>
      <c r="AN2012" s="4"/>
      <c r="AO2012" s="7"/>
      <c r="AP2012" s="4"/>
      <c r="AQ2012" s="8"/>
      <c r="AR2012" s="4"/>
      <c r="AS2012" s="8"/>
      <c r="AT2012" s="7"/>
      <c r="AU2012" s="7"/>
      <c r="AV2012" s="4" t="s">
        <v>228</v>
      </c>
      <c r="AW2012" s="8" t="s">
        <v>228</v>
      </c>
      <c r="AX2012" s="4" t="s">
        <v>228</v>
      </c>
      <c r="AY2012" s="8" t="s">
        <v>228</v>
      </c>
      <c r="AZ2012" s="7" t="s">
        <v>228</v>
      </c>
      <c r="BA2012" s="7" t="s">
        <v>228</v>
      </c>
      <c r="BB2012" s="7"/>
      <c r="BC2012" s="4" t="s">
        <v>228</v>
      </c>
      <c r="BD2012" s="8" t="s">
        <v>228</v>
      </c>
      <c r="BE2012" s="4" t="s">
        <v>228</v>
      </c>
      <c r="BF2012" s="8" t="s">
        <v>228</v>
      </c>
      <c r="BG2012" s="7" t="s">
        <v>228</v>
      </c>
      <c r="BH2012" s="7" t="s">
        <v>228</v>
      </c>
      <c r="BI2012" s="7"/>
      <c r="BJ2012" s="4"/>
      <c r="BK2012" s="8"/>
      <c r="BL2012" s="2" t="s">
        <v>228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9712</v>
      </c>
      <c r="BV2012" s="2" t="s">
        <v>228</v>
      </c>
      <c r="BW2012" s="2" t="s">
        <v>228</v>
      </c>
      <c r="BX2012" s="2" t="s">
        <v>238</v>
      </c>
      <c r="BY2012" s="2" t="s">
        <v>274</v>
      </c>
      <c r="BZ2012" s="2" t="s">
        <v>240</v>
      </c>
      <c r="CA2012" s="2" t="s">
        <v>1160</v>
      </c>
      <c r="CB2012" s="2" t="s">
        <v>228</v>
      </c>
      <c r="CC2012" s="2" t="s">
        <v>241</v>
      </c>
      <c r="CD2012" s="2" t="s">
        <v>228</v>
      </c>
      <c r="CE2012" s="4">
        <v>180</v>
      </c>
      <c r="CF2012" s="4"/>
      <c r="CG2012" s="4"/>
      <c r="CH2012" s="4"/>
      <c r="CI2012" s="4"/>
      <c r="CJ2012" s="4"/>
      <c r="CK2012" s="4"/>
      <c r="CL2012" s="4"/>
      <c r="CM2012" s="4"/>
      <c r="CN2012" s="4"/>
      <c r="CO2012" s="4"/>
      <c r="CP2012" s="4"/>
      <c r="CQ2012" s="4"/>
      <c r="CR2012" s="4"/>
      <c r="CS2012" s="4"/>
      <c r="CT2012" s="4"/>
      <c r="CU2012" s="4"/>
      <c r="CV2012" s="4"/>
      <c r="CW2012" s="4"/>
      <c r="CX2012" s="4"/>
      <c r="CY2012" s="4"/>
      <c r="CZ2012" s="4"/>
      <c r="DA2012" s="4">
        <v>190</v>
      </c>
      <c r="DB2012" s="4"/>
      <c r="DC2012" s="4"/>
      <c r="DD2012" s="4"/>
      <c r="DE2012" s="4"/>
      <c r="DF2012" s="4"/>
      <c r="DG2012" s="4"/>
      <c r="DH2012" s="4"/>
      <c r="DI2012" s="4"/>
      <c r="DJ2012" s="4"/>
      <c r="DK2012" s="4"/>
      <c r="DL2012" s="4"/>
      <c r="DM2012" s="4"/>
      <c r="DN2012" s="4"/>
      <c r="DO2012" s="4"/>
      <c r="DP2012" s="4"/>
      <c r="DQ2012" s="4"/>
      <c r="DR2012" s="4"/>
      <c r="DS2012" s="4"/>
      <c r="DT2012" s="4"/>
      <c r="DU2012" s="4"/>
      <c r="DV2012" s="4"/>
      <c r="DW2012" s="4"/>
      <c r="DX2012" s="4"/>
      <c r="DY2012" s="4"/>
      <c r="DZ2012" s="4"/>
      <c r="EA2012" s="4"/>
      <c r="EB2012" s="4"/>
      <c r="EC2012" s="4"/>
      <c r="ED2012" s="4"/>
      <c r="EE2012" s="4"/>
      <c r="EF2012" s="4"/>
      <c r="EG2012" s="4"/>
      <c r="EH2012" s="4"/>
      <c r="EI2012" s="4"/>
      <c r="EJ2012" s="4"/>
      <c r="EK2012" s="4"/>
      <c r="EL2012" s="4"/>
      <c r="EM2012" s="4"/>
      <c r="EN2012" s="4"/>
      <c r="EO2012" s="4"/>
      <c r="EP2012" s="4"/>
      <c r="EQ2012" s="4"/>
      <c r="ER2012" s="4"/>
      <c r="ES2012" s="4"/>
      <c r="ET2012" s="4"/>
      <c r="EU2012" s="4"/>
      <c r="EV2012" s="4"/>
      <c r="EW2012" s="4"/>
      <c r="EX2012" s="4"/>
      <c r="EY2012" s="4"/>
      <c r="EZ2012" s="4"/>
      <c r="FA2012" s="4"/>
      <c r="FB2012" s="4"/>
      <c r="FC2012" s="4"/>
      <c r="FD2012" s="4"/>
      <c r="FE2012" s="4"/>
      <c r="FF2012" s="4"/>
      <c r="FG2012" s="4"/>
      <c r="FH2012" s="4"/>
      <c r="FI2012" s="4"/>
      <c r="FJ2012" s="4"/>
      <c r="FK2012" s="4"/>
      <c r="FL2012" s="4"/>
      <c r="FM2012" s="4"/>
      <c r="FN2012" s="4"/>
      <c r="FO2012" s="4"/>
      <c r="FP2012" s="4"/>
      <c r="FQ2012" s="4"/>
      <c r="FR2012" s="4"/>
      <c r="FS2012" s="4"/>
      <c r="FT2012" s="4"/>
      <c r="FU2012" s="4"/>
      <c r="FV2012" s="4"/>
      <c r="FW2012" s="4"/>
      <c r="FX2012" s="4"/>
      <c r="FY2012" s="4"/>
      <c r="FZ2012" s="4"/>
      <c r="GA2012" s="4"/>
      <c r="GB2012" s="4"/>
      <c r="GC2012" s="4"/>
      <c r="GD2012" s="4"/>
      <c r="GE2012" s="4"/>
      <c r="GF2012" s="4"/>
      <c r="GG2012" s="4"/>
      <c r="GH2012" s="4"/>
      <c r="GI2012" s="4"/>
      <c r="GJ2012" s="4"/>
      <c r="GK2012" s="4"/>
      <c r="GL2012" s="4"/>
      <c r="GM2012" s="4"/>
      <c r="GN2012" s="4"/>
      <c r="GO2012" s="4"/>
      <c r="GP2012" s="4"/>
      <c r="GQ2012" s="4"/>
      <c r="GR2012" s="4"/>
      <c r="GS2012" s="4"/>
      <c r="GT2012" s="4"/>
      <c r="GU2012" s="4"/>
      <c r="GV2012" s="4"/>
      <c r="GW2012" s="4"/>
      <c r="GX2012" s="4"/>
      <c r="GY2012" s="4"/>
      <c r="GZ2012" s="4"/>
      <c r="HA2012" s="4"/>
      <c r="HB2012" s="4"/>
      <c r="HC2012" s="4"/>
      <c r="HD2012" s="4"/>
      <c r="HE2012" s="4"/>
    </row>
    <row r="2013">
      <c r="A2013" s="2" t="s">
        <v>9713</v>
      </c>
      <c r="B2013" s="2" t="s">
        <v>848</v>
      </c>
      <c r="C2013" s="2" t="s">
        <v>849</v>
      </c>
      <c r="D2013" s="2" t="s">
        <v>1112</v>
      </c>
      <c r="E2013" s="2" t="s">
        <v>1151</v>
      </c>
      <c r="F2013" s="2" t="s">
        <v>9714</v>
      </c>
      <c r="G2013" s="2" t="s">
        <v>9715</v>
      </c>
      <c r="H2013" s="2" t="s">
        <v>9716</v>
      </c>
      <c r="I2013" s="2" t="s">
        <v>9717</v>
      </c>
      <c r="J2013" s="2" t="s">
        <v>264</v>
      </c>
      <c r="K2013" s="2" t="s">
        <v>9718</v>
      </c>
      <c r="L2013" s="3">
        <v>33.6</v>
      </c>
      <c r="M2013" s="3">
        <v>35.28</v>
      </c>
      <c r="N2013" s="3">
        <v>74.99</v>
      </c>
      <c r="O2013" s="2" t="s">
        <v>240</v>
      </c>
      <c r="P2013" s="2" t="s">
        <v>266</v>
      </c>
      <c r="Q2013" s="2" t="s">
        <v>234</v>
      </c>
      <c r="R2013" s="2" t="s">
        <v>228</v>
      </c>
      <c r="S2013" s="2" t="s">
        <v>9719</v>
      </c>
      <c r="T2013" s="2" t="s">
        <v>415</v>
      </c>
      <c r="U2013" s="2" t="s">
        <v>1331</v>
      </c>
      <c r="V2013" s="2" t="s">
        <v>1438</v>
      </c>
      <c r="W2013" s="2" t="s">
        <v>269</v>
      </c>
      <c r="X2013" s="2" t="s">
        <v>1267</v>
      </c>
      <c r="Y2013" s="2" t="s">
        <v>812</v>
      </c>
      <c r="Z2013" s="4">
        <v>195</v>
      </c>
      <c r="AA2013" s="4">
        <f>=ROUNDDOWN(24.375,0)</f>
      </c>
      <c r="AB2013" s="5">
        <v>8</v>
      </c>
      <c r="AC2013" s="2" t="s">
        <v>228</v>
      </c>
      <c r="AD2013" s="4"/>
      <c r="AE2013" s="4"/>
      <c r="AF2013" s="6">
        <v>64</v>
      </c>
      <c r="AG2013" s="6"/>
      <c r="AH2013" s="7">
        <v>1</v>
      </c>
      <c r="AI2013" s="4"/>
      <c r="AJ2013" s="4">
        <f>=ROUNDDOWN({0},0)</f>
      </c>
      <c r="AK2013" s="5"/>
      <c r="AL2013" s="2" t="s">
        <v>228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 t="s">
        <v>228</v>
      </c>
      <c r="AW2013" s="8" t="s">
        <v>228</v>
      </c>
      <c r="AX2013" s="4" t="s">
        <v>228</v>
      </c>
      <c r="AY2013" s="8" t="s">
        <v>228</v>
      </c>
      <c r="AZ2013" s="7" t="s">
        <v>228</v>
      </c>
      <c r="BA2013" s="7" t="s">
        <v>228</v>
      </c>
      <c r="BB2013" s="7"/>
      <c r="BC2013" s="4" t="s">
        <v>228</v>
      </c>
      <c r="BD2013" s="8" t="s">
        <v>228</v>
      </c>
      <c r="BE2013" s="4" t="s">
        <v>228</v>
      </c>
      <c r="BF2013" s="8" t="s">
        <v>228</v>
      </c>
      <c r="BG2013" s="7" t="s">
        <v>228</v>
      </c>
      <c r="BH2013" s="7" t="s">
        <v>228</v>
      </c>
      <c r="BI2013" s="7"/>
      <c r="BJ2013" s="4">
        <v>4</v>
      </c>
      <c r="BK2013" s="8">
        <v>153.48</v>
      </c>
      <c r="BL2013" s="2" t="s">
        <v>2894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9720</v>
      </c>
      <c r="BV2013" s="2" t="s">
        <v>228</v>
      </c>
      <c r="BW2013" s="2" t="s">
        <v>228</v>
      </c>
      <c r="BX2013" s="2" t="s">
        <v>238</v>
      </c>
      <c r="BY2013" s="2" t="s">
        <v>274</v>
      </c>
      <c r="BZ2013" s="2" t="s">
        <v>240</v>
      </c>
      <c r="CA2013" s="2" t="s">
        <v>1160</v>
      </c>
      <c r="CB2013" s="2" t="s">
        <v>228</v>
      </c>
      <c r="CC2013" s="2" t="s">
        <v>241</v>
      </c>
      <c r="CD2013" s="2" t="s">
        <v>228</v>
      </c>
      <c r="CE2013" s="4">
        <v>95</v>
      </c>
      <c r="CF2013" s="4"/>
      <c r="CG2013" s="4"/>
      <c r="CH2013" s="4"/>
      <c r="CI2013" s="4"/>
      <c r="CJ2013" s="4"/>
      <c r="CK2013" s="4">
        <v>100</v>
      </c>
      <c r="CL2013" s="4"/>
      <c r="CM2013" s="4"/>
      <c r="CN2013" s="4"/>
      <c r="CO2013" s="4"/>
      <c r="CP2013" s="4"/>
      <c r="CQ2013" s="4"/>
      <c r="CR2013" s="4"/>
      <c r="CS2013" s="4"/>
      <c r="CT2013" s="4"/>
      <c r="CU2013" s="4"/>
      <c r="CV2013" s="4"/>
      <c r="CW2013" s="4"/>
      <c r="CX2013" s="4"/>
      <c r="CY2013" s="4"/>
      <c r="CZ2013" s="4"/>
      <c r="DA2013" s="4"/>
      <c r="DB2013" s="4"/>
      <c r="DC2013" s="4"/>
      <c r="DD2013" s="4"/>
      <c r="DE2013" s="4"/>
      <c r="DF2013" s="4"/>
      <c r="DG2013" s="4"/>
      <c r="DH2013" s="4"/>
      <c r="DI2013" s="4"/>
      <c r="DJ2013" s="4"/>
      <c r="DK2013" s="4"/>
      <c r="DL2013" s="4"/>
      <c r="DM2013" s="4"/>
      <c r="DN2013" s="4"/>
      <c r="DO2013" s="4"/>
      <c r="DP2013" s="4"/>
      <c r="DQ2013" s="4"/>
      <c r="DR2013" s="4"/>
      <c r="DS2013" s="4"/>
      <c r="DT2013" s="4"/>
      <c r="DU2013" s="4"/>
      <c r="DV2013" s="4"/>
      <c r="DW2013" s="4"/>
      <c r="DX2013" s="4"/>
      <c r="DY2013" s="4"/>
      <c r="DZ2013" s="4"/>
      <c r="EA2013" s="4"/>
      <c r="EB2013" s="4"/>
      <c r="EC2013" s="4"/>
      <c r="ED2013" s="4"/>
      <c r="EE2013" s="4"/>
      <c r="EF2013" s="4"/>
      <c r="EG2013" s="4"/>
      <c r="EH2013" s="4"/>
      <c r="EI2013" s="4"/>
      <c r="EJ2013" s="4"/>
      <c r="EK2013" s="4"/>
      <c r="EL2013" s="4"/>
      <c r="EM2013" s="4"/>
      <c r="EN2013" s="4"/>
      <c r="EO2013" s="4"/>
      <c r="EP2013" s="4"/>
      <c r="EQ2013" s="4"/>
      <c r="ER2013" s="4"/>
      <c r="ES2013" s="4"/>
      <c r="ET2013" s="4"/>
      <c r="EU2013" s="4"/>
      <c r="EV2013" s="4"/>
      <c r="EW2013" s="4"/>
      <c r="EX2013" s="4"/>
      <c r="EY2013" s="4"/>
      <c r="EZ2013" s="4"/>
      <c r="FA2013" s="4"/>
      <c r="FB2013" s="4"/>
      <c r="FC2013" s="4"/>
      <c r="FD2013" s="4"/>
      <c r="FE2013" s="4"/>
      <c r="FF2013" s="4"/>
      <c r="FG2013" s="4"/>
      <c r="FH2013" s="4"/>
      <c r="FI2013" s="4"/>
      <c r="FJ2013" s="4"/>
      <c r="FK2013" s="4"/>
      <c r="FL2013" s="4"/>
      <c r="FM2013" s="4"/>
      <c r="FN2013" s="4"/>
      <c r="FO2013" s="4"/>
      <c r="FP2013" s="4"/>
      <c r="FQ2013" s="4"/>
      <c r="FR2013" s="4"/>
      <c r="FS2013" s="4"/>
      <c r="FT2013" s="4"/>
      <c r="FU2013" s="4"/>
      <c r="FV2013" s="4"/>
      <c r="FW2013" s="4"/>
      <c r="FX2013" s="4"/>
      <c r="FY2013" s="4"/>
      <c r="FZ2013" s="4"/>
      <c r="GA2013" s="4"/>
      <c r="GB2013" s="4"/>
      <c r="GC2013" s="4"/>
      <c r="GD2013" s="4"/>
      <c r="GE2013" s="4"/>
      <c r="GF2013" s="4"/>
      <c r="GG2013" s="4"/>
      <c r="GH2013" s="4"/>
      <c r="GI2013" s="4"/>
      <c r="GJ2013" s="4"/>
      <c r="GK2013" s="4"/>
      <c r="GL2013" s="4"/>
      <c r="GM2013" s="4"/>
      <c r="GN2013" s="4"/>
      <c r="GO2013" s="4"/>
      <c r="GP2013" s="4"/>
      <c r="GQ2013" s="4"/>
      <c r="GR2013" s="4"/>
      <c r="GS2013" s="4"/>
      <c r="GT2013" s="4"/>
      <c r="GU2013" s="4"/>
      <c r="GV2013" s="4"/>
      <c r="GW2013" s="4"/>
      <c r="GX2013" s="4"/>
      <c r="GY2013" s="4"/>
      <c r="GZ2013" s="4"/>
      <c r="HA2013" s="4"/>
      <c r="HB2013" s="4"/>
      <c r="HC2013" s="4"/>
      <c r="HD2013" s="4"/>
      <c r="HE2013" s="4"/>
    </row>
    <row r="2014">
      <c r="A2014" s="2" t="s">
        <v>9721</v>
      </c>
      <c r="B2014" s="2" t="s">
        <v>848</v>
      </c>
      <c r="C2014" s="2" t="s">
        <v>849</v>
      </c>
      <c r="D2014" s="2" t="s">
        <v>1112</v>
      </c>
      <c r="E2014" s="2" t="s">
        <v>1151</v>
      </c>
      <c r="F2014" s="2" t="s">
        <v>9714</v>
      </c>
      <c r="G2014" s="2" t="s">
        <v>9715</v>
      </c>
      <c r="H2014" s="2" t="s">
        <v>9716</v>
      </c>
      <c r="I2014" s="2" t="s">
        <v>9717</v>
      </c>
      <c r="J2014" s="2" t="s">
        <v>278</v>
      </c>
      <c r="K2014" s="2" t="s">
        <v>9718</v>
      </c>
      <c r="L2014" s="3">
        <v>35.52</v>
      </c>
      <c r="M2014" s="3">
        <v>37.3</v>
      </c>
      <c r="N2014" s="3">
        <v>78.99</v>
      </c>
      <c r="O2014" s="2" t="s">
        <v>240</v>
      </c>
      <c r="P2014" s="2" t="s">
        <v>266</v>
      </c>
      <c r="Q2014" s="2" t="s">
        <v>234</v>
      </c>
      <c r="R2014" s="2" t="s">
        <v>228</v>
      </c>
      <c r="S2014" s="2" t="s">
        <v>9719</v>
      </c>
      <c r="T2014" s="2" t="s">
        <v>415</v>
      </c>
      <c r="U2014" s="2" t="s">
        <v>1331</v>
      </c>
      <c r="V2014" s="2" t="s">
        <v>1438</v>
      </c>
      <c r="W2014" s="2" t="s">
        <v>269</v>
      </c>
      <c r="X2014" s="2" t="s">
        <v>1267</v>
      </c>
      <c r="Y2014" s="2" t="s">
        <v>812</v>
      </c>
      <c r="Z2014" s="4">
        <v>241</v>
      </c>
      <c r="AA2014" s="4">
        <f>=ROUNDDOWN(16.0666666666667,0)</f>
      </c>
      <c r="AB2014" s="5">
        <v>15</v>
      </c>
      <c r="AC2014" s="2" t="s">
        <v>228</v>
      </c>
      <c r="AD2014" s="4"/>
      <c r="AE2014" s="4"/>
      <c r="AF2014" s="6">
        <v>64</v>
      </c>
      <c r="AG2014" s="6"/>
      <c r="AH2014" s="7">
        <v>1</v>
      </c>
      <c r="AI2014" s="4"/>
      <c r="AJ2014" s="4">
        <f>=ROUNDDOWN({0},0)</f>
      </c>
      <c r="AK2014" s="5"/>
      <c r="AL2014" s="2" t="s">
        <v>228</v>
      </c>
      <c r="AM2014" s="4"/>
      <c r="AN2014" s="4"/>
      <c r="AO2014" s="7"/>
      <c r="AP2014" s="4"/>
      <c r="AQ2014" s="8"/>
      <c r="AR2014" s="4"/>
      <c r="AS2014" s="8"/>
      <c r="AT2014" s="7"/>
      <c r="AU2014" s="7"/>
      <c r="AV2014" s="4" t="s">
        <v>228</v>
      </c>
      <c r="AW2014" s="8" t="s">
        <v>228</v>
      </c>
      <c r="AX2014" s="4" t="s">
        <v>228</v>
      </c>
      <c r="AY2014" s="8" t="s">
        <v>228</v>
      </c>
      <c r="AZ2014" s="7" t="s">
        <v>228</v>
      </c>
      <c r="BA2014" s="7" t="s">
        <v>228</v>
      </c>
      <c r="BB2014" s="7"/>
      <c r="BC2014" s="4" t="s">
        <v>228</v>
      </c>
      <c r="BD2014" s="8" t="s">
        <v>228</v>
      </c>
      <c r="BE2014" s="4" t="s">
        <v>228</v>
      </c>
      <c r="BF2014" s="8" t="s">
        <v>228</v>
      </c>
      <c r="BG2014" s="7" t="s">
        <v>228</v>
      </c>
      <c r="BH2014" s="7" t="s">
        <v>228</v>
      </c>
      <c r="BI2014" s="7"/>
      <c r="BJ2014" s="4">
        <v>36</v>
      </c>
      <c r="BK2014" s="8">
        <v>1469.46</v>
      </c>
      <c r="BL2014" s="2" t="s">
        <v>8230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9722</v>
      </c>
      <c r="BV2014" s="2" t="s">
        <v>228</v>
      </c>
      <c r="BW2014" s="2" t="s">
        <v>228</v>
      </c>
      <c r="BX2014" s="2" t="s">
        <v>238</v>
      </c>
      <c r="BY2014" s="2" t="s">
        <v>274</v>
      </c>
      <c r="BZ2014" s="2" t="s">
        <v>240</v>
      </c>
      <c r="CA2014" s="2" t="s">
        <v>1160</v>
      </c>
      <c r="CB2014" s="2" t="s">
        <v>228</v>
      </c>
      <c r="CC2014" s="2" t="s">
        <v>241</v>
      </c>
      <c r="CD2014" s="2" t="s">
        <v>228</v>
      </c>
      <c r="CE2014" s="4">
        <v>101</v>
      </c>
      <c r="CF2014" s="4"/>
      <c r="CG2014" s="4"/>
      <c r="CH2014" s="4"/>
      <c r="CI2014" s="4"/>
      <c r="CJ2014" s="4"/>
      <c r="CK2014" s="4">
        <v>140</v>
      </c>
      <c r="CL2014" s="4"/>
      <c r="CM2014" s="4"/>
      <c r="CN2014" s="4"/>
      <c r="CO2014" s="4"/>
      <c r="CP2014" s="4"/>
      <c r="CQ2014" s="4"/>
      <c r="CR2014" s="4"/>
      <c r="CS2014" s="4"/>
      <c r="CT2014" s="4"/>
      <c r="CU2014" s="4"/>
      <c r="CV2014" s="4"/>
      <c r="CW2014" s="4"/>
      <c r="CX2014" s="4"/>
      <c r="CY2014" s="4"/>
      <c r="CZ2014" s="4"/>
      <c r="DA2014" s="4"/>
      <c r="DB2014" s="4"/>
      <c r="DC2014" s="4"/>
      <c r="DD2014" s="4"/>
      <c r="DE2014" s="4"/>
      <c r="DF2014" s="4"/>
      <c r="DG2014" s="4"/>
      <c r="DH2014" s="4"/>
      <c r="DI2014" s="4"/>
      <c r="DJ2014" s="4"/>
      <c r="DK2014" s="4"/>
      <c r="DL2014" s="4"/>
      <c r="DM2014" s="4"/>
      <c r="DN2014" s="4"/>
      <c r="DO2014" s="4"/>
      <c r="DP2014" s="4"/>
      <c r="DQ2014" s="4"/>
      <c r="DR2014" s="4"/>
      <c r="DS2014" s="4"/>
      <c r="DT2014" s="4"/>
      <c r="DU2014" s="4"/>
      <c r="DV2014" s="4"/>
      <c r="DW2014" s="4"/>
      <c r="DX2014" s="4"/>
      <c r="DY2014" s="4"/>
      <c r="DZ2014" s="4"/>
      <c r="EA2014" s="4"/>
      <c r="EB2014" s="4"/>
      <c r="EC2014" s="4"/>
      <c r="ED2014" s="4"/>
      <c r="EE2014" s="4"/>
      <c r="EF2014" s="4"/>
      <c r="EG2014" s="4"/>
      <c r="EH2014" s="4"/>
      <c r="EI2014" s="4"/>
      <c r="EJ2014" s="4"/>
      <c r="EK2014" s="4"/>
      <c r="EL2014" s="4"/>
      <c r="EM2014" s="4"/>
      <c r="EN2014" s="4"/>
      <c r="EO2014" s="4"/>
      <c r="EP2014" s="4"/>
      <c r="EQ2014" s="4"/>
      <c r="ER2014" s="4"/>
      <c r="ES2014" s="4"/>
      <c r="ET2014" s="4"/>
      <c r="EU2014" s="4"/>
      <c r="EV2014" s="4"/>
      <c r="EW2014" s="4"/>
      <c r="EX2014" s="4"/>
      <c r="EY2014" s="4"/>
      <c r="EZ2014" s="4"/>
      <c r="FA2014" s="4"/>
      <c r="FB2014" s="4"/>
      <c r="FC2014" s="4"/>
      <c r="FD2014" s="4"/>
      <c r="FE2014" s="4"/>
      <c r="FF2014" s="4"/>
      <c r="FG2014" s="4"/>
      <c r="FH2014" s="4"/>
      <c r="FI2014" s="4"/>
      <c r="FJ2014" s="4"/>
      <c r="FK2014" s="4"/>
      <c r="FL2014" s="4"/>
      <c r="FM2014" s="4"/>
      <c r="FN2014" s="4"/>
      <c r="FO2014" s="4"/>
      <c r="FP2014" s="4"/>
      <c r="FQ2014" s="4"/>
      <c r="FR2014" s="4"/>
      <c r="FS2014" s="4"/>
      <c r="FT2014" s="4"/>
      <c r="FU2014" s="4"/>
      <c r="FV2014" s="4"/>
      <c r="FW2014" s="4"/>
      <c r="FX2014" s="4"/>
      <c r="FY2014" s="4"/>
      <c r="FZ2014" s="4"/>
      <c r="GA2014" s="4"/>
      <c r="GB2014" s="4"/>
      <c r="GC2014" s="4"/>
      <c r="GD2014" s="4"/>
      <c r="GE2014" s="4"/>
      <c r="GF2014" s="4"/>
      <c r="GG2014" s="4"/>
      <c r="GH2014" s="4"/>
      <c r="GI2014" s="4"/>
      <c r="GJ2014" s="4"/>
      <c r="GK2014" s="4"/>
      <c r="GL2014" s="4"/>
      <c r="GM2014" s="4"/>
      <c r="GN2014" s="4"/>
      <c r="GO2014" s="4"/>
      <c r="GP2014" s="4"/>
      <c r="GQ2014" s="4"/>
      <c r="GR2014" s="4"/>
      <c r="GS2014" s="4"/>
      <c r="GT2014" s="4"/>
      <c r="GU2014" s="4"/>
      <c r="GV2014" s="4"/>
      <c r="GW2014" s="4"/>
      <c r="GX2014" s="4"/>
      <c r="GY2014" s="4"/>
      <c r="GZ2014" s="4"/>
      <c r="HA2014" s="4"/>
      <c r="HB2014" s="4"/>
      <c r="HC2014" s="4"/>
      <c r="HD2014" s="4"/>
      <c r="HE2014" s="4"/>
    </row>
    <row r="2015">
      <c r="A2015" s="2" t="s">
        <v>9723</v>
      </c>
      <c r="B2015" s="2" t="s">
        <v>866</v>
      </c>
      <c r="C2015" s="2" t="s">
        <v>835</v>
      </c>
      <c r="D2015" s="2" t="s">
        <v>899</v>
      </c>
      <c r="E2015" s="2" t="s">
        <v>1891</v>
      </c>
      <c r="F2015" s="2" t="s">
        <v>9724</v>
      </c>
      <c r="G2015" s="2" t="s">
        <v>9724</v>
      </c>
      <c r="H2015" s="2" t="s">
        <v>9724</v>
      </c>
      <c r="I2015" s="2" t="s">
        <v>9725</v>
      </c>
      <c r="J2015" s="2" t="s">
        <v>840</v>
      </c>
      <c r="K2015" s="2" t="s">
        <v>265</v>
      </c>
      <c r="L2015" s="3">
        <v>41.27</v>
      </c>
      <c r="M2015" s="3">
        <v>43.33</v>
      </c>
      <c r="N2015" s="3">
        <v>84.99</v>
      </c>
      <c r="O2015" s="2" t="s">
        <v>240</v>
      </c>
      <c r="P2015" s="2" t="s">
        <v>266</v>
      </c>
      <c r="Q2015" s="2" t="s">
        <v>234</v>
      </c>
      <c r="R2015" s="2" t="s">
        <v>228</v>
      </c>
      <c r="S2015" s="2" t="s">
        <v>9726</v>
      </c>
      <c r="T2015" s="2" t="s">
        <v>228</v>
      </c>
      <c r="U2015" s="2" t="s">
        <v>500</v>
      </c>
      <c r="V2015" s="2" t="s">
        <v>859</v>
      </c>
      <c r="W2015" s="2" t="s">
        <v>417</v>
      </c>
      <c r="X2015" s="2" t="s">
        <v>228</v>
      </c>
      <c r="Y2015" s="2" t="s">
        <v>270</v>
      </c>
      <c r="Z2015" s="4">
        <v>72</v>
      </c>
      <c r="AA2015" s="4">
        <f>=ROUNDDOWN(24,0)</f>
      </c>
      <c r="AB2015" s="5">
        <v>3</v>
      </c>
      <c r="AC2015" s="2" t="s">
        <v>228</v>
      </c>
      <c r="AD2015" s="4"/>
      <c r="AE2015" s="4"/>
      <c r="AF2015" s="6">
        <v>63</v>
      </c>
      <c r="AG2015" s="6"/>
      <c r="AH2015" s="7">
        <v>1</v>
      </c>
      <c r="AI2015" s="4"/>
      <c r="AJ2015" s="4">
        <f>=ROUNDDOWN({0},0)</f>
      </c>
      <c r="AK2015" s="5"/>
      <c r="AL2015" s="2" t="s">
        <v>228</v>
      </c>
      <c r="AM2015" s="4"/>
      <c r="AN2015" s="4"/>
      <c r="AO2015" s="7"/>
      <c r="AP2015" s="4"/>
      <c r="AQ2015" s="8"/>
      <c r="AR2015" s="4"/>
      <c r="AS2015" s="8"/>
      <c r="AT2015" s="7"/>
      <c r="AU2015" s="7"/>
      <c r="AV2015" s="4"/>
      <c r="AW2015" s="8"/>
      <c r="AX2015" s="4"/>
      <c r="AY2015" s="8"/>
      <c r="AZ2015" s="7"/>
      <c r="BA2015" s="7"/>
      <c r="BB2015" s="7"/>
      <c r="BC2015" s="4"/>
      <c r="BD2015" s="8"/>
      <c r="BE2015" s="4"/>
      <c r="BF2015" s="8"/>
      <c r="BG2015" s="7"/>
      <c r="BH2015" s="7"/>
      <c r="BI2015" s="7"/>
      <c r="BJ2015" s="4">
        <v>14</v>
      </c>
      <c r="BK2015" s="8">
        <v>690.41</v>
      </c>
      <c r="BL2015" s="2" t="s">
        <v>9727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9728</v>
      </c>
      <c r="BV2015" s="2" t="s">
        <v>228</v>
      </c>
      <c r="BW2015" s="2" t="s">
        <v>228</v>
      </c>
      <c r="BX2015" s="2" t="s">
        <v>273</v>
      </c>
      <c r="BY2015" s="2" t="s">
        <v>274</v>
      </c>
      <c r="BZ2015" s="2" t="s">
        <v>240</v>
      </c>
      <c r="CA2015" s="2" t="s">
        <v>275</v>
      </c>
      <c r="CB2015" s="2" t="s">
        <v>9729</v>
      </c>
      <c r="CC2015" s="2" t="s">
        <v>241</v>
      </c>
      <c r="CD2015" s="2" t="s">
        <v>228</v>
      </c>
      <c r="CE2015" s="4">
        <v>2</v>
      </c>
      <c r="CF2015" s="4">
        <v>70</v>
      </c>
      <c r="CG2015" s="4"/>
      <c r="CH2015" s="4"/>
      <c r="CI2015" s="4"/>
      <c r="CJ2015" s="4"/>
      <c r="CK2015" s="4"/>
      <c r="CL2015" s="4"/>
      <c r="CM2015" s="4"/>
      <c r="CN2015" s="4"/>
      <c r="CO2015" s="4"/>
      <c r="CP2015" s="4"/>
      <c r="CQ2015" s="4"/>
      <c r="CR2015" s="4"/>
      <c r="CS2015" s="4"/>
      <c r="CT2015" s="4"/>
      <c r="CU2015" s="4"/>
      <c r="CV2015" s="4"/>
      <c r="CW2015" s="4"/>
      <c r="CX2015" s="4"/>
      <c r="CY2015" s="4"/>
      <c r="CZ2015" s="4"/>
      <c r="DA2015" s="4"/>
      <c r="DB2015" s="4"/>
      <c r="DC2015" s="4"/>
      <c r="DD2015" s="4"/>
      <c r="DE2015" s="4"/>
      <c r="DF2015" s="4"/>
      <c r="DG2015" s="4"/>
      <c r="DH2015" s="4"/>
      <c r="DI2015" s="4"/>
      <c r="DJ2015" s="4"/>
      <c r="DK2015" s="4"/>
      <c r="DL2015" s="4"/>
      <c r="DM2015" s="4"/>
      <c r="DN2015" s="4"/>
      <c r="DO2015" s="4"/>
      <c r="DP2015" s="4"/>
      <c r="DQ2015" s="4"/>
      <c r="DR2015" s="4"/>
      <c r="DS2015" s="4"/>
      <c r="DT2015" s="4"/>
      <c r="DU2015" s="4"/>
      <c r="DV2015" s="4"/>
      <c r="DW2015" s="4"/>
      <c r="DX2015" s="4"/>
      <c r="DY2015" s="4"/>
      <c r="DZ2015" s="4"/>
      <c r="EA2015" s="4"/>
      <c r="EB2015" s="4"/>
      <c r="EC2015" s="4"/>
      <c r="ED2015" s="4"/>
      <c r="EE2015" s="4"/>
      <c r="EF2015" s="4"/>
      <c r="EG2015" s="4"/>
      <c r="EH2015" s="4"/>
      <c r="EI2015" s="4"/>
      <c r="EJ2015" s="4"/>
      <c r="EK2015" s="4"/>
      <c r="EL2015" s="4"/>
      <c r="EM2015" s="4"/>
      <c r="EN2015" s="4"/>
      <c r="EO2015" s="4"/>
      <c r="EP2015" s="4"/>
      <c r="EQ2015" s="4"/>
      <c r="ER2015" s="4"/>
      <c r="ES2015" s="4"/>
      <c r="ET2015" s="4"/>
      <c r="EU2015" s="4"/>
      <c r="EV2015" s="4"/>
      <c r="EW2015" s="4"/>
      <c r="EX2015" s="4"/>
      <c r="EY2015" s="4"/>
      <c r="EZ2015" s="4"/>
      <c r="FA2015" s="4"/>
      <c r="FB2015" s="4"/>
      <c r="FC2015" s="4"/>
      <c r="FD2015" s="4"/>
      <c r="FE2015" s="4"/>
      <c r="FF2015" s="4"/>
      <c r="FG2015" s="4"/>
      <c r="FH2015" s="4"/>
      <c r="FI2015" s="4"/>
      <c r="FJ2015" s="4"/>
      <c r="FK2015" s="4"/>
      <c r="FL2015" s="4"/>
      <c r="FM2015" s="4"/>
      <c r="FN2015" s="4"/>
      <c r="FO2015" s="4"/>
      <c r="FP2015" s="4"/>
      <c r="FQ2015" s="4"/>
      <c r="FR2015" s="4"/>
      <c r="FS2015" s="4"/>
      <c r="FT2015" s="4"/>
      <c r="FU2015" s="4"/>
      <c r="FV2015" s="4"/>
      <c r="FW2015" s="4"/>
      <c r="FX2015" s="4"/>
      <c r="FY2015" s="4"/>
      <c r="FZ2015" s="4"/>
      <c r="GA2015" s="4"/>
      <c r="GB2015" s="4"/>
      <c r="GC2015" s="4"/>
      <c r="GD2015" s="4"/>
      <c r="GE2015" s="4"/>
      <c r="GF2015" s="4"/>
      <c r="GG2015" s="4"/>
      <c r="GH2015" s="4"/>
      <c r="GI2015" s="4"/>
      <c r="GJ2015" s="4"/>
      <c r="GK2015" s="4"/>
      <c r="GL2015" s="4"/>
      <c r="GM2015" s="4"/>
      <c r="GN2015" s="4"/>
      <c r="GO2015" s="4"/>
      <c r="GP2015" s="4"/>
      <c r="GQ2015" s="4"/>
      <c r="GR2015" s="4"/>
      <c r="GS2015" s="4"/>
      <c r="GT2015" s="4"/>
      <c r="GU2015" s="4"/>
      <c r="GV2015" s="4"/>
      <c r="GW2015" s="4"/>
      <c r="GX2015" s="4"/>
      <c r="GY2015" s="4"/>
      <c r="GZ2015" s="4"/>
      <c r="HA2015" s="4"/>
      <c r="HB2015" s="4"/>
      <c r="HC2015" s="4"/>
      <c r="HD2015" s="4"/>
      <c r="HE2015" s="4"/>
    </row>
    <row r="2016">
      <c r="A2016" s="2" t="s">
        <v>9730</v>
      </c>
      <c r="B2016" s="2" t="s">
        <v>970</v>
      </c>
      <c r="C2016" s="2" t="s">
        <v>1463</v>
      </c>
      <c r="D2016" s="2" t="s">
        <v>971</v>
      </c>
      <c r="E2016" s="2" t="s">
        <v>972</v>
      </c>
      <c r="F2016" s="2" t="s">
        <v>9731</v>
      </c>
      <c r="G2016" s="2" t="s">
        <v>9731</v>
      </c>
      <c r="H2016" s="2" t="s">
        <v>9731</v>
      </c>
      <c r="I2016" s="2" t="s">
        <v>9732</v>
      </c>
      <c r="J2016" s="2" t="s">
        <v>1966</v>
      </c>
      <c r="K2016" s="2" t="s">
        <v>9733</v>
      </c>
      <c r="L2016" s="3">
        <v>17.02</v>
      </c>
      <c r="M2016" s="3">
        <v>17.87</v>
      </c>
      <c r="N2016" s="3">
        <v>49.99</v>
      </c>
      <c r="O2016" s="2" t="s">
        <v>240</v>
      </c>
      <c r="P2016" s="2" t="s">
        <v>333</v>
      </c>
      <c r="Q2016" s="2" t="s">
        <v>234</v>
      </c>
      <c r="R2016" s="2" t="s">
        <v>228</v>
      </c>
      <c r="S2016" s="2" t="s">
        <v>228</v>
      </c>
      <c r="T2016" s="2" t="s">
        <v>228</v>
      </c>
      <c r="U2016" s="2" t="s">
        <v>416</v>
      </c>
      <c r="V2016" s="2" t="s">
        <v>1332</v>
      </c>
      <c r="W2016" s="2" t="s">
        <v>269</v>
      </c>
      <c r="X2016" s="2" t="s">
        <v>228</v>
      </c>
      <c r="Y2016" s="2" t="s">
        <v>2393</v>
      </c>
      <c r="Z2016" s="4">
        <v>48</v>
      </c>
      <c r="AA2016" s="4">
        <f>=ROUNDDOWN(48,0)</f>
      </c>
      <c r="AB2016" s="5">
        <v>1</v>
      </c>
      <c r="AC2016" s="2" t="s">
        <v>228</v>
      </c>
      <c r="AD2016" s="4"/>
      <c r="AE2016" s="4"/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228</v>
      </c>
      <c r="AM2016" s="4"/>
      <c r="AN2016" s="4"/>
      <c r="AO2016" s="7"/>
      <c r="AP2016" s="4"/>
      <c r="AQ2016" s="8"/>
      <c r="AR2016" s="4"/>
      <c r="AS2016" s="8"/>
      <c r="AT2016" s="7"/>
      <c r="AU2016" s="7"/>
      <c r="AV2016" s="4" t="s">
        <v>228</v>
      </c>
      <c r="AW2016" s="8" t="s">
        <v>228</v>
      </c>
      <c r="AX2016" s="4" t="s">
        <v>228</v>
      </c>
      <c r="AY2016" s="8" t="s">
        <v>228</v>
      </c>
      <c r="AZ2016" s="7" t="s">
        <v>228</v>
      </c>
      <c r="BA2016" s="7" t="s">
        <v>228</v>
      </c>
      <c r="BB2016" s="7"/>
      <c r="BC2016" s="4" t="s">
        <v>228</v>
      </c>
      <c r="BD2016" s="8" t="s">
        <v>228</v>
      </c>
      <c r="BE2016" s="4" t="s">
        <v>228</v>
      </c>
      <c r="BF2016" s="8" t="s">
        <v>228</v>
      </c>
      <c r="BG2016" s="7" t="s">
        <v>228</v>
      </c>
      <c r="BH2016" s="7" t="s">
        <v>228</v>
      </c>
      <c r="BI2016" s="7"/>
      <c r="BJ2016" s="4">
        <v>31</v>
      </c>
      <c r="BK2016" s="8">
        <v>570.88</v>
      </c>
      <c r="BL2016" s="2" t="s">
        <v>2995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9734</v>
      </c>
      <c r="BV2016" s="2" t="s">
        <v>228</v>
      </c>
      <c r="BW2016" s="2" t="s">
        <v>228</v>
      </c>
      <c r="BX2016" s="2" t="s">
        <v>337</v>
      </c>
      <c r="BY2016" s="2" t="s">
        <v>274</v>
      </c>
      <c r="BZ2016" s="2" t="s">
        <v>240</v>
      </c>
      <c r="CA2016" s="2" t="s">
        <v>1963</v>
      </c>
      <c r="CB2016" s="2" t="s">
        <v>9735</v>
      </c>
      <c r="CC2016" s="2" t="s">
        <v>241</v>
      </c>
      <c r="CD2016" s="2" t="s">
        <v>228</v>
      </c>
      <c r="CE2016" s="4">
        <v>48</v>
      </c>
      <c r="CF2016" s="4"/>
      <c r="CG2016" s="4"/>
      <c r="CH2016" s="4"/>
      <c r="CI2016" s="4"/>
      <c r="CJ2016" s="4"/>
      <c r="CK2016" s="4"/>
      <c r="CL2016" s="4"/>
      <c r="CM2016" s="4"/>
      <c r="CN2016" s="4"/>
      <c r="CO2016" s="4"/>
      <c r="CP2016" s="4"/>
      <c r="CQ2016" s="4"/>
      <c r="CR2016" s="4"/>
      <c r="CS2016" s="4"/>
      <c r="CT2016" s="4"/>
      <c r="CU2016" s="4"/>
      <c r="CV2016" s="4"/>
      <c r="CW2016" s="4"/>
      <c r="CX2016" s="4"/>
      <c r="CY2016" s="4"/>
      <c r="CZ2016" s="4"/>
      <c r="DA2016" s="4"/>
      <c r="DB2016" s="4"/>
      <c r="DC2016" s="4"/>
      <c r="DD2016" s="4"/>
      <c r="DE2016" s="4"/>
      <c r="DF2016" s="4"/>
      <c r="DG2016" s="4"/>
      <c r="DH2016" s="4"/>
      <c r="DI2016" s="4"/>
      <c r="DJ2016" s="4"/>
      <c r="DK2016" s="4"/>
      <c r="DL2016" s="4"/>
      <c r="DM2016" s="4"/>
      <c r="DN2016" s="4"/>
      <c r="DO2016" s="4"/>
      <c r="DP2016" s="4"/>
      <c r="DQ2016" s="4"/>
      <c r="DR2016" s="4"/>
      <c r="DS2016" s="4"/>
      <c r="DT2016" s="4"/>
      <c r="DU2016" s="4"/>
      <c r="DV2016" s="4"/>
      <c r="DW2016" s="4"/>
      <c r="DX2016" s="4"/>
      <c r="DY2016" s="4"/>
      <c r="DZ2016" s="4"/>
      <c r="EA2016" s="4"/>
      <c r="EB2016" s="4"/>
      <c r="EC2016" s="4"/>
      <c r="ED2016" s="4"/>
      <c r="EE2016" s="4"/>
      <c r="EF2016" s="4"/>
      <c r="EG2016" s="4"/>
      <c r="EH2016" s="4"/>
      <c r="EI2016" s="4"/>
      <c r="EJ2016" s="4"/>
      <c r="EK2016" s="4"/>
      <c r="EL2016" s="4"/>
      <c r="EM2016" s="4"/>
      <c r="EN2016" s="4"/>
      <c r="EO2016" s="4"/>
      <c r="EP2016" s="4"/>
      <c r="EQ2016" s="4"/>
      <c r="ER2016" s="4"/>
      <c r="ES2016" s="4"/>
      <c r="ET2016" s="4"/>
      <c r="EU2016" s="4"/>
      <c r="EV2016" s="4"/>
      <c r="EW2016" s="4"/>
      <c r="EX2016" s="4"/>
      <c r="EY2016" s="4"/>
      <c r="EZ2016" s="4"/>
      <c r="FA2016" s="4"/>
      <c r="FB2016" s="4"/>
      <c r="FC2016" s="4"/>
      <c r="FD2016" s="4"/>
      <c r="FE2016" s="4"/>
      <c r="FF2016" s="4"/>
      <c r="FG2016" s="4"/>
      <c r="FH2016" s="4"/>
      <c r="FI2016" s="4"/>
      <c r="FJ2016" s="4"/>
      <c r="FK2016" s="4"/>
      <c r="FL2016" s="4"/>
      <c r="FM2016" s="4"/>
      <c r="FN2016" s="4"/>
      <c r="FO2016" s="4"/>
      <c r="FP2016" s="4"/>
      <c r="FQ2016" s="4"/>
      <c r="FR2016" s="4"/>
      <c r="FS2016" s="4"/>
      <c r="FT2016" s="4"/>
      <c r="FU2016" s="4"/>
      <c r="FV2016" s="4"/>
      <c r="FW2016" s="4"/>
      <c r="FX2016" s="4"/>
      <c r="FY2016" s="4"/>
      <c r="FZ2016" s="4"/>
      <c r="GA2016" s="4"/>
      <c r="GB2016" s="4"/>
      <c r="GC2016" s="4"/>
      <c r="GD2016" s="4"/>
      <c r="GE2016" s="4"/>
      <c r="GF2016" s="4"/>
      <c r="GG2016" s="4"/>
      <c r="GH2016" s="4"/>
      <c r="GI2016" s="4"/>
      <c r="GJ2016" s="4"/>
      <c r="GK2016" s="4"/>
      <c r="GL2016" s="4"/>
      <c r="GM2016" s="4"/>
      <c r="GN2016" s="4"/>
      <c r="GO2016" s="4"/>
      <c r="GP2016" s="4"/>
      <c r="GQ2016" s="4"/>
      <c r="GR2016" s="4"/>
      <c r="GS2016" s="4"/>
      <c r="GT2016" s="4"/>
      <c r="GU2016" s="4"/>
      <c r="GV2016" s="4"/>
      <c r="GW2016" s="4"/>
      <c r="GX2016" s="4"/>
      <c r="GY2016" s="4"/>
      <c r="GZ2016" s="4"/>
      <c r="HA2016" s="4"/>
      <c r="HB2016" s="4"/>
      <c r="HC2016" s="4"/>
      <c r="HD2016" s="4"/>
      <c r="HE2016" s="4"/>
    </row>
    <row r="2017">
      <c r="A2017" s="2" t="s">
        <v>9736</v>
      </c>
      <c r="B2017" s="2" t="s">
        <v>970</v>
      </c>
      <c r="C2017" s="2" t="s">
        <v>1463</v>
      </c>
      <c r="D2017" s="2" t="s">
        <v>971</v>
      </c>
      <c r="E2017" s="2" t="s">
        <v>972</v>
      </c>
      <c r="F2017" s="2" t="s">
        <v>9731</v>
      </c>
      <c r="G2017" s="2" t="s">
        <v>9731</v>
      </c>
      <c r="H2017" s="2" t="s">
        <v>9731</v>
      </c>
      <c r="I2017" s="2" t="s">
        <v>9732</v>
      </c>
      <c r="J2017" s="2" t="s">
        <v>3672</v>
      </c>
      <c r="K2017" s="2" t="s">
        <v>9733</v>
      </c>
      <c r="L2017" s="3">
        <v>15.32</v>
      </c>
      <c r="M2017" s="3">
        <v>16.09</v>
      </c>
      <c r="N2017" s="3">
        <v>44.99</v>
      </c>
      <c r="O2017" s="2" t="s">
        <v>240</v>
      </c>
      <c r="P2017" s="2" t="s">
        <v>333</v>
      </c>
      <c r="Q2017" s="2" t="s">
        <v>234</v>
      </c>
      <c r="R2017" s="2" t="s">
        <v>228</v>
      </c>
      <c r="S2017" s="2" t="s">
        <v>228</v>
      </c>
      <c r="T2017" s="2" t="s">
        <v>228</v>
      </c>
      <c r="U2017" s="2" t="s">
        <v>416</v>
      </c>
      <c r="V2017" s="2" t="s">
        <v>1332</v>
      </c>
      <c r="W2017" s="2" t="s">
        <v>269</v>
      </c>
      <c r="X2017" s="2" t="s">
        <v>228</v>
      </c>
      <c r="Y2017" s="2" t="s">
        <v>2393</v>
      </c>
      <c r="Z2017" s="4">
        <v>229</v>
      </c>
      <c r="AA2017" s="4">
        <f>=ROUNDDOWN(114.5,0)</f>
      </c>
      <c r="AB2017" s="5">
        <v>2</v>
      </c>
      <c r="AC2017" s="2" t="s">
        <v>228</v>
      </c>
      <c r="AD2017" s="4"/>
      <c r="AE2017" s="4"/>
      <c r="AF2017" s="6">
        <v>65</v>
      </c>
      <c r="AG2017" s="6"/>
      <c r="AH2017" s="7">
        <v>1</v>
      </c>
      <c r="AI2017" s="4"/>
      <c r="AJ2017" s="4">
        <f>=ROUNDDOWN({0},0)</f>
      </c>
      <c r="AK2017" s="5"/>
      <c r="AL2017" s="2" t="s">
        <v>228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 t="s">
        <v>228</v>
      </c>
      <c r="AW2017" s="8" t="s">
        <v>228</v>
      </c>
      <c r="AX2017" s="4" t="s">
        <v>228</v>
      </c>
      <c r="AY2017" s="8" t="s">
        <v>228</v>
      </c>
      <c r="AZ2017" s="7" t="s">
        <v>228</v>
      </c>
      <c r="BA2017" s="7" t="s">
        <v>228</v>
      </c>
      <c r="BB2017" s="7"/>
      <c r="BC2017" s="4" t="s">
        <v>228</v>
      </c>
      <c r="BD2017" s="8" t="s">
        <v>228</v>
      </c>
      <c r="BE2017" s="4" t="s">
        <v>228</v>
      </c>
      <c r="BF2017" s="8" t="s">
        <v>228</v>
      </c>
      <c r="BG2017" s="7" t="s">
        <v>228</v>
      </c>
      <c r="BH2017" s="7" t="s">
        <v>228</v>
      </c>
      <c r="BI2017" s="7"/>
      <c r="BJ2017" s="4">
        <v>6</v>
      </c>
      <c r="BK2017" s="8">
        <v>131.2</v>
      </c>
      <c r="BL2017" s="2" t="s">
        <v>1971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9737</v>
      </c>
      <c r="BV2017" s="2" t="s">
        <v>228</v>
      </c>
      <c r="BW2017" s="2" t="s">
        <v>228</v>
      </c>
      <c r="BX2017" s="2" t="s">
        <v>337</v>
      </c>
      <c r="BY2017" s="2" t="s">
        <v>274</v>
      </c>
      <c r="BZ2017" s="2" t="s">
        <v>240</v>
      </c>
      <c r="CA2017" s="2" t="s">
        <v>1963</v>
      </c>
      <c r="CB2017" s="2" t="s">
        <v>4962</v>
      </c>
      <c r="CC2017" s="2" t="s">
        <v>241</v>
      </c>
      <c r="CD2017" s="2" t="s">
        <v>228</v>
      </c>
      <c r="CE2017" s="4">
        <v>229</v>
      </c>
      <c r="CF2017" s="4"/>
      <c r="CG2017" s="4"/>
      <c r="CH2017" s="4"/>
      <c r="CI2017" s="4"/>
      <c r="CJ2017" s="4"/>
      <c r="CK2017" s="4"/>
      <c r="CL2017" s="4"/>
      <c r="CM2017" s="4"/>
      <c r="CN2017" s="4"/>
      <c r="CO2017" s="4"/>
      <c r="CP2017" s="4"/>
      <c r="CQ2017" s="4"/>
      <c r="CR2017" s="4"/>
      <c r="CS2017" s="4"/>
      <c r="CT2017" s="4"/>
      <c r="CU2017" s="4"/>
      <c r="CV2017" s="4"/>
      <c r="CW2017" s="4"/>
      <c r="CX2017" s="4"/>
      <c r="CY2017" s="4"/>
      <c r="CZ2017" s="4"/>
      <c r="DA2017" s="4"/>
      <c r="DB2017" s="4"/>
      <c r="DC2017" s="4"/>
      <c r="DD2017" s="4"/>
      <c r="DE2017" s="4"/>
      <c r="DF2017" s="4"/>
      <c r="DG2017" s="4"/>
      <c r="DH2017" s="4"/>
      <c r="DI2017" s="4"/>
      <c r="DJ2017" s="4"/>
      <c r="DK2017" s="4"/>
      <c r="DL2017" s="4"/>
      <c r="DM2017" s="4"/>
      <c r="DN2017" s="4"/>
      <c r="DO2017" s="4"/>
      <c r="DP2017" s="4"/>
      <c r="DQ2017" s="4"/>
      <c r="DR2017" s="4"/>
      <c r="DS2017" s="4"/>
      <c r="DT2017" s="4"/>
      <c r="DU2017" s="4"/>
      <c r="DV2017" s="4"/>
      <c r="DW2017" s="4"/>
      <c r="DX2017" s="4"/>
      <c r="DY2017" s="4"/>
      <c r="DZ2017" s="4"/>
      <c r="EA2017" s="4"/>
      <c r="EB2017" s="4"/>
      <c r="EC2017" s="4"/>
      <c r="ED2017" s="4"/>
      <c r="EE2017" s="4"/>
      <c r="EF2017" s="4"/>
      <c r="EG2017" s="4"/>
      <c r="EH2017" s="4"/>
      <c r="EI2017" s="4"/>
      <c r="EJ2017" s="4"/>
      <c r="EK2017" s="4"/>
      <c r="EL2017" s="4"/>
      <c r="EM2017" s="4"/>
      <c r="EN2017" s="4"/>
      <c r="EO2017" s="4"/>
      <c r="EP2017" s="4"/>
      <c r="EQ2017" s="4"/>
      <c r="ER2017" s="4"/>
      <c r="ES2017" s="4"/>
      <c r="ET2017" s="4"/>
      <c r="EU2017" s="4"/>
      <c r="EV2017" s="4"/>
      <c r="EW2017" s="4"/>
      <c r="EX2017" s="4"/>
      <c r="EY2017" s="4"/>
      <c r="EZ2017" s="4"/>
      <c r="FA2017" s="4"/>
      <c r="FB2017" s="4"/>
      <c r="FC2017" s="4"/>
      <c r="FD2017" s="4"/>
      <c r="FE2017" s="4"/>
      <c r="FF2017" s="4"/>
      <c r="FG2017" s="4"/>
      <c r="FH2017" s="4"/>
      <c r="FI2017" s="4"/>
      <c r="FJ2017" s="4"/>
      <c r="FK2017" s="4"/>
      <c r="FL2017" s="4"/>
      <c r="FM2017" s="4"/>
      <c r="FN2017" s="4"/>
      <c r="FO2017" s="4"/>
      <c r="FP2017" s="4"/>
      <c r="FQ2017" s="4"/>
      <c r="FR2017" s="4"/>
      <c r="FS2017" s="4"/>
      <c r="FT2017" s="4"/>
      <c r="FU2017" s="4"/>
      <c r="FV2017" s="4"/>
      <c r="FW2017" s="4"/>
      <c r="FX2017" s="4"/>
      <c r="FY2017" s="4"/>
      <c r="FZ2017" s="4"/>
      <c r="GA2017" s="4"/>
      <c r="GB2017" s="4"/>
      <c r="GC2017" s="4"/>
      <c r="GD2017" s="4"/>
      <c r="GE2017" s="4"/>
      <c r="GF2017" s="4"/>
      <c r="GG2017" s="4"/>
      <c r="GH2017" s="4"/>
      <c r="GI2017" s="4"/>
      <c r="GJ2017" s="4"/>
      <c r="GK2017" s="4"/>
      <c r="GL2017" s="4"/>
      <c r="GM2017" s="4"/>
      <c r="GN2017" s="4"/>
      <c r="GO2017" s="4"/>
      <c r="GP2017" s="4"/>
      <c r="GQ2017" s="4"/>
      <c r="GR2017" s="4"/>
      <c r="GS2017" s="4"/>
      <c r="GT2017" s="4"/>
      <c r="GU2017" s="4"/>
      <c r="GV2017" s="4"/>
      <c r="GW2017" s="4"/>
      <c r="GX2017" s="4"/>
      <c r="GY2017" s="4"/>
      <c r="GZ2017" s="4"/>
      <c r="HA2017" s="4"/>
      <c r="HB2017" s="4"/>
      <c r="HC2017" s="4"/>
      <c r="HD2017" s="4"/>
      <c r="HE2017" s="4"/>
    </row>
    <row r="2018">
      <c r="A2018" s="2" t="s">
        <v>9738</v>
      </c>
      <c r="B2018" s="2" t="s">
        <v>848</v>
      </c>
      <c r="C2018" s="2" t="s">
        <v>2925</v>
      </c>
      <c r="D2018" s="2" t="s">
        <v>1316</v>
      </c>
      <c r="E2018" s="2" t="s">
        <v>2396</v>
      </c>
      <c r="F2018" s="2" t="s">
        <v>9739</v>
      </c>
      <c r="G2018" s="2" t="s">
        <v>9740</v>
      </c>
      <c r="H2018" s="2" t="s">
        <v>9741</v>
      </c>
      <c r="I2018" s="2" t="s">
        <v>9742</v>
      </c>
      <c r="J2018" s="2" t="s">
        <v>1189</v>
      </c>
      <c r="K2018" s="2" t="s">
        <v>1077</v>
      </c>
      <c r="L2018" s="3">
        <v>49.15</v>
      </c>
      <c r="M2018" s="3">
        <v>51.61</v>
      </c>
      <c r="N2018" s="3">
        <v>99.99</v>
      </c>
      <c r="O2018" s="2" t="s">
        <v>461</v>
      </c>
      <c r="P2018" s="2" t="s">
        <v>333</v>
      </c>
      <c r="Q2018" s="2" t="s">
        <v>234</v>
      </c>
      <c r="R2018" s="2" t="s">
        <v>228</v>
      </c>
      <c r="S2018" s="2" t="s">
        <v>9743</v>
      </c>
      <c r="T2018" s="2" t="s">
        <v>350</v>
      </c>
      <c r="U2018" s="2" t="s">
        <v>308</v>
      </c>
      <c r="V2018" s="2" t="s">
        <v>1644</v>
      </c>
      <c r="W2018" s="2" t="s">
        <v>417</v>
      </c>
      <c r="X2018" s="2" t="s">
        <v>4473</v>
      </c>
      <c r="Y2018" s="2" t="s">
        <v>5170</v>
      </c>
      <c r="Z2018" s="4">
        <v>233</v>
      </c>
      <c r="AA2018" s="4">
        <f>=ROUNDDOWN(38.8333333333333,0)</f>
      </c>
      <c r="AB2018" s="5">
        <v>6</v>
      </c>
      <c r="AC2018" s="2" t="s">
        <v>228</v>
      </c>
      <c r="AD2018" s="4"/>
      <c r="AE2018" s="4"/>
      <c r="AF2018" s="6">
        <v>65</v>
      </c>
      <c r="AG2018" s="6"/>
      <c r="AH2018" s="7">
        <v>1</v>
      </c>
      <c r="AI2018" s="4"/>
      <c r="AJ2018" s="4">
        <f>=ROUNDDOWN({0},0)</f>
      </c>
      <c r="AK2018" s="5"/>
      <c r="AL2018" s="2" t="s">
        <v>228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/>
      <c r="AW2018" s="8"/>
      <c r="AX2018" s="4"/>
      <c r="AY2018" s="8"/>
      <c r="AZ2018" s="7"/>
      <c r="BA2018" s="7"/>
      <c r="BB2018" s="7"/>
      <c r="BC2018" s="4"/>
      <c r="BD2018" s="8"/>
      <c r="BE2018" s="4"/>
      <c r="BF2018" s="8"/>
      <c r="BG2018" s="7"/>
      <c r="BH2018" s="7"/>
      <c r="BI2018" s="7"/>
      <c r="BJ2018" s="4">
        <v>24</v>
      </c>
      <c r="BK2018" s="8">
        <v>1305.33</v>
      </c>
      <c r="BL2018" s="2" t="s">
        <v>9744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9745</v>
      </c>
      <c r="BV2018" s="2" t="s">
        <v>228</v>
      </c>
      <c r="BW2018" s="2" t="s">
        <v>228</v>
      </c>
      <c r="BX2018" s="2" t="s">
        <v>337</v>
      </c>
      <c r="BY2018" s="2" t="s">
        <v>274</v>
      </c>
      <c r="BZ2018" s="2" t="s">
        <v>240</v>
      </c>
      <c r="CA2018" s="2" t="s">
        <v>9746</v>
      </c>
      <c r="CB2018" s="2" t="s">
        <v>5609</v>
      </c>
      <c r="CC2018" s="2" t="s">
        <v>241</v>
      </c>
      <c r="CD2018" s="2" t="s">
        <v>228</v>
      </c>
      <c r="CE2018" s="4">
        <v>233</v>
      </c>
      <c r="CF2018" s="4"/>
      <c r="CG2018" s="4"/>
      <c r="CH2018" s="4"/>
      <c r="CI2018" s="4"/>
      <c r="CJ2018" s="4"/>
      <c r="CK2018" s="4"/>
      <c r="CL2018" s="4"/>
      <c r="CM2018" s="4"/>
      <c r="CN2018" s="4"/>
      <c r="CO2018" s="4"/>
      <c r="CP2018" s="4"/>
      <c r="CQ2018" s="4"/>
      <c r="CR2018" s="4"/>
      <c r="CS2018" s="4"/>
      <c r="CT2018" s="4"/>
      <c r="CU2018" s="4"/>
      <c r="CV2018" s="4"/>
      <c r="CW2018" s="4"/>
      <c r="CX2018" s="4"/>
      <c r="CY2018" s="4"/>
      <c r="CZ2018" s="4"/>
      <c r="DA2018" s="4"/>
      <c r="DB2018" s="4"/>
      <c r="DC2018" s="4"/>
      <c r="DD2018" s="4"/>
      <c r="DE2018" s="4"/>
      <c r="DF2018" s="4"/>
      <c r="DG2018" s="4"/>
      <c r="DH2018" s="4"/>
      <c r="DI2018" s="4"/>
      <c r="DJ2018" s="4"/>
      <c r="DK2018" s="4"/>
      <c r="DL2018" s="4"/>
      <c r="DM2018" s="4"/>
      <c r="DN2018" s="4"/>
      <c r="DO2018" s="4"/>
      <c r="DP2018" s="4"/>
      <c r="DQ2018" s="4"/>
      <c r="DR2018" s="4"/>
      <c r="DS2018" s="4"/>
      <c r="DT2018" s="4"/>
      <c r="DU2018" s="4"/>
      <c r="DV2018" s="4"/>
      <c r="DW2018" s="4"/>
      <c r="DX2018" s="4"/>
      <c r="DY2018" s="4"/>
      <c r="DZ2018" s="4"/>
      <c r="EA2018" s="4"/>
      <c r="EB2018" s="4"/>
      <c r="EC2018" s="4"/>
      <c r="ED2018" s="4"/>
      <c r="EE2018" s="4"/>
      <c r="EF2018" s="4"/>
      <c r="EG2018" s="4"/>
      <c r="EH2018" s="4"/>
      <c r="EI2018" s="4"/>
      <c r="EJ2018" s="4"/>
      <c r="EK2018" s="4"/>
      <c r="EL2018" s="4"/>
      <c r="EM2018" s="4"/>
      <c r="EN2018" s="4"/>
      <c r="EO2018" s="4"/>
      <c r="EP2018" s="4"/>
      <c r="EQ2018" s="4"/>
      <c r="ER2018" s="4"/>
      <c r="ES2018" s="4"/>
      <c r="ET2018" s="4"/>
      <c r="EU2018" s="4"/>
      <c r="EV2018" s="4"/>
      <c r="EW2018" s="4"/>
      <c r="EX2018" s="4"/>
      <c r="EY2018" s="4"/>
      <c r="EZ2018" s="4"/>
      <c r="FA2018" s="4"/>
      <c r="FB2018" s="4"/>
      <c r="FC2018" s="4"/>
      <c r="FD2018" s="4"/>
      <c r="FE2018" s="4"/>
      <c r="FF2018" s="4"/>
      <c r="FG2018" s="4"/>
      <c r="FH2018" s="4"/>
      <c r="FI2018" s="4"/>
      <c r="FJ2018" s="4"/>
      <c r="FK2018" s="4"/>
      <c r="FL2018" s="4"/>
      <c r="FM2018" s="4"/>
      <c r="FN2018" s="4"/>
      <c r="FO2018" s="4"/>
      <c r="FP2018" s="4"/>
      <c r="FQ2018" s="4"/>
      <c r="FR2018" s="4"/>
      <c r="FS2018" s="4"/>
      <c r="FT2018" s="4"/>
      <c r="FU2018" s="4"/>
      <c r="FV2018" s="4"/>
      <c r="FW2018" s="4"/>
      <c r="FX2018" s="4"/>
      <c r="FY2018" s="4"/>
      <c r="FZ2018" s="4"/>
      <c r="GA2018" s="4"/>
      <c r="GB2018" s="4"/>
      <c r="GC2018" s="4"/>
      <c r="GD2018" s="4"/>
      <c r="GE2018" s="4"/>
      <c r="GF2018" s="4"/>
      <c r="GG2018" s="4"/>
      <c r="GH2018" s="4"/>
      <c r="GI2018" s="4"/>
      <c r="GJ2018" s="4"/>
      <c r="GK2018" s="4"/>
      <c r="GL2018" s="4"/>
      <c r="GM2018" s="4"/>
      <c r="GN2018" s="4"/>
      <c r="GO2018" s="4"/>
      <c r="GP2018" s="4"/>
      <c r="GQ2018" s="4"/>
      <c r="GR2018" s="4"/>
      <c r="GS2018" s="4"/>
      <c r="GT2018" s="4"/>
      <c r="GU2018" s="4"/>
      <c r="GV2018" s="4"/>
      <c r="GW2018" s="4"/>
      <c r="GX2018" s="4"/>
      <c r="GY2018" s="4"/>
      <c r="GZ2018" s="4"/>
      <c r="HA2018" s="4"/>
      <c r="HB2018" s="4"/>
      <c r="HC2018" s="4"/>
      <c r="HD2018" s="4"/>
      <c r="HE2018" s="4"/>
    </row>
    <row r="2019">
      <c r="A2019" s="2" t="s">
        <v>9747</v>
      </c>
      <c r="B2019" s="2" t="s">
        <v>848</v>
      </c>
      <c r="C2019" s="2" t="s">
        <v>1184</v>
      </c>
      <c r="D2019" s="2" t="s">
        <v>1112</v>
      </c>
      <c r="E2019" s="2" t="s">
        <v>1165</v>
      </c>
      <c r="F2019" s="2" t="s">
        <v>9748</v>
      </c>
      <c r="G2019" s="2" t="s">
        <v>9749</v>
      </c>
      <c r="H2019" s="2" t="s">
        <v>1843</v>
      </c>
      <c r="I2019" s="2" t="s">
        <v>9750</v>
      </c>
      <c r="J2019" s="2" t="s">
        <v>1189</v>
      </c>
      <c r="K2019" s="2" t="s">
        <v>841</v>
      </c>
      <c r="L2019" s="3">
        <v>38.09</v>
      </c>
      <c r="M2019" s="3">
        <v>39.99</v>
      </c>
      <c r="N2019" s="3">
        <v>79.99</v>
      </c>
      <c r="O2019" s="2" t="s">
        <v>240</v>
      </c>
      <c r="P2019" s="2" t="s">
        <v>266</v>
      </c>
      <c r="Q2019" s="2" t="s">
        <v>234</v>
      </c>
      <c r="R2019" s="2" t="s">
        <v>228</v>
      </c>
      <c r="S2019" s="2" t="s">
        <v>9751</v>
      </c>
      <c r="T2019" s="2" t="s">
        <v>3112</v>
      </c>
      <c r="U2019" s="2" t="s">
        <v>308</v>
      </c>
      <c r="V2019" s="2" t="s">
        <v>236</v>
      </c>
      <c r="W2019" s="2" t="s">
        <v>269</v>
      </c>
      <c r="X2019" s="2" t="s">
        <v>463</v>
      </c>
      <c r="Y2019" s="2" t="s">
        <v>2162</v>
      </c>
      <c r="Z2019" s="4">
        <v>514</v>
      </c>
      <c r="AA2019" s="4">
        <f>=ROUNDDOWN(23.3636363636364,0)</f>
      </c>
      <c r="AB2019" s="5">
        <v>22</v>
      </c>
      <c r="AC2019" s="2" t="s">
        <v>209</v>
      </c>
      <c r="AD2019" s="4">
        <v>300</v>
      </c>
      <c r="AE2019" s="4">
        <v>600</v>
      </c>
      <c r="AF2019" s="6">
        <v>65</v>
      </c>
      <c r="AG2019" s="6"/>
      <c r="AH2019" s="7">
        <v>1</v>
      </c>
      <c r="AI2019" s="4"/>
      <c r="AJ2019" s="4">
        <f>=ROUNDDOWN({0},0)</f>
      </c>
      <c r="AK2019" s="5"/>
      <c r="AL2019" s="2" t="s">
        <v>228</v>
      </c>
      <c r="AM2019" s="4"/>
      <c r="AN2019" s="4"/>
      <c r="AO2019" s="7"/>
      <c r="AP2019" s="4"/>
      <c r="AQ2019" s="8"/>
      <c r="AR2019" s="4"/>
      <c r="AS2019" s="8"/>
      <c r="AT2019" s="7"/>
      <c r="AU2019" s="7"/>
      <c r="AV2019" s="4"/>
      <c r="AW2019" s="8"/>
      <c r="AX2019" s="4"/>
      <c r="AY2019" s="8"/>
      <c r="AZ2019" s="7"/>
      <c r="BA2019" s="7"/>
      <c r="BB2019" s="7"/>
      <c r="BC2019" s="4" t="s">
        <v>228</v>
      </c>
      <c r="BD2019" s="8" t="s">
        <v>228</v>
      </c>
      <c r="BE2019" s="4" t="s">
        <v>228</v>
      </c>
      <c r="BF2019" s="8" t="s">
        <v>228</v>
      </c>
      <c r="BG2019" s="7" t="s">
        <v>228</v>
      </c>
      <c r="BH2019" s="7" t="s">
        <v>228</v>
      </c>
      <c r="BI2019" s="7"/>
      <c r="BJ2019" s="4">
        <v>51</v>
      </c>
      <c r="BK2019" s="8">
        <v>2230.14</v>
      </c>
      <c r="BL2019" s="2" t="s">
        <v>3141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9752</v>
      </c>
      <c r="BV2019" s="2" t="s">
        <v>228</v>
      </c>
      <c r="BW2019" s="2" t="s">
        <v>228</v>
      </c>
      <c r="BX2019" s="2" t="s">
        <v>735</v>
      </c>
      <c r="BY2019" s="2" t="s">
        <v>274</v>
      </c>
      <c r="BZ2019" s="2" t="s">
        <v>240</v>
      </c>
      <c r="CA2019" s="2" t="s">
        <v>9753</v>
      </c>
      <c r="CB2019" s="2" t="s">
        <v>228</v>
      </c>
      <c r="CC2019" s="2" t="s">
        <v>241</v>
      </c>
      <c r="CD2019" s="2" t="s">
        <v>228</v>
      </c>
      <c r="CE2019" s="4">
        <v>514</v>
      </c>
      <c r="CF2019" s="4"/>
      <c r="CG2019" s="4"/>
      <c r="CH2019" s="4"/>
      <c r="CI2019" s="4"/>
      <c r="CJ2019" s="4"/>
      <c r="CK2019" s="4"/>
      <c r="CL2019" s="4"/>
      <c r="CM2019" s="4"/>
      <c r="CN2019" s="4"/>
      <c r="CO2019" s="4"/>
      <c r="CP2019" s="4"/>
      <c r="CQ2019" s="4"/>
      <c r="CR2019" s="4"/>
      <c r="CS2019" s="4"/>
      <c r="CT2019" s="4"/>
      <c r="CU2019" s="4"/>
      <c r="CV2019" s="4"/>
      <c r="CW2019" s="4"/>
      <c r="CX2019" s="4"/>
      <c r="CY2019" s="4"/>
      <c r="CZ2019" s="4"/>
      <c r="DA2019" s="4"/>
      <c r="DB2019" s="4"/>
      <c r="DC2019" s="4"/>
      <c r="DD2019" s="4"/>
      <c r="DE2019" s="4"/>
      <c r="DF2019" s="4"/>
      <c r="DG2019" s="4"/>
      <c r="DH2019" s="4"/>
      <c r="DI2019" s="4"/>
      <c r="DJ2019" s="4"/>
      <c r="DK2019" s="4"/>
      <c r="DL2019" s="4"/>
      <c r="DM2019" s="4"/>
      <c r="DN2019" s="4"/>
      <c r="DO2019" s="4"/>
      <c r="DP2019" s="4"/>
      <c r="DQ2019" s="4"/>
      <c r="DR2019" s="4"/>
      <c r="DS2019" s="4"/>
      <c r="DT2019" s="4"/>
      <c r="DU2019" s="4"/>
      <c r="DV2019" s="4"/>
      <c r="DW2019" s="4"/>
      <c r="DX2019" s="4"/>
      <c r="DY2019" s="4"/>
      <c r="DZ2019" s="4"/>
      <c r="EA2019" s="4"/>
      <c r="EB2019" s="4"/>
      <c r="EC2019" s="4"/>
      <c r="ED2019" s="4"/>
      <c r="EE2019" s="4"/>
      <c r="EF2019" s="4"/>
      <c r="EG2019" s="4"/>
      <c r="EH2019" s="4"/>
      <c r="EI2019" s="4"/>
      <c r="EJ2019" s="4"/>
      <c r="EK2019" s="4"/>
      <c r="EL2019" s="4"/>
      <c r="EM2019" s="4"/>
      <c r="EN2019" s="4"/>
      <c r="EO2019" s="4"/>
      <c r="EP2019" s="4"/>
      <c r="EQ2019" s="4"/>
      <c r="ER2019" s="4"/>
      <c r="ES2019" s="4"/>
      <c r="ET2019" s="4"/>
      <c r="EU2019" s="4"/>
      <c r="EV2019" s="4"/>
      <c r="EW2019" s="4"/>
      <c r="EX2019" s="4"/>
      <c r="EY2019" s="4"/>
      <c r="EZ2019" s="4"/>
      <c r="FA2019" s="4"/>
      <c r="FB2019" s="4"/>
      <c r="FC2019" s="4"/>
      <c r="FD2019" s="4"/>
      <c r="FE2019" s="4"/>
      <c r="FF2019" s="4"/>
      <c r="FG2019" s="4"/>
      <c r="FH2019" s="4"/>
      <c r="FI2019" s="4"/>
      <c r="FJ2019" s="4"/>
      <c r="FK2019" s="4"/>
      <c r="FL2019" s="4"/>
      <c r="FM2019" s="4"/>
      <c r="FN2019" s="4"/>
      <c r="FO2019" s="4"/>
      <c r="FP2019" s="4"/>
      <c r="FQ2019" s="4"/>
      <c r="FR2019" s="4"/>
      <c r="FS2019" s="4"/>
      <c r="FT2019" s="4"/>
      <c r="FU2019" s="4"/>
      <c r="FV2019" s="4"/>
      <c r="FW2019" s="4"/>
      <c r="FX2019" s="4"/>
      <c r="FY2019" s="4"/>
      <c r="FZ2019" s="4"/>
      <c r="GA2019" s="4"/>
      <c r="GB2019" s="4"/>
      <c r="GC2019" s="4"/>
      <c r="GD2019" s="4"/>
      <c r="GE2019" s="4"/>
      <c r="GF2019" s="4"/>
      <c r="GG2019" s="4"/>
      <c r="GH2019" s="4"/>
      <c r="GI2019" s="4"/>
      <c r="GJ2019" s="4"/>
      <c r="GK2019" s="4"/>
      <c r="GL2019" s="4"/>
      <c r="GM2019" s="4"/>
      <c r="GN2019" s="4"/>
      <c r="GO2019" s="4"/>
      <c r="GP2019" s="4"/>
      <c r="GQ2019" s="4"/>
      <c r="GR2019" s="4"/>
      <c r="GS2019" s="4">
        <v>300</v>
      </c>
      <c r="GT2019" s="4"/>
      <c r="GU2019" s="4"/>
      <c r="GV2019" s="4"/>
      <c r="GW2019" s="4"/>
      <c r="GX2019" s="4"/>
      <c r="GY2019" s="4"/>
      <c r="GZ2019" s="4">
        <v>300</v>
      </c>
      <c r="HA2019" s="4"/>
      <c r="HB2019" s="4"/>
      <c r="HC2019" s="4"/>
      <c r="HD2019" s="4"/>
      <c r="HE2019" s="4"/>
    </row>
    <row r="2020">
      <c r="A2020" s="2" t="s">
        <v>9754</v>
      </c>
      <c r="B2020" s="2" t="s">
        <v>848</v>
      </c>
      <c r="C2020" s="2" t="s">
        <v>1184</v>
      </c>
      <c r="D2020" s="2" t="s">
        <v>1112</v>
      </c>
      <c r="E2020" s="2" t="s">
        <v>1165</v>
      </c>
      <c r="F2020" s="2" t="s">
        <v>9748</v>
      </c>
      <c r="G2020" s="2" t="s">
        <v>9749</v>
      </c>
      <c r="H2020" s="2" t="s">
        <v>1843</v>
      </c>
      <c r="I2020" s="2" t="s">
        <v>9750</v>
      </c>
      <c r="J2020" s="2" t="s">
        <v>856</v>
      </c>
      <c r="K2020" s="2" t="s">
        <v>3435</v>
      </c>
      <c r="L2020" s="3">
        <v>33.33</v>
      </c>
      <c r="M2020" s="3">
        <v>35</v>
      </c>
      <c r="N2020" s="3">
        <v>69.99</v>
      </c>
      <c r="O2020" s="2" t="s">
        <v>240</v>
      </c>
      <c r="P2020" s="2" t="s">
        <v>266</v>
      </c>
      <c r="Q2020" s="2" t="s">
        <v>234</v>
      </c>
      <c r="R2020" s="2" t="s">
        <v>228</v>
      </c>
      <c r="S2020" s="2" t="s">
        <v>9755</v>
      </c>
      <c r="T2020" s="2" t="s">
        <v>3112</v>
      </c>
      <c r="U2020" s="2" t="s">
        <v>500</v>
      </c>
      <c r="V2020" s="2" t="s">
        <v>236</v>
      </c>
      <c r="W2020" s="2" t="s">
        <v>269</v>
      </c>
      <c r="X2020" s="2" t="s">
        <v>463</v>
      </c>
      <c r="Y2020" s="2" t="s">
        <v>3596</v>
      </c>
      <c r="Z2020" s="4">
        <v>411</v>
      </c>
      <c r="AA2020" s="4">
        <f>=ROUNDDOWN(27.4,0)</f>
      </c>
      <c r="AB2020" s="5">
        <v>15</v>
      </c>
      <c r="AC2020" s="2" t="s">
        <v>209</v>
      </c>
      <c r="AD2020" s="4">
        <v>200</v>
      </c>
      <c r="AE2020" s="4">
        <v>400</v>
      </c>
      <c r="AF2020" s="6">
        <v>65</v>
      </c>
      <c r="AG2020" s="6"/>
      <c r="AH2020" s="7">
        <v>1</v>
      </c>
      <c r="AI2020" s="4"/>
      <c r="AJ2020" s="4">
        <f>=ROUNDDOWN({0},0)</f>
      </c>
      <c r="AK2020" s="5"/>
      <c r="AL2020" s="2" t="s">
        <v>228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 t="s">
        <v>228</v>
      </c>
      <c r="AW2020" s="8" t="s">
        <v>228</v>
      </c>
      <c r="AX2020" s="4" t="s">
        <v>228</v>
      </c>
      <c r="AY2020" s="8" t="s">
        <v>228</v>
      </c>
      <c r="AZ2020" s="7" t="s">
        <v>228</v>
      </c>
      <c r="BA2020" s="7" t="s">
        <v>228</v>
      </c>
      <c r="BB2020" s="7"/>
      <c r="BC2020" s="4" t="s">
        <v>228</v>
      </c>
      <c r="BD2020" s="8" t="s">
        <v>228</v>
      </c>
      <c r="BE2020" s="4" t="s">
        <v>228</v>
      </c>
      <c r="BF2020" s="8" t="s">
        <v>228</v>
      </c>
      <c r="BG2020" s="7" t="s">
        <v>228</v>
      </c>
      <c r="BH2020" s="7" t="s">
        <v>228</v>
      </c>
      <c r="BI2020" s="7"/>
      <c r="BJ2020" s="4">
        <v>36</v>
      </c>
      <c r="BK2020" s="8">
        <v>1378.3</v>
      </c>
      <c r="BL2020" s="2" t="s">
        <v>1953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9756</v>
      </c>
      <c r="BV2020" s="2" t="s">
        <v>228</v>
      </c>
      <c r="BW2020" s="2" t="s">
        <v>228</v>
      </c>
      <c r="BX2020" s="2" t="s">
        <v>735</v>
      </c>
      <c r="BY2020" s="2" t="s">
        <v>274</v>
      </c>
      <c r="BZ2020" s="2" t="s">
        <v>240</v>
      </c>
      <c r="CA2020" s="2" t="s">
        <v>9753</v>
      </c>
      <c r="CB2020" s="2" t="s">
        <v>228</v>
      </c>
      <c r="CC2020" s="2" t="s">
        <v>241</v>
      </c>
      <c r="CD2020" s="2" t="s">
        <v>228</v>
      </c>
      <c r="CE2020" s="4">
        <v>411</v>
      </c>
      <c r="CF2020" s="4"/>
      <c r="CG2020" s="4"/>
      <c r="CH2020" s="4"/>
      <c r="CI2020" s="4"/>
      <c r="CJ2020" s="4"/>
      <c r="CK2020" s="4"/>
      <c r="CL2020" s="4"/>
      <c r="CM2020" s="4"/>
      <c r="CN2020" s="4"/>
      <c r="CO2020" s="4"/>
      <c r="CP2020" s="4"/>
      <c r="CQ2020" s="4"/>
      <c r="CR2020" s="4"/>
      <c r="CS2020" s="4"/>
      <c r="CT2020" s="4"/>
      <c r="CU2020" s="4"/>
      <c r="CV2020" s="4"/>
      <c r="CW2020" s="4"/>
      <c r="CX2020" s="4"/>
      <c r="CY2020" s="4"/>
      <c r="CZ2020" s="4"/>
      <c r="DA2020" s="4"/>
      <c r="DB2020" s="4"/>
      <c r="DC2020" s="4"/>
      <c r="DD2020" s="4"/>
      <c r="DE2020" s="4"/>
      <c r="DF2020" s="4"/>
      <c r="DG2020" s="4"/>
      <c r="DH2020" s="4"/>
      <c r="DI2020" s="4"/>
      <c r="DJ2020" s="4"/>
      <c r="DK2020" s="4"/>
      <c r="DL2020" s="4"/>
      <c r="DM2020" s="4"/>
      <c r="DN2020" s="4"/>
      <c r="DO2020" s="4"/>
      <c r="DP2020" s="4"/>
      <c r="DQ2020" s="4"/>
      <c r="DR2020" s="4"/>
      <c r="DS2020" s="4"/>
      <c r="DT2020" s="4"/>
      <c r="DU2020" s="4"/>
      <c r="DV2020" s="4"/>
      <c r="DW2020" s="4"/>
      <c r="DX2020" s="4"/>
      <c r="DY2020" s="4"/>
      <c r="DZ2020" s="4"/>
      <c r="EA2020" s="4"/>
      <c r="EB2020" s="4"/>
      <c r="EC2020" s="4"/>
      <c r="ED2020" s="4"/>
      <c r="EE2020" s="4"/>
      <c r="EF2020" s="4"/>
      <c r="EG2020" s="4"/>
      <c r="EH2020" s="4"/>
      <c r="EI2020" s="4"/>
      <c r="EJ2020" s="4"/>
      <c r="EK2020" s="4"/>
      <c r="EL2020" s="4"/>
      <c r="EM2020" s="4"/>
      <c r="EN2020" s="4"/>
      <c r="EO2020" s="4"/>
      <c r="EP2020" s="4"/>
      <c r="EQ2020" s="4"/>
      <c r="ER2020" s="4"/>
      <c r="ES2020" s="4"/>
      <c r="ET2020" s="4"/>
      <c r="EU2020" s="4"/>
      <c r="EV2020" s="4"/>
      <c r="EW2020" s="4"/>
      <c r="EX2020" s="4"/>
      <c r="EY2020" s="4"/>
      <c r="EZ2020" s="4"/>
      <c r="FA2020" s="4"/>
      <c r="FB2020" s="4"/>
      <c r="FC2020" s="4"/>
      <c r="FD2020" s="4"/>
      <c r="FE2020" s="4"/>
      <c r="FF2020" s="4"/>
      <c r="FG2020" s="4"/>
      <c r="FH2020" s="4"/>
      <c r="FI2020" s="4"/>
      <c r="FJ2020" s="4"/>
      <c r="FK2020" s="4"/>
      <c r="FL2020" s="4"/>
      <c r="FM2020" s="4"/>
      <c r="FN2020" s="4"/>
      <c r="FO2020" s="4"/>
      <c r="FP2020" s="4"/>
      <c r="FQ2020" s="4"/>
      <c r="FR2020" s="4"/>
      <c r="FS2020" s="4"/>
      <c r="FT2020" s="4"/>
      <c r="FU2020" s="4"/>
      <c r="FV2020" s="4"/>
      <c r="FW2020" s="4"/>
      <c r="FX2020" s="4"/>
      <c r="FY2020" s="4"/>
      <c r="FZ2020" s="4"/>
      <c r="GA2020" s="4"/>
      <c r="GB2020" s="4"/>
      <c r="GC2020" s="4"/>
      <c r="GD2020" s="4"/>
      <c r="GE2020" s="4"/>
      <c r="GF2020" s="4"/>
      <c r="GG2020" s="4"/>
      <c r="GH2020" s="4"/>
      <c r="GI2020" s="4"/>
      <c r="GJ2020" s="4"/>
      <c r="GK2020" s="4"/>
      <c r="GL2020" s="4"/>
      <c r="GM2020" s="4"/>
      <c r="GN2020" s="4"/>
      <c r="GO2020" s="4"/>
      <c r="GP2020" s="4"/>
      <c r="GQ2020" s="4"/>
      <c r="GR2020" s="4"/>
      <c r="GS2020" s="4">
        <v>200</v>
      </c>
      <c r="GT2020" s="4"/>
      <c r="GU2020" s="4"/>
      <c r="GV2020" s="4"/>
      <c r="GW2020" s="4"/>
      <c r="GX2020" s="4"/>
      <c r="GY2020" s="4"/>
      <c r="GZ2020" s="4">
        <v>200</v>
      </c>
      <c r="HA2020" s="4"/>
      <c r="HB2020" s="4"/>
      <c r="HC2020" s="4"/>
      <c r="HD2020" s="4"/>
      <c r="HE2020" s="4"/>
    </row>
    <row r="2021">
      <c r="A2021" s="2" t="s">
        <v>9757</v>
      </c>
      <c r="B2021" s="2" t="s">
        <v>848</v>
      </c>
      <c r="C2021" s="2" t="s">
        <v>1184</v>
      </c>
      <c r="D2021" s="2" t="s">
        <v>1112</v>
      </c>
      <c r="E2021" s="2" t="s">
        <v>1165</v>
      </c>
      <c r="F2021" s="2" t="s">
        <v>9748</v>
      </c>
      <c r="G2021" s="2" t="s">
        <v>9749</v>
      </c>
      <c r="H2021" s="2" t="s">
        <v>1843</v>
      </c>
      <c r="I2021" s="2" t="s">
        <v>9750</v>
      </c>
      <c r="J2021" s="2" t="s">
        <v>1189</v>
      </c>
      <c r="K2021" s="2" t="s">
        <v>3435</v>
      </c>
      <c r="L2021" s="3">
        <v>38.09</v>
      </c>
      <c r="M2021" s="3">
        <v>39.99</v>
      </c>
      <c r="N2021" s="3">
        <v>79.99</v>
      </c>
      <c r="O2021" s="2" t="s">
        <v>240</v>
      </c>
      <c r="P2021" s="2" t="s">
        <v>266</v>
      </c>
      <c r="Q2021" s="2" t="s">
        <v>234</v>
      </c>
      <c r="R2021" s="2" t="s">
        <v>228</v>
      </c>
      <c r="S2021" s="2" t="s">
        <v>9755</v>
      </c>
      <c r="T2021" s="2" t="s">
        <v>3112</v>
      </c>
      <c r="U2021" s="2" t="s">
        <v>308</v>
      </c>
      <c r="V2021" s="2" t="s">
        <v>236</v>
      </c>
      <c r="W2021" s="2" t="s">
        <v>269</v>
      </c>
      <c r="X2021" s="2" t="s">
        <v>463</v>
      </c>
      <c r="Y2021" s="2" t="s">
        <v>3596</v>
      </c>
      <c r="Z2021" s="4">
        <v>542</v>
      </c>
      <c r="AA2021" s="4">
        <f>=ROUNDDOWN(20.8461538461538,0)</f>
      </c>
      <c r="AB2021" s="5">
        <v>26</v>
      </c>
      <c r="AC2021" s="2" t="s">
        <v>209</v>
      </c>
      <c r="AD2021" s="4">
        <v>300</v>
      </c>
      <c r="AE2021" s="4">
        <v>600</v>
      </c>
      <c r="AF2021" s="6">
        <v>65</v>
      </c>
      <c r="AG2021" s="6"/>
      <c r="AH2021" s="7">
        <v>1</v>
      </c>
      <c r="AI2021" s="4"/>
      <c r="AJ2021" s="4">
        <f>=ROUNDDOWN({0},0)</f>
      </c>
      <c r="AK2021" s="5"/>
      <c r="AL2021" s="2" t="s">
        <v>228</v>
      </c>
      <c r="AM2021" s="4"/>
      <c r="AN2021" s="4"/>
      <c r="AO2021" s="7"/>
      <c r="AP2021" s="4"/>
      <c r="AQ2021" s="8"/>
      <c r="AR2021" s="4"/>
      <c r="AS2021" s="8"/>
      <c r="AT2021" s="7"/>
      <c r="AU2021" s="7"/>
      <c r="AV2021" s="4" t="s">
        <v>228</v>
      </c>
      <c r="AW2021" s="8" t="s">
        <v>228</v>
      </c>
      <c r="AX2021" s="4" t="s">
        <v>228</v>
      </c>
      <c r="AY2021" s="8" t="s">
        <v>228</v>
      </c>
      <c r="AZ2021" s="7" t="s">
        <v>228</v>
      </c>
      <c r="BA2021" s="7" t="s">
        <v>228</v>
      </c>
      <c r="BB2021" s="7"/>
      <c r="BC2021" s="4" t="s">
        <v>228</v>
      </c>
      <c r="BD2021" s="8" t="s">
        <v>228</v>
      </c>
      <c r="BE2021" s="4" t="s">
        <v>228</v>
      </c>
      <c r="BF2021" s="8" t="s">
        <v>228</v>
      </c>
      <c r="BG2021" s="7" t="s">
        <v>228</v>
      </c>
      <c r="BH2021" s="7" t="s">
        <v>228</v>
      </c>
      <c r="BI2021" s="7"/>
      <c r="BJ2021" s="4">
        <v>56</v>
      </c>
      <c r="BK2021" s="8">
        <v>2441.55</v>
      </c>
      <c r="BL2021" s="2" t="s">
        <v>6644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9758</v>
      </c>
      <c r="BV2021" s="2" t="s">
        <v>228</v>
      </c>
      <c r="BW2021" s="2" t="s">
        <v>228</v>
      </c>
      <c r="BX2021" s="2" t="s">
        <v>735</v>
      </c>
      <c r="BY2021" s="2" t="s">
        <v>274</v>
      </c>
      <c r="BZ2021" s="2" t="s">
        <v>240</v>
      </c>
      <c r="CA2021" s="2" t="s">
        <v>9753</v>
      </c>
      <c r="CB2021" s="2" t="s">
        <v>228</v>
      </c>
      <c r="CC2021" s="2" t="s">
        <v>241</v>
      </c>
      <c r="CD2021" s="2" t="s">
        <v>228</v>
      </c>
      <c r="CE2021" s="4">
        <v>542</v>
      </c>
      <c r="CF2021" s="4"/>
      <c r="CG2021" s="4"/>
      <c r="CH2021" s="4"/>
      <c r="CI2021" s="4"/>
      <c r="CJ2021" s="4"/>
      <c r="CK2021" s="4"/>
      <c r="CL2021" s="4"/>
      <c r="CM2021" s="4"/>
      <c r="CN2021" s="4"/>
      <c r="CO2021" s="4"/>
      <c r="CP2021" s="4"/>
      <c r="CQ2021" s="4"/>
      <c r="CR2021" s="4"/>
      <c r="CS2021" s="4"/>
      <c r="CT2021" s="4"/>
      <c r="CU2021" s="4"/>
      <c r="CV2021" s="4"/>
      <c r="CW2021" s="4"/>
      <c r="CX2021" s="4"/>
      <c r="CY2021" s="4"/>
      <c r="CZ2021" s="4"/>
      <c r="DA2021" s="4"/>
      <c r="DB2021" s="4"/>
      <c r="DC2021" s="4"/>
      <c r="DD2021" s="4"/>
      <c r="DE2021" s="4"/>
      <c r="DF2021" s="4"/>
      <c r="DG2021" s="4"/>
      <c r="DH2021" s="4"/>
      <c r="DI2021" s="4"/>
      <c r="DJ2021" s="4"/>
      <c r="DK2021" s="4"/>
      <c r="DL2021" s="4"/>
      <c r="DM2021" s="4"/>
      <c r="DN2021" s="4"/>
      <c r="DO2021" s="4"/>
      <c r="DP2021" s="4"/>
      <c r="DQ2021" s="4"/>
      <c r="DR2021" s="4"/>
      <c r="DS2021" s="4"/>
      <c r="DT2021" s="4"/>
      <c r="DU2021" s="4"/>
      <c r="DV2021" s="4"/>
      <c r="DW2021" s="4"/>
      <c r="DX2021" s="4"/>
      <c r="DY2021" s="4"/>
      <c r="DZ2021" s="4"/>
      <c r="EA2021" s="4"/>
      <c r="EB2021" s="4"/>
      <c r="EC2021" s="4"/>
      <c r="ED2021" s="4"/>
      <c r="EE2021" s="4"/>
      <c r="EF2021" s="4"/>
      <c r="EG2021" s="4"/>
      <c r="EH2021" s="4"/>
      <c r="EI2021" s="4"/>
      <c r="EJ2021" s="4"/>
      <c r="EK2021" s="4"/>
      <c r="EL2021" s="4"/>
      <c r="EM2021" s="4"/>
      <c r="EN2021" s="4"/>
      <c r="EO2021" s="4"/>
      <c r="EP2021" s="4"/>
      <c r="EQ2021" s="4"/>
      <c r="ER2021" s="4"/>
      <c r="ES2021" s="4"/>
      <c r="ET2021" s="4"/>
      <c r="EU2021" s="4"/>
      <c r="EV2021" s="4"/>
      <c r="EW2021" s="4"/>
      <c r="EX2021" s="4"/>
      <c r="EY2021" s="4"/>
      <c r="EZ2021" s="4"/>
      <c r="FA2021" s="4"/>
      <c r="FB2021" s="4"/>
      <c r="FC2021" s="4"/>
      <c r="FD2021" s="4"/>
      <c r="FE2021" s="4"/>
      <c r="FF2021" s="4"/>
      <c r="FG2021" s="4"/>
      <c r="FH2021" s="4"/>
      <c r="FI2021" s="4"/>
      <c r="FJ2021" s="4"/>
      <c r="FK2021" s="4"/>
      <c r="FL2021" s="4"/>
      <c r="FM2021" s="4"/>
      <c r="FN2021" s="4"/>
      <c r="FO2021" s="4"/>
      <c r="FP2021" s="4"/>
      <c r="FQ2021" s="4"/>
      <c r="FR2021" s="4"/>
      <c r="FS2021" s="4"/>
      <c r="FT2021" s="4"/>
      <c r="FU2021" s="4"/>
      <c r="FV2021" s="4"/>
      <c r="FW2021" s="4"/>
      <c r="FX2021" s="4"/>
      <c r="FY2021" s="4"/>
      <c r="FZ2021" s="4"/>
      <c r="GA2021" s="4"/>
      <c r="GB2021" s="4"/>
      <c r="GC2021" s="4"/>
      <c r="GD2021" s="4"/>
      <c r="GE2021" s="4"/>
      <c r="GF2021" s="4"/>
      <c r="GG2021" s="4"/>
      <c r="GH2021" s="4"/>
      <c r="GI2021" s="4"/>
      <c r="GJ2021" s="4"/>
      <c r="GK2021" s="4"/>
      <c r="GL2021" s="4"/>
      <c r="GM2021" s="4"/>
      <c r="GN2021" s="4"/>
      <c r="GO2021" s="4"/>
      <c r="GP2021" s="4"/>
      <c r="GQ2021" s="4"/>
      <c r="GR2021" s="4"/>
      <c r="GS2021" s="4">
        <v>300</v>
      </c>
      <c r="GT2021" s="4"/>
      <c r="GU2021" s="4"/>
      <c r="GV2021" s="4"/>
      <c r="GW2021" s="4"/>
      <c r="GX2021" s="4"/>
      <c r="GY2021" s="4"/>
      <c r="GZ2021" s="4">
        <v>300</v>
      </c>
      <c r="HA2021" s="4"/>
      <c r="HB2021" s="4"/>
      <c r="HC2021" s="4"/>
      <c r="HD2021" s="4"/>
      <c r="HE2021" s="4"/>
    </row>
    <row r="2022">
      <c r="A2022" s="2" t="s">
        <v>9759</v>
      </c>
      <c r="B2022" s="2" t="s">
        <v>970</v>
      </c>
      <c r="C2022" s="2" t="s">
        <v>300</v>
      </c>
      <c r="D2022" s="2" t="s">
        <v>971</v>
      </c>
      <c r="E2022" s="2" t="s">
        <v>1940</v>
      </c>
      <c r="F2022" s="2" t="s">
        <v>9760</v>
      </c>
      <c r="G2022" s="2" t="s">
        <v>9761</v>
      </c>
      <c r="H2022" s="2" t="s">
        <v>9762</v>
      </c>
      <c r="I2022" s="2" t="s">
        <v>9763</v>
      </c>
      <c r="J2022" s="2" t="s">
        <v>1525</v>
      </c>
      <c r="K2022" s="2" t="s">
        <v>556</v>
      </c>
      <c r="L2022" s="3">
        <v>13.5</v>
      </c>
      <c r="M2022" s="3">
        <v>14.18</v>
      </c>
      <c r="N2022" s="3">
        <v>29.99</v>
      </c>
      <c r="O2022" s="2" t="s">
        <v>240</v>
      </c>
      <c r="P2022" s="2" t="s">
        <v>266</v>
      </c>
      <c r="Q2022" s="2" t="s">
        <v>234</v>
      </c>
      <c r="R2022" s="2" t="s">
        <v>228</v>
      </c>
      <c r="S2022" s="2" t="s">
        <v>9764</v>
      </c>
      <c r="T2022" s="2" t="s">
        <v>228</v>
      </c>
      <c r="U2022" s="2" t="s">
        <v>416</v>
      </c>
      <c r="V2022" s="2" t="s">
        <v>236</v>
      </c>
      <c r="W2022" s="2" t="s">
        <v>2512</v>
      </c>
      <c r="X2022" s="2" t="s">
        <v>1940</v>
      </c>
      <c r="Y2022" s="2" t="s">
        <v>7392</v>
      </c>
      <c r="Z2022" s="4">
        <v>63</v>
      </c>
      <c r="AA2022" s="4">
        <f>=ROUNDDOWN(12.6,0)</f>
      </c>
      <c r="AB2022" s="5">
        <v>5</v>
      </c>
      <c r="AC2022" s="2" t="s">
        <v>1947</v>
      </c>
      <c r="AD2022" s="4">
        <v>188</v>
      </c>
      <c r="AE2022" s="4">
        <v>188</v>
      </c>
      <c r="AF2022" s="6">
        <v>65</v>
      </c>
      <c r="AG2022" s="6"/>
      <c r="AH2022" s="7">
        <v>1</v>
      </c>
      <c r="AI2022" s="4"/>
      <c r="AJ2022" s="4">
        <f>=ROUNDDOWN({0},0)</f>
      </c>
      <c r="AK2022" s="5"/>
      <c r="AL2022" s="2" t="s">
        <v>228</v>
      </c>
      <c r="AM2022" s="4"/>
      <c r="AN2022" s="4"/>
      <c r="AO2022" s="7"/>
      <c r="AP2022" s="4"/>
      <c r="AQ2022" s="8"/>
      <c r="AR2022" s="4"/>
      <c r="AS2022" s="8"/>
      <c r="AT2022" s="7"/>
      <c r="AU2022" s="7"/>
      <c r="AV2022" s="4"/>
      <c r="AW2022" s="8"/>
      <c r="AX2022" s="4"/>
      <c r="AY2022" s="8"/>
      <c r="AZ2022" s="7"/>
      <c r="BA2022" s="7"/>
      <c r="BB2022" s="7"/>
      <c r="BC2022" s="4" t="s">
        <v>228</v>
      </c>
      <c r="BD2022" s="8" t="s">
        <v>228</v>
      </c>
      <c r="BE2022" s="4" t="s">
        <v>228</v>
      </c>
      <c r="BF2022" s="8" t="s">
        <v>228</v>
      </c>
      <c r="BG2022" s="7" t="s">
        <v>228</v>
      </c>
      <c r="BH2022" s="7" t="s">
        <v>228</v>
      </c>
      <c r="BI2022" s="7"/>
      <c r="BJ2022" s="4">
        <v>4</v>
      </c>
      <c r="BK2022" s="8">
        <v>59.52</v>
      </c>
      <c r="BL2022" s="2" t="s">
        <v>9765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9766</v>
      </c>
      <c r="BV2022" s="2" t="s">
        <v>228</v>
      </c>
      <c r="BW2022" s="2" t="s">
        <v>228</v>
      </c>
      <c r="BX2022" s="2" t="s">
        <v>273</v>
      </c>
      <c r="BY2022" s="2" t="s">
        <v>274</v>
      </c>
      <c r="BZ2022" s="2" t="s">
        <v>240</v>
      </c>
      <c r="CA2022" s="2" t="s">
        <v>9767</v>
      </c>
      <c r="CB2022" s="2" t="s">
        <v>9768</v>
      </c>
      <c r="CC2022" s="2" t="s">
        <v>241</v>
      </c>
      <c r="CD2022" s="2" t="s">
        <v>228</v>
      </c>
      <c r="CE2022" s="4">
        <v>63</v>
      </c>
      <c r="CF2022" s="4"/>
      <c r="CG2022" s="4"/>
      <c r="CH2022" s="4"/>
      <c r="CI2022" s="4"/>
      <c r="CJ2022" s="4"/>
      <c r="CK2022" s="4"/>
      <c r="CL2022" s="4"/>
      <c r="CM2022" s="4"/>
      <c r="CN2022" s="4"/>
      <c r="CO2022" s="4"/>
      <c r="CP2022" s="4"/>
      <c r="CQ2022" s="4"/>
      <c r="CR2022" s="4"/>
      <c r="CS2022" s="4"/>
      <c r="CT2022" s="4"/>
      <c r="CU2022" s="4"/>
      <c r="CV2022" s="4"/>
      <c r="CW2022" s="4"/>
      <c r="CX2022" s="4"/>
      <c r="CY2022" s="4"/>
      <c r="CZ2022" s="4"/>
      <c r="DA2022" s="4"/>
      <c r="DB2022" s="4"/>
      <c r="DC2022" s="4"/>
      <c r="DD2022" s="4"/>
      <c r="DE2022" s="4"/>
      <c r="DF2022" s="4"/>
      <c r="DG2022" s="4"/>
      <c r="DH2022" s="4"/>
      <c r="DI2022" s="4"/>
      <c r="DJ2022" s="4"/>
      <c r="DK2022" s="4"/>
      <c r="DL2022" s="4"/>
      <c r="DM2022" s="4"/>
      <c r="DN2022" s="4"/>
      <c r="DO2022" s="4"/>
      <c r="DP2022" s="4"/>
      <c r="DQ2022" s="4"/>
      <c r="DR2022" s="4"/>
      <c r="DS2022" s="4"/>
      <c r="DT2022" s="4"/>
      <c r="DU2022" s="4"/>
      <c r="DV2022" s="4"/>
      <c r="DW2022" s="4"/>
      <c r="DX2022" s="4"/>
      <c r="DY2022" s="4"/>
      <c r="DZ2022" s="4">
        <v>188</v>
      </c>
      <c r="EA2022" s="4"/>
      <c r="EB2022" s="4"/>
      <c r="EC2022" s="4"/>
      <c r="ED2022" s="4"/>
      <c r="EE2022" s="4"/>
      <c r="EF2022" s="4"/>
      <c r="EG2022" s="4"/>
      <c r="EH2022" s="4"/>
      <c r="EI2022" s="4"/>
      <c r="EJ2022" s="4"/>
      <c r="EK2022" s="4"/>
      <c r="EL2022" s="4"/>
      <c r="EM2022" s="4"/>
      <c r="EN2022" s="4"/>
      <c r="EO2022" s="4"/>
      <c r="EP2022" s="4"/>
      <c r="EQ2022" s="4"/>
      <c r="ER2022" s="4"/>
      <c r="ES2022" s="4"/>
      <c r="ET2022" s="4"/>
      <c r="EU2022" s="4"/>
      <c r="EV2022" s="4"/>
      <c r="EW2022" s="4"/>
      <c r="EX2022" s="4"/>
      <c r="EY2022" s="4"/>
      <c r="EZ2022" s="4"/>
      <c r="FA2022" s="4"/>
      <c r="FB2022" s="4"/>
      <c r="FC2022" s="4"/>
      <c r="FD2022" s="4"/>
      <c r="FE2022" s="4"/>
      <c r="FF2022" s="4"/>
      <c r="FG2022" s="4"/>
      <c r="FH2022" s="4"/>
      <c r="FI2022" s="4"/>
      <c r="FJ2022" s="4"/>
      <c r="FK2022" s="4"/>
      <c r="FL2022" s="4"/>
      <c r="FM2022" s="4"/>
      <c r="FN2022" s="4"/>
      <c r="FO2022" s="4"/>
      <c r="FP2022" s="4"/>
      <c r="FQ2022" s="4"/>
      <c r="FR2022" s="4"/>
      <c r="FS2022" s="4"/>
      <c r="FT2022" s="4"/>
      <c r="FU2022" s="4"/>
      <c r="FV2022" s="4"/>
      <c r="FW2022" s="4"/>
      <c r="FX2022" s="4"/>
      <c r="FY2022" s="4"/>
      <c r="FZ2022" s="4"/>
      <c r="GA2022" s="4"/>
      <c r="GB2022" s="4"/>
      <c r="GC2022" s="4"/>
      <c r="GD2022" s="4"/>
      <c r="GE2022" s="4"/>
      <c r="GF2022" s="4"/>
      <c r="GG2022" s="4"/>
      <c r="GH2022" s="4"/>
      <c r="GI2022" s="4"/>
      <c r="GJ2022" s="4"/>
      <c r="GK2022" s="4"/>
      <c r="GL2022" s="4"/>
      <c r="GM2022" s="4"/>
      <c r="GN2022" s="4"/>
      <c r="GO2022" s="4"/>
      <c r="GP2022" s="4"/>
      <c r="GQ2022" s="4"/>
      <c r="GR2022" s="4"/>
      <c r="GS2022" s="4"/>
      <c r="GT2022" s="4"/>
      <c r="GU2022" s="4"/>
      <c r="GV2022" s="4"/>
      <c r="GW2022" s="4"/>
      <c r="GX2022" s="4"/>
      <c r="GY2022" s="4"/>
      <c r="GZ2022" s="4"/>
      <c r="HA2022" s="4"/>
      <c r="HB2022" s="4"/>
      <c r="HC2022" s="4"/>
      <c r="HD2022" s="4"/>
      <c r="HE2022" s="4"/>
    </row>
    <row r="2023">
      <c r="A2023" s="2" t="s">
        <v>9769</v>
      </c>
      <c r="B2023" s="2" t="s">
        <v>970</v>
      </c>
      <c r="C2023" s="2" t="s">
        <v>300</v>
      </c>
      <c r="D2023" s="2" t="s">
        <v>971</v>
      </c>
      <c r="E2023" s="2" t="s">
        <v>1940</v>
      </c>
      <c r="F2023" s="2" t="s">
        <v>9760</v>
      </c>
      <c r="G2023" s="2" t="s">
        <v>9761</v>
      </c>
      <c r="H2023" s="2" t="s">
        <v>9762</v>
      </c>
      <c r="I2023" s="2" t="s">
        <v>9763</v>
      </c>
      <c r="J2023" s="2" t="s">
        <v>1300</v>
      </c>
      <c r="K2023" s="2" t="s">
        <v>249</v>
      </c>
      <c r="L2023" s="3">
        <v>17.2</v>
      </c>
      <c r="M2023" s="3">
        <v>18.06</v>
      </c>
      <c r="N2023" s="3">
        <v>39.99</v>
      </c>
      <c r="O2023" s="2" t="s">
        <v>240</v>
      </c>
      <c r="P2023" s="2" t="s">
        <v>266</v>
      </c>
      <c r="Q2023" s="2" t="s">
        <v>234</v>
      </c>
      <c r="R2023" s="2" t="s">
        <v>228</v>
      </c>
      <c r="S2023" s="2" t="s">
        <v>9770</v>
      </c>
      <c r="T2023" s="2" t="s">
        <v>228</v>
      </c>
      <c r="U2023" s="2" t="s">
        <v>416</v>
      </c>
      <c r="V2023" s="2" t="s">
        <v>236</v>
      </c>
      <c r="W2023" s="2" t="s">
        <v>2512</v>
      </c>
      <c r="X2023" s="2" t="s">
        <v>1940</v>
      </c>
      <c r="Y2023" s="2" t="s">
        <v>9771</v>
      </c>
      <c r="Z2023" s="4">
        <v>165</v>
      </c>
      <c r="AA2023" s="4">
        <f>=ROUNDDOWN(20.625,0)</f>
      </c>
      <c r="AB2023" s="5">
        <v>8</v>
      </c>
      <c r="AC2023" s="2" t="s">
        <v>1947</v>
      </c>
      <c r="AD2023" s="4">
        <v>208</v>
      </c>
      <c r="AE2023" s="4">
        <v>212</v>
      </c>
      <c r="AF2023" s="6">
        <v>65</v>
      </c>
      <c r="AG2023" s="6"/>
      <c r="AH2023" s="7">
        <v>1</v>
      </c>
      <c r="AI2023" s="4"/>
      <c r="AJ2023" s="4">
        <f>=ROUNDDOWN({0},0)</f>
      </c>
      <c r="AK2023" s="5"/>
      <c r="AL2023" s="2" t="s">
        <v>228</v>
      </c>
      <c r="AM2023" s="4"/>
      <c r="AN2023" s="4"/>
      <c r="AO2023" s="7"/>
      <c r="AP2023" s="4"/>
      <c r="AQ2023" s="8"/>
      <c r="AR2023" s="4"/>
      <c r="AS2023" s="8"/>
      <c r="AT2023" s="7"/>
      <c r="AU2023" s="7"/>
      <c r="AV2023" s="4"/>
      <c r="AW2023" s="8"/>
      <c r="AX2023" s="4"/>
      <c r="AY2023" s="8"/>
      <c r="AZ2023" s="7"/>
      <c r="BA2023" s="7"/>
      <c r="BB2023" s="7"/>
      <c r="BC2023" s="4" t="s">
        <v>228</v>
      </c>
      <c r="BD2023" s="8" t="s">
        <v>228</v>
      </c>
      <c r="BE2023" s="4" t="s">
        <v>228</v>
      </c>
      <c r="BF2023" s="8" t="s">
        <v>228</v>
      </c>
      <c r="BG2023" s="7" t="s">
        <v>228</v>
      </c>
      <c r="BH2023" s="7" t="s">
        <v>228</v>
      </c>
      <c r="BI2023" s="7"/>
      <c r="BJ2023" s="4">
        <v>24</v>
      </c>
      <c r="BK2023" s="8">
        <v>442.84</v>
      </c>
      <c r="BL2023" s="2" t="s">
        <v>9772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9773</v>
      </c>
      <c r="BV2023" s="2" t="s">
        <v>228</v>
      </c>
      <c r="BW2023" s="2" t="s">
        <v>228</v>
      </c>
      <c r="BX2023" s="2" t="s">
        <v>273</v>
      </c>
      <c r="BY2023" s="2" t="s">
        <v>274</v>
      </c>
      <c r="BZ2023" s="2" t="s">
        <v>240</v>
      </c>
      <c r="CA2023" s="2" t="s">
        <v>9767</v>
      </c>
      <c r="CB2023" s="2" t="s">
        <v>4309</v>
      </c>
      <c r="CC2023" s="2" t="s">
        <v>241</v>
      </c>
      <c r="CD2023" s="2" t="s">
        <v>228</v>
      </c>
      <c r="CE2023" s="4">
        <v>165</v>
      </c>
      <c r="CF2023" s="4"/>
      <c r="CG2023" s="4"/>
      <c r="CH2023" s="4"/>
      <c r="CI2023" s="4"/>
      <c r="CJ2023" s="4"/>
      <c r="CK2023" s="4"/>
      <c r="CL2023" s="4"/>
      <c r="CM2023" s="4"/>
      <c r="CN2023" s="4"/>
      <c r="CO2023" s="4"/>
      <c r="CP2023" s="4"/>
      <c r="CQ2023" s="4"/>
      <c r="CR2023" s="4"/>
      <c r="CS2023" s="4"/>
      <c r="CT2023" s="4"/>
      <c r="CU2023" s="4"/>
      <c r="CV2023" s="4"/>
      <c r="CW2023" s="4"/>
      <c r="CX2023" s="4"/>
      <c r="CY2023" s="4"/>
      <c r="CZ2023" s="4"/>
      <c r="DA2023" s="4"/>
      <c r="DB2023" s="4"/>
      <c r="DC2023" s="4"/>
      <c r="DD2023" s="4"/>
      <c r="DE2023" s="4"/>
      <c r="DF2023" s="4"/>
      <c r="DG2023" s="4"/>
      <c r="DH2023" s="4"/>
      <c r="DI2023" s="4"/>
      <c r="DJ2023" s="4"/>
      <c r="DK2023" s="4"/>
      <c r="DL2023" s="4"/>
      <c r="DM2023" s="4"/>
      <c r="DN2023" s="4"/>
      <c r="DO2023" s="4"/>
      <c r="DP2023" s="4"/>
      <c r="DQ2023" s="4"/>
      <c r="DR2023" s="4"/>
      <c r="DS2023" s="4"/>
      <c r="DT2023" s="4"/>
      <c r="DU2023" s="4"/>
      <c r="DV2023" s="4"/>
      <c r="DW2023" s="4"/>
      <c r="DX2023" s="4"/>
      <c r="DY2023" s="4"/>
      <c r="DZ2023" s="4">
        <v>208</v>
      </c>
      <c r="EA2023" s="4"/>
      <c r="EB2023" s="4"/>
      <c r="EC2023" s="4"/>
      <c r="ED2023" s="4"/>
      <c r="EE2023" s="4"/>
      <c r="EF2023" s="4"/>
      <c r="EG2023" s="4"/>
      <c r="EH2023" s="4">
        <v>4</v>
      </c>
      <c r="EI2023" s="4"/>
      <c r="EJ2023" s="4"/>
      <c r="EK2023" s="4"/>
      <c r="EL2023" s="4"/>
      <c r="EM2023" s="4"/>
      <c r="EN2023" s="4"/>
      <c r="EO2023" s="4"/>
      <c r="EP2023" s="4"/>
      <c r="EQ2023" s="4"/>
      <c r="ER2023" s="4"/>
      <c r="ES2023" s="4"/>
      <c r="ET2023" s="4"/>
      <c r="EU2023" s="4"/>
      <c r="EV2023" s="4"/>
      <c r="EW2023" s="4"/>
      <c r="EX2023" s="4"/>
      <c r="EY2023" s="4"/>
      <c r="EZ2023" s="4"/>
      <c r="FA2023" s="4"/>
      <c r="FB2023" s="4"/>
      <c r="FC2023" s="4"/>
      <c r="FD2023" s="4"/>
      <c r="FE2023" s="4"/>
      <c r="FF2023" s="4"/>
      <c r="FG2023" s="4"/>
      <c r="FH2023" s="4"/>
      <c r="FI2023" s="4"/>
      <c r="FJ2023" s="4"/>
      <c r="FK2023" s="4"/>
      <c r="FL2023" s="4"/>
      <c r="FM2023" s="4"/>
      <c r="FN2023" s="4"/>
      <c r="FO2023" s="4"/>
      <c r="FP2023" s="4"/>
      <c r="FQ2023" s="4"/>
      <c r="FR2023" s="4"/>
      <c r="FS2023" s="4"/>
      <c r="FT2023" s="4"/>
      <c r="FU2023" s="4"/>
      <c r="FV2023" s="4"/>
      <c r="FW2023" s="4"/>
      <c r="FX2023" s="4"/>
      <c r="FY2023" s="4"/>
      <c r="FZ2023" s="4"/>
      <c r="GA2023" s="4"/>
      <c r="GB2023" s="4"/>
      <c r="GC2023" s="4"/>
      <c r="GD2023" s="4"/>
      <c r="GE2023" s="4"/>
      <c r="GF2023" s="4"/>
      <c r="GG2023" s="4"/>
      <c r="GH2023" s="4"/>
      <c r="GI2023" s="4"/>
      <c r="GJ2023" s="4"/>
      <c r="GK2023" s="4"/>
      <c r="GL2023" s="4"/>
      <c r="GM2023" s="4"/>
      <c r="GN2023" s="4"/>
      <c r="GO2023" s="4"/>
      <c r="GP2023" s="4"/>
      <c r="GQ2023" s="4"/>
      <c r="GR2023" s="4"/>
      <c r="GS2023" s="4"/>
      <c r="GT2023" s="4"/>
      <c r="GU2023" s="4"/>
      <c r="GV2023" s="4"/>
      <c r="GW2023" s="4"/>
      <c r="GX2023" s="4"/>
      <c r="GY2023" s="4"/>
      <c r="GZ2023" s="4"/>
      <c r="HA2023" s="4"/>
      <c r="HB2023" s="4"/>
      <c r="HC2023" s="4"/>
      <c r="HD2023" s="4"/>
      <c r="HE2023" s="4"/>
    </row>
    <row r="2024">
      <c r="A2024" s="2" t="s">
        <v>9774</v>
      </c>
      <c r="B2024" s="2" t="s">
        <v>970</v>
      </c>
      <c r="C2024" s="2" t="s">
        <v>300</v>
      </c>
      <c r="D2024" s="2" t="s">
        <v>971</v>
      </c>
      <c r="E2024" s="2" t="s">
        <v>1940</v>
      </c>
      <c r="F2024" s="2" t="s">
        <v>9760</v>
      </c>
      <c r="G2024" s="2" t="s">
        <v>9761</v>
      </c>
      <c r="H2024" s="2" t="s">
        <v>9762</v>
      </c>
      <c r="I2024" s="2" t="s">
        <v>9763</v>
      </c>
      <c r="J2024" s="2" t="s">
        <v>1300</v>
      </c>
      <c r="K2024" s="2" t="s">
        <v>3067</v>
      </c>
      <c r="L2024" s="3">
        <v>17.2</v>
      </c>
      <c r="M2024" s="3">
        <v>18.06</v>
      </c>
      <c r="N2024" s="3">
        <v>39.99</v>
      </c>
      <c r="O2024" s="2" t="s">
        <v>240</v>
      </c>
      <c r="P2024" s="2" t="s">
        <v>266</v>
      </c>
      <c r="Q2024" s="2" t="s">
        <v>234</v>
      </c>
      <c r="R2024" s="2" t="s">
        <v>228</v>
      </c>
      <c r="S2024" s="2" t="s">
        <v>9775</v>
      </c>
      <c r="T2024" s="2" t="s">
        <v>228</v>
      </c>
      <c r="U2024" s="2" t="s">
        <v>416</v>
      </c>
      <c r="V2024" s="2" t="s">
        <v>236</v>
      </c>
      <c r="W2024" s="2" t="s">
        <v>2512</v>
      </c>
      <c r="X2024" s="2" t="s">
        <v>1940</v>
      </c>
      <c r="Y2024" s="2" t="s">
        <v>896</v>
      </c>
      <c r="Z2024" s="4">
        <v>318</v>
      </c>
      <c r="AA2024" s="4">
        <f>=ROUNDDOWN(45.4285714285714,0)</f>
      </c>
      <c r="AB2024" s="5">
        <v>7</v>
      </c>
      <c r="AC2024" s="2" t="s">
        <v>228</v>
      </c>
      <c r="AD2024" s="4"/>
      <c r="AE2024" s="4"/>
      <c r="AF2024" s="6">
        <v>65</v>
      </c>
      <c r="AG2024" s="6"/>
      <c r="AH2024" s="7">
        <v>1</v>
      </c>
      <c r="AI2024" s="4"/>
      <c r="AJ2024" s="4">
        <f>=ROUNDDOWN({0},0)</f>
      </c>
      <c r="AK2024" s="5"/>
      <c r="AL2024" s="2" t="s">
        <v>228</v>
      </c>
      <c r="AM2024" s="4"/>
      <c r="AN2024" s="4"/>
      <c r="AO2024" s="7"/>
      <c r="AP2024" s="4"/>
      <c r="AQ2024" s="8"/>
      <c r="AR2024" s="4"/>
      <c r="AS2024" s="8"/>
      <c r="AT2024" s="7"/>
      <c r="AU2024" s="7"/>
      <c r="AV2024" s="4"/>
      <c r="AW2024" s="8"/>
      <c r="AX2024" s="4"/>
      <c r="AY2024" s="8"/>
      <c r="AZ2024" s="7"/>
      <c r="BA2024" s="7"/>
      <c r="BB2024" s="7"/>
      <c r="BC2024" s="4" t="s">
        <v>228</v>
      </c>
      <c r="BD2024" s="8" t="s">
        <v>228</v>
      </c>
      <c r="BE2024" s="4" t="s">
        <v>228</v>
      </c>
      <c r="BF2024" s="8" t="s">
        <v>228</v>
      </c>
      <c r="BG2024" s="7" t="s">
        <v>228</v>
      </c>
      <c r="BH2024" s="7" t="s">
        <v>228</v>
      </c>
      <c r="BI2024" s="7"/>
      <c r="BJ2024" s="4">
        <v>17</v>
      </c>
      <c r="BK2024" s="8">
        <v>302.42</v>
      </c>
      <c r="BL2024" s="2" t="s">
        <v>9776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9777</v>
      </c>
      <c r="BV2024" s="2" t="s">
        <v>228</v>
      </c>
      <c r="BW2024" s="2" t="s">
        <v>228</v>
      </c>
      <c r="BX2024" s="2" t="s">
        <v>273</v>
      </c>
      <c r="BY2024" s="2" t="s">
        <v>274</v>
      </c>
      <c r="BZ2024" s="2" t="s">
        <v>240</v>
      </c>
      <c r="CA2024" s="2" t="s">
        <v>9778</v>
      </c>
      <c r="CB2024" s="2" t="s">
        <v>9779</v>
      </c>
      <c r="CC2024" s="2" t="s">
        <v>241</v>
      </c>
      <c r="CD2024" s="2" t="s">
        <v>228</v>
      </c>
      <c r="CE2024" s="4">
        <v>318</v>
      </c>
      <c r="CF2024" s="4"/>
      <c r="CG2024" s="4"/>
      <c r="CH2024" s="4"/>
      <c r="CI2024" s="4"/>
      <c r="CJ2024" s="4"/>
      <c r="CK2024" s="4"/>
      <c r="CL2024" s="4"/>
      <c r="CM2024" s="4"/>
      <c r="CN2024" s="4"/>
      <c r="CO2024" s="4"/>
      <c r="CP2024" s="4"/>
      <c r="CQ2024" s="4"/>
      <c r="CR2024" s="4"/>
      <c r="CS2024" s="4"/>
      <c r="CT2024" s="4"/>
      <c r="CU2024" s="4"/>
      <c r="CV2024" s="4"/>
      <c r="CW2024" s="4"/>
      <c r="CX2024" s="4"/>
      <c r="CY2024" s="4"/>
      <c r="CZ2024" s="4"/>
      <c r="DA2024" s="4"/>
      <c r="DB2024" s="4"/>
      <c r="DC2024" s="4"/>
      <c r="DD2024" s="4"/>
      <c r="DE2024" s="4"/>
      <c r="DF2024" s="4"/>
      <c r="DG2024" s="4"/>
      <c r="DH2024" s="4"/>
      <c r="DI2024" s="4"/>
      <c r="DJ2024" s="4"/>
      <c r="DK2024" s="4"/>
      <c r="DL2024" s="4"/>
      <c r="DM2024" s="4"/>
      <c r="DN2024" s="4"/>
      <c r="DO2024" s="4"/>
      <c r="DP2024" s="4"/>
      <c r="DQ2024" s="4"/>
      <c r="DR2024" s="4"/>
      <c r="DS2024" s="4"/>
      <c r="DT2024" s="4"/>
      <c r="DU2024" s="4"/>
      <c r="DV2024" s="4"/>
      <c r="DW2024" s="4"/>
      <c r="DX2024" s="4"/>
      <c r="DY2024" s="4"/>
      <c r="DZ2024" s="4"/>
      <c r="EA2024" s="4"/>
      <c r="EB2024" s="4"/>
      <c r="EC2024" s="4"/>
      <c r="ED2024" s="4"/>
      <c r="EE2024" s="4"/>
      <c r="EF2024" s="4"/>
      <c r="EG2024" s="4"/>
      <c r="EH2024" s="4"/>
      <c r="EI2024" s="4"/>
      <c r="EJ2024" s="4"/>
      <c r="EK2024" s="4"/>
      <c r="EL2024" s="4"/>
      <c r="EM2024" s="4"/>
      <c r="EN2024" s="4"/>
      <c r="EO2024" s="4"/>
      <c r="EP2024" s="4"/>
      <c r="EQ2024" s="4"/>
      <c r="ER2024" s="4"/>
      <c r="ES2024" s="4"/>
      <c r="ET2024" s="4"/>
      <c r="EU2024" s="4"/>
      <c r="EV2024" s="4"/>
      <c r="EW2024" s="4"/>
      <c r="EX2024" s="4"/>
      <c r="EY2024" s="4"/>
      <c r="EZ2024" s="4"/>
      <c r="FA2024" s="4"/>
      <c r="FB2024" s="4"/>
      <c r="FC2024" s="4"/>
      <c r="FD2024" s="4"/>
      <c r="FE2024" s="4"/>
      <c r="FF2024" s="4"/>
      <c r="FG2024" s="4"/>
      <c r="FH2024" s="4"/>
      <c r="FI2024" s="4"/>
      <c r="FJ2024" s="4"/>
      <c r="FK2024" s="4"/>
      <c r="FL2024" s="4"/>
      <c r="FM2024" s="4"/>
      <c r="FN2024" s="4"/>
      <c r="FO2024" s="4"/>
      <c r="FP2024" s="4"/>
      <c r="FQ2024" s="4"/>
      <c r="FR2024" s="4"/>
      <c r="FS2024" s="4"/>
      <c r="FT2024" s="4"/>
      <c r="FU2024" s="4"/>
      <c r="FV2024" s="4"/>
      <c r="FW2024" s="4"/>
      <c r="FX2024" s="4"/>
      <c r="FY2024" s="4"/>
      <c r="FZ2024" s="4"/>
      <c r="GA2024" s="4"/>
      <c r="GB2024" s="4"/>
      <c r="GC2024" s="4"/>
      <c r="GD2024" s="4"/>
      <c r="GE2024" s="4"/>
      <c r="GF2024" s="4"/>
      <c r="GG2024" s="4"/>
      <c r="GH2024" s="4"/>
      <c r="GI2024" s="4"/>
      <c r="GJ2024" s="4"/>
      <c r="GK2024" s="4"/>
      <c r="GL2024" s="4"/>
      <c r="GM2024" s="4"/>
      <c r="GN2024" s="4"/>
      <c r="GO2024" s="4"/>
      <c r="GP2024" s="4"/>
      <c r="GQ2024" s="4"/>
      <c r="GR2024" s="4"/>
      <c r="GS2024" s="4"/>
      <c r="GT2024" s="4"/>
      <c r="GU2024" s="4"/>
      <c r="GV2024" s="4"/>
      <c r="GW2024" s="4"/>
      <c r="GX2024" s="4"/>
      <c r="GY2024" s="4"/>
      <c r="GZ2024" s="4"/>
      <c r="HA2024" s="4"/>
      <c r="HB2024" s="4"/>
      <c r="HC2024" s="4"/>
      <c r="HD2024" s="4"/>
      <c r="HE2024" s="4"/>
    </row>
    <row r="2025">
      <c r="A2025" s="2" t="s">
        <v>9780</v>
      </c>
      <c r="B2025" s="2" t="s">
        <v>970</v>
      </c>
      <c r="C2025" s="2" t="s">
        <v>300</v>
      </c>
      <c r="D2025" s="2" t="s">
        <v>971</v>
      </c>
      <c r="E2025" s="2" t="s">
        <v>1940</v>
      </c>
      <c r="F2025" s="2" t="s">
        <v>9760</v>
      </c>
      <c r="G2025" s="2" t="s">
        <v>9761</v>
      </c>
      <c r="H2025" s="2" t="s">
        <v>9762</v>
      </c>
      <c r="I2025" s="2" t="s">
        <v>9763</v>
      </c>
      <c r="J2025" s="2" t="s">
        <v>1525</v>
      </c>
      <c r="K2025" s="2" t="s">
        <v>316</v>
      </c>
      <c r="L2025" s="3">
        <v>13.5</v>
      </c>
      <c r="M2025" s="3">
        <v>14.18</v>
      </c>
      <c r="N2025" s="3">
        <v>29.99</v>
      </c>
      <c r="O2025" s="2" t="s">
        <v>240</v>
      </c>
      <c r="P2025" s="2" t="s">
        <v>715</v>
      </c>
      <c r="Q2025" s="2" t="s">
        <v>234</v>
      </c>
      <c r="R2025" s="2" t="s">
        <v>228</v>
      </c>
      <c r="S2025" s="2" t="s">
        <v>9781</v>
      </c>
      <c r="T2025" s="2" t="s">
        <v>228</v>
      </c>
      <c r="U2025" s="2" t="s">
        <v>416</v>
      </c>
      <c r="V2025" s="2" t="s">
        <v>236</v>
      </c>
      <c r="W2025" s="2" t="s">
        <v>2512</v>
      </c>
      <c r="X2025" s="2" t="s">
        <v>1940</v>
      </c>
      <c r="Y2025" s="2" t="s">
        <v>7392</v>
      </c>
      <c r="Z2025" s="4">
        <v>145</v>
      </c>
      <c r="AA2025" s="4">
        <f>=ROUNDDOWN(20.7142857142857,0)</f>
      </c>
      <c r="AB2025" s="5">
        <v>7</v>
      </c>
      <c r="AC2025" s="2" t="s">
        <v>4983</v>
      </c>
      <c r="AD2025" s="4">
        <v>94</v>
      </c>
      <c r="AE2025" s="4">
        <v>94</v>
      </c>
      <c r="AF2025" s="6">
        <v>65</v>
      </c>
      <c r="AG2025" s="6"/>
      <c r="AH2025" s="7">
        <v>1</v>
      </c>
      <c r="AI2025" s="4"/>
      <c r="AJ2025" s="4">
        <f>=ROUNDDOWN({0},0)</f>
      </c>
      <c r="AK2025" s="5"/>
      <c r="AL2025" s="2" t="s">
        <v>228</v>
      </c>
      <c r="AM2025" s="4"/>
      <c r="AN2025" s="4"/>
      <c r="AO2025" s="7"/>
      <c r="AP2025" s="4"/>
      <c r="AQ2025" s="8"/>
      <c r="AR2025" s="4"/>
      <c r="AS2025" s="8"/>
      <c r="AT2025" s="7"/>
      <c r="AU2025" s="7"/>
      <c r="AV2025" s="4"/>
      <c r="AW2025" s="8"/>
      <c r="AX2025" s="4"/>
      <c r="AY2025" s="8"/>
      <c r="AZ2025" s="7"/>
      <c r="BA2025" s="7"/>
      <c r="BB2025" s="7"/>
      <c r="BC2025" s="4" t="s">
        <v>228</v>
      </c>
      <c r="BD2025" s="8" t="s">
        <v>228</v>
      </c>
      <c r="BE2025" s="4" t="s">
        <v>228</v>
      </c>
      <c r="BF2025" s="8" t="s">
        <v>228</v>
      </c>
      <c r="BG2025" s="7" t="s">
        <v>228</v>
      </c>
      <c r="BH2025" s="7" t="s">
        <v>228</v>
      </c>
      <c r="BI2025" s="7"/>
      <c r="BJ2025" s="4">
        <v>20</v>
      </c>
      <c r="BK2025" s="8">
        <v>287.54</v>
      </c>
      <c r="BL2025" s="2" t="s">
        <v>3626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9782</v>
      </c>
      <c r="BV2025" s="2" t="s">
        <v>228</v>
      </c>
      <c r="BW2025" s="2" t="s">
        <v>228</v>
      </c>
      <c r="BX2025" s="2" t="s">
        <v>273</v>
      </c>
      <c r="BY2025" s="2" t="s">
        <v>274</v>
      </c>
      <c r="BZ2025" s="2" t="s">
        <v>240</v>
      </c>
      <c r="CA2025" s="2" t="s">
        <v>9767</v>
      </c>
      <c r="CB2025" s="2" t="s">
        <v>3795</v>
      </c>
      <c r="CC2025" s="2" t="s">
        <v>241</v>
      </c>
      <c r="CD2025" s="2" t="s">
        <v>228</v>
      </c>
      <c r="CE2025" s="4">
        <v>145</v>
      </c>
      <c r="CF2025" s="4"/>
      <c r="CG2025" s="4"/>
      <c r="CH2025" s="4"/>
      <c r="CI2025" s="4"/>
      <c r="CJ2025" s="4"/>
      <c r="CK2025" s="4"/>
      <c r="CL2025" s="4"/>
      <c r="CM2025" s="4"/>
      <c r="CN2025" s="4"/>
      <c r="CO2025" s="4"/>
      <c r="CP2025" s="4"/>
      <c r="CQ2025" s="4"/>
      <c r="CR2025" s="4"/>
      <c r="CS2025" s="4"/>
      <c r="CT2025" s="4"/>
      <c r="CU2025" s="4"/>
      <c r="CV2025" s="4"/>
      <c r="CW2025" s="4"/>
      <c r="CX2025" s="4"/>
      <c r="CY2025" s="4"/>
      <c r="CZ2025" s="4"/>
      <c r="DA2025" s="4"/>
      <c r="DB2025" s="4"/>
      <c r="DC2025" s="4"/>
      <c r="DD2025" s="4"/>
      <c r="DE2025" s="4"/>
      <c r="DF2025" s="4"/>
      <c r="DG2025" s="4"/>
      <c r="DH2025" s="4"/>
      <c r="DI2025" s="4"/>
      <c r="DJ2025" s="4"/>
      <c r="DK2025" s="4"/>
      <c r="DL2025" s="4"/>
      <c r="DM2025" s="4"/>
      <c r="DN2025" s="4"/>
      <c r="DO2025" s="4"/>
      <c r="DP2025" s="4"/>
      <c r="DQ2025" s="4"/>
      <c r="DR2025" s="4"/>
      <c r="DS2025" s="4"/>
      <c r="DT2025" s="4"/>
      <c r="DU2025" s="4"/>
      <c r="DV2025" s="4"/>
      <c r="DW2025" s="4"/>
      <c r="DX2025" s="4"/>
      <c r="DY2025" s="4"/>
      <c r="DZ2025" s="4"/>
      <c r="EA2025" s="4"/>
      <c r="EB2025" s="4"/>
      <c r="EC2025" s="4"/>
      <c r="ED2025" s="4"/>
      <c r="EE2025" s="4"/>
      <c r="EF2025" s="4"/>
      <c r="EG2025" s="4"/>
      <c r="EH2025" s="4"/>
      <c r="EI2025" s="4"/>
      <c r="EJ2025" s="4"/>
      <c r="EK2025" s="4"/>
      <c r="EL2025" s="4"/>
      <c r="EM2025" s="4"/>
      <c r="EN2025" s="4">
        <v>94</v>
      </c>
      <c r="EO2025" s="4"/>
      <c r="EP2025" s="4"/>
      <c r="EQ2025" s="4"/>
      <c r="ER2025" s="4"/>
      <c r="ES2025" s="4"/>
      <c r="ET2025" s="4"/>
      <c r="EU2025" s="4"/>
      <c r="EV2025" s="4"/>
      <c r="EW2025" s="4"/>
      <c r="EX2025" s="4"/>
      <c r="EY2025" s="4"/>
      <c r="EZ2025" s="4"/>
      <c r="FA2025" s="4"/>
      <c r="FB2025" s="4"/>
      <c r="FC2025" s="4"/>
      <c r="FD2025" s="4"/>
      <c r="FE2025" s="4"/>
      <c r="FF2025" s="4"/>
      <c r="FG2025" s="4"/>
      <c r="FH2025" s="4"/>
      <c r="FI2025" s="4"/>
      <c r="FJ2025" s="4"/>
      <c r="FK2025" s="4"/>
      <c r="FL2025" s="4"/>
      <c r="FM2025" s="4"/>
      <c r="FN2025" s="4"/>
      <c r="FO2025" s="4"/>
      <c r="FP2025" s="4"/>
      <c r="FQ2025" s="4"/>
      <c r="FR2025" s="4"/>
      <c r="FS2025" s="4"/>
      <c r="FT2025" s="4"/>
      <c r="FU2025" s="4"/>
      <c r="FV2025" s="4"/>
      <c r="FW2025" s="4"/>
      <c r="FX2025" s="4"/>
      <c r="FY2025" s="4"/>
      <c r="FZ2025" s="4"/>
      <c r="GA2025" s="4"/>
      <c r="GB2025" s="4"/>
      <c r="GC2025" s="4"/>
      <c r="GD2025" s="4"/>
      <c r="GE2025" s="4"/>
      <c r="GF2025" s="4"/>
      <c r="GG2025" s="4"/>
      <c r="GH2025" s="4"/>
      <c r="GI2025" s="4"/>
      <c r="GJ2025" s="4"/>
      <c r="GK2025" s="4"/>
      <c r="GL2025" s="4"/>
      <c r="GM2025" s="4"/>
      <c r="GN2025" s="4"/>
      <c r="GO2025" s="4"/>
      <c r="GP2025" s="4"/>
      <c r="GQ2025" s="4"/>
      <c r="GR2025" s="4"/>
      <c r="GS2025" s="4"/>
      <c r="GT2025" s="4"/>
      <c r="GU2025" s="4"/>
      <c r="GV2025" s="4"/>
      <c r="GW2025" s="4"/>
      <c r="GX2025" s="4"/>
      <c r="GY2025" s="4"/>
      <c r="GZ2025" s="4"/>
      <c r="HA2025" s="4"/>
      <c r="HB2025" s="4"/>
      <c r="HC2025" s="4"/>
      <c r="HD2025" s="4"/>
      <c r="HE2025" s="4"/>
    </row>
    <row r="2026">
      <c r="A2026" s="2" t="s">
        <v>9783</v>
      </c>
      <c r="B2026" s="2" t="s">
        <v>866</v>
      </c>
      <c r="C2026" s="2" t="s">
        <v>300</v>
      </c>
      <c r="D2026" s="2" t="s">
        <v>1880</v>
      </c>
      <c r="E2026" s="2" t="s">
        <v>868</v>
      </c>
      <c r="F2026" s="2" t="s">
        <v>9784</v>
      </c>
      <c r="G2026" s="2" t="s">
        <v>9748</v>
      </c>
      <c r="H2026" s="2" t="s">
        <v>9785</v>
      </c>
      <c r="I2026" s="2" t="s">
        <v>9786</v>
      </c>
      <c r="J2026" s="2" t="s">
        <v>840</v>
      </c>
      <c r="K2026" s="2" t="s">
        <v>1021</v>
      </c>
      <c r="L2026" s="3">
        <v>43.01</v>
      </c>
      <c r="M2026" s="3">
        <v>45.16</v>
      </c>
      <c r="N2026" s="3">
        <v>79.04</v>
      </c>
      <c r="O2026" s="2" t="s">
        <v>240</v>
      </c>
      <c r="P2026" s="2" t="s">
        <v>266</v>
      </c>
      <c r="Q2026" s="2" t="s">
        <v>234</v>
      </c>
      <c r="R2026" s="2" t="s">
        <v>228</v>
      </c>
      <c r="S2026" s="2" t="s">
        <v>9787</v>
      </c>
      <c r="T2026" s="2" t="s">
        <v>228</v>
      </c>
      <c r="U2026" s="2" t="s">
        <v>500</v>
      </c>
      <c r="V2026" s="2" t="s">
        <v>387</v>
      </c>
      <c r="W2026" s="2" t="s">
        <v>463</v>
      </c>
      <c r="X2026" s="2" t="s">
        <v>417</v>
      </c>
      <c r="Y2026" s="2" t="s">
        <v>532</v>
      </c>
      <c r="Z2026" s="4">
        <v>129</v>
      </c>
      <c r="AA2026" s="4">
        <f>=ROUNDDOWN(18.4285714285714,0)</f>
      </c>
      <c r="AB2026" s="5">
        <v>7</v>
      </c>
      <c r="AC2026" s="2" t="s">
        <v>9788</v>
      </c>
      <c r="AD2026" s="4">
        <v>50</v>
      </c>
      <c r="AE2026" s="4">
        <v>100</v>
      </c>
      <c r="AF2026" s="6">
        <v>65</v>
      </c>
      <c r="AG2026" s="6">
        <v>48</v>
      </c>
      <c r="AH2026" s="7">
        <v>1</v>
      </c>
      <c r="AI2026" s="4"/>
      <c r="AJ2026" s="4">
        <f>=ROUNDDOWN({0},0)</f>
      </c>
      <c r="AK2026" s="5"/>
      <c r="AL2026" s="2" t="s">
        <v>228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/>
      <c r="AW2026" s="8"/>
      <c r="AX2026" s="4"/>
      <c r="AY2026" s="8"/>
      <c r="AZ2026" s="7"/>
      <c r="BA2026" s="7"/>
      <c r="BB2026" s="7"/>
      <c r="BC2026" s="4"/>
      <c r="BD2026" s="8"/>
      <c r="BE2026" s="4"/>
      <c r="BF2026" s="8"/>
      <c r="BG2026" s="7"/>
      <c r="BH2026" s="7"/>
      <c r="BI2026" s="7"/>
      <c r="BJ2026" s="4">
        <v>34</v>
      </c>
      <c r="BK2026" s="8">
        <v>1783.79</v>
      </c>
      <c r="BL2026" s="2" t="s">
        <v>9789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9790</v>
      </c>
      <c r="BV2026" s="2" t="s">
        <v>228</v>
      </c>
      <c r="BW2026" s="2" t="s">
        <v>228</v>
      </c>
      <c r="BX2026" s="2" t="s">
        <v>273</v>
      </c>
      <c r="BY2026" s="2" t="s">
        <v>274</v>
      </c>
      <c r="BZ2026" s="2" t="s">
        <v>240</v>
      </c>
      <c r="CA2026" s="2" t="s">
        <v>532</v>
      </c>
      <c r="CB2026" s="2" t="s">
        <v>3550</v>
      </c>
      <c r="CC2026" s="2" t="s">
        <v>241</v>
      </c>
      <c r="CD2026" s="2" t="s">
        <v>228</v>
      </c>
      <c r="CE2026" s="4"/>
      <c r="CF2026" s="4">
        <v>129</v>
      </c>
      <c r="CG2026" s="4"/>
      <c r="CH2026" s="4"/>
      <c r="CI2026" s="4"/>
      <c r="CJ2026" s="4"/>
      <c r="CK2026" s="4"/>
      <c r="CL2026" s="4"/>
      <c r="CM2026" s="4"/>
      <c r="CN2026" s="4"/>
      <c r="CO2026" s="4"/>
      <c r="CP2026" s="4"/>
      <c r="CQ2026" s="4"/>
      <c r="CR2026" s="4"/>
      <c r="CS2026" s="4"/>
      <c r="CT2026" s="4"/>
      <c r="CU2026" s="4"/>
      <c r="CV2026" s="4"/>
      <c r="CW2026" s="4"/>
      <c r="CX2026" s="4"/>
      <c r="CY2026" s="4"/>
      <c r="CZ2026" s="4"/>
      <c r="DA2026" s="4"/>
      <c r="DB2026" s="4"/>
      <c r="DC2026" s="4"/>
      <c r="DD2026" s="4"/>
      <c r="DE2026" s="4"/>
      <c r="DF2026" s="4"/>
      <c r="DG2026" s="4"/>
      <c r="DH2026" s="4"/>
      <c r="DI2026" s="4"/>
      <c r="DJ2026" s="4"/>
      <c r="DK2026" s="4"/>
      <c r="DL2026" s="4"/>
      <c r="DM2026" s="4"/>
      <c r="DN2026" s="4"/>
      <c r="DO2026" s="4"/>
      <c r="DP2026" s="4"/>
      <c r="DQ2026" s="4"/>
      <c r="DR2026" s="4"/>
      <c r="DS2026" s="4"/>
      <c r="DT2026" s="4"/>
      <c r="DU2026" s="4"/>
      <c r="DV2026" s="4"/>
      <c r="DW2026" s="4"/>
      <c r="DX2026" s="4"/>
      <c r="DY2026" s="4"/>
      <c r="DZ2026" s="4"/>
      <c r="EA2026" s="4"/>
      <c r="EB2026" s="4"/>
      <c r="EC2026" s="4"/>
      <c r="ED2026" s="4"/>
      <c r="EE2026" s="4"/>
      <c r="EF2026" s="4"/>
      <c r="EG2026" s="4"/>
      <c r="EH2026" s="4"/>
      <c r="EI2026" s="4"/>
      <c r="EJ2026" s="4"/>
      <c r="EK2026" s="4"/>
      <c r="EL2026" s="4"/>
      <c r="EM2026" s="4"/>
      <c r="EN2026" s="4"/>
      <c r="EO2026" s="4"/>
      <c r="EP2026" s="4"/>
      <c r="EQ2026" s="4"/>
      <c r="ER2026" s="4"/>
      <c r="ES2026" s="4"/>
      <c r="ET2026" s="4"/>
      <c r="EU2026" s="4"/>
      <c r="EV2026" s="4"/>
      <c r="EW2026" s="4"/>
      <c r="EX2026" s="4"/>
      <c r="EY2026" s="4"/>
      <c r="EZ2026" s="4"/>
      <c r="FA2026" s="4"/>
      <c r="FB2026" s="4"/>
      <c r="FC2026" s="4"/>
      <c r="FD2026" s="4"/>
      <c r="FE2026" s="4"/>
      <c r="FF2026" s="4"/>
      <c r="FG2026" s="4"/>
      <c r="FH2026" s="4"/>
      <c r="FI2026" s="4"/>
      <c r="FJ2026" s="4"/>
      <c r="FK2026" s="4"/>
      <c r="FL2026" s="4"/>
      <c r="FM2026" s="4">
        <v>50</v>
      </c>
      <c r="FN2026" s="4"/>
      <c r="FO2026" s="4"/>
      <c r="FP2026" s="4"/>
      <c r="FQ2026" s="4"/>
      <c r="FR2026" s="4"/>
      <c r="FS2026" s="4"/>
      <c r="FT2026" s="4"/>
      <c r="FU2026" s="4"/>
      <c r="FV2026" s="4"/>
      <c r="FW2026" s="4"/>
      <c r="FX2026" s="4"/>
      <c r="FY2026" s="4"/>
      <c r="FZ2026" s="4"/>
      <c r="GA2026" s="4"/>
      <c r="GB2026" s="4">
        <v>50</v>
      </c>
      <c r="GC2026" s="4"/>
      <c r="GD2026" s="4"/>
      <c r="GE2026" s="4"/>
      <c r="GF2026" s="4"/>
      <c r="GG2026" s="4"/>
      <c r="GH2026" s="4"/>
      <c r="GI2026" s="4"/>
      <c r="GJ2026" s="4"/>
      <c r="GK2026" s="4"/>
      <c r="GL2026" s="4"/>
      <c r="GM2026" s="4"/>
      <c r="GN2026" s="4"/>
      <c r="GO2026" s="4"/>
      <c r="GP2026" s="4"/>
      <c r="GQ2026" s="4"/>
      <c r="GR2026" s="4"/>
      <c r="GS2026" s="4"/>
      <c r="GT2026" s="4"/>
      <c r="GU2026" s="4"/>
      <c r="GV2026" s="4"/>
      <c r="GW2026" s="4"/>
      <c r="GX2026" s="4"/>
      <c r="GY2026" s="4"/>
      <c r="GZ2026" s="4"/>
      <c r="HA2026" s="4"/>
      <c r="HB2026" s="4"/>
      <c r="HC2026" s="4"/>
      <c r="HD2026" s="4"/>
      <c r="HE2026" s="4"/>
    </row>
    <row r="2027">
      <c r="A2027" s="2" t="s">
        <v>9791</v>
      </c>
      <c r="B2027" s="2" t="s">
        <v>848</v>
      </c>
      <c r="C2027" s="2" t="s">
        <v>1037</v>
      </c>
      <c r="D2027" s="2" t="s">
        <v>1112</v>
      </c>
      <c r="E2027" s="2" t="s">
        <v>1113</v>
      </c>
      <c r="F2027" s="2" t="s">
        <v>9792</v>
      </c>
      <c r="G2027" s="2" t="s">
        <v>9793</v>
      </c>
      <c r="H2027" s="2" t="s">
        <v>9794</v>
      </c>
      <c r="I2027" s="2" t="s">
        <v>9795</v>
      </c>
      <c r="J2027" s="2" t="s">
        <v>856</v>
      </c>
      <c r="K2027" s="2" t="s">
        <v>265</v>
      </c>
      <c r="L2027" s="3">
        <v>28.57</v>
      </c>
      <c r="M2027" s="3">
        <v>30</v>
      </c>
      <c r="N2027" s="3">
        <v>59.99</v>
      </c>
      <c r="O2027" s="2" t="s">
        <v>240</v>
      </c>
      <c r="P2027" s="2" t="s">
        <v>1012</v>
      </c>
      <c r="Q2027" s="2" t="s">
        <v>234</v>
      </c>
      <c r="R2027" s="2" t="s">
        <v>228</v>
      </c>
      <c r="S2027" s="2" t="s">
        <v>9796</v>
      </c>
      <c r="T2027" s="2" t="s">
        <v>1414</v>
      </c>
      <c r="U2027" s="2" t="s">
        <v>520</v>
      </c>
      <c r="V2027" s="2" t="s">
        <v>374</v>
      </c>
      <c r="W2027" s="2" t="s">
        <v>417</v>
      </c>
      <c r="X2027" s="2" t="s">
        <v>269</v>
      </c>
      <c r="Y2027" s="2" t="s">
        <v>1757</v>
      </c>
      <c r="Z2027" s="4"/>
      <c r="AA2027" s="4">
        <f>=ROUNDDOWN({0},0)</f>
      </c>
      <c r="AB2027" s="5">
        <v>5.3</v>
      </c>
      <c r="AC2027" s="2" t="s">
        <v>228</v>
      </c>
      <c r="AD2027" s="4"/>
      <c r="AE2027" s="4"/>
      <c r="AF2027" s="6">
        <v>65</v>
      </c>
      <c r="AG2027" s="6"/>
      <c r="AH2027" s="7">
        <v>0.2258</v>
      </c>
      <c r="AI2027" s="4"/>
      <c r="AJ2027" s="4">
        <f>=ROUNDDOWN({0},0)</f>
      </c>
      <c r="AK2027" s="5"/>
      <c r="AL2027" s="2" t="s">
        <v>228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 t="s">
        <v>228</v>
      </c>
      <c r="AW2027" s="8" t="s">
        <v>228</v>
      </c>
      <c r="AX2027" s="4" t="s">
        <v>228</v>
      </c>
      <c r="AY2027" s="8" t="s">
        <v>228</v>
      </c>
      <c r="AZ2027" s="7" t="s">
        <v>228</v>
      </c>
      <c r="BA2027" s="7" t="s">
        <v>228</v>
      </c>
      <c r="BB2027" s="7"/>
      <c r="BC2027" s="4" t="s">
        <v>228</v>
      </c>
      <c r="BD2027" s="8" t="s">
        <v>228</v>
      </c>
      <c r="BE2027" s="4" t="s">
        <v>228</v>
      </c>
      <c r="BF2027" s="8" t="s">
        <v>228</v>
      </c>
      <c r="BG2027" s="7" t="s">
        <v>228</v>
      </c>
      <c r="BH2027" s="7" t="s">
        <v>228</v>
      </c>
      <c r="BI2027" s="7"/>
      <c r="BJ2027" s="4">
        <v>13</v>
      </c>
      <c r="BK2027" s="8">
        <v>420.32</v>
      </c>
      <c r="BL2027" s="2" t="s">
        <v>3816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9797</v>
      </c>
      <c r="BV2027" s="2" t="s">
        <v>228</v>
      </c>
      <c r="BW2027" s="2" t="s">
        <v>228</v>
      </c>
      <c r="BX2027" s="2" t="s">
        <v>273</v>
      </c>
      <c r="BY2027" s="2" t="s">
        <v>274</v>
      </c>
      <c r="BZ2027" s="2" t="s">
        <v>240</v>
      </c>
      <c r="CA2027" s="2" t="s">
        <v>9798</v>
      </c>
      <c r="CB2027" s="2" t="s">
        <v>2540</v>
      </c>
      <c r="CC2027" s="2" t="s">
        <v>241</v>
      </c>
      <c r="CD2027" s="2" t="s">
        <v>228</v>
      </c>
      <c r="CE2027" s="4"/>
      <c r="CF2027" s="4"/>
      <c r="CG2027" s="4"/>
      <c r="CH2027" s="4"/>
      <c r="CI2027" s="4"/>
      <c r="CJ2027" s="4"/>
      <c r="CK2027" s="4"/>
      <c r="CL2027" s="4"/>
      <c r="CM2027" s="4"/>
      <c r="CN2027" s="4"/>
      <c r="CO2027" s="4"/>
      <c r="CP2027" s="4"/>
      <c r="CQ2027" s="4"/>
      <c r="CR2027" s="4"/>
      <c r="CS2027" s="4"/>
      <c r="CT2027" s="4"/>
      <c r="CU2027" s="4"/>
      <c r="CV2027" s="4"/>
      <c r="CW2027" s="4"/>
      <c r="CX2027" s="4"/>
      <c r="CY2027" s="4"/>
      <c r="CZ2027" s="4"/>
      <c r="DA2027" s="4"/>
      <c r="DB2027" s="4"/>
      <c r="DC2027" s="4"/>
      <c r="DD2027" s="4"/>
      <c r="DE2027" s="4"/>
      <c r="DF2027" s="4"/>
      <c r="DG2027" s="4"/>
      <c r="DH2027" s="4"/>
      <c r="DI2027" s="4"/>
      <c r="DJ2027" s="4"/>
      <c r="DK2027" s="4"/>
      <c r="DL2027" s="4"/>
      <c r="DM2027" s="4"/>
      <c r="DN2027" s="4"/>
      <c r="DO2027" s="4"/>
      <c r="DP2027" s="4"/>
      <c r="DQ2027" s="4"/>
      <c r="DR2027" s="4"/>
      <c r="DS2027" s="4"/>
      <c r="DT2027" s="4"/>
      <c r="DU2027" s="4"/>
      <c r="DV2027" s="4"/>
      <c r="DW2027" s="4"/>
      <c r="DX2027" s="4"/>
      <c r="DY2027" s="4"/>
      <c r="DZ2027" s="4"/>
      <c r="EA2027" s="4"/>
      <c r="EB2027" s="4"/>
      <c r="EC2027" s="4"/>
      <c r="ED2027" s="4"/>
      <c r="EE2027" s="4"/>
      <c r="EF2027" s="4"/>
      <c r="EG2027" s="4"/>
      <c r="EH2027" s="4"/>
      <c r="EI2027" s="4"/>
      <c r="EJ2027" s="4"/>
      <c r="EK2027" s="4"/>
      <c r="EL2027" s="4"/>
      <c r="EM2027" s="4"/>
      <c r="EN2027" s="4"/>
      <c r="EO2027" s="4"/>
      <c r="EP2027" s="4"/>
      <c r="EQ2027" s="4"/>
      <c r="ER2027" s="4"/>
      <c r="ES2027" s="4"/>
      <c r="ET2027" s="4"/>
      <c r="EU2027" s="4"/>
      <c r="EV2027" s="4"/>
      <c r="EW2027" s="4"/>
      <c r="EX2027" s="4"/>
      <c r="EY2027" s="4"/>
      <c r="EZ2027" s="4"/>
      <c r="FA2027" s="4"/>
      <c r="FB2027" s="4"/>
      <c r="FC2027" s="4"/>
      <c r="FD2027" s="4"/>
      <c r="FE2027" s="4"/>
      <c r="FF2027" s="4"/>
      <c r="FG2027" s="4"/>
      <c r="FH2027" s="4"/>
      <c r="FI2027" s="4"/>
      <c r="FJ2027" s="4"/>
      <c r="FK2027" s="4"/>
      <c r="FL2027" s="4"/>
      <c r="FM2027" s="4"/>
      <c r="FN2027" s="4"/>
      <c r="FO2027" s="4"/>
      <c r="FP2027" s="4"/>
      <c r="FQ2027" s="4"/>
      <c r="FR2027" s="4"/>
      <c r="FS2027" s="4"/>
      <c r="FT2027" s="4"/>
      <c r="FU2027" s="4"/>
      <c r="FV2027" s="4"/>
      <c r="FW2027" s="4"/>
      <c r="FX2027" s="4"/>
      <c r="FY2027" s="4"/>
      <c r="FZ2027" s="4"/>
      <c r="GA2027" s="4"/>
      <c r="GB2027" s="4"/>
      <c r="GC2027" s="4"/>
      <c r="GD2027" s="4"/>
      <c r="GE2027" s="4"/>
      <c r="GF2027" s="4"/>
      <c r="GG2027" s="4"/>
      <c r="GH2027" s="4"/>
      <c r="GI2027" s="4"/>
      <c r="GJ2027" s="4"/>
      <c r="GK2027" s="4"/>
      <c r="GL2027" s="4"/>
      <c r="GM2027" s="4"/>
      <c r="GN2027" s="4"/>
      <c r="GO2027" s="4"/>
      <c r="GP2027" s="4"/>
      <c r="GQ2027" s="4"/>
      <c r="GR2027" s="4"/>
      <c r="GS2027" s="4"/>
      <c r="GT2027" s="4"/>
      <c r="GU2027" s="4"/>
      <c r="GV2027" s="4"/>
      <c r="GW2027" s="4"/>
      <c r="GX2027" s="4"/>
      <c r="GY2027" s="4"/>
      <c r="GZ2027" s="4"/>
      <c r="HA2027" s="4"/>
      <c r="HB2027" s="4"/>
      <c r="HC2027" s="4"/>
      <c r="HD2027" s="4"/>
      <c r="HE2027" s="4"/>
    </row>
    <row r="2028">
      <c r="A2028" s="2" t="s">
        <v>9799</v>
      </c>
      <c r="B2028" s="2" t="s">
        <v>848</v>
      </c>
      <c r="C2028" s="2" t="s">
        <v>1037</v>
      </c>
      <c r="D2028" s="2" t="s">
        <v>850</v>
      </c>
      <c r="E2028" s="2" t="s">
        <v>1038</v>
      </c>
      <c r="F2028" s="2" t="s">
        <v>9792</v>
      </c>
      <c r="G2028" s="2" t="s">
        <v>9793</v>
      </c>
      <c r="H2028" s="2" t="s">
        <v>9794</v>
      </c>
      <c r="I2028" s="2" t="s">
        <v>9800</v>
      </c>
      <c r="J2028" s="2" t="s">
        <v>1189</v>
      </c>
      <c r="K2028" s="2" t="s">
        <v>265</v>
      </c>
      <c r="L2028" s="3">
        <v>23.8</v>
      </c>
      <c r="M2028" s="3">
        <v>24.99</v>
      </c>
      <c r="N2028" s="3">
        <v>49.99</v>
      </c>
      <c r="O2028" s="2" t="s">
        <v>240</v>
      </c>
      <c r="P2028" s="2" t="s">
        <v>1012</v>
      </c>
      <c r="Q2028" s="2" t="s">
        <v>234</v>
      </c>
      <c r="R2028" s="2" t="s">
        <v>228</v>
      </c>
      <c r="S2028" s="2" t="s">
        <v>9796</v>
      </c>
      <c r="T2028" s="2" t="s">
        <v>1414</v>
      </c>
      <c r="U2028" s="2" t="s">
        <v>500</v>
      </c>
      <c r="V2028" s="2" t="s">
        <v>374</v>
      </c>
      <c r="W2028" s="2" t="s">
        <v>417</v>
      </c>
      <c r="X2028" s="2" t="s">
        <v>269</v>
      </c>
      <c r="Y2028" s="2" t="s">
        <v>1757</v>
      </c>
      <c r="Z2028" s="4">
        <v>43</v>
      </c>
      <c r="AA2028" s="4">
        <f>=ROUNDDOWN(13.8709677419355,0)</f>
      </c>
      <c r="AB2028" s="5">
        <v>3.1</v>
      </c>
      <c r="AC2028" s="2" t="s">
        <v>228</v>
      </c>
      <c r="AD2028" s="4"/>
      <c r="AE2028" s="4"/>
      <c r="AF2028" s="6">
        <v>65</v>
      </c>
      <c r="AG2028" s="6"/>
      <c r="AH2028" s="7">
        <v>1</v>
      </c>
      <c r="AI2028" s="4"/>
      <c r="AJ2028" s="4">
        <f>=ROUNDDOWN({0},0)</f>
      </c>
      <c r="AK2028" s="5"/>
      <c r="AL2028" s="2" t="s">
        <v>228</v>
      </c>
      <c r="AM2028" s="4"/>
      <c r="AN2028" s="4"/>
      <c r="AO2028" s="7"/>
      <c r="AP2028" s="4"/>
      <c r="AQ2028" s="8"/>
      <c r="AR2028" s="4"/>
      <c r="AS2028" s="8"/>
      <c r="AT2028" s="7"/>
      <c r="AU2028" s="7"/>
      <c r="AV2028" s="4" t="s">
        <v>228</v>
      </c>
      <c r="AW2028" s="8" t="s">
        <v>228</v>
      </c>
      <c r="AX2028" s="4" t="s">
        <v>228</v>
      </c>
      <c r="AY2028" s="8" t="s">
        <v>228</v>
      </c>
      <c r="AZ2028" s="7" t="s">
        <v>228</v>
      </c>
      <c r="BA2028" s="7" t="s">
        <v>228</v>
      </c>
      <c r="BB2028" s="7"/>
      <c r="BC2028" s="4" t="s">
        <v>228</v>
      </c>
      <c r="BD2028" s="8" t="s">
        <v>228</v>
      </c>
      <c r="BE2028" s="4" t="s">
        <v>228</v>
      </c>
      <c r="BF2028" s="8" t="s">
        <v>228</v>
      </c>
      <c r="BG2028" s="7" t="s">
        <v>228</v>
      </c>
      <c r="BH2028" s="7" t="s">
        <v>228</v>
      </c>
      <c r="BI2028" s="7"/>
      <c r="BJ2028" s="4">
        <v>13</v>
      </c>
      <c r="BK2028" s="8">
        <v>352.02</v>
      </c>
      <c r="BL2028" s="2" t="s">
        <v>3165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9801</v>
      </c>
      <c r="BV2028" s="2" t="s">
        <v>228</v>
      </c>
      <c r="BW2028" s="2" t="s">
        <v>228</v>
      </c>
      <c r="BX2028" s="2" t="s">
        <v>273</v>
      </c>
      <c r="BY2028" s="2" t="s">
        <v>274</v>
      </c>
      <c r="BZ2028" s="2" t="s">
        <v>240</v>
      </c>
      <c r="CA2028" s="2" t="s">
        <v>9798</v>
      </c>
      <c r="CB2028" s="2" t="s">
        <v>9802</v>
      </c>
      <c r="CC2028" s="2" t="s">
        <v>241</v>
      </c>
      <c r="CD2028" s="2" t="s">
        <v>228</v>
      </c>
      <c r="CE2028" s="4">
        <v>43</v>
      </c>
      <c r="CF2028" s="4"/>
      <c r="CG2028" s="4"/>
      <c r="CH2028" s="4"/>
      <c r="CI2028" s="4"/>
      <c r="CJ2028" s="4"/>
      <c r="CK2028" s="4"/>
      <c r="CL2028" s="4"/>
      <c r="CM2028" s="4"/>
      <c r="CN2028" s="4"/>
      <c r="CO2028" s="4"/>
      <c r="CP2028" s="4"/>
      <c r="CQ2028" s="4"/>
      <c r="CR2028" s="4"/>
      <c r="CS2028" s="4"/>
      <c r="CT2028" s="4"/>
      <c r="CU2028" s="4"/>
      <c r="CV2028" s="4"/>
      <c r="CW2028" s="4"/>
      <c r="CX2028" s="4"/>
      <c r="CY2028" s="4"/>
      <c r="CZ2028" s="4"/>
      <c r="DA2028" s="4"/>
      <c r="DB2028" s="4"/>
      <c r="DC2028" s="4"/>
      <c r="DD2028" s="4"/>
      <c r="DE2028" s="4"/>
      <c r="DF2028" s="4"/>
      <c r="DG2028" s="4"/>
      <c r="DH2028" s="4"/>
      <c r="DI2028" s="4"/>
      <c r="DJ2028" s="4"/>
      <c r="DK2028" s="4"/>
      <c r="DL2028" s="4"/>
      <c r="DM2028" s="4"/>
      <c r="DN2028" s="4"/>
      <c r="DO2028" s="4"/>
      <c r="DP2028" s="4"/>
      <c r="DQ2028" s="4"/>
      <c r="DR2028" s="4"/>
      <c r="DS2028" s="4"/>
      <c r="DT2028" s="4"/>
      <c r="DU2028" s="4"/>
      <c r="DV2028" s="4"/>
      <c r="DW2028" s="4"/>
      <c r="DX2028" s="4"/>
      <c r="DY2028" s="4"/>
      <c r="DZ2028" s="4"/>
      <c r="EA2028" s="4"/>
      <c r="EB2028" s="4"/>
      <c r="EC2028" s="4"/>
      <c r="ED2028" s="4"/>
      <c r="EE2028" s="4"/>
      <c r="EF2028" s="4"/>
      <c r="EG2028" s="4"/>
      <c r="EH2028" s="4"/>
      <c r="EI2028" s="4"/>
      <c r="EJ2028" s="4"/>
      <c r="EK2028" s="4"/>
      <c r="EL2028" s="4"/>
      <c r="EM2028" s="4"/>
      <c r="EN2028" s="4"/>
      <c r="EO2028" s="4"/>
      <c r="EP2028" s="4"/>
      <c r="EQ2028" s="4"/>
      <c r="ER2028" s="4"/>
      <c r="ES2028" s="4"/>
      <c r="ET2028" s="4"/>
      <c r="EU2028" s="4"/>
      <c r="EV2028" s="4"/>
      <c r="EW2028" s="4"/>
      <c r="EX2028" s="4"/>
      <c r="EY2028" s="4"/>
      <c r="EZ2028" s="4"/>
      <c r="FA2028" s="4"/>
      <c r="FB2028" s="4"/>
      <c r="FC2028" s="4"/>
      <c r="FD2028" s="4"/>
      <c r="FE2028" s="4"/>
      <c r="FF2028" s="4"/>
      <c r="FG2028" s="4"/>
      <c r="FH2028" s="4"/>
      <c r="FI2028" s="4"/>
      <c r="FJ2028" s="4"/>
      <c r="FK2028" s="4"/>
      <c r="FL2028" s="4"/>
      <c r="FM2028" s="4"/>
      <c r="FN2028" s="4"/>
      <c r="FO2028" s="4"/>
      <c r="FP2028" s="4"/>
      <c r="FQ2028" s="4"/>
      <c r="FR2028" s="4"/>
      <c r="FS2028" s="4"/>
      <c r="FT2028" s="4"/>
      <c r="FU2028" s="4"/>
      <c r="FV2028" s="4"/>
      <c r="FW2028" s="4"/>
      <c r="FX2028" s="4"/>
      <c r="FY2028" s="4"/>
      <c r="FZ2028" s="4"/>
      <c r="GA2028" s="4"/>
      <c r="GB2028" s="4"/>
      <c r="GC2028" s="4"/>
      <c r="GD2028" s="4"/>
      <c r="GE2028" s="4"/>
      <c r="GF2028" s="4"/>
      <c r="GG2028" s="4"/>
      <c r="GH2028" s="4"/>
      <c r="GI2028" s="4"/>
      <c r="GJ2028" s="4"/>
      <c r="GK2028" s="4"/>
      <c r="GL2028" s="4"/>
      <c r="GM2028" s="4"/>
      <c r="GN2028" s="4"/>
      <c r="GO2028" s="4"/>
      <c r="GP2028" s="4"/>
      <c r="GQ2028" s="4"/>
      <c r="GR2028" s="4"/>
      <c r="GS2028" s="4"/>
      <c r="GT2028" s="4"/>
      <c r="GU2028" s="4"/>
      <c r="GV2028" s="4"/>
      <c r="GW2028" s="4"/>
      <c r="GX2028" s="4"/>
      <c r="GY2028" s="4"/>
      <c r="GZ2028" s="4"/>
      <c r="HA2028" s="4"/>
      <c r="HB2028" s="4"/>
      <c r="HC2028" s="4"/>
      <c r="HD2028" s="4"/>
      <c r="HE2028" s="4"/>
    </row>
    <row r="2029">
      <c r="A2029" s="2" t="s">
        <v>9803</v>
      </c>
      <c r="B2029" s="2" t="s">
        <v>848</v>
      </c>
      <c r="C2029" s="2" t="s">
        <v>1037</v>
      </c>
      <c r="D2029" s="2" t="s">
        <v>850</v>
      </c>
      <c r="E2029" s="2" t="s">
        <v>1038</v>
      </c>
      <c r="F2029" s="2" t="s">
        <v>9792</v>
      </c>
      <c r="G2029" s="2" t="s">
        <v>9793</v>
      </c>
      <c r="H2029" s="2" t="s">
        <v>9794</v>
      </c>
      <c r="I2029" s="2" t="s">
        <v>9800</v>
      </c>
      <c r="J2029" s="2" t="s">
        <v>1043</v>
      </c>
      <c r="K2029" s="2" t="s">
        <v>265</v>
      </c>
      <c r="L2029" s="3">
        <v>28.57</v>
      </c>
      <c r="M2029" s="3">
        <v>30</v>
      </c>
      <c r="N2029" s="3">
        <v>59.99</v>
      </c>
      <c r="O2029" s="2" t="s">
        <v>240</v>
      </c>
      <c r="P2029" s="2" t="s">
        <v>1012</v>
      </c>
      <c r="Q2029" s="2" t="s">
        <v>234</v>
      </c>
      <c r="R2029" s="2" t="s">
        <v>228</v>
      </c>
      <c r="S2029" s="2" t="s">
        <v>9796</v>
      </c>
      <c r="T2029" s="2" t="s">
        <v>1414</v>
      </c>
      <c r="U2029" s="2" t="s">
        <v>500</v>
      </c>
      <c r="V2029" s="2" t="s">
        <v>374</v>
      </c>
      <c r="W2029" s="2" t="s">
        <v>417</v>
      </c>
      <c r="X2029" s="2" t="s">
        <v>269</v>
      </c>
      <c r="Y2029" s="2" t="s">
        <v>2428</v>
      </c>
      <c r="Z2029" s="4">
        <v>63</v>
      </c>
      <c r="AA2029" s="4">
        <f>=ROUNDDOWN(31.5,0)</f>
      </c>
      <c r="AB2029" s="5">
        <v>2</v>
      </c>
      <c r="AC2029" s="2" t="s">
        <v>228</v>
      </c>
      <c r="AD2029" s="4"/>
      <c r="AE2029" s="4"/>
      <c r="AF2029" s="6">
        <v>65</v>
      </c>
      <c r="AG2029" s="6"/>
      <c r="AH2029" s="7">
        <v>1</v>
      </c>
      <c r="AI2029" s="4"/>
      <c r="AJ2029" s="4">
        <f>=ROUNDDOWN({0},0)</f>
      </c>
      <c r="AK2029" s="5"/>
      <c r="AL2029" s="2" t="s">
        <v>228</v>
      </c>
      <c r="AM2029" s="4"/>
      <c r="AN2029" s="4"/>
      <c r="AO2029" s="7"/>
      <c r="AP2029" s="4"/>
      <c r="AQ2029" s="8"/>
      <c r="AR2029" s="4"/>
      <c r="AS2029" s="8"/>
      <c r="AT2029" s="7"/>
      <c r="AU2029" s="7"/>
      <c r="AV2029" s="4" t="s">
        <v>228</v>
      </c>
      <c r="AW2029" s="8" t="s">
        <v>228</v>
      </c>
      <c r="AX2029" s="4" t="s">
        <v>228</v>
      </c>
      <c r="AY2029" s="8" t="s">
        <v>228</v>
      </c>
      <c r="AZ2029" s="7" t="s">
        <v>228</v>
      </c>
      <c r="BA2029" s="7" t="s">
        <v>228</v>
      </c>
      <c r="BB2029" s="7"/>
      <c r="BC2029" s="4" t="s">
        <v>228</v>
      </c>
      <c r="BD2029" s="8" t="s">
        <v>228</v>
      </c>
      <c r="BE2029" s="4" t="s">
        <v>228</v>
      </c>
      <c r="BF2029" s="8" t="s">
        <v>228</v>
      </c>
      <c r="BG2029" s="7" t="s">
        <v>228</v>
      </c>
      <c r="BH2029" s="7" t="s">
        <v>228</v>
      </c>
      <c r="BI2029" s="7"/>
      <c r="BJ2029" s="4">
        <v>2</v>
      </c>
      <c r="BK2029" s="8">
        <v>63.9</v>
      </c>
      <c r="BL2029" s="2" t="s">
        <v>2507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9804</v>
      </c>
      <c r="BV2029" s="2" t="s">
        <v>228</v>
      </c>
      <c r="BW2029" s="2" t="s">
        <v>228</v>
      </c>
      <c r="BX2029" s="2" t="s">
        <v>273</v>
      </c>
      <c r="BY2029" s="2" t="s">
        <v>274</v>
      </c>
      <c r="BZ2029" s="2" t="s">
        <v>240</v>
      </c>
      <c r="CA2029" s="2" t="s">
        <v>9798</v>
      </c>
      <c r="CB2029" s="2" t="s">
        <v>4598</v>
      </c>
      <c r="CC2029" s="2" t="s">
        <v>241</v>
      </c>
      <c r="CD2029" s="2" t="s">
        <v>228</v>
      </c>
      <c r="CE2029" s="4">
        <v>63</v>
      </c>
      <c r="CF2029" s="4"/>
      <c r="CG2029" s="4"/>
      <c r="CH2029" s="4"/>
      <c r="CI2029" s="4"/>
      <c r="CJ2029" s="4"/>
      <c r="CK2029" s="4"/>
      <c r="CL2029" s="4"/>
      <c r="CM2029" s="4"/>
      <c r="CN2029" s="4"/>
      <c r="CO2029" s="4"/>
      <c r="CP2029" s="4"/>
      <c r="CQ2029" s="4"/>
      <c r="CR2029" s="4"/>
      <c r="CS2029" s="4"/>
      <c r="CT2029" s="4"/>
      <c r="CU2029" s="4"/>
      <c r="CV2029" s="4"/>
      <c r="CW2029" s="4"/>
      <c r="CX2029" s="4"/>
      <c r="CY2029" s="4"/>
      <c r="CZ2029" s="4"/>
      <c r="DA2029" s="4"/>
      <c r="DB2029" s="4"/>
      <c r="DC2029" s="4"/>
      <c r="DD2029" s="4"/>
      <c r="DE2029" s="4"/>
      <c r="DF2029" s="4"/>
      <c r="DG2029" s="4"/>
      <c r="DH2029" s="4"/>
      <c r="DI2029" s="4"/>
      <c r="DJ2029" s="4"/>
      <c r="DK2029" s="4"/>
      <c r="DL2029" s="4"/>
      <c r="DM2029" s="4"/>
      <c r="DN2029" s="4"/>
      <c r="DO2029" s="4"/>
      <c r="DP2029" s="4"/>
      <c r="DQ2029" s="4"/>
      <c r="DR2029" s="4"/>
      <c r="DS2029" s="4"/>
      <c r="DT2029" s="4"/>
      <c r="DU2029" s="4"/>
      <c r="DV2029" s="4"/>
      <c r="DW2029" s="4"/>
      <c r="DX2029" s="4"/>
      <c r="DY2029" s="4"/>
      <c r="DZ2029" s="4"/>
      <c r="EA2029" s="4"/>
      <c r="EB2029" s="4"/>
      <c r="EC2029" s="4"/>
      <c r="ED2029" s="4"/>
      <c r="EE2029" s="4"/>
      <c r="EF2029" s="4"/>
      <c r="EG2029" s="4"/>
      <c r="EH2029" s="4"/>
      <c r="EI2029" s="4"/>
      <c r="EJ2029" s="4"/>
      <c r="EK2029" s="4"/>
      <c r="EL2029" s="4"/>
      <c r="EM2029" s="4"/>
      <c r="EN2029" s="4"/>
      <c r="EO2029" s="4"/>
      <c r="EP2029" s="4"/>
      <c r="EQ2029" s="4"/>
      <c r="ER2029" s="4"/>
      <c r="ES2029" s="4"/>
      <c r="ET2029" s="4"/>
      <c r="EU2029" s="4"/>
      <c r="EV2029" s="4"/>
      <c r="EW2029" s="4"/>
      <c r="EX2029" s="4"/>
      <c r="EY2029" s="4"/>
      <c r="EZ2029" s="4"/>
      <c r="FA2029" s="4"/>
      <c r="FB2029" s="4"/>
      <c r="FC2029" s="4"/>
      <c r="FD2029" s="4"/>
      <c r="FE2029" s="4"/>
      <c r="FF2029" s="4"/>
      <c r="FG2029" s="4"/>
      <c r="FH2029" s="4"/>
      <c r="FI2029" s="4"/>
      <c r="FJ2029" s="4"/>
      <c r="FK2029" s="4"/>
      <c r="FL2029" s="4"/>
      <c r="FM2029" s="4"/>
      <c r="FN2029" s="4"/>
      <c r="FO2029" s="4"/>
      <c r="FP2029" s="4"/>
      <c r="FQ2029" s="4"/>
      <c r="FR2029" s="4"/>
      <c r="FS2029" s="4"/>
      <c r="FT2029" s="4"/>
      <c r="FU2029" s="4"/>
      <c r="FV2029" s="4"/>
      <c r="FW2029" s="4"/>
      <c r="FX2029" s="4"/>
      <c r="FY2029" s="4"/>
      <c r="FZ2029" s="4"/>
      <c r="GA2029" s="4"/>
      <c r="GB2029" s="4"/>
      <c r="GC2029" s="4"/>
      <c r="GD2029" s="4"/>
      <c r="GE2029" s="4"/>
      <c r="GF2029" s="4"/>
      <c r="GG2029" s="4"/>
      <c r="GH2029" s="4"/>
      <c r="GI2029" s="4"/>
      <c r="GJ2029" s="4"/>
      <c r="GK2029" s="4"/>
      <c r="GL2029" s="4"/>
      <c r="GM2029" s="4"/>
      <c r="GN2029" s="4"/>
      <c r="GO2029" s="4"/>
      <c r="GP2029" s="4"/>
      <c r="GQ2029" s="4"/>
      <c r="GR2029" s="4"/>
      <c r="GS2029" s="4"/>
      <c r="GT2029" s="4"/>
      <c r="GU2029" s="4"/>
      <c r="GV2029" s="4"/>
      <c r="GW2029" s="4"/>
      <c r="GX2029" s="4"/>
      <c r="GY2029" s="4"/>
      <c r="GZ2029" s="4"/>
      <c r="HA2029" s="4"/>
      <c r="HB2029" s="4"/>
      <c r="HC2029" s="4"/>
      <c r="HD2029" s="4"/>
      <c r="HE2029" s="4"/>
    </row>
    <row r="2030">
      <c r="A2030" s="2" t="s">
        <v>9805</v>
      </c>
      <c r="B2030" s="2" t="s">
        <v>223</v>
      </c>
      <c r="C2030" s="2" t="s">
        <v>300</v>
      </c>
      <c r="D2030" s="2" t="s">
        <v>1601</v>
      </c>
      <c r="E2030" s="2" t="s">
        <v>2421</v>
      </c>
      <c r="F2030" s="2" t="s">
        <v>9792</v>
      </c>
      <c r="G2030" s="2" t="s">
        <v>4864</v>
      </c>
      <c r="H2030" s="2" t="s">
        <v>4864</v>
      </c>
      <c r="I2030" s="2" t="s">
        <v>9806</v>
      </c>
      <c r="J2030" s="2" t="s">
        <v>1412</v>
      </c>
      <c r="K2030" s="2" t="s">
        <v>1421</v>
      </c>
      <c r="L2030" s="3">
        <v>23.8</v>
      </c>
      <c r="M2030" s="3">
        <v>24.99</v>
      </c>
      <c r="N2030" s="3">
        <v>49.99</v>
      </c>
      <c r="O2030" s="2" t="s">
        <v>240</v>
      </c>
      <c r="P2030" s="2" t="s">
        <v>266</v>
      </c>
      <c r="Q2030" s="2" t="s">
        <v>234</v>
      </c>
      <c r="R2030" s="2" t="s">
        <v>228</v>
      </c>
      <c r="S2030" s="2" t="s">
        <v>9807</v>
      </c>
      <c r="T2030" s="2" t="s">
        <v>228</v>
      </c>
      <c r="U2030" s="2" t="s">
        <v>416</v>
      </c>
      <c r="V2030" s="2" t="s">
        <v>236</v>
      </c>
      <c r="W2030" s="2" t="s">
        <v>269</v>
      </c>
      <c r="X2030" s="2" t="s">
        <v>228</v>
      </c>
      <c r="Y2030" s="2" t="s">
        <v>514</v>
      </c>
      <c r="Z2030" s="4">
        <v>319</v>
      </c>
      <c r="AA2030" s="4">
        <f>=ROUNDDOWN(63.8,0)</f>
      </c>
      <c r="AB2030" s="5">
        <v>5</v>
      </c>
      <c r="AC2030" s="2" t="s">
        <v>228</v>
      </c>
      <c r="AD2030" s="4"/>
      <c r="AE2030" s="4"/>
      <c r="AF2030" s="6">
        <v>65</v>
      </c>
      <c r="AG2030" s="6"/>
      <c r="AH2030" s="7">
        <v>1</v>
      </c>
      <c r="AI2030" s="4"/>
      <c r="AJ2030" s="4">
        <f>=ROUNDDOWN({0},0)</f>
      </c>
      <c r="AK2030" s="5"/>
      <c r="AL2030" s="2" t="s">
        <v>228</v>
      </c>
      <c r="AM2030" s="4"/>
      <c r="AN2030" s="4"/>
      <c r="AO2030" s="7"/>
      <c r="AP2030" s="4"/>
      <c r="AQ2030" s="8"/>
      <c r="AR2030" s="4"/>
      <c r="AS2030" s="8"/>
      <c r="AT2030" s="7"/>
      <c r="AU2030" s="7"/>
      <c r="AV2030" s="4"/>
      <c r="AW2030" s="8"/>
      <c r="AX2030" s="4"/>
      <c r="AY2030" s="8"/>
      <c r="AZ2030" s="7"/>
      <c r="BA2030" s="7"/>
      <c r="BB2030" s="7"/>
      <c r="BC2030" s="4" t="s">
        <v>228</v>
      </c>
      <c r="BD2030" s="8" t="s">
        <v>228</v>
      </c>
      <c r="BE2030" s="4" t="s">
        <v>228</v>
      </c>
      <c r="BF2030" s="8" t="s">
        <v>228</v>
      </c>
      <c r="BG2030" s="7" t="s">
        <v>228</v>
      </c>
      <c r="BH2030" s="7" t="s">
        <v>228</v>
      </c>
      <c r="BI2030" s="7"/>
      <c r="BJ2030" s="4">
        <v>29</v>
      </c>
      <c r="BK2030" s="8">
        <v>827.83</v>
      </c>
      <c r="BL2030" s="2" t="s">
        <v>9808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9809</v>
      </c>
      <c r="BV2030" s="2" t="s">
        <v>228</v>
      </c>
      <c r="BW2030" s="2" t="s">
        <v>228</v>
      </c>
      <c r="BX2030" s="2" t="s">
        <v>273</v>
      </c>
      <c r="BY2030" s="2" t="s">
        <v>274</v>
      </c>
      <c r="BZ2030" s="2" t="s">
        <v>240</v>
      </c>
      <c r="CA2030" s="2" t="s">
        <v>421</v>
      </c>
      <c r="CB2030" s="2" t="s">
        <v>396</v>
      </c>
      <c r="CC2030" s="2" t="s">
        <v>241</v>
      </c>
      <c r="CD2030" s="2" t="s">
        <v>228</v>
      </c>
      <c r="CE2030" s="4">
        <v>319</v>
      </c>
      <c r="CF2030" s="4"/>
      <c r="CG2030" s="4"/>
      <c r="CH2030" s="4"/>
      <c r="CI2030" s="4"/>
      <c r="CJ2030" s="4"/>
      <c r="CK2030" s="4"/>
      <c r="CL2030" s="4"/>
      <c r="CM2030" s="4"/>
      <c r="CN2030" s="4"/>
      <c r="CO2030" s="4"/>
      <c r="CP2030" s="4"/>
      <c r="CQ2030" s="4"/>
      <c r="CR2030" s="4"/>
      <c r="CS2030" s="4"/>
      <c r="CT2030" s="4"/>
      <c r="CU2030" s="4"/>
      <c r="CV2030" s="4"/>
      <c r="CW2030" s="4"/>
      <c r="CX2030" s="4"/>
      <c r="CY2030" s="4"/>
      <c r="CZ2030" s="4"/>
      <c r="DA2030" s="4"/>
      <c r="DB2030" s="4"/>
      <c r="DC2030" s="4"/>
      <c r="DD2030" s="4"/>
      <c r="DE2030" s="4"/>
      <c r="DF2030" s="4"/>
      <c r="DG2030" s="4"/>
      <c r="DH2030" s="4"/>
      <c r="DI2030" s="4"/>
      <c r="DJ2030" s="4"/>
      <c r="DK2030" s="4"/>
      <c r="DL2030" s="4"/>
      <c r="DM2030" s="4"/>
      <c r="DN2030" s="4"/>
      <c r="DO2030" s="4"/>
      <c r="DP2030" s="4"/>
      <c r="DQ2030" s="4"/>
      <c r="DR2030" s="4"/>
      <c r="DS2030" s="4"/>
      <c r="DT2030" s="4"/>
      <c r="DU2030" s="4"/>
      <c r="DV2030" s="4"/>
      <c r="DW2030" s="4"/>
      <c r="DX2030" s="4"/>
      <c r="DY2030" s="4"/>
      <c r="DZ2030" s="4"/>
      <c r="EA2030" s="4"/>
      <c r="EB2030" s="4"/>
      <c r="EC2030" s="4"/>
      <c r="ED2030" s="4"/>
      <c r="EE2030" s="4"/>
      <c r="EF2030" s="4"/>
      <c r="EG2030" s="4"/>
      <c r="EH2030" s="4"/>
      <c r="EI2030" s="4"/>
      <c r="EJ2030" s="4"/>
      <c r="EK2030" s="4"/>
      <c r="EL2030" s="4"/>
      <c r="EM2030" s="4"/>
      <c r="EN2030" s="4"/>
      <c r="EO2030" s="4"/>
      <c r="EP2030" s="4"/>
      <c r="EQ2030" s="4"/>
      <c r="ER2030" s="4"/>
      <c r="ES2030" s="4"/>
      <c r="ET2030" s="4"/>
      <c r="EU2030" s="4"/>
      <c r="EV2030" s="4"/>
      <c r="EW2030" s="4"/>
      <c r="EX2030" s="4"/>
      <c r="EY2030" s="4"/>
      <c r="EZ2030" s="4"/>
      <c r="FA2030" s="4"/>
      <c r="FB2030" s="4"/>
      <c r="FC2030" s="4"/>
      <c r="FD2030" s="4"/>
      <c r="FE2030" s="4"/>
      <c r="FF2030" s="4"/>
      <c r="FG2030" s="4"/>
      <c r="FH2030" s="4"/>
      <c r="FI2030" s="4"/>
      <c r="FJ2030" s="4"/>
      <c r="FK2030" s="4"/>
      <c r="FL2030" s="4"/>
      <c r="FM2030" s="4"/>
      <c r="FN2030" s="4"/>
      <c r="FO2030" s="4"/>
      <c r="FP2030" s="4"/>
      <c r="FQ2030" s="4"/>
      <c r="FR2030" s="4"/>
      <c r="FS2030" s="4"/>
      <c r="FT2030" s="4"/>
      <c r="FU2030" s="4"/>
      <c r="FV2030" s="4"/>
      <c r="FW2030" s="4"/>
      <c r="FX2030" s="4"/>
      <c r="FY2030" s="4"/>
      <c r="FZ2030" s="4"/>
      <c r="GA2030" s="4"/>
      <c r="GB2030" s="4"/>
      <c r="GC2030" s="4"/>
      <c r="GD2030" s="4"/>
      <c r="GE2030" s="4"/>
      <c r="GF2030" s="4"/>
      <c r="GG2030" s="4"/>
      <c r="GH2030" s="4"/>
      <c r="GI2030" s="4"/>
      <c r="GJ2030" s="4"/>
      <c r="GK2030" s="4"/>
      <c r="GL2030" s="4"/>
      <c r="GM2030" s="4"/>
      <c r="GN2030" s="4"/>
      <c r="GO2030" s="4"/>
      <c r="GP2030" s="4"/>
      <c r="GQ2030" s="4"/>
      <c r="GR2030" s="4"/>
      <c r="GS2030" s="4"/>
      <c r="GT2030" s="4"/>
      <c r="GU2030" s="4"/>
      <c r="GV2030" s="4"/>
      <c r="GW2030" s="4"/>
      <c r="GX2030" s="4"/>
      <c r="GY2030" s="4"/>
      <c r="GZ2030" s="4"/>
      <c r="HA2030" s="4"/>
      <c r="HB2030" s="4"/>
      <c r="HC2030" s="4"/>
      <c r="HD2030" s="4"/>
      <c r="HE2030" s="4"/>
    </row>
    <row r="2031">
      <c r="A2031" s="2" t="s">
        <v>9810</v>
      </c>
      <c r="B2031" s="2" t="s">
        <v>848</v>
      </c>
      <c r="C2031" s="2" t="s">
        <v>1037</v>
      </c>
      <c r="D2031" s="2" t="s">
        <v>1112</v>
      </c>
      <c r="E2031" s="2" t="s">
        <v>1113</v>
      </c>
      <c r="F2031" s="2" t="s">
        <v>9792</v>
      </c>
      <c r="G2031" s="2" t="s">
        <v>9793</v>
      </c>
      <c r="H2031" s="2" t="s">
        <v>9794</v>
      </c>
      <c r="I2031" s="2" t="s">
        <v>9795</v>
      </c>
      <c r="J2031" s="2" t="s">
        <v>856</v>
      </c>
      <c r="K2031" s="2" t="s">
        <v>249</v>
      </c>
      <c r="L2031" s="3">
        <v>28.57</v>
      </c>
      <c r="M2031" s="3">
        <v>30</v>
      </c>
      <c r="N2031" s="3">
        <v>59.99</v>
      </c>
      <c r="O2031" s="2" t="s">
        <v>240</v>
      </c>
      <c r="P2031" s="2" t="s">
        <v>1012</v>
      </c>
      <c r="Q2031" s="2" t="s">
        <v>234</v>
      </c>
      <c r="R2031" s="2" t="s">
        <v>228</v>
      </c>
      <c r="S2031" s="2" t="s">
        <v>9811</v>
      </c>
      <c r="T2031" s="2" t="s">
        <v>1414</v>
      </c>
      <c r="U2031" s="2" t="s">
        <v>520</v>
      </c>
      <c r="V2031" s="2" t="s">
        <v>374</v>
      </c>
      <c r="W2031" s="2" t="s">
        <v>417</v>
      </c>
      <c r="X2031" s="2" t="s">
        <v>269</v>
      </c>
      <c r="Y2031" s="2" t="s">
        <v>2428</v>
      </c>
      <c r="Z2031" s="4">
        <v>1</v>
      </c>
      <c r="AA2031" s="4">
        <f>=ROUNDDOWN(0.333333333333333,0)</f>
      </c>
      <c r="AB2031" s="5">
        <v>3</v>
      </c>
      <c r="AC2031" s="2" t="s">
        <v>228</v>
      </c>
      <c r="AD2031" s="4"/>
      <c r="AE2031" s="4"/>
      <c r="AF2031" s="6">
        <v>65</v>
      </c>
      <c r="AG2031" s="6"/>
      <c r="AH2031" s="7">
        <v>0</v>
      </c>
      <c r="AI2031" s="4"/>
      <c r="AJ2031" s="4">
        <f>=ROUNDDOWN({0},0)</f>
      </c>
      <c r="AK2031" s="5"/>
      <c r="AL2031" s="2" t="s">
        <v>228</v>
      </c>
      <c r="AM2031" s="4"/>
      <c r="AN2031" s="4"/>
      <c r="AO2031" s="7"/>
      <c r="AP2031" s="4"/>
      <c r="AQ2031" s="8"/>
      <c r="AR2031" s="4"/>
      <c r="AS2031" s="8"/>
      <c r="AT2031" s="7"/>
      <c r="AU2031" s="7"/>
      <c r="AV2031" s="4" t="s">
        <v>228</v>
      </c>
      <c r="AW2031" s="8" t="s">
        <v>228</v>
      </c>
      <c r="AX2031" s="4" t="s">
        <v>228</v>
      </c>
      <c r="AY2031" s="8" t="s">
        <v>228</v>
      </c>
      <c r="AZ2031" s="7" t="s">
        <v>228</v>
      </c>
      <c r="BA2031" s="7" t="s">
        <v>228</v>
      </c>
      <c r="BB2031" s="7"/>
      <c r="BC2031" s="4" t="s">
        <v>228</v>
      </c>
      <c r="BD2031" s="8" t="s">
        <v>228</v>
      </c>
      <c r="BE2031" s="4" t="s">
        <v>228</v>
      </c>
      <c r="BF2031" s="8" t="s">
        <v>228</v>
      </c>
      <c r="BG2031" s="7" t="s">
        <v>228</v>
      </c>
      <c r="BH2031" s="7" t="s">
        <v>228</v>
      </c>
      <c r="BI2031" s="7"/>
      <c r="BJ2031" s="4">
        <v>2</v>
      </c>
      <c r="BK2031" s="8">
        <v>65.72</v>
      </c>
      <c r="BL2031" s="2" t="s">
        <v>727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9812</v>
      </c>
      <c r="BV2031" s="2" t="s">
        <v>228</v>
      </c>
      <c r="BW2031" s="2" t="s">
        <v>228</v>
      </c>
      <c r="BX2031" s="2" t="s">
        <v>273</v>
      </c>
      <c r="BY2031" s="2" t="s">
        <v>274</v>
      </c>
      <c r="BZ2031" s="2" t="s">
        <v>240</v>
      </c>
      <c r="CA2031" s="2" t="s">
        <v>9798</v>
      </c>
      <c r="CB2031" s="2" t="s">
        <v>6768</v>
      </c>
      <c r="CC2031" s="2" t="s">
        <v>241</v>
      </c>
      <c r="CD2031" s="2" t="s">
        <v>228</v>
      </c>
      <c r="CE2031" s="4">
        <v>1</v>
      </c>
      <c r="CF2031" s="4"/>
      <c r="CG2031" s="4"/>
      <c r="CH2031" s="4"/>
      <c r="CI2031" s="4"/>
      <c r="CJ2031" s="4"/>
      <c r="CK2031" s="4"/>
      <c r="CL2031" s="4"/>
      <c r="CM2031" s="4"/>
      <c r="CN2031" s="4"/>
      <c r="CO2031" s="4"/>
      <c r="CP2031" s="4"/>
      <c r="CQ2031" s="4"/>
      <c r="CR2031" s="4"/>
      <c r="CS2031" s="4"/>
      <c r="CT2031" s="4"/>
      <c r="CU2031" s="4"/>
      <c r="CV2031" s="4"/>
      <c r="CW2031" s="4"/>
      <c r="CX2031" s="4"/>
      <c r="CY2031" s="4"/>
      <c r="CZ2031" s="4"/>
      <c r="DA2031" s="4"/>
      <c r="DB2031" s="4"/>
      <c r="DC2031" s="4"/>
      <c r="DD2031" s="4"/>
      <c r="DE2031" s="4"/>
      <c r="DF2031" s="4"/>
      <c r="DG2031" s="4"/>
      <c r="DH2031" s="4"/>
      <c r="DI2031" s="4"/>
      <c r="DJ2031" s="4"/>
      <c r="DK2031" s="4"/>
      <c r="DL2031" s="4"/>
      <c r="DM2031" s="4"/>
      <c r="DN2031" s="4"/>
      <c r="DO2031" s="4"/>
      <c r="DP2031" s="4"/>
      <c r="DQ2031" s="4"/>
      <c r="DR2031" s="4"/>
      <c r="DS2031" s="4"/>
      <c r="DT2031" s="4"/>
      <c r="DU2031" s="4"/>
      <c r="DV2031" s="4"/>
      <c r="DW2031" s="4"/>
      <c r="DX2031" s="4"/>
      <c r="DY2031" s="4"/>
      <c r="DZ2031" s="4"/>
      <c r="EA2031" s="4"/>
      <c r="EB2031" s="4"/>
      <c r="EC2031" s="4"/>
      <c r="ED2031" s="4"/>
      <c r="EE2031" s="4"/>
      <c r="EF2031" s="4"/>
      <c r="EG2031" s="4"/>
      <c r="EH2031" s="4"/>
      <c r="EI2031" s="4"/>
      <c r="EJ2031" s="4"/>
      <c r="EK2031" s="4"/>
      <c r="EL2031" s="4"/>
      <c r="EM2031" s="4"/>
      <c r="EN2031" s="4"/>
      <c r="EO2031" s="4"/>
      <c r="EP2031" s="4"/>
      <c r="EQ2031" s="4"/>
      <c r="ER2031" s="4"/>
      <c r="ES2031" s="4"/>
      <c r="ET2031" s="4"/>
      <c r="EU2031" s="4"/>
      <c r="EV2031" s="4"/>
      <c r="EW2031" s="4"/>
      <c r="EX2031" s="4"/>
      <c r="EY2031" s="4"/>
      <c r="EZ2031" s="4"/>
      <c r="FA2031" s="4"/>
      <c r="FB2031" s="4"/>
      <c r="FC2031" s="4"/>
      <c r="FD2031" s="4"/>
      <c r="FE2031" s="4"/>
      <c r="FF2031" s="4"/>
      <c r="FG2031" s="4"/>
      <c r="FH2031" s="4"/>
      <c r="FI2031" s="4"/>
      <c r="FJ2031" s="4"/>
      <c r="FK2031" s="4"/>
      <c r="FL2031" s="4"/>
      <c r="FM2031" s="4"/>
      <c r="FN2031" s="4"/>
      <c r="FO2031" s="4"/>
      <c r="FP2031" s="4"/>
      <c r="FQ2031" s="4"/>
      <c r="FR2031" s="4"/>
      <c r="FS2031" s="4"/>
      <c r="FT2031" s="4"/>
      <c r="FU2031" s="4"/>
      <c r="FV2031" s="4"/>
      <c r="FW2031" s="4"/>
      <c r="FX2031" s="4"/>
      <c r="FY2031" s="4"/>
      <c r="FZ2031" s="4"/>
      <c r="GA2031" s="4"/>
      <c r="GB2031" s="4"/>
      <c r="GC2031" s="4"/>
      <c r="GD2031" s="4"/>
      <c r="GE2031" s="4"/>
      <c r="GF2031" s="4"/>
      <c r="GG2031" s="4"/>
      <c r="GH2031" s="4"/>
      <c r="GI2031" s="4"/>
      <c r="GJ2031" s="4"/>
      <c r="GK2031" s="4"/>
      <c r="GL2031" s="4"/>
      <c r="GM2031" s="4"/>
      <c r="GN2031" s="4"/>
      <c r="GO2031" s="4"/>
      <c r="GP2031" s="4"/>
      <c r="GQ2031" s="4"/>
      <c r="GR2031" s="4"/>
      <c r="GS2031" s="4"/>
      <c r="GT2031" s="4"/>
      <c r="GU2031" s="4"/>
      <c r="GV2031" s="4"/>
      <c r="GW2031" s="4"/>
      <c r="GX2031" s="4"/>
      <c r="GY2031" s="4"/>
      <c r="GZ2031" s="4"/>
      <c r="HA2031" s="4"/>
      <c r="HB2031" s="4"/>
      <c r="HC2031" s="4"/>
      <c r="HD2031" s="4"/>
      <c r="HE2031" s="4"/>
    </row>
    <row r="2032">
      <c r="A2032" s="2" t="s">
        <v>9813</v>
      </c>
      <c r="B2032" s="2" t="s">
        <v>848</v>
      </c>
      <c r="C2032" s="2" t="s">
        <v>1037</v>
      </c>
      <c r="D2032" s="2" t="s">
        <v>850</v>
      </c>
      <c r="E2032" s="2" t="s">
        <v>1038</v>
      </c>
      <c r="F2032" s="2" t="s">
        <v>9792</v>
      </c>
      <c r="G2032" s="2" t="s">
        <v>9793</v>
      </c>
      <c r="H2032" s="2" t="s">
        <v>9794</v>
      </c>
      <c r="I2032" s="2" t="s">
        <v>9800</v>
      </c>
      <c r="J2032" s="2" t="s">
        <v>1189</v>
      </c>
      <c r="K2032" s="2" t="s">
        <v>249</v>
      </c>
      <c r="L2032" s="3">
        <v>23.8</v>
      </c>
      <c r="M2032" s="3">
        <v>24.99</v>
      </c>
      <c r="N2032" s="3">
        <v>49.99</v>
      </c>
      <c r="O2032" s="2" t="s">
        <v>240</v>
      </c>
      <c r="P2032" s="2" t="s">
        <v>1012</v>
      </c>
      <c r="Q2032" s="2" t="s">
        <v>234</v>
      </c>
      <c r="R2032" s="2" t="s">
        <v>228</v>
      </c>
      <c r="S2032" s="2" t="s">
        <v>9811</v>
      </c>
      <c r="T2032" s="2" t="s">
        <v>1414</v>
      </c>
      <c r="U2032" s="2" t="s">
        <v>500</v>
      </c>
      <c r="V2032" s="2" t="s">
        <v>374</v>
      </c>
      <c r="W2032" s="2" t="s">
        <v>417</v>
      </c>
      <c r="X2032" s="2" t="s">
        <v>269</v>
      </c>
      <c r="Y2032" s="2" t="s">
        <v>2428</v>
      </c>
      <c r="Z2032" s="4">
        <v>98</v>
      </c>
      <c r="AA2032" s="4">
        <f>=ROUNDDOWN(49,0)</f>
      </c>
      <c r="AB2032" s="5">
        <v>2</v>
      </c>
      <c r="AC2032" s="2" t="s">
        <v>228</v>
      </c>
      <c r="AD2032" s="4"/>
      <c r="AE2032" s="4"/>
      <c r="AF2032" s="6">
        <v>65</v>
      </c>
      <c r="AG2032" s="6"/>
      <c r="AH2032" s="7">
        <v>1</v>
      </c>
      <c r="AI2032" s="4"/>
      <c r="AJ2032" s="4">
        <f>=ROUNDDOWN({0},0)</f>
      </c>
      <c r="AK2032" s="5"/>
      <c r="AL2032" s="2" t="s">
        <v>228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 t="s">
        <v>228</v>
      </c>
      <c r="AW2032" s="8" t="s">
        <v>228</v>
      </c>
      <c r="AX2032" s="4" t="s">
        <v>228</v>
      </c>
      <c r="AY2032" s="8" t="s">
        <v>228</v>
      </c>
      <c r="AZ2032" s="7" t="s">
        <v>228</v>
      </c>
      <c r="BA2032" s="7" t="s">
        <v>228</v>
      </c>
      <c r="BB2032" s="7"/>
      <c r="BC2032" s="4" t="s">
        <v>228</v>
      </c>
      <c r="BD2032" s="8" t="s">
        <v>228</v>
      </c>
      <c r="BE2032" s="4" t="s">
        <v>228</v>
      </c>
      <c r="BF2032" s="8" t="s">
        <v>228</v>
      </c>
      <c r="BG2032" s="7" t="s">
        <v>228</v>
      </c>
      <c r="BH2032" s="7" t="s">
        <v>228</v>
      </c>
      <c r="BI2032" s="7"/>
      <c r="BJ2032" s="4">
        <v>8</v>
      </c>
      <c r="BK2032" s="8">
        <v>212.68</v>
      </c>
      <c r="BL2032" s="2" t="s">
        <v>1359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9814</v>
      </c>
      <c r="BV2032" s="2" t="s">
        <v>228</v>
      </c>
      <c r="BW2032" s="2" t="s">
        <v>228</v>
      </c>
      <c r="BX2032" s="2" t="s">
        <v>273</v>
      </c>
      <c r="BY2032" s="2" t="s">
        <v>274</v>
      </c>
      <c r="BZ2032" s="2" t="s">
        <v>240</v>
      </c>
      <c r="CA2032" s="2" t="s">
        <v>9798</v>
      </c>
      <c r="CB2032" s="2" t="s">
        <v>9815</v>
      </c>
      <c r="CC2032" s="2" t="s">
        <v>241</v>
      </c>
      <c r="CD2032" s="2" t="s">
        <v>228</v>
      </c>
      <c r="CE2032" s="4">
        <v>98</v>
      </c>
      <c r="CF2032" s="4"/>
      <c r="CG2032" s="4"/>
      <c r="CH2032" s="4"/>
      <c r="CI2032" s="4"/>
      <c r="CJ2032" s="4"/>
      <c r="CK2032" s="4"/>
      <c r="CL2032" s="4"/>
      <c r="CM2032" s="4"/>
      <c r="CN2032" s="4"/>
      <c r="CO2032" s="4"/>
      <c r="CP2032" s="4"/>
      <c r="CQ2032" s="4"/>
      <c r="CR2032" s="4"/>
      <c r="CS2032" s="4"/>
      <c r="CT2032" s="4"/>
      <c r="CU2032" s="4"/>
      <c r="CV2032" s="4"/>
      <c r="CW2032" s="4"/>
      <c r="CX2032" s="4"/>
      <c r="CY2032" s="4"/>
      <c r="CZ2032" s="4"/>
      <c r="DA2032" s="4"/>
      <c r="DB2032" s="4"/>
      <c r="DC2032" s="4"/>
      <c r="DD2032" s="4"/>
      <c r="DE2032" s="4"/>
      <c r="DF2032" s="4"/>
      <c r="DG2032" s="4"/>
      <c r="DH2032" s="4"/>
      <c r="DI2032" s="4"/>
      <c r="DJ2032" s="4"/>
      <c r="DK2032" s="4"/>
      <c r="DL2032" s="4"/>
      <c r="DM2032" s="4"/>
      <c r="DN2032" s="4"/>
      <c r="DO2032" s="4"/>
      <c r="DP2032" s="4"/>
      <c r="DQ2032" s="4"/>
      <c r="DR2032" s="4"/>
      <c r="DS2032" s="4"/>
      <c r="DT2032" s="4"/>
      <c r="DU2032" s="4"/>
      <c r="DV2032" s="4"/>
      <c r="DW2032" s="4"/>
      <c r="DX2032" s="4"/>
      <c r="DY2032" s="4"/>
      <c r="DZ2032" s="4"/>
      <c r="EA2032" s="4"/>
      <c r="EB2032" s="4"/>
      <c r="EC2032" s="4"/>
      <c r="ED2032" s="4"/>
      <c r="EE2032" s="4"/>
      <c r="EF2032" s="4"/>
      <c r="EG2032" s="4"/>
      <c r="EH2032" s="4"/>
      <c r="EI2032" s="4"/>
      <c r="EJ2032" s="4"/>
      <c r="EK2032" s="4"/>
      <c r="EL2032" s="4"/>
      <c r="EM2032" s="4"/>
      <c r="EN2032" s="4"/>
      <c r="EO2032" s="4"/>
      <c r="EP2032" s="4"/>
      <c r="EQ2032" s="4"/>
      <c r="ER2032" s="4"/>
      <c r="ES2032" s="4"/>
      <c r="ET2032" s="4"/>
      <c r="EU2032" s="4"/>
      <c r="EV2032" s="4"/>
      <c r="EW2032" s="4"/>
      <c r="EX2032" s="4"/>
      <c r="EY2032" s="4"/>
      <c r="EZ2032" s="4"/>
      <c r="FA2032" s="4"/>
      <c r="FB2032" s="4"/>
      <c r="FC2032" s="4"/>
      <c r="FD2032" s="4"/>
      <c r="FE2032" s="4"/>
      <c r="FF2032" s="4"/>
      <c r="FG2032" s="4"/>
      <c r="FH2032" s="4"/>
      <c r="FI2032" s="4"/>
      <c r="FJ2032" s="4"/>
      <c r="FK2032" s="4"/>
      <c r="FL2032" s="4"/>
      <c r="FM2032" s="4"/>
      <c r="FN2032" s="4"/>
      <c r="FO2032" s="4"/>
      <c r="FP2032" s="4"/>
      <c r="FQ2032" s="4"/>
      <c r="FR2032" s="4"/>
      <c r="FS2032" s="4"/>
      <c r="FT2032" s="4"/>
      <c r="FU2032" s="4"/>
      <c r="FV2032" s="4"/>
      <c r="FW2032" s="4"/>
      <c r="FX2032" s="4"/>
      <c r="FY2032" s="4"/>
      <c r="FZ2032" s="4"/>
      <c r="GA2032" s="4"/>
      <c r="GB2032" s="4"/>
      <c r="GC2032" s="4"/>
      <c r="GD2032" s="4"/>
      <c r="GE2032" s="4"/>
      <c r="GF2032" s="4"/>
      <c r="GG2032" s="4"/>
      <c r="GH2032" s="4"/>
      <c r="GI2032" s="4"/>
      <c r="GJ2032" s="4"/>
      <c r="GK2032" s="4"/>
      <c r="GL2032" s="4"/>
      <c r="GM2032" s="4"/>
      <c r="GN2032" s="4"/>
      <c r="GO2032" s="4"/>
      <c r="GP2032" s="4"/>
      <c r="GQ2032" s="4"/>
      <c r="GR2032" s="4"/>
      <c r="GS2032" s="4"/>
      <c r="GT2032" s="4"/>
      <c r="GU2032" s="4"/>
      <c r="GV2032" s="4"/>
      <c r="GW2032" s="4"/>
      <c r="GX2032" s="4"/>
      <c r="GY2032" s="4"/>
      <c r="GZ2032" s="4"/>
      <c r="HA2032" s="4"/>
      <c r="HB2032" s="4"/>
      <c r="HC2032" s="4"/>
      <c r="HD2032" s="4"/>
      <c r="HE2032" s="4"/>
    </row>
    <row r="2033">
      <c r="A2033" s="2" t="s">
        <v>9816</v>
      </c>
      <c r="B2033" s="2" t="s">
        <v>848</v>
      </c>
      <c r="C2033" s="2" t="s">
        <v>1037</v>
      </c>
      <c r="D2033" s="2" t="s">
        <v>1112</v>
      </c>
      <c r="E2033" s="2" t="s">
        <v>1113</v>
      </c>
      <c r="F2033" s="2" t="s">
        <v>9792</v>
      </c>
      <c r="G2033" s="2" t="s">
        <v>9793</v>
      </c>
      <c r="H2033" s="2" t="s">
        <v>9794</v>
      </c>
      <c r="I2033" s="2" t="s">
        <v>9795</v>
      </c>
      <c r="J2033" s="2" t="s">
        <v>1043</v>
      </c>
      <c r="K2033" s="2" t="s">
        <v>249</v>
      </c>
      <c r="L2033" s="3">
        <v>38.09</v>
      </c>
      <c r="M2033" s="3">
        <v>39.99</v>
      </c>
      <c r="N2033" s="3">
        <v>79.99</v>
      </c>
      <c r="O2033" s="2" t="s">
        <v>240</v>
      </c>
      <c r="P2033" s="2" t="s">
        <v>1012</v>
      </c>
      <c r="Q2033" s="2" t="s">
        <v>234</v>
      </c>
      <c r="R2033" s="2" t="s">
        <v>228</v>
      </c>
      <c r="S2033" s="2" t="s">
        <v>9811</v>
      </c>
      <c r="T2033" s="2" t="s">
        <v>1414</v>
      </c>
      <c r="U2033" s="2" t="s">
        <v>500</v>
      </c>
      <c r="V2033" s="2" t="s">
        <v>374</v>
      </c>
      <c r="W2033" s="2" t="s">
        <v>417</v>
      </c>
      <c r="X2033" s="2" t="s">
        <v>269</v>
      </c>
      <c r="Y2033" s="2" t="s">
        <v>2428</v>
      </c>
      <c r="Z2033" s="4">
        <v>31</v>
      </c>
      <c r="AA2033" s="4">
        <f>=ROUNDDOWN(17.2222222222222,0)</f>
      </c>
      <c r="AB2033" s="5">
        <v>1.8</v>
      </c>
      <c r="AC2033" s="2" t="s">
        <v>228</v>
      </c>
      <c r="AD2033" s="4"/>
      <c r="AE2033" s="4"/>
      <c r="AF2033" s="6">
        <v>65</v>
      </c>
      <c r="AG2033" s="6"/>
      <c r="AH2033" s="7">
        <v>1</v>
      </c>
      <c r="AI2033" s="4"/>
      <c r="AJ2033" s="4">
        <f>=ROUNDDOWN({0},0)</f>
      </c>
      <c r="AK2033" s="5"/>
      <c r="AL2033" s="2" t="s">
        <v>228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 t="s">
        <v>228</v>
      </c>
      <c r="AW2033" s="8" t="s">
        <v>228</v>
      </c>
      <c r="AX2033" s="4" t="s">
        <v>228</v>
      </c>
      <c r="AY2033" s="8" t="s">
        <v>228</v>
      </c>
      <c r="AZ2033" s="7" t="s">
        <v>228</v>
      </c>
      <c r="BA2033" s="7" t="s">
        <v>228</v>
      </c>
      <c r="BB2033" s="7"/>
      <c r="BC2033" s="4" t="s">
        <v>228</v>
      </c>
      <c r="BD2033" s="8" t="s">
        <v>228</v>
      </c>
      <c r="BE2033" s="4" t="s">
        <v>228</v>
      </c>
      <c r="BF2033" s="8" t="s">
        <v>228</v>
      </c>
      <c r="BG2033" s="7" t="s">
        <v>228</v>
      </c>
      <c r="BH2033" s="7" t="s">
        <v>228</v>
      </c>
      <c r="BI2033" s="7"/>
      <c r="BJ2033" s="4">
        <v>14</v>
      </c>
      <c r="BK2033" s="8">
        <v>616.66</v>
      </c>
      <c r="BL2033" s="2" t="s">
        <v>9817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9818</v>
      </c>
      <c r="BV2033" s="2" t="s">
        <v>228</v>
      </c>
      <c r="BW2033" s="2" t="s">
        <v>228</v>
      </c>
      <c r="BX2033" s="2" t="s">
        <v>273</v>
      </c>
      <c r="BY2033" s="2" t="s">
        <v>274</v>
      </c>
      <c r="BZ2033" s="2" t="s">
        <v>240</v>
      </c>
      <c r="CA2033" s="2" t="s">
        <v>9798</v>
      </c>
      <c r="CB2033" s="2" t="s">
        <v>2983</v>
      </c>
      <c r="CC2033" s="2" t="s">
        <v>241</v>
      </c>
      <c r="CD2033" s="2" t="s">
        <v>228</v>
      </c>
      <c r="CE2033" s="4">
        <v>31</v>
      </c>
      <c r="CF2033" s="4"/>
      <c r="CG2033" s="4"/>
      <c r="CH2033" s="4"/>
      <c r="CI2033" s="4"/>
      <c r="CJ2033" s="4"/>
      <c r="CK2033" s="4"/>
      <c r="CL2033" s="4"/>
      <c r="CM2033" s="4"/>
      <c r="CN2033" s="4"/>
      <c r="CO2033" s="4"/>
      <c r="CP2033" s="4"/>
      <c r="CQ2033" s="4"/>
      <c r="CR2033" s="4"/>
      <c r="CS2033" s="4"/>
      <c r="CT2033" s="4"/>
      <c r="CU2033" s="4"/>
      <c r="CV2033" s="4"/>
      <c r="CW2033" s="4"/>
      <c r="CX2033" s="4"/>
      <c r="CY2033" s="4"/>
      <c r="CZ2033" s="4"/>
      <c r="DA2033" s="4"/>
      <c r="DB2033" s="4"/>
      <c r="DC2033" s="4"/>
      <c r="DD2033" s="4"/>
      <c r="DE2033" s="4"/>
      <c r="DF2033" s="4"/>
      <c r="DG2033" s="4"/>
      <c r="DH2033" s="4"/>
      <c r="DI2033" s="4"/>
      <c r="DJ2033" s="4"/>
      <c r="DK2033" s="4"/>
      <c r="DL2033" s="4"/>
      <c r="DM2033" s="4"/>
      <c r="DN2033" s="4"/>
      <c r="DO2033" s="4"/>
      <c r="DP2033" s="4"/>
      <c r="DQ2033" s="4"/>
      <c r="DR2033" s="4"/>
      <c r="DS2033" s="4"/>
      <c r="DT2033" s="4"/>
      <c r="DU2033" s="4"/>
      <c r="DV2033" s="4"/>
      <c r="DW2033" s="4"/>
      <c r="DX2033" s="4"/>
      <c r="DY2033" s="4"/>
      <c r="DZ2033" s="4"/>
      <c r="EA2033" s="4"/>
      <c r="EB2033" s="4"/>
      <c r="EC2033" s="4"/>
      <c r="ED2033" s="4"/>
      <c r="EE2033" s="4"/>
      <c r="EF2033" s="4"/>
      <c r="EG2033" s="4"/>
      <c r="EH2033" s="4"/>
      <c r="EI2033" s="4"/>
      <c r="EJ2033" s="4"/>
      <c r="EK2033" s="4"/>
      <c r="EL2033" s="4"/>
      <c r="EM2033" s="4"/>
      <c r="EN2033" s="4"/>
      <c r="EO2033" s="4"/>
      <c r="EP2033" s="4"/>
      <c r="EQ2033" s="4"/>
      <c r="ER2033" s="4"/>
      <c r="ES2033" s="4"/>
      <c r="ET2033" s="4"/>
      <c r="EU2033" s="4"/>
      <c r="EV2033" s="4"/>
      <c r="EW2033" s="4"/>
      <c r="EX2033" s="4"/>
      <c r="EY2033" s="4"/>
      <c r="EZ2033" s="4"/>
      <c r="FA2033" s="4"/>
      <c r="FB2033" s="4"/>
      <c r="FC2033" s="4"/>
      <c r="FD2033" s="4"/>
      <c r="FE2033" s="4"/>
      <c r="FF2033" s="4"/>
      <c r="FG2033" s="4"/>
      <c r="FH2033" s="4"/>
      <c r="FI2033" s="4"/>
      <c r="FJ2033" s="4"/>
      <c r="FK2033" s="4"/>
      <c r="FL2033" s="4"/>
      <c r="FM2033" s="4"/>
      <c r="FN2033" s="4"/>
      <c r="FO2033" s="4"/>
      <c r="FP2033" s="4"/>
      <c r="FQ2033" s="4"/>
      <c r="FR2033" s="4"/>
      <c r="FS2033" s="4"/>
      <c r="FT2033" s="4"/>
      <c r="FU2033" s="4"/>
      <c r="FV2033" s="4"/>
      <c r="FW2033" s="4"/>
      <c r="FX2033" s="4"/>
      <c r="FY2033" s="4"/>
      <c r="FZ2033" s="4"/>
      <c r="GA2033" s="4"/>
      <c r="GB2033" s="4"/>
      <c r="GC2033" s="4"/>
      <c r="GD2033" s="4"/>
      <c r="GE2033" s="4"/>
      <c r="GF2033" s="4"/>
      <c r="GG2033" s="4"/>
      <c r="GH2033" s="4"/>
      <c r="GI2033" s="4"/>
      <c r="GJ2033" s="4"/>
      <c r="GK2033" s="4"/>
      <c r="GL2033" s="4"/>
      <c r="GM2033" s="4"/>
      <c r="GN2033" s="4"/>
      <c r="GO2033" s="4"/>
      <c r="GP2033" s="4"/>
      <c r="GQ2033" s="4"/>
      <c r="GR2033" s="4"/>
      <c r="GS2033" s="4"/>
      <c r="GT2033" s="4"/>
      <c r="GU2033" s="4"/>
      <c r="GV2033" s="4"/>
      <c r="GW2033" s="4"/>
      <c r="GX2033" s="4"/>
      <c r="GY2033" s="4"/>
      <c r="GZ2033" s="4"/>
      <c r="HA2033" s="4"/>
      <c r="HB2033" s="4"/>
      <c r="HC2033" s="4"/>
      <c r="HD2033" s="4"/>
      <c r="HE2033" s="4"/>
    </row>
    <row r="2034">
      <c r="A2034" s="2" t="s">
        <v>9819</v>
      </c>
      <c r="B2034" s="2" t="s">
        <v>223</v>
      </c>
      <c r="C2034" s="2" t="s">
        <v>300</v>
      </c>
      <c r="D2034" s="2" t="s">
        <v>1601</v>
      </c>
      <c r="E2034" s="2" t="s">
        <v>2421</v>
      </c>
      <c r="F2034" s="2" t="s">
        <v>9792</v>
      </c>
      <c r="G2034" s="2" t="s">
        <v>4864</v>
      </c>
      <c r="H2034" s="2" t="s">
        <v>4864</v>
      </c>
      <c r="I2034" s="2" t="s">
        <v>9806</v>
      </c>
      <c r="J2034" s="2" t="s">
        <v>1412</v>
      </c>
      <c r="K2034" s="2" t="s">
        <v>4693</v>
      </c>
      <c r="L2034" s="3">
        <v>23.8</v>
      </c>
      <c r="M2034" s="3">
        <v>24.99</v>
      </c>
      <c r="N2034" s="3">
        <v>49.99</v>
      </c>
      <c r="O2034" s="2" t="s">
        <v>240</v>
      </c>
      <c r="P2034" s="2" t="s">
        <v>1012</v>
      </c>
      <c r="Q2034" s="2" t="s">
        <v>234</v>
      </c>
      <c r="R2034" s="2" t="s">
        <v>228</v>
      </c>
      <c r="S2034" s="2" t="s">
        <v>9820</v>
      </c>
      <c r="T2034" s="2" t="s">
        <v>228</v>
      </c>
      <c r="U2034" s="2" t="s">
        <v>416</v>
      </c>
      <c r="V2034" s="2" t="s">
        <v>236</v>
      </c>
      <c r="W2034" s="2" t="s">
        <v>269</v>
      </c>
      <c r="X2034" s="2" t="s">
        <v>228</v>
      </c>
      <c r="Y2034" s="2" t="s">
        <v>418</v>
      </c>
      <c r="Z2034" s="4">
        <v>433</v>
      </c>
      <c r="AA2034" s="4">
        <f>=ROUNDDOWN(144.333333333333,0)</f>
      </c>
      <c r="AB2034" s="5">
        <v>3</v>
      </c>
      <c r="AC2034" s="2" t="s">
        <v>228</v>
      </c>
      <c r="AD2034" s="4"/>
      <c r="AE2034" s="4"/>
      <c r="AF2034" s="6">
        <v>65</v>
      </c>
      <c r="AG2034" s="6"/>
      <c r="AH2034" s="7">
        <v>1</v>
      </c>
      <c r="AI2034" s="4"/>
      <c r="AJ2034" s="4">
        <f>=ROUNDDOWN({0},0)</f>
      </c>
      <c r="AK2034" s="5"/>
      <c r="AL2034" s="2" t="s">
        <v>228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/>
      <c r="AW2034" s="8"/>
      <c r="AX2034" s="4"/>
      <c r="AY2034" s="8"/>
      <c r="AZ2034" s="7"/>
      <c r="BA2034" s="7"/>
      <c r="BB2034" s="7"/>
      <c r="BC2034" s="4" t="s">
        <v>228</v>
      </c>
      <c r="BD2034" s="8" t="s">
        <v>228</v>
      </c>
      <c r="BE2034" s="4" t="s">
        <v>228</v>
      </c>
      <c r="BF2034" s="8" t="s">
        <v>228</v>
      </c>
      <c r="BG2034" s="7" t="s">
        <v>228</v>
      </c>
      <c r="BH2034" s="7" t="s">
        <v>228</v>
      </c>
      <c r="BI2034" s="7"/>
      <c r="BJ2034" s="4">
        <v>5</v>
      </c>
      <c r="BK2034" s="8">
        <v>132.7</v>
      </c>
      <c r="BL2034" s="2" t="s">
        <v>366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9821</v>
      </c>
      <c r="BV2034" s="2" t="s">
        <v>228</v>
      </c>
      <c r="BW2034" s="2" t="s">
        <v>228</v>
      </c>
      <c r="BX2034" s="2" t="s">
        <v>273</v>
      </c>
      <c r="BY2034" s="2" t="s">
        <v>274</v>
      </c>
      <c r="BZ2034" s="2" t="s">
        <v>240</v>
      </c>
      <c r="CA2034" s="2" t="s">
        <v>421</v>
      </c>
      <c r="CB2034" s="2" t="s">
        <v>2990</v>
      </c>
      <c r="CC2034" s="2" t="s">
        <v>241</v>
      </c>
      <c r="CD2034" s="2" t="s">
        <v>228</v>
      </c>
      <c r="CE2034" s="4">
        <v>433</v>
      </c>
      <c r="CF2034" s="4"/>
      <c r="CG2034" s="4"/>
      <c r="CH2034" s="4"/>
      <c r="CI2034" s="4"/>
      <c r="CJ2034" s="4"/>
      <c r="CK2034" s="4"/>
      <c r="CL2034" s="4"/>
      <c r="CM2034" s="4"/>
      <c r="CN2034" s="4"/>
      <c r="CO2034" s="4"/>
      <c r="CP2034" s="4"/>
      <c r="CQ2034" s="4"/>
      <c r="CR2034" s="4"/>
      <c r="CS2034" s="4"/>
      <c r="CT2034" s="4"/>
      <c r="CU2034" s="4"/>
      <c r="CV2034" s="4"/>
      <c r="CW2034" s="4"/>
      <c r="CX2034" s="4"/>
      <c r="CY2034" s="4"/>
      <c r="CZ2034" s="4"/>
      <c r="DA2034" s="4"/>
      <c r="DB2034" s="4"/>
      <c r="DC2034" s="4"/>
      <c r="DD2034" s="4"/>
      <c r="DE2034" s="4"/>
      <c r="DF2034" s="4"/>
      <c r="DG2034" s="4"/>
      <c r="DH2034" s="4"/>
      <c r="DI2034" s="4"/>
      <c r="DJ2034" s="4"/>
      <c r="DK2034" s="4"/>
      <c r="DL2034" s="4"/>
      <c r="DM2034" s="4"/>
      <c r="DN2034" s="4"/>
      <c r="DO2034" s="4"/>
      <c r="DP2034" s="4"/>
      <c r="DQ2034" s="4"/>
      <c r="DR2034" s="4"/>
      <c r="DS2034" s="4"/>
      <c r="DT2034" s="4"/>
      <c r="DU2034" s="4"/>
      <c r="DV2034" s="4"/>
      <c r="DW2034" s="4"/>
      <c r="DX2034" s="4"/>
      <c r="DY2034" s="4"/>
      <c r="DZ2034" s="4"/>
      <c r="EA2034" s="4"/>
      <c r="EB2034" s="4"/>
      <c r="EC2034" s="4"/>
      <c r="ED2034" s="4"/>
      <c r="EE2034" s="4"/>
      <c r="EF2034" s="4"/>
      <c r="EG2034" s="4"/>
      <c r="EH2034" s="4"/>
      <c r="EI2034" s="4"/>
      <c r="EJ2034" s="4"/>
      <c r="EK2034" s="4"/>
      <c r="EL2034" s="4"/>
      <c r="EM2034" s="4"/>
      <c r="EN2034" s="4"/>
      <c r="EO2034" s="4"/>
      <c r="EP2034" s="4"/>
      <c r="EQ2034" s="4"/>
      <c r="ER2034" s="4"/>
      <c r="ES2034" s="4"/>
      <c r="ET2034" s="4"/>
      <c r="EU2034" s="4"/>
      <c r="EV2034" s="4"/>
      <c r="EW2034" s="4"/>
      <c r="EX2034" s="4"/>
      <c r="EY2034" s="4"/>
      <c r="EZ2034" s="4"/>
      <c r="FA2034" s="4"/>
      <c r="FB2034" s="4"/>
      <c r="FC2034" s="4"/>
      <c r="FD2034" s="4"/>
      <c r="FE2034" s="4"/>
      <c r="FF2034" s="4"/>
      <c r="FG2034" s="4"/>
      <c r="FH2034" s="4"/>
      <c r="FI2034" s="4"/>
      <c r="FJ2034" s="4"/>
      <c r="FK2034" s="4"/>
      <c r="FL2034" s="4"/>
      <c r="FM2034" s="4"/>
      <c r="FN2034" s="4"/>
      <c r="FO2034" s="4"/>
      <c r="FP2034" s="4"/>
      <c r="FQ2034" s="4"/>
      <c r="FR2034" s="4"/>
      <c r="FS2034" s="4"/>
      <c r="FT2034" s="4"/>
      <c r="FU2034" s="4"/>
      <c r="FV2034" s="4"/>
      <c r="FW2034" s="4"/>
      <c r="FX2034" s="4"/>
      <c r="FY2034" s="4"/>
      <c r="FZ2034" s="4"/>
      <c r="GA2034" s="4"/>
      <c r="GB2034" s="4"/>
      <c r="GC2034" s="4"/>
      <c r="GD2034" s="4"/>
      <c r="GE2034" s="4"/>
      <c r="GF2034" s="4"/>
      <c r="GG2034" s="4"/>
      <c r="GH2034" s="4"/>
      <c r="GI2034" s="4"/>
      <c r="GJ2034" s="4"/>
      <c r="GK2034" s="4"/>
      <c r="GL2034" s="4"/>
      <c r="GM2034" s="4"/>
      <c r="GN2034" s="4"/>
      <c r="GO2034" s="4"/>
      <c r="GP2034" s="4"/>
      <c r="GQ2034" s="4"/>
      <c r="GR2034" s="4"/>
      <c r="GS2034" s="4"/>
      <c r="GT2034" s="4"/>
      <c r="GU2034" s="4"/>
      <c r="GV2034" s="4"/>
      <c r="GW2034" s="4"/>
      <c r="GX2034" s="4"/>
      <c r="GY2034" s="4"/>
      <c r="GZ2034" s="4"/>
      <c r="HA2034" s="4"/>
      <c r="HB2034" s="4"/>
      <c r="HC2034" s="4"/>
      <c r="HD2034" s="4"/>
      <c r="HE2034" s="4"/>
    </row>
    <row r="2035">
      <c r="A2035" s="2" t="s">
        <v>9822</v>
      </c>
      <c r="B2035" s="2" t="s">
        <v>958</v>
      </c>
      <c r="C2035" s="2" t="s">
        <v>835</v>
      </c>
      <c r="D2035" s="2" t="s">
        <v>959</v>
      </c>
      <c r="E2035" s="2" t="s">
        <v>3094</v>
      </c>
      <c r="F2035" s="2" t="s">
        <v>9823</v>
      </c>
      <c r="G2035" s="2" t="s">
        <v>9823</v>
      </c>
      <c r="H2035" s="2" t="s">
        <v>9823</v>
      </c>
      <c r="I2035" s="2" t="s">
        <v>2560</v>
      </c>
      <c r="J2035" s="2" t="s">
        <v>840</v>
      </c>
      <c r="K2035" s="2" t="s">
        <v>249</v>
      </c>
      <c r="L2035" s="3">
        <v>120</v>
      </c>
      <c r="M2035" s="3">
        <v>126</v>
      </c>
      <c r="N2035" s="3">
        <v>249</v>
      </c>
      <c r="O2035" s="2" t="s">
        <v>461</v>
      </c>
      <c r="P2035" s="2" t="s">
        <v>333</v>
      </c>
      <c r="Q2035" s="2" t="s">
        <v>234</v>
      </c>
      <c r="R2035" s="2" t="s">
        <v>228</v>
      </c>
      <c r="S2035" s="2" t="s">
        <v>228</v>
      </c>
      <c r="T2035" s="2" t="s">
        <v>228</v>
      </c>
      <c r="U2035" s="2" t="s">
        <v>416</v>
      </c>
      <c r="V2035" s="2" t="s">
        <v>842</v>
      </c>
      <c r="W2035" s="2" t="s">
        <v>417</v>
      </c>
      <c r="X2035" s="2" t="s">
        <v>228</v>
      </c>
      <c r="Y2035" s="2" t="s">
        <v>6332</v>
      </c>
      <c r="Z2035" s="4">
        <v>133</v>
      </c>
      <c r="AA2035" s="4">
        <f>=ROUNDDOWN(665,0)</f>
      </c>
      <c r="AB2035" s="5">
        <v>0.2</v>
      </c>
      <c r="AC2035" s="2" t="s">
        <v>228</v>
      </c>
      <c r="AD2035" s="4"/>
      <c r="AE2035" s="4"/>
      <c r="AF2035" s="6">
        <v>66</v>
      </c>
      <c r="AG2035" s="6"/>
      <c r="AH2035" s="7">
        <v>1</v>
      </c>
      <c r="AI2035" s="4"/>
      <c r="AJ2035" s="4">
        <f>=ROUNDDOWN({0},0)</f>
      </c>
      <c r="AK2035" s="5"/>
      <c r="AL2035" s="2" t="s">
        <v>228</v>
      </c>
      <c r="AM2035" s="4"/>
      <c r="AN2035" s="4"/>
      <c r="AO2035" s="7"/>
      <c r="AP2035" s="4"/>
      <c r="AQ2035" s="8"/>
      <c r="AR2035" s="4"/>
      <c r="AS2035" s="8"/>
      <c r="AT2035" s="7"/>
      <c r="AU2035" s="7"/>
      <c r="AV2035" s="4"/>
      <c r="AW2035" s="8"/>
      <c r="AX2035" s="4"/>
      <c r="AY2035" s="8"/>
      <c r="AZ2035" s="7"/>
      <c r="BA2035" s="7"/>
      <c r="BB2035" s="7"/>
      <c r="BC2035" s="4"/>
      <c r="BD2035" s="8"/>
      <c r="BE2035" s="4"/>
      <c r="BF2035" s="8"/>
      <c r="BG2035" s="7"/>
      <c r="BH2035" s="7"/>
      <c r="BI2035" s="7"/>
      <c r="BJ2035" s="4"/>
      <c r="BK2035" s="8"/>
      <c r="BL2035" s="2" t="s">
        <v>2800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9824</v>
      </c>
      <c r="BV2035" s="2" t="s">
        <v>228</v>
      </c>
      <c r="BW2035" s="2" t="s">
        <v>228</v>
      </c>
      <c r="BX2035" s="2" t="s">
        <v>337</v>
      </c>
      <c r="BY2035" s="2" t="s">
        <v>274</v>
      </c>
      <c r="BZ2035" s="2" t="s">
        <v>240</v>
      </c>
      <c r="CA2035" s="2" t="s">
        <v>6334</v>
      </c>
      <c r="CB2035" s="2" t="s">
        <v>9825</v>
      </c>
      <c r="CC2035" s="2" t="s">
        <v>241</v>
      </c>
      <c r="CD2035" s="2" t="s">
        <v>228</v>
      </c>
      <c r="CE2035" s="4"/>
      <c r="CF2035" s="4">
        <v>133</v>
      </c>
      <c r="CG2035" s="4"/>
      <c r="CH2035" s="4"/>
      <c r="CI2035" s="4"/>
      <c r="CJ2035" s="4"/>
      <c r="CK2035" s="4"/>
      <c r="CL2035" s="4"/>
      <c r="CM2035" s="4"/>
      <c r="CN2035" s="4"/>
      <c r="CO2035" s="4"/>
      <c r="CP2035" s="4"/>
      <c r="CQ2035" s="4"/>
      <c r="CR2035" s="4"/>
      <c r="CS2035" s="4"/>
      <c r="CT2035" s="4"/>
      <c r="CU2035" s="4"/>
      <c r="CV2035" s="4"/>
      <c r="CW2035" s="4"/>
      <c r="CX2035" s="4"/>
      <c r="CY2035" s="4"/>
      <c r="CZ2035" s="4"/>
      <c r="DA2035" s="4"/>
      <c r="DB2035" s="4"/>
      <c r="DC2035" s="4"/>
      <c r="DD2035" s="4"/>
      <c r="DE2035" s="4"/>
      <c r="DF2035" s="4"/>
      <c r="DG2035" s="4"/>
      <c r="DH2035" s="4"/>
      <c r="DI2035" s="4"/>
      <c r="DJ2035" s="4"/>
      <c r="DK2035" s="4"/>
      <c r="DL2035" s="4"/>
      <c r="DM2035" s="4"/>
      <c r="DN2035" s="4"/>
      <c r="DO2035" s="4"/>
      <c r="DP2035" s="4"/>
      <c r="DQ2035" s="4"/>
      <c r="DR2035" s="4"/>
      <c r="DS2035" s="4"/>
      <c r="DT2035" s="4"/>
      <c r="DU2035" s="4"/>
      <c r="DV2035" s="4"/>
      <c r="DW2035" s="4"/>
      <c r="DX2035" s="4"/>
      <c r="DY2035" s="4"/>
      <c r="DZ2035" s="4"/>
      <c r="EA2035" s="4"/>
      <c r="EB2035" s="4"/>
      <c r="EC2035" s="4"/>
      <c r="ED2035" s="4"/>
      <c r="EE2035" s="4"/>
      <c r="EF2035" s="4"/>
      <c r="EG2035" s="4"/>
      <c r="EH2035" s="4"/>
      <c r="EI2035" s="4"/>
      <c r="EJ2035" s="4"/>
      <c r="EK2035" s="4"/>
      <c r="EL2035" s="4"/>
      <c r="EM2035" s="4"/>
      <c r="EN2035" s="4"/>
      <c r="EO2035" s="4"/>
      <c r="EP2035" s="4"/>
      <c r="EQ2035" s="4"/>
      <c r="ER2035" s="4"/>
      <c r="ES2035" s="4"/>
      <c r="ET2035" s="4"/>
      <c r="EU2035" s="4"/>
      <c r="EV2035" s="4"/>
      <c r="EW2035" s="4"/>
      <c r="EX2035" s="4"/>
      <c r="EY2035" s="4"/>
      <c r="EZ2035" s="4"/>
      <c r="FA2035" s="4"/>
      <c r="FB2035" s="4"/>
      <c r="FC2035" s="4"/>
      <c r="FD2035" s="4"/>
      <c r="FE2035" s="4"/>
      <c r="FF2035" s="4"/>
      <c r="FG2035" s="4"/>
      <c r="FH2035" s="4"/>
      <c r="FI2035" s="4"/>
      <c r="FJ2035" s="4"/>
      <c r="FK2035" s="4"/>
      <c r="FL2035" s="4"/>
      <c r="FM2035" s="4"/>
      <c r="FN2035" s="4"/>
      <c r="FO2035" s="4"/>
      <c r="FP2035" s="4"/>
      <c r="FQ2035" s="4"/>
      <c r="FR2035" s="4"/>
      <c r="FS2035" s="4"/>
      <c r="FT2035" s="4"/>
      <c r="FU2035" s="4"/>
      <c r="FV2035" s="4"/>
      <c r="FW2035" s="4"/>
      <c r="FX2035" s="4"/>
      <c r="FY2035" s="4"/>
      <c r="FZ2035" s="4"/>
      <c r="GA2035" s="4"/>
      <c r="GB2035" s="4"/>
      <c r="GC2035" s="4"/>
      <c r="GD2035" s="4"/>
      <c r="GE2035" s="4"/>
      <c r="GF2035" s="4"/>
      <c r="GG2035" s="4"/>
      <c r="GH2035" s="4"/>
      <c r="GI2035" s="4"/>
      <c r="GJ2035" s="4"/>
      <c r="GK2035" s="4"/>
      <c r="GL2035" s="4"/>
      <c r="GM2035" s="4"/>
      <c r="GN2035" s="4"/>
      <c r="GO2035" s="4"/>
      <c r="GP2035" s="4"/>
      <c r="GQ2035" s="4"/>
      <c r="GR2035" s="4"/>
      <c r="GS2035" s="4"/>
      <c r="GT2035" s="4"/>
      <c r="GU2035" s="4"/>
      <c r="GV2035" s="4"/>
      <c r="GW2035" s="4"/>
      <c r="GX2035" s="4"/>
      <c r="GY2035" s="4"/>
      <c r="GZ2035" s="4"/>
      <c r="HA2035" s="4"/>
      <c r="HB2035" s="4"/>
      <c r="HC2035" s="4"/>
      <c r="HD2035" s="4"/>
      <c r="HE2035" s="4"/>
    </row>
    <row r="2036">
      <c r="A2036" s="2" t="s">
        <v>9826</v>
      </c>
      <c r="B2036" s="2" t="s">
        <v>958</v>
      </c>
      <c r="C2036" s="2" t="s">
        <v>300</v>
      </c>
      <c r="D2036" s="2" t="s">
        <v>1006</v>
      </c>
      <c r="E2036" s="2" t="s">
        <v>1007</v>
      </c>
      <c r="F2036" s="2" t="s">
        <v>9827</v>
      </c>
      <c r="G2036" s="2" t="s">
        <v>9828</v>
      </c>
      <c r="H2036" s="2" t="s">
        <v>4603</v>
      </c>
      <c r="I2036" s="2" t="s">
        <v>9829</v>
      </c>
      <c r="J2036" s="2" t="s">
        <v>840</v>
      </c>
      <c r="K2036" s="2" t="s">
        <v>231</v>
      </c>
      <c r="L2036" s="3">
        <v>250</v>
      </c>
      <c r="M2036" s="3">
        <v>262.5</v>
      </c>
      <c r="N2036" s="3">
        <v>529</v>
      </c>
      <c r="O2036" s="2" t="s">
        <v>461</v>
      </c>
      <c r="P2036" s="2" t="s">
        <v>333</v>
      </c>
      <c r="Q2036" s="2" t="s">
        <v>234</v>
      </c>
      <c r="R2036" s="2" t="s">
        <v>228</v>
      </c>
      <c r="S2036" s="2" t="s">
        <v>228</v>
      </c>
      <c r="T2036" s="2" t="s">
        <v>228</v>
      </c>
      <c r="U2036" s="2" t="s">
        <v>416</v>
      </c>
      <c r="V2036" s="2" t="s">
        <v>842</v>
      </c>
      <c r="W2036" s="2" t="s">
        <v>463</v>
      </c>
      <c r="X2036" s="2" t="s">
        <v>228</v>
      </c>
      <c r="Y2036" s="2" t="s">
        <v>4851</v>
      </c>
      <c r="Z2036" s="4">
        <v>62</v>
      </c>
      <c r="AA2036" s="4">
        <f>=ROUNDDOWN(310,0)</f>
      </c>
      <c r="AB2036" s="5">
        <v>0.2</v>
      </c>
      <c r="AC2036" s="2" t="s">
        <v>228</v>
      </c>
      <c r="AD2036" s="4"/>
      <c r="AE2036" s="4"/>
      <c r="AF2036" s="6">
        <v>65</v>
      </c>
      <c r="AG2036" s="6"/>
      <c r="AH2036" s="7">
        <v>1</v>
      </c>
      <c r="AI2036" s="4"/>
      <c r="AJ2036" s="4">
        <f>=ROUNDDOWN({0},0)</f>
      </c>
      <c r="AK2036" s="5"/>
      <c r="AL2036" s="2" t="s">
        <v>228</v>
      </c>
      <c r="AM2036" s="4"/>
      <c r="AN2036" s="4"/>
      <c r="AO2036" s="7"/>
      <c r="AP2036" s="4"/>
      <c r="AQ2036" s="8"/>
      <c r="AR2036" s="4"/>
      <c r="AS2036" s="8"/>
      <c r="AT2036" s="7"/>
      <c r="AU2036" s="7"/>
      <c r="AV2036" s="4"/>
      <c r="AW2036" s="8"/>
      <c r="AX2036" s="4"/>
      <c r="AY2036" s="8"/>
      <c r="AZ2036" s="7"/>
      <c r="BA2036" s="7"/>
      <c r="BB2036" s="7"/>
      <c r="BC2036" s="4"/>
      <c r="BD2036" s="8"/>
      <c r="BE2036" s="4"/>
      <c r="BF2036" s="8"/>
      <c r="BG2036" s="7"/>
      <c r="BH2036" s="7"/>
      <c r="BI2036" s="7"/>
      <c r="BJ2036" s="4"/>
      <c r="BK2036" s="8"/>
      <c r="BL2036" s="2" t="s">
        <v>1033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9830</v>
      </c>
      <c r="BV2036" s="2" t="s">
        <v>228</v>
      </c>
      <c r="BW2036" s="2" t="s">
        <v>228</v>
      </c>
      <c r="BX2036" s="2" t="s">
        <v>337</v>
      </c>
      <c r="BY2036" s="2" t="s">
        <v>274</v>
      </c>
      <c r="BZ2036" s="2" t="s">
        <v>240</v>
      </c>
      <c r="CA2036" s="2" t="s">
        <v>5845</v>
      </c>
      <c r="CB2036" s="2" t="s">
        <v>8706</v>
      </c>
      <c r="CC2036" s="2" t="s">
        <v>241</v>
      </c>
      <c r="CD2036" s="2" t="s">
        <v>228</v>
      </c>
      <c r="CE2036" s="4"/>
      <c r="CF2036" s="4">
        <v>45</v>
      </c>
      <c r="CG2036" s="4"/>
      <c r="CH2036" s="4">
        <v>17</v>
      </c>
      <c r="CI2036" s="4"/>
      <c r="CJ2036" s="4"/>
      <c r="CK2036" s="4"/>
      <c r="CL2036" s="4"/>
      <c r="CM2036" s="4"/>
      <c r="CN2036" s="4"/>
      <c r="CO2036" s="4"/>
      <c r="CP2036" s="4"/>
      <c r="CQ2036" s="4"/>
      <c r="CR2036" s="4"/>
      <c r="CS2036" s="4"/>
      <c r="CT2036" s="4"/>
      <c r="CU2036" s="4"/>
      <c r="CV2036" s="4"/>
      <c r="CW2036" s="4"/>
      <c r="CX2036" s="4"/>
      <c r="CY2036" s="4"/>
      <c r="CZ2036" s="4"/>
      <c r="DA2036" s="4"/>
      <c r="DB2036" s="4"/>
      <c r="DC2036" s="4"/>
      <c r="DD2036" s="4"/>
      <c r="DE2036" s="4"/>
      <c r="DF2036" s="4"/>
      <c r="DG2036" s="4"/>
      <c r="DH2036" s="4"/>
      <c r="DI2036" s="4"/>
      <c r="DJ2036" s="4"/>
      <c r="DK2036" s="4"/>
      <c r="DL2036" s="4"/>
      <c r="DM2036" s="4"/>
      <c r="DN2036" s="4"/>
      <c r="DO2036" s="4"/>
      <c r="DP2036" s="4"/>
      <c r="DQ2036" s="4"/>
      <c r="DR2036" s="4"/>
      <c r="DS2036" s="4"/>
      <c r="DT2036" s="4"/>
      <c r="DU2036" s="4"/>
      <c r="DV2036" s="4"/>
      <c r="DW2036" s="4"/>
      <c r="DX2036" s="4"/>
      <c r="DY2036" s="4"/>
      <c r="DZ2036" s="4"/>
      <c r="EA2036" s="4"/>
      <c r="EB2036" s="4"/>
      <c r="EC2036" s="4"/>
      <c r="ED2036" s="4"/>
      <c r="EE2036" s="4"/>
      <c r="EF2036" s="4"/>
      <c r="EG2036" s="4"/>
      <c r="EH2036" s="4"/>
      <c r="EI2036" s="4"/>
      <c r="EJ2036" s="4"/>
      <c r="EK2036" s="4"/>
      <c r="EL2036" s="4"/>
      <c r="EM2036" s="4"/>
      <c r="EN2036" s="4"/>
      <c r="EO2036" s="4"/>
      <c r="EP2036" s="4"/>
      <c r="EQ2036" s="4"/>
      <c r="ER2036" s="4"/>
      <c r="ES2036" s="4"/>
      <c r="ET2036" s="4"/>
      <c r="EU2036" s="4"/>
      <c r="EV2036" s="4"/>
      <c r="EW2036" s="4"/>
      <c r="EX2036" s="4"/>
      <c r="EY2036" s="4"/>
      <c r="EZ2036" s="4"/>
      <c r="FA2036" s="4"/>
      <c r="FB2036" s="4"/>
      <c r="FC2036" s="4"/>
      <c r="FD2036" s="4"/>
      <c r="FE2036" s="4"/>
      <c r="FF2036" s="4"/>
      <c r="FG2036" s="4"/>
      <c r="FH2036" s="4"/>
      <c r="FI2036" s="4"/>
      <c r="FJ2036" s="4"/>
      <c r="FK2036" s="4"/>
      <c r="FL2036" s="4"/>
      <c r="FM2036" s="4"/>
      <c r="FN2036" s="4"/>
      <c r="FO2036" s="4"/>
      <c r="FP2036" s="4"/>
      <c r="FQ2036" s="4"/>
      <c r="FR2036" s="4"/>
      <c r="FS2036" s="4"/>
      <c r="FT2036" s="4"/>
      <c r="FU2036" s="4"/>
      <c r="FV2036" s="4"/>
      <c r="FW2036" s="4"/>
      <c r="FX2036" s="4"/>
      <c r="FY2036" s="4"/>
      <c r="FZ2036" s="4"/>
      <c r="GA2036" s="4"/>
      <c r="GB2036" s="4"/>
      <c r="GC2036" s="4"/>
      <c r="GD2036" s="4"/>
      <c r="GE2036" s="4"/>
      <c r="GF2036" s="4"/>
      <c r="GG2036" s="4"/>
      <c r="GH2036" s="4"/>
      <c r="GI2036" s="4"/>
      <c r="GJ2036" s="4"/>
      <c r="GK2036" s="4"/>
      <c r="GL2036" s="4"/>
      <c r="GM2036" s="4"/>
      <c r="GN2036" s="4"/>
      <c r="GO2036" s="4"/>
      <c r="GP2036" s="4"/>
      <c r="GQ2036" s="4"/>
      <c r="GR2036" s="4"/>
      <c r="GS2036" s="4"/>
      <c r="GT2036" s="4"/>
      <c r="GU2036" s="4"/>
      <c r="GV2036" s="4"/>
      <c r="GW2036" s="4"/>
      <c r="GX2036" s="4"/>
      <c r="GY2036" s="4"/>
      <c r="GZ2036" s="4"/>
      <c r="HA2036" s="4"/>
      <c r="HB2036" s="4"/>
      <c r="HC2036" s="4"/>
      <c r="HD2036" s="4"/>
      <c r="HE2036" s="4"/>
    </row>
    <row r="2037">
      <c r="A2037" s="2" t="s">
        <v>9831</v>
      </c>
      <c r="B2037" s="2" t="s">
        <v>834</v>
      </c>
      <c r="C2037" s="2" t="s">
        <v>835</v>
      </c>
      <c r="D2037" s="2" t="s">
        <v>1028</v>
      </c>
      <c r="E2037" s="2" t="s">
        <v>1029</v>
      </c>
      <c r="F2037" s="2" t="s">
        <v>9832</v>
      </c>
      <c r="G2037" s="2" t="s">
        <v>9832</v>
      </c>
      <c r="H2037" s="2" t="s">
        <v>9832</v>
      </c>
      <c r="I2037" s="2" t="s">
        <v>9833</v>
      </c>
      <c r="J2037" s="2" t="s">
        <v>840</v>
      </c>
      <c r="K2037" s="2" t="s">
        <v>4630</v>
      </c>
      <c r="L2037" s="3">
        <v>41.08</v>
      </c>
      <c r="M2037" s="3">
        <v>43.13</v>
      </c>
      <c r="N2037" s="3">
        <v>89.99</v>
      </c>
      <c r="O2037" s="2" t="s">
        <v>461</v>
      </c>
      <c r="P2037" s="2" t="s">
        <v>333</v>
      </c>
      <c r="Q2037" s="2" t="s">
        <v>234</v>
      </c>
      <c r="R2037" s="2" t="s">
        <v>228</v>
      </c>
      <c r="S2037" s="2" t="s">
        <v>228</v>
      </c>
      <c r="T2037" s="2" t="s">
        <v>228</v>
      </c>
      <c r="U2037" s="2" t="s">
        <v>416</v>
      </c>
      <c r="V2037" s="2" t="s">
        <v>842</v>
      </c>
      <c r="W2037" s="2" t="s">
        <v>843</v>
      </c>
      <c r="X2037" s="2" t="s">
        <v>228</v>
      </c>
      <c r="Y2037" s="2" t="s">
        <v>1146</v>
      </c>
      <c r="Z2037" s="4">
        <v>149</v>
      </c>
      <c r="AA2037" s="4">
        <f>=ROUNDDOWN(248.333333333333,0)</f>
      </c>
      <c r="AB2037" s="5">
        <v>0.6</v>
      </c>
      <c r="AC2037" s="2" t="s">
        <v>228</v>
      </c>
      <c r="AD2037" s="4"/>
      <c r="AE2037" s="4"/>
      <c r="AF2037" s="6">
        <v>65</v>
      </c>
      <c r="AG2037" s="6"/>
      <c r="AH2037" s="7">
        <v>1</v>
      </c>
      <c r="AI2037" s="4"/>
      <c r="AJ2037" s="4">
        <f>=ROUNDDOWN({0},0)</f>
      </c>
      <c r="AK2037" s="5"/>
      <c r="AL2037" s="2" t="s">
        <v>228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/>
      <c r="AW2037" s="8"/>
      <c r="AX2037" s="4"/>
      <c r="AY2037" s="8"/>
      <c r="AZ2037" s="7"/>
      <c r="BA2037" s="7"/>
      <c r="BB2037" s="7"/>
      <c r="BC2037" s="4" t="s">
        <v>228</v>
      </c>
      <c r="BD2037" s="8" t="s">
        <v>228</v>
      </c>
      <c r="BE2037" s="4" t="s">
        <v>228</v>
      </c>
      <c r="BF2037" s="8" t="s">
        <v>228</v>
      </c>
      <c r="BG2037" s="7" t="s">
        <v>228</v>
      </c>
      <c r="BH2037" s="7" t="s">
        <v>228</v>
      </c>
      <c r="BI2037" s="7"/>
      <c r="BJ2037" s="4"/>
      <c r="BK2037" s="8"/>
      <c r="BL2037" s="2" t="s">
        <v>484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9834</v>
      </c>
      <c r="BV2037" s="2" t="s">
        <v>228</v>
      </c>
      <c r="BW2037" s="2" t="s">
        <v>228</v>
      </c>
      <c r="BX2037" s="2" t="s">
        <v>337</v>
      </c>
      <c r="BY2037" s="2" t="s">
        <v>274</v>
      </c>
      <c r="BZ2037" s="2" t="s">
        <v>240</v>
      </c>
      <c r="CA2037" s="2" t="s">
        <v>4953</v>
      </c>
      <c r="CB2037" s="2" t="s">
        <v>1632</v>
      </c>
      <c r="CC2037" s="2" t="s">
        <v>241</v>
      </c>
      <c r="CD2037" s="2" t="s">
        <v>228</v>
      </c>
      <c r="CE2037" s="4"/>
      <c r="CF2037" s="4">
        <v>149</v>
      </c>
      <c r="CG2037" s="4"/>
      <c r="CH2037" s="4"/>
      <c r="CI2037" s="4"/>
      <c r="CJ2037" s="4"/>
      <c r="CK2037" s="4"/>
      <c r="CL2037" s="4"/>
      <c r="CM2037" s="4"/>
      <c r="CN2037" s="4"/>
      <c r="CO2037" s="4"/>
      <c r="CP2037" s="4"/>
      <c r="CQ2037" s="4"/>
      <c r="CR2037" s="4"/>
      <c r="CS2037" s="4"/>
      <c r="CT2037" s="4"/>
      <c r="CU2037" s="4"/>
      <c r="CV2037" s="4"/>
      <c r="CW2037" s="4"/>
      <c r="CX2037" s="4"/>
      <c r="CY2037" s="4"/>
      <c r="CZ2037" s="4"/>
      <c r="DA2037" s="4"/>
      <c r="DB2037" s="4"/>
      <c r="DC2037" s="4"/>
      <c r="DD2037" s="4"/>
      <c r="DE2037" s="4"/>
      <c r="DF2037" s="4"/>
      <c r="DG2037" s="4"/>
      <c r="DH2037" s="4"/>
      <c r="DI2037" s="4"/>
      <c r="DJ2037" s="4"/>
      <c r="DK2037" s="4"/>
      <c r="DL2037" s="4"/>
      <c r="DM2037" s="4"/>
      <c r="DN2037" s="4"/>
      <c r="DO2037" s="4"/>
      <c r="DP2037" s="4"/>
      <c r="DQ2037" s="4"/>
      <c r="DR2037" s="4"/>
      <c r="DS2037" s="4"/>
      <c r="DT2037" s="4"/>
      <c r="DU2037" s="4"/>
      <c r="DV2037" s="4"/>
      <c r="DW2037" s="4"/>
      <c r="DX2037" s="4"/>
      <c r="DY2037" s="4"/>
      <c r="DZ2037" s="4"/>
      <c r="EA2037" s="4"/>
      <c r="EB2037" s="4"/>
      <c r="EC2037" s="4"/>
      <c r="ED2037" s="4"/>
      <c r="EE2037" s="4"/>
      <c r="EF2037" s="4"/>
      <c r="EG2037" s="4"/>
      <c r="EH2037" s="4"/>
      <c r="EI2037" s="4"/>
      <c r="EJ2037" s="4"/>
      <c r="EK2037" s="4"/>
      <c r="EL2037" s="4"/>
      <c r="EM2037" s="4"/>
      <c r="EN2037" s="4"/>
      <c r="EO2037" s="4"/>
      <c r="EP2037" s="4"/>
      <c r="EQ2037" s="4"/>
      <c r="ER2037" s="4"/>
      <c r="ES2037" s="4"/>
      <c r="ET2037" s="4"/>
      <c r="EU2037" s="4"/>
      <c r="EV2037" s="4"/>
      <c r="EW2037" s="4"/>
      <c r="EX2037" s="4"/>
      <c r="EY2037" s="4"/>
      <c r="EZ2037" s="4"/>
      <c r="FA2037" s="4"/>
      <c r="FB2037" s="4"/>
      <c r="FC2037" s="4"/>
      <c r="FD2037" s="4"/>
      <c r="FE2037" s="4"/>
      <c r="FF2037" s="4"/>
      <c r="FG2037" s="4"/>
      <c r="FH2037" s="4"/>
      <c r="FI2037" s="4"/>
      <c r="FJ2037" s="4"/>
      <c r="FK2037" s="4"/>
      <c r="FL2037" s="4"/>
      <c r="FM2037" s="4"/>
      <c r="FN2037" s="4"/>
      <c r="FO2037" s="4"/>
      <c r="FP2037" s="4"/>
      <c r="FQ2037" s="4"/>
      <c r="FR2037" s="4"/>
      <c r="FS2037" s="4"/>
      <c r="FT2037" s="4"/>
      <c r="FU2037" s="4"/>
      <c r="FV2037" s="4"/>
      <c r="FW2037" s="4"/>
      <c r="FX2037" s="4"/>
      <c r="FY2037" s="4"/>
      <c r="FZ2037" s="4"/>
      <c r="GA2037" s="4"/>
      <c r="GB2037" s="4"/>
      <c r="GC2037" s="4"/>
      <c r="GD2037" s="4"/>
      <c r="GE2037" s="4"/>
      <c r="GF2037" s="4"/>
      <c r="GG2037" s="4"/>
      <c r="GH2037" s="4"/>
      <c r="GI2037" s="4"/>
      <c r="GJ2037" s="4"/>
      <c r="GK2037" s="4"/>
      <c r="GL2037" s="4"/>
      <c r="GM2037" s="4"/>
      <c r="GN2037" s="4"/>
      <c r="GO2037" s="4"/>
      <c r="GP2037" s="4"/>
      <c r="GQ2037" s="4"/>
      <c r="GR2037" s="4"/>
      <c r="GS2037" s="4"/>
      <c r="GT2037" s="4"/>
      <c r="GU2037" s="4"/>
      <c r="GV2037" s="4"/>
      <c r="GW2037" s="4"/>
      <c r="GX2037" s="4"/>
      <c r="GY2037" s="4"/>
      <c r="GZ2037" s="4"/>
      <c r="HA2037" s="4"/>
      <c r="HB2037" s="4"/>
      <c r="HC2037" s="4"/>
      <c r="HD2037" s="4"/>
      <c r="HE2037" s="4"/>
    </row>
    <row r="2038">
      <c r="A2038" s="2" t="s">
        <v>9835</v>
      </c>
      <c r="B2038" s="2" t="s">
        <v>1150</v>
      </c>
      <c r="C2038" s="2" t="s">
        <v>345</v>
      </c>
      <c r="D2038" s="2" t="s">
        <v>1112</v>
      </c>
      <c r="E2038" s="2" t="s">
        <v>1151</v>
      </c>
      <c r="F2038" s="2" t="s">
        <v>9836</v>
      </c>
      <c r="G2038" s="2" t="s">
        <v>9837</v>
      </c>
      <c r="H2038" s="2" t="s">
        <v>9838</v>
      </c>
      <c r="I2038" s="2" t="s">
        <v>7919</v>
      </c>
      <c r="J2038" s="2" t="s">
        <v>312</v>
      </c>
      <c r="K2038" s="2" t="s">
        <v>829</v>
      </c>
      <c r="L2038" s="3">
        <v>65.7</v>
      </c>
      <c r="M2038" s="3">
        <v>68.98</v>
      </c>
      <c r="N2038" s="3">
        <v>119.99</v>
      </c>
      <c r="O2038" s="2" t="s">
        <v>240</v>
      </c>
      <c r="P2038" s="2" t="s">
        <v>889</v>
      </c>
      <c r="Q2038" s="2" t="s">
        <v>234</v>
      </c>
      <c r="R2038" s="2" t="s">
        <v>228</v>
      </c>
      <c r="S2038" s="2" t="s">
        <v>9839</v>
      </c>
      <c r="T2038" s="2" t="s">
        <v>228</v>
      </c>
      <c r="U2038" s="2" t="s">
        <v>1162</v>
      </c>
      <c r="V2038" s="2" t="s">
        <v>374</v>
      </c>
      <c r="W2038" s="2" t="s">
        <v>269</v>
      </c>
      <c r="X2038" s="2" t="s">
        <v>417</v>
      </c>
      <c r="Y2038" s="2" t="s">
        <v>270</v>
      </c>
      <c r="Z2038" s="4">
        <v>123</v>
      </c>
      <c r="AA2038" s="4">
        <f>=ROUNDDOWN(30.75,0)</f>
      </c>
      <c r="AB2038" s="5">
        <v>4</v>
      </c>
      <c r="AC2038" s="2" t="s">
        <v>3792</v>
      </c>
      <c r="AD2038" s="4">
        <v>50</v>
      </c>
      <c r="AE2038" s="4">
        <v>120</v>
      </c>
      <c r="AF2038" s="6">
        <v>65</v>
      </c>
      <c r="AG2038" s="6"/>
      <c r="AH2038" s="7">
        <v>1</v>
      </c>
      <c r="AI2038" s="4"/>
      <c r="AJ2038" s="4">
        <f>=ROUNDDOWN({0},0)</f>
      </c>
      <c r="AK2038" s="5"/>
      <c r="AL2038" s="2" t="s">
        <v>228</v>
      </c>
      <c r="AM2038" s="4"/>
      <c r="AN2038" s="4"/>
      <c r="AO2038" s="7"/>
      <c r="AP2038" s="4"/>
      <c r="AQ2038" s="8"/>
      <c r="AR2038" s="4"/>
      <c r="AS2038" s="8"/>
      <c r="AT2038" s="7"/>
      <c r="AU2038" s="7"/>
      <c r="AV2038" s="4"/>
      <c r="AW2038" s="8"/>
      <c r="AX2038" s="4"/>
      <c r="AY2038" s="8"/>
      <c r="AZ2038" s="7"/>
      <c r="BA2038" s="7"/>
      <c r="BB2038" s="7"/>
      <c r="BC2038" s="4" t="s">
        <v>228</v>
      </c>
      <c r="BD2038" s="8" t="s">
        <v>228</v>
      </c>
      <c r="BE2038" s="4" t="s">
        <v>228</v>
      </c>
      <c r="BF2038" s="8" t="s">
        <v>228</v>
      </c>
      <c r="BG2038" s="7" t="s">
        <v>228</v>
      </c>
      <c r="BH2038" s="7" t="s">
        <v>228</v>
      </c>
      <c r="BI2038" s="7"/>
      <c r="BJ2038" s="4">
        <v>23</v>
      </c>
      <c r="BK2038" s="8">
        <v>1850.88</v>
      </c>
      <c r="BL2038" s="2" t="s">
        <v>9840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9841</v>
      </c>
      <c r="BV2038" s="2" t="s">
        <v>228</v>
      </c>
      <c r="BW2038" s="2" t="s">
        <v>228</v>
      </c>
      <c r="BX2038" s="2" t="s">
        <v>273</v>
      </c>
      <c r="BY2038" s="2" t="s">
        <v>274</v>
      </c>
      <c r="BZ2038" s="2" t="s">
        <v>240</v>
      </c>
      <c r="CA2038" s="2" t="s">
        <v>275</v>
      </c>
      <c r="CB2038" s="2" t="s">
        <v>9842</v>
      </c>
      <c r="CC2038" s="2" t="s">
        <v>241</v>
      </c>
      <c r="CD2038" s="2" t="s">
        <v>228</v>
      </c>
      <c r="CE2038" s="4">
        <v>123</v>
      </c>
      <c r="CF2038" s="4"/>
      <c r="CG2038" s="4"/>
      <c r="CH2038" s="4"/>
      <c r="CI2038" s="4"/>
      <c r="CJ2038" s="4"/>
      <c r="CK2038" s="4"/>
      <c r="CL2038" s="4"/>
      <c r="CM2038" s="4"/>
      <c r="CN2038" s="4"/>
      <c r="CO2038" s="4"/>
      <c r="CP2038" s="4"/>
      <c r="CQ2038" s="4"/>
      <c r="CR2038" s="4"/>
      <c r="CS2038" s="4"/>
      <c r="CT2038" s="4"/>
      <c r="CU2038" s="4"/>
      <c r="CV2038" s="4"/>
      <c r="CW2038" s="4"/>
      <c r="CX2038" s="4"/>
      <c r="CY2038" s="4"/>
      <c r="CZ2038" s="4"/>
      <c r="DA2038" s="4"/>
      <c r="DB2038" s="4"/>
      <c r="DC2038" s="4"/>
      <c r="DD2038" s="4"/>
      <c r="DE2038" s="4"/>
      <c r="DF2038" s="4"/>
      <c r="DG2038" s="4"/>
      <c r="DH2038" s="4"/>
      <c r="DI2038" s="4"/>
      <c r="DJ2038" s="4"/>
      <c r="DK2038" s="4"/>
      <c r="DL2038" s="4"/>
      <c r="DM2038" s="4"/>
      <c r="DN2038" s="4"/>
      <c r="DO2038" s="4"/>
      <c r="DP2038" s="4"/>
      <c r="DQ2038" s="4"/>
      <c r="DR2038" s="4"/>
      <c r="DS2038" s="4"/>
      <c r="DT2038" s="4"/>
      <c r="DU2038" s="4"/>
      <c r="DV2038" s="4"/>
      <c r="DW2038" s="4">
        <v>50</v>
      </c>
      <c r="DX2038" s="4"/>
      <c r="DY2038" s="4"/>
      <c r="DZ2038" s="4"/>
      <c r="EA2038" s="4"/>
      <c r="EB2038" s="4"/>
      <c r="EC2038" s="4"/>
      <c r="ED2038" s="4"/>
      <c r="EE2038" s="4"/>
      <c r="EF2038" s="4"/>
      <c r="EG2038" s="4"/>
      <c r="EH2038" s="4"/>
      <c r="EI2038" s="4"/>
      <c r="EJ2038" s="4"/>
      <c r="EK2038" s="4"/>
      <c r="EL2038" s="4"/>
      <c r="EM2038" s="4"/>
      <c r="EN2038" s="4"/>
      <c r="EO2038" s="4"/>
      <c r="EP2038" s="4"/>
      <c r="EQ2038" s="4"/>
      <c r="ER2038" s="4"/>
      <c r="ES2038" s="4"/>
      <c r="ET2038" s="4"/>
      <c r="EU2038" s="4"/>
      <c r="EV2038" s="4"/>
      <c r="EW2038" s="4"/>
      <c r="EX2038" s="4"/>
      <c r="EY2038" s="4"/>
      <c r="EZ2038" s="4"/>
      <c r="FA2038" s="4"/>
      <c r="FB2038" s="4"/>
      <c r="FC2038" s="4"/>
      <c r="FD2038" s="4"/>
      <c r="FE2038" s="4"/>
      <c r="FF2038" s="4"/>
      <c r="FG2038" s="4"/>
      <c r="FH2038" s="4"/>
      <c r="FI2038" s="4"/>
      <c r="FJ2038" s="4"/>
      <c r="FK2038" s="4">
        <v>70</v>
      </c>
      <c r="FL2038" s="4"/>
      <c r="FM2038" s="4"/>
      <c r="FN2038" s="4"/>
      <c r="FO2038" s="4"/>
      <c r="FP2038" s="4"/>
      <c r="FQ2038" s="4"/>
      <c r="FR2038" s="4"/>
      <c r="FS2038" s="4"/>
      <c r="FT2038" s="4"/>
      <c r="FU2038" s="4"/>
      <c r="FV2038" s="4"/>
      <c r="FW2038" s="4"/>
      <c r="FX2038" s="4"/>
      <c r="FY2038" s="4"/>
      <c r="FZ2038" s="4"/>
      <c r="GA2038" s="4"/>
      <c r="GB2038" s="4"/>
      <c r="GC2038" s="4"/>
      <c r="GD2038" s="4"/>
      <c r="GE2038" s="4"/>
      <c r="GF2038" s="4"/>
      <c r="GG2038" s="4"/>
      <c r="GH2038" s="4"/>
      <c r="GI2038" s="4"/>
      <c r="GJ2038" s="4"/>
      <c r="GK2038" s="4"/>
      <c r="GL2038" s="4"/>
      <c r="GM2038" s="4"/>
      <c r="GN2038" s="4"/>
      <c r="GO2038" s="4"/>
      <c r="GP2038" s="4"/>
      <c r="GQ2038" s="4"/>
      <c r="GR2038" s="4"/>
      <c r="GS2038" s="4"/>
      <c r="GT2038" s="4"/>
      <c r="GU2038" s="4"/>
      <c r="GV2038" s="4"/>
      <c r="GW2038" s="4"/>
      <c r="GX2038" s="4"/>
      <c r="GY2038" s="4"/>
      <c r="GZ2038" s="4"/>
      <c r="HA2038" s="4"/>
      <c r="HB2038" s="4"/>
      <c r="HC2038" s="4"/>
      <c r="HD2038" s="4"/>
      <c r="HE2038" s="4"/>
    </row>
    <row r="2039">
      <c r="A2039" s="2" t="s">
        <v>9843</v>
      </c>
      <c r="B2039" s="2" t="s">
        <v>223</v>
      </c>
      <c r="C2039" s="2" t="s">
        <v>918</v>
      </c>
      <c r="D2039" s="2" t="s">
        <v>1862</v>
      </c>
      <c r="E2039" s="2" t="s">
        <v>1863</v>
      </c>
      <c r="F2039" s="2" t="s">
        <v>9844</v>
      </c>
      <c r="G2039" s="2" t="s">
        <v>9844</v>
      </c>
      <c r="H2039" s="2" t="s">
        <v>9844</v>
      </c>
      <c r="I2039" s="2" t="s">
        <v>9845</v>
      </c>
      <c r="J2039" s="2" t="s">
        <v>1991</v>
      </c>
      <c r="K2039" s="2" t="s">
        <v>1960</v>
      </c>
      <c r="L2039" s="3">
        <v>22.28</v>
      </c>
      <c r="M2039" s="3">
        <v>23.39</v>
      </c>
      <c r="N2039" s="3">
        <v>59.99</v>
      </c>
      <c r="O2039" s="2" t="s">
        <v>240</v>
      </c>
      <c r="P2039" s="2" t="s">
        <v>333</v>
      </c>
      <c r="Q2039" s="2" t="s">
        <v>234</v>
      </c>
      <c r="R2039" s="2" t="s">
        <v>228</v>
      </c>
      <c r="S2039" s="2" t="s">
        <v>228</v>
      </c>
      <c r="T2039" s="2" t="s">
        <v>1608</v>
      </c>
      <c r="U2039" s="2" t="s">
        <v>416</v>
      </c>
      <c r="V2039" s="2" t="s">
        <v>236</v>
      </c>
      <c r="W2039" s="2" t="s">
        <v>309</v>
      </c>
      <c r="X2039" s="2" t="s">
        <v>228</v>
      </c>
      <c r="Y2039" s="2" t="s">
        <v>1314</v>
      </c>
      <c r="Z2039" s="4">
        <v>115</v>
      </c>
      <c r="AA2039" s="4">
        <f>=ROUNDDOWN(57.5,0)</f>
      </c>
      <c r="AB2039" s="5">
        <v>2</v>
      </c>
      <c r="AC2039" s="2" t="s">
        <v>228</v>
      </c>
      <c r="AD2039" s="4"/>
      <c r="AE2039" s="4"/>
      <c r="AF2039" s="6">
        <v>65</v>
      </c>
      <c r="AG2039" s="6"/>
      <c r="AH2039" s="7">
        <v>1</v>
      </c>
      <c r="AI2039" s="4"/>
      <c r="AJ2039" s="4">
        <f>=ROUNDDOWN({0},0)</f>
      </c>
      <c r="AK2039" s="5"/>
      <c r="AL2039" s="2" t="s">
        <v>228</v>
      </c>
      <c r="AM2039" s="4"/>
      <c r="AN2039" s="4"/>
      <c r="AO2039" s="7"/>
      <c r="AP2039" s="4"/>
      <c r="AQ2039" s="8"/>
      <c r="AR2039" s="4"/>
      <c r="AS2039" s="8"/>
      <c r="AT2039" s="7"/>
      <c r="AU2039" s="7"/>
      <c r="AV2039" s="4"/>
      <c r="AW2039" s="8"/>
      <c r="AX2039" s="4"/>
      <c r="AY2039" s="8"/>
      <c r="AZ2039" s="7"/>
      <c r="BA2039" s="7"/>
      <c r="BB2039" s="7"/>
      <c r="BC2039" s="4" t="s">
        <v>228</v>
      </c>
      <c r="BD2039" s="8" t="s">
        <v>228</v>
      </c>
      <c r="BE2039" s="4" t="s">
        <v>228</v>
      </c>
      <c r="BF2039" s="8" t="s">
        <v>228</v>
      </c>
      <c r="BG2039" s="7" t="s">
        <v>228</v>
      </c>
      <c r="BH2039" s="7" t="s">
        <v>228</v>
      </c>
      <c r="BI2039" s="7"/>
      <c r="BJ2039" s="4">
        <v>9</v>
      </c>
      <c r="BK2039" s="8">
        <v>229.53</v>
      </c>
      <c r="BL2039" s="2" t="s">
        <v>9846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9847</v>
      </c>
      <c r="BV2039" s="2" t="s">
        <v>228</v>
      </c>
      <c r="BW2039" s="2" t="s">
        <v>228</v>
      </c>
      <c r="BX2039" s="2" t="s">
        <v>337</v>
      </c>
      <c r="BY2039" s="2" t="s">
        <v>274</v>
      </c>
      <c r="BZ2039" s="2" t="s">
        <v>240</v>
      </c>
      <c r="CA2039" s="2" t="s">
        <v>1671</v>
      </c>
      <c r="CB2039" s="2" t="s">
        <v>228</v>
      </c>
      <c r="CC2039" s="2" t="s">
        <v>241</v>
      </c>
      <c r="CD2039" s="2" t="s">
        <v>228</v>
      </c>
      <c r="CE2039" s="4">
        <v>115</v>
      </c>
      <c r="CF2039" s="4"/>
      <c r="CG2039" s="4"/>
      <c r="CH2039" s="4"/>
      <c r="CI2039" s="4"/>
      <c r="CJ2039" s="4"/>
      <c r="CK2039" s="4"/>
      <c r="CL2039" s="4"/>
      <c r="CM2039" s="4"/>
      <c r="CN2039" s="4"/>
      <c r="CO2039" s="4"/>
      <c r="CP2039" s="4"/>
      <c r="CQ2039" s="4"/>
      <c r="CR2039" s="4"/>
      <c r="CS2039" s="4"/>
      <c r="CT2039" s="4"/>
      <c r="CU2039" s="4"/>
      <c r="CV2039" s="4"/>
      <c r="CW2039" s="4"/>
      <c r="CX2039" s="4"/>
      <c r="CY2039" s="4"/>
      <c r="CZ2039" s="4"/>
      <c r="DA2039" s="4"/>
      <c r="DB2039" s="4"/>
      <c r="DC2039" s="4"/>
      <c r="DD2039" s="4"/>
      <c r="DE2039" s="4"/>
      <c r="DF2039" s="4"/>
      <c r="DG2039" s="4"/>
      <c r="DH2039" s="4"/>
      <c r="DI2039" s="4"/>
      <c r="DJ2039" s="4"/>
      <c r="DK2039" s="4"/>
      <c r="DL2039" s="4"/>
      <c r="DM2039" s="4"/>
      <c r="DN2039" s="4"/>
      <c r="DO2039" s="4"/>
      <c r="DP2039" s="4"/>
      <c r="DQ2039" s="4"/>
      <c r="DR2039" s="4"/>
      <c r="DS2039" s="4"/>
      <c r="DT2039" s="4"/>
      <c r="DU2039" s="4"/>
      <c r="DV2039" s="4"/>
      <c r="DW2039" s="4"/>
      <c r="DX2039" s="4"/>
      <c r="DY2039" s="4"/>
      <c r="DZ2039" s="4"/>
      <c r="EA2039" s="4"/>
      <c r="EB2039" s="4"/>
      <c r="EC2039" s="4"/>
      <c r="ED2039" s="4"/>
      <c r="EE2039" s="4"/>
      <c r="EF2039" s="4"/>
      <c r="EG2039" s="4"/>
      <c r="EH2039" s="4"/>
      <c r="EI2039" s="4"/>
      <c r="EJ2039" s="4"/>
      <c r="EK2039" s="4"/>
      <c r="EL2039" s="4"/>
      <c r="EM2039" s="4"/>
      <c r="EN2039" s="4"/>
      <c r="EO2039" s="4"/>
      <c r="EP2039" s="4"/>
      <c r="EQ2039" s="4"/>
      <c r="ER2039" s="4"/>
      <c r="ES2039" s="4"/>
      <c r="ET2039" s="4"/>
      <c r="EU2039" s="4"/>
      <c r="EV2039" s="4"/>
      <c r="EW2039" s="4"/>
      <c r="EX2039" s="4"/>
      <c r="EY2039" s="4"/>
      <c r="EZ2039" s="4"/>
      <c r="FA2039" s="4"/>
      <c r="FB2039" s="4"/>
      <c r="FC2039" s="4"/>
      <c r="FD2039" s="4"/>
      <c r="FE2039" s="4"/>
      <c r="FF2039" s="4"/>
      <c r="FG2039" s="4"/>
      <c r="FH2039" s="4"/>
      <c r="FI2039" s="4"/>
      <c r="FJ2039" s="4"/>
      <c r="FK2039" s="4"/>
      <c r="FL2039" s="4"/>
      <c r="FM2039" s="4"/>
      <c r="FN2039" s="4"/>
      <c r="FO2039" s="4"/>
      <c r="FP2039" s="4"/>
      <c r="FQ2039" s="4"/>
      <c r="FR2039" s="4"/>
      <c r="FS2039" s="4"/>
      <c r="FT2039" s="4"/>
      <c r="FU2039" s="4"/>
      <c r="FV2039" s="4"/>
      <c r="FW2039" s="4"/>
      <c r="FX2039" s="4"/>
      <c r="FY2039" s="4"/>
      <c r="FZ2039" s="4"/>
      <c r="GA2039" s="4"/>
      <c r="GB2039" s="4"/>
      <c r="GC2039" s="4"/>
      <c r="GD2039" s="4"/>
      <c r="GE2039" s="4"/>
      <c r="GF2039" s="4"/>
      <c r="GG2039" s="4"/>
      <c r="GH2039" s="4"/>
      <c r="GI2039" s="4"/>
      <c r="GJ2039" s="4"/>
      <c r="GK2039" s="4"/>
      <c r="GL2039" s="4"/>
      <c r="GM2039" s="4"/>
      <c r="GN2039" s="4"/>
      <c r="GO2039" s="4"/>
      <c r="GP2039" s="4"/>
      <c r="GQ2039" s="4"/>
      <c r="GR2039" s="4"/>
      <c r="GS2039" s="4"/>
      <c r="GT2039" s="4"/>
      <c r="GU2039" s="4"/>
      <c r="GV2039" s="4"/>
      <c r="GW2039" s="4"/>
      <c r="GX2039" s="4"/>
      <c r="GY2039" s="4"/>
      <c r="GZ2039" s="4"/>
      <c r="HA2039" s="4"/>
      <c r="HB2039" s="4"/>
      <c r="HC2039" s="4"/>
      <c r="HD2039" s="4"/>
      <c r="HE2039" s="4"/>
    </row>
    <row r="2040">
      <c r="A2040" s="2" t="s">
        <v>9848</v>
      </c>
      <c r="B2040" s="2" t="s">
        <v>223</v>
      </c>
      <c r="C2040" s="2" t="s">
        <v>918</v>
      </c>
      <c r="D2040" s="2" t="s">
        <v>1862</v>
      </c>
      <c r="E2040" s="2" t="s">
        <v>1863</v>
      </c>
      <c r="F2040" s="2" t="s">
        <v>9844</v>
      </c>
      <c r="G2040" s="2" t="s">
        <v>9844</v>
      </c>
      <c r="H2040" s="2" t="s">
        <v>9844</v>
      </c>
      <c r="I2040" s="2" t="s">
        <v>9845</v>
      </c>
      <c r="J2040" s="2" t="s">
        <v>1991</v>
      </c>
      <c r="K2040" s="2" t="s">
        <v>9849</v>
      </c>
      <c r="L2040" s="3">
        <v>22.28</v>
      </c>
      <c r="M2040" s="3">
        <v>23.39</v>
      </c>
      <c r="N2040" s="3">
        <v>59.99</v>
      </c>
      <c r="O2040" s="2" t="s">
        <v>240</v>
      </c>
      <c r="P2040" s="2" t="s">
        <v>333</v>
      </c>
      <c r="Q2040" s="2" t="s">
        <v>234</v>
      </c>
      <c r="R2040" s="2" t="s">
        <v>228</v>
      </c>
      <c r="S2040" s="2" t="s">
        <v>228</v>
      </c>
      <c r="T2040" s="2" t="s">
        <v>1608</v>
      </c>
      <c r="U2040" s="2" t="s">
        <v>416</v>
      </c>
      <c r="V2040" s="2" t="s">
        <v>236</v>
      </c>
      <c r="W2040" s="2" t="s">
        <v>309</v>
      </c>
      <c r="X2040" s="2" t="s">
        <v>228</v>
      </c>
      <c r="Y2040" s="2" t="s">
        <v>1314</v>
      </c>
      <c r="Z2040" s="4">
        <v>147</v>
      </c>
      <c r="AA2040" s="4">
        <f>=ROUNDDOWN(147,0)</f>
      </c>
      <c r="AB2040" s="5">
        <v>1</v>
      </c>
      <c r="AC2040" s="2" t="s">
        <v>228</v>
      </c>
      <c r="AD2040" s="4"/>
      <c r="AE2040" s="4"/>
      <c r="AF2040" s="6">
        <v>65</v>
      </c>
      <c r="AG2040" s="6"/>
      <c r="AH2040" s="7">
        <v>1</v>
      </c>
      <c r="AI2040" s="4"/>
      <c r="AJ2040" s="4">
        <f>=ROUNDDOWN({0},0)</f>
      </c>
      <c r="AK2040" s="5"/>
      <c r="AL2040" s="2" t="s">
        <v>228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/>
      <c r="AW2040" s="8"/>
      <c r="AX2040" s="4"/>
      <c r="AY2040" s="8"/>
      <c r="AZ2040" s="7"/>
      <c r="BA2040" s="7"/>
      <c r="BB2040" s="7"/>
      <c r="BC2040" s="4" t="s">
        <v>228</v>
      </c>
      <c r="BD2040" s="8" t="s">
        <v>228</v>
      </c>
      <c r="BE2040" s="4" t="s">
        <v>228</v>
      </c>
      <c r="BF2040" s="8" t="s">
        <v>228</v>
      </c>
      <c r="BG2040" s="7" t="s">
        <v>228</v>
      </c>
      <c r="BH2040" s="7" t="s">
        <v>228</v>
      </c>
      <c r="BI2040" s="7"/>
      <c r="BJ2040" s="4">
        <v>2</v>
      </c>
      <c r="BK2040" s="8">
        <v>50.54</v>
      </c>
      <c r="BL2040" s="2" t="s">
        <v>708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9850</v>
      </c>
      <c r="BV2040" s="2" t="s">
        <v>228</v>
      </c>
      <c r="BW2040" s="2" t="s">
        <v>228</v>
      </c>
      <c r="BX2040" s="2" t="s">
        <v>337</v>
      </c>
      <c r="BY2040" s="2" t="s">
        <v>274</v>
      </c>
      <c r="BZ2040" s="2" t="s">
        <v>240</v>
      </c>
      <c r="CA2040" s="2" t="s">
        <v>3811</v>
      </c>
      <c r="CB2040" s="2" t="s">
        <v>1443</v>
      </c>
      <c r="CC2040" s="2" t="s">
        <v>241</v>
      </c>
      <c r="CD2040" s="2" t="s">
        <v>228</v>
      </c>
      <c r="CE2040" s="4">
        <v>147</v>
      </c>
      <c r="CF2040" s="4"/>
      <c r="CG2040" s="4"/>
      <c r="CH2040" s="4"/>
      <c r="CI2040" s="4"/>
      <c r="CJ2040" s="4"/>
      <c r="CK2040" s="4"/>
      <c r="CL2040" s="4"/>
      <c r="CM2040" s="4"/>
      <c r="CN2040" s="4"/>
      <c r="CO2040" s="4"/>
      <c r="CP2040" s="4"/>
      <c r="CQ2040" s="4"/>
      <c r="CR2040" s="4"/>
      <c r="CS2040" s="4"/>
      <c r="CT2040" s="4"/>
      <c r="CU2040" s="4"/>
      <c r="CV2040" s="4"/>
      <c r="CW2040" s="4"/>
      <c r="CX2040" s="4"/>
      <c r="CY2040" s="4"/>
      <c r="CZ2040" s="4"/>
      <c r="DA2040" s="4"/>
      <c r="DB2040" s="4"/>
      <c r="DC2040" s="4"/>
      <c r="DD2040" s="4"/>
      <c r="DE2040" s="4"/>
      <c r="DF2040" s="4"/>
      <c r="DG2040" s="4"/>
      <c r="DH2040" s="4"/>
      <c r="DI2040" s="4"/>
      <c r="DJ2040" s="4"/>
      <c r="DK2040" s="4"/>
      <c r="DL2040" s="4"/>
      <c r="DM2040" s="4"/>
      <c r="DN2040" s="4"/>
      <c r="DO2040" s="4"/>
      <c r="DP2040" s="4"/>
      <c r="DQ2040" s="4"/>
      <c r="DR2040" s="4"/>
      <c r="DS2040" s="4"/>
      <c r="DT2040" s="4"/>
      <c r="DU2040" s="4"/>
      <c r="DV2040" s="4"/>
      <c r="DW2040" s="4"/>
      <c r="DX2040" s="4"/>
      <c r="DY2040" s="4"/>
      <c r="DZ2040" s="4"/>
      <c r="EA2040" s="4"/>
      <c r="EB2040" s="4"/>
      <c r="EC2040" s="4"/>
      <c r="ED2040" s="4"/>
      <c r="EE2040" s="4"/>
      <c r="EF2040" s="4"/>
      <c r="EG2040" s="4"/>
      <c r="EH2040" s="4"/>
      <c r="EI2040" s="4"/>
      <c r="EJ2040" s="4"/>
      <c r="EK2040" s="4"/>
      <c r="EL2040" s="4"/>
      <c r="EM2040" s="4"/>
      <c r="EN2040" s="4"/>
      <c r="EO2040" s="4"/>
      <c r="EP2040" s="4"/>
      <c r="EQ2040" s="4"/>
      <c r="ER2040" s="4"/>
      <c r="ES2040" s="4"/>
      <c r="ET2040" s="4"/>
      <c r="EU2040" s="4"/>
      <c r="EV2040" s="4"/>
      <c r="EW2040" s="4"/>
      <c r="EX2040" s="4"/>
      <c r="EY2040" s="4"/>
      <c r="EZ2040" s="4"/>
      <c r="FA2040" s="4"/>
      <c r="FB2040" s="4"/>
      <c r="FC2040" s="4"/>
      <c r="FD2040" s="4"/>
      <c r="FE2040" s="4"/>
      <c r="FF2040" s="4"/>
      <c r="FG2040" s="4"/>
      <c r="FH2040" s="4"/>
      <c r="FI2040" s="4"/>
      <c r="FJ2040" s="4"/>
      <c r="FK2040" s="4"/>
      <c r="FL2040" s="4"/>
      <c r="FM2040" s="4"/>
      <c r="FN2040" s="4"/>
      <c r="FO2040" s="4"/>
      <c r="FP2040" s="4"/>
      <c r="FQ2040" s="4"/>
      <c r="FR2040" s="4"/>
      <c r="FS2040" s="4"/>
      <c r="FT2040" s="4"/>
      <c r="FU2040" s="4"/>
      <c r="FV2040" s="4"/>
      <c r="FW2040" s="4"/>
      <c r="FX2040" s="4"/>
      <c r="FY2040" s="4"/>
      <c r="FZ2040" s="4"/>
      <c r="GA2040" s="4"/>
      <c r="GB2040" s="4"/>
      <c r="GC2040" s="4"/>
      <c r="GD2040" s="4"/>
      <c r="GE2040" s="4"/>
      <c r="GF2040" s="4"/>
      <c r="GG2040" s="4"/>
      <c r="GH2040" s="4"/>
      <c r="GI2040" s="4"/>
      <c r="GJ2040" s="4"/>
      <c r="GK2040" s="4"/>
      <c r="GL2040" s="4"/>
      <c r="GM2040" s="4"/>
      <c r="GN2040" s="4"/>
      <c r="GO2040" s="4"/>
      <c r="GP2040" s="4"/>
      <c r="GQ2040" s="4"/>
      <c r="GR2040" s="4"/>
      <c r="GS2040" s="4"/>
      <c r="GT2040" s="4"/>
      <c r="GU2040" s="4"/>
      <c r="GV2040" s="4"/>
      <c r="GW2040" s="4"/>
      <c r="GX2040" s="4"/>
      <c r="GY2040" s="4"/>
      <c r="GZ2040" s="4"/>
      <c r="HA2040" s="4"/>
      <c r="HB2040" s="4"/>
      <c r="HC2040" s="4"/>
      <c r="HD2040" s="4"/>
      <c r="HE2040" s="4"/>
    </row>
    <row r="2041">
      <c r="A2041" s="2" t="s">
        <v>9851</v>
      </c>
      <c r="B2041" s="2" t="s">
        <v>223</v>
      </c>
      <c r="C2041" s="2" t="s">
        <v>918</v>
      </c>
      <c r="D2041" s="2" t="s">
        <v>1862</v>
      </c>
      <c r="E2041" s="2" t="s">
        <v>1863</v>
      </c>
      <c r="F2041" s="2" t="s">
        <v>9844</v>
      </c>
      <c r="G2041" s="2" t="s">
        <v>9844</v>
      </c>
      <c r="H2041" s="2" t="s">
        <v>9844</v>
      </c>
      <c r="I2041" s="2" t="s">
        <v>9845</v>
      </c>
      <c r="J2041" s="2" t="s">
        <v>1991</v>
      </c>
      <c r="K2041" s="2" t="s">
        <v>249</v>
      </c>
      <c r="L2041" s="3">
        <v>22.28</v>
      </c>
      <c r="M2041" s="3">
        <v>23.39</v>
      </c>
      <c r="N2041" s="3">
        <v>59.99</v>
      </c>
      <c r="O2041" s="2" t="s">
        <v>240</v>
      </c>
      <c r="P2041" s="2" t="s">
        <v>333</v>
      </c>
      <c r="Q2041" s="2" t="s">
        <v>234</v>
      </c>
      <c r="R2041" s="2" t="s">
        <v>228</v>
      </c>
      <c r="S2041" s="2" t="s">
        <v>228</v>
      </c>
      <c r="T2041" s="2" t="s">
        <v>1608</v>
      </c>
      <c r="U2041" s="2" t="s">
        <v>416</v>
      </c>
      <c r="V2041" s="2" t="s">
        <v>236</v>
      </c>
      <c r="W2041" s="2" t="s">
        <v>309</v>
      </c>
      <c r="X2041" s="2" t="s">
        <v>228</v>
      </c>
      <c r="Y2041" s="2" t="s">
        <v>1314</v>
      </c>
      <c r="Z2041" s="4">
        <v>132</v>
      </c>
      <c r="AA2041" s="4">
        <f>=ROUNDDOWN(132,0)</f>
      </c>
      <c r="AB2041" s="5">
        <v>1</v>
      </c>
      <c r="AC2041" s="2" t="s">
        <v>228</v>
      </c>
      <c r="AD2041" s="4"/>
      <c r="AE2041" s="4"/>
      <c r="AF2041" s="6">
        <v>65</v>
      </c>
      <c r="AG2041" s="6"/>
      <c r="AH2041" s="7">
        <v>1</v>
      </c>
      <c r="AI2041" s="4"/>
      <c r="AJ2041" s="4">
        <f>=ROUNDDOWN({0},0)</f>
      </c>
      <c r="AK2041" s="5"/>
      <c r="AL2041" s="2" t="s">
        <v>228</v>
      </c>
      <c r="AM2041" s="4"/>
      <c r="AN2041" s="4"/>
      <c r="AO2041" s="7"/>
      <c r="AP2041" s="4"/>
      <c r="AQ2041" s="8"/>
      <c r="AR2041" s="4"/>
      <c r="AS2041" s="8"/>
      <c r="AT2041" s="7"/>
      <c r="AU2041" s="7"/>
      <c r="AV2041" s="4"/>
      <c r="AW2041" s="8"/>
      <c r="AX2041" s="4"/>
      <c r="AY2041" s="8"/>
      <c r="AZ2041" s="7"/>
      <c r="BA2041" s="7"/>
      <c r="BB2041" s="7"/>
      <c r="BC2041" s="4" t="s">
        <v>228</v>
      </c>
      <c r="BD2041" s="8" t="s">
        <v>228</v>
      </c>
      <c r="BE2041" s="4" t="s">
        <v>228</v>
      </c>
      <c r="BF2041" s="8" t="s">
        <v>228</v>
      </c>
      <c r="BG2041" s="7" t="s">
        <v>228</v>
      </c>
      <c r="BH2041" s="7" t="s">
        <v>228</v>
      </c>
      <c r="BI2041" s="7"/>
      <c r="BJ2041" s="4">
        <v>3</v>
      </c>
      <c r="BK2041" s="8">
        <v>75.1</v>
      </c>
      <c r="BL2041" s="2" t="s">
        <v>3157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9852</v>
      </c>
      <c r="BV2041" s="2" t="s">
        <v>228</v>
      </c>
      <c r="BW2041" s="2" t="s">
        <v>228</v>
      </c>
      <c r="BX2041" s="2" t="s">
        <v>337</v>
      </c>
      <c r="BY2041" s="2" t="s">
        <v>274</v>
      </c>
      <c r="BZ2041" s="2" t="s">
        <v>240</v>
      </c>
      <c r="CA2041" s="2" t="s">
        <v>3811</v>
      </c>
      <c r="CB2041" s="2" t="s">
        <v>396</v>
      </c>
      <c r="CC2041" s="2" t="s">
        <v>241</v>
      </c>
      <c r="CD2041" s="2" t="s">
        <v>228</v>
      </c>
      <c r="CE2041" s="4">
        <v>132</v>
      </c>
      <c r="CF2041" s="4"/>
      <c r="CG2041" s="4"/>
      <c r="CH2041" s="4"/>
      <c r="CI2041" s="4"/>
      <c r="CJ2041" s="4"/>
      <c r="CK2041" s="4"/>
      <c r="CL2041" s="4"/>
      <c r="CM2041" s="4"/>
      <c r="CN2041" s="4"/>
      <c r="CO2041" s="4"/>
      <c r="CP2041" s="4"/>
      <c r="CQ2041" s="4"/>
      <c r="CR2041" s="4"/>
      <c r="CS2041" s="4"/>
      <c r="CT2041" s="4"/>
      <c r="CU2041" s="4"/>
      <c r="CV2041" s="4"/>
      <c r="CW2041" s="4"/>
      <c r="CX2041" s="4"/>
      <c r="CY2041" s="4"/>
      <c r="CZ2041" s="4"/>
      <c r="DA2041" s="4"/>
      <c r="DB2041" s="4"/>
      <c r="DC2041" s="4"/>
      <c r="DD2041" s="4"/>
      <c r="DE2041" s="4"/>
      <c r="DF2041" s="4"/>
      <c r="DG2041" s="4"/>
      <c r="DH2041" s="4"/>
      <c r="DI2041" s="4"/>
      <c r="DJ2041" s="4"/>
      <c r="DK2041" s="4"/>
      <c r="DL2041" s="4"/>
      <c r="DM2041" s="4"/>
      <c r="DN2041" s="4"/>
      <c r="DO2041" s="4"/>
      <c r="DP2041" s="4"/>
      <c r="DQ2041" s="4"/>
      <c r="DR2041" s="4"/>
      <c r="DS2041" s="4"/>
      <c r="DT2041" s="4"/>
      <c r="DU2041" s="4"/>
      <c r="DV2041" s="4"/>
      <c r="DW2041" s="4"/>
      <c r="DX2041" s="4"/>
      <c r="DY2041" s="4"/>
      <c r="DZ2041" s="4"/>
      <c r="EA2041" s="4"/>
      <c r="EB2041" s="4"/>
      <c r="EC2041" s="4"/>
      <c r="ED2041" s="4"/>
      <c r="EE2041" s="4"/>
      <c r="EF2041" s="4"/>
      <c r="EG2041" s="4"/>
      <c r="EH2041" s="4"/>
      <c r="EI2041" s="4"/>
      <c r="EJ2041" s="4"/>
      <c r="EK2041" s="4"/>
      <c r="EL2041" s="4"/>
      <c r="EM2041" s="4"/>
      <c r="EN2041" s="4"/>
      <c r="EO2041" s="4"/>
      <c r="EP2041" s="4"/>
      <c r="EQ2041" s="4"/>
      <c r="ER2041" s="4"/>
      <c r="ES2041" s="4"/>
      <c r="ET2041" s="4"/>
      <c r="EU2041" s="4"/>
      <c r="EV2041" s="4"/>
      <c r="EW2041" s="4"/>
      <c r="EX2041" s="4"/>
      <c r="EY2041" s="4"/>
      <c r="EZ2041" s="4"/>
      <c r="FA2041" s="4"/>
      <c r="FB2041" s="4"/>
      <c r="FC2041" s="4"/>
      <c r="FD2041" s="4"/>
      <c r="FE2041" s="4"/>
      <c r="FF2041" s="4"/>
      <c r="FG2041" s="4"/>
      <c r="FH2041" s="4"/>
      <c r="FI2041" s="4"/>
      <c r="FJ2041" s="4"/>
      <c r="FK2041" s="4"/>
      <c r="FL2041" s="4"/>
      <c r="FM2041" s="4"/>
      <c r="FN2041" s="4"/>
      <c r="FO2041" s="4"/>
      <c r="FP2041" s="4"/>
      <c r="FQ2041" s="4"/>
      <c r="FR2041" s="4"/>
      <c r="FS2041" s="4"/>
      <c r="FT2041" s="4"/>
      <c r="FU2041" s="4"/>
      <c r="FV2041" s="4"/>
      <c r="FW2041" s="4"/>
      <c r="FX2041" s="4"/>
      <c r="FY2041" s="4"/>
      <c r="FZ2041" s="4"/>
      <c r="GA2041" s="4"/>
      <c r="GB2041" s="4"/>
      <c r="GC2041" s="4"/>
      <c r="GD2041" s="4"/>
      <c r="GE2041" s="4"/>
      <c r="GF2041" s="4"/>
      <c r="GG2041" s="4"/>
      <c r="GH2041" s="4"/>
      <c r="GI2041" s="4"/>
      <c r="GJ2041" s="4"/>
      <c r="GK2041" s="4"/>
      <c r="GL2041" s="4"/>
      <c r="GM2041" s="4"/>
      <c r="GN2041" s="4"/>
      <c r="GO2041" s="4"/>
      <c r="GP2041" s="4"/>
      <c r="GQ2041" s="4"/>
      <c r="GR2041" s="4"/>
      <c r="GS2041" s="4"/>
      <c r="GT2041" s="4"/>
      <c r="GU2041" s="4"/>
      <c r="GV2041" s="4"/>
      <c r="GW2041" s="4"/>
      <c r="GX2041" s="4"/>
      <c r="GY2041" s="4"/>
      <c r="GZ2041" s="4"/>
      <c r="HA2041" s="4"/>
      <c r="HB2041" s="4"/>
      <c r="HC2041" s="4"/>
      <c r="HD2041" s="4"/>
      <c r="HE2041" s="4"/>
    </row>
    <row r="2042">
      <c r="A2042" s="2" t="s">
        <v>9853</v>
      </c>
      <c r="B2042" s="2" t="s">
        <v>223</v>
      </c>
      <c r="C2042" s="2" t="s">
        <v>918</v>
      </c>
      <c r="D2042" s="2" t="s">
        <v>1862</v>
      </c>
      <c r="E2042" s="2" t="s">
        <v>1863</v>
      </c>
      <c r="F2042" s="2" t="s">
        <v>9844</v>
      </c>
      <c r="G2042" s="2" t="s">
        <v>9844</v>
      </c>
      <c r="H2042" s="2" t="s">
        <v>9844</v>
      </c>
      <c r="I2042" s="2" t="s">
        <v>9845</v>
      </c>
      <c r="J2042" s="2" t="s">
        <v>1991</v>
      </c>
      <c r="K2042" s="2" t="s">
        <v>480</v>
      </c>
      <c r="L2042" s="3">
        <v>22.28</v>
      </c>
      <c r="M2042" s="3">
        <v>23.39</v>
      </c>
      <c r="N2042" s="3">
        <v>59.99</v>
      </c>
      <c r="O2042" s="2" t="s">
        <v>240</v>
      </c>
      <c r="P2042" s="2" t="s">
        <v>333</v>
      </c>
      <c r="Q2042" s="2" t="s">
        <v>234</v>
      </c>
      <c r="R2042" s="2" t="s">
        <v>228</v>
      </c>
      <c r="S2042" s="2" t="s">
        <v>228</v>
      </c>
      <c r="T2042" s="2" t="s">
        <v>1608</v>
      </c>
      <c r="U2042" s="2" t="s">
        <v>416</v>
      </c>
      <c r="V2042" s="2" t="s">
        <v>236</v>
      </c>
      <c r="W2042" s="2" t="s">
        <v>309</v>
      </c>
      <c r="X2042" s="2" t="s">
        <v>228</v>
      </c>
      <c r="Y2042" s="2" t="s">
        <v>1314</v>
      </c>
      <c r="Z2042" s="4">
        <v>132</v>
      </c>
      <c r="AA2042" s="4">
        <f>=ROUNDDOWN(66,0)</f>
      </c>
      <c r="AB2042" s="5">
        <v>2</v>
      </c>
      <c r="AC2042" s="2" t="s">
        <v>228</v>
      </c>
      <c r="AD2042" s="4"/>
      <c r="AE2042" s="4"/>
      <c r="AF2042" s="6">
        <v>65</v>
      </c>
      <c r="AG2042" s="6"/>
      <c r="AH2042" s="7">
        <v>1</v>
      </c>
      <c r="AI2042" s="4"/>
      <c r="AJ2042" s="4">
        <f>=ROUNDDOWN({0},0)</f>
      </c>
      <c r="AK2042" s="5"/>
      <c r="AL2042" s="2" t="s">
        <v>228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 t="s">
        <v>228</v>
      </c>
      <c r="AW2042" s="8" t="s">
        <v>228</v>
      </c>
      <c r="AX2042" s="4" t="s">
        <v>228</v>
      </c>
      <c r="AY2042" s="8" t="s">
        <v>228</v>
      </c>
      <c r="AZ2042" s="7" t="s">
        <v>228</v>
      </c>
      <c r="BA2042" s="7" t="s">
        <v>228</v>
      </c>
      <c r="BB2042" s="7"/>
      <c r="BC2042" s="4" t="s">
        <v>228</v>
      </c>
      <c r="BD2042" s="8" t="s">
        <v>228</v>
      </c>
      <c r="BE2042" s="4" t="s">
        <v>228</v>
      </c>
      <c r="BF2042" s="8" t="s">
        <v>228</v>
      </c>
      <c r="BG2042" s="7" t="s">
        <v>228</v>
      </c>
      <c r="BH2042" s="7" t="s">
        <v>228</v>
      </c>
      <c r="BI2042" s="7"/>
      <c r="BJ2042" s="4">
        <v>2</v>
      </c>
      <c r="BK2042" s="8">
        <v>49.12</v>
      </c>
      <c r="BL2042" s="2" t="s">
        <v>2986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9854</v>
      </c>
      <c r="BV2042" s="2" t="s">
        <v>228</v>
      </c>
      <c r="BW2042" s="2" t="s">
        <v>228</v>
      </c>
      <c r="BX2042" s="2" t="s">
        <v>337</v>
      </c>
      <c r="BY2042" s="2" t="s">
        <v>274</v>
      </c>
      <c r="BZ2042" s="2" t="s">
        <v>240</v>
      </c>
      <c r="CA2042" s="2" t="s">
        <v>3811</v>
      </c>
      <c r="CB2042" s="2" t="s">
        <v>3567</v>
      </c>
      <c r="CC2042" s="2" t="s">
        <v>241</v>
      </c>
      <c r="CD2042" s="2" t="s">
        <v>228</v>
      </c>
      <c r="CE2042" s="4">
        <v>132</v>
      </c>
      <c r="CF2042" s="4"/>
      <c r="CG2042" s="4"/>
      <c r="CH2042" s="4"/>
      <c r="CI2042" s="4"/>
      <c r="CJ2042" s="4"/>
      <c r="CK2042" s="4"/>
      <c r="CL2042" s="4"/>
      <c r="CM2042" s="4"/>
      <c r="CN2042" s="4"/>
      <c r="CO2042" s="4"/>
      <c r="CP2042" s="4"/>
      <c r="CQ2042" s="4"/>
      <c r="CR2042" s="4"/>
      <c r="CS2042" s="4"/>
      <c r="CT2042" s="4"/>
      <c r="CU2042" s="4"/>
      <c r="CV2042" s="4"/>
      <c r="CW2042" s="4"/>
      <c r="CX2042" s="4"/>
      <c r="CY2042" s="4"/>
      <c r="CZ2042" s="4"/>
      <c r="DA2042" s="4"/>
      <c r="DB2042" s="4"/>
      <c r="DC2042" s="4"/>
      <c r="DD2042" s="4"/>
      <c r="DE2042" s="4"/>
      <c r="DF2042" s="4"/>
      <c r="DG2042" s="4"/>
      <c r="DH2042" s="4"/>
      <c r="DI2042" s="4"/>
      <c r="DJ2042" s="4"/>
      <c r="DK2042" s="4"/>
      <c r="DL2042" s="4"/>
      <c r="DM2042" s="4"/>
      <c r="DN2042" s="4"/>
      <c r="DO2042" s="4"/>
      <c r="DP2042" s="4"/>
      <c r="DQ2042" s="4"/>
      <c r="DR2042" s="4"/>
      <c r="DS2042" s="4"/>
      <c r="DT2042" s="4"/>
      <c r="DU2042" s="4"/>
      <c r="DV2042" s="4"/>
      <c r="DW2042" s="4"/>
      <c r="DX2042" s="4"/>
      <c r="DY2042" s="4"/>
      <c r="DZ2042" s="4"/>
      <c r="EA2042" s="4"/>
      <c r="EB2042" s="4"/>
      <c r="EC2042" s="4"/>
      <c r="ED2042" s="4"/>
      <c r="EE2042" s="4"/>
      <c r="EF2042" s="4"/>
      <c r="EG2042" s="4"/>
      <c r="EH2042" s="4"/>
      <c r="EI2042" s="4"/>
      <c r="EJ2042" s="4"/>
      <c r="EK2042" s="4"/>
      <c r="EL2042" s="4"/>
      <c r="EM2042" s="4"/>
      <c r="EN2042" s="4"/>
      <c r="EO2042" s="4"/>
      <c r="EP2042" s="4"/>
      <c r="EQ2042" s="4"/>
      <c r="ER2042" s="4"/>
      <c r="ES2042" s="4"/>
      <c r="ET2042" s="4"/>
      <c r="EU2042" s="4"/>
      <c r="EV2042" s="4"/>
      <c r="EW2042" s="4"/>
      <c r="EX2042" s="4"/>
      <c r="EY2042" s="4"/>
      <c r="EZ2042" s="4"/>
      <c r="FA2042" s="4"/>
      <c r="FB2042" s="4"/>
      <c r="FC2042" s="4"/>
      <c r="FD2042" s="4"/>
      <c r="FE2042" s="4"/>
      <c r="FF2042" s="4"/>
      <c r="FG2042" s="4"/>
      <c r="FH2042" s="4"/>
      <c r="FI2042" s="4"/>
      <c r="FJ2042" s="4"/>
      <c r="FK2042" s="4"/>
      <c r="FL2042" s="4"/>
      <c r="FM2042" s="4"/>
      <c r="FN2042" s="4"/>
      <c r="FO2042" s="4"/>
      <c r="FP2042" s="4"/>
      <c r="FQ2042" s="4"/>
      <c r="FR2042" s="4"/>
      <c r="FS2042" s="4"/>
      <c r="FT2042" s="4"/>
      <c r="FU2042" s="4"/>
      <c r="FV2042" s="4"/>
      <c r="FW2042" s="4"/>
      <c r="FX2042" s="4"/>
      <c r="FY2042" s="4"/>
      <c r="FZ2042" s="4"/>
      <c r="GA2042" s="4"/>
      <c r="GB2042" s="4"/>
      <c r="GC2042" s="4"/>
      <c r="GD2042" s="4"/>
      <c r="GE2042" s="4"/>
      <c r="GF2042" s="4"/>
      <c r="GG2042" s="4"/>
      <c r="GH2042" s="4"/>
      <c r="GI2042" s="4"/>
      <c r="GJ2042" s="4"/>
      <c r="GK2042" s="4"/>
      <c r="GL2042" s="4"/>
      <c r="GM2042" s="4"/>
      <c r="GN2042" s="4"/>
      <c r="GO2042" s="4"/>
      <c r="GP2042" s="4"/>
      <c r="GQ2042" s="4"/>
      <c r="GR2042" s="4"/>
      <c r="GS2042" s="4"/>
      <c r="GT2042" s="4"/>
      <c r="GU2042" s="4"/>
      <c r="GV2042" s="4"/>
      <c r="GW2042" s="4"/>
      <c r="GX2042" s="4"/>
      <c r="GY2042" s="4"/>
      <c r="GZ2042" s="4"/>
      <c r="HA2042" s="4"/>
      <c r="HB2042" s="4"/>
      <c r="HC2042" s="4"/>
      <c r="HD2042" s="4"/>
      <c r="HE2042" s="4"/>
    </row>
    <row r="2043">
      <c r="A2043" s="2" t="s">
        <v>9855</v>
      </c>
      <c r="B2043" s="2" t="s">
        <v>223</v>
      </c>
      <c r="C2043" s="2" t="s">
        <v>918</v>
      </c>
      <c r="D2043" s="2" t="s">
        <v>1601</v>
      </c>
      <c r="E2043" s="2" t="s">
        <v>2421</v>
      </c>
      <c r="F2043" s="2" t="s">
        <v>9844</v>
      </c>
      <c r="G2043" s="2" t="s">
        <v>9844</v>
      </c>
      <c r="H2043" s="2" t="s">
        <v>9844</v>
      </c>
      <c r="I2043" s="2" t="s">
        <v>9856</v>
      </c>
      <c r="J2043" s="2" t="s">
        <v>2920</v>
      </c>
      <c r="K2043" s="2" t="s">
        <v>480</v>
      </c>
      <c r="L2043" s="3">
        <v>33.42</v>
      </c>
      <c r="M2043" s="3">
        <v>35.09</v>
      </c>
      <c r="N2043" s="3">
        <v>89.99</v>
      </c>
      <c r="O2043" s="2" t="s">
        <v>240</v>
      </c>
      <c r="P2043" s="2" t="s">
        <v>333</v>
      </c>
      <c r="Q2043" s="2" t="s">
        <v>234</v>
      </c>
      <c r="R2043" s="2" t="s">
        <v>228</v>
      </c>
      <c r="S2043" s="2" t="s">
        <v>228</v>
      </c>
      <c r="T2043" s="2" t="s">
        <v>1608</v>
      </c>
      <c r="U2043" s="2" t="s">
        <v>416</v>
      </c>
      <c r="V2043" s="2" t="s">
        <v>236</v>
      </c>
      <c r="W2043" s="2" t="s">
        <v>309</v>
      </c>
      <c r="X2043" s="2" t="s">
        <v>228</v>
      </c>
      <c r="Y2043" s="2" t="s">
        <v>1314</v>
      </c>
      <c r="Z2043" s="4">
        <v>160</v>
      </c>
      <c r="AA2043" s="4">
        <f>=ROUNDDOWN(80,0)</f>
      </c>
      <c r="AB2043" s="5">
        <v>2</v>
      </c>
      <c r="AC2043" s="2" t="s">
        <v>228</v>
      </c>
      <c r="AD2043" s="4"/>
      <c r="AE2043" s="4"/>
      <c r="AF2043" s="6">
        <v>65</v>
      </c>
      <c r="AG2043" s="6"/>
      <c r="AH2043" s="7">
        <v>1</v>
      </c>
      <c r="AI2043" s="4"/>
      <c r="AJ2043" s="4">
        <f>=ROUNDDOWN({0},0)</f>
      </c>
      <c r="AK2043" s="5"/>
      <c r="AL2043" s="2" t="s">
        <v>228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 t="s">
        <v>228</v>
      </c>
      <c r="AW2043" s="8" t="s">
        <v>228</v>
      </c>
      <c r="AX2043" s="4" t="s">
        <v>228</v>
      </c>
      <c r="AY2043" s="8" t="s">
        <v>228</v>
      </c>
      <c r="AZ2043" s="7" t="s">
        <v>228</v>
      </c>
      <c r="BA2043" s="7" t="s">
        <v>228</v>
      </c>
      <c r="BB2043" s="7"/>
      <c r="BC2043" s="4" t="s">
        <v>228</v>
      </c>
      <c r="BD2043" s="8" t="s">
        <v>228</v>
      </c>
      <c r="BE2043" s="4" t="s">
        <v>228</v>
      </c>
      <c r="BF2043" s="8" t="s">
        <v>228</v>
      </c>
      <c r="BG2043" s="7" t="s">
        <v>228</v>
      </c>
      <c r="BH2043" s="7" t="s">
        <v>228</v>
      </c>
      <c r="BI2043" s="7"/>
      <c r="BJ2043" s="4">
        <v>8</v>
      </c>
      <c r="BK2043" s="8">
        <v>303.2</v>
      </c>
      <c r="BL2043" s="2" t="s">
        <v>4746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9857</v>
      </c>
      <c r="BV2043" s="2" t="s">
        <v>228</v>
      </c>
      <c r="BW2043" s="2" t="s">
        <v>228</v>
      </c>
      <c r="BX2043" s="2" t="s">
        <v>337</v>
      </c>
      <c r="BY2043" s="2" t="s">
        <v>274</v>
      </c>
      <c r="BZ2043" s="2" t="s">
        <v>240</v>
      </c>
      <c r="CA2043" s="2" t="s">
        <v>3811</v>
      </c>
      <c r="CB2043" s="2" t="s">
        <v>1869</v>
      </c>
      <c r="CC2043" s="2" t="s">
        <v>241</v>
      </c>
      <c r="CD2043" s="2" t="s">
        <v>228</v>
      </c>
      <c r="CE2043" s="4">
        <v>160</v>
      </c>
      <c r="CF2043" s="4"/>
      <c r="CG2043" s="4"/>
      <c r="CH2043" s="4"/>
      <c r="CI2043" s="4"/>
      <c r="CJ2043" s="4"/>
      <c r="CK2043" s="4"/>
      <c r="CL2043" s="4"/>
      <c r="CM2043" s="4"/>
      <c r="CN2043" s="4"/>
      <c r="CO2043" s="4"/>
      <c r="CP2043" s="4"/>
      <c r="CQ2043" s="4"/>
      <c r="CR2043" s="4"/>
      <c r="CS2043" s="4"/>
      <c r="CT2043" s="4"/>
      <c r="CU2043" s="4"/>
      <c r="CV2043" s="4"/>
      <c r="CW2043" s="4"/>
      <c r="CX2043" s="4"/>
      <c r="CY2043" s="4"/>
      <c r="CZ2043" s="4"/>
      <c r="DA2043" s="4"/>
      <c r="DB2043" s="4"/>
      <c r="DC2043" s="4"/>
      <c r="DD2043" s="4"/>
      <c r="DE2043" s="4"/>
      <c r="DF2043" s="4"/>
      <c r="DG2043" s="4"/>
      <c r="DH2043" s="4"/>
      <c r="DI2043" s="4"/>
      <c r="DJ2043" s="4"/>
      <c r="DK2043" s="4"/>
      <c r="DL2043" s="4"/>
      <c r="DM2043" s="4"/>
      <c r="DN2043" s="4"/>
      <c r="DO2043" s="4"/>
      <c r="DP2043" s="4"/>
      <c r="DQ2043" s="4"/>
      <c r="DR2043" s="4"/>
      <c r="DS2043" s="4"/>
      <c r="DT2043" s="4"/>
      <c r="DU2043" s="4"/>
      <c r="DV2043" s="4"/>
      <c r="DW2043" s="4"/>
      <c r="DX2043" s="4"/>
      <c r="DY2043" s="4"/>
      <c r="DZ2043" s="4"/>
      <c r="EA2043" s="4"/>
      <c r="EB2043" s="4"/>
      <c r="EC2043" s="4"/>
      <c r="ED2043" s="4"/>
      <c r="EE2043" s="4"/>
      <c r="EF2043" s="4"/>
      <c r="EG2043" s="4"/>
      <c r="EH2043" s="4"/>
      <c r="EI2043" s="4"/>
      <c r="EJ2043" s="4"/>
      <c r="EK2043" s="4"/>
      <c r="EL2043" s="4"/>
      <c r="EM2043" s="4"/>
      <c r="EN2043" s="4"/>
      <c r="EO2043" s="4"/>
      <c r="EP2043" s="4"/>
      <c r="EQ2043" s="4"/>
      <c r="ER2043" s="4"/>
      <c r="ES2043" s="4"/>
      <c r="ET2043" s="4"/>
      <c r="EU2043" s="4"/>
      <c r="EV2043" s="4"/>
      <c r="EW2043" s="4"/>
      <c r="EX2043" s="4"/>
      <c r="EY2043" s="4"/>
      <c r="EZ2043" s="4"/>
      <c r="FA2043" s="4"/>
      <c r="FB2043" s="4"/>
      <c r="FC2043" s="4"/>
      <c r="FD2043" s="4"/>
      <c r="FE2043" s="4"/>
      <c r="FF2043" s="4"/>
      <c r="FG2043" s="4"/>
      <c r="FH2043" s="4"/>
      <c r="FI2043" s="4"/>
      <c r="FJ2043" s="4"/>
      <c r="FK2043" s="4"/>
      <c r="FL2043" s="4"/>
      <c r="FM2043" s="4"/>
      <c r="FN2043" s="4"/>
      <c r="FO2043" s="4"/>
      <c r="FP2043" s="4"/>
      <c r="FQ2043" s="4"/>
      <c r="FR2043" s="4"/>
      <c r="FS2043" s="4"/>
      <c r="FT2043" s="4"/>
      <c r="FU2043" s="4"/>
      <c r="FV2043" s="4"/>
      <c r="FW2043" s="4"/>
      <c r="FX2043" s="4"/>
      <c r="FY2043" s="4"/>
      <c r="FZ2043" s="4"/>
      <c r="GA2043" s="4"/>
      <c r="GB2043" s="4"/>
      <c r="GC2043" s="4"/>
      <c r="GD2043" s="4"/>
      <c r="GE2043" s="4"/>
      <c r="GF2043" s="4"/>
      <c r="GG2043" s="4"/>
      <c r="GH2043" s="4"/>
      <c r="GI2043" s="4"/>
      <c r="GJ2043" s="4"/>
      <c r="GK2043" s="4"/>
      <c r="GL2043" s="4"/>
      <c r="GM2043" s="4"/>
      <c r="GN2043" s="4"/>
      <c r="GO2043" s="4"/>
      <c r="GP2043" s="4"/>
      <c r="GQ2043" s="4"/>
      <c r="GR2043" s="4"/>
      <c r="GS2043" s="4"/>
      <c r="GT2043" s="4"/>
      <c r="GU2043" s="4"/>
      <c r="GV2043" s="4"/>
      <c r="GW2043" s="4"/>
      <c r="GX2043" s="4"/>
      <c r="GY2043" s="4"/>
      <c r="GZ2043" s="4"/>
      <c r="HA2043" s="4"/>
      <c r="HB2043" s="4"/>
      <c r="HC2043" s="4"/>
      <c r="HD2043" s="4"/>
      <c r="HE2043" s="4"/>
    </row>
    <row r="2044">
      <c r="A2044" s="2" t="s">
        <v>9858</v>
      </c>
      <c r="B2044" s="2" t="s">
        <v>958</v>
      </c>
      <c r="C2044" s="2" t="s">
        <v>300</v>
      </c>
      <c r="D2044" s="2" t="s">
        <v>1795</v>
      </c>
      <c r="E2044" s="2" t="s">
        <v>1796</v>
      </c>
      <c r="F2044" s="2" t="s">
        <v>9859</v>
      </c>
      <c r="G2044" s="2" t="s">
        <v>9859</v>
      </c>
      <c r="H2044" s="2" t="s">
        <v>9859</v>
      </c>
      <c r="I2044" s="2" t="s">
        <v>9860</v>
      </c>
      <c r="J2044" s="2" t="s">
        <v>840</v>
      </c>
      <c r="K2044" s="2" t="s">
        <v>1357</v>
      </c>
      <c r="L2044" s="3">
        <v>135</v>
      </c>
      <c r="M2044" s="3">
        <v>141.75</v>
      </c>
      <c r="N2044" s="3">
        <v>279</v>
      </c>
      <c r="O2044" s="2" t="s">
        <v>240</v>
      </c>
      <c r="P2044" s="2" t="s">
        <v>233</v>
      </c>
      <c r="Q2044" s="2" t="s">
        <v>234</v>
      </c>
      <c r="R2044" s="2" t="s">
        <v>228</v>
      </c>
      <c r="S2044" s="2" t="s">
        <v>228</v>
      </c>
      <c r="T2044" s="2" t="s">
        <v>228</v>
      </c>
      <c r="U2044" s="2" t="s">
        <v>416</v>
      </c>
      <c r="V2044" s="2" t="s">
        <v>842</v>
      </c>
      <c r="W2044" s="2" t="s">
        <v>743</v>
      </c>
      <c r="X2044" s="2" t="s">
        <v>463</v>
      </c>
      <c r="Y2044" s="2" t="s">
        <v>1109</v>
      </c>
      <c r="Z2044" s="4">
        <v>94</v>
      </c>
      <c r="AA2044" s="4">
        <f>=ROUNDDOWN(23.5,0)</f>
      </c>
      <c r="AB2044" s="5">
        <v>4</v>
      </c>
      <c r="AC2044" s="2" t="s">
        <v>228</v>
      </c>
      <c r="AD2044" s="4"/>
      <c r="AE2044" s="4"/>
      <c r="AF2044" s="6">
        <v>68</v>
      </c>
      <c r="AG2044" s="6"/>
      <c r="AH2044" s="7">
        <v>1</v>
      </c>
      <c r="AI2044" s="4"/>
      <c r="AJ2044" s="4">
        <f>=ROUNDDOWN({0},0)</f>
      </c>
      <c r="AK2044" s="5"/>
      <c r="AL2044" s="2" t="s">
        <v>228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/>
      <c r="AW2044" s="8"/>
      <c r="AX2044" s="4"/>
      <c r="AY2044" s="8"/>
      <c r="AZ2044" s="7"/>
      <c r="BA2044" s="7"/>
      <c r="BB2044" s="7"/>
      <c r="BC2044" s="4"/>
      <c r="BD2044" s="8"/>
      <c r="BE2044" s="4"/>
      <c r="BF2044" s="8"/>
      <c r="BG2044" s="7"/>
      <c r="BH2044" s="7"/>
      <c r="BI2044" s="7"/>
      <c r="BJ2044" s="4">
        <v>6</v>
      </c>
      <c r="BK2044" s="8">
        <v>873.18</v>
      </c>
      <c r="BL2044" s="2" t="s">
        <v>1033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9861</v>
      </c>
      <c r="BV2044" s="2" t="s">
        <v>228</v>
      </c>
      <c r="BW2044" s="2" t="s">
        <v>228</v>
      </c>
      <c r="BX2044" s="2" t="s">
        <v>238</v>
      </c>
      <c r="BY2044" s="2" t="s">
        <v>274</v>
      </c>
      <c r="BZ2044" s="2" t="s">
        <v>240</v>
      </c>
      <c r="CA2044" s="2" t="s">
        <v>1590</v>
      </c>
      <c r="CB2044" s="2" t="s">
        <v>228</v>
      </c>
      <c r="CC2044" s="2" t="s">
        <v>241</v>
      </c>
      <c r="CD2044" s="2" t="s">
        <v>228</v>
      </c>
      <c r="CE2044" s="4"/>
      <c r="CF2044" s="4">
        <v>94</v>
      </c>
      <c r="CG2044" s="4"/>
      <c r="CH2044" s="4"/>
      <c r="CI2044" s="4"/>
      <c r="CJ2044" s="4"/>
      <c r="CK2044" s="4"/>
      <c r="CL2044" s="4"/>
      <c r="CM2044" s="4"/>
      <c r="CN2044" s="4"/>
      <c r="CO2044" s="4"/>
      <c r="CP2044" s="4"/>
      <c r="CQ2044" s="4"/>
      <c r="CR2044" s="4"/>
      <c r="CS2044" s="4"/>
      <c r="CT2044" s="4"/>
      <c r="CU2044" s="4"/>
      <c r="CV2044" s="4"/>
      <c r="CW2044" s="4"/>
      <c r="CX2044" s="4"/>
      <c r="CY2044" s="4"/>
      <c r="CZ2044" s="4"/>
      <c r="DA2044" s="4"/>
      <c r="DB2044" s="4"/>
      <c r="DC2044" s="4"/>
      <c r="DD2044" s="4"/>
      <c r="DE2044" s="4"/>
      <c r="DF2044" s="4"/>
      <c r="DG2044" s="4"/>
      <c r="DH2044" s="4"/>
      <c r="DI2044" s="4"/>
      <c r="DJ2044" s="4"/>
      <c r="DK2044" s="4"/>
      <c r="DL2044" s="4"/>
      <c r="DM2044" s="4"/>
      <c r="DN2044" s="4"/>
      <c r="DO2044" s="4"/>
      <c r="DP2044" s="4"/>
      <c r="DQ2044" s="4"/>
      <c r="DR2044" s="4"/>
      <c r="DS2044" s="4"/>
      <c r="DT2044" s="4"/>
      <c r="DU2044" s="4"/>
      <c r="DV2044" s="4"/>
      <c r="DW2044" s="4"/>
      <c r="DX2044" s="4"/>
      <c r="DY2044" s="4"/>
      <c r="DZ2044" s="4"/>
      <c r="EA2044" s="4"/>
      <c r="EB2044" s="4"/>
      <c r="EC2044" s="4"/>
      <c r="ED2044" s="4"/>
      <c r="EE2044" s="4"/>
      <c r="EF2044" s="4"/>
      <c r="EG2044" s="4"/>
      <c r="EH2044" s="4"/>
      <c r="EI2044" s="4"/>
      <c r="EJ2044" s="4"/>
      <c r="EK2044" s="4"/>
      <c r="EL2044" s="4"/>
      <c r="EM2044" s="4"/>
      <c r="EN2044" s="4"/>
      <c r="EO2044" s="4"/>
      <c r="EP2044" s="4"/>
      <c r="EQ2044" s="4"/>
      <c r="ER2044" s="4"/>
      <c r="ES2044" s="4"/>
      <c r="ET2044" s="4"/>
      <c r="EU2044" s="4"/>
      <c r="EV2044" s="4"/>
      <c r="EW2044" s="4"/>
      <c r="EX2044" s="4"/>
      <c r="EY2044" s="4"/>
      <c r="EZ2044" s="4"/>
      <c r="FA2044" s="4"/>
      <c r="FB2044" s="4"/>
      <c r="FC2044" s="4"/>
      <c r="FD2044" s="4"/>
      <c r="FE2044" s="4"/>
      <c r="FF2044" s="4"/>
      <c r="FG2044" s="4"/>
      <c r="FH2044" s="4"/>
      <c r="FI2044" s="4"/>
      <c r="FJ2044" s="4"/>
      <c r="FK2044" s="4"/>
      <c r="FL2044" s="4"/>
      <c r="FM2044" s="4"/>
      <c r="FN2044" s="4"/>
      <c r="FO2044" s="4"/>
      <c r="FP2044" s="4"/>
      <c r="FQ2044" s="4"/>
      <c r="FR2044" s="4"/>
      <c r="FS2044" s="4"/>
      <c r="FT2044" s="4"/>
      <c r="FU2044" s="4"/>
      <c r="FV2044" s="4"/>
      <c r="FW2044" s="4"/>
      <c r="FX2044" s="4"/>
      <c r="FY2044" s="4"/>
      <c r="FZ2044" s="4"/>
      <c r="GA2044" s="4"/>
      <c r="GB2044" s="4"/>
      <c r="GC2044" s="4"/>
      <c r="GD2044" s="4"/>
      <c r="GE2044" s="4"/>
      <c r="GF2044" s="4"/>
      <c r="GG2044" s="4"/>
      <c r="GH2044" s="4"/>
      <c r="GI2044" s="4"/>
      <c r="GJ2044" s="4"/>
      <c r="GK2044" s="4"/>
      <c r="GL2044" s="4"/>
      <c r="GM2044" s="4"/>
      <c r="GN2044" s="4"/>
      <c r="GO2044" s="4"/>
      <c r="GP2044" s="4"/>
      <c r="GQ2044" s="4"/>
      <c r="GR2044" s="4"/>
      <c r="GS2044" s="4"/>
      <c r="GT2044" s="4"/>
      <c r="GU2044" s="4"/>
      <c r="GV2044" s="4"/>
      <c r="GW2044" s="4"/>
      <c r="GX2044" s="4"/>
      <c r="GY2044" s="4"/>
      <c r="GZ2044" s="4"/>
      <c r="HA2044" s="4"/>
      <c r="HB2044" s="4"/>
      <c r="HC2044" s="4"/>
      <c r="HD2044" s="4"/>
      <c r="HE2044" s="4"/>
    </row>
    <row r="2045">
      <c r="A2045" s="2" t="s">
        <v>9862</v>
      </c>
      <c r="B2045" s="2" t="s">
        <v>970</v>
      </c>
      <c r="C2045" s="2" t="s">
        <v>300</v>
      </c>
      <c r="D2045" s="2" t="s">
        <v>971</v>
      </c>
      <c r="E2045" s="2" t="s">
        <v>972</v>
      </c>
      <c r="F2045" s="2" t="s">
        <v>9863</v>
      </c>
      <c r="G2045" s="2" t="s">
        <v>7089</v>
      </c>
      <c r="H2045" s="2" t="s">
        <v>9864</v>
      </c>
      <c r="I2045" s="2" t="s">
        <v>9865</v>
      </c>
      <c r="J2045" s="2" t="s">
        <v>977</v>
      </c>
      <c r="K2045" s="2" t="s">
        <v>9866</v>
      </c>
      <c r="L2045" s="3">
        <v>15.45</v>
      </c>
      <c r="M2045" s="3">
        <v>16.22</v>
      </c>
      <c r="N2045" s="3">
        <v>34.99</v>
      </c>
      <c r="O2045" s="2" t="s">
        <v>240</v>
      </c>
      <c r="P2045" s="2" t="s">
        <v>233</v>
      </c>
      <c r="Q2045" s="2" t="s">
        <v>234</v>
      </c>
      <c r="R2045" s="2" t="s">
        <v>228</v>
      </c>
      <c r="S2045" s="2" t="s">
        <v>9867</v>
      </c>
      <c r="T2045" s="2" t="s">
        <v>228</v>
      </c>
      <c r="U2045" s="2" t="s">
        <v>416</v>
      </c>
      <c r="V2045" s="2" t="s">
        <v>3007</v>
      </c>
      <c r="W2045" s="2" t="s">
        <v>228</v>
      </c>
      <c r="X2045" s="2" t="s">
        <v>228</v>
      </c>
      <c r="Y2045" s="2" t="s">
        <v>4841</v>
      </c>
      <c r="Z2045" s="4">
        <v>348</v>
      </c>
      <c r="AA2045" s="4">
        <f>=ROUNDDOWN(183.157894736842,0)</f>
      </c>
      <c r="AB2045" s="5">
        <v>1.9</v>
      </c>
      <c r="AC2045" s="2" t="s">
        <v>200</v>
      </c>
      <c r="AD2045" s="4">
        <v>436</v>
      </c>
      <c r="AE2045" s="4">
        <v>1308</v>
      </c>
      <c r="AF2045" s="6">
        <v>65</v>
      </c>
      <c r="AG2045" s="6"/>
      <c r="AH2045" s="7">
        <v>1</v>
      </c>
      <c r="AI2045" s="4"/>
      <c r="AJ2045" s="4">
        <f>=ROUNDDOWN({0},0)</f>
      </c>
      <c r="AK2045" s="5"/>
      <c r="AL2045" s="2" t="s">
        <v>228</v>
      </c>
      <c r="AM2045" s="4"/>
      <c r="AN2045" s="4"/>
      <c r="AO2045" s="7"/>
      <c r="AP2045" s="4"/>
      <c r="AQ2045" s="8"/>
      <c r="AR2045" s="4"/>
      <c r="AS2045" s="8"/>
      <c r="AT2045" s="7"/>
      <c r="AU2045" s="7"/>
      <c r="AV2045" s="4" t="s">
        <v>228</v>
      </c>
      <c r="AW2045" s="8" t="s">
        <v>228</v>
      </c>
      <c r="AX2045" s="4" t="s">
        <v>228</v>
      </c>
      <c r="AY2045" s="8" t="s">
        <v>228</v>
      </c>
      <c r="AZ2045" s="7" t="s">
        <v>228</v>
      </c>
      <c r="BA2045" s="7" t="s">
        <v>228</v>
      </c>
      <c r="BB2045" s="7"/>
      <c r="BC2045" s="4" t="s">
        <v>228</v>
      </c>
      <c r="BD2045" s="8" t="s">
        <v>228</v>
      </c>
      <c r="BE2045" s="4" t="s">
        <v>228</v>
      </c>
      <c r="BF2045" s="8" t="s">
        <v>228</v>
      </c>
      <c r="BG2045" s="7" t="s">
        <v>228</v>
      </c>
      <c r="BH2045" s="7" t="s">
        <v>228</v>
      </c>
      <c r="BI2045" s="7"/>
      <c r="BJ2045" s="4">
        <v>70</v>
      </c>
      <c r="BK2045" s="8">
        <v>1243.9</v>
      </c>
      <c r="BL2045" s="2" t="s">
        <v>1222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9868</v>
      </c>
      <c r="BV2045" s="2" t="s">
        <v>228</v>
      </c>
      <c r="BW2045" s="2" t="s">
        <v>228</v>
      </c>
      <c r="BX2045" s="2" t="s">
        <v>273</v>
      </c>
      <c r="BY2045" s="2" t="s">
        <v>274</v>
      </c>
      <c r="BZ2045" s="2" t="s">
        <v>240</v>
      </c>
      <c r="CA2045" s="2" t="s">
        <v>1217</v>
      </c>
      <c r="CB2045" s="2" t="s">
        <v>228</v>
      </c>
      <c r="CC2045" s="2" t="s">
        <v>241</v>
      </c>
      <c r="CD2045" s="2" t="s">
        <v>228</v>
      </c>
      <c r="CE2045" s="4"/>
      <c r="CF2045" s="4"/>
      <c r="CG2045" s="4"/>
      <c r="CH2045" s="4">
        <v>348</v>
      </c>
      <c r="CI2045" s="4"/>
      <c r="CJ2045" s="4"/>
      <c r="CK2045" s="4"/>
      <c r="CL2045" s="4"/>
      <c r="CM2045" s="4"/>
      <c r="CN2045" s="4"/>
      <c r="CO2045" s="4"/>
      <c r="CP2045" s="4"/>
      <c r="CQ2045" s="4"/>
      <c r="CR2045" s="4"/>
      <c r="CS2045" s="4"/>
      <c r="CT2045" s="4"/>
      <c r="CU2045" s="4"/>
      <c r="CV2045" s="4"/>
      <c r="CW2045" s="4"/>
      <c r="CX2045" s="4"/>
      <c r="CY2045" s="4"/>
      <c r="CZ2045" s="4"/>
      <c r="DA2045" s="4"/>
      <c r="DB2045" s="4"/>
      <c r="DC2045" s="4"/>
      <c r="DD2045" s="4"/>
      <c r="DE2045" s="4"/>
      <c r="DF2045" s="4"/>
      <c r="DG2045" s="4"/>
      <c r="DH2045" s="4"/>
      <c r="DI2045" s="4"/>
      <c r="DJ2045" s="4"/>
      <c r="DK2045" s="4"/>
      <c r="DL2045" s="4"/>
      <c r="DM2045" s="4"/>
      <c r="DN2045" s="4"/>
      <c r="DO2045" s="4"/>
      <c r="DP2045" s="4"/>
      <c r="DQ2045" s="4"/>
      <c r="DR2045" s="4"/>
      <c r="DS2045" s="4"/>
      <c r="DT2045" s="4"/>
      <c r="DU2045" s="4"/>
      <c r="DV2045" s="4"/>
      <c r="DW2045" s="4"/>
      <c r="DX2045" s="4"/>
      <c r="DY2045" s="4"/>
      <c r="DZ2045" s="4"/>
      <c r="EA2045" s="4"/>
      <c r="EB2045" s="4"/>
      <c r="EC2045" s="4"/>
      <c r="ED2045" s="4"/>
      <c r="EE2045" s="4"/>
      <c r="EF2045" s="4"/>
      <c r="EG2045" s="4"/>
      <c r="EH2045" s="4"/>
      <c r="EI2045" s="4"/>
      <c r="EJ2045" s="4"/>
      <c r="EK2045" s="4"/>
      <c r="EL2045" s="4"/>
      <c r="EM2045" s="4"/>
      <c r="EN2045" s="4"/>
      <c r="EO2045" s="4"/>
      <c r="EP2045" s="4"/>
      <c r="EQ2045" s="4"/>
      <c r="ER2045" s="4"/>
      <c r="ES2045" s="4"/>
      <c r="ET2045" s="4"/>
      <c r="EU2045" s="4"/>
      <c r="EV2045" s="4"/>
      <c r="EW2045" s="4"/>
      <c r="EX2045" s="4"/>
      <c r="EY2045" s="4"/>
      <c r="EZ2045" s="4"/>
      <c r="FA2045" s="4"/>
      <c r="FB2045" s="4"/>
      <c r="FC2045" s="4"/>
      <c r="FD2045" s="4"/>
      <c r="FE2045" s="4"/>
      <c r="FF2045" s="4"/>
      <c r="FG2045" s="4"/>
      <c r="FH2045" s="4"/>
      <c r="FI2045" s="4"/>
      <c r="FJ2045" s="4"/>
      <c r="FK2045" s="4"/>
      <c r="FL2045" s="4"/>
      <c r="FM2045" s="4"/>
      <c r="FN2045" s="4"/>
      <c r="FO2045" s="4"/>
      <c r="FP2045" s="4"/>
      <c r="FQ2045" s="4"/>
      <c r="FR2045" s="4"/>
      <c r="FS2045" s="4"/>
      <c r="FT2045" s="4"/>
      <c r="FU2045" s="4"/>
      <c r="FV2045" s="4"/>
      <c r="FW2045" s="4"/>
      <c r="FX2045" s="4"/>
      <c r="FY2045" s="4"/>
      <c r="FZ2045" s="4"/>
      <c r="GA2045" s="4"/>
      <c r="GB2045" s="4"/>
      <c r="GC2045" s="4"/>
      <c r="GD2045" s="4"/>
      <c r="GE2045" s="4"/>
      <c r="GF2045" s="4"/>
      <c r="GG2045" s="4"/>
      <c r="GH2045" s="4"/>
      <c r="GI2045" s="4"/>
      <c r="GJ2045" s="4">
        <v>436</v>
      </c>
      <c r="GK2045" s="4"/>
      <c r="GL2045" s="4"/>
      <c r="GM2045" s="4"/>
      <c r="GN2045" s="4"/>
      <c r="GO2045" s="4"/>
      <c r="GP2045" s="4"/>
      <c r="GQ2045" s="4"/>
      <c r="GR2045" s="4">
        <v>872</v>
      </c>
      <c r="GS2045" s="4"/>
      <c r="GT2045" s="4"/>
      <c r="GU2045" s="4"/>
      <c r="GV2045" s="4"/>
      <c r="GW2045" s="4"/>
      <c r="GX2045" s="4"/>
      <c r="GY2045" s="4"/>
      <c r="GZ2045" s="4"/>
      <c r="HA2045" s="4"/>
      <c r="HB2045" s="4"/>
      <c r="HC2045" s="4"/>
      <c r="HD2045" s="4"/>
      <c r="HE2045" s="4"/>
    </row>
    <row r="2046">
      <c r="A2046" s="2" t="s">
        <v>9869</v>
      </c>
      <c r="B2046" s="2" t="s">
        <v>970</v>
      </c>
      <c r="C2046" s="2" t="s">
        <v>300</v>
      </c>
      <c r="D2046" s="2" t="s">
        <v>971</v>
      </c>
      <c r="E2046" s="2" t="s">
        <v>972</v>
      </c>
      <c r="F2046" s="2" t="s">
        <v>9863</v>
      </c>
      <c r="G2046" s="2" t="s">
        <v>7089</v>
      </c>
      <c r="H2046" s="2" t="s">
        <v>9864</v>
      </c>
      <c r="I2046" s="2" t="s">
        <v>9865</v>
      </c>
      <c r="J2046" s="2" t="s">
        <v>1300</v>
      </c>
      <c r="K2046" s="2" t="s">
        <v>9866</v>
      </c>
      <c r="L2046" s="3">
        <v>17.47</v>
      </c>
      <c r="M2046" s="3">
        <v>18.34</v>
      </c>
      <c r="N2046" s="3">
        <v>39.99</v>
      </c>
      <c r="O2046" s="2" t="s">
        <v>240</v>
      </c>
      <c r="P2046" s="2" t="s">
        <v>233</v>
      </c>
      <c r="Q2046" s="2" t="s">
        <v>234</v>
      </c>
      <c r="R2046" s="2" t="s">
        <v>228</v>
      </c>
      <c r="S2046" s="2" t="s">
        <v>9867</v>
      </c>
      <c r="T2046" s="2" t="s">
        <v>228</v>
      </c>
      <c r="U2046" s="2" t="s">
        <v>416</v>
      </c>
      <c r="V2046" s="2" t="s">
        <v>3007</v>
      </c>
      <c r="W2046" s="2" t="s">
        <v>228</v>
      </c>
      <c r="X2046" s="2" t="s">
        <v>228</v>
      </c>
      <c r="Y2046" s="2" t="s">
        <v>4841</v>
      </c>
      <c r="Z2046" s="4">
        <v>154</v>
      </c>
      <c r="AA2046" s="4">
        <f>=ROUNDDOWN(16.3829787234043,0)</f>
      </c>
      <c r="AB2046" s="5">
        <v>9.4</v>
      </c>
      <c r="AC2046" s="2" t="s">
        <v>200</v>
      </c>
      <c r="AD2046" s="4">
        <v>222</v>
      </c>
      <c r="AE2046" s="4">
        <v>666</v>
      </c>
      <c r="AF2046" s="6">
        <v>65</v>
      </c>
      <c r="AG2046" s="6"/>
      <c r="AH2046" s="7">
        <v>1</v>
      </c>
      <c r="AI2046" s="4"/>
      <c r="AJ2046" s="4">
        <f>=ROUNDDOWN({0},0)</f>
      </c>
      <c r="AK2046" s="5"/>
      <c r="AL2046" s="2" t="s">
        <v>228</v>
      </c>
      <c r="AM2046" s="4"/>
      <c r="AN2046" s="4"/>
      <c r="AO2046" s="7"/>
      <c r="AP2046" s="4"/>
      <c r="AQ2046" s="8"/>
      <c r="AR2046" s="4"/>
      <c r="AS2046" s="8"/>
      <c r="AT2046" s="7"/>
      <c r="AU2046" s="7"/>
      <c r="AV2046" s="4" t="s">
        <v>228</v>
      </c>
      <c r="AW2046" s="8" t="s">
        <v>228</v>
      </c>
      <c r="AX2046" s="4" t="s">
        <v>228</v>
      </c>
      <c r="AY2046" s="8" t="s">
        <v>228</v>
      </c>
      <c r="AZ2046" s="7" t="s">
        <v>228</v>
      </c>
      <c r="BA2046" s="7" t="s">
        <v>228</v>
      </c>
      <c r="BB2046" s="7"/>
      <c r="BC2046" s="4" t="s">
        <v>228</v>
      </c>
      <c r="BD2046" s="8" t="s">
        <v>228</v>
      </c>
      <c r="BE2046" s="4" t="s">
        <v>228</v>
      </c>
      <c r="BF2046" s="8" t="s">
        <v>228</v>
      </c>
      <c r="BG2046" s="7" t="s">
        <v>228</v>
      </c>
      <c r="BH2046" s="7" t="s">
        <v>228</v>
      </c>
      <c r="BI2046" s="7"/>
      <c r="BJ2046" s="4">
        <v>58</v>
      </c>
      <c r="BK2046" s="8">
        <v>1165.22</v>
      </c>
      <c r="BL2046" s="2" t="s">
        <v>1222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9870</v>
      </c>
      <c r="BV2046" s="2" t="s">
        <v>228</v>
      </c>
      <c r="BW2046" s="2" t="s">
        <v>228</v>
      </c>
      <c r="BX2046" s="2" t="s">
        <v>273</v>
      </c>
      <c r="BY2046" s="2" t="s">
        <v>274</v>
      </c>
      <c r="BZ2046" s="2" t="s">
        <v>240</v>
      </c>
      <c r="CA2046" s="2" t="s">
        <v>1217</v>
      </c>
      <c r="CB2046" s="2" t="s">
        <v>228</v>
      </c>
      <c r="CC2046" s="2" t="s">
        <v>241</v>
      </c>
      <c r="CD2046" s="2" t="s">
        <v>228</v>
      </c>
      <c r="CE2046" s="4"/>
      <c r="CF2046" s="4"/>
      <c r="CG2046" s="4"/>
      <c r="CH2046" s="4">
        <v>154</v>
      </c>
      <c r="CI2046" s="4"/>
      <c r="CJ2046" s="4"/>
      <c r="CK2046" s="4"/>
      <c r="CL2046" s="4"/>
      <c r="CM2046" s="4"/>
      <c r="CN2046" s="4"/>
      <c r="CO2046" s="4"/>
      <c r="CP2046" s="4"/>
      <c r="CQ2046" s="4"/>
      <c r="CR2046" s="4"/>
      <c r="CS2046" s="4"/>
      <c r="CT2046" s="4"/>
      <c r="CU2046" s="4"/>
      <c r="CV2046" s="4"/>
      <c r="CW2046" s="4"/>
      <c r="CX2046" s="4"/>
      <c r="CY2046" s="4"/>
      <c r="CZ2046" s="4"/>
      <c r="DA2046" s="4"/>
      <c r="DB2046" s="4"/>
      <c r="DC2046" s="4"/>
      <c r="DD2046" s="4"/>
      <c r="DE2046" s="4"/>
      <c r="DF2046" s="4"/>
      <c r="DG2046" s="4"/>
      <c r="DH2046" s="4"/>
      <c r="DI2046" s="4"/>
      <c r="DJ2046" s="4"/>
      <c r="DK2046" s="4"/>
      <c r="DL2046" s="4"/>
      <c r="DM2046" s="4"/>
      <c r="DN2046" s="4"/>
      <c r="DO2046" s="4"/>
      <c r="DP2046" s="4"/>
      <c r="DQ2046" s="4"/>
      <c r="DR2046" s="4"/>
      <c r="DS2046" s="4"/>
      <c r="DT2046" s="4"/>
      <c r="DU2046" s="4"/>
      <c r="DV2046" s="4"/>
      <c r="DW2046" s="4"/>
      <c r="DX2046" s="4"/>
      <c r="DY2046" s="4"/>
      <c r="DZ2046" s="4"/>
      <c r="EA2046" s="4"/>
      <c r="EB2046" s="4"/>
      <c r="EC2046" s="4"/>
      <c r="ED2046" s="4"/>
      <c r="EE2046" s="4"/>
      <c r="EF2046" s="4"/>
      <c r="EG2046" s="4"/>
      <c r="EH2046" s="4"/>
      <c r="EI2046" s="4"/>
      <c r="EJ2046" s="4"/>
      <c r="EK2046" s="4"/>
      <c r="EL2046" s="4"/>
      <c r="EM2046" s="4"/>
      <c r="EN2046" s="4"/>
      <c r="EO2046" s="4"/>
      <c r="EP2046" s="4"/>
      <c r="EQ2046" s="4"/>
      <c r="ER2046" s="4"/>
      <c r="ES2046" s="4"/>
      <c r="ET2046" s="4"/>
      <c r="EU2046" s="4"/>
      <c r="EV2046" s="4"/>
      <c r="EW2046" s="4"/>
      <c r="EX2046" s="4"/>
      <c r="EY2046" s="4"/>
      <c r="EZ2046" s="4"/>
      <c r="FA2046" s="4"/>
      <c r="FB2046" s="4"/>
      <c r="FC2046" s="4"/>
      <c r="FD2046" s="4"/>
      <c r="FE2046" s="4"/>
      <c r="FF2046" s="4"/>
      <c r="FG2046" s="4"/>
      <c r="FH2046" s="4"/>
      <c r="FI2046" s="4"/>
      <c r="FJ2046" s="4"/>
      <c r="FK2046" s="4"/>
      <c r="FL2046" s="4"/>
      <c r="FM2046" s="4"/>
      <c r="FN2046" s="4"/>
      <c r="FO2046" s="4"/>
      <c r="FP2046" s="4"/>
      <c r="FQ2046" s="4"/>
      <c r="FR2046" s="4"/>
      <c r="FS2046" s="4"/>
      <c r="FT2046" s="4"/>
      <c r="FU2046" s="4"/>
      <c r="FV2046" s="4"/>
      <c r="FW2046" s="4"/>
      <c r="FX2046" s="4"/>
      <c r="FY2046" s="4"/>
      <c r="FZ2046" s="4"/>
      <c r="GA2046" s="4"/>
      <c r="GB2046" s="4"/>
      <c r="GC2046" s="4"/>
      <c r="GD2046" s="4"/>
      <c r="GE2046" s="4"/>
      <c r="GF2046" s="4"/>
      <c r="GG2046" s="4"/>
      <c r="GH2046" s="4"/>
      <c r="GI2046" s="4"/>
      <c r="GJ2046" s="4">
        <v>222</v>
      </c>
      <c r="GK2046" s="4"/>
      <c r="GL2046" s="4"/>
      <c r="GM2046" s="4"/>
      <c r="GN2046" s="4"/>
      <c r="GO2046" s="4"/>
      <c r="GP2046" s="4"/>
      <c r="GQ2046" s="4"/>
      <c r="GR2046" s="4">
        <v>444</v>
      </c>
      <c r="GS2046" s="4"/>
      <c r="GT2046" s="4"/>
      <c r="GU2046" s="4"/>
      <c r="GV2046" s="4"/>
      <c r="GW2046" s="4"/>
      <c r="GX2046" s="4"/>
      <c r="GY2046" s="4"/>
      <c r="GZ2046" s="4"/>
      <c r="HA2046" s="4"/>
      <c r="HB2046" s="4"/>
      <c r="HC2046" s="4"/>
      <c r="HD2046" s="4"/>
      <c r="HE2046" s="4"/>
    </row>
    <row r="2047">
      <c r="A2047" s="2" t="s">
        <v>9871</v>
      </c>
      <c r="B2047" s="2" t="s">
        <v>958</v>
      </c>
      <c r="C2047" s="2" t="s">
        <v>885</v>
      </c>
      <c r="D2047" s="2" t="s">
        <v>959</v>
      </c>
      <c r="E2047" s="2" t="s">
        <v>2560</v>
      </c>
      <c r="F2047" s="2" t="s">
        <v>9872</v>
      </c>
      <c r="G2047" s="2" t="s">
        <v>9872</v>
      </c>
      <c r="H2047" s="2" t="s">
        <v>9872</v>
      </c>
      <c r="I2047" s="2" t="s">
        <v>9873</v>
      </c>
      <c r="J2047" s="2" t="s">
        <v>840</v>
      </c>
      <c r="K2047" s="2" t="s">
        <v>829</v>
      </c>
      <c r="L2047" s="3">
        <v>210</v>
      </c>
      <c r="M2047" s="3">
        <v>220.5</v>
      </c>
      <c r="N2047" s="3">
        <v>439</v>
      </c>
      <c r="O2047" s="2" t="s">
        <v>461</v>
      </c>
      <c r="P2047" s="2" t="s">
        <v>333</v>
      </c>
      <c r="Q2047" s="2" t="s">
        <v>234</v>
      </c>
      <c r="R2047" s="2" t="s">
        <v>228</v>
      </c>
      <c r="S2047" s="2" t="s">
        <v>228</v>
      </c>
      <c r="T2047" s="2" t="s">
        <v>228</v>
      </c>
      <c r="U2047" s="2" t="s">
        <v>416</v>
      </c>
      <c r="V2047" s="2" t="s">
        <v>842</v>
      </c>
      <c r="W2047" s="2" t="s">
        <v>417</v>
      </c>
      <c r="X2047" s="2" t="s">
        <v>1514</v>
      </c>
      <c r="Y2047" s="2" t="s">
        <v>9874</v>
      </c>
      <c r="Z2047" s="4">
        <v>60</v>
      </c>
      <c r="AA2047" s="4">
        <f>=ROUNDDOWN(300,0)</f>
      </c>
      <c r="AB2047" s="5">
        <v>0.2</v>
      </c>
      <c r="AC2047" s="2" t="s">
        <v>228</v>
      </c>
      <c r="AD2047" s="4"/>
      <c r="AE2047" s="4"/>
      <c r="AF2047" s="6">
        <v>65</v>
      </c>
      <c r="AG2047" s="6"/>
      <c r="AH2047" s="7">
        <v>1</v>
      </c>
      <c r="AI2047" s="4"/>
      <c r="AJ2047" s="4">
        <f>=ROUNDDOWN({0},0)</f>
      </c>
      <c r="AK2047" s="5"/>
      <c r="AL2047" s="2" t="s">
        <v>228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/>
      <c r="AW2047" s="8"/>
      <c r="AX2047" s="4"/>
      <c r="AY2047" s="8"/>
      <c r="AZ2047" s="7"/>
      <c r="BA2047" s="7"/>
      <c r="BB2047" s="7"/>
      <c r="BC2047" s="4"/>
      <c r="BD2047" s="8"/>
      <c r="BE2047" s="4"/>
      <c r="BF2047" s="8"/>
      <c r="BG2047" s="7"/>
      <c r="BH2047" s="7"/>
      <c r="BI2047" s="7"/>
      <c r="BJ2047" s="4"/>
      <c r="BK2047" s="8"/>
      <c r="BL2047" s="2" t="s">
        <v>228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9875</v>
      </c>
      <c r="BV2047" s="2" t="s">
        <v>228</v>
      </c>
      <c r="BW2047" s="2" t="s">
        <v>228</v>
      </c>
      <c r="BX2047" s="2" t="s">
        <v>337</v>
      </c>
      <c r="BY2047" s="2" t="s">
        <v>274</v>
      </c>
      <c r="BZ2047" s="2" t="s">
        <v>240</v>
      </c>
      <c r="CA2047" s="2" t="s">
        <v>3550</v>
      </c>
      <c r="CB2047" s="2" t="s">
        <v>4750</v>
      </c>
      <c r="CC2047" s="2" t="s">
        <v>241</v>
      </c>
      <c r="CD2047" s="2" t="s">
        <v>228</v>
      </c>
      <c r="CE2047" s="4"/>
      <c r="CF2047" s="4">
        <v>60</v>
      </c>
      <c r="CG2047" s="4"/>
      <c r="CH2047" s="4"/>
      <c r="CI2047" s="4"/>
      <c r="CJ2047" s="4"/>
      <c r="CK2047" s="4"/>
      <c r="CL2047" s="4"/>
      <c r="CM2047" s="4"/>
      <c r="CN2047" s="4"/>
      <c r="CO2047" s="4"/>
      <c r="CP2047" s="4"/>
      <c r="CQ2047" s="4"/>
      <c r="CR2047" s="4"/>
      <c r="CS2047" s="4"/>
      <c r="CT2047" s="4"/>
      <c r="CU2047" s="4"/>
      <c r="CV2047" s="4"/>
      <c r="CW2047" s="4"/>
      <c r="CX2047" s="4"/>
      <c r="CY2047" s="4"/>
      <c r="CZ2047" s="4"/>
      <c r="DA2047" s="4"/>
      <c r="DB2047" s="4"/>
      <c r="DC2047" s="4"/>
      <c r="DD2047" s="4"/>
      <c r="DE2047" s="4"/>
      <c r="DF2047" s="4"/>
      <c r="DG2047" s="4"/>
      <c r="DH2047" s="4"/>
      <c r="DI2047" s="4"/>
      <c r="DJ2047" s="4"/>
      <c r="DK2047" s="4"/>
      <c r="DL2047" s="4"/>
      <c r="DM2047" s="4"/>
      <c r="DN2047" s="4"/>
      <c r="DO2047" s="4"/>
      <c r="DP2047" s="4"/>
      <c r="DQ2047" s="4"/>
      <c r="DR2047" s="4"/>
      <c r="DS2047" s="4"/>
      <c r="DT2047" s="4"/>
      <c r="DU2047" s="4"/>
      <c r="DV2047" s="4"/>
      <c r="DW2047" s="4"/>
      <c r="DX2047" s="4"/>
      <c r="DY2047" s="4"/>
      <c r="DZ2047" s="4"/>
      <c r="EA2047" s="4"/>
      <c r="EB2047" s="4"/>
      <c r="EC2047" s="4"/>
      <c r="ED2047" s="4"/>
      <c r="EE2047" s="4"/>
      <c r="EF2047" s="4"/>
      <c r="EG2047" s="4"/>
      <c r="EH2047" s="4"/>
      <c r="EI2047" s="4"/>
      <c r="EJ2047" s="4"/>
      <c r="EK2047" s="4"/>
      <c r="EL2047" s="4"/>
      <c r="EM2047" s="4"/>
      <c r="EN2047" s="4"/>
      <c r="EO2047" s="4"/>
      <c r="EP2047" s="4"/>
      <c r="EQ2047" s="4"/>
      <c r="ER2047" s="4"/>
      <c r="ES2047" s="4"/>
      <c r="ET2047" s="4"/>
      <c r="EU2047" s="4"/>
      <c r="EV2047" s="4"/>
      <c r="EW2047" s="4"/>
      <c r="EX2047" s="4"/>
      <c r="EY2047" s="4"/>
      <c r="EZ2047" s="4"/>
      <c r="FA2047" s="4"/>
      <c r="FB2047" s="4"/>
      <c r="FC2047" s="4"/>
      <c r="FD2047" s="4"/>
      <c r="FE2047" s="4"/>
      <c r="FF2047" s="4"/>
      <c r="FG2047" s="4"/>
      <c r="FH2047" s="4"/>
      <c r="FI2047" s="4"/>
      <c r="FJ2047" s="4"/>
      <c r="FK2047" s="4"/>
      <c r="FL2047" s="4"/>
      <c r="FM2047" s="4"/>
      <c r="FN2047" s="4"/>
      <c r="FO2047" s="4"/>
      <c r="FP2047" s="4"/>
      <c r="FQ2047" s="4"/>
      <c r="FR2047" s="4"/>
      <c r="FS2047" s="4"/>
      <c r="FT2047" s="4"/>
      <c r="FU2047" s="4"/>
      <c r="FV2047" s="4"/>
      <c r="FW2047" s="4"/>
      <c r="FX2047" s="4"/>
      <c r="FY2047" s="4"/>
      <c r="FZ2047" s="4"/>
      <c r="GA2047" s="4"/>
      <c r="GB2047" s="4"/>
      <c r="GC2047" s="4"/>
      <c r="GD2047" s="4"/>
      <c r="GE2047" s="4"/>
      <c r="GF2047" s="4"/>
      <c r="GG2047" s="4"/>
      <c r="GH2047" s="4"/>
      <c r="GI2047" s="4"/>
      <c r="GJ2047" s="4"/>
      <c r="GK2047" s="4"/>
      <c r="GL2047" s="4"/>
      <c r="GM2047" s="4"/>
      <c r="GN2047" s="4"/>
      <c r="GO2047" s="4"/>
      <c r="GP2047" s="4"/>
      <c r="GQ2047" s="4"/>
      <c r="GR2047" s="4"/>
      <c r="GS2047" s="4"/>
      <c r="GT2047" s="4"/>
      <c r="GU2047" s="4"/>
      <c r="GV2047" s="4"/>
      <c r="GW2047" s="4"/>
      <c r="GX2047" s="4"/>
      <c r="GY2047" s="4"/>
      <c r="GZ2047" s="4"/>
      <c r="HA2047" s="4"/>
      <c r="HB2047" s="4"/>
      <c r="HC2047" s="4"/>
      <c r="HD2047" s="4"/>
      <c r="HE2047" s="4"/>
    </row>
    <row r="2048">
      <c r="A2048" s="2" t="s">
        <v>9876</v>
      </c>
      <c r="B2048" s="2" t="s">
        <v>970</v>
      </c>
      <c r="C2048" s="2" t="s">
        <v>300</v>
      </c>
      <c r="D2048" s="2" t="s">
        <v>971</v>
      </c>
      <c r="E2048" s="2" t="s">
        <v>972</v>
      </c>
      <c r="F2048" s="2" t="s">
        <v>9877</v>
      </c>
      <c r="G2048" s="2" t="s">
        <v>9878</v>
      </c>
      <c r="H2048" s="2" t="s">
        <v>9879</v>
      </c>
      <c r="I2048" s="2" t="s">
        <v>9880</v>
      </c>
      <c r="J2048" s="2" t="s">
        <v>1300</v>
      </c>
      <c r="K2048" s="2" t="s">
        <v>9223</v>
      </c>
      <c r="L2048" s="3">
        <v>18.4</v>
      </c>
      <c r="M2048" s="3">
        <v>19.32</v>
      </c>
      <c r="N2048" s="3">
        <v>39.99</v>
      </c>
      <c r="O2048" s="2" t="s">
        <v>240</v>
      </c>
      <c r="P2048" s="2" t="s">
        <v>333</v>
      </c>
      <c r="Q2048" s="2" t="s">
        <v>234</v>
      </c>
      <c r="R2048" s="2" t="s">
        <v>228</v>
      </c>
      <c r="S2048" s="2" t="s">
        <v>9881</v>
      </c>
      <c r="T2048" s="2" t="s">
        <v>228</v>
      </c>
      <c r="U2048" s="2" t="s">
        <v>416</v>
      </c>
      <c r="V2048" s="2" t="s">
        <v>1644</v>
      </c>
      <c r="W2048" s="2" t="s">
        <v>417</v>
      </c>
      <c r="X2048" s="2" t="s">
        <v>1345</v>
      </c>
      <c r="Y2048" s="2" t="s">
        <v>270</v>
      </c>
      <c r="Z2048" s="4">
        <v>64</v>
      </c>
      <c r="AA2048" s="4">
        <f>=ROUNDDOWN(8,0)</f>
      </c>
      <c r="AB2048" s="5">
        <v>8</v>
      </c>
      <c r="AC2048" s="2" t="s">
        <v>228</v>
      </c>
      <c r="AD2048" s="4"/>
      <c r="AE2048" s="4"/>
      <c r="AF2048" s="6">
        <v>65</v>
      </c>
      <c r="AG2048" s="6"/>
      <c r="AH2048" s="7">
        <v>1</v>
      </c>
      <c r="AI2048" s="4"/>
      <c r="AJ2048" s="4">
        <f>=ROUNDDOWN({0},0)</f>
      </c>
      <c r="AK2048" s="5"/>
      <c r="AL2048" s="2" t="s">
        <v>228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/>
      <c r="AW2048" s="8"/>
      <c r="AX2048" s="4"/>
      <c r="AY2048" s="8"/>
      <c r="AZ2048" s="7"/>
      <c r="BA2048" s="7"/>
      <c r="BB2048" s="7"/>
      <c r="BC2048" s="4" t="s">
        <v>228</v>
      </c>
      <c r="BD2048" s="8" t="s">
        <v>228</v>
      </c>
      <c r="BE2048" s="4" t="s">
        <v>228</v>
      </c>
      <c r="BF2048" s="8" t="s">
        <v>228</v>
      </c>
      <c r="BG2048" s="7" t="s">
        <v>228</v>
      </c>
      <c r="BH2048" s="7" t="s">
        <v>228</v>
      </c>
      <c r="BI2048" s="7"/>
      <c r="BJ2048" s="4">
        <v>20</v>
      </c>
      <c r="BK2048" s="8">
        <v>311.3</v>
      </c>
      <c r="BL2048" s="2" t="s">
        <v>9882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9883</v>
      </c>
      <c r="BV2048" s="2" t="s">
        <v>228</v>
      </c>
      <c r="BW2048" s="2" t="s">
        <v>228</v>
      </c>
      <c r="BX2048" s="2" t="s">
        <v>337</v>
      </c>
      <c r="BY2048" s="2" t="s">
        <v>274</v>
      </c>
      <c r="BZ2048" s="2" t="s">
        <v>240</v>
      </c>
      <c r="CA2048" s="2" t="s">
        <v>275</v>
      </c>
      <c r="CB2048" s="2" t="s">
        <v>9884</v>
      </c>
      <c r="CC2048" s="2" t="s">
        <v>241</v>
      </c>
      <c r="CD2048" s="2" t="s">
        <v>228</v>
      </c>
      <c r="CE2048" s="4">
        <v>64</v>
      </c>
      <c r="CF2048" s="4"/>
      <c r="CG2048" s="4"/>
      <c r="CH2048" s="4"/>
      <c r="CI2048" s="4"/>
      <c r="CJ2048" s="4"/>
      <c r="CK2048" s="4"/>
      <c r="CL2048" s="4"/>
      <c r="CM2048" s="4"/>
      <c r="CN2048" s="4"/>
      <c r="CO2048" s="4"/>
      <c r="CP2048" s="4"/>
      <c r="CQ2048" s="4"/>
      <c r="CR2048" s="4"/>
      <c r="CS2048" s="4"/>
      <c r="CT2048" s="4"/>
      <c r="CU2048" s="4"/>
      <c r="CV2048" s="4"/>
      <c r="CW2048" s="4"/>
      <c r="CX2048" s="4"/>
      <c r="CY2048" s="4"/>
      <c r="CZ2048" s="4"/>
      <c r="DA2048" s="4"/>
      <c r="DB2048" s="4"/>
      <c r="DC2048" s="4"/>
      <c r="DD2048" s="4"/>
      <c r="DE2048" s="4"/>
      <c r="DF2048" s="4"/>
      <c r="DG2048" s="4"/>
      <c r="DH2048" s="4"/>
      <c r="DI2048" s="4"/>
      <c r="DJ2048" s="4"/>
      <c r="DK2048" s="4"/>
      <c r="DL2048" s="4"/>
      <c r="DM2048" s="4"/>
      <c r="DN2048" s="4"/>
      <c r="DO2048" s="4"/>
      <c r="DP2048" s="4"/>
      <c r="DQ2048" s="4"/>
      <c r="DR2048" s="4"/>
      <c r="DS2048" s="4"/>
      <c r="DT2048" s="4"/>
      <c r="DU2048" s="4"/>
      <c r="DV2048" s="4"/>
      <c r="DW2048" s="4"/>
      <c r="DX2048" s="4"/>
      <c r="DY2048" s="4"/>
      <c r="DZ2048" s="4"/>
      <c r="EA2048" s="4"/>
      <c r="EB2048" s="4"/>
      <c r="EC2048" s="4"/>
      <c r="ED2048" s="4"/>
      <c r="EE2048" s="4"/>
      <c r="EF2048" s="4"/>
      <c r="EG2048" s="4"/>
      <c r="EH2048" s="4"/>
      <c r="EI2048" s="4"/>
      <c r="EJ2048" s="4"/>
      <c r="EK2048" s="4"/>
      <c r="EL2048" s="4"/>
      <c r="EM2048" s="4"/>
      <c r="EN2048" s="4"/>
      <c r="EO2048" s="4"/>
      <c r="EP2048" s="4"/>
      <c r="EQ2048" s="4"/>
      <c r="ER2048" s="4"/>
      <c r="ES2048" s="4"/>
      <c r="ET2048" s="4"/>
      <c r="EU2048" s="4"/>
      <c r="EV2048" s="4"/>
      <c r="EW2048" s="4"/>
      <c r="EX2048" s="4"/>
      <c r="EY2048" s="4"/>
      <c r="EZ2048" s="4"/>
      <c r="FA2048" s="4"/>
      <c r="FB2048" s="4"/>
      <c r="FC2048" s="4"/>
      <c r="FD2048" s="4"/>
      <c r="FE2048" s="4"/>
      <c r="FF2048" s="4"/>
      <c r="FG2048" s="4"/>
      <c r="FH2048" s="4"/>
      <c r="FI2048" s="4"/>
      <c r="FJ2048" s="4"/>
      <c r="FK2048" s="4"/>
      <c r="FL2048" s="4"/>
      <c r="FM2048" s="4"/>
      <c r="FN2048" s="4"/>
      <c r="FO2048" s="4"/>
      <c r="FP2048" s="4"/>
      <c r="FQ2048" s="4"/>
      <c r="FR2048" s="4"/>
      <c r="FS2048" s="4"/>
      <c r="FT2048" s="4"/>
      <c r="FU2048" s="4"/>
      <c r="FV2048" s="4"/>
      <c r="FW2048" s="4"/>
      <c r="FX2048" s="4"/>
      <c r="FY2048" s="4"/>
      <c r="FZ2048" s="4"/>
      <c r="GA2048" s="4"/>
      <c r="GB2048" s="4"/>
      <c r="GC2048" s="4"/>
      <c r="GD2048" s="4"/>
      <c r="GE2048" s="4"/>
      <c r="GF2048" s="4"/>
      <c r="GG2048" s="4"/>
      <c r="GH2048" s="4"/>
      <c r="GI2048" s="4"/>
      <c r="GJ2048" s="4"/>
      <c r="GK2048" s="4"/>
      <c r="GL2048" s="4"/>
      <c r="GM2048" s="4"/>
      <c r="GN2048" s="4"/>
      <c r="GO2048" s="4"/>
      <c r="GP2048" s="4"/>
      <c r="GQ2048" s="4"/>
      <c r="GR2048" s="4"/>
      <c r="GS2048" s="4"/>
      <c r="GT2048" s="4"/>
      <c r="GU2048" s="4"/>
      <c r="GV2048" s="4"/>
      <c r="GW2048" s="4"/>
      <c r="GX2048" s="4"/>
      <c r="GY2048" s="4"/>
      <c r="GZ2048" s="4"/>
      <c r="HA2048" s="4"/>
      <c r="HB2048" s="4"/>
      <c r="HC2048" s="4"/>
      <c r="HD2048" s="4"/>
      <c r="HE2048" s="4"/>
    </row>
    <row r="2049">
      <c r="A2049" s="2" t="s">
        <v>9885</v>
      </c>
      <c r="B2049" s="2" t="s">
        <v>970</v>
      </c>
      <c r="C2049" s="2" t="s">
        <v>300</v>
      </c>
      <c r="D2049" s="2" t="s">
        <v>971</v>
      </c>
      <c r="E2049" s="2" t="s">
        <v>972</v>
      </c>
      <c r="F2049" s="2" t="s">
        <v>9877</v>
      </c>
      <c r="G2049" s="2" t="s">
        <v>9878</v>
      </c>
      <c r="H2049" s="2" t="s">
        <v>9879</v>
      </c>
      <c r="I2049" s="2" t="s">
        <v>9880</v>
      </c>
      <c r="J2049" s="2" t="s">
        <v>1300</v>
      </c>
      <c r="K2049" s="2" t="s">
        <v>1642</v>
      </c>
      <c r="L2049" s="3">
        <v>18.4</v>
      </c>
      <c r="M2049" s="3">
        <v>19.32</v>
      </c>
      <c r="N2049" s="3">
        <v>39.99</v>
      </c>
      <c r="O2049" s="2" t="s">
        <v>240</v>
      </c>
      <c r="P2049" s="2" t="s">
        <v>266</v>
      </c>
      <c r="Q2049" s="2" t="s">
        <v>234</v>
      </c>
      <c r="R2049" s="2" t="s">
        <v>228</v>
      </c>
      <c r="S2049" s="2" t="s">
        <v>9886</v>
      </c>
      <c r="T2049" s="2" t="s">
        <v>228</v>
      </c>
      <c r="U2049" s="2" t="s">
        <v>416</v>
      </c>
      <c r="V2049" s="2" t="s">
        <v>1644</v>
      </c>
      <c r="W2049" s="2" t="s">
        <v>417</v>
      </c>
      <c r="X2049" s="2" t="s">
        <v>1345</v>
      </c>
      <c r="Y2049" s="2" t="s">
        <v>270</v>
      </c>
      <c r="Z2049" s="4">
        <v>140</v>
      </c>
      <c r="AA2049" s="4">
        <f>=ROUNDDOWN(23.3333333333333,0)</f>
      </c>
      <c r="AB2049" s="5">
        <v>6</v>
      </c>
      <c r="AC2049" s="2" t="s">
        <v>192</v>
      </c>
      <c r="AD2049" s="4">
        <v>100</v>
      </c>
      <c r="AE2049" s="4">
        <v>100</v>
      </c>
      <c r="AF2049" s="6">
        <v>65</v>
      </c>
      <c r="AG2049" s="6"/>
      <c r="AH2049" s="7">
        <v>1</v>
      </c>
      <c r="AI2049" s="4"/>
      <c r="AJ2049" s="4">
        <f>=ROUNDDOWN({0},0)</f>
      </c>
      <c r="AK2049" s="5"/>
      <c r="AL2049" s="2" t="s">
        <v>228</v>
      </c>
      <c r="AM2049" s="4"/>
      <c r="AN2049" s="4"/>
      <c r="AO2049" s="7"/>
      <c r="AP2049" s="4"/>
      <c r="AQ2049" s="8"/>
      <c r="AR2049" s="4"/>
      <c r="AS2049" s="8"/>
      <c r="AT2049" s="7"/>
      <c r="AU2049" s="7"/>
      <c r="AV2049" s="4"/>
      <c r="AW2049" s="8"/>
      <c r="AX2049" s="4"/>
      <c r="AY2049" s="8"/>
      <c r="AZ2049" s="7"/>
      <c r="BA2049" s="7"/>
      <c r="BB2049" s="7"/>
      <c r="BC2049" s="4" t="s">
        <v>228</v>
      </c>
      <c r="BD2049" s="8" t="s">
        <v>228</v>
      </c>
      <c r="BE2049" s="4" t="s">
        <v>228</v>
      </c>
      <c r="BF2049" s="8" t="s">
        <v>228</v>
      </c>
      <c r="BG2049" s="7" t="s">
        <v>228</v>
      </c>
      <c r="BH2049" s="7" t="s">
        <v>228</v>
      </c>
      <c r="BI2049" s="7"/>
      <c r="BJ2049" s="4">
        <v>38</v>
      </c>
      <c r="BK2049" s="8">
        <v>799.38</v>
      </c>
      <c r="BL2049" s="2" t="s">
        <v>9887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9888</v>
      </c>
      <c r="BV2049" s="2" t="s">
        <v>228</v>
      </c>
      <c r="BW2049" s="2" t="s">
        <v>228</v>
      </c>
      <c r="BX2049" s="2" t="s">
        <v>273</v>
      </c>
      <c r="BY2049" s="2" t="s">
        <v>274</v>
      </c>
      <c r="BZ2049" s="2" t="s">
        <v>240</v>
      </c>
      <c r="CA2049" s="2" t="s">
        <v>275</v>
      </c>
      <c r="CB2049" s="2" t="s">
        <v>609</v>
      </c>
      <c r="CC2049" s="2" t="s">
        <v>241</v>
      </c>
      <c r="CD2049" s="2" t="s">
        <v>228</v>
      </c>
      <c r="CE2049" s="4">
        <v>140</v>
      </c>
      <c r="CF2049" s="4"/>
      <c r="CG2049" s="4"/>
      <c r="CH2049" s="4"/>
      <c r="CI2049" s="4"/>
      <c r="CJ2049" s="4"/>
      <c r="CK2049" s="4"/>
      <c r="CL2049" s="4"/>
      <c r="CM2049" s="4"/>
      <c r="CN2049" s="4"/>
      <c r="CO2049" s="4"/>
      <c r="CP2049" s="4"/>
      <c r="CQ2049" s="4"/>
      <c r="CR2049" s="4"/>
      <c r="CS2049" s="4"/>
      <c r="CT2049" s="4"/>
      <c r="CU2049" s="4"/>
      <c r="CV2049" s="4"/>
      <c r="CW2049" s="4"/>
      <c r="CX2049" s="4"/>
      <c r="CY2049" s="4"/>
      <c r="CZ2049" s="4"/>
      <c r="DA2049" s="4"/>
      <c r="DB2049" s="4"/>
      <c r="DC2049" s="4"/>
      <c r="DD2049" s="4"/>
      <c r="DE2049" s="4"/>
      <c r="DF2049" s="4"/>
      <c r="DG2049" s="4"/>
      <c r="DH2049" s="4"/>
      <c r="DI2049" s="4"/>
      <c r="DJ2049" s="4"/>
      <c r="DK2049" s="4"/>
      <c r="DL2049" s="4"/>
      <c r="DM2049" s="4"/>
      <c r="DN2049" s="4"/>
      <c r="DO2049" s="4"/>
      <c r="DP2049" s="4"/>
      <c r="DQ2049" s="4"/>
      <c r="DR2049" s="4"/>
      <c r="DS2049" s="4"/>
      <c r="DT2049" s="4"/>
      <c r="DU2049" s="4"/>
      <c r="DV2049" s="4"/>
      <c r="DW2049" s="4"/>
      <c r="DX2049" s="4"/>
      <c r="DY2049" s="4"/>
      <c r="DZ2049" s="4"/>
      <c r="EA2049" s="4"/>
      <c r="EB2049" s="4"/>
      <c r="EC2049" s="4"/>
      <c r="ED2049" s="4"/>
      <c r="EE2049" s="4"/>
      <c r="EF2049" s="4"/>
      <c r="EG2049" s="4"/>
      <c r="EH2049" s="4"/>
      <c r="EI2049" s="4"/>
      <c r="EJ2049" s="4"/>
      <c r="EK2049" s="4"/>
      <c r="EL2049" s="4"/>
      <c r="EM2049" s="4"/>
      <c r="EN2049" s="4"/>
      <c r="EO2049" s="4"/>
      <c r="EP2049" s="4"/>
      <c r="EQ2049" s="4"/>
      <c r="ER2049" s="4"/>
      <c r="ES2049" s="4"/>
      <c r="ET2049" s="4"/>
      <c r="EU2049" s="4"/>
      <c r="EV2049" s="4"/>
      <c r="EW2049" s="4"/>
      <c r="EX2049" s="4"/>
      <c r="EY2049" s="4"/>
      <c r="EZ2049" s="4"/>
      <c r="FA2049" s="4"/>
      <c r="FB2049" s="4"/>
      <c r="FC2049" s="4"/>
      <c r="FD2049" s="4"/>
      <c r="FE2049" s="4"/>
      <c r="FF2049" s="4"/>
      <c r="FG2049" s="4"/>
      <c r="FH2049" s="4"/>
      <c r="FI2049" s="4"/>
      <c r="FJ2049" s="4"/>
      <c r="FK2049" s="4"/>
      <c r="FL2049" s="4"/>
      <c r="FM2049" s="4"/>
      <c r="FN2049" s="4"/>
      <c r="FO2049" s="4"/>
      <c r="FP2049" s="4"/>
      <c r="FQ2049" s="4"/>
      <c r="FR2049" s="4"/>
      <c r="FS2049" s="4"/>
      <c r="FT2049" s="4"/>
      <c r="FU2049" s="4"/>
      <c r="FV2049" s="4"/>
      <c r="FW2049" s="4"/>
      <c r="FX2049" s="4"/>
      <c r="FY2049" s="4"/>
      <c r="FZ2049" s="4"/>
      <c r="GA2049" s="4"/>
      <c r="GB2049" s="4">
        <v>100</v>
      </c>
      <c r="GC2049" s="4"/>
      <c r="GD2049" s="4"/>
      <c r="GE2049" s="4"/>
      <c r="GF2049" s="4"/>
      <c r="GG2049" s="4"/>
      <c r="GH2049" s="4"/>
      <c r="GI2049" s="4"/>
      <c r="GJ2049" s="4"/>
      <c r="GK2049" s="4"/>
      <c r="GL2049" s="4"/>
      <c r="GM2049" s="4"/>
      <c r="GN2049" s="4"/>
      <c r="GO2049" s="4"/>
      <c r="GP2049" s="4"/>
      <c r="GQ2049" s="4"/>
      <c r="GR2049" s="4"/>
      <c r="GS2049" s="4"/>
      <c r="GT2049" s="4"/>
      <c r="GU2049" s="4"/>
      <c r="GV2049" s="4"/>
      <c r="GW2049" s="4"/>
      <c r="GX2049" s="4"/>
      <c r="GY2049" s="4"/>
      <c r="GZ2049" s="4"/>
      <c r="HA2049" s="4"/>
      <c r="HB2049" s="4"/>
      <c r="HC2049" s="4"/>
      <c r="HD2049" s="4"/>
      <c r="HE2049" s="4"/>
    </row>
    <row r="2050">
      <c r="A2050" s="2" t="s">
        <v>9889</v>
      </c>
      <c r="B2050" s="2" t="s">
        <v>970</v>
      </c>
      <c r="C2050" s="2" t="s">
        <v>300</v>
      </c>
      <c r="D2050" s="2" t="s">
        <v>971</v>
      </c>
      <c r="E2050" s="2" t="s">
        <v>972</v>
      </c>
      <c r="F2050" s="2" t="s">
        <v>9877</v>
      </c>
      <c r="G2050" s="2" t="s">
        <v>9878</v>
      </c>
      <c r="H2050" s="2" t="s">
        <v>9879</v>
      </c>
      <c r="I2050" s="2" t="s">
        <v>9880</v>
      </c>
      <c r="J2050" s="2" t="s">
        <v>1525</v>
      </c>
      <c r="K2050" s="2" t="s">
        <v>9890</v>
      </c>
      <c r="L2050" s="3">
        <v>13.5</v>
      </c>
      <c r="M2050" s="3">
        <v>14.18</v>
      </c>
      <c r="N2050" s="3">
        <v>29.99</v>
      </c>
      <c r="O2050" s="2" t="s">
        <v>491</v>
      </c>
      <c r="P2050" s="2" t="s">
        <v>333</v>
      </c>
      <c r="Q2050" s="2" t="s">
        <v>234</v>
      </c>
      <c r="R2050" s="2" t="s">
        <v>228</v>
      </c>
      <c r="S2050" s="2" t="s">
        <v>9891</v>
      </c>
      <c r="T2050" s="2" t="s">
        <v>228</v>
      </c>
      <c r="U2050" s="2" t="s">
        <v>416</v>
      </c>
      <c r="V2050" s="2" t="s">
        <v>1644</v>
      </c>
      <c r="W2050" s="2" t="s">
        <v>417</v>
      </c>
      <c r="X2050" s="2" t="s">
        <v>228</v>
      </c>
      <c r="Y2050" s="2" t="s">
        <v>270</v>
      </c>
      <c r="Z2050" s="4">
        <v>8</v>
      </c>
      <c r="AA2050" s="4">
        <f>=ROUNDDOWN(0.792079207920792,0)</f>
      </c>
      <c r="AB2050" s="5">
        <v>10.1</v>
      </c>
      <c r="AC2050" s="2" t="s">
        <v>228</v>
      </c>
      <c r="AD2050" s="4"/>
      <c r="AE2050" s="4"/>
      <c r="AF2050" s="6">
        <v>65</v>
      </c>
      <c r="AG2050" s="6"/>
      <c r="AH2050" s="7">
        <v>1</v>
      </c>
      <c r="AI2050" s="4"/>
      <c r="AJ2050" s="4">
        <f>=ROUNDDOWN({0},0)</f>
      </c>
      <c r="AK2050" s="5"/>
      <c r="AL2050" s="2" t="s">
        <v>228</v>
      </c>
      <c r="AM2050" s="4"/>
      <c r="AN2050" s="4"/>
      <c r="AO2050" s="7"/>
      <c r="AP2050" s="4"/>
      <c r="AQ2050" s="8"/>
      <c r="AR2050" s="4"/>
      <c r="AS2050" s="8"/>
      <c r="AT2050" s="7"/>
      <c r="AU2050" s="7"/>
      <c r="AV2050" s="4" t="s">
        <v>228</v>
      </c>
      <c r="AW2050" s="8" t="s">
        <v>228</v>
      </c>
      <c r="AX2050" s="4" t="s">
        <v>228</v>
      </c>
      <c r="AY2050" s="8" t="s">
        <v>228</v>
      </c>
      <c r="AZ2050" s="7" t="s">
        <v>228</v>
      </c>
      <c r="BA2050" s="7" t="s">
        <v>228</v>
      </c>
      <c r="BB2050" s="7"/>
      <c r="BC2050" s="4" t="s">
        <v>228</v>
      </c>
      <c r="BD2050" s="8" t="s">
        <v>228</v>
      </c>
      <c r="BE2050" s="4" t="s">
        <v>228</v>
      </c>
      <c r="BF2050" s="8" t="s">
        <v>228</v>
      </c>
      <c r="BG2050" s="7" t="s">
        <v>228</v>
      </c>
      <c r="BH2050" s="7" t="s">
        <v>228</v>
      </c>
      <c r="BI2050" s="7"/>
      <c r="BJ2050" s="4">
        <v>46</v>
      </c>
      <c r="BK2050" s="8">
        <v>473.63</v>
      </c>
      <c r="BL2050" s="2" t="s">
        <v>9892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9893</v>
      </c>
      <c r="BV2050" s="2" t="s">
        <v>228</v>
      </c>
      <c r="BW2050" s="2" t="s">
        <v>228</v>
      </c>
      <c r="BX2050" s="2" t="s">
        <v>337</v>
      </c>
      <c r="BY2050" s="2" t="s">
        <v>274</v>
      </c>
      <c r="BZ2050" s="2" t="s">
        <v>240</v>
      </c>
      <c r="CA2050" s="2" t="s">
        <v>275</v>
      </c>
      <c r="CB2050" s="2" t="s">
        <v>9894</v>
      </c>
      <c r="CC2050" s="2" t="s">
        <v>241</v>
      </c>
      <c r="CD2050" s="2" t="s">
        <v>228</v>
      </c>
      <c r="CE2050" s="4">
        <v>8</v>
      </c>
      <c r="CF2050" s="4"/>
      <c r="CG2050" s="4"/>
      <c r="CH2050" s="4"/>
      <c r="CI2050" s="4"/>
      <c r="CJ2050" s="4"/>
      <c r="CK2050" s="4"/>
      <c r="CL2050" s="4"/>
      <c r="CM2050" s="4"/>
      <c r="CN2050" s="4"/>
      <c r="CO2050" s="4"/>
      <c r="CP2050" s="4"/>
      <c r="CQ2050" s="4"/>
      <c r="CR2050" s="4"/>
      <c r="CS2050" s="4"/>
      <c r="CT2050" s="4"/>
      <c r="CU2050" s="4"/>
      <c r="CV2050" s="4"/>
      <c r="CW2050" s="4"/>
      <c r="CX2050" s="4"/>
      <c r="CY2050" s="4"/>
      <c r="CZ2050" s="4"/>
      <c r="DA2050" s="4"/>
      <c r="DB2050" s="4"/>
      <c r="DC2050" s="4"/>
      <c r="DD2050" s="4"/>
      <c r="DE2050" s="4"/>
      <c r="DF2050" s="4"/>
      <c r="DG2050" s="4"/>
      <c r="DH2050" s="4"/>
      <c r="DI2050" s="4"/>
      <c r="DJ2050" s="4"/>
      <c r="DK2050" s="4"/>
      <c r="DL2050" s="4"/>
      <c r="DM2050" s="4"/>
      <c r="DN2050" s="4"/>
      <c r="DO2050" s="4"/>
      <c r="DP2050" s="4"/>
      <c r="DQ2050" s="4"/>
      <c r="DR2050" s="4"/>
      <c r="DS2050" s="4"/>
      <c r="DT2050" s="4"/>
      <c r="DU2050" s="4"/>
      <c r="DV2050" s="4"/>
      <c r="DW2050" s="4"/>
      <c r="DX2050" s="4"/>
      <c r="DY2050" s="4"/>
      <c r="DZ2050" s="4"/>
      <c r="EA2050" s="4"/>
      <c r="EB2050" s="4"/>
      <c r="EC2050" s="4"/>
      <c r="ED2050" s="4"/>
      <c r="EE2050" s="4"/>
      <c r="EF2050" s="4"/>
      <c r="EG2050" s="4"/>
      <c r="EH2050" s="4"/>
      <c r="EI2050" s="4"/>
      <c r="EJ2050" s="4"/>
      <c r="EK2050" s="4"/>
      <c r="EL2050" s="4"/>
      <c r="EM2050" s="4"/>
      <c r="EN2050" s="4"/>
      <c r="EO2050" s="4"/>
      <c r="EP2050" s="4"/>
      <c r="EQ2050" s="4"/>
      <c r="ER2050" s="4"/>
      <c r="ES2050" s="4"/>
      <c r="ET2050" s="4"/>
      <c r="EU2050" s="4"/>
      <c r="EV2050" s="4"/>
      <c r="EW2050" s="4"/>
      <c r="EX2050" s="4"/>
      <c r="EY2050" s="4"/>
      <c r="EZ2050" s="4"/>
      <c r="FA2050" s="4"/>
      <c r="FB2050" s="4"/>
      <c r="FC2050" s="4"/>
      <c r="FD2050" s="4"/>
      <c r="FE2050" s="4"/>
      <c r="FF2050" s="4"/>
      <c r="FG2050" s="4"/>
      <c r="FH2050" s="4"/>
      <c r="FI2050" s="4"/>
      <c r="FJ2050" s="4"/>
      <c r="FK2050" s="4"/>
      <c r="FL2050" s="4"/>
      <c r="FM2050" s="4"/>
      <c r="FN2050" s="4"/>
      <c r="FO2050" s="4"/>
      <c r="FP2050" s="4"/>
      <c r="FQ2050" s="4"/>
      <c r="FR2050" s="4"/>
      <c r="FS2050" s="4"/>
      <c r="FT2050" s="4"/>
      <c r="FU2050" s="4"/>
      <c r="FV2050" s="4"/>
      <c r="FW2050" s="4"/>
      <c r="FX2050" s="4"/>
      <c r="FY2050" s="4"/>
      <c r="FZ2050" s="4"/>
      <c r="GA2050" s="4"/>
      <c r="GB2050" s="4"/>
      <c r="GC2050" s="4"/>
      <c r="GD2050" s="4"/>
      <c r="GE2050" s="4"/>
      <c r="GF2050" s="4"/>
      <c r="GG2050" s="4"/>
      <c r="GH2050" s="4"/>
      <c r="GI2050" s="4"/>
      <c r="GJ2050" s="4"/>
      <c r="GK2050" s="4"/>
      <c r="GL2050" s="4"/>
      <c r="GM2050" s="4"/>
      <c r="GN2050" s="4"/>
      <c r="GO2050" s="4"/>
      <c r="GP2050" s="4"/>
      <c r="GQ2050" s="4"/>
      <c r="GR2050" s="4"/>
      <c r="GS2050" s="4"/>
      <c r="GT2050" s="4"/>
      <c r="GU2050" s="4"/>
      <c r="GV2050" s="4"/>
      <c r="GW2050" s="4"/>
      <c r="GX2050" s="4"/>
      <c r="GY2050" s="4"/>
      <c r="GZ2050" s="4"/>
      <c r="HA2050" s="4"/>
      <c r="HB2050" s="4"/>
      <c r="HC2050" s="4"/>
      <c r="HD2050" s="4"/>
      <c r="HE2050" s="4"/>
    </row>
    <row r="2051">
      <c r="A2051" s="2" t="s">
        <v>9895</v>
      </c>
      <c r="B2051" s="2" t="s">
        <v>970</v>
      </c>
      <c r="C2051" s="2" t="s">
        <v>300</v>
      </c>
      <c r="D2051" s="2" t="s">
        <v>971</v>
      </c>
      <c r="E2051" s="2" t="s">
        <v>972</v>
      </c>
      <c r="F2051" s="2" t="s">
        <v>9877</v>
      </c>
      <c r="G2051" s="2" t="s">
        <v>9878</v>
      </c>
      <c r="H2051" s="2" t="s">
        <v>9879</v>
      </c>
      <c r="I2051" s="2" t="s">
        <v>9880</v>
      </c>
      <c r="J2051" s="2" t="s">
        <v>1309</v>
      </c>
      <c r="K2051" s="2" t="s">
        <v>9890</v>
      </c>
      <c r="L2051" s="3">
        <v>20.7</v>
      </c>
      <c r="M2051" s="3">
        <v>21.74</v>
      </c>
      <c r="N2051" s="3">
        <v>44.99</v>
      </c>
      <c r="O2051" s="2" t="s">
        <v>461</v>
      </c>
      <c r="P2051" s="2" t="s">
        <v>333</v>
      </c>
      <c r="Q2051" s="2" t="s">
        <v>234</v>
      </c>
      <c r="R2051" s="2" t="s">
        <v>228</v>
      </c>
      <c r="S2051" s="2" t="s">
        <v>9891</v>
      </c>
      <c r="T2051" s="2" t="s">
        <v>228</v>
      </c>
      <c r="U2051" s="2" t="s">
        <v>416</v>
      </c>
      <c r="V2051" s="2" t="s">
        <v>1644</v>
      </c>
      <c r="W2051" s="2" t="s">
        <v>417</v>
      </c>
      <c r="X2051" s="2" t="s">
        <v>228</v>
      </c>
      <c r="Y2051" s="2" t="s">
        <v>270</v>
      </c>
      <c r="Z2051" s="4">
        <v>202</v>
      </c>
      <c r="AA2051" s="4">
        <f>=ROUNDDOWN(134.666666666667,0)</f>
      </c>
      <c r="AB2051" s="5">
        <v>1.5</v>
      </c>
      <c r="AC2051" s="2" t="s">
        <v>228</v>
      </c>
      <c r="AD2051" s="4"/>
      <c r="AE2051" s="4"/>
      <c r="AF2051" s="6">
        <v>65</v>
      </c>
      <c r="AG2051" s="6"/>
      <c r="AH2051" s="7">
        <v>1</v>
      </c>
      <c r="AI2051" s="4"/>
      <c r="AJ2051" s="4">
        <f>=ROUNDDOWN({0},0)</f>
      </c>
      <c r="AK2051" s="5"/>
      <c r="AL2051" s="2" t="s">
        <v>228</v>
      </c>
      <c r="AM2051" s="4"/>
      <c r="AN2051" s="4"/>
      <c r="AO2051" s="7"/>
      <c r="AP2051" s="4"/>
      <c r="AQ2051" s="8"/>
      <c r="AR2051" s="4"/>
      <c r="AS2051" s="8"/>
      <c r="AT2051" s="7"/>
      <c r="AU2051" s="7"/>
      <c r="AV2051" s="4" t="s">
        <v>228</v>
      </c>
      <c r="AW2051" s="8" t="s">
        <v>228</v>
      </c>
      <c r="AX2051" s="4" t="s">
        <v>228</v>
      </c>
      <c r="AY2051" s="8" t="s">
        <v>228</v>
      </c>
      <c r="AZ2051" s="7" t="s">
        <v>228</v>
      </c>
      <c r="BA2051" s="7" t="s">
        <v>228</v>
      </c>
      <c r="BB2051" s="7"/>
      <c r="BC2051" s="4" t="s">
        <v>228</v>
      </c>
      <c r="BD2051" s="8" t="s">
        <v>228</v>
      </c>
      <c r="BE2051" s="4" t="s">
        <v>228</v>
      </c>
      <c r="BF2051" s="8" t="s">
        <v>228</v>
      </c>
      <c r="BG2051" s="7" t="s">
        <v>228</v>
      </c>
      <c r="BH2051" s="7" t="s">
        <v>228</v>
      </c>
      <c r="BI2051" s="7"/>
      <c r="BJ2051" s="4">
        <v>2</v>
      </c>
      <c r="BK2051" s="8">
        <v>45.64</v>
      </c>
      <c r="BL2051" s="2" t="s">
        <v>2986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9896</v>
      </c>
      <c r="BV2051" s="2" t="s">
        <v>228</v>
      </c>
      <c r="BW2051" s="2" t="s">
        <v>228</v>
      </c>
      <c r="BX2051" s="2" t="s">
        <v>337</v>
      </c>
      <c r="BY2051" s="2" t="s">
        <v>274</v>
      </c>
      <c r="BZ2051" s="2" t="s">
        <v>240</v>
      </c>
      <c r="CA2051" s="2" t="s">
        <v>275</v>
      </c>
      <c r="CB2051" s="2" t="s">
        <v>3800</v>
      </c>
      <c r="CC2051" s="2" t="s">
        <v>241</v>
      </c>
      <c r="CD2051" s="2" t="s">
        <v>228</v>
      </c>
      <c r="CE2051" s="4">
        <v>202</v>
      </c>
      <c r="CF2051" s="4"/>
      <c r="CG2051" s="4"/>
      <c r="CH2051" s="4"/>
      <c r="CI2051" s="4"/>
      <c r="CJ2051" s="4"/>
      <c r="CK2051" s="4"/>
      <c r="CL2051" s="4"/>
      <c r="CM2051" s="4"/>
      <c r="CN2051" s="4"/>
      <c r="CO2051" s="4"/>
      <c r="CP2051" s="4"/>
      <c r="CQ2051" s="4"/>
      <c r="CR2051" s="4"/>
      <c r="CS2051" s="4"/>
      <c r="CT2051" s="4"/>
      <c r="CU2051" s="4"/>
      <c r="CV2051" s="4"/>
      <c r="CW2051" s="4"/>
      <c r="CX2051" s="4"/>
      <c r="CY2051" s="4"/>
      <c r="CZ2051" s="4"/>
      <c r="DA2051" s="4"/>
      <c r="DB2051" s="4"/>
      <c r="DC2051" s="4"/>
      <c r="DD2051" s="4"/>
      <c r="DE2051" s="4"/>
      <c r="DF2051" s="4"/>
      <c r="DG2051" s="4"/>
      <c r="DH2051" s="4"/>
      <c r="DI2051" s="4"/>
      <c r="DJ2051" s="4"/>
      <c r="DK2051" s="4"/>
      <c r="DL2051" s="4"/>
      <c r="DM2051" s="4"/>
      <c r="DN2051" s="4"/>
      <c r="DO2051" s="4"/>
      <c r="DP2051" s="4"/>
      <c r="DQ2051" s="4"/>
      <c r="DR2051" s="4"/>
      <c r="DS2051" s="4"/>
      <c r="DT2051" s="4"/>
      <c r="DU2051" s="4"/>
      <c r="DV2051" s="4"/>
      <c r="DW2051" s="4"/>
      <c r="DX2051" s="4"/>
      <c r="DY2051" s="4"/>
      <c r="DZ2051" s="4"/>
      <c r="EA2051" s="4"/>
      <c r="EB2051" s="4"/>
      <c r="EC2051" s="4"/>
      <c r="ED2051" s="4"/>
      <c r="EE2051" s="4"/>
      <c r="EF2051" s="4"/>
      <c r="EG2051" s="4"/>
      <c r="EH2051" s="4"/>
      <c r="EI2051" s="4"/>
      <c r="EJ2051" s="4"/>
      <c r="EK2051" s="4"/>
      <c r="EL2051" s="4"/>
      <c r="EM2051" s="4"/>
      <c r="EN2051" s="4"/>
      <c r="EO2051" s="4"/>
      <c r="EP2051" s="4"/>
      <c r="EQ2051" s="4"/>
      <c r="ER2051" s="4"/>
      <c r="ES2051" s="4"/>
      <c r="ET2051" s="4"/>
      <c r="EU2051" s="4"/>
      <c r="EV2051" s="4"/>
      <c r="EW2051" s="4"/>
      <c r="EX2051" s="4"/>
      <c r="EY2051" s="4"/>
      <c r="EZ2051" s="4"/>
      <c r="FA2051" s="4"/>
      <c r="FB2051" s="4"/>
      <c r="FC2051" s="4"/>
      <c r="FD2051" s="4"/>
      <c r="FE2051" s="4"/>
      <c r="FF2051" s="4"/>
      <c r="FG2051" s="4"/>
      <c r="FH2051" s="4"/>
      <c r="FI2051" s="4"/>
      <c r="FJ2051" s="4"/>
      <c r="FK2051" s="4"/>
      <c r="FL2051" s="4"/>
      <c r="FM2051" s="4"/>
      <c r="FN2051" s="4"/>
      <c r="FO2051" s="4"/>
      <c r="FP2051" s="4"/>
      <c r="FQ2051" s="4"/>
      <c r="FR2051" s="4"/>
      <c r="FS2051" s="4"/>
      <c r="FT2051" s="4"/>
      <c r="FU2051" s="4"/>
      <c r="FV2051" s="4"/>
      <c r="FW2051" s="4"/>
      <c r="FX2051" s="4"/>
      <c r="FY2051" s="4"/>
      <c r="FZ2051" s="4"/>
      <c r="GA2051" s="4"/>
      <c r="GB2051" s="4"/>
      <c r="GC2051" s="4"/>
      <c r="GD2051" s="4"/>
      <c r="GE2051" s="4"/>
      <c r="GF2051" s="4"/>
      <c r="GG2051" s="4"/>
      <c r="GH2051" s="4"/>
      <c r="GI2051" s="4"/>
      <c r="GJ2051" s="4"/>
      <c r="GK2051" s="4"/>
      <c r="GL2051" s="4"/>
      <c r="GM2051" s="4"/>
      <c r="GN2051" s="4"/>
      <c r="GO2051" s="4"/>
      <c r="GP2051" s="4"/>
      <c r="GQ2051" s="4"/>
      <c r="GR2051" s="4"/>
      <c r="GS2051" s="4"/>
      <c r="GT2051" s="4"/>
      <c r="GU2051" s="4"/>
      <c r="GV2051" s="4"/>
      <c r="GW2051" s="4"/>
      <c r="GX2051" s="4"/>
      <c r="GY2051" s="4"/>
      <c r="GZ2051" s="4"/>
      <c r="HA2051" s="4"/>
      <c r="HB2051" s="4"/>
      <c r="HC2051" s="4"/>
      <c r="HD2051" s="4"/>
      <c r="HE2051" s="4"/>
    </row>
    <row r="2052">
      <c r="A2052" s="2" t="s">
        <v>9897</v>
      </c>
      <c r="B2052" s="2" t="s">
        <v>970</v>
      </c>
      <c r="C2052" s="2" t="s">
        <v>300</v>
      </c>
      <c r="D2052" s="2" t="s">
        <v>971</v>
      </c>
      <c r="E2052" s="2" t="s">
        <v>972</v>
      </c>
      <c r="F2052" s="2" t="s">
        <v>9877</v>
      </c>
      <c r="G2052" s="2" t="s">
        <v>9878</v>
      </c>
      <c r="H2052" s="2" t="s">
        <v>9879</v>
      </c>
      <c r="I2052" s="2" t="s">
        <v>9880</v>
      </c>
      <c r="J2052" s="2" t="s">
        <v>1309</v>
      </c>
      <c r="K2052" s="2" t="s">
        <v>9898</v>
      </c>
      <c r="L2052" s="3">
        <v>20.7</v>
      </c>
      <c r="M2052" s="3">
        <v>21.74</v>
      </c>
      <c r="N2052" s="3">
        <v>44.99</v>
      </c>
      <c r="O2052" s="2" t="s">
        <v>240</v>
      </c>
      <c r="P2052" s="2" t="s">
        <v>266</v>
      </c>
      <c r="Q2052" s="2" t="s">
        <v>234</v>
      </c>
      <c r="R2052" s="2" t="s">
        <v>228</v>
      </c>
      <c r="S2052" s="2" t="s">
        <v>9899</v>
      </c>
      <c r="T2052" s="2" t="s">
        <v>228</v>
      </c>
      <c r="U2052" s="2" t="s">
        <v>416</v>
      </c>
      <c r="V2052" s="2" t="s">
        <v>1644</v>
      </c>
      <c r="W2052" s="2" t="s">
        <v>417</v>
      </c>
      <c r="X2052" s="2" t="s">
        <v>1345</v>
      </c>
      <c r="Y2052" s="2" t="s">
        <v>270</v>
      </c>
      <c r="Z2052" s="4">
        <v>147</v>
      </c>
      <c r="AA2052" s="4">
        <f>=ROUNDDOWN(24.5,0)</f>
      </c>
      <c r="AB2052" s="5">
        <v>6</v>
      </c>
      <c r="AC2052" s="2" t="s">
        <v>228</v>
      </c>
      <c r="AD2052" s="4"/>
      <c r="AE2052" s="4"/>
      <c r="AF2052" s="6">
        <v>65</v>
      </c>
      <c r="AG2052" s="6"/>
      <c r="AH2052" s="7">
        <v>1</v>
      </c>
      <c r="AI2052" s="4"/>
      <c r="AJ2052" s="4">
        <f>=ROUNDDOWN({0},0)</f>
      </c>
      <c r="AK2052" s="5"/>
      <c r="AL2052" s="2" t="s">
        <v>228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/>
      <c r="AW2052" s="8"/>
      <c r="AX2052" s="4"/>
      <c r="AY2052" s="8"/>
      <c r="AZ2052" s="7"/>
      <c r="BA2052" s="7"/>
      <c r="BB2052" s="7"/>
      <c r="BC2052" s="4" t="s">
        <v>228</v>
      </c>
      <c r="BD2052" s="8" t="s">
        <v>228</v>
      </c>
      <c r="BE2052" s="4" t="s">
        <v>228</v>
      </c>
      <c r="BF2052" s="8" t="s">
        <v>228</v>
      </c>
      <c r="BG2052" s="7" t="s">
        <v>228</v>
      </c>
      <c r="BH2052" s="7" t="s">
        <v>228</v>
      </c>
      <c r="BI2052" s="7"/>
      <c r="BJ2052" s="4">
        <v>9</v>
      </c>
      <c r="BK2052" s="8">
        <v>193.11</v>
      </c>
      <c r="BL2052" s="2" t="s">
        <v>861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9900</v>
      </c>
      <c r="BV2052" s="2" t="s">
        <v>228</v>
      </c>
      <c r="BW2052" s="2" t="s">
        <v>228</v>
      </c>
      <c r="BX2052" s="2" t="s">
        <v>273</v>
      </c>
      <c r="BY2052" s="2" t="s">
        <v>274</v>
      </c>
      <c r="BZ2052" s="2" t="s">
        <v>240</v>
      </c>
      <c r="CA2052" s="2" t="s">
        <v>275</v>
      </c>
      <c r="CB2052" s="2" t="s">
        <v>9901</v>
      </c>
      <c r="CC2052" s="2" t="s">
        <v>241</v>
      </c>
      <c r="CD2052" s="2" t="s">
        <v>228</v>
      </c>
      <c r="CE2052" s="4">
        <v>147</v>
      </c>
      <c r="CF2052" s="4"/>
      <c r="CG2052" s="4"/>
      <c r="CH2052" s="4"/>
      <c r="CI2052" s="4"/>
      <c r="CJ2052" s="4"/>
      <c r="CK2052" s="4"/>
      <c r="CL2052" s="4"/>
      <c r="CM2052" s="4"/>
      <c r="CN2052" s="4"/>
      <c r="CO2052" s="4"/>
      <c r="CP2052" s="4"/>
      <c r="CQ2052" s="4"/>
      <c r="CR2052" s="4"/>
      <c r="CS2052" s="4"/>
      <c r="CT2052" s="4"/>
      <c r="CU2052" s="4"/>
      <c r="CV2052" s="4"/>
      <c r="CW2052" s="4"/>
      <c r="CX2052" s="4"/>
      <c r="CY2052" s="4"/>
      <c r="CZ2052" s="4"/>
      <c r="DA2052" s="4"/>
      <c r="DB2052" s="4"/>
      <c r="DC2052" s="4"/>
      <c r="DD2052" s="4"/>
      <c r="DE2052" s="4"/>
      <c r="DF2052" s="4"/>
      <c r="DG2052" s="4"/>
      <c r="DH2052" s="4"/>
      <c r="DI2052" s="4"/>
      <c r="DJ2052" s="4"/>
      <c r="DK2052" s="4"/>
      <c r="DL2052" s="4"/>
      <c r="DM2052" s="4"/>
      <c r="DN2052" s="4"/>
      <c r="DO2052" s="4"/>
      <c r="DP2052" s="4"/>
      <c r="DQ2052" s="4"/>
      <c r="DR2052" s="4"/>
      <c r="DS2052" s="4"/>
      <c r="DT2052" s="4"/>
      <c r="DU2052" s="4"/>
      <c r="DV2052" s="4"/>
      <c r="DW2052" s="4"/>
      <c r="DX2052" s="4"/>
      <c r="DY2052" s="4"/>
      <c r="DZ2052" s="4"/>
      <c r="EA2052" s="4"/>
      <c r="EB2052" s="4"/>
      <c r="EC2052" s="4"/>
      <c r="ED2052" s="4"/>
      <c r="EE2052" s="4"/>
      <c r="EF2052" s="4"/>
      <c r="EG2052" s="4"/>
      <c r="EH2052" s="4"/>
      <c r="EI2052" s="4"/>
      <c r="EJ2052" s="4"/>
      <c r="EK2052" s="4"/>
      <c r="EL2052" s="4"/>
      <c r="EM2052" s="4"/>
      <c r="EN2052" s="4"/>
      <c r="EO2052" s="4"/>
      <c r="EP2052" s="4"/>
      <c r="EQ2052" s="4"/>
      <c r="ER2052" s="4"/>
      <c r="ES2052" s="4"/>
      <c r="ET2052" s="4"/>
      <c r="EU2052" s="4"/>
      <c r="EV2052" s="4"/>
      <c r="EW2052" s="4"/>
      <c r="EX2052" s="4"/>
      <c r="EY2052" s="4"/>
      <c r="EZ2052" s="4"/>
      <c r="FA2052" s="4"/>
      <c r="FB2052" s="4"/>
      <c r="FC2052" s="4"/>
      <c r="FD2052" s="4"/>
      <c r="FE2052" s="4"/>
      <c r="FF2052" s="4"/>
      <c r="FG2052" s="4"/>
      <c r="FH2052" s="4"/>
      <c r="FI2052" s="4"/>
      <c r="FJ2052" s="4"/>
      <c r="FK2052" s="4"/>
      <c r="FL2052" s="4"/>
      <c r="FM2052" s="4"/>
      <c r="FN2052" s="4"/>
      <c r="FO2052" s="4"/>
      <c r="FP2052" s="4"/>
      <c r="FQ2052" s="4"/>
      <c r="FR2052" s="4"/>
      <c r="FS2052" s="4"/>
      <c r="FT2052" s="4"/>
      <c r="FU2052" s="4"/>
      <c r="FV2052" s="4"/>
      <c r="FW2052" s="4"/>
      <c r="FX2052" s="4"/>
      <c r="FY2052" s="4"/>
      <c r="FZ2052" s="4"/>
      <c r="GA2052" s="4"/>
      <c r="GB2052" s="4"/>
      <c r="GC2052" s="4"/>
      <c r="GD2052" s="4"/>
      <c r="GE2052" s="4"/>
      <c r="GF2052" s="4"/>
      <c r="GG2052" s="4"/>
      <c r="GH2052" s="4"/>
      <c r="GI2052" s="4"/>
      <c r="GJ2052" s="4"/>
      <c r="GK2052" s="4"/>
      <c r="GL2052" s="4"/>
      <c r="GM2052" s="4"/>
      <c r="GN2052" s="4"/>
      <c r="GO2052" s="4"/>
      <c r="GP2052" s="4"/>
      <c r="GQ2052" s="4"/>
      <c r="GR2052" s="4"/>
      <c r="GS2052" s="4"/>
      <c r="GT2052" s="4"/>
      <c r="GU2052" s="4"/>
      <c r="GV2052" s="4"/>
      <c r="GW2052" s="4"/>
      <c r="GX2052" s="4"/>
      <c r="GY2052" s="4"/>
      <c r="GZ2052" s="4"/>
      <c r="HA2052" s="4"/>
      <c r="HB2052" s="4"/>
      <c r="HC2052" s="4"/>
      <c r="HD2052" s="4"/>
      <c r="HE2052" s="4"/>
    </row>
    <row r="2053">
      <c r="A2053" s="2" t="s">
        <v>9902</v>
      </c>
      <c r="B2053" s="2" t="s">
        <v>299</v>
      </c>
      <c r="C2053" s="2" t="s">
        <v>345</v>
      </c>
      <c r="D2053" s="2" t="s">
        <v>301</v>
      </c>
      <c r="E2053" s="2" t="s">
        <v>302</v>
      </c>
      <c r="F2053" s="2" t="s">
        <v>9411</v>
      </c>
      <c r="G2053" s="2" t="s">
        <v>9411</v>
      </c>
      <c r="H2053" s="2" t="s">
        <v>9411</v>
      </c>
      <c r="I2053" s="2" t="s">
        <v>9903</v>
      </c>
      <c r="J2053" s="2" t="s">
        <v>264</v>
      </c>
      <c r="K2053" s="2" t="s">
        <v>305</v>
      </c>
      <c r="L2053" s="3">
        <v>12.48</v>
      </c>
      <c r="M2053" s="3">
        <v>13.1</v>
      </c>
      <c r="N2053" s="3">
        <v>27.99</v>
      </c>
      <c r="O2053" s="2" t="s">
        <v>240</v>
      </c>
      <c r="P2053" s="2" t="s">
        <v>233</v>
      </c>
      <c r="Q2053" s="2" t="s">
        <v>234</v>
      </c>
      <c r="R2053" s="2" t="s">
        <v>228</v>
      </c>
      <c r="S2053" s="2" t="s">
        <v>9904</v>
      </c>
      <c r="T2053" s="2" t="s">
        <v>9411</v>
      </c>
      <c r="U2053" s="2" t="s">
        <v>308</v>
      </c>
      <c r="V2053" s="2" t="s">
        <v>236</v>
      </c>
      <c r="W2053" s="2" t="s">
        <v>269</v>
      </c>
      <c r="X2053" s="2" t="s">
        <v>417</v>
      </c>
      <c r="Y2053" s="2" t="s">
        <v>1994</v>
      </c>
      <c r="Z2053" s="4">
        <v>3482</v>
      </c>
      <c r="AA2053" s="4">
        <f>=ROUNDDOWN(34.82,0)</f>
      </c>
      <c r="AB2053" s="5">
        <v>100</v>
      </c>
      <c r="AC2053" s="2" t="s">
        <v>9905</v>
      </c>
      <c r="AD2053" s="4">
        <v>1170</v>
      </c>
      <c r="AE2053" s="4">
        <v>2410</v>
      </c>
      <c r="AF2053" s="6">
        <v>65</v>
      </c>
      <c r="AG2053" s="6">
        <v>48</v>
      </c>
      <c r="AH2053" s="7">
        <v>1</v>
      </c>
      <c r="AI2053" s="4"/>
      <c r="AJ2053" s="4">
        <f>=ROUNDDOWN({0},0)</f>
      </c>
      <c r="AK2053" s="5"/>
      <c r="AL2053" s="2" t="s">
        <v>228</v>
      </c>
      <c r="AM2053" s="4"/>
      <c r="AN2053" s="4"/>
      <c r="AO2053" s="7"/>
      <c r="AP2053" s="4"/>
      <c r="AQ2053" s="8"/>
      <c r="AR2053" s="4"/>
      <c r="AS2053" s="8"/>
      <c r="AT2053" s="7"/>
      <c r="AU2053" s="7"/>
      <c r="AV2053" s="4" t="s">
        <v>228</v>
      </c>
      <c r="AW2053" s="8" t="s">
        <v>228</v>
      </c>
      <c r="AX2053" s="4" t="s">
        <v>228</v>
      </c>
      <c r="AY2053" s="8" t="s">
        <v>228</v>
      </c>
      <c r="AZ2053" s="7" t="s">
        <v>228</v>
      </c>
      <c r="BA2053" s="7" t="s">
        <v>228</v>
      </c>
      <c r="BB2053" s="7"/>
      <c r="BC2053" s="4" t="s">
        <v>228</v>
      </c>
      <c r="BD2053" s="8" t="s">
        <v>228</v>
      </c>
      <c r="BE2053" s="4" t="s">
        <v>228</v>
      </c>
      <c r="BF2053" s="8" t="s">
        <v>228</v>
      </c>
      <c r="BG2053" s="7" t="s">
        <v>228</v>
      </c>
      <c r="BH2053" s="7" t="s">
        <v>228</v>
      </c>
      <c r="BI2053" s="7"/>
      <c r="BJ2053" s="4">
        <v>21</v>
      </c>
      <c r="BK2053" s="8">
        <v>710.43</v>
      </c>
      <c r="BL2053" s="2" t="s">
        <v>7807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238</v>
      </c>
      <c r="BV2053" s="2" t="s">
        <v>228</v>
      </c>
      <c r="BW2053" s="2" t="s">
        <v>228</v>
      </c>
      <c r="BX2053" s="2" t="s">
        <v>238</v>
      </c>
      <c r="BY2053" s="2" t="s">
        <v>239</v>
      </c>
      <c r="BZ2053" s="2" t="s">
        <v>240</v>
      </c>
      <c r="CA2053" s="2" t="s">
        <v>228</v>
      </c>
      <c r="CB2053" s="2" t="s">
        <v>228</v>
      </c>
      <c r="CC2053" s="2" t="s">
        <v>241</v>
      </c>
      <c r="CD2053" s="2" t="s">
        <v>228</v>
      </c>
      <c r="CE2053" s="4">
        <v>1604</v>
      </c>
      <c r="CF2053" s="4"/>
      <c r="CG2053" s="4"/>
      <c r="CH2053" s="4">
        <v>1158</v>
      </c>
      <c r="CI2053" s="4"/>
      <c r="CJ2053" s="4"/>
      <c r="CK2053" s="4">
        <v>720</v>
      </c>
      <c r="CL2053" s="4"/>
      <c r="CM2053" s="4"/>
      <c r="CN2053" s="4"/>
      <c r="CO2053" s="4"/>
      <c r="CP2053" s="4"/>
      <c r="CQ2053" s="4"/>
      <c r="CR2053" s="4"/>
      <c r="CS2053" s="4"/>
      <c r="CT2053" s="4"/>
      <c r="CU2053" s="4"/>
      <c r="CV2053" s="4"/>
      <c r="CW2053" s="4"/>
      <c r="CX2053" s="4"/>
      <c r="CY2053" s="4"/>
      <c r="CZ2053" s="4"/>
      <c r="DA2053" s="4"/>
      <c r="DB2053" s="4"/>
      <c r="DC2053" s="4"/>
      <c r="DD2053" s="4"/>
      <c r="DE2053" s="4"/>
      <c r="DF2053" s="4"/>
      <c r="DG2053" s="4"/>
      <c r="DH2053" s="4"/>
      <c r="DI2053" s="4"/>
      <c r="DJ2053" s="4"/>
      <c r="DK2053" s="4"/>
      <c r="DL2053" s="4"/>
      <c r="DM2053" s="4"/>
      <c r="DN2053" s="4"/>
      <c r="DO2053" s="4"/>
      <c r="DP2053" s="4"/>
      <c r="DQ2053" s="4"/>
      <c r="DR2053" s="4"/>
      <c r="DS2053" s="4"/>
      <c r="DT2053" s="4"/>
      <c r="DU2053" s="4"/>
      <c r="DV2053" s="4"/>
      <c r="DW2053" s="4"/>
      <c r="DX2053" s="4"/>
      <c r="DY2053" s="4"/>
      <c r="DZ2053" s="4"/>
      <c r="EA2053" s="4"/>
      <c r="EB2053" s="4">
        <v>1170</v>
      </c>
      <c r="EC2053" s="4"/>
      <c r="ED2053" s="4"/>
      <c r="EE2053" s="4"/>
      <c r="EF2053" s="4"/>
      <c r="EG2053" s="4"/>
      <c r="EH2053" s="4"/>
      <c r="EI2053" s="4"/>
      <c r="EJ2053" s="4">
        <v>1240</v>
      </c>
      <c r="EK2053" s="4"/>
      <c r="EL2053" s="4"/>
      <c r="EM2053" s="4"/>
      <c r="EN2053" s="4"/>
      <c r="EO2053" s="4"/>
      <c r="EP2053" s="4"/>
      <c r="EQ2053" s="4"/>
      <c r="ER2053" s="4"/>
      <c r="ES2053" s="4"/>
      <c r="ET2053" s="4"/>
      <c r="EU2053" s="4"/>
      <c r="EV2053" s="4"/>
      <c r="EW2053" s="4"/>
      <c r="EX2053" s="4"/>
      <c r="EY2053" s="4"/>
      <c r="EZ2053" s="4"/>
      <c r="FA2053" s="4"/>
      <c r="FB2053" s="4"/>
      <c r="FC2053" s="4"/>
      <c r="FD2053" s="4"/>
      <c r="FE2053" s="4"/>
      <c r="FF2053" s="4"/>
      <c r="FG2053" s="4"/>
      <c r="FH2053" s="4"/>
      <c r="FI2053" s="4"/>
      <c r="FJ2053" s="4"/>
      <c r="FK2053" s="4"/>
      <c r="FL2053" s="4"/>
      <c r="FM2053" s="4"/>
      <c r="FN2053" s="4"/>
      <c r="FO2053" s="4"/>
      <c r="FP2053" s="4"/>
      <c r="FQ2053" s="4"/>
      <c r="FR2053" s="4"/>
      <c r="FS2053" s="4"/>
      <c r="FT2053" s="4"/>
      <c r="FU2053" s="4"/>
      <c r="FV2053" s="4"/>
      <c r="FW2053" s="4"/>
      <c r="FX2053" s="4"/>
      <c r="FY2053" s="4"/>
      <c r="FZ2053" s="4"/>
      <c r="GA2053" s="4"/>
      <c r="GB2053" s="4"/>
      <c r="GC2053" s="4"/>
      <c r="GD2053" s="4"/>
      <c r="GE2053" s="4"/>
      <c r="GF2053" s="4"/>
      <c r="GG2053" s="4"/>
      <c r="GH2053" s="4"/>
      <c r="GI2053" s="4"/>
      <c r="GJ2053" s="4"/>
      <c r="GK2053" s="4"/>
      <c r="GL2053" s="4"/>
      <c r="GM2053" s="4"/>
      <c r="GN2053" s="4"/>
      <c r="GO2053" s="4"/>
      <c r="GP2053" s="4"/>
      <c r="GQ2053" s="4"/>
      <c r="GR2053" s="4"/>
      <c r="GS2053" s="4"/>
      <c r="GT2053" s="4"/>
      <c r="GU2053" s="4"/>
      <c r="GV2053" s="4"/>
      <c r="GW2053" s="4"/>
      <c r="GX2053" s="4"/>
      <c r="GY2053" s="4"/>
      <c r="GZ2053" s="4"/>
      <c r="HA2053" s="4"/>
      <c r="HB2053" s="4"/>
      <c r="HC2053" s="4"/>
      <c r="HD2053" s="4"/>
      <c r="HE2053" s="4"/>
    </row>
    <row r="2054">
      <c r="A2054" s="2" t="s">
        <v>9906</v>
      </c>
      <c r="B2054" s="2" t="s">
        <v>299</v>
      </c>
      <c r="C2054" s="2" t="s">
        <v>345</v>
      </c>
      <c r="D2054" s="2" t="s">
        <v>301</v>
      </c>
      <c r="E2054" s="2" t="s">
        <v>302</v>
      </c>
      <c r="F2054" s="2" t="s">
        <v>9411</v>
      </c>
      <c r="G2054" s="2" t="s">
        <v>9411</v>
      </c>
      <c r="H2054" s="2" t="s">
        <v>9411</v>
      </c>
      <c r="I2054" s="2" t="s">
        <v>9903</v>
      </c>
      <c r="J2054" s="2" t="s">
        <v>9907</v>
      </c>
      <c r="K2054" s="2" t="s">
        <v>305</v>
      </c>
      <c r="L2054" s="3">
        <v>25</v>
      </c>
      <c r="M2054" s="3">
        <v>26.25</v>
      </c>
      <c r="N2054" s="3">
        <v>49.99</v>
      </c>
      <c r="O2054" s="2" t="s">
        <v>240</v>
      </c>
      <c r="P2054" s="2" t="s">
        <v>233</v>
      </c>
      <c r="Q2054" s="2" t="s">
        <v>234</v>
      </c>
      <c r="R2054" s="2" t="s">
        <v>228</v>
      </c>
      <c r="S2054" s="2" t="s">
        <v>9904</v>
      </c>
      <c r="T2054" s="2" t="s">
        <v>9411</v>
      </c>
      <c r="U2054" s="2" t="s">
        <v>1331</v>
      </c>
      <c r="V2054" s="2" t="s">
        <v>236</v>
      </c>
      <c r="W2054" s="2" t="s">
        <v>269</v>
      </c>
      <c r="X2054" s="2" t="s">
        <v>417</v>
      </c>
      <c r="Y2054" s="2" t="s">
        <v>1994</v>
      </c>
      <c r="Z2054" s="4">
        <v>536</v>
      </c>
      <c r="AA2054" s="4">
        <f>=ROUNDDOWN(24.3636363636364,0)</f>
      </c>
      <c r="AB2054" s="5">
        <v>22</v>
      </c>
      <c r="AC2054" s="2" t="s">
        <v>9905</v>
      </c>
      <c r="AD2054" s="4">
        <v>180</v>
      </c>
      <c r="AE2054" s="4">
        <v>460</v>
      </c>
      <c r="AF2054" s="6">
        <v>65</v>
      </c>
      <c r="AG2054" s="6">
        <v>48</v>
      </c>
      <c r="AH2054" s="7">
        <v>1</v>
      </c>
      <c r="AI2054" s="4"/>
      <c r="AJ2054" s="4">
        <f>=ROUNDDOWN({0},0)</f>
      </c>
      <c r="AK2054" s="5"/>
      <c r="AL2054" s="2" t="s">
        <v>228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 t="s">
        <v>228</v>
      </c>
      <c r="AW2054" s="8" t="s">
        <v>228</v>
      </c>
      <c r="AX2054" s="4" t="s">
        <v>228</v>
      </c>
      <c r="AY2054" s="8" t="s">
        <v>228</v>
      </c>
      <c r="AZ2054" s="7" t="s">
        <v>228</v>
      </c>
      <c r="BA2054" s="7" t="s">
        <v>228</v>
      </c>
      <c r="BB2054" s="7"/>
      <c r="BC2054" s="4" t="s">
        <v>228</v>
      </c>
      <c r="BD2054" s="8" t="s">
        <v>228</v>
      </c>
      <c r="BE2054" s="4" t="s">
        <v>228</v>
      </c>
      <c r="BF2054" s="8" t="s">
        <v>228</v>
      </c>
      <c r="BG2054" s="7" t="s">
        <v>228</v>
      </c>
      <c r="BH2054" s="7" t="s">
        <v>228</v>
      </c>
      <c r="BI2054" s="7"/>
      <c r="BJ2054" s="4">
        <v>4</v>
      </c>
      <c r="BK2054" s="8">
        <v>131.44</v>
      </c>
      <c r="BL2054" s="2" t="s">
        <v>7807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238</v>
      </c>
      <c r="BV2054" s="2" t="s">
        <v>228</v>
      </c>
      <c r="BW2054" s="2" t="s">
        <v>228</v>
      </c>
      <c r="BX2054" s="2" t="s">
        <v>238</v>
      </c>
      <c r="BY2054" s="2" t="s">
        <v>239</v>
      </c>
      <c r="BZ2054" s="2" t="s">
        <v>240</v>
      </c>
      <c r="CA2054" s="2" t="s">
        <v>228</v>
      </c>
      <c r="CB2054" s="2" t="s">
        <v>228</v>
      </c>
      <c r="CC2054" s="2" t="s">
        <v>241</v>
      </c>
      <c r="CD2054" s="2" t="s">
        <v>228</v>
      </c>
      <c r="CE2054" s="4">
        <v>358</v>
      </c>
      <c r="CF2054" s="4"/>
      <c r="CG2054" s="4"/>
      <c r="CH2054" s="4">
        <v>178</v>
      </c>
      <c r="CI2054" s="4"/>
      <c r="CJ2054" s="4"/>
      <c r="CK2054" s="4"/>
      <c r="CL2054" s="4"/>
      <c r="CM2054" s="4"/>
      <c r="CN2054" s="4"/>
      <c r="CO2054" s="4"/>
      <c r="CP2054" s="4"/>
      <c r="CQ2054" s="4"/>
      <c r="CR2054" s="4"/>
      <c r="CS2054" s="4"/>
      <c r="CT2054" s="4"/>
      <c r="CU2054" s="4"/>
      <c r="CV2054" s="4"/>
      <c r="CW2054" s="4"/>
      <c r="CX2054" s="4"/>
      <c r="CY2054" s="4"/>
      <c r="CZ2054" s="4"/>
      <c r="DA2054" s="4"/>
      <c r="DB2054" s="4"/>
      <c r="DC2054" s="4"/>
      <c r="DD2054" s="4"/>
      <c r="DE2054" s="4"/>
      <c r="DF2054" s="4"/>
      <c r="DG2054" s="4"/>
      <c r="DH2054" s="4"/>
      <c r="DI2054" s="4"/>
      <c r="DJ2054" s="4"/>
      <c r="DK2054" s="4"/>
      <c r="DL2054" s="4"/>
      <c r="DM2054" s="4"/>
      <c r="DN2054" s="4"/>
      <c r="DO2054" s="4"/>
      <c r="DP2054" s="4"/>
      <c r="DQ2054" s="4"/>
      <c r="DR2054" s="4"/>
      <c r="DS2054" s="4"/>
      <c r="DT2054" s="4"/>
      <c r="DU2054" s="4"/>
      <c r="DV2054" s="4"/>
      <c r="DW2054" s="4"/>
      <c r="DX2054" s="4"/>
      <c r="DY2054" s="4"/>
      <c r="DZ2054" s="4"/>
      <c r="EA2054" s="4"/>
      <c r="EB2054" s="4">
        <v>180</v>
      </c>
      <c r="EC2054" s="4"/>
      <c r="ED2054" s="4"/>
      <c r="EE2054" s="4"/>
      <c r="EF2054" s="4"/>
      <c r="EG2054" s="4"/>
      <c r="EH2054" s="4"/>
      <c r="EI2054" s="4"/>
      <c r="EJ2054" s="4">
        <v>280</v>
      </c>
      <c r="EK2054" s="4"/>
      <c r="EL2054" s="4"/>
      <c r="EM2054" s="4"/>
      <c r="EN2054" s="4"/>
      <c r="EO2054" s="4"/>
      <c r="EP2054" s="4"/>
      <c r="EQ2054" s="4"/>
      <c r="ER2054" s="4"/>
      <c r="ES2054" s="4"/>
      <c r="ET2054" s="4"/>
      <c r="EU2054" s="4"/>
      <c r="EV2054" s="4"/>
      <c r="EW2054" s="4"/>
      <c r="EX2054" s="4"/>
      <c r="EY2054" s="4"/>
      <c r="EZ2054" s="4"/>
      <c r="FA2054" s="4"/>
      <c r="FB2054" s="4"/>
      <c r="FC2054" s="4"/>
      <c r="FD2054" s="4"/>
      <c r="FE2054" s="4"/>
      <c r="FF2054" s="4"/>
      <c r="FG2054" s="4"/>
      <c r="FH2054" s="4"/>
      <c r="FI2054" s="4"/>
      <c r="FJ2054" s="4"/>
      <c r="FK2054" s="4"/>
      <c r="FL2054" s="4"/>
      <c r="FM2054" s="4"/>
      <c r="FN2054" s="4"/>
      <c r="FO2054" s="4"/>
      <c r="FP2054" s="4"/>
      <c r="FQ2054" s="4"/>
      <c r="FR2054" s="4"/>
      <c r="FS2054" s="4"/>
      <c r="FT2054" s="4"/>
      <c r="FU2054" s="4"/>
      <c r="FV2054" s="4"/>
      <c r="FW2054" s="4"/>
      <c r="FX2054" s="4"/>
      <c r="FY2054" s="4"/>
      <c r="FZ2054" s="4"/>
      <c r="GA2054" s="4"/>
      <c r="GB2054" s="4"/>
      <c r="GC2054" s="4"/>
      <c r="GD2054" s="4"/>
      <c r="GE2054" s="4"/>
      <c r="GF2054" s="4"/>
      <c r="GG2054" s="4"/>
      <c r="GH2054" s="4"/>
      <c r="GI2054" s="4"/>
      <c r="GJ2054" s="4"/>
      <c r="GK2054" s="4"/>
      <c r="GL2054" s="4"/>
      <c r="GM2054" s="4"/>
      <c r="GN2054" s="4"/>
      <c r="GO2054" s="4"/>
      <c r="GP2054" s="4"/>
      <c r="GQ2054" s="4"/>
      <c r="GR2054" s="4"/>
      <c r="GS2054" s="4"/>
      <c r="GT2054" s="4"/>
      <c r="GU2054" s="4"/>
      <c r="GV2054" s="4"/>
      <c r="GW2054" s="4"/>
      <c r="GX2054" s="4"/>
      <c r="GY2054" s="4"/>
      <c r="GZ2054" s="4"/>
      <c r="HA2054" s="4"/>
      <c r="HB2054" s="4"/>
      <c r="HC2054" s="4"/>
      <c r="HD2054" s="4"/>
      <c r="HE2054" s="4"/>
    </row>
    <row r="2055">
      <c r="A2055" s="2" t="s">
        <v>9908</v>
      </c>
      <c r="B2055" s="2" t="s">
        <v>299</v>
      </c>
      <c r="C2055" s="2" t="s">
        <v>345</v>
      </c>
      <c r="D2055" s="2" t="s">
        <v>301</v>
      </c>
      <c r="E2055" s="2" t="s">
        <v>302</v>
      </c>
      <c r="F2055" s="2" t="s">
        <v>9411</v>
      </c>
      <c r="G2055" s="2" t="s">
        <v>9411</v>
      </c>
      <c r="H2055" s="2" t="s">
        <v>9411</v>
      </c>
      <c r="I2055" s="2" t="s">
        <v>9903</v>
      </c>
      <c r="J2055" s="2" t="s">
        <v>264</v>
      </c>
      <c r="K2055" s="2" t="s">
        <v>265</v>
      </c>
      <c r="L2055" s="3">
        <v>12.48</v>
      </c>
      <c r="M2055" s="3">
        <v>13.1</v>
      </c>
      <c r="N2055" s="3">
        <v>27.99</v>
      </c>
      <c r="O2055" s="2" t="s">
        <v>240</v>
      </c>
      <c r="P2055" s="2" t="s">
        <v>233</v>
      </c>
      <c r="Q2055" s="2" t="s">
        <v>234</v>
      </c>
      <c r="R2055" s="2" t="s">
        <v>228</v>
      </c>
      <c r="S2055" s="2" t="s">
        <v>9909</v>
      </c>
      <c r="T2055" s="2" t="s">
        <v>9411</v>
      </c>
      <c r="U2055" s="2" t="s">
        <v>308</v>
      </c>
      <c r="V2055" s="2" t="s">
        <v>236</v>
      </c>
      <c r="W2055" s="2" t="s">
        <v>269</v>
      </c>
      <c r="X2055" s="2" t="s">
        <v>417</v>
      </c>
      <c r="Y2055" s="2" t="s">
        <v>1994</v>
      </c>
      <c r="Z2055" s="4">
        <v>360</v>
      </c>
      <c r="AA2055" s="4">
        <f>=ROUNDDOWN(18,0)</f>
      </c>
      <c r="AB2055" s="5">
        <v>20</v>
      </c>
      <c r="AC2055" s="2" t="s">
        <v>9905</v>
      </c>
      <c r="AD2055" s="4">
        <v>120</v>
      </c>
      <c r="AE2055" s="4">
        <v>300</v>
      </c>
      <c r="AF2055" s="6">
        <v>65</v>
      </c>
      <c r="AG2055" s="6">
        <v>48</v>
      </c>
      <c r="AH2055" s="7">
        <v>1</v>
      </c>
      <c r="AI2055" s="4"/>
      <c r="AJ2055" s="4">
        <f>=ROUNDDOWN({0},0)</f>
      </c>
      <c r="AK2055" s="5"/>
      <c r="AL2055" s="2" t="s">
        <v>228</v>
      </c>
      <c r="AM2055" s="4"/>
      <c r="AN2055" s="4"/>
      <c r="AO2055" s="7"/>
      <c r="AP2055" s="4"/>
      <c r="AQ2055" s="8"/>
      <c r="AR2055" s="4"/>
      <c r="AS2055" s="8"/>
      <c r="AT2055" s="7"/>
      <c r="AU2055" s="7"/>
      <c r="AV2055" s="4" t="s">
        <v>228</v>
      </c>
      <c r="AW2055" s="8" t="s">
        <v>228</v>
      </c>
      <c r="AX2055" s="4" t="s">
        <v>228</v>
      </c>
      <c r="AY2055" s="8" t="s">
        <v>228</v>
      </c>
      <c r="AZ2055" s="7" t="s">
        <v>228</v>
      </c>
      <c r="BA2055" s="7" t="s">
        <v>228</v>
      </c>
      <c r="BB2055" s="7"/>
      <c r="BC2055" s="4" t="s">
        <v>228</v>
      </c>
      <c r="BD2055" s="8" t="s">
        <v>228</v>
      </c>
      <c r="BE2055" s="4" t="s">
        <v>228</v>
      </c>
      <c r="BF2055" s="8" t="s">
        <v>228</v>
      </c>
      <c r="BG2055" s="7" t="s">
        <v>228</v>
      </c>
      <c r="BH2055" s="7" t="s">
        <v>228</v>
      </c>
      <c r="BI2055" s="7"/>
      <c r="BJ2055" s="4"/>
      <c r="BK2055" s="8"/>
      <c r="BL2055" s="2" t="s">
        <v>228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238</v>
      </c>
      <c r="BV2055" s="2" t="s">
        <v>228</v>
      </c>
      <c r="BW2055" s="2" t="s">
        <v>228</v>
      </c>
      <c r="BX2055" s="2" t="s">
        <v>238</v>
      </c>
      <c r="BY2055" s="2" t="s">
        <v>239</v>
      </c>
      <c r="BZ2055" s="2" t="s">
        <v>240</v>
      </c>
      <c r="CA2055" s="2" t="s">
        <v>228</v>
      </c>
      <c r="CB2055" s="2" t="s">
        <v>228</v>
      </c>
      <c r="CC2055" s="2" t="s">
        <v>241</v>
      </c>
      <c r="CD2055" s="2" t="s">
        <v>228</v>
      </c>
      <c r="CE2055" s="4">
        <v>240</v>
      </c>
      <c r="CF2055" s="4"/>
      <c r="CG2055" s="4"/>
      <c r="CH2055" s="4">
        <v>120</v>
      </c>
      <c r="CI2055" s="4"/>
      <c r="CJ2055" s="4"/>
      <c r="CK2055" s="4"/>
      <c r="CL2055" s="4"/>
      <c r="CM2055" s="4"/>
      <c r="CN2055" s="4"/>
      <c r="CO2055" s="4"/>
      <c r="CP2055" s="4"/>
      <c r="CQ2055" s="4"/>
      <c r="CR2055" s="4"/>
      <c r="CS2055" s="4"/>
      <c r="CT2055" s="4"/>
      <c r="CU2055" s="4"/>
      <c r="CV2055" s="4"/>
      <c r="CW2055" s="4"/>
      <c r="CX2055" s="4"/>
      <c r="CY2055" s="4"/>
      <c r="CZ2055" s="4"/>
      <c r="DA2055" s="4"/>
      <c r="DB2055" s="4"/>
      <c r="DC2055" s="4"/>
      <c r="DD2055" s="4"/>
      <c r="DE2055" s="4"/>
      <c r="DF2055" s="4"/>
      <c r="DG2055" s="4"/>
      <c r="DH2055" s="4"/>
      <c r="DI2055" s="4"/>
      <c r="DJ2055" s="4"/>
      <c r="DK2055" s="4"/>
      <c r="DL2055" s="4"/>
      <c r="DM2055" s="4"/>
      <c r="DN2055" s="4"/>
      <c r="DO2055" s="4"/>
      <c r="DP2055" s="4"/>
      <c r="DQ2055" s="4"/>
      <c r="DR2055" s="4"/>
      <c r="DS2055" s="4"/>
      <c r="DT2055" s="4"/>
      <c r="DU2055" s="4"/>
      <c r="DV2055" s="4"/>
      <c r="DW2055" s="4"/>
      <c r="DX2055" s="4"/>
      <c r="DY2055" s="4"/>
      <c r="DZ2055" s="4"/>
      <c r="EA2055" s="4"/>
      <c r="EB2055" s="4">
        <v>120</v>
      </c>
      <c r="EC2055" s="4"/>
      <c r="ED2055" s="4"/>
      <c r="EE2055" s="4"/>
      <c r="EF2055" s="4"/>
      <c r="EG2055" s="4"/>
      <c r="EH2055" s="4"/>
      <c r="EI2055" s="4"/>
      <c r="EJ2055" s="4">
        <v>180</v>
      </c>
      <c r="EK2055" s="4"/>
      <c r="EL2055" s="4"/>
      <c r="EM2055" s="4"/>
      <c r="EN2055" s="4"/>
      <c r="EO2055" s="4"/>
      <c r="EP2055" s="4"/>
      <c r="EQ2055" s="4"/>
      <c r="ER2055" s="4"/>
      <c r="ES2055" s="4"/>
      <c r="ET2055" s="4"/>
      <c r="EU2055" s="4"/>
      <c r="EV2055" s="4"/>
      <c r="EW2055" s="4"/>
      <c r="EX2055" s="4"/>
      <c r="EY2055" s="4"/>
      <c r="EZ2055" s="4"/>
      <c r="FA2055" s="4"/>
      <c r="FB2055" s="4"/>
      <c r="FC2055" s="4"/>
      <c r="FD2055" s="4"/>
      <c r="FE2055" s="4"/>
      <c r="FF2055" s="4"/>
      <c r="FG2055" s="4"/>
      <c r="FH2055" s="4"/>
      <c r="FI2055" s="4"/>
      <c r="FJ2055" s="4"/>
      <c r="FK2055" s="4"/>
      <c r="FL2055" s="4"/>
      <c r="FM2055" s="4"/>
      <c r="FN2055" s="4"/>
      <c r="FO2055" s="4"/>
      <c r="FP2055" s="4"/>
      <c r="FQ2055" s="4"/>
      <c r="FR2055" s="4"/>
      <c r="FS2055" s="4"/>
      <c r="FT2055" s="4"/>
      <c r="FU2055" s="4"/>
      <c r="FV2055" s="4"/>
      <c r="FW2055" s="4"/>
      <c r="FX2055" s="4"/>
      <c r="FY2055" s="4"/>
      <c r="FZ2055" s="4"/>
      <c r="GA2055" s="4"/>
      <c r="GB2055" s="4"/>
      <c r="GC2055" s="4"/>
      <c r="GD2055" s="4"/>
      <c r="GE2055" s="4"/>
      <c r="GF2055" s="4"/>
      <c r="GG2055" s="4"/>
      <c r="GH2055" s="4"/>
      <c r="GI2055" s="4"/>
      <c r="GJ2055" s="4"/>
      <c r="GK2055" s="4"/>
      <c r="GL2055" s="4"/>
      <c r="GM2055" s="4"/>
      <c r="GN2055" s="4"/>
      <c r="GO2055" s="4"/>
      <c r="GP2055" s="4"/>
      <c r="GQ2055" s="4"/>
      <c r="GR2055" s="4"/>
      <c r="GS2055" s="4"/>
      <c r="GT2055" s="4"/>
      <c r="GU2055" s="4"/>
      <c r="GV2055" s="4"/>
      <c r="GW2055" s="4"/>
      <c r="GX2055" s="4"/>
      <c r="GY2055" s="4"/>
      <c r="GZ2055" s="4"/>
      <c r="HA2055" s="4"/>
      <c r="HB2055" s="4"/>
      <c r="HC2055" s="4"/>
      <c r="HD2055" s="4"/>
      <c r="HE2055" s="4"/>
    </row>
    <row r="2056">
      <c r="A2056" s="2" t="s">
        <v>9910</v>
      </c>
      <c r="B2056" s="2" t="s">
        <v>299</v>
      </c>
      <c r="C2056" s="2" t="s">
        <v>345</v>
      </c>
      <c r="D2056" s="2" t="s">
        <v>301</v>
      </c>
      <c r="E2056" s="2" t="s">
        <v>302</v>
      </c>
      <c r="F2056" s="2" t="s">
        <v>9411</v>
      </c>
      <c r="G2056" s="2" t="s">
        <v>9411</v>
      </c>
      <c r="H2056" s="2" t="s">
        <v>9411</v>
      </c>
      <c r="I2056" s="2" t="s">
        <v>9903</v>
      </c>
      <c r="J2056" s="2" t="s">
        <v>284</v>
      </c>
      <c r="K2056" s="2" t="s">
        <v>265</v>
      </c>
      <c r="L2056" s="3">
        <v>14.71</v>
      </c>
      <c r="M2056" s="3">
        <v>15.45</v>
      </c>
      <c r="N2056" s="3">
        <v>32.99</v>
      </c>
      <c r="O2056" s="2" t="s">
        <v>240</v>
      </c>
      <c r="P2056" s="2" t="s">
        <v>233</v>
      </c>
      <c r="Q2056" s="2" t="s">
        <v>234</v>
      </c>
      <c r="R2056" s="2" t="s">
        <v>228</v>
      </c>
      <c r="S2056" s="2" t="s">
        <v>9909</v>
      </c>
      <c r="T2056" s="2" t="s">
        <v>9411</v>
      </c>
      <c r="U2056" s="2" t="s">
        <v>1054</v>
      </c>
      <c r="V2056" s="2" t="s">
        <v>236</v>
      </c>
      <c r="W2056" s="2" t="s">
        <v>269</v>
      </c>
      <c r="X2056" s="2" t="s">
        <v>417</v>
      </c>
      <c r="Y2056" s="2" t="s">
        <v>1994</v>
      </c>
      <c r="Z2056" s="4">
        <v>447</v>
      </c>
      <c r="AA2056" s="4">
        <f>=ROUNDDOWN(17.88,0)</f>
      </c>
      <c r="AB2056" s="5">
        <v>25</v>
      </c>
      <c r="AC2056" s="2" t="s">
        <v>9905</v>
      </c>
      <c r="AD2056" s="4">
        <v>150</v>
      </c>
      <c r="AE2056" s="4">
        <v>370</v>
      </c>
      <c r="AF2056" s="6">
        <v>65</v>
      </c>
      <c r="AG2056" s="6">
        <v>48</v>
      </c>
      <c r="AH2056" s="7">
        <v>1</v>
      </c>
      <c r="AI2056" s="4"/>
      <c r="AJ2056" s="4">
        <f>=ROUNDDOWN({0},0)</f>
      </c>
      <c r="AK2056" s="5"/>
      <c r="AL2056" s="2" t="s">
        <v>228</v>
      </c>
      <c r="AM2056" s="4"/>
      <c r="AN2056" s="4"/>
      <c r="AO2056" s="7"/>
      <c r="AP2056" s="4"/>
      <c r="AQ2056" s="8"/>
      <c r="AR2056" s="4"/>
      <c r="AS2056" s="8"/>
      <c r="AT2056" s="7"/>
      <c r="AU2056" s="7"/>
      <c r="AV2056" s="4" t="s">
        <v>228</v>
      </c>
      <c r="AW2056" s="8" t="s">
        <v>228</v>
      </c>
      <c r="AX2056" s="4" t="s">
        <v>228</v>
      </c>
      <c r="AY2056" s="8" t="s">
        <v>228</v>
      </c>
      <c r="AZ2056" s="7" t="s">
        <v>228</v>
      </c>
      <c r="BA2056" s="7" t="s">
        <v>228</v>
      </c>
      <c r="BB2056" s="7"/>
      <c r="BC2056" s="4" t="s">
        <v>228</v>
      </c>
      <c r="BD2056" s="8" t="s">
        <v>228</v>
      </c>
      <c r="BE2056" s="4" t="s">
        <v>228</v>
      </c>
      <c r="BF2056" s="8" t="s">
        <v>228</v>
      </c>
      <c r="BG2056" s="7" t="s">
        <v>228</v>
      </c>
      <c r="BH2056" s="7" t="s">
        <v>228</v>
      </c>
      <c r="BI2056" s="7"/>
      <c r="BJ2056" s="4">
        <v>2</v>
      </c>
      <c r="BK2056" s="8">
        <v>68.83</v>
      </c>
      <c r="BL2056" s="2" t="s">
        <v>7807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238</v>
      </c>
      <c r="BV2056" s="2" t="s">
        <v>228</v>
      </c>
      <c r="BW2056" s="2" t="s">
        <v>228</v>
      </c>
      <c r="BX2056" s="2" t="s">
        <v>238</v>
      </c>
      <c r="BY2056" s="2" t="s">
        <v>239</v>
      </c>
      <c r="BZ2056" s="2" t="s">
        <v>240</v>
      </c>
      <c r="CA2056" s="2" t="s">
        <v>228</v>
      </c>
      <c r="CB2056" s="2" t="s">
        <v>228</v>
      </c>
      <c r="CC2056" s="2" t="s">
        <v>241</v>
      </c>
      <c r="CD2056" s="2" t="s">
        <v>228</v>
      </c>
      <c r="CE2056" s="4">
        <v>298</v>
      </c>
      <c r="CF2056" s="4"/>
      <c r="CG2056" s="4"/>
      <c r="CH2056" s="4">
        <v>149</v>
      </c>
      <c r="CI2056" s="4"/>
      <c r="CJ2056" s="4"/>
      <c r="CK2056" s="4"/>
      <c r="CL2056" s="4"/>
      <c r="CM2056" s="4"/>
      <c r="CN2056" s="4"/>
      <c r="CO2056" s="4"/>
      <c r="CP2056" s="4"/>
      <c r="CQ2056" s="4"/>
      <c r="CR2056" s="4"/>
      <c r="CS2056" s="4"/>
      <c r="CT2056" s="4"/>
      <c r="CU2056" s="4"/>
      <c r="CV2056" s="4"/>
      <c r="CW2056" s="4"/>
      <c r="CX2056" s="4"/>
      <c r="CY2056" s="4"/>
      <c r="CZ2056" s="4"/>
      <c r="DA2056" s="4"/>
      <c r="DB2056" s="4"/>
      <c r="DC2056" s="4"/>
      <c r="DD2056" s="4"/>
      <c r="DE2056" s="4"/>
      <c r="DF2056" s="4"/>
      <c r="DG2056" s="4"/>
      <c r="DH2056" s="4"/>
      <c r="DI2056" s="4"/>
      <c r="DJ2056" s="4"/>
      <c r="DK2056" s="4"/>
      <c r="DL2056" s="4"/>
      <c r="DM2056" s="4"/>
      <c r="DN2056" s="4"/>
      <c r="DO2056" s="4"/>
      <c r="DP2056" s="4"/>
      <c r="DQ2056" s="4"/>
      <c r="DR2056" s="4"/>
      <c r="DS2056" s="4"/>
      <c r="DT2056" s="4"/>
      <c r="DU2056" s="4"/>
      <c r="DV2056" s="4"/>
      <c r="DW2056" s="4"/>
      <c r="DX2056" s="4"/>
      <c r="DY2056" s="4"/>
      <c r="DZ2056" s="4"/>
      <c r="EA2056" s="4"/>
      <c r="EB2056" s="4">
        <v>150</v>
      </c>
      <c r="EC2056" s="4"/>
      <c r="ED2056" s="4"/>
      <c r="EE2056" s="4"/>
      <c r="EF2056" s="4"/>
      <c r="EG2056" s="4"/>
      <c r="EH2056" s="4"/>
      <c r="EI2056" s="4"/>
      <c r="EJ2056" s="4">
        <v>220</v>
      </c>
      <c r="EK2056" s="4"/>
      <c r="EL2056" s="4"/>
      <c r="EM2056" s="4"/>
      <c r="EN2056" s="4"/>
      <c r="EO2056" s="4"/>
      <c r="EP2056" s="4"/>
      <c r="EQ2056" s="4"/>
      <c r="ER2056" s="4"/>
      <c r="ES2056" s="4"/>
      <c r="ET2056" s="4"/>
      <c r="EU2056" s="4"/>
      <c r="EV2056" s="4"/>
      <c r="EW2056" s="4"/>
      <c r="EX2056" s="4"/>
      <c r="EY2056" s="4"/>
      <c r="EZ2056" s="4"/>
      <c r="FA2056" s="4"/>
      <c r="FB2056" s="4"/>
      <c r="FC2056" s="4"/>
      <c r="FD2056" s="4"/>
      <c r="FE2056" s="4"/>
      <c r="FF2056" s="4"/>
      <c r="FG2056" s="4"/>
      <c r="FH2056" s="4"/>
      <c r="FI2056" s="4"/>
      <c r="FJ2056" s="4"/>
      <c r="FK2056" s="4"/>
      <c r="FL2056" s="4"/>
      <c r="FM2056" s="4"/>
      <c r="FN2056" s="4"/>
      <c r="FO2056" s="4"/>
      <c r="FP2056" s="4"/>
      <c r="FQ2056" s="4"/>
      <c r="FR2056" s="4"/>
      <c r="FS2056" s="4"/>
      <c r="FT2056" s="4"/>
      <c r="FU2056" s="4"/>
      <c r="FV2056" s="4"/>
      <c r="FW2056" s="4"/>
      <c r="FX2056" s="4"/>
      <c r="FY2056" s="4"/>
      <c r="FZ2056" s="4"/>
      <c r="GA2056" s="4"/>
      <c r="GB2056" s="4"/>
      <c r="GC2056" s="4"/>
      <c r="GD2056" s="4"/>
      <c r="GE2056" s="4"/>
      <c r="GF2056" s="4"/>
      <c r="GG2056" s="4"/>
      <c r="GH2056" s="4"/>
      <c r="GI2056" s="4"/>
      <c r="GJ2056" s="4"/>
      <c r="GK2056" s="4"/>
      <c r="GL2056" s="4"/>
      <c r="GM2056" s="4"/>
      <c r="GN2056" s="4"/>
      <c r="GO2056" s="4"/>
      <c r="GP2056" s="4"/>
      <c r="GQ2056" s="4"/>
      <c r="GR2056" s="4"/>
      <c r="GS2056" s="4"/>
      <c r="GT2056" s="4"/>
      <c r="GU2056" s="4"/>
      <c r="GV2056" s="4"/>
      <c r="GW2056" s="4"/>
      <c r="GX2056" s="4"/>
      <c r="GY2056" s="4"/>
      <c r="GZ2056" s="4"/>
      <c r="HA2056" s="4"/>
      <c r="HB2056" s="4"/>
      <c r="HC2056" s="4"/>
      <c r="HD2056" s="4"/>
      <c r="HE2056" s="4"/>
    </row>
    <row r="2057">
      <c r="A2057" s="2" t="s">
        <v>9911</v>
      </c>
      <c r="B2057" s="2" t="s">
        <v>299</v>
      </c>
      <c r="C2057" s="2" t="s">
        <v>345</v>
      </c>
      <c r="D2057" s="2" t="s">
        <v>301</v>
      </c>
      <c r="E2057" s="2" t="s">
        <v>302</v>
      </c>
      <c r="F2057" s="2" t="s">
        <v>9411</v>
      </c>
      <c r="G2057" s="2" t="s">
        <v>9411</v>
      </c>
      <c r="H2057" s="2" t="s">
        <v>9411</v>
      </c>
      <c r="I2057" s="2" t="s">
        <v>9903</v>
      </c>
      <c r="J2057" s="2" t="s">
        <v>289</v>
      </c>
      <c r="K2057" s="2" t="s">
        <v>265</v>
      </c>
      <c r="L2057" s="3">
        <v>16.94</v>
      </c>
      <c r="M2057" s="3">
        <v>17.79</v>
      </c>
      <c r="N2057" s="3">
        <v>37.99</v>
      </c>
      <c r="O2057" s="2" t="s">
        <v>240</v>
      </c>
      <c r="P2057" s="2" t="s">
        <v>233</v>
      </c>
      <c r="Q2057" s="2" t="s">
        <v>234</v>
      </c>
      <c r="R2057" s="2" t="s">
        <v>228</v>
      </c>
      <c r="S2057" s="2" t="s">
        <v>9909</v>
      </c>
      <c r="T2057" s="2" t="s">
        <v>9411</v>
      </c>
      <c r="U2057" s="2" t="s">
        <v>1054</v>
      </c>
      <c r="V2057" s="2" t="s">
        <v>236</v>
      </c>
      <c r="W2057" s="2" t="s">
        <v>269</v>
      </c>
      <c r="X2057" s="2" t="s">
        <v>417</v>
      </c>
      <c r="Y2057" s="2" t="s">
        <v>1996</v>
      </c>
      <c r="Z2057" s="4">
        <v>1193</v>
      </c>
      <c r="AA2057" s="4">
        <f>=ROUNDDOWN(19.5573770491803,0)</f>
      </c>
      <c r="AB2057" s="5">
        <v>61</v>
      </c>
      <c r="AC2057" s="2" t="s">
        <v>9905</v>
      </c>
      <c r="AD2057" s="4">
        <v>400</v>
      </c>
      <c r="AE2057" s="4">
        <v>800</v>
      </c>
      <c r="AF2057" s="6">
        <v>65</v>
      </c>
      <c r="AG2057" s="6">
        <v>48</v>
      </c>
      <c r="AH2057" s="7">
        <v>1</v>
      </c>
      <c r="AI2057" s="4"/>
      <c r="AJ2057" s="4">
        <f>=ROUNDDOWN({0},0)</f>
      </c>
      <c r="AK2057" s="5"/>
      <c r="AL2057" s="2" t="s">
        <v>228</v>
      </c>
      <c r="AM2057" s="4"/>
      <c r="AN2057" s="4"/>
      <c r="AO2057" s="7"/>
      <c r="AP2057" s="4"/>
      <c r="AQ2057" s="8"/>
      <c r="AR2057" s="4"/>
      <c r="AS2057" s="8"/>
      <c r="AT2057" s="7"/>
      <c r="AU2057" s="7"/>
      <c r="AV2057" s="4" t="s">
        <v>228</v>
      </c>
      <c r="AW2057" s="8" t="s">
        <v>228</v>
      </c>
      <c r="AX2057" s="4" t="s">
        <v>228</v>
      </c>
      <c r="AY2057" s="8" t="s">
        <v>228</v>
      </c>
      <c r="AZ2057" s="7" t="s">
        <v>228</v>
      </c>
      <c r="BA2057" s="7" t="s">
        <v>228</v>
      </c>
      <c r="BB2057" s="7"/>
      <c r="BC2057" s="4" t="s">
        <v>228</v>
      </c>
      <c r="BD2057" s="8" t="s">
        <v>228</v>
      </c>
      <c r="BE2057" s="4" t="s">
        <v>228</v>
      </c>
      <c r="BF2057" s="8" t="s">
        <v>228</v>
      </c>
      <c r="BG2057" s="7" t="s">
        <v>228</v>
      </c>
      <c r="BH2057" s="7" t="s">
        <v>228</v>
      </c>
      <c r="BI2057" s="7"/>
      <c r="BJ2057" s="4">
        <v>2</v>
      </c>
      <c r="BK2057" s="8">
        <v>71.52</v>
      </c>
      <c r="BL2057" s="2" t="s">
        <v>7807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238</v>
      </c>
      <c r="BV2057" s="2" t="s">
        <v>228</v>
      </c>
      <c r="BW2057" s="2" t="s">
        <v>228</v>
      </c>
      <c r="BX2057" s="2" t="s">
        <v>238</v>
      </c>
      <c r="BY2057" s="2" t="s">
        <v>239</v>
      </c>
      <c r="BZ2057" s="2" t="s">
        <v>240</v>
      </c>
      <c r="CA2057" s="2" t="s">
        <v>228</v>
      </c>
      <c r="CB2057" s="2" t="s">
        <v>228</v>
      </c>
      <c r="CC2057" s="2" t="s">
        <v>241</v>
      </c>
      <c r="CD2057" s="2" t="s">
        <v>228</v>
      </c>
      <c r="CE2057" s="4">
        <v>700</v>
      </c>
      <c r="CF2057" s="4"/>
      <c r="CG2057" s="4"/>
      <c r="CH2057" s="4">
        <v>397</v>
      </c>
      <c r="CI2057" s="4"/>
      <c r="CJ2057" s="4"/>
      <c r="CK2057" s="4">
        <v>96</v>
      </c>
      <c r="CL2057" s="4"/>
      <c r="CM2057" s="4"/>
      <c r="CN2057" s="4"/>
      <c r="CO2057" s="4"/>
      <c r="CP2057" s="4"/>
      <c r="CQ2057" s="4"/>
      <c r="CR2057" s="4"/>
      <c r="CS2057" s="4"/>
      <c r="CT2057" s="4"/>
      <c r="CU2057" s="4"/>
      <c r="CV2057" s="4"/>
      <c r="CW2057" s="4"/>
      <c r="CX2057" s="4"/>
      <c r="CY2057" s="4"/>
      <c r="CZ2057" s="4"/>
      <c r="DA2057" s="4"/>
      <c r="DB2057" s="4"/>
      <c r="DC2057" s="4"/>
      <c r="DD2057" s="4"/>
      <c r="DE2057" s="4"/>
      <c r="DF2057" s="4"/>
      <c r="DG2057" s="4"/>
      <c r="DH2057" s="4"/>
      <c r="DI2057" s="4"/>
      <c r="DJ2057" s="4"/>
      <c r="DK2057" s="4"/>
      <c r="DL2057" s="4"/>
      <c r="DM2057" s="4"/>
      <c r="DN2057" s="4"/>
      <c r="DO2057" s="4"/>
      <c r="DP2057" s="4"/>
      <c r="DQ2057" s="4"/>
      <c r="DR2057" s="4"/>
      <c r="DS2057" s="4"/>
      <c r="DT2057" s="4"/>
      <c r="DU2057" s="4"/>
      <c r="DV2057" s="4"/>
      <c r="DW2057" s="4"/>
      <c r="DX2057" s="4"/>
      <c r="DY2057" s="4"/>
      <c r="DZ2057" s="4"/>
      <c r="EA2057" s="4"/>
      <c r="EB2057" s="4">
        <v>400</v>
      </c>
      <c r="EC2057" s="4"/>
      <c r="ED2057" s="4"/>
      <c r="EE2057" s="4"/>
      <c r="EF2057" s="4"/>
      <c r="EG2057" s="4"/>
      <c r="EH2057" s="4"/>
      <c r="EI2057" s="4"/>
      <c r="EJ2057" s="4">
        <v>400</v>
      </c>
      <c r="EK2057" s="4"/>
      <c r="EL2057" s="4"/>
      <c r="EM2057" s="4"/>
      <c r="EN2057" s="4"/>
      <c r="EO2057" s="4"/>
      <c r="EP2057" s="4"/>
      <c r="EQ2057" s="4"/>
      <c r="ER2057" s="4"/>
      <c r="ES2057" s="4"/>
      <c r="ET2057" s="4"/>
      <c r="EU2057" s="4"/>
      <c r="EV2057" s="4"/>
      <c r="EW2057" s="4"/>
      <c r="EX2057" s="4"/>
      <c r="EY2057" s="4"/>
      <c r="EZ2057" s="4"/>
      <c r="FA2057" s="4"/>
      <c r="FB2057" s="4"/>
      <c r="FC2057" s="4"/>
      <c r="FD2057" s="4"/>
      <c r="FE2057" s="4"/>
      <c r="FF2057" s="4"/>
      <c r="FG2057" s="4"/>
      <c r="FH2057" s="4"/>
      <c r="FI2057" s="4"/>
      <c r="FJ2057" s="4"/>
      <c r="FK2057" s="4"/>
      <c r="FL2057" s="4"/>
      <c r="FM2057" s="4"/>
      <c r="FN2057" s="4"/>
      <c r="FO2057" s="4"/>
      <c r="FP2057" s="4"/>
      <c r="FQ2057" s="4"/>
      <c r="FR2057" s="4"/>
      <c r="FS2057" s="4"/>
      <c r="FT2057" s="4"/>
      <c r="FU2057" s="4"/>
      <c r="FV2057" s="4"/>
      <c r="FW2057" s="4"/>
      <c r="FX2057" s="4"/>
      <c r="FY2057" s="4"/>
      <c r="FZ2057" s="4"/>
      <c r="GA2057" s="4"/>
      <c r="GB2057" s="4"/>
      <c r="GC2057" s="4"/>
      <c r="GD2057" s="4"/>
      <c r="GE2057" s="4"/>
      <c r="GF2057" s="4"/>
      <c r="GG2057" s="4"/>
      <c r="GH2057" s="4"/>
      <c r="GI2057" s="4"/>
      <c r="GJ2057" s="4"/>
      <c r="GK2057" s="4"/>
      <c r="GL2057" s="4"/>
      <c r="GM2057" s="4"/>
      <c r="GN2057" s="4"/>
      <c r="GO2057" s="4"/>
      <c r="GP2057" s="4"/>
      <c r="GQ2057" s="4"/>
      <c r="GR2057" s="4"/>
      <c r="GS2057" s="4"/>
      <c r="GT2057" s="4"/>
      <c r="GU2057" s="4"/>
      <c r="GV2057" s="4"/>
      <c r="GW2057" s="4"/>
      <c r="GX2057" s="4"/>
      <c r="GY2057" s="4"/>
      <c r="GZ2057" s="4"/>
      <c r="HA2057" s="4"/>
      <c r="HB2057" s="4"/>
      <c r="HC2057" s="4"/>
      <c r="HD2057" s="4"/>
      <c r="HE2057" s="4"/>
    </row>
    <row r="2058">
      <c r="A2058" s="2" t="s">
        <v>9912</v>
      </c>
      <c r="B2058" s="2" t="s">
        <v>299</v>
      </c>
      <c r="C2058" s="2" t="s">
        <v>345</v>
      </c>
      <c r="D2058" s="2" t="s">
        <v>516</v>
      </c>
      <c r="E2058" s="2" t="s">
        <v>517</v>
      </c>
      <c r="F2058" s="2" t="s">
        <v>9411</v>
      </c>
      <c r="G2058" s="2" t="s">
        <v>9411</v>
      </c>
      <c r="H2058" s="2" t="s">
        <v>9411</v>
      </c>
      <c r="I2058" s="2" t="s">
        <v>9913</v>
      </c>
      <c r="J2058" s="2" t="s">
        <v>294</v>
      </c>
      <c r="K2058" s="2" t="s">
        <v>265</v>
      </c>
      <c r="L2058" s="3">
        <v>5.79</v>
      </c>
      <c r="M2058" s="3">
        <v>6.08</v>
      </c>
      <c r="N2058" s="3">
        <v>12.99</v>
      </c>
      <c r="O2058" s="2" t="s">
        <v>240</v>
      </c>
      <c r="P2058" s="2" t="s">
        <v>233</v>
      </c>
      <c r="Q2058" s="2" t="s">
        <v>234</v>
      </c>
      <c r="R2058" s="2" t="s">
        <v>228</v>
      </c>
      <c r="S2058" s="2" t="s">
        <v>9909</v>
      </c>
      <c r="T2058" s="2" t="s">
        <v>9411</v>
      </c>
      <c r="U2058" s="2" t="s">
        <v>520</v>
      </c>
      <c r="V2058" s="2" t="s">
        <v>236</v>
      </c>
      <c r="W2058" s="2" t="s">
        <v>269</v>
      </c>
      <c r="X2058" s="2" t="s">
        <v>417</v>
      </c>
      <c r="Y2058" s="2" t="s">
        <v>9914</v>
      </c>
      <c r="Z2058" s="4">
        <v>432</v>
      </c>
      <c r="AA2058" s="4">
        <f>=ROUNDDOWN(19.6363636363636,0)</f>
      </c>
      <c r="AB2058" s="5">
        <v>22</v>
      </c>
      <c r="AC2058" s="2" t="s">
        <v>9905</v>
      </c>
      <c r="AD2058" s="4">
        <v>144</v>
      </c>
      <c r="AE2058" s="4">
        <v>304</v>
      </c>
      <c r="AF2058" s="6">
        <v>65</v>
      </c>
      <c r="AG2058" s="6">
        <v>48</v>
      </c>
      <c r="AH2058" s="7">
        <v>1</v>
      </c>
      <c r="AI2058" s="4"/>
      <c r="AJ2058" s="4">
        <f>=ROUNDDOWN({0},0)</f>
      </c>
      <c r="AK2058" s="5"/>
      <c r="AL2058" s="2" t="s">
        <v>228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 t="s">
        <v>228</v>
      </c>
      <c r="AW2058" s="8" t="s">
        <v>228</v>
      </c>
      <c r="AX2058" s="4" t="s">
        <v>228</v>
      </c>
      <c r="AY2058" s="8" t="s">
        <v>228</v>
      </c>
      <c r="AZ2058" s="7" t="s">
        <v>228</v>
      </c>
      <c r="BA2058" s="7" t="s">
        <v>228</v>
      </c>
      <c r="BB2058" s="7" t="s">
        <v>228</v>
      </c>
      <c r="BC2058" s="4" t="s">
        <v>228</v>
      </c>
      <c r="BD2058" s="8" t="s">
        <v>228</v>
      </c>
      <c r="BE2058" s="4" t="s">
        <v>228</v>
      </c>
      <c r="BF2058" s="8" t="s">
        <v>228</v>
      </c>
      <c r="BG2058" s="7" t="s">
        <v>228</v>
      </c>
      <c r="BH2058" s="7" t="s">
        <v>228</v>
      </c>
      <c r="BI2058" s="7"/>
      <c r="BJ2058" s="4"/>
      <c r="BK2058" s="8"/>
      <c r="BL2058" s="2" t="s">
        <v>228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238</v>
      </c>
      <c r="BV2058" s="2" t="s">
        <v>228</v>
      </c>
      <c r="BW2058" s="2" t="s">
        <v>228</v>
      </c>
      <c r="BX2058" s="2" t="s">
        <v>238</v>
      </c>
      <c r="BY2058" s="2" t="s">
        <v>239</v>
      </c>
      <c r="BZ2058" s="2" t="s">
        <v>240</v>
      </c>
      <c r="CA2058" s="2" t="s">
        <v>228</v>
      </c>
      <c r="CB2058" s="2" t="s">
        <v>228</v>
      </c>
      <c r="CC2058" s="2" t="s">
        <v>241</v>
      </c>
      <c r="CD2058" s="2" t="s">
        <v>228</v>
      </c>
      <c r="CE2058" s="4">
        <v>288</v>
      </c>
      <c r="CF2058" s="4"/>
      <c r="CG2058" s="4"/>
      <c r="CH2058" s="4">
        <v>144</v>
      </c>
      <c r="CI2058" s="4"/>
      <c r="CJ2058" s="4"/>
      <c r="CK2058" s="4"/>
      <c r="CL2058" s="4"/>
      <c r="CM2058" s="4"/>
      <c r="CN2058" s="4"/>
      <c r="CO2058" s="4"/>
      <c r="CP2058" s="4"/>
      <c r="CQ2058" s="4"/>
      <c r="CR2058" s="4"/>
      <c r="CS2058" s="4"/>
      <c r="CT2058" s="4"/>
      <c r="CU2058" s="4"/>
      <c r="CV2058" s="4"/>
      <c r="CW2058" s="4"/>
      <c r="CX2058" s="4"/>
      <c r="CY2058" s="4"/>
      <c r="CZ2058" s="4"/>
      <c r="DA2058" s="4"/>
      <c r="DB2058" s="4"/>
      <c r="DC2058" s="4"/>
      <c r="DD2058" s="4"/>
      <c r="DE2058" s="4"/>
      <c r="DF2058" s="4"/>
      <c r="DG2058" s="4"/>
      <c r="DH2058" s="4"/>
      <c r="DI2058" s="4"/>
      <c r="DJ2058" s="4"/>
      <c r="DK2058" s="4"/>
      <c r="DL2058" s="4"/>
      <c r="DM2058" s="4"/>
      <c r="DN2058" s="4"/>
      <c r="DO2058" s="4"/>
      <c r="DP2058" s="4"/>
      <c r="DQ2058" s="4"/>
      <c r="DR2058" s="4"/>
      <c r="DS2058" s="4"/>
      <c r="DT2058" s="4"/>
      <c r="DU2058" s="4"/>
      <c r="DV2058" s="4"/>
      <c r="DW2058" s="4"/>
      <c r="DX2058" s="4"/>
      <c r="DY2058" s="4"/>
      <c r="DZ2058" s="4"/>
      <c r="EA2058" s="4"/>
      <c r="EB2058" s="4">
        <v>144</v>
      </c>
      <c r="EC2058" s="4"/>
      <c r="ED2058" s="4"/>
      <c r="EE2058" s="4"/>
      <c r="EF2058" s="4"/>
      <c r="EG2058" s="4"/>
      <c r="EH2058" s="4"/>
      <c r="EI2058" s="4"/>
      <c r="EJ2058" s="4">
        <v>160</v>
      </c>
      <c r="EK2058" s="4"/>
      <c r="EL2058" s="4"/>
      <c r="EM2058" s="4"/>
      <c r="EN2058" s="4"/>
      <c r="EO2058" s="4"/>
      <c r="EP2058" s="4"/>
      <c r="EQ2058" s="4"/>
      <c r="ER2058" s="4"/>
      <c r="ES2058" s="4"/>
      <c r="ET2058" s="4"/>
      <c r="EU2058" s="4"/>
      <c r="EV2058" s="4"/>
      <c r="EW2058" s="4"/>
      <c r="EX2058" s="4"/>
      <c r="EY2058" s="4"/>
      <c r="EZ2058" s="4"/>
      <c r="FA2058" s="4"/>
      <c r="FB2058" s="4"/>
      <c r="FC2058" s="4"/>
      <c r="FD2058" s="4"/>
      <c r="FE2058" s="4"/>
      <c r="FF2058" s="4"/>
      <c r="FG2058" s="4"/>
      <c r="FH2058" s="4"/>
      <c r="FI2058" s="4"/>
      <c r="FJ2058" s="4"/>
      <c r="FK2058" s="4"/>
      <c r="FL2058" s="4"/>
      <c r="FM2058" s="4"/>
      <c r="FN2058" s="4"/>
      <c r="FO2058" s="4"/>
      <c r="FP2058" s="4"/>
      <c r="FQ2058" s="4"/>
      <c r="FR2058" s="4"/>
      <c r="FS2058" s="4"/>
      <c r="FT2058" s="4"/>
      <c r="FU2058" s="4"/>
      <c r="FV2058" s="4"/>
      <c r="FW2058" s="4"/>
      <c r="FX2058" s="4"/>
      <c r="FY2058" s="4"/>
      <c r="FZ2058" s="4"/>
      <c r="GA2058" s="4"/>
      <c r="GB2058" s="4"/>
      <c r="GC2058" s="4"/>
      <c r="GD2058" s="4"/>
      <c r="GE2058" s="4"/>
      <c r="GF2058" s="4"/>
      <c r="GG2058" s="4"/>
      <c r="GH2058" s="4"/>
      <c r="GI2058" s="4"/>
      <c r="GJ2058" s="4"/>
      <c r="GK2058" s="4"/>
      <c r="GL2058" s="4"/>
      <c r="GM2058" s="4"/>
      <c r="GN2058" s="4"/>
      <c r="GO2058" s="4"/>
      <c r="GP2058" s="4"/>
      <c r="GQ2058" s="4"/>
      <c r="GR2058" s="4"/>
      <c r="GS2058" s="4"/>
      <c r="GT2058" s="4"/>
      <c r="GU2058" s="4"/>
      <c r="GV2058" s="4"/>
      <c r="GW2058" s="4"/>
      <c r="GX2058" s="4"/>
      <c r="GY2058" s="4"/>
      <c r="GZ2058" s="4"/>
      <c r="HA2058" s="4"/>
      <c r="HB2058" s="4"/>
      <c r="HC2058" s="4"/>
      <c r="HD2058" s="4"/>
      <c r="HE2058" s="4"/>
    </row>
    <row r="2059">
      <c r="A2059" s="2" t="s">
        <v>9915</v>
      </c>
      <c r="B2059" s="2" t="s">
        <v>299</v>
      </c>
      <c r="C2059" s="2" t="s">
        <v>345</v>
      </c>
      <c r="D2059" s="2" t="s">
        <v>301</v>
      </c>
      <c r="E2059" s="2" t="s">
        <v>302</v>
      </c>
      <c r="F2059" s="2" t="s">
        <v>9411</v>
      </c>
      <c r="G2059" s="2" t="s">
        <v>9411</v>
      </c>
      <c r="H2059" s="2" t="s">
        <v>9411</v>
      </c>
      <c r="I2059" s="2" t="s">
        <v>9903</v>
      </c>
      <c r="J2059" s="2" t="s">
        <v>294</v>
      </c>
      <c r="K2059" s="2" t="s">
        <v>265</v>
      </c>
      <c r="L2059" s="3">
        <v>19.17</v>
      </c>
      <c r="M2059" s="3">
        <v>20.13</v>
      </c>
      <c r="N2059" s="3">
        <v>42.99</v>
      </c>
      <c r="O2059" s="2" t="s">
        <v>240</v>
      </c>
      <c r="P2059" s="2" t="s">
        <v>233</v>
      </c>
      <c r="Q2059" s="2" t="s">
        <v>234</v>
      </c>
      <c r="R2059" s="2" t="s">
        <v>228</v>
      </c>
      <c r="S2059" s="2" t="s">
        <v>9909</v>
      </c>
      <c r="T2059" s="2" t="s">
        <v>9411</v>
      </c>
      <c r="U2059" s="2" t="s">
        <v>1054</v>
      </c>
      <c r="V2059" s="2" t="s">
        <v>236</v>
      </c>
      <c r="W2059" s="2" t="s">
        <v>269</v>
      </c>
      <c r="X2059" s="2" t="s">
        <v>417</v>
      </c>
      <c r="Y2059" s="2" t="s">
        <v>1996</v>
      </c>
      <c r="Z2059" s="4">
        <v>532</v>
      </c>
      <c r="AA2059" s="4">
        <f>=ROUNDDOWN(18.3448275862069,0)</f>
      </c>
      <c r="AB2059" s="5">
        <v>29</v>
      </c>
      <c r="AC2059" s="2" t="s">
        <v>9905</v>
      </c>
      <c r="AD2059" s="4">
        <v>180</v>
      </c>
      <c r="AE2059" s="4">
        <v>420</v>
      </c>
      <c r="AF2059" s="6">
        <v>65</v>
      </c>
      <c r="AG2059" s="6">
        <v>48</v>
      </c>
      <c r="AH2059" s="7">
        <v>1</v>
      </c>
      <c r="AI2059" s="4"/>
      <c r="AJ2059" s="4">
        <f>=ROUNDDOWN({0},0)</f>
      </c>
      <c r="AK2059" s="5"/>
      <c r="AL2059" s="2" t="s">
        <v>228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 t="s">
        <v>228</v>
      </c>
      <c r="AW2059" s="8" t="s">
        <v>228</v>
      </c>
      <c r="AX2059" s="4" t="s">
        <v>228</v>
      </c>
      <c r="AY2059" s="8" t="s">
        <v>228</v>
      </c>
      <c r="AZ2059" s="7" t="s">
        <v>228</v>
      </c>
      <c r="BA2059" s="7" t="s">
        <v>228</v>
      </c>
      <c r="BB2059" s="7" t="s">
        <v>228</v>
      </c>
      <c r="BC2059" s="4" t="s">
        <v>228</v>
      </c>
      <c r="BD2059" s="8" t="s">
        <v>228</v>
      </c>
      <c r="BE2059" s="4" t="s">
        <v>228</v>
      </c>
      <c r="BF2059" s="8" t="s">
        <v>228</v>
      </c>
      <c r="BG2059" s="7" t="s">
        <v>228</v>
      </c>
      <c r="BH2059" s="7" t="s">
        <v>228</v>
      </c>
      <c r="BI2059" s="7"/>
      <c r="BJ2059" s="4">
        <v>6</v>
      </c>
      <c r="BK2059" s="8">
        <v>241.88</v>
      </c>
      <c r="BL2059" s="2" t="s">
        <v>7807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238</v>
      </c>
      <c r="BV2059" s="2" t="s">
        <v>228</v>
      </c>
      <c r="BW2059" s="2" t="s">
        <v>228</v>
      </c>
      <c r="BX2059" s="2" t="s">
        <v>238</v>
      </c>
      <c r="BY2059" s="2" t="s">
        <v>239</v>
      </c>
      <c r="BZ2059" s="2" t="s">
        <v>240</v>
      </c>
      <c r="CA2059" s="2" t="s">
        <v>228</v>
      </c>
      <c r="CB2059" s="2" t="s">
        <v>228</v>
      </c>
      <c r="CC2059" s="2" t="s">
        <v>241</v>
      </c>
      <c r="CD2059" s="2" t="s">
        <v>228</v>
      </c>
      <c r="CE2059" s="4">
        <v>356</v>
      </c>
      <c r="CF2059" s="4"/>
      <c r="CG2059" s="4"/>
      <c r="CH2059" s="4">
        <v>176</v>
      </c>
      <c r="CI2059" s="4"/>
      <c r="CJ2059" s="4"/>
      <c r="CK2059" s="4"/>
      <c r="CL2059" s="4"/>
      <c r="CM2059" s="4"/>
      <c r="CN2059" s="4"/>
      <c r="CO2059" s="4"/>
      <c r="CP2059" s="4"/>
      <c r="CQ2059" s="4"/>
      <c r="CR2059" s="4"/>
      <c r="CS2059" s="4"/>
      <c r="CT2059" s="4"/>
      <c r="CU2059" s="4"/>
      <c r="CV2059" s="4"/>
      <c r="CW2059" s="4"/>
      <c r="CX2059" s="4"/>
      <c r="CY2059" s="4"/>
      <c r="CZ2059" s="4"/>
      <c r="DA2059" s="4"/>
      <c r="DB2059" s="4"/>
      <c r="DC2059" s="4"/>
      <c r="DD2059" s="4"/>
      <c r="DE2059" s="4"/>
      <c r="DF2059" s="4"/>
      <c r="DG2059" s="4"/>
      <c r="DH2059" s="4"/>
      <c r="DI2059" s="4"/>
      <c r="DJ2059" s="4"/>
      <c r="DK2059" s="4"/>
      <c r="DL2059" s="4"/>
      <c r="DM2059" s="4"/>
      <c r="DN2059" s="4"/>
      <c r="DO2059" s="4"/>
      <c r="DP2059" s="4"/>
      <c r="DQ2059" s="4"/>
      <c r="DR2059" s="4"/>
      <c r="DS2059" s="4"/>
      <c r="DT2059" s="4"/>
      <c r="DU2059" s="4"/>
      <c r="DV2059" s="4"/>
      <c r="DW2059" s="4"/>
      <c r="DX2059" s="4"/>
      <c r="DY2059" s="4"/>
      <c r="DZ2059" s="4"/>
      <c r="EA2059" s="4"/>
      <c r="EB2059" s="4">
        <v>180</v>
      </c>
      <c r="EC2059" s="4"/>
      <c r="ED2059" s="4"/>
      <c r="EE2059" s="4"/>
      <c r="EF2059" s="4"/>
      <c r="EG2059" s="4"/>
      <c r="EH2059" s="4"/>
      <c r="EI2059" s="4"/>
      <c r="EJ2059" s="4">
        <v>240</v>
      </c>
      <c r="EK2059" s="4"/>
      <c r="EL2059" s="4"/>
      <c r="EM2059" s="4"/>
      <c r="EN2059" s="4"/>
      <c r="EO2059" s="4"/>
      <c r="EP2059" s="4"/>
      <c r="EQ2059" s="4"/>
      <c r="ER2059" s="4"/>
      <c r="ES2059" s="4"/>
      <c r="ET2059" s="4"/>
      <c r="EU2059" s="4"/>
      <c r="EV2059" s="4"/>
      <c r="EW2059" s="4"/>
      <c r="EX2059" s="4"/>
      <c r="EY2059" s="4"/>
      <c r="EZ2059" s="4"/>
      <c r="FA2059" s="4"/>
      <c r="FB2059" s="4"/>
      <c r="FC2059" s="4"/>
      <c r="FD2059" s="4"/>
      <c r="FE2059" s="4"/>
      <c r="FF2059" s="4"/>
      <c r="FG2059" s="4"/>
      <c r="FH2059" s="4"/>
      <c r="FI2059" s="4"/>
      <c r="FJ2059" s="4"/>
      <c r="FK2059" s="4"/>
      <c r="FL2059" s="4"/>
      <c r="FM2059" s="4"/>
      <c r="FN2059" s="4"/>
      <c r="FO2059" s="4"/>
      <c r="FP2059" s="4"/>
      <c r="FQ2059" s="4"/>
      <c r="FR2059" s="4"/>
      <c r="FS2059" s="4"/>
      <c r="FT2059" s="4"/>
      <c r="FU2059" s="4"/>
      <c r="FV2059" s="4"/>
      <c r="FW2059" s="4"/>
      <c r="FX2059" s="4"/>
      <c r="FY2059" s="4"/>
      <c r="FZ2059" s="4"/>
      <c r="GA2059" s="4"/>
      <c r="GB2059" s="4"/>
      <c r="GC2059" s="4"/>
      <c r="GD2059" s="4"/>
      <c r="GE2059" s="4"/>
      <c r="GF2059" s="4"/>
      <c r="GG2059" s="4"/>
      <c r="GH2059" s="4"/>
      <c r="GI2059" s="4"/>
      <c r="GJ2059" s="4"/>
      <c r="GK2059" s="4"/>
      <c r="GL2059" s="4"/>
      <c r="GM2059" s="4"/>
      <c r="GN2059" s="4"/>
      <c r="GO2059" s="4"/>
      <c r="GP2059" s="4"/>
      <c r="GQ2059" s="4"/>
      <c r="GR2059" s="4"/>
      <c r="GS2059" s="4"/>
      <c r="GT2059" s="4"/>
      <c r="GU2059" s="4"/>
      <c r="GV2059" s="4"/>
      <c r="GW2059" s="4"/>
      <c r="GX2059" s="4"/>
      <c r="GY2059" s="4"/>
      <c r="GZ2059" s="4"/>
      <c r="HA2059" s="4"/>
      <c r="HB2059" s="4"/>
      <c r="HC2059" s="4"/>
      <c r="HD2059" s="4"/>
      <c r="HE2059" s="4"/>
    </row>
    <row r="2060">
      <c r="A2060" s="2" t="s">
        <v>9916</v>
      </c>
      <c r="B2060" s="2" t="s">
        <v>299</v>
      </c>
      <c r="C2060" s="2" t="s">
        <v>345</v>
      </c>
      <c r="D2060" s="2" t="s">
        <v>301</v>
      </c>
      <c r="E2060" s="2" t="s">
        <v>302</v>
      </c>
      <c r="F2060" s="2" t="s">
        <v>9411</v>
      </c>
      <c r="G2060" s="2" t="s">
        <v>9411</v>
      </c>
      <c r="H2060" s="2" t="s">
        <v>9411</v>
      </c>
      <c r="I2060" s="2" t="s">
        <v>9903</v>
      </c>
      <c r="J2060" s="2" t="s">
        <v>312</v>
      </c>
      <c r="K2060" s="2" t="s">
        <v>265</v>
      </c>
      <c r="L2060" s="3">
        <v>19.17</v>
      </c>
      <c r="M2060" s="3">
        <v>20.13</v>
      </c>
      <c r="N2060" s="3">
        <v>42.99</v>
      </c>
      <c r="O2060" s="2" t="s">
        <v>240</v>
      </c>
      <c r="P2060" s="2" t="s">
        <v>233</v>
      </c>
      <c r="Q2060" s="2" t="s">
        <v>234</v>
      </c>
      <c r="R2060" s="2" t="s">
        <v>228</v>
      </c>
      <c r="S2060" s="2" t="s">
        <v>9909</v>
      </c>
      <c r="T2060" s="2" t="s">
        <v>9411</v>
      </c>
      <c r="U2060" s="2" t="s">
        <v>1054</v>
      </c>
      <c r="V2060" s="2" t="s">
        <v>236</v>
      </c>
      <c r="W2060" s="2" t="s">
        <v>269</v>
      </c>
      <c r="X2060" s="2" t="s">
        <v>417</v>
      </c>
      <c r="Y2060" s="2" t="s">
        <v>1996</v>
      </c>
      <c r="Z2060" s="4">
        <v>180</v>
      </c>
      <c r="AA2060" s="4">
        <f>=ROUNDDOWN(20,0)</f>
      </c>
      <c r="AB2060" s="5">
        <v>9</v>
      </c>
      <c r="AC2060" s="2" t="s">
        <v>9905</v>
      </c>
      <c r="AD2060" s="4">
        <v>60</v>
      </c>
      <c r="AE2060" s="4">
        <v>110</v>
      </c>
      <c r="AF2060" s="6">
        <v>65</v>
      </c>
      <c r="AG2060" s="6">
        <v>48</v>
      </c>
      <c r="AH2060" s="7">
        <v>1</v>
      </c>
      <c r="AI2060" s="4"/>
      <c r="AJ2060" s="4">
        <f>=ROUNDDOWN({0},0)</f>
      </c>
      <c r="AK2060" s="5"/>
      <c r="AL2060" s="2" t="s">
        <v>228</v>
      </c>
      <c r="AM2060" s="4"/>
      <c r="AN2060" s="4"/>
      <c r="AO2060" s="7"/>
      <c r="AP2060" s="4"/>
      <c r="AQ2060" s="8"/>
      <c r="AR2060" s="4"/>
      <c r="AS2060" s="8"/>
      <c r="AT2060" s="7"/>
      <c r="AU2060" s="7"/>
      <c r="AV2060" s="4" t="s">
        <v>228</v>
      </c>
      <c r="AW2060" s="8" t="s">
        <v>228</v>
      </c>
      <c r="AX2060" s="4" t="s">
        <v>228</v>
      </c>
      <c r="AY2060" s="8" t="s">
        <v>228</v>
      </c>
      <c r="AZ2060" s="7" t="s">
        <v>228</v>
      </c>
      <c r="BA2060" s="7" t="s">
        <v>228</v>
      </c>
      <c r="BB2060" s="7"/>
      <c r="BC2060" s="4" t="s">
        <v>228</v>
      </c>
      <c r="BD2060" s="8" t="s">
        <v>228</v>
      </c>
      <c r="BE2060" s="4" t="s">
        <v>228</v>
      </c>
      <c r="BF2060" s="8" t="s">
        <v>228</v>
      </c>
      <c r="BG2060" s="7" t="s">
        <v>228</v>
      </c>
      <c r="BH2060" s="7" t="s">
        <v>228</v>
      </c>
      <c r="BI2060" s="7"/>
      <c r="BJ2060" s="4"/>
      <c r="BK2060" s="8"/>
      <c r="BL2060" s="2" t="s">
        <v>228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238</v>
      </c>
      <c r="BV2060" s="2" t="s">
        <v>228</v>
      </c>
      <c r="BW2060" s="2" t="s">
        <v>228</v>
      </c>
      <c r="BX2060" s="2" t="s">
        <v>238</v>
      </c>
      <c r="BY2060" s="2" t="s">
        <v>239</v>
      </c>
      <c r="BZ2060" s="2" t="s">
        <v>240</v>
      </c>
      <c r="CA2060" s="2" t="s">
        <v>228</v>
      </c>
      <c r="CB2060" s="2" t="s">
        <v>228</v>
      </c>
      <c r="CC2060" s="2" t="s">
        <v>241</v>
      </c>
      <c r="CD2060" s="2" t="s">
        <v>228</v>
      </c>
      <c r="CE2060" s="4">
        <v>120</v>
      </c>
      <c r="CF2060" s="4"/>
      <c r="CG2060" s="4"/>
      <c r="CH2060" s="4">
        <v>60</v>
      </c>
      <c r="CI2060" s="4"/>
      <c r="CJ2060" s="4"/>
      <c r="CK2060" s="4"/>
      <c r="CL2060" s="4"/>
      <c r="CM2060" s="4"/>
      <c r="CN2060" s="4"/>
      <c r="CO2060" s="4"/>
      <c r="CP2060" s="4"/>
      <c r="CQ2060" s="4"/>
      <c r="CR2060" s="4"/>
      <c r="CS2060" s="4"/>
      <c r="CT2060" s="4"/>
      <c r="CU2060" s="4"/>
      <c r="CV2060" s="4"/>
      <c r="CW2060" s="4"/>
      <c r="CX2060" s="4"/>
      <c r="CY2060" s="4"/>
      <c r="CZ2060" s="4"/>
      <c r="DA2060" s="4"/>
      <c r="DB2060" s="4"/>
      <c r="DC2060" s="4"/>
      <c r="DD2060" s="4"/>
      <c r="DE2060" s="4"/>
      <c r="DF2060" s="4"/>
      <c r="DG2060" s="4"/>
      <c r="DH2060" s="4"/>
      <c r="DI2060" s="4"/>
      <c r="DJ2060" s="4"/>
      <c r="DK2060" s="4"/>
      <c r="DL2060" s="4"/>
      <c r="DM2060" s="4"/>
      <c r="DN2060" s="4"/>
      <c r="DO2060" s="4"/>
      <c r="DP2060" s="4"/>
      <c r="DQ2060" s="4"/>
      <c r="DR2060" s="4"/>
      <c r="DS2060" s="4"/>
      <c r="DT2060" s="4"/>
      <c r="DU2060" s="4"/>
      <c r="DV2060" s="4"/>
      <c r="DW2060" s="4"/>
      <c r="DX2060" s="4"/>
      <c r="DY2060" s="4"/>
      <c r="DZ2060" s="4"/>
      <c r="EA2060" s="4"/>
      <c r="EB2060" s="4">
        <v>60</v>
      </c>
      <c r="EC2060" s="4"/>
      <c r="ED2060" s="4"/>
      <c r="EE2060" s="4"/>
      <c r="EF2060" s="4"/>
      <c r="EG2060" s="4"/>
      <c r="EH2060" s="4"/>
      <c r="EI2060" s="4"/>
      <c r="EJ2060" s="4">
        <v>50</v>
      </c>
      <c r="EK2060" s="4"/>
      <c r="EL2060" s="4"/>
      <c r="EM2060" s="4"/>
      <c r="EN2060" s="4"/>
      <c r="EO2060" s="4"/>
      <c r="EP2060" s="4"/>
      <c r="EQ2060" s="4"/>
      <c r="ER2060" s="4"/>
      <c r="ES2060" s="4"/>
      <c r="ET2060" s="4"/>
      <c r="EU2060" s="4"/>
      <c r="EV2060" s="4"/>
      <c r="EW2060" s="4"/>
      <c r="EX2060" s="4"/>
      <c r="EY2060" s="4"/>
      <c r="EZ2060" s="4"/>
      <c r="FA2060" s="4"/>
      <c r="FB2060" s="4"/>
      <c r="FC2060" s="4"/>
      <c r="FD2060" s="4"/>
      <c r="FE2060" s="4"/>
      <c r="FF2060" s="4"/>
      <c r="FG2060" s="4"/>
      <c r="FH2060" s="4"/>
      <c r="FI2060" s="4"/>
      <c r="FJ2060" s="4"/>
      <c r="FK2060" s="4"/>
      <c r="FL2060" s="4"/>
      <c r="FM2060" s="4"/>
      <c r="FN2060" s="4"/>
      <c r="FO2060" s="4"/>
      <c r="FP2060" s="4"/>
      <c r="FQ2060" s="4"/>
      <c r="FR2060" s="4"/>
      <c r="FS2060" s="4"/>
      <c r="FT2060" s="4"/>
      <c r="FU2060" s="4"/>
      <c r="FV2060" s="4"/>
      <c r="FW2060" s="4"/>
      <c r="FX2060" s="4"/>
      <c r="FY2060" s="4"/>
      <c r="FZ2060" s="4"/>
      <c r="GA2060" s="4"/>
      <c r="GB2060" s="4"/>
      <c r="GC2060" s="4"/>
      <c r="GD2060" s="4"/>
      <c r="GE2060" s="4"/>
      <c r="GF2060" s="4"/>
      <c r="GG2060" s="4"/>
      <c r="GH2060" s="4"/>
      <c r="GI2060" s="4"/>
      <c r="GJ2060" s="4"/>
      <c r="GK2060" s="4"/>
      <c r="GL2060" s="4"/>
      <c r="GM2060" s="4"/>
      <c r="GN2060" s="4"/>
      <c r="GO2060" s="4"/>
      <c r="GP2060" s="4"/>
      <c r="GQ2060" s="4"/>
      <c r="GR2060" s="4"/>
      <c r="GS2060" s="4"/>
      <c r="GT2060" s="4"/>
      <c r="GU2060" s="4"/>
      <c r="GV2060" s="4"/>
      <c r="GW2060" s="4"/>
      <c r="GX2060" s="4"/>
      <c r="GY2060" s="4"/>
      <c r="GZ2060" s="4"/>
      <c r="HA2060" s="4"/>
      <c r="HB2060" s="4"/>
      <c r="HC2060" s="4"/>
      <c r="HD2060" s="4"/>
      <c r="HE2060" s="4"/>
    </row>
    <row r="2061">
      <c r="A2061" s="2" t="s">
        <v>9917</v>
      </c>
      <c r="B2061" s="2" t="s">
        <v>299</v>
      </c>
      <c r="C2061" s="2" t="s">
        <v>345</v>
      </c>
      <c r="D2061" s="2" t="s">
        <v>516</v>
      </c>
      <c r="E2061" s="2" t="s">
        <v>517</v>
      </c>
      <c r="F2061" s="2" t="s">
        <v>9411</v>
      </c>
      <c r="G2061" s="2" t="s">
        <v>9411</v>
      </c>
      <c r="H2061" s="2" t="s">
        <v>9411</v>
      </c>
      <c r="I2061" s="2" t="s">
        <v>9913</v>
      </c>
      <c r="J2061" s="2" t="s">
        <v>7551</v>
      </c>
      <c r="K2061" s="2" t="s">
        <v>265</v>
      </c>
      <c r="L2061" s="3">
        <v>5.35</v>
      </c>
      <c r="M2061" s="3">
        <v>5.62</v>
      </c>
      <c r="N2061" s="3">
        <v>11.99</v>
      </c>
      <c r="O2061" s="2" t="s">
        <v>240</v>
      </c>
      <c r="P2061" s="2" t="s">
        <v>233</v>
      </c>
      <c r="Q2061" s="2" t="s">
        <v>234</v>
      </c>
      <c r="R2061" s="2" t="s">
        <v>228</v>
      </c>
      <c r="S2061" s="2" t="s">
        <v>9909</v>
      </c>
      <c r="T2061" s="2" t="s">
        <v>9411</v>
      </c>
      <c r="U2061" s="2" t="s">
        <v>520</v>
      </c>
      <c r="V2061" s="2" t="s">
        <v>236</v>
      </c>
      <c r="W2061" s="2" t="s">
        <v>269</v>
      </c>
      <c r="X2061" s="2" t="s">
        <v>417</v>
      </c>
      <c r="Y2061" s="2" t="s">
        <v>9914</v>
      </c>
      <c r="Z2061" s="4">
        <v>888</v>
      </c>
      <c r="AA2061" s="4">
        <f>=ROUNDDOWN(19.7333333333333,0)</f>
      </c>
      <c r="AB2061" s="5">
        <v>45</v>
      </c>
      <c r="AC2061" s="2" t="s">
        <v>9905</v>
      </c>
      <c r="AD2061" s="4">
        <v>296</v>
      </c>
      <c r="AE2061" s="4">
        <v>728</v>
      </c>
      <c r="AF2061" s="6">
        <v>65</v>
      </c>
      <c r="AG2061" s="6">
        <v>48</v>
      </c>
      <c r="AH2061" s="7">
        <v>1</v>
      </c>
      <c r="AI2061" s="4"/>
      <c r="AJ2061" s="4">
        <f>=ROUNDDOWN({0},0)</f>
      </c>
      <c r="AK2061" s="5"/>
      <c r="AL2061" s="2" t="s">
        <v>228</v>
      </c>
      <c r="AM2061" s="4"/>
      <c r="AN2061" s="4"/>
      <c r="AO2061" s="7"/>
      <c r="AP2061" s="4"/>
      <c r="AQ2061" s="8"/>
      <c r="AR2061" s="4"/>
      <c r="AS2061" s="8"/>
      <c r="AT2061" s="7"/>
      <c r="AU2061" s="7"/>
      <c r="AV2061" s="4" t="s">
        <v>228</v>
      </c>
      <c r="AW2061" s="8" t="s">
        <v>228</v>
      </c>
      <c r="AX2061" s="4" t="s">
        <v>228</v>
      </c>
      <c r="AY2061" s="8" t="s">
        <v>228</v>
      </c>
      <c r="AZ2061" s="7" t="s">
        <v>228</v>
      </c>
      <c r="BA2061" s="7" t="s">
        <v>228</v>
      </c>
      <c r="BB2061" s="7"/>
      <c r="BC2061" s="4" t="s">
        <v>228</v>
      </c>
      <c r="BD2061" s="8" t="s">
        <v>228</v>
      </c>
      <c r="BE2061" s="4" t="s">
        <v>228</v>
      </c>
      <c r="BF2061" s="8" t="s">
        <v>228</v>
      </c>
      <c r="BG2061" s="7" t="s">
        <v>228</v>
      </c>
      <c r="BH2061" s="7" t="s">
        <v>228</v>
      </c>
      <c r="BI2061" s="7"/>
      <c r="BJ2061" s="4"/>
      <c r="BK2061" s="8"/>
      <c r="BL2061" s="2" t="s">
        <v>228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238</v>
      </c>
      <c r="BV2061" s="2" t="s">
        <v>228</v>
      </c>
      <c r="BW2061" s="2" t="s">
        <v>228</v>
      </c>
      <c r="BX2061" s="2" t="s">
        <v>238</v>
      </c>
      <c r="BY2061" s="2" t="s">
        <v>239</v>
      </c>
      <c r="BZ2061" s="2" t="s">
        <v>240</v>
      </c>
      <c r="CA2061" s="2" t="s">
        <v>228</v>
      </c>
      <c r="CB2061" s="2" t="s">
        <v>228</v>
      </c>
      <c r="CC2061" s="2" t="s">
        <v>241</v>
      </c>
      <c r="CD2061" s="2" t="s">
        <v>228</v>
      </c>
      <c r="CE2061" s="4">
        <v>592</v>
      </c>
      <c r="CF2061" s="4"/>
      <c r="CG2061" s="4"/>
      <c r="CH2061" s="4">
        <v>296</v>
      </c>
      <c r="CI2061" s="4"/>
      <c r="CJ2061" s="4"/>
      <c r="CK2061" s="4"/>
      <c r="CL2061" s="4"/>
      <c r="CM2061" s="4"/>
      <c r="CN2061" s="4"/>
      <c r="CO2061" s="4"/>
      <c r="CP2061" s="4"/>
      <c r="CQ2061" s="4"/>
      <c r="CR2061" s="4"/>
      <c r="CS2061" s="4"/>
      <c r="CT2061" s="4"/>
      <c r="CU2061" s="4"/>
      <c r="CV2061" s="4"/>
      <c r="CW2061" s="4"/>
      <c r="CX2061" s="4"/>
      <c r="CY2061" s="4"/>
      <c r="CZ2061" s="4"/>
      <c r="DA2061" s="4"/>
      <c r="DB2061" s="4"/>
      <c r="DC2061" s="4"/>
      <c r="DD2061" s="4"/>
      <c r="DE2061" s="4"/>
      <c r="DF2061" s="4"/>
      <c r="DG2061" s="4"/>
      <c r="DH2061" s="4"/>
      <c r="DI2061" s="4"/>
      <c r="DJ2061" s="4"/>
      <c r="DK2061" s="4"/>
      <c r="DL2061" s="4"/>
      <c r="DM2061" s="4"/>
      <c r="DN2061" s="4"/>
      <c r="DO2061" s="4"/>
      <c r="DP2061" s="4"/>
      <c r="DQ2061" s="4"/>
      <c r="DR2061" s="4"/>
      <c r="DS2061" s="4"/>
      <c r="DT2061" s="4"/>
      <c r="DU2061" s="4"/>
      <c r="DV2061" s="4"/>
      <c r="DW2061" s="4"/>
      <c r="DX2061" s="4"/>
      <c r="DY2061" s="4"/>
      <c r="DZ2061" s="4"/>
      <c r="EA2061" s="4"/>
      <c r="EB2061" s="4">
        <v>296</v>
      </c>
      <c r="EC2061" s="4"/>
      <c r="ED2061" s="4"/>
      <c r="EE2061" s="4"/>
      <c r="EF2061" s="4"/>
      <c r="EG2061" s="4"/>
      <c r="EH2061" s="4"/>
      <c r="EI2061" s="4"/>
      <c r="EJ2061" s="4">
        <v>432</v>
      </c>
      <c r="EK2061" s="4"/>
      <c r="EL2061" s="4"/>
      <c r="EM2061" s="4"/>
      <c r="EN2061" s="4"/>
      <c r="EO2061" s="4"/>
      <c r="EP2061" s="4"/>
      <c r="EQ2061" s="4"/>
      <c r="ER2061" s="4"/>
      <c r="ES2061" s="4"/>
      <c r="ET2061" s="4"/>
      <c r="EU2061" s="4"/>
      <c r="EV2061" s="4"/>
      <c r="EW2061" s="4"/>
      <c r="EX2061" s="4"/>
      <c r="EY2061" s="4"/>
      <c r="EZ2061" s="4"/>
      <c r="FA2061" s="4"/>
      <c r="FB2061" s="4"/>
      <c r="FC2061" s="4"/>
      <c r="FD2061" s="4"/>
      <c r="FE2061" s="4"/>
      <c r="FF2061" s="4"/>
      <c r="FG2061" s="4"/>
      <c r="FH2061" s="4"/>
      <c r="FI2061" s="4"/>
      <c r="FJ2061" s="4"/>
      <c r="FK2061" s="4"/>
      <c r="FL2061" s="4"/>
      <c r="FM2061" s="4"/>
      <c r="FN2061" s="4"/>
      <c r="FO2061" s="4"/>
      <c r="FP2061" s="4"/>
      <c r="FQ2061" s="4"/>
      <c r="FR2061" s="4"/>
      <c r="FS2061" s="4"/>
      <c r="FT2061" s="4"/>
      <c r="FU2061" s="4"/>
      <c r="FV2061" s="4"/>
      <c r="FW2061" s="4"/>
      <c r="FX2061" s="4"/>
      <c r="FY2061" s="4"/>
      <c r="FZ2061" s="4"/>
      <c r="GA2061" s="4"/>
      <c r="GB2061" s="4"/>
      <c r="GC2061" s="4"/>
      <c r="GD2061" s="4"/>
      <c r="GE2061" s="4"/>
      <c r="GF2061" s="4"/>
      <c r="GG2061" s="4"/>
      <c r="GH2061" s="4"/>
      <c r="GI2061" s="4"/>
      <c r="GJ2061" s="4"/>
      <c r="GK2061" s="4"/>
      <c r="GL2061" s="4"/>
      <c r="GM2061" s="4"/>
      <c r="GN2061" s="4"/>
      <c r="GO2061" s="4"/>
      <c r="GP2061" s="4"/>
      <c r="GQ2061" s="4"/>
      <c r="GR2061" s="4"/>
      <c r="GS2061" s="4"/>
      <c r="GT2061" s="4"/>
      <c r="GU2061" s="4"/>
      <c r="GV2061" s="4"/>
      <c r="GW2061" s="4"/>
      <c r="GX2061" s="4"/>
      <c r="GY2061" s="4"/>
      <c r="GZ2061" s="4"/>
      <c r="HA2061" s="4"/>
      <c r="HB2061" s="4"/>
      <c r="HC2061" s="4"/>
      <c r="HD2061" s="4"/>
      <c r="HE2061" s="4"/>
    </row>
    <row r="2062">
      <c r="A2062" s="2" t="s">
        <v>9918</v>
      </c>
      <c r="B2062" s="2" t="s">
        <v>299</v>
      </c>
      <c r="C2062" s="2" t="s">
        <v>345</v>
      </c>
      <c r="D2062" s="2" t="s">
        <v>301</v>
      </c>
      <c r="E2062" s="2" t="s">
        <v>302</v>
      </c>
      <c r="F2062" s="2" t="s">
        <v>9411</v>
      </c>
      <c r="G2062" s="2" t="s">
        <v>9411</v>
      </c>
      <c r="H2062" s="2" t="s">
        <v>9411</v>
      </c>
      <c r="I2062" s="2" t="s">
        <v>9903</v>
      </c>
      <c r="J2062" s="2" t="s">
        <v>264</v>
      </c>
      <c r="K2062" s="2" t="s">
        <v>556</v>
      </c>
      <c r="L2062" s="3">
        <v>12.48</v>
      </c>
      <c r="M2062" s="3">
        <v>13.1</v>
      </c>
      <c r="N2062" s="3">
        <v>27.99</v>
      </c>
      <c r="O2062" s="2" t="s">
        <v>240</v>
      </c>
      <c r="P2062" s="2" t="s">
        <v>233</v>
      </c>
      <c r="Q2062" s="2" t="s">
        <v>234</v>
      </c>
      <c r="R2062" s="2" t="s">
        <v>228</v>
      </c>
      <c r="S2062" s="2" t="s">
        <v>9919</v>
      </c>
      <c r="T2062" s="2" t="s">
        <v>9411</v>
      </c>
      <c r="U2062" s="2" t="s">
        <v>308</v>
      </c>
      <c r="V2062" s="2" t="s">
        <v>236</v>
      </c>
      <c r="W2062" s="2" t="s">
        <v>269</v>
      </c>
      <c r="X2062" s="2" t="s">
        <v>417</v>
      </c>
      <c r="Y2062" s="2" t="s">
        <v>1994</v>
      </c>
      <c r="Z2062" s="4">
        <v>1109</v>
      </c>
      <c r="AA2062" s="4">
        <f>=ROUNDDOWN(19.8035714285714,0)</f>
      </c>
      <c r="AB2062" s="5">
        <v>56</v>
      </c>
      <c r="AC2062" s="2" t="s">
        <v>9905</v>
      </c>
      <c r="AD2062" s="4">
        <v>370</v>
      </c>
      <c r="AE2062" s="4">
        <v>750</v>
      </c>
      <c r="AF2062" s="6">
        <v>65</v>
      </c>
      <c r="AG2062" s="6">
        <v>48</v>
      </c>
      <c r="AH2062" s="7">
        <v>1</v>
      </c>
      <c r="AI2062" s="4"/>
      <c r="AJ2062" s="4">
        <f>=ROUNDDOWN({0},0)</f>
      </c>
      <c r="AK2062" s="5"/>
      <c r="AL2062" s="2" t="s">
        <v>228</v>
      </c>
      <c r="AM2062" s="4"/>
      <c r="AN2062" s="4"/>
      <c r="AO2062" s="7"/>
      <c r="AP2062" s="4"/>
      <c r="AQ2062" s="8"/>
      <c r="AR2062" s="4"/>
      <c r="AS2062" s="8"/>
      <c r="AT2062" s="7"/>
      <c r="AU2062" s="7"/>
      <c r="AV2062" s="4"/>
      <c r="AW2062" s="8"/>
      <c r="AX2062" s="4"/>
      <c r="AY2062" s="8"/>
      <c r="AZ2062" s="7"/>
      <c r="BA2062" s="7"/>
      <c r="BB2062" s="7"/>
      <c r="BC2062" s="4" t="s">
        <v>228</v>
      </c>
      <c r="BD2062" s="8" t="s">
        <v>228</v>
      </c>
      <c r="BE2062" s="4" t="s">
        <v>228</v>
      </c>
      <c r="BF2062" s="8" t="s">
        <v>228</v>
      </c>
      <c r="BG2062" s="7" t="s">
        <v>228</v>
      </c>
      <c r="BH2062" s="7" t="s">
        <v>228</v>
      </c>
      <c r="BI2062" s="7"/>
      <c r="BJ2062" s="4">
        <v>1</v>
      </c>
      <c r="BK2062" s="8">
        <v>33.83</v>
      </c>
      <c r="BL2062" s="2" t="s">
        <v>7807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238</v>
      </c>
      <c r="BV2062" s="2" t="s">
        <v>228</v>
      </c>
      <c r="BW2062" s="2" t="s">
        <v>228</v>
      </c>
      <c r="BX2062" s="2" t="s">
        <v>238</v>
      </c>
      <c r="BY2062" s="2" t="s">
        <v>239</v>
      </c>
      <c r="BZ2062" s="2" t="s">
        <v>240</v>
      </c>
      <c r="CA2062" s="2" t="s">
        <v>228</v>
      </c>
      <c r="CB2062" s="2" t="s">
        <v>228</v>
      </c>
      <c r="CC2062" s="2" t="s">
        <v>241</v>
      </c>
      <c r="CD2062" s="2" t="s">
        <v>228</v>
      </c>
      <c r="CE2062" s="4">
        <v>740</v>
      </c>
      <c r="CF2062" s="4"/>
      <c r="CG2062" s="4"/>
      <c r="CH2062" s="4">
        <v>369</v>
      </c>
      <c r="CI2062" s="4"/>
      <c r="CJ2062" s="4"/>
      <c r="CK2062" s="4"/>
      <c r="CL2062" s="4"/>
      <c r="CM2062" s="4"/>
      <c r="CN2062" s="4"/>
      <c r="CO2062" s="4"/>
      <c r="CP2062" s="4"/>
      <c r="CQ2062" s="4"/>
      <c r="CR2062" s="4"/>
      <c r="CS2062" s="4"/>
      <c r="CT2062" s="4"/>
      <c r="CU2062" s="4"/>
      <c r="CV2062" s="4"/>
      <c r="CW2062" s="4"/>
      <c r="CX2062" s="4"/>
      <c r="CY2062" s="4"/>
      <c r="CZ2062" s="4"/>
      <c r="DA2062" s="4"/>
      <c r="DB2062" s="4"/>
      <c r="DC2062" s="4"/>
      <c r="DD2062" s="4"/>
      <c r="DE2062" s="4"/>
      <c r="DF2062" s="4"/>
      <c r="DG2062" s="4"/>
      <c r="DH2062" s="4"/>
      <c r="DI2062" s="4"/>
      <c r="DJ2062" s="4"/>
      <c r="DK2062" s="4"/>
      <c r="DL2062" s="4"/>
      <c r="DM2062" s="4"/>
      <c r="DN2062" s="4"/>
      <c r="DO2062" s="4"/>
      <c r="DP2062" s="4"/>
      <c r="DQ2062" s="4"/>
      <c r="DR2062" s="4"/>
      <c r="DS2062" s="4"/>
      <c r="DT2062" s="4"/>
      <c r="DU2062" s="4"/>
      <c r="DV2062" s="4"/>
      <c r="DW2062" s="4"/>
      <c r="DX2062" s="4"/>
      <c r="DY2062" s="4"/>
      <c r="DZ2062" s="4"/>
      <c r="EA2062" s="4"/>
      <c r="EB2062" s="4">
        <v>370</v>
      </c>
      <c r="EC2062" s="4"/>
      <c r="ED2062" s="4"/>
      <c r="EE2062" s="4"/>
      <c r="EF2062" s="4"/>
      <c r="EG2062" s="4"/>
      <c r="EH2062" s="4"/>
      <c r="EI2062" s="4"/>
      <c r="EJ2062" s="4">
        <v>380</v>
      </c>
      <c r="EK2062" s="4"/>
      <c r="EL2062" s="4"/>
      <c r="EM2062" s="4"/>
      <c r="EN2062" s="4"/>
      <c r="EO2062" s="4"/>
      <c r="EP2062" s="4"/>
      <c r="EQ2062" s="4"/>
      <c r="ER2062" s="4"/>
      <c r="ES2062" s="4"/>
      <c r="ET2062" s="4"/>
      <c r="EU2062" s="4"/>
      <c r="EV2062" s="4"/>
      <c r="EW2062" s="4"/>
      <c r="EX2062" s="4"/>
      <c r="EY2062" s="4"/>
      <c r="EZ2062" s="4"/>
      <c r="FA2062" s="4"/>
      <c r="FB2062" s="4"/>
      <c r="FC2062" s="4"/>
      <c r="FD2062" s="4"/>
      <c r="FE2062" s="4"/>
      <c r="FF2062" s="4"/>
      <c r="FG2062" s="4"/>
      <c r="FH2062" s="4"/>
      <c r="FI2062" s="4"/>
      <c r="FJ2062" s="4"/>
      <c r="FK2062" s="4"/>
      <c r="FL2062" s="4"/>
      <c r="FM2062" s="4"/>
      <c r="FN2062" s="4"/>
      <c r="FO2062" s="4"/>
      <c r="FP2062" s="4"/>
      <c r="FQ2062" s="4"/>
      <c r="FR2062" s="4"/>
      <c r="FS2062" s="4"/>
      <c r="FT2062" s="4"/>
      <c r="FU2062" s="4"/>
      <c r="FV2062" s="4"/>
      <c r="FW2062" s="4"/>
      <c r="FX2062" s="4"/>
      <c r="FY2062" s="4"/>
      <c r="FZ2062" s="4"/>
      <c r="GA2062" s="4"/>
      <c r="GB2062" s="4"/>
      <c r="GC2062" s="4"/>
      <c r="GD2062" s="4"/>
      <c r="GE2062" s="4"/>
      <c r="GF2062" s="4"/>
      <c r="GG2062" s="4"/>
      <c r="GH2062" s="4"/>
      <c r="GI2062" s="4"/>
      <c r="GJ2062" s="4"/>
      <c r="GK2062" s="4"/>
      <c r="GL2062" s="4"/>
      <c r="GM2062" s="4"/>
      <c r="GN2062" s="4"/>
      <c r="GO2062" s="4"/>
      <c r="GP2062" s="4"/>
      <c r="GQ2062" s="4"/>
      <c r="GR2062" s="4"/>
      <c r="GS2062" s="4"/>
      <c r="GT2062" s="4"/>
      <c r="GU2062" s="4"/>
      <c r="GV2062" s="4"/>
      <c r="GW2062" s="4"/>
      <c r="GX2062" s="4"/>
      <c r="GY2062" s="4"/>
      <c r="GZ2062" s="4"/>
      <c r="HA2062" s="4"/>
      <c r="HB2062" s="4"/>
      <c r="HC2062" s="4"/>
      <c r="HD2062" s="4"/>
      <c r="HE2062" s="4"/>
    </row>
    <row r="2063">
      <c r="A2063" s="2" t="s">
        <v>9920</v>
      </c>
      <c r="B2063" s="2" t="s">
        <v>299</v>
      </c>
      <c r="C2063" s="2" t="s">
        <v>345</v>
      </c>
      <c r="D2063" s="2" t="s">
        <v>301</v>
      </c>
      <c r="E2063" s="2" t="s">
        <v>302</v>
      </c>
      <c r="F2063" s="2" t="s">
        <v>9411</v>
      </c>
      <c r="G2063" s="2" t="s">
        <v>9411</v>
      </c>
      <c r="H2063" s="2" t="s">
        <v>9411</v>
      </c>
      <c r="I2063" s="2" t="s">
        <v>9903</v>
      </c>
      <c r="J2063" s="2" t="s">
        <v>264</v>
      </c>
      <c r="K2063" s="2" t="s">
        <v>1967</v>
      </c>
      <c r="L2063" s="3">
        <v>12.48</v>
      </c>
      <c r="M2063" s="3">
        <v>13.1</v>
      </c>
      <c r="N2063" s="3">
        <v>27.99</v>
      </c>
      <c r="O2063" s="2" t="s">
        <v>240</v>
      </c>
      <c r="P2063" s="2" t="s">
        <v>233</v>
      </c>
      <c r="Q2063" s="2" t="s">
        <v>234</v>
      </c>
      <c r="R2063" s="2" t="s">
        <v>228</v>
      </c>
      <c r="S2063" s="2" t="s">
        <v>9921</v>
      </c>
      <c r="T2063" s="2" t="s">
        <v>9411</v>
      </c>
      <c r="U2063" s="2" t="s">
        <v>308</v>
      </c>
      <c r="V2063" s="2" t="s">
        <v>236</v>
      </c>
      <c r="W2063" s="2" t="s">
        <v>269</v>
      </c>
      <c r="X2063" s="2" t="s">
        <v>417</v>
      </c>
      <c r="Y2063" s="2" t="s">
        <v>1996</v>
      </c>
      <c r="Z2063" s="4">
        <v>298</v>
      </c>
      <c r="AA2063" s="4">
        <f>=ROUNDDOWN(17.5294117647059,0)</f>
      </c>
      <c r="AB2063" s="5">
        <v>17</v>
      </c>
      <c r="AC2063" s="2" t="s">
        <v>9905</v>
      </c>
      <c r="AD2063" s="4">
        <v>100</v>
      </c>
      <c r="AE2063" s="4">
        <v>250</v>
      </c>
      <c r="AF2063" s="6">
        <v>65</v>
      </c>
      <c r="AG2063" s="6">
        <v>48</v>
      </c>
      <c r="AH2063" s="7">
        <v>1</v>
      </c>
      <c r="AI2063" s="4"/>
      <c r="AJ2063" s="4">
        <f>=ROUNDDOWN({0},0)</f>
      </c>
      <c r="AK2063" s="5"/>
      <c r="AL2063" s="2" t="s">
        <v>228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 t="s">
        <v>228</v>
      </c>
      <c r="AW2063" s="8" t="s">
        <v>228</v>
      </c>
      <c r="AX2063" s="4" t="s">
        <v>228</v>
      </c>
      <c r="AY2063" s="8" t="s">
        <v>228</v>
      </c>
      <c r="AZ2063" s="7" t="s">
        <v>228</v>
      </c>
      <c r="BA2063" s="7" t="s">
        <v>228</v>
      </c>
      <c r="BB2063" s="7"/>
      <c r="BC2063" s="4" t="s">
        <v>228</v>
      </c>
      <c r="BD2063" s="8" t="s">
        <v>228</v>
      </c>
      <c r="BE2063" s="4" t="s">
        <v>228</v>
      </c>
      <c r="BF2063" s="8" t="s">
        <v>228</v>
      </c>
      <c r="BG2063" s="7" t="s">
        <v>228</v>
      </c>
      <c r="BH2063" s="7" t="s">
        <v>228</v>
      </c>
      <c r="BI2063" s="7"/>
      <c r="BJ2063" s="4">
        <v>1</v>
      </c>
      <c r="BK2063" s="8">
        <v>33.83</v>
      </c>
      <c r="BL2063" s="2" t="s">
        <v>7807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238</v>
      </c>
      <c r="BV2063" s="2" t="s">
        <v>228</v>
      </c>
      <c r="BW2063" s="2" t="s">
        <v>228</v>
      </c>
      <c r="BX2063" s="2" t="s">
        <v>238</v>
      </c>
      <c r="BY2063" s="2" t="s">
        <v>239</v>
      </c>
      <c r="BZ2063" s="2" t="s">
        <v>240</v>
      </c>
      <c r="CA2063" s="2" t="s">
        <v>228</v>
      </c>
      <c r="CB2063" s="2" t="s">
        <v>228</v>
      </c>
      <c r="CC2063" s="2" t="s">
        <v>241</v>
      </c>
      <c r="CD2063" s="2" t="s">
        <v>228</v>
      </c>
      <c r="CE2063" s="4">
        <v>198</v>
      </c>
      <c r="CF2063" s="4"/>
      <c r="CG2063" s="4"/>
      <c r="CH2063" s="4">
        <v>100</v>
      </c>
      <c r="CI2063" s="4"/>
      <c r="CJ2063" s="4"/>
      <c r="CK2063" s="4"/>
      <c r="CL2063" s="4"/>
      <c r="CM2063" s="4"/>
      <c r="CN2063" s="4"/>
      <c r="CO2063" s="4"/>
      <c r="CP2063" s="4"/>
      <c r="CQ2063" s="4"/>
      <c r="CR2063" s="4"/>
      <c r="CS2063" s="4"/>
      <c r="CT2063" s="4"/>
      <c r="CU2063" s="4"/>
      <c r="CV2063" s="4"/>
      <c r="CW2063" s="4"/>
      <c r="CX2063" s="4"/>
      <c r="CY2063" s="4"/>
      <c r="CZ2063" s="4"/>
      <c r="DA2063" s="4"/>
      <c r="DB2063" s="4"/>
      <c r="DC2063" s="4"/>
      <c r="DD2063" s="4"/>
      <c r="DE2063" s="4"/>
      <c r="DF2063" s="4"/>
      <c r="DG2063" s="4"/>
      <c r="DH2063" s="4"/>
      <c r="DI2063" s="4"/>
      <c r="DJ2063" s="4"/>
      <c r="DK2063" s="4"/>
      <c r="DL2063" s="4"/>
      <c r="DM2063" s="4"/>
      <c r="DN2063" s="4"/>
      <c r="DO2063" s="4"/>
      <c r="DP2063" s="4"/>
      <c r="DQ2063" s="4"/>
      <c r="DR2063" s="4"/>
      <c r="DS2063" s="4"/>
      <c r="DT2063" s="4"/>
      <c r="DU2063" s="4"/>
      <c r="DV2063" s="4"/>
      <c r="DW2063" s="4"/>
      <c r="DX2063" s="4"/>
      <c r="DY2063" s="4"/>
      <c r="DZ2063" s="4"/>
      <c r="EA2063" s="4"/>
      <c r="EB2063" s="4">
        <v>100</v>
      </c>
      <c r="EC2063" s="4"/>
      <c r="ED2063" s="4"/>
      <c r="EE2063" s="4"/>
      <c r="EF2063" s="4"/>
      <c r="EG2063" s="4"/>
      <c r="EH2063" s="4"/>
      <c r="EI2063" s="4"/>
      <c r="EJ2063" s="4">
        <v>150</v>
      </c>
      <c r="EK2063" s="4"/>
      <c r="EL2063" s="4"/>
      <c r="EM2063" s="4"/>
      <c r="EN2063" s="4"/>
      <c r="EO2063" s="4"/>
      <c r="EP2063" s="4"/>
      <c r="EQ2063" s="4"/>
      <c r="ER2063" s="4"/>
      <c r="ES2063" s="4"/>
      <c r="ET2063" s="4"/>
      <c r="EU2063" s="4"/>
      <c r="EV2063" s="4"/>
      <c r="EW2063" s="4"/>
      <c r="EX2063" s="4"/>
      <c r="EY2063" s="4"/>
      <c r="EZ2063" s="4"/>
      <c r="FA2063" s="4"/>
      <c r="FB2063" s="4"/>
      <c r="FC2063" s="4"/>
      <c r="FD2063" s="4"/>
      <c r="FE2063" s="4"/>
      <c r="FF2063" s="4"/>
      <c r="FG2063" s="4"/>
      <c r="FH2063" s="4"/>
      <c r="FI2063" s="4"/>
      <c r="FJ2063" s="4"/>
      <c r="FK2063" s="4"/>
      <c r="FL2063" s="4"/>
      <c r="FM2063" s="4"/>
      <c r="FN2063" s="4"/>
      <c r="FO2063" s="4"/>
      <c r="FP2063" s="4"/>
      <c r="FQ2063" s="4"/>
      <c r="FR2063" s="4"/>
      <c r="FS2063" s="4"/>
      <c r="FT2063" s="4"/>
      <c r="FU2063" s="4"/>
      <c r="FV2063" s="4"/>
      <c r="FW2063" s="4"/>
      <c r="FX2063" s="4"/>
      <c r="FY2063" s="4"/>
      <c r="FZ2063" s="4"/>
      <c r="GA2063" s="4"/>
      <c r="GB2063" s="4"/>
      <c r="GC2063" s="4"/>
      <c r="GD2063" s="4"/>
      <c r="GE2063" s="4"/>
      <c r="GF2063" s="4"/>
      <c r="GG2063" s="4"/>
      <c r="GH2063" s="4"/>
      <c r="GI2063" s="4"/>
      <c r="GJ2063" s="4"/>
      <c r="GK2063" s="4"/>
      <c r="GL2063" s="4"/>
      <c r="GM2063" s="4"/>
      <c r="GN2063" s="4"/>
      <c r="GO2063" s="4"/>
      <c r="GP2063" s="4"/>
      <c r="GQ2063" s="4"/>
      <c r="GR2063" s="4"/>
      <c r="GS2063" s="4"/>
      <c r="GT2063" s="4"/>
      <c r="GU2063" s="4"/>
      <c r="GV2063" s="4"/>
      <c r="GW2063" s="4"/>
      <c r="GX2063" s="4"/>
      <c r="GY2063" s="4"/>
      <c r="GZ2063" s="4"/>
      <c r="HA2063" s="4"/>
      <c r="HB2063" s="4"/>
      <c r="HC2063" s="4"/>
      <c r="HD2063" s="4"/>
      <c r="HE2063" s="4"/>
    </row>
    <row r="2064">
      <c r="A2064" s="2" t="s">
        <v>9922</v>
      </c>
      <c r="B2064" s="2" t="s">
        <v>299</v>
      </c>
      <c r="C2064" s="2" t="s">
        <v>345</v>
      </c>
      <c r="D2064" s="2" t="s">
        <v>301</v>
      </c>
      <c r="E2064" s="2" t="s">
        <v>302</v>
      </c>
      <c r="F2064" s="2" t="s">
        <v>9411</v>
      </c>
      <c r="G2064" s="2" t="s">
        <v>9411</v>
      </c>
      <c r="H2064" s="2" t="s">
        <v>9411</v>
      </c>
      <c r="I2064" s="2" t="s">
        <v>9903</v>
      </c>
      <c r="J2064" s="2" t="s">
        <v>284</v>
      </c>
      <c r="K2064" s="2" t="s">
        <v>1967</v>
      </c>
      <c r="L2064" s="3">
        <v>14.71</v>
      </c>
      <c r="M2064" s="3">
        <v>15.45</v>
      </c>
      <c r="N2064" s="3">
        <v>32.99</v>
      </c>
      <c r="O2064" s="2" t="s">
        <v>240</v>
      </c>
      <c r="P2064" s="2" t="s">
        <v>233</v>
      </c>
      <c r="Q2064" s="2" t="s">
        <v>234</v>
      </c>
      <c r="R2064" s="2" t="s">
        <v>228</v>
      </c>
      <c r="S2064" s="2" t="s">
        <v>9921</v>
      </c>
      <c r="T2064" s="2" t="s">
        <v>9411</v>
      </c>
      <c r="U2064" s="2" t="s">
        <v>1054</v>
      </c>
      <c r="V2064" s="2" t="s">
        <v>236</v>
      </c>
      <c r="W2064" s="2" t="s">
        <v>269</v>
      </c>
      <c r="X2064" s="2" t="s">
        <v>417</v>
      </c>
      <c r="Y2064" s="2" t="s">
        <v>9914</v>
      </c>
      <c r="Z2064" s="4">
        <v>390</v>
      </c>
      <c r="AA2064" s="4">
        <f>=ROUNDDOWN(19.5,0)</f>
      </c>
      <c r="AB2064" s="5">
        <v>20</v>
      </c>
      <c r="AC2064" s="2" t="s">
        <v>9905</v>
      </c>
      <c r="AD2064" s="4">
        <v>130</v>
      </c>
      <c r="AE2064" s="4">
        <v>290</v>
      </c>
      <c r="AF2064" s="6">
        <v>65</v>
      </c>
      <c r="AG2064" s="6">
        <v>48</v>
      </c>
      <c r="AH2064" s="7">
        <v>1</v>
      </c>
      <c r="AI2064" s="4"/>
      <c r="AJ2064" s="4">
        <f>=ROUNDDOWN({0},0)</f>
      </c>
      <c r="AK2064" s="5"/>
      <c r="AL2064" s="2" t="s">
        <v>228</v>
      </c>
      <c r="AM2064" s="4"/>
      <c r="AN2064" s="4"/>
      <c r="AO2064" s="7"/>
      <c r="AP2064" s="4"/>
      <c r="AQ2064" s="8"/>
      <c r="AR2064" s="4"/>
      <c r="AS2064" s="8"/>
      <c r="AT2064" s="7"/>
      <c r="AU2064" s="7"/>
      <c r="AV2064" s="4" t="s">
        <v>228</v>
      </c>
      <c r="AW2064" s="8" t="s">
        <v>228</v>
      </c>
      <c r="AX2064" s="4" t="s">
        <v>228</v>
      </c>
      <c r="AY2064" s="8" t="s">
        <v>228</v>
      </c>
      <c r="AZ2064" s="7" t="s">
        <v>228</v>
      </c>
      <c r="BA2064" s="7" t="s">
        <v>228</v>
      </c>
      <c r="BB2064" s="7"/>
      <c r="BC2064" s="4" t="s">
        <v>228</v>
      </c>
      <c r="BD2064" s="8" t="s">
        <v>228</v>
      </c>
      <c r="BE2064" s="4" t="s">
        <v>228</v>
      </c>
      <c r="BF2064" s="8" t="s">
        <v>228</v>
      </c>
      <c r="BG2064" s="7" t="s">
        <v>228</v>
      </c>
      <c r="BH2064" s="7" t="s">
        <v>228</v>
      </c>
      <c r="BI2064" s="7"/>
      <c r="BJ2064" s="4"/>
      <c r="BK2064" s="8"/>
      <c r="BL2064" s="2" t="s">
        <v>228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238</v>
      </c>
      <c r="BV2064" s="2" t="s">
        <v>228</v>
      </c>
      <c r="BW2064" s="2" t="s">
        <v>228</v>
      </c>
      <c r="BX2064" s="2" t="s">
        <v>238</v>
      </c>
      <c r="BY2064" s="2" t="s">
        <v>239</v>
      </c>
      <c r="BZ2064" s="2" t="s">
        <v>240</v>
      </c>
      <c r="CA2064" s="2" t="s">
        <v>228</v>
      </c>
      <c r="CB2064" s="2" t="s">
        <v>228</v>
      </c>
      <c r="CC2064" s="2" t="s">
        <v>241</v>
      </c>
      <c r="CD2064" s="2" t="s">
        <v>228</v>
      </c>
      <c r="CE2064" s="4">
        <v>260</v>
      </c>
      <c r="CF2064" s="4"/>
      <c r="CG2064" s="4"/>
      <c r="CH2064" s="4">
        <v>130</v>
      </c>
      <c r="CI2064" s="4"/>
      <c r="CJ2064" s="4"/>
      <c r="CK2064" s="4"/>
      <c r="CL2064" s="4"/>
      <c r="CM2064" s="4"/>
      <c r="CN2064" s="4"/>
      <c r="CO2064" s="4"/>
      <c r="CP2064" s="4"/>
      <c r="CQ2064" s="4"/>
      <c r="CR2064" s="4"/>
      <c r="CS2064" s="4"/>
      <c r="CT2064" s="4"/>
      <c r="CU2064" s="4"/>
      <c r="CV2064" s="4"/>
      <c r="CW2064" s="4"/>
      <c r="CX2064" s="4"/>
      <c r="CY2064" s="4"/>
      <c r="CZ2064" s="4"/>
      <c r="DA2064" s="4"/>
      <c r="DB2064" s="4"/>
      <c r="DC2064" s="4"/>
      <c r="DD2064" s="4"/>
      <c r="DE2064" s="4"/>
      <c r="DF2064" s="4"/>
      <c r="DG2064" s="4"/>
      <c r="DH2064" s="4"/>
      <c r="DI2064" s="4"/>
      <c r="DJ2064" s="4"/>
      <c r="DK2064" s="4"/>
      <c r="DL2064" s="4"/>
      <c r="DM2064" s="4"/>
      <c r="DN2064" s="4"/>
      <c r="DO2064" s="4"/>
      <c r="DP2064" s="4"/>
      <c r="DQ2064" s="4"/>
      <c r="DR2064" s="4"/>
      <c r="DS2064" s="4"/>
      <c r="DT2064" s="4"/>
      <c r="DU2064" s="4"/>
      <c r="DV2064" s="4"/>
      <c r="DW2064" s="4"/>
      <c r="DX2064" s="4"/>
      <c r="DY2064" s="4"/>
      <c r="DZ2064" s="4"/>
      <c r="EA2064" s="4"/>
      <c r="EB2064" s="4">
        <v>130</v>
      </c>
      <c r="EC2064" s="4"/>
      <c r="ED2064" s="4"/>
      <c r="EE2064" s="4"/>
      <c r="EF2064" s="4"/>
      <c r="EG2064" s="4"/>
      <c r="EH2064" s="4"/>
      <c r="EI2064" s="4"/>
      <c r="EJ2064" s="4">
        <v>160</v>
      </c>
      <c r="EK2064" s="4"/>
      <c r="EL2064" s="4"/>
      <c r="EM2064" s="4"/>
      <c r="EN2064" s="4"/>
      <c r="EO2064" s="4"/>
      <c r="EP2064" s="4"/>
      <c r="EQ2064" s="4"/>
      <c r="ER2064" s="4"/>
      <c r="ES2064" s="4"/>
      <c r="ET2064" s="4"/>
      <c r="EU2064" s="4"/>
      <c r="EV2064" s="4"/>
      <c r="EW2064" s="4"/>
      <c r="EX2064" s="4"/>
      <c r="EY2064" s="4"/>
      <c r="EZ2064" s="4"/>
      <c r="FA2064" s="4"/>
      <c r="FB2064" s="4"/>
      <c r="FC2064" s="4"/>
      <c r="FD2064" s="4"/>
      <c r="FE2064" s="4"/>
      <c r="FF2064" s="4"/>
      <c r="FG2064" s="4"/>
      <c r="FH2064" s="4"/>
      <c r="FI2064" s="4"/>
      <c r="FJ2064" s="4"/>
      <c r="FK2064" s="4"/>
      <c r="FL2064" s="4"/>
      <c r="FM2064" s="4"/>
      <c r="FN2064" s="4"/>
      <c r="FO2064" s="4"/>
      <c r="FP2064" s="4"/>
      <c r="FQ2064" s="4"/>
      <c r="FR2064" s="4"/>
      <c r="FS2064" s="4"/>
      <c r="FT2064" s="4"/>
      <c r="FU2064" s="4"/>
      <c r="FV2064" s="4"/>
      <c r="FW2064" s="4"/>
      <c r="FX2064" s="4"/>
      <c r="FY2064" s="4"/>
      <c r="FZ2064" s="4"/>
      <c r="GA2064" s="4"/>
      <c r="GB2064" s="4"/>
      <c r="GC2064" s="4"/>
      <c r="GD2064" s="4"/>
      <c r="GE2064" s="4"/>
      <c r="GF2064" s="4"/>
      <c r="GG2064" s="4"/>
      <c r="GH2064" s="4"/>
      <c r="GI2064" s="4"/>
      <c r="GJ2064" s="4"/>
      <c r="GK2064" s="4"/>
      <c r="GL2064" s="4"/>
      <c r="GM2064" s="4"/>
      <c r="GN2064" s="4"/>
      <c r="GO2064" s="4"/>
      <c r="GP2064" s="4"/>
      <c r="GQ2064" s="4"/>
      <c r="GR2064" s="4"/>
      <c r="GS2064" s="4"/>
      <c r="GT2064" s="4"/>
      <c r="GU2064" s="4"/>
      <c r="GV2064" s="4"/>
      <c r="GW2064" s="4"/>
      <c r="GX2064" s="4"/>
      <c r="GY2064" s="4"/>
      <c r="GZ2064" s="4"/>
      <c r="HA2064" s="4"/>
      <c r="HB2064" s="4"/>
      <c r="HC2064" s="4"/>
      <c r="HD2064" s="4"/>
      <c r="HE2064" s="4"/>
    </row>
    <row r="2065">
      <c r="A2065" s="2" t="s">
        <v>9923</v>
      </c>
      <c r="B2065" s="2" t="s">
        <v>299</v>
      </c>
      <c r="C2065" s="2" t="s">
        <v>345</v>
      </c>
      <c r="D2065" s="2" t="s">
        <v>301</v>
      </c>
      <c r="E2065" s="2" t="s">
        <v>302</v>
      </c>
      <c r="F2065" s="2" t="s">
        <v>9411</v>
      </c>
      <c r="G2065" s="2" t="s">
        <v>9411</v>
      </c>
      <c r="H2065" s="2" t="s">
        <v>9411</v>
      </c>
      <c r="I2065" s="2" t="s">
        <v>9903</v>
      </c>
      <c r="J2065" s="2" t="s">
        <v>289</v>
      </c>
      <c r="K2065" s="2" t="s">
        <v>1967</v>
      </c>
      <c r="L2065" s="3">
        <v>16.94</v>
      </c>
      <c r="M2065" s="3">
        <v>17.79</v>
      </c>
      <c r="N2065" s="3">
        <v>37.99</v>
      </c>
      <c r="O2065" s="2" t="s">
        <v>240</v>
      </c>
      <c r="P2065" s="2" t="s">
        <v>233</v>
      </c>
      <c r="Q2065" s="2" t="s">
        <v>234</v>
      </c>
      <c r="R2065" s="2" t="s">
        <v>228</v>
      </c>
      <c r="S2065" s="2" t="s">
        <v>9921</v>
      </c>
      <c r="T2065" s="2" t="s">
        <v>9411</v>
      </c>
      <c r="U2065" s="2" t="s">
        <v>1054</v>
      </c>
      <c r="V2065" s="2" t="s">
        <v>236</v>
      </c>
      <c r="W2065" s="2" t="s">
        <v>269</v>
      </c>
      <c r="X2065" s="2" t="s">
        <v>417</v>
      </c>
      <c r="Y2065" s="2" t="s">
        <v>1994</v>
      </c>
      <c r="Z2065" s="4">
        <v>1100</v>
      </c>
      <c r="AA2065" s="4">
        <f>=ROUNDDOWN(17.4603174603175,0)</f>
      </c>
      <c r="AB2065" s="5">
        <v>63</v>
      </c>
      <c r="AC2065" s="2" t="s">
        <v>9905</v>
      </c>
      <c r="AD2065" s="4">
        <v>370</v>
      </c>
      <c r="AE2065" s="4">
        <v>920</v>
      </c>
      <c r="AF2065" s="6">
        <v>65</v>
      </c>
      <c r="AG2065" s="6">
        <v>48</v>
      </c>
      <c r="AH2065" s="7">
        <v>1</v>
      </c>
      <c r="AI2065" s="4"/>
      <c r="AJ2065" s="4">
        <f>=ROUNDDOWN({0},0)</f>
      </c>
      <c r="AK2065" s="5"/>
      <c r="AL2065" s="2" t="s">
        <v>228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 t="s">
        <v>228</v>
      </c>
      <c r="AW2065" s="8" t="s">
        <v>228</v>
      </c>
      <c r="AX2065" s="4" t="s">
        <v>228</v>
      </c>
      <c r="AY2065" s="8" t="s">
        <v>228</v>
      </c>
      <c r="AZ2065" s="7" t="s">
        <v>228</v>
      </c>
      <c r="BA2065" s="7" t="s">
        <v>228</v>
      </c>
      <c r="BB2065" s="7"/>
      <c r="BC2065" s="4" t="s">
        <v>228</v>
      </c>
      <c r="BD2065" s="8" t="s">
        <v>228</v>
      </c>
      <c r="BE2065" s="4" t="s">
        <v>228</v>
      </c>
      <c r="BF2065" s="8" t="s">
        <v>228</v>
      </c>
      <c r="BG2065" s="7" t="s">
        <v>228</v>
      </c>
      <c r="BH2065" s="7" t="s">
        <v>228</v>
      </c>
      <c r="BI2065" s="7"/>
      <c r="BJ2065" s="4">
        <v>8</v>
      </c>
      <c r="BK2065" s="8">
        <v>286.08</v>
      </c>
      <c r="BL2065" s="2" t="s">
        <v>7807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238</v>
      </c>
      <c r="BV2065" s="2" t="s">
        <v>228</v>
      </c>
      <c r="BW2065" s="2" t="s">
        <v>228</v>
      </c>
      <c r="BX2065" s="2" t="s">
        <v>238</v>
      </c>
      <c r="BY2065" s="2" t="s">
        <v>239</v>
      </c>
      <c r="BZ2065" s="2" t="s">
        <v>240</v>
      </c>
      <c r="CA2065" s="2" t="s">
        <v>228</v>
      </c>
      <c r="CB2065" s="2" t="s">
        <v>228</v>
      </c>
      <c r="CC2065" s="2" t="s">
        <v>241</v>
      </c>
      <c r="CD2065" s="2" t="s">
        <v>228</v>
      </c>
      <c r="CE2065" s="4">
        <v>519</v>
      </c>
      <c r="CF2065" s="4"/>
      <c r="CG2065" s="4"/>
      <c r="CH2065" s="4">
        <v>369</v>
      </c>
      <c r="CI2065" s="4"/>
      <c r="CJ2065" s="4"/>
      <c r="CK2065" s="4">
        <v>212</v>
      </c>
      <c r="CL2065" s="4"/>
      <c r="CM2065" s="4"/>
      <c r="CN2065" s="4"/>
      <c r="CO2065" s="4"/>
      <c r="CP2065" s="4"/>
      <c r="CQ2065" s="4"/>
      <c r="CR2065" s="4"/>
      <c r="CS2065" s="4"/>
      <c r="CT2065" s="4"/>
      <c r="CU2065" s="4"/>
      <c r="CV2065" s="4"/>
      <c r="CW2065" s="4"/>
      <c r="CX2065" s="4"/>
      <c r="CY2065" s="4"/>
      <c r="CZ2065" s="4"/>
      <c r="DA2065" s="4"/>
      <c r="DB2065" s="4"/>
      <c r="DC2065" s="4"/>
      <c r="DD2065" s="4"/>
      <c r="DE2065" s="4"/>
      <c r="DF2065" s="4"/>
      <c r="DG2065" s="4"/>
      <c r="DH2065" s="4"/>
      <c r="DI2065" s="4"/>
      <c r="DJ2065" s="4"/>
      <c r="DK2065" s="4"/>
      <c r="DL2065" s="4"/>
      <c r="DM2065" s="4"/>
      <c r="DN2065" s="4"/>
      <c r="DO2065" s="4"/>
      <c r="DP2065" s="4"/>
      <c r="DQ2065" s="4"/>
      <c r="DR2065" s="4"/>
      <c r="DS2065" s="4"/>
      <c r="DT2065" s="4"/>
      <c r="DU2065" s="4"/>
      <c r="DV2065" s="4"/>
      <c r="DW2065" s="4"/>
      <c r="DX2065" s="4"/>
      <c r="DY2065" s="4"/>
      <c r="DZ2065" s="4"/>
      <c r="EA2065" s="4"/>
      <c r="EB2065" s="4">
        <v>370</v>
      </c>
      <c r="EC2065" s="4"/>
      <c r="ED2065" s="4"/>
      <c r="EE2065" s="4"/>
      <c r="EF2065" s="4"/>
      <c r="EG2065" s="4"/>
      <c r="EH2065" s="4"/>
      <c r="EI2065" s="4"/>
      <c r="EJ2065" s="4">
        <v>550</v>
      </c>
      <c r="EK2065" s="4"/>
      <c r="EL2065" s="4"/>
      <c r="EM2065" s="4"/>
      <c r="EN2065" s="4"/>
      <c r="EO2065" s="4"/>
      <c r="EP2065" s="4"/>
      <c r="EQ2065" s="4"/>
      <c r="ER2065" s="4"/>
      <c r="ES2065" s="4"/>
      <c r="ET2065" s="4"/>
      <c r="EU2065" s="4"/>
      <c r="EV2065" s="4"/>
      <c r="EW2065" s="4"/>
      <c r="EX2065" s="4"/>
      <c r="EY2065" s="4"/>
      <c r="EZ2065" s="4"/>
      <c r="FA2065" s="4"/>
      <c r="FB2065" s="4"/>
      <c r="FC2065" s="4"/>
      <c r="FD2065" s="4"/>
      <c r="FE2065" s="4"/>
      <c r="FF2065" s="4"/>
      <c r="FG2065" s="4"/>
      <c r="FH2065" s="4"/>
      <c r="FI2065" s="4"/>
      <c r="FJ2065" s="4"/>
      <c r="FK2065" s="4"/>
      <c r="FL2065" s="4"/>
      <c r="FM2065" s="4"/>
      <c r="FN2065" s="4"/>
      <c r="FO2065" s="4"/>
      <c r="FP2065" s="4"/>
      <c r="FQ2065" s="4"/>
      <c r="FR2065" s="4"/>
      <c r="FS2065" s="4"/>
      <c r="FT2065" s="4"/>
      <c r="FU2065" s="4"/>
      <c r="FV2065" s="4"/>
      <c r="FW2065" s="4"/>
      <c r="FX2065" s="4"/>
      <c r="FY2065" s="4"/>
      <c r="FZ2065" s="4"/>
      <c r="GA2065" s="4"/>
      <c r="GB2065" s="4"/>
      <c r="GC2065" s="4"/>
      <c r="GD2065" s="4"/>
      <c r="GE2065" s="4"/>
      <c r="GF2065" s="4"/>
      <c r="GG2065" s="4"/>
      <c r="GH2065" s="4"/>
      <c r="GI2065" s="4"/>
      <c r="GJ2065" s="4"/>
      <c r="GK2065" s="4"/>
      <c r="GL2065" s="4"/>
      <c r="GM2065" s="4"/>
      <c r="GN2065" s="4"/>
      <c r="GO2065" s="4"/>
      <c r="GP2065" s="4"/>
      <c r="GQ2065" s="4"/>
      <c r="GR2065" s="4"/>
      <c r="GS2065" s="4"/>
      <c r="GT2065" s="4"/>
      <c r="GU2065" s="4"/>
      <c r="GV2065" s="4"/>
      <c r="GW2065" s="4"/>
      <c r="GX2065" s="4"/>
      <c r="GY2065" s="4"/>
      <c r="GZ2065" s="4"/>
      <c r="HA2065" s="4"/>
      <c r="HB2065" s="4"/>
      <c r="HC2065" s="4"/>
      <c r="HD2065" s="4"/>
      <c r="HE2065" s="4"/>
    </row>
    <row r="2066">
      <c r="A2066" s="2" t="s">
        <v>9924</v>
      </c>
      <c r="B2066" s="2" t="s">
        <v>299</v>
      </c>
      <c r="C2066" s="2" t="s">
        <v>345</v>
      </c>
      <c r="D2066" s="2" t="s">
        <v>516</v>
      </c>
      <c r="E2066" s="2" t="s">
        <v>517</v>
      </c>
      <c r="F2066" s="2" t="s">
        <v>9411</v>
      </c>
      <c r="G2066" s="2" t="s">
        <v>9411</v>
      </c>
      <c r="H2066" s="2" t="s">
        <v>9411</v>
      </c>
      <c r="I2066" s="2" t="s">
        <v>9913</v>
      </c>
      <c r="J2066" s="2" t="s">
        <v>294</v>
      </c>
      <c r="K2066" s="2" t="s">
        <v>1967</v>
      </c>
      <c r="L2066" s="3">
        <v>5.79</v>
      </c>
      <c r="M2066" s="3">
        <v>6.08</v>
      </c>
      <c r="N2066" s="3">
        <v>12.99</v>
      </c>
      <c r="O2066" s="2" t="s">
        <v>240</v>
      </c>
      <c r="P2066" s="2" t="s">
        <v>233</v>
      </c>
      <c r="Q2066" s="2" t="s">
        <v>234</v>
      </c>
      <c r="R2066" s="2" t="s">
        <v>228</v>
      </c>
      <c r="S2066" s="2" t="s">
        <v>9921</v>
      </c>
      <c r="T2066" s="2" t="s">
        <v>9411</v>
      </c>
      <c r="U2066" s="2" t="s">
        <v>520</v>
      </c>
      <c r="V2066" s="2" t="s">
        <v>236</v>
      </c>
      <c r="W2066" s="2" t="s">
        <v>269</v>
      </c>
      <c r="X2066" s="2" t="s">
        <v>417</v>
      </c>
      <c r="Y2066" s="2" t="s">
        <v>9914</v>
      </c>
      <c r="Z2066" s="4">
        <v>288</v>
      </c>
      <c r="AA2066" s="4">
        <f>=ROUNDDOWN(20.5714285714286,0)</f>
      </c>
      <c r="AB2066" s="5">
        <v>14</v>
      </c>
      <c r="AC2066" s="2" t="s">
        <v>9905</v>
      </c>
      <c r="AD2066" s="4">
        <v>96</v>
      </c>
      <c r="AE2066" s="4">
        <v>192</v>
      </c>
      <c r="AF2066" s="6">
        <v>65</v>
      </c>
      <c r="AG2066" s="6">
        <v>48</v>
      </c>
      <c r="AH2066" s="7">
        <v>1</v>
      </c>
      <c r="AI2066" s="4"/>
      <c r="AJ2066" s="4">
        <f>=ROUNDDOWN({0},0)</f>
      </c>
      <c r="AK2066" s="5"/>
      <c r="AL2066" s="2" t="s">
        <v>228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 t="s">
        <v>228</v>
      </c>
      <c r="AW2066" s="8" t="s">
        <v>228</v>
      </c>
      <c r="AX2066" s="4" t="s">
        <v>228</v>
      </c>
      <c r="AY2066" s="8" t="s">
        <v>228</v>
      </c>
      <c r="AZ2066" s="7" t="s">
        <v>228</v>
      </c>
      <c r="BA2066" s="7" t="s">
        <v>228</v>
      </c>
      <c r="BB2066" s="7" t="s">
        <v>228</v>
      </c>
      <c r="BC2066" s="4" t="s">
        <v>228</v>
      </c>
      <c r="BD2066" s="8" t="s">
        <v>228</v>
      </c>
      <c r="BE2066" s="4" t="s">
        <v>228</v>
      </c>
      <c r="BF2066" s="8" t="s">
        <v>228</v>
      </c>
      <c r="BG2066" s="7" t="s">
        <v>228</v>
      </c>
      <c r="BH2066" s="7" t="s">
        <v>228</v>
      </c>
      <c r="BI2066" s="7"/>
      <c r="BJ2066" s="4"/>
      <c r="BK2066" s="8"/>
      <c r="BL2066" s="2" t="s">
        <v>228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238</v>
      </c>
      <c r="BV2066" s="2" t="s">
        <v>228</v>
      </c>
      <c r="BW2066" s="2" t="s">
        <v>228</v>
      </c>
      <c r="BX2066" s="2" t="s">
        <v>238</v>
      </c>
      <c r="BY2066" s="2" t="s">
        <v>239</v>
      </c>
      <c r="BZ2066" s="2" t="s">
        <v>240</v>
      </c>
      <c r="CA2066" s="2" t="s">
        <v>228</v>
      </c>
      <c r="CB2066" s="2" t="s">
        <v>228</v>
      </c>
      <c r="CC2066" s="2" t="s">
        <v>241</v>
      </c>
      <c r="CD2066" s="2" t="s">
        <v>228</v>
      </c>
      <c r="CE2066" s="4">
        <v>192</v>
      </c>
      <c r="CF2066" s="4"/>
      <c r="CG2066" s="4"/>
      <c r="CH2066" s="4">
        <v>96</v>
      </c>
      <c r="CI2066" s="4"/>
      <c r="CJ2066" s="4"/>
      <c r="CK2066" s="4"/>
      <c r="CL2066" s="4"/>
      <c r="CM2066" s="4"/>
      <c r="CN2066" s="4"/>
      <c r="CO2066" s="4"/>
      <c r="CP2066" s="4"/>
      <c r="CQ2066" s="4"/>
      <c r="CR2066" s="4"/>
      <c r="CS2066" s="4"/>
      <c r="CT2066" s="4"/>
      <c r="CU2066" s="4"/>
      <c r="CV2066" s="4"/>
      <c r="CW2066" s="4"/>
      <c r="CX2066" s="4"/>
      <c r="CY2066" s="4"/>
      <c r="CZ2066" s="4"/>
      <c r="DA2066" s="4"/>
      <c r="DB2066" s="4"/>
      <c r="DC2066" s="4"/>
      <c r="DD2066" s="4"/>
      <c r="DE2066" s="4"/>
      <c r="DF2066" s="4"/>
      <c r="DG2066" s="4"/>
      <c r="DH2066" s="4"/>
      <c r="DI2066" s="4"/>
      <c r="DJ2066" s="4"/>
      <c r="DK2066" s="4"/>
      <c r="DL2066" s="4"/>
      <c r="DM2066" s="4"/>
      <c r="DN2066" s="4"/>
      <c r="DO2066" s="4"/>
      <c r="DP2066" s="4"/>
      <c r="DQ2066" s="4"/>
      <c r="DR2066" s="4"/>
      <c r="DS2066" s="4"/>
      <c r="DT2066" s="4"/>
      <c r="DU2066" s="4"/>
      <c r="DV2066" s="4"/>
      <c r="DW2066" s="4"/>
      <c r="DX2066" s="4"/>
      <c r="DY2066" s="4"/>
      <c r="DZ2066" s="4"/>
      <c r="EA2066" s="4"/>
      <c r="EB2066" s="4">
        <v>96</v>
      </c>
      <c r="EC2066" s="4"/>
      <c r="ED2066" s="4"/>
      <c r="EE2066" s="4"/>
      <c r="EF2066" s="4"/>
      <c r="EG2066" s="4"/>
      <c r="EH2066" s="4"/>
      <c r="EI2066" s="4"/>
      <c r="EJ2066" s="4">
        <v>96</v>
      </c>
      <c r="EK2066" s="4"/>
      <c r="EL2066" s="4"/>
      <c r="EM2066" s="4"/>
      <c r="EN2066" s="4"/>
      <c r="EO2066" s="4"/>
      <c r="EP2066" s="4"/>
      <c r="EQ2066" s="4"/>
      <c r="ER2066" s="4"/>
      <c r="ES2066" s="4"/>
      <c r="ET2066" s="4"/>
      <c r="EU2066" s="4"/>
      <c r="EV2066" s="4"/>
      <c r="EW2066" s="4"/>
      <c r="EX2066" s="4"/>
      <c r="EY2066" s="4"/>
      <c r="EZ2066" s="4"/>
      <c r="FA2066" s="4"/>
      <c r="FB2066" s="4"/>
      <c r="FC2066" s="4"/>
      <c r="FD2066" s="4"/>
      <c r="FE2066" s="4"/>
      <c r="FF2066" s="4"/>
      <c r="FG2066" s="4"/>
      <c r="FH2066" s="4"/>
      <c r="FI2066" s="4"/>
      <c r="FJ2066" s="4"/>
      <c r="FK2066" s="4"/>
      <c r="FL2066" s="4"/>
      <c r="FM2066" s="4"/>
      <c r="FN2066" s="4"/>
      <c r="FO2066" s="4"/>
      <c r="FP2066" s="4"/>
      <c r="FQ2066" s="4"/>
      <c r="FR2066" s="4"/>
      <c r="FS2066" s="4"/>
      <c r="FT2066" s="4"/>
      <c r="FU2066" s="4"/>
      <c r="FV2066" s="4"/>
      <c r="FW2066" s="4"/>
      <c r="FX2066" s="4"/>
      <c r="FY2066" s="4"/>
      <c r="FZ2066" s="4"/>
      <c r="GA2066" s="4"/>
      <c r="GB2066" s="4"/>
      <c r="GC2066" s="4"/>
      <c r="GD2066" s="4"/>
      <c r="GE2066" s="4"/>
      <c r="GF2066" s="4"/>
      <c r="GG2066" s="4"/>
      <c r="GH2066" s="4"/>
      <c r="GI2066" s="4"/>
      <c r="GJ2066" s="4"/>
      <c r="GK2066" s="4"/>
      <c r="GL2066" s="4"/>
      <c r="GM2066" s="4"/>
      <c r="GN2066" s="4"/>
      <c r="GO2066" s="4"/>
      <c r="GP2066" s="4"/>
      <c r="GQ2066" s="4"/>
      <c r="GR2066" s="4"/>
      <c r="GS2066" s="4"/>
      <c r="GT2066" s="4"/>
      <c r="GU2066" s="4"/>
      <c r="GV2066" s="4"/>
      <c r="GW2066" s="4"/>
      <c r="GX2066" s="4"/>
      <c r="GY2066" s="4"/>
      <c r="GZ2066" s="4"/>
      <c r="HA2066" s="4"/>
      <c r="HB2066" s="4"/>
      <c r="HC2066" s="4"/>
      <c r="HD2066" s="4"/>
      <c r="HE2066" s="4"/>
    </row>
    <row r="2067">
      <c r="A2067" s="2" t="s">
        <v>9925</v>
      </c>
      <c r="B2067" s="2" t="s">
        <v>299</v>
      </c>
      <c r="C2067" s="2" t="s">
        <v>345</v>
      </c>
      <c r="D2067" s="2" t="s">
        <v>301</v>
      </c>
      <c r="E2067" s="2" t="s">
        <v>302</v>
      </c>
      <c r="F2067" s="2" t="s">
        <v>9411</v>
      </c>
      <c r="G2067" s="2" t="s">
        <v>9411</v>
      </c>
      <c r="H2067" s="2" t="s">
        <v>9411</v>
      </c>
      <c r="I2067" s="2" t="s">
        <v>9903</v>
      </c>
      <c r="J2067" s="2" t="s">
        <v>294</v>
      </c>
      <c r="K2067" s="2" t="s">
        <v>1967</v>
      </c>
      <c r="L2067" s="3">
        <v>19.17</v>
      </c>
      <c r="M2067" s="3">
        <v>20.13</v>
      </c>
      <c r="N2067" s="3">
        <v>42.99</v>
      </c>
      <c r="O2067" s="2" t="s">
        <v>240</v>
      </c>
      <c r="P2067" s="2" t="s">
        <v>233</v>
      </c>
      <c r="Q2067" s="2" t="s">
        <v>234</v>
      </c>
      <c r="R2067" s="2" t="s">
        <v>228</v>
      </c>
      <c r="S2067" s="2" t="s">
        <v>9921</v>
      </c>
      <c r="T2067" s="2" t="s">
        <v>9411</v>
      </c>
      <c r="U2067" s="2" t="s">
        <v>1054</v>
      </c>
      <c r="V2067" s="2" t="s">
        <v>236</v>
      </c>
      <c r="W2067" s="2" t="s">
        <v>269</v>
      </c>
      <c r="X2067" s="2" t="s">
        <v>417</v>
      </c>
      <c r="Y2067" s="2" t="s">
        <v>1996</v>
      </c>
      <c r="Z2067" s="4">
        <v>585</v>
      </c>
      <c r="AA2067" s="4">
        <f>=ROUNDDOWN(17.2058823529412,0)</f>
      </c>
      <c r="AB2067" s="5">
        <v>34</v>
      </c>
      <c r="AC2067" s="2" t="s">
        <v>9905</v>
      </c>
      <c r="AD2067" s="4">
        <v>200</v>
      </c>
      <c r="AE2067" s="4">
        <v>510</v>
      </c>
      <c r="AF2067" s="6">
        <v>65</v>
      </c>
      <c r="AG2067" s="6">
        <v>48</v>
      </c>
      <c r="AH2067" s="7">
        <v>1</v>
      </c>
      <c r="AI2067" s="4"/>
      <c r="AJ2067" s="4">
        <f>=ROUNDDOWN({0},0)</f>
      </c>
      <c r="AK2067" s="5"/>
      <c r="AL2067" s="2" t="s">
        <v>228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 t="s">
        <v>228</v>
      </c>
      <c r="AW2067" s="8" t="s">
        <v>228</v>
      </c>
      <c r="AX2067" s="4" t="s">
        <v>228</v>
      </c>
      <c r="AY2067" s="8" t="s">
        <v>228</v>
      </c>
      <c r="AZ2067" s="7" t="s">
        <v>228</v>
      </c>
      <c r="BA2067" s="7" t="s">
        <v>228</v>
      </c>
      <c r="BB2067" s="7" t="s">
        <v>228</v>
      </c>
      <c r="BC2067" s="4" t="s">
        <v>228</v>
      </c>
      <c r="BD2067" s="8" t="s">
        <v>228</v>
      </c>
      <c r="BE2067" s="4" t="s">
        <v>228</v>
      </c>
      <c r="BF2067" s="8" t="s">
        <v>228</v>
      </c>
      <c r="BG2067" s="7" t="s">
        <v>228</v>
      </c>
      <c r="BH2067" s="7" t="s">
        <v>228</v>
      </c>
      <c r="BI2067" s="7"/>
      <c r="BJ2067" s="4">
        <v>11</v>
      </c>
      <c r="BK2067" s="8">
        <v>435.93</v>
      </c>
      <c r="BL2067" s="2" t="s">
        <v>7807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238</v>
      </c>
      <c r="BV2067" s="2" t="s">
        <v>228</v>
      </c>
      <c r="BW2067" s="2" t="s">
        <v>228</v>
      </c>
      <c r="BX2067" s="2" t="s">
        <v>238</v>
      </c>
      <c r="BY2067" s="2" t="s">
        <v>239</v>
      </c>
      <c r="BZ2067" s="2" t="s">
        <v>240</v>
      </c>
      <c r="CA2067" s="2" t="s">
        <v>228</v>
      </c>
      <c r="CB2067" s="2" t="s">
        <v>228</v>
      </c>
      <c r="CC2067" s="2" t="s">
        <v>241</v>
      </c>
      <c r="CD2067" s="2" t="s">
        <v>228</v>
      </c>
      <c r="CE2067" s="4">
        <v>366</v>
      </c>
      <c r="CF2067" s="4"/>
      <c r="CG2067" s="4"/>
      <c r="CH2067" s="4">
        <v>195</v>
      </c>
      <c r="CI2067" s="4"/>
      <c r="CJ2067" s="4"/>
      <c r="CK2067" s="4">
        <v>24</v>
      </c>
      <c r="CL2067" s="4"/>
      <c r="CM2067" s="4"/>
      <c r="CN2067" s="4"/>
      <c r="CO2067" s="4"/>
      <c r="CP2067" s="4"/>
      <c r="CQ2067" s="4"/>
      <c r="CR2067" s="4"/>
      <c r="CS2067" s="4"/>
      <c r="CT2067" s="4"/>
      <c r="CU2067" s="4"/>
      <c r="CV2067" s="4"/>
      <c r="CW2067" s="4"/>
      <c r="CX2067" s="4"/>
      <c r="CY2067" s="4"/>
      <c r="CZ2067" s="4"/>
      <c r="DA2067" s="4"/>
      <c r="DB2067" s="4"/>
      <c r="DC2067" s="4"/>
      <c r="DD2067" s="4"/>
      <c r="DE2067" s="4"/>
      <c r="DF2067" s="4"/>
      <c r="DG2067" s="4"/>
      <c r="DH2067" s="4"/>
      <c r="DI2067" s="4"/>
      <c r="DJ2067" s="4"/>
      <c r="DK2067" s="4"/>
      <c r="DL2067" s="4"/>
      <c r="DM2067" s="4"/>
      <c r="DN2067" s="4"/>
      <c r="DO2067" s="4"/>
      <c r="DP2067" s="4"/>
      <c r="DQ2067" s="4"/>
      <c r="DR2067" s="4"/>
      <c r="DS2067" s="4"/>
      <c r="DT2067" s="4"/>
      <c r="DU2067" s="4"/>
      <c r="DV2067" s="4"/>
      <c r="DW2067" s="4"/>
      <c r="DX2067" s="4"/>
      <c r="DY2067" s="4"/>
      <c r="DZ2067" s="4"/>
      <c r="EA2067" s="4"/>
      <c r="EB2067" s="4">
        <v>200</v>
      </c>
      <c r="EC2067" s="4"/>
      <c r="ED2067" s="4"/>
      <c r="EE2067" s="4"/>
      <c r="EF2067" s="4"/>
      <c r="EG2067" s="4"/>
      <c r="EH2067" s="4"/>
      <c r="EI2067" s="4"/>
      <c r="EJ2067" s="4">
        <v>310</v>
      </c>
      <c r="EK2067" s="4"/>
      <c r="EL2067" s="4"/>
      <c r="EM2067" s="4"/>
      <c r="EN2067" s="4"/>
      <c r="EO2067" s="4"/>
      <c r="EP2067" s="4"/>
      <c r="EQ2067" s="4"/>
      <c r="ER2067" s="4"/>
      <c r="ES2067" s="4"/>
      <c r="ET2067" s="4"/>
      <c r="EU2067" s="4"/>
      <c r="EV2067" s="4"/>
      <c r="EW2067" s="4"/>
      <c r="EX2067" s="4"/>
      <c r="EY2067" s="4"/>
      <c r="EZ2067" s="4"/>
      <c r="FA2067" s="4"/>
      <c r="FB2067" s="4"/>
      <c r="FC2067" s="4"/>
      <c r="FD2067" s="4"/>
      <c r="FE2067" s="4"/>
      <c r="FF2067" s="4"/>
      <c r="FG2067" s="4"/>
      <c r="FH2067" s="4"/>
      <c r="FI2067" s="4"/>
      <c r="FJ2067" s="4"/>
      <c r="FK2067" s="4"/>
      <c r="FL2067" s="4"/>
      <c r="FM2067" s="4"/>
      <c r="FN2067" s="4"/>
      <c r="FO2067" s="4"/>
      <c r="FP2067" s="4"/>
      <c r="FQ2067" s="4"/>
      <c r="FR2067" s="4"/>
      <c r="FS2067" s="4"/>
      <c r="FT2067" s="4"/>
      <c r="FU2067" s="4"/>
      <c r="FV2067" s="4"/>
      <c r="FW2067" s="4"/>
      <c r="FX2067" s="4"/>
      <c r="FY2067" s="4"/>
      <c r="FZ2067" s="4"/>
      <c r="GA2067" s="4"/>
      <c r="GB2067" s="4"/>
      <c r="GC2067" s="4"/>
      <c r="GD2067" s="4"/>
      <c r="GE2067" s="4"/>
      <c r="GF2067" s="4"/>
      <c r="GG2067" s="4"/>
      <c r="GH2067" s="4"/>
      <c r="GI2067" s="4"/>
      <c r="GJ2067" s="4"/>
      <c r="GK2067" s="4"/>
      <c r="GL2067" s="4"/>
      <c r="GM2067" s="4"/>
      <c r="GN2067" s="4"/>
      <c r="GO2067" s="4"/>
      <c r="GP2067" s="4"/>
      <c r="GQ2067" s="4"/>
      <c r="GR2067" s="4"/>
      <c r="GS2067" s="4"/>
      <c r="GT2067" s="4"/>
      <c r="GU2067" s="4"/>
      <c r="GV2067" s="4"/>
      <c r="GW2067" s="4"/>
      <c r="GX2067" s="4"/>
      <c r="GY2067" s="4"/>
      <c r="GZ2067" s="4"/>
      <c r="HA2067" s="4"/>
      <c r="HB2067" s="4"/>
      <c r="HC2067" s="4"/>
      <c r="HD2067" s="4"/>
      <c r="HE2067" s="4"/>
    </row>
    <row r="2068">
      <c r="A2068" s="2" t="s">
        <v>9926</v>
      </c>
      <c r="B2068" s="2" t="s">
        <v>299</v>
      </c>
      <c r="C2068" s="2" t="s">
        <v>345</v>
      </c>
      <c r="D2068" s="2" t="s">
        <v>301</v>
      </c>
      <c r="E2068" s="2" t="s">
        <v>302</v>
      </c>
      <c r="F2068" s="2" t="s">
        <v>9411</v>
      </c>
      <c r="G2068" s="2" t="s">
        <v>9411</v>
      </c>
      <c r="H2068" s="2" t="s">
        <v>9411</v>
      </c>
      <c r="I2068" s="2" t="s">
        <v>9903</v>
      </c>
      <c r="J2068" s="2" t="s">
        <v>312</v>
      </c>
      <c r="K2068" s="2" t="s">
        <v>1967</v>
      </c>
      <c r="L2068" s="3">
        <v>19.17</v>
      </c>
      <c r="M2068" s="3">
        <v>20.13</v>
      </c>
      <c r="N2068" s="3">
        <v>42.99</v>
      </c>
      <c r="O2068" s="2" t="s">
        <v>240</v>
      </c>
      <c r="P2068" s="2" t="s">
        <v>233</v>
      </c>
      <c r="Q2068" s="2" t="s">
        <v>234</v>
      </c>
      <c r="R2068" s="2" t="s">
        <v>228</v>
      </c>
      <c r="S2068" s="2" t="s">
        <v>9921</v>
      </c>
      <c r="T2068" s="2" t="s">
        <v>9411</v>
      </c>
      <c r="U2068" s="2" t="s">
        <v>1054</v>
      </c>
      <c r="V2068" s="2" t="s">
        <v>236</v>
      </c>
      <c r="W2068" s="2" t="s">
        <v>269</v>
      </c>
      <c r="X2068" s="2" t="s">
        <v>417</v>
      </c>
      <c r="Y2068" s="2" t="s">
        <v>1996</v>
      </c>
      <c r="Z2068" s="4">
        <v>178</v>
      </c>
      <c r="AA2068" s="4">
        <f>=ROUNDDOWN(17.8,0)</f>
      </c>
      <c r="AB2068" s="5">
        <v>10</v>
      </c>
      <c r="AC2068" s="2" t="s">
        <v>9905</v>
      </c>
      <c r="AD2068" s="4">
        <v>60</v>
      </c>
      <c r="AE2068" s="4">
        <v>140</v>
      </c>
      <c r="AF2068" s="6">
        <v>65</v>
      </c>
      <c r="AG2068" s="6">
        <v>48</v>
      </c>
      <c r="AH2068" s="7">
        <v>1</v>
      </c>
      <c r="AI2068" s="4"/>
      <c r="AJ2068" s="4">
        <f>=ROUNDDOWN({0},0)</f>
      </c>
      <c r="AK2068" s="5"/>
      <c r="AL2068" s="2" t="s">
        <v>228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 t="s">
        <v>228</v>
      </c>
      <c r="AW2068" s="8" t="s">
        <v>228</v>
      </c>
      <c r="AX2068" s="4" t="s">
        <v>228</v>
      </c>
      <c r="AY2068" s="8" t="s">
        <v>228</v>
      </c>
      <c r="AZ2068" s="7" t="s">
        <v>228</v>
      </c>
      <c r="BA2068" s="7" t="s">
        <v>228</v>
      </c>
      <c r="BB2068" s="7"/>
      <c r="BC2068" s="4" t="s">
        <v>228</v>
      </c>
      <c r="BD2068" s="8" t="s">
        <v>228</v>
      </c>
      <c r="BE2068" s="4" t="s">
        <v>228</v>
      </c>
      <c r="BF2068" s="8" t="s">
        <v>228</v>
      </c>
      <c r="BG2068" s="7" t="s">
        <v>228</v>
      </c>
      <c r="BH2068" s="7" t="s">
        <v>228</v>
      </c>
      <c r="BI2068" s="7"/>
      <c r="BJ2068" s="4">
        <v>2</v>
      </c>
      <c r="BK2068" s="8">
        <v>80.63</v>
      </c>
      <c r="BL2068" s="2" t="s">
        <v>7807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238</v>
      </c>
      <c r="BV2068" s="2" t="s">
        <v>228</v>
      </c>
      <c r="BW2068" s="2" t="s">
        <v>228</v>
      </c>
      <c r="BX2068" s="2" t="s">
        <v>238</v>
      </c>
      <c r="BY2068" s="2" t="s">
        <v>239</v>
      </c>
      <c r="BZ2068" s="2" t="s">
        <v>240</v>
      </c>
      <c r="CA2068" s="2" t="s">
        <v>228</v>
      </c>
      <c r="CB2068" s="2" t="s">
        <v>228</v>
      </c>
      <c r="CC2068" s="2" t="s">
        <v>241</v>
      </c>
      <c r="CD2068" s="2" t="s">
        <v>228</v>
      </c>
      <c r="CE2068" s="4">
        <v>120</v>
      </c>
      <c r="CF2068" s="4"/>
      <c r="CG2068" s="4"/>
      <c r="CH2068" s="4">
        <v>58</v>
      </c>
      <c r="CI2068" s="4"/>
      <c r="CJ2068" s="4"/>
      <c r="CK2068" s="4"/>
      <c r="CL2068" s="4"/>
      <c r="CM2068" s="4"/>
      <c r="CN2068" s="4"/>
      <c r="CO2068" s="4"/>
      <c r="CP2068" s="4"/>
      <c r="CQ2068" s="4"/>
      <c r="CR2068" s="4"/>
      <c r="CS2068" s="4"/>
      <c r="CT2068" s="4"/>
      <c r="CU2068" s="4"/>
      <c r="CV2068" s="4"/>
      <c r="CW2068" s="4"/>
      <c r="CX2068" s="4"/>
      <c r="CY2068" s="4"/>
      <c r="CZ2068" s="4"/>
      <c r="DA2068" s="4"/>
      <c r="DB2068" s="4"/>
      <c r="DC2068" s="4"/>
      <c r="DD2068" s="4"/>
      <c r="DE2068" s="4"/>
      <c r="DF2068" s="4"/>
      <c r="DG2068" s="4"/>
      <c r="DH2068" s="4"/>
      <c r="DI2068" s="4"/>
      <c r="DJ2068" s="4"/>
      <c r="DK2068" s="4"/>
      <c r="DL2068" s="4"/>
      <c r="DM2068" s="4"/>
      <c r="DN2068" s="4"/>
      <c r="DO2068" s="4"/>
      <c r="DP2068" s="4"/>
      <c r="DQ2068" s="4"/>
      <c r="DR2068" s="4"/>
      <c r="DS2068" s="4"/>
      <c r="DT2068" s="4"/>
      <c r="DU2068" s="4"/>
      <c r="DV2068" s="4"/>
      <c r="DW2068" s="4"/>
      <c r="DX2068" s="4"/>
      <c r="DY2068" s="4"/>
      <c r="DZ2068" s="4"/>
      <c r="EA2068" s="4"/>
      <c r="EB2068" s="4">
        <v>60</v>
      </c>
      <c r="EC2068" s="4"/>
      <c r="ED2068" s="4"/>
      <c r="EE2068" s="4"/>
      <c r="EF2068" s="4"/>
      <c r="EG2068" s="4"/>
      <c r="EH2068" s="4"/>
      <c r="EI2068" s="4"/>
      <c r="EJ2068" s="4">
        <v>80</v>
      </c>
      <c r="EK2068" s="4"/>
      <c r="EL2068" s="4"/>
      <c r="EM2068" s="4"/>
      <c r="EN2068" s="4"/>
      <c r="EO2068" s="4"/>
      <c r="EP2068" s="4"/>
      <c r="EQ2068" s="4"/>
      <c r="ER2068" s="4"/>
      <c r="ES2068" s="4"/>
      <c r="ET2068" s="4"/>
      <c r="EU2068" s="4"/>
      <c r="EV2068" s="4"/>
      <c r="EW2068" s="4"/>
      <c r="EX2068" s="4"/>
      <c r="EY2068" s="4"/>
      <c r="EZ2068" s="4"/>
      <c r="FA2068" s="4"/>
      <c r="FB2068" s="4"/>
      <c r="FC2068" s="4"/>
      <c r="FD2068" s="4"/>
      <c r="FE2068" s="4"/>
      <c r="FF2068" s="4"/>
      <c r="FG2068" s="4"/>
      <c r="FH2068" s="4"/>
      <c r="FI2068" s="4"/>
      <c r="FJ2068" s="4"/>
      <c r="FK2068" s="4"/>
      <c r="FL2068" s="4"/>
      <c r="FM2068" s="4"/>
      <c r="FN2068" s="4"/>
      <c r="FO2068" s="4"/>
      <c r="FP2068" s="4"/>
      <c r="FQ2068" s="4"/>
      <c r="FR2068" s="4"/>
      <c r="FS2068" s="4"/>
      <c r="FT2068" s="4"/>
      <c r="FU2068" s="4"/>
      <c r="FV2068" s="4"/>
      <c r="FW2068" s="4"/>
      <c r="FX2068" s="4"/>
      <c r="FY2068" s="4"/>
      <c r="FZ2068" s="4"/>
      <c r="GA2068" s="4"/>
      <c r="GB2068" s="4"/>
      <c r="GC2068" s="4"/>
      <c r="GD2068" s="4"/>
      <c r="GE2068" s="4"/>
      <c r="GF2068" s="4"/>
      <c r="GG2068" s="4"/>
      <c r="GH2068" s="4"/>
      <c r="GI2068" s="4"/>
      <c r="GJ2068" s="4"/>
      <c r="GK2068" s="4"/>
      <c r="GL2068" s="4"/>
      <c r="GM2068" s="4"/>
      <c r="GN2068" s="4"/>
      <c r="GO2068" s="4"/>
      <c r="GP2068" s="4"/>
      <c r="GQ2068" s="4"/>
      <c r="GR2068" s="4"/>
      <c r="GS2068" s="4"/>
      <c r="GT2068" s="4"/>
      <c r="GU2068" s="4"/>
      <c r="GV2068" s="4"/>
      <c r="GW2068" s="4"/>
      <c r="GX2068" s="4"/>
      <c r="GY2068" s="4"/>
      <c r="GZ2068" s="4"/>
      <c r="HA2068" s="4"/>
      <c r="HB2068" s="4"/>
      <c r="HC2068" s="4"/>
      <c r="HD2068" s="4"/>
      <c r="HE2068" s="4"/>
    </row>
    <row r="2069">
      <c r="A2069" s="2" t="s">
        <v>9927</v>
      </c>
      <c r="B2069" s="2" t="s">
        <v>299</v>
      </c>
      <c r="C2069" s="2" t="s">
        <v>345</v>
      </c>
      <c r="D2069" s="2" t="s">
        <v>516</v>
      </c>
      <c r="E2069" s="2" t="s">
        <v>517</v>
      </c>
      <c r="F2069" s="2" t="s">
        <v>9411</v>
      </c>
      <c r="G2069" s="2" t="s">
        <v>9411</v>
      </c>
      <c r="H2069" s="2" t="s">
        <v>9411</v>
      </c>
      <c r="I2069" s="2" t="s">
        <v>9913</v>
      </c>
      <c r="J2069" s="2" t="s">
        <v>7551</v>
      </c>
      <c r="K2069" s="2" t="s">
        <v>1967</v>
      </c>
      <c r="L2069" s="3">
        <v>5.35</v>
      </c>
      <c r="M2069" s="3">
        <v>5.62</v>
      </c>
      <c r="N2069" s="3">
        <v>11.99</v>
      </c>
      <c r="O2069" s="2" t="s">
        <v>240</v>
      </c>
      <c r="P2069" s="2" t="s">
        <v>233</v>
      </c>
      <c r="Q2069" s="2" t="s">
        <v>234</v>
      </c>
      <c r="R2069" s="2" t="s">
        <v>228</v>
      </c>
      <c r="S2069" s="2" t="s">
        <v>9921</v>
      </c>
      <c r="T2069" s="2" t="s">
        <v>9411</v>
      </c>
      <c r="U2069" s="2" t="s">
        <v>520</v>
      </c>
      <c r="V2069" s="2" t="s">
        <v>236</v>
      </c>
      <c r="W2069" s="2" t="s">
        <v>269</v>
      </c>
      <c r="X2069" s="2" t="s">
        <v>417</v>
      </c>
      <c r="Y2069" s="2" t="s">
        <v>9914</v>
      </c>
      <c r="Z2069" s="4">
        <v>600</v>
      </c>
      <c r="AA2069" s="4">
        <f>=ROUNDDOWN(19.3548387096774,0)</f>
      </c>
      <c r="AB2069" s="5">
        <v>31</v>
      </c>
      <c r="AC2069" s="2" t="s">
        <v>9905</v>
      </c>
      <c r="AD2069" s="4">
        <v>200</v>
      </c>
      <c r="AE2069" s="4">
        <v>456</v>
      </c>
      <c r="AF2069" s="6">
        <v>65</v>
      </c>
      <c r="AG2069" s="6">
        <v>48</v>
      </c>
      <c r="AH2069" s="7">
        <v>1</v>
      </c>
      <c r="AI2069" s="4"/>
      <c r="AJ2069" s="4">
        <f>=ROUNDDOWN({0},0)</f>
      </c>
      <c r="AK2069" s="5"/>
      <c r="AL2069" s="2" t="s">
        <v>228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 t="s">
        <v>228</v>
      </c>
      <c r="AW2069" s="8" t="s">
        <v>228</v>
      </c>
      <c r="AX2069" s="4" t="s">
        <v>228</v>
      </c>
      <c r="AY2069" s="8" t="s">
        <v>228</v>
      </c>
      <c r="AZ2069" s="7" t="s">
        <v>228</v>
      </c>
      <c r="BA2069" s="7" t="s">
        <v>228</v>
      </c>
      <c r="BB2069" s="7"/>
      <c r="BC2069" s="4" t="s">
        <v>228</v>
      </c>
      <c r="BD2069" s="8" t="s">
        <v>228</v>
      </c>
      <c r="BE2069" s="4" t="s">
        <v>228</v>
      </c>
      <c r="BF2069" s="8" t="s">
        <v>228</v>
      </c>
      <c r="BG2069" s="7" t="s">
        <v>228</v>
      </c>
      <c r="BH2069" s="7" t="s">
        <v>228</v>
      </c>
      <c r="BI2069" s="7"/>
      <c r="BJ2069" s="4"/>
      <c r="BK2069" s="8"/>
      <c r="BL2069" s="2" t="s">
        <v>228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238</v>
      </c>
      <c r="BV2069" s="2" t="s">
        <v>228</v>
      </c>
      <c r="BW2069" s="2" t="s">
        <v>228</v>
      </c>
      <c r="BX2069" s="2" t="s">
        <v>238</v>
      </c>
      <c r="BY2069" s="2" t="s">
        <v>239</v>
      </c>
      <c r="BZ2069" s="2" t="s">
        <v>240</v>
      </c>
      <c r="CA2069" s="2" t="s">
        <v>228</v>
      </c>
      <c r="CB2069" s="2" t="s">
        <v>228</v>
      </c>
      <c r="CC2069" s="2" t="s">
        <v>241</v>
      </c>
      <c r="CD2069" s="2" t="s">
        <v>228</v>
      </c>
      <c r="CE2069" s="4">
        <v>400</v>
      </c>
      <c r="CF2069" s="4"/>
      <c r="CG2069" s="4"/>
      <c r="CH2069" s="4">
        <v>200</v>
      </c>
      <c r="CI2069" s="4"/>
      <c r="CJ2069" s="4"/>
      <c r="CK2069" s="4"/>
      <c r="CL2069" s="4"/>
      <c r="CM2069" s="4"/>
      <c r="CN2069" s="4"/>
      <c r="CO2069" s="4"/>
      <c r="CP2069" s="4"/>
      <c r="CQ2069" s="4"/>
      <c r="CR2069" s="4"/>
      <c r="CS2069" s="4"/>
      <c r="CT2069" s="4"/>
      <c r="CU2069" s="4"/>
      <c r="CV2069" s="4"/>
      <c r="CW2069" s="4"/>
      <c r="CX2069" s="4"/>
      <c r="CY2069" s="4"/>
      <c r="CZ2069" s="4"/>
      <c r="DA2069" s="4"/>
      <c r="DB2069" s="4"/>
      <c r="DC2069" s="4"/>
      <c r="DD2069" s="4"/>
      <c r="DE2069" s="4"/>
      <c r="DF2069" s="4"/>
      <c r="DG2069" s="4"/>
      <c r="DH2069" s="4"/>
      <c r="DI2069" s="4"/>
      <c r="DJ2069" s="4"/>
      <c r="DK2069" s="4"/>
      <c r="DL2069" s="4"/>
      <c r="DM2069" s="4"/>
      <c r="DN2069" s="4"/>
      <c r="DO2069" s="4"/>
      <c r="DP2069" s="4"/>
      <c r="DQ2069" s="4"/>
      <c r="DR2069" s="4"/>
      <c r="DS2069" s="4"/>
      <c r="DT2069" s="4"/>
      <c r="DU2069" s="4"/>
      <c r="DV2069" s="4"/>
      <c r="DW2069" s="4"/>
      <c r="DX2069" s="4"/>
      <c r="DY2069" s="4"/>
      <c r="DZ2069" s="4"/>
      <c r="EA2069" s="4"/>
      <c r="EB2069" s="4">
        <v>200</v>
      </c>
      <c r="EC2069" s="4"/>
      <c r="ED2069" s="4"/>
      <c r="EE2069" s="4"/>
      <c r="EF2069" s="4"/>
      <c r="EG2069" s="4"/>
      <c r="EH2069" s="4"/>
      <c r="EI2069" s="4"/>
      <c r="EJ2069" s="4">
        <v>256</v>
      </c>
      <c r="EK2069" s="4"/>
      <c r="EL2069" s="4"/>
      <c r="EM2069" s="4"/>
      <c r="EN2069" s="4"/>
      <c r="EO2069" s="4"/>
      <c r="EP2069" s="4"/>
      <c r="EQ2069" s="4"/>
      <c r="ER2069" s="4"/>
      <c r="ES2069" s="4"/>
      <c r="ET2069" s="4"/>
      <c r="EU2069" s="4"/>
      <c r="EV2069" s="4"/>
      <c r="EW2069" s="4"/>
      <c r="EX2069" s="4"/>
      <c r="EY2069" s="4"/>
      <c r="EZ2069" s="4"/>
      <c r="FA2069" s="4"/>
      <c r="FB2069" s="4"/>
      <c r="FC2069" s="4"/>
      <c r="FD2069" s="4"/>
      <c r="FE2069" s="4"/>
      <c r="FF2069" s="4"/>
      <c r="FG2069" s="4"/>
      <c r="FH2069" s="4"/>
      <c r="FI2069" s="4"/>
      <c r="FJ2069" s="4"/>
      <c r="FK2069" s="4"/>
      <c r="FL2069" s="4"/>
      <c r="FM2069" s="4"/>
      <c r="FN2069" s="4"/>
      <c r="FO2069" s="4"/>
      <c r="FP2069" s="4"/>
      <c r="FQ2069" s="4"/>
      <c r="FR2069" s="4"/>
      <c r="FS2069" s="4"/>
      <c r="FT2069" s="4"/>
      <c r="FU2069" s="4"/>
      <c r="FV2069" s="4"/>
      <c r="FW2069" s="4"/>
      <c r="FX2069" s="4"/>
      <c r="FY2069" s="4"/>
      <c r="FZ2069" s="4"/>
      <c r="GA2069" s="4"/>
      <c r="GB2069" s="4"/>
      <c r="GC2069" s="4"/>
      <c r="GD2069" s="4"/>
      <c r="GE2069" s="4"/>
      <c r="GF2069" s="4"/>
      <c r="GG2069" s="4"/>
      <c r="GH2069" s="4"/>
      <c r="GI2069" s="4"/>
      <c r="GJ2069" s="4"/>
      <c r="GK2069" s="4"/>
      <c r="GL2069" s="4"/>
      <c r="GM2069" s="4"/>
      <c r="GN2069" s="4"/>
      <c r="GO2069" s="4"/>
      <c r="GP2069" s="4"/>
      <c r="GQ2069" s="4"/>
      <c r="GR2069" s="4"/>
      <c r="GS2069" s="4"/>
      <c r="GT2069" s="4"/>
      <c r="GU2069" s="4"/>
      <c r="GV2069" s="4"/>
      <c r="GW2069" s="4"/>
      <c r="GX2069" s="4"/>
      <c r="GY2069" s="4"/>
      <c r="GZ2069" s="4"/>
      <c r="HA2069" s="4"/>
      <c r="HB2069" s="4"/>
      <c r="HC2069" s="4"/>
      <c r="HD2069" s="4"/>
      <c r="HE2069" s="4"/>
    </row>
    <row r="2070">
      <c r="A2070" s="2" t="s">
        <v>9928</v>
      </c>
      <c r="B2070" s="2" t="s">
        <v>299</v>
      </c>
      <c r="C2070" s="2" t="s">
        <v>345</v>
      </c>
      <c r="D2070" s="2" t="s">
        <v>301</v>
      </c>
      <c r="E2070" s="2" t="s">
        <v>302</v>
      </c>
      <c r="F2070" s="2" t="s">
        <v>9411</v>
      </c>
      <c r="G2070" s="2" t="s">
        <v>9411</v>
      </c>
      <c r="H2070" s="2" t="s">
        <v>9411</v>
      </c>
      <c r="I2070" s="2" t="s">
        <v>9903</v>
      </c>
      <c r="J2070" s="2" t="s">
        <v>264</v>
      </c>
      <c r="K2070" s="2" t="s">
        <v>9929</v>
      </c>
      <c r="L2070" s="3">
        <v>12.48</v>
      </c>
      <c r="M2070" s="3">
        <v>13.1</v>
      </c>
      <c r="N2070" s="3">
        <v>27.99</v>
      </c>
      <c r="O2070" s="2" t="s">
        <v>240</v>
      </c>
      <c r="P2070" s="2" t="s">
        <v>233</v>
      </c>
      <c r="Q2070" s="2" t="s">
        <v>234</v>
      </c>
      <c r="R2070" s="2" t="s">
        <v>228</v>
      </c>
      <c r="S2070" s="2" t="s">
        <v>9930</v>
      </c>
      <c r="T2070" s="2" t="s">
        <v>9411</v>
      </c>
      <c r="U2070" s="2" t="s">
        <v>308</v>
      </c>
      <c r="V2070" s="2" t="s">
        <v>236</v>
      </c>
      <c r="W2070" s="2" t="s">
        <v>269</v>
      </c>
      <c r="X2070" s="2" t="s">
        <v>417</v>
      </c>
      <c r="Y2070" s="2" t="s">
        <v>1996</v>
      </c>
      <c r="Z2070" s="4">
        <v>386</v>
      </c>
      <c r="AA2070" s="4">
        <f>=ROUNDDOWN(16.0833333333333,0)</f>
      </c>
      <c r="AB2070" s="5">
        <v>24</v>
      </c>
      <c r="AC2070" s="2" t="s">
        <v>9905</v>
      </c>
      <c r="AD2070" s="4">
        <v>130</v>
      </c>
      <c r="AE2070" s="4">
        <v>280</v>
      </c>
      <c r="AF2070" s="6">
        <v>65</v>
      </c>
      <c r="AG2070" s="6">
        <v>48</v>
      </c>
      <c r="AH2070" s="7">
        <v>1</v>
      </c>
      <c r="AI2070" s="4"/>
      <c r="AJ2070" s="4">
        <f>=ROUNDDOWN({0},0)</f>
      </c>
      <c r="AK2070" s="5"/>
      <c r="AL2070" s="2" t="s">
        <v>228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 t="s">
        <v>228</v>
      </c>
      <c r="AW2070" s="8" t="s">
        <v>228</v>
      </c>
      <c r="AX2070" s="4" t="s">
        <v>228</v>
      </c>
      <c r="AY2070" s="8" t="s">
        <v>228</v>
      </c>
      <c r="AZ2070" s="7" t="s">
        <v>228</v>
      </c>
      <c r="BA2070" s="7" t="s">
        <v>228</v>
      </c>
      <c r="BB2070" s="7"/>
      <c r="BC2070" s="4" t="s">
        <v>228</v>
      </c>
      <c r="BD2070" s="8" t="s">
        <v>228</v>
      </c>
      <c r="BE2070" s="4" t="s">
        <v>228</v>
      </c>
      <c r="BF2070" s="8" t="s">
        <v>228</v>
      </c>
      <c r="BG2070" s="7" t="s">
        <v>228</v>
      </c>
      <c r="BH2070" s="7" t="s">
        <v>228</v>
      </c>
      <c r="BI2070" s="7"/>
      <c r="BJ2070" s="4">
        <v>2</v>
      </c>
      <c r="BK2070" s="8">
        <v>67.66</v>
      </c>
      <c r="BL2070" s="2" t="s">
        <v>7807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238</v>
      </c>
      <c r="BV2070" s="2" t="s">
        <v>228</v>
      </c>
      <c r="BW2070" s="2" t="s">
        <v>228</v>
      </c>
      <c r="BX2070" s="2" t="s">
        <v>238</v>
      </c>
      <c r="BY2070" s="2" t="s">
        <v>239</v>
      </c>
      <c r="BZ2070" s="2" t="s">
        <v>240</v>
      </c>
      <c r="CA2070" s="2" t="s">
        <v>228</v>
      </c>
      <c r="CB2070" s="2" t="s">
        <v>228</v>
      </c>
      <c r="CC2070" s="2" t="s">
        <v>241</v>
      </c>
      <c r="CD2070" s="2" t="s">
        <v>228</v>
      </c>
      <c r="CE2070" s="4">
        <v>259</v>
      </c>
      <c r="CF2070" s="4"/>
      <c r="CG2070" s="4"/>
      <c r="CH2070" s="4">
        <v>127</v>
      </c>
      <c r="CI2070" s="4"/>
      <c r="CJ2070" s="4"/>
      <c r="CK2070" s="4"/>
      <c r="CL2070" s="4"/>
      <c r="CM2070" s="4"/>
      <c r="CN2070" s="4"/>
      <c r="CO2070" s="4"/>
      <c r="CP2070" s="4"/>
      <c r="CQ2070" s="4"/>
      <c r="CR2070" s="4"/>
      <c r="CS2070" s="4"/>
      <c r="CT2070" s="4"/>
      <c r="CU2070" s="4"/>
      <c r="CV2070" s="4"/>
      <c r="CW2070" s="4"/>
      <c r="CX2070" s="4"/>
      <c r="CY2070" s="4"/>
      <c r="CZ2070" s="4"/>
      <c r="DA2070" s="4"/>
      <c r="DB2070" s="4"/>
      <c r="DC2070" s="4"/>
      <c r="DD2070" s="4"/>
      <c r="DE2070" s="4"/>
      <c r="DF2070" s="4"/>
      <c r="DG2070" s="4"/>
      <c r="DH2070" s="4"/>
      <c r="DI2070" s="4"/>
      <c r="DJ2070" s="4"/>
      <c r="DK2070" s="4"/>
      <c r="DL2070" s="4"/>
      <c r="DM2070" s="4"/>
      <c r="DN2070" s="4"/>
      <c r="DO2070" s="4"/>
      <c r="DP2070" s="4"/>
      <c r="DQ2070" s="4"/>
      <c r="DR2070" s="4"/>
      <c r="DS2070" s="4"/>
      <c r="DT2070" s="4"/>
      <c r="DU2070" s="4"/>
      <c r="DV2070" s="4"/>
      <c r="DW2070" s="4"/>
      <c r="DX2070" s="4"/>
      <c r="DY2070" s="4"/>
      <c r="DZ2070" s="4"/>
      <c r="EA2070" s="4"/>
      <c r="EB2070" s="4">
        <v>130</v>
      </c>
      <c r="EC2070" s="4"/>
      <c r="ED2070" s="4"/>
      <c r="EE2070" s="4"/>
      <c r="EF2070" s="4"/>
      <c r="EG2070" s="4"/>
      <c r="EH2070" s="4"/>
      <c r="EI2070" s="4"/>
      <c r="EJ2070" s="4">
        <v>150</v>
      </c>
      <c r="EK2070" s="4"/>
      <c r="EL2070" s="4"/>
      <c r="EM2070" s="4"/>
      <c r="EN2070" s="4"/>
      <c r="EO2070" s="4"/>
      <c r="EP2070" s="4"/>
      <c r="EQ2070" s="4"/>
      <c r="ER2070" s="4"/>
      <c r="ES2070" s="4"/>
      <c r="ET2070" s="4"/>
      <c r="EU2070" s="4"/>
      <c r="EV2070" s="4"/>
      <c r="EW2070" s="4"/>
      <c r="EX2070" s="4"/>
      <c r="EY2070" s="4"/>
      <c r="EZ2070" s="4"/>
      <c r="FA2070" s="4"/>
      <c r="FB2070" s="4"/>
      <c r="FC2070" s="4"/>
      <c r="FD2070" s="4"/>
      <c r="FE2070" s="4"/>
      <c r="FF2070" s="4"/>
      <c r="FG2070" s="4"/>
      <c r="FH2070" s="4"/>
      <c r="FI2070" s="4"/>
      <c r="FJ2070" s="4"/>
      <c r="FK2070" s="4"/>
      <c r="FL2070" s="4"/>
      <c r="FM2070" s="4"/>
      <c r="FN2070" s="4"/>
      <c r="FO2070" s="4"/>
      <c r="FP2070" s="4"/>
      <c r="FQ2070" s="4"/>
      <c r="FR2070" s="4"/>
      <c r="FS2070" s="4"/>
      <c r="FT2070" s="4"/>
      <c r="FU2070" s="4"/>
      <c r="FV2070" s="4"/>
      <c r="FW2070" s="4"/>
      <c r="FX2070" s="4"/>
      <c r="FY2070" s="4"/>
      <c r="FZ2070" s="4"/>
      <c r="GA2070" s="4"/>
      <c r="GB2070" s="4"/>
      <c r="GC2070" s="4"/>
      <c r="GD2070" s="4"/>
      <c r="GE2070" s="4"/>
      <c r="GF2070" s="4"/>
      <c r="GG2070" s="4"/>
      <c r="GH2070" s="4"/>
      <c r="GI2070" s="4"/>
      <c r="GJ2070" s="4"/>
      <c r="GK2070" s="4"/>
      <c r="GL2070" s="4"/>
      <c r="GM2070" s="4"/>
      <c r="GN2070" s="4"/>
      <c r="GO2070" s="4"/>
      <c r="GP2070" s="4"/>
      <c r="GQ2070" s="4"/>
      <c r="GR2070" s="4"/>
      <c r="GS2070" s="4"/>
      <c r="GT2070" s="4"/>
      <c r="GU2070" s="4"/>
      <c r="GV2070" s="4"/>
      <c r="GW2070" s="4"/>
      <c r="GX2070" s="4"/>
      <c r="GY2070" s="4"/>
      <c r="GZ2070" s="4"/>
      <c r="HA2070" s="4"/>
      <c r="HB2070" s="4"/>
      <c r="HC2070" s="4"/>
      <c r="HD2070" s="4"/>
      <c r="HE2070" s="4"/>
    </row>
    <row r="2071">
      <c r="A2071" s="2" t="s">
        <v>9931</v>
      </c>
      <c r="B2071" s="2" t="s">
        <v>299</v>
      </c>
      <c r="C2071" s="2" t="s">
        <v>345</v>
      </c>
      <c r="D2071" s="2" t="s">
        <v>301</v>
      </c>
      <c r="E2071" s="2" t="s">
        <v>302</v>
      </c>
      <c r="F2071" s="2" t="s">
        <v>9411</v>
      </c>
      <c r="G2071" s="2" t="s">
        <v>9411</v>
      </c>
      <c r="H2071" s="2" t="s">
        <v>9411</v>
      </c>
      <c r="I2071" s="2" t="s">
        <v>9903</v>
      </c>
      <c r="J2071" s="2" t="s">
        <v>284</v>
      </c>
      <c r="K2071" s="2" t="s">
        <v>9929</v>
      </c>
      <c r="L2071" s="3">
        <v>14.71</v>
      </c>
      <c r="M2071" s="3">
        <v>15.45</v>
      </c>
      <c r="N2071" s="3">
        <v>32.99</v>
      </c>
      <c r="O2071" s="2" t="s">
        <v>240</v>
      </c>
      <c r="P2071" s="2" t="s">
        <v>233</v>
      </c>
      <c r="Q2071" s="2" t="s">
        <v>234</v>
      </c>
      <c r="R2071" s="2" t="s">
        <v>228</v>
      </c>
      <c r="S2071" s="2" t="s">
        <v>9930</v>
      </c>
      <c r="T2071" s="2" t="s">
        <v>9411</v>
      </c>
      <c r="U2071" s="2" t="s">
        <v>1054</v>
      </c>
      <c r="V2071" s="2" t="s">
        <v>236</v>
      </c>
      <c r="W2071" s="2" t="s">
        <v>269</v>
      </c>
      <c r="X2071" s="2" t="s">
        <v>417</v>
      </c>
      <c r="Y2071" s="2" t="s">
        <v>1996</v>
      </c>
      <c r="Z2071" s="4">
        <v>444</v>
      </c>
      <c r="AA2071" s="4">
        <f>=ROUNDDOWN(13.875,0)</f>
      </c>
      <c r="AB2071" s="5">
        <v>32</v>
      </c>
      <c r="AC2071" s="2" t="s">
        <v>9905</v>
      </c>
      <c r="AD2071" s="4">
        <v>150</v>
      </c>
      <c r="AE2071" s="4">
        <v>380</v>
      </c>
      <c r="AF2071" s="6">
        <v>65</v>
      </c>
      <c r="AG2071" s="6">
        <v>48</v>
      </c>
      <c r="AH2071" s="7">
        <v>1</v>
      </c>
      <c r="AI2071" s="4"/>
      <c r="AJ2071" s="4">
        <f>=ROUNDDOWN({0},0)</f>
      </c>
      <c r="AK2071" s="5"/>
      <c r="AL2071" s="2" t="s">
        <v>228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 t="s">
        <v>228</v>
      </c>
      <c r="AW2071" s="8" t="s">
        <v>228</v>
      </c>
      <c r="AX2071" s="4" t="s">
        <v>228</v>
      </c>
      <c r="AY2071" s="8" t="s">
        <v>228</v>
      </c>
      <c r="AZ2071" s="7" t="s">
        <v>228</v>
      </c>
      <c r="BA2071" s="7" t="s">
        <v>228</v>
      </c>
      <c r="BB2071" s="7"/>
      <c r="BC2071" s="4" t="s">
        <v>228</v>
      </c>
      <c r="BD2071" s="8" t="s">
        <v>228</v>
      </c>
      <c r="BE2071" s="4" t="s">
        <v>228</v>
      </c>
      <c r="BF2071" s="8" t="s">
        <v>228</v>
      </c>
      <c r="BG2071" s="7" t="s">
        <v>228</v>
      </c>
      <c r="BH2071" s="7" t="s">
        <v>228</v>
      </c>
      <c r="BI2071" s="7"/>
      <c r="BJ2071" s="4">
        <v>6</v>
      </c>
      <c r="BK2071" s="8">
        <v>205.31</v>
      </c>
      <c r="BL2071" s="2" t="s">
        <v>7807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238</v>
      </c>
      <c r="BV2071" s="2" t="s">
        <v>228</v>
      </c>
      <c r="BW2071" s="2" t="s">
        <v>228</v>
      </c>
      <c r="BX2071" s="2" t="s">
        <v>238</v>
      </c>
      <c r="BY2071" s="2" t="s">
        <v>239</v>
      </c>
      <c r="BZ2071" s="2" t="s">
        <v>240</v>
      </c>
      <c r="CA2071" s="2" t="s">
        <v>228</v>
      </c>
      <c r="CB2071" s="2" t="s">
        <v>228</v>
      </c>
      <c r="CC2071" s="2" t="s">
        <v>241</v>
      </c>
      <c r="CD2071" s="2" t="s">
        <v>228</v>
      </c>
      <c r="CE2071" s="4">
        <v>298</v>
      </c>
      <c r="CF2071" s="4"/>
      <c r="CG2071" s="4"/>
      <c r="CH2071" s="4">
        <v>146</v>
      </c>
      <c r="CI2071" s="4"/>
      <c r="CJ2071" s="4"/>
      <c r="CK2071" s="4"/>
      <c r="CL2071" s="4"/>
      <c r="CM2071" s="4"/>
      <c r="CN2071" s="4"/>
      <c r="CO2071" s="4"/>
      <c r="CP2071" s="4"/>
      <c r="CQ2071" s="4"/>
      <c r="CR2071" s="4"/>
      <c r="CS2071" s="4"/>
      <c r="CT2071" s="4"/>
      <c r="CU2071" s="4"/>
      <c r="CV2071" s="4"/>
      <c r="CW2071" s="4"/>
      <c r="CX2071" s="4"/>
      <c r="CY2071" s="4"/>
      <c r="CZ2071" s="4"/>
      <c r="DA2071" s="4"/>
      <c r="DB2071" s="4"/>
      <c r="DC2071" s="4"/>
      <c r="DD2071" s="4"/>
      <c r="DE2071" s="4"/>
      <c r="DF2071" s="4"/>
      <c r="DG2071" s="4"/>
      <c r="DH2071" s="4"/>
      <c r="DI2071" s="4"/>
      <c r="DJ2071" s="4"/>
      <c r="DK2071" s="4"/>
      <c r="DL2071" s="4"/>
      <c r="DM2071" s="4"/>
      <c r="DN2071" s="4"/>
      <c r="DO2071" s="4"/>
      <c r="DP2071" s="4"/>
      <c r="DQ2071" s="4"/>
      <c r="DR2071" s="4"/>
      <c r="DS2071" s="4"/>
      <c r="DT2071" s="4"/>
      <c r="DU2071" s="4"/>
      <c r="DV2071" s="4"/>
      <c r="DW2071" s="4"/>
      <c r="DX2071" s="4"/>
      <c r="DY2071" s="4"/>
      <c r="DZ2071" s="4"/>
      <c r="EA2071" s="4"/>
      <c r="EB2071" s="4">
        <v>150</v>
      </c>
      <c r="EC2071" s="4"/>
      <c r="ED2071" s="4"/>
      <c r="EE2071" s="4"/>
      <c r="EF2071" s="4"/>
      <c r="EG2071" s="4"/>
      <c r="EH2071" s="4"/>
      <c r="EI2071" s="4"/>
      <c r="EJ2071" s="4">
        <v>230</v>
      </c>
      <c r="EK2071" s="4"/>
      <c r="EL2071" s="4"/>
      <c r="EM2071" s="4"/>
      <c r="EN2071" s="4"/>
      <c r="EO2071" s="4"/>
      <c r="EP2071" s="4"/>
      <c r="EQ2071" s="4"/>
      <c r="ER2071" s="4"/>
      <c r="ES2071" s="4"/>
      <c r="ET2071" s="4"/>
      <c r="EU2071" s="4"/>
      <c r="EV2071" s="4"/>
      <c r="EW2071" s="4"/>
      <c r="EX2071" s="4"/>
      <c r="EY2071" s="4"/>
      <c r="EZ2071" s="4"/>
      <c r="FA2071" s="4"/>
      <c r="FB2071" s="4"/>
      <c r="FC2071" s="4"/>
      <c r="FD2071" s="4"/>
      <c r="FE2071" s="4"/>
      <c r="FF2071" s="4"/>
      <c r="FG2071" s="4"/>
      <c r="FH2071" s="4"/>
      <c r="FI2071" s="4"/>
      <c r="FJ2071" s="4"/>
      <c r="FK2071" s="4"/>
      <c r="FL2071" s="4"/>
      <c r="FM2071" s="4"/>
      <c r="FN2071" s="4"/>
      <c r="FO2071" s="4"/>
      <c r="FP2071" s="4"/>
      <c r="FQ2071" s="4"/>
      <c r="FR2071" s="4"/>
      <c r="FS2071" s="4"/>
      <c r="FT2071" s="4"/>
      <c r="FU2071" s="4"/>
      <c r="FV2071" s="4"/>
      <c r="FW2071" s="4"/>
      <c r="FX2071" s="4"/>
      <c r="FY2071" s="4"/>
      <c r="FZ2071" s="4"/>
      <c r="GA2071" s="4"/>
      <c r="GB2071" s="4"/>
      <c r="GC2071" s="4"/>
      <c r="GD2071" s="4"/>
      <c r="GE2071" s="4"/>
      <c r="GF2071" s="4"/>
      <c r="GG2071" s="4"/>
      <c r="GH2071" s="4"/>
      <c r="GI2071" s="4"/>
      <c r="GJ2071" s="4"/>
      <c r="GK2071" s="4"/>
      <c r="GL2071" s="4"/>
      <c r="GM2071" s="4"/>
      <c r="GN2071" s="4"/>
      <c r="GO2071" s="4"/>
      <c r="GP2071" s="4"/>
      <c r="GQ2071" s="4"/>
      <c r="GR2071" s="4"/>
      <c r="GS2071" s="4"/>
      <c r="GT2071" s="4"/>
      <c r="GU2071" s="4"/>
      <c r="GV2071" s="4"/>
      <c r="GW2071" s="4"/>
      <c r="GX2071" s="4"/>
      <c r="GY2071" s="4"/>
      <c r="GZ2071" s="4"/>
      <c r="HA2071" s="4"/>
      <c r="HB2071" s="4"/>
      <c r="HC2071" s="4"/>
      <c r="HD2071" s="4"/>
      <c r="HE2071" s="4"/>
    </row>
    <row r="2072">
      <c r="A2072" s="2" t="s">
        <v>9932</v>
      </c>
      <c r="B2072" s="2" t="s">
        <v>299</v>
      </c>
      <c r="C2072" s="2" t="s">
        <v>345</v>
      </c>
      <c r="D2072" s="2" t="s">
        <v>301</v>
      </c>
      <c r="E2072" s="2" t="s">
        <v>302</v>
      </c>
      <c r="F2072" s="2" t="s">
        <v>9411</v>
      </c>
      <c r="G2072" s="2" t="s">
        <v>9411</v>
      </c>
      <c r="H2072" s="2" t="s">
        <v>9411</v>
      </c>
      <c r="I2072" s="2" t="s">
        <v>9903</v>
      </c>
      <c r="J2072" s="2" t="s">
        <v>289</v>
      </c>
      <c r="K2072" s="2" t="s">
        <v>9929</v>
      </c>
      <c r="L2072" s="3">
        <v>16.94</v>
      </c>
      <c r="M2072" s="3">
        <v>17.79</v>
      </c>
      <c r="N2072" s="3">
        <v>37.99</v>
      </c>
      <c r="O2072" s="2" t="s">
        <v>240</v>
      </c>
      <c r="P2072" s="2" t="s">
        <v>233</v>
      </c>
      <c r="Q2072" s="2" t="s">
        <v>234</v>
      </c>
      <c r="R2072" s="2" t="s">
        <v>228</v>
      </c>
      <c r="S2072" s="2" t="s">
        <v>9930</v>
      </c>
      <c r="T2072" s="2" t="s">
        <v>9411</v>
      </c>
      <c r="U2072" s="2" t="s">
        <v>1054</v>
      </c>
      <c r="V2072" s="2" t="s">
        <v>236</v>
      </c>
      <c r="W2072" s="2" t="s">
        <v>269</v>
      </c>
      <c r="X2072" s="2" t="s">
        <v>417</v>
      </c>
      <c r="Y2072" s="2" t="s">
        <v>1996</v>
      </c>
      <c r="Z2072" s="4">
        <v>1174</v>
      </c>
      <c r="AA2072" s="4">
        <f>=ROUNDDOWN(11.5098039215686,0)</f>
      </c>
      <c r="AB2072" s="5">
        <v>102</v>
      </c>
      <c r="AC2072" s="2" t="s">
        <v>9905</v>
      </c>
      <c r="AD2072" s="4">
        <v>400</v>
      </c>
      <c r="AE2072" s="4">
        <v>920</v>
      </c>
      <c r="AF2072" s="6">
        <v>65</v>
      </c>
      <c r="AG2072" s="6">
        <v>48</v>
      </c>
      <c r="AH2072" s="7">
        <v>1</v>
      </c>
      <c r="AI2072" s="4"/>
      <c r="AJ2072" s="4">
        <f>=ROUNDDOWN({0},0)</f>
      </c>
      <c r="AK2072" s="5"/>
      <c r="AL2072" s="2" t="s">
        <v>228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 t="s">
        <v>228</v>
      </c>
      <c r="AW2072" s="8" t="s">
        <v>228</v>
      </c>
      <c r="AX2072" s="4" t="s">
        <v>228</v>
      </c>
      <c r="AY2072" s="8" t="s">
        <v>228</v>
      </c>
      <c r="AZ2072" s="7" t="s">
        <v>228</v>
      </c>
      <c r="BA2072" s="7" t="s">
        <v>228</v>
      </c>
      <c r="BB2072" s="7"/>
      <c r="BC2072" s="4" t="s">
        <v>228</v>
      </c>
      <c r="BD2072" s="8" t="s">
        <v>228</v>
      </c>
      <c r="BE2072" s="4" t="s">
        <v>228</v>
      </c>
      <c r="BF2072" s="8" t="s">
        <v>228</v>
      </c>
      <c r="BG2072" s="7" t="s">
        <v>228</v>
      </c>
      <c r="BH2072" s="7" t="s">
        <v>228</v>
      </c>
      <c r="BI2072" s="7"/>
      <c r="BJ2072" s="4">
        <v>19</v>
      </c>
      <c r="BK2072" s="8">
        <v>681.9</v>
      </c>
      <c r="BL2072" s="2" t="s">
        <v>7807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238</v>
      </c>
      <c r="BV2072" s="2" t="s">
        <v>228</v>
      </c>
      <c r="BW2072" s="2" t="s">
        <v>228</v>
      </c>
      <c r="BX2072" s="2" t="s">
        <v>238</v>
      </c>
      <c r="BY2072" s="2" t="s">
        <v>239</v>
      </c>
      <c r="BZ2072" s="2" t="s">
        <v>240</v>
      </c>
      <c r="CA2072" s="2" t="s">
        <v>228</v>
      </c>
      <c r="CB2072" s="2" t="s">
        <v>228</v>
      </c>
      <c r="CC2072" s="2" t="s">
        <v>241</v>
      </c>
      <c r="CD2072" s="2" t="s">
        <v>228</v>
      </c>
      <c r="CE2072" s="4">
        <v>575</v>
      </c>
      <c r="CF2072" s="4"/>
      <c r="CG2072" s="4"/>
      <c r="CH2072" s="4">
        <v>391</v>
      </c>
      <c r="CI2072" s="4"/>
      <c r="CJ2072" s="4"/>
      <c r="CK2072" s="4">
        <v>208</v>
      </c>
      <c r="CL2072" s="4"/>
      <c r="CM2072" s="4"/>
      <c r="CN2072" s="4"/>
      <c r="CO2072" s="4"/>
      <c r="CP2072" s="4"/>
      <c r="CQ2072" s="4"/>
      <c r="CR2072" s="4"/>
      <c r="CS2072" s="4"/>
      <c r="CT2072" s="4"/>
      <c r="CU2072" s="4"/>
      <c r="CV2072" s="4"/>
      <c r="CW2072" s="4"/>
      <c r="CX2072" s="4"/>
      <c r="CY2072" s="4"/>
      <c r="CZ2072" s="4"/>
      <c r="DA2072" s="4"/>
      <c r="DB2072" s="4"/>
      <c r="DC2072" s="4"/>
      <c r="DD2072" s="4"/>
      <c r="DE2072" s="4"/>
      <c r="DF2072" s="4"/>
      <c r="DG2072" s="4"/>
      <c r="DH2072" s="4"/>
      <c r="DI2072" s="4"/>
      <c r="DJ2072" s="4"/>
      <c r="DK2072" s="4"/>
      <c r="DL2072" s="4"/>
      <c r="DM2072" s="4"/>
      <c r="DN2072" s="4"/>
      <c r="DO2072" s="4"/>
      <c r="DP2072" s="4"/>
      <c r="DQ2072" s="4"/>
      <c r="DR2072" s="4"/>
      <c r="DS2072" s="4"/>
      <c r="DT2072" s="4"/>
      <c r="DU2072" s="4"/>
      <c r="DV2072" s="4"/>
      <c r="DW2072" s="4"/>
      <c r="DX2072" s="4"/>
      <c r="DY2072" s="4"/>
      <c r="DZ2072" s="4"/>
      <c r="EA2072" s="4"/>
      <c r="EB2072" s="4">
        <v>400</v>
      </c>
      <c r="EC2072" s="4"/>
      <c r="ED2072" s="4"/>
      <c r="EE2072" s="4"/>
      <c r="EF2072" s="4"/>
      <c r="EG2072" s="4"/>
      <c r="EH2072" s="4"/>
      <c r="EI2072" s="4"/>
      <c r="EJ2072" s="4">
        <v>520</v>
      </c>
      <c r="EK2072" s="4"/>
      <c r="EL2072" s="4"/>
      <c r="EM2072" s="4"/>
      <c r="EN2072" s="4"/>
      <c r="EO2072" s="4"/>
      <c r="EP2072" s="4"/>
      <c r="EQ2072" s="4"/>
      <c r="ER2072" s="4"/>
      <c r="ES2072" s="4"/>
      <c r="ET2072" s="4"/>
      <c r="EU2072" s="4"/>
      <c r="EV2072" s="4"/>
      <c r="EW2072" s="4"/>
      <c r="EX2072" s="4"/>
      <c r="EY2072" s="4"/>
      <c r="EZ2072" s="4"/>
      <c r="FA2072" s="4"/>
      <c r="FB2072" s="4"/>
      <c r="FC2072" s="4"/>
      <c r="FD2072" s="4"/>
      <c r="FE2072" s="4"/>
      <c r="FF2072" s="4"/>
      <c r="FG2072" s="4"/>
      <c r="FH2072" s="4"/>
      <c r="FI2072" s="4"/>
      <c r="FJ2072" s="4"/>
      <c r="FK2072" s="4"/>
      <c r="FL2072" s="4"/>
      <c r="FM2072" s="4"/>
      <c r="FN2072" s="4"/>
      <c r="FO2072" s="4"/>
      <c r="FP2072" s="4"/>
      <c r="FQ2072" s="4"/>
      <c r="FR2072" s="4"/>
      <c r="FS2072" s="4"/>
      <c r="FT2072" s="4"/>
      <c r="FU2072" s="4"/>
      <c r="FV2072" s="4"/>
      <c r="FW2072" s="4"/>
      <c r="FX2072" s="4"/>
      <c r="FY2072" s="4"/>
      <c r="FZ2072" s="4"/>
      <c r="GA2072" s="4"/>
      <c r="GB2072" s="4"/>
      <c r="GC2072" s="4"/>
      <c r="GD2072" s="4"/>
      <c r="GE2072" s="4"/>
      <c r="GF2072" s="4"/>
      <c r="GG2072" s="4"/>
      <c r="GH2072" s="4"/>
      <c r="GI2072" s="4"/>
      <c r="GJ2072" s="4"/>
      <c r="GK2072" s="4"/>
      <c r="GL2072" s="4"/>
      <c r="GM2072" s="4"/>
      <c r="GN2072" s="4"/>
      <c r="GO2072" s="4"/>
      <c r="GP2072" s="4"/>
      <c r="GQ2072" s="4"/>
      <c r="GR2072" s="4"/>
      <c r="GS2072" s="4"/>
      <c r="GT2072" s="4"/>
      <c r="GU2072" s="4"/>
      <c r="GV2072" s="4"/>
      <c r="GW2072" s="4"/>
      <c r="GX2072" s="4"/>
      <c r="GY2072" s="4"/>
      <c r="GZ2072" s="4"/>
      <c r="HA2072" s="4"/>
      <c r="HB2072" s="4"/>
      <c r="HC2072" s="4"/>
      <c r="HD2072" s="4"/>
      <c r="HE2072" s="4"/>
    </row>
    <row r="2073">
      <c r="A2073" s="2" t="s">
        <v>9933</v>
      </c>
      <c r="B2073" s="2" t="s">
        <v>299</v>
      </c>
      <c r="C2073" s="2" t="s">
        <v>345</v>
      </c>
      <c r="D2073" s="2" t="s">
        <v>516</v>
      </c>
      <c r="E2073" s="2" t="s">
        <v>517</v>
      </c>
      <c r="F2073" s="2" t="s">
        <v>9411</v>
      </c>
      <c r="G2073" s="2" t="s">
        <v>9411</v>
      </c>
      <c r="H2073" s="2" t="s">
        <v>9411</v>
      </c>
      <c r="I2073" s="2" t="s">
        <v>9913</v>
      </c>
      <c r="J2073" s="2" t="s">
        <v>294</v>
      </c>
      <c r="K2073" s="2" t="s">
        <v>9929</v>
      </c>
      <c r="L2073" s="3">
        <v>5.79</v>
      </c>
      <c r="M2073" s="3">
        <v>6.08</v>
      </c>
      <c r="N2073" s="3">
        <v>12.99</v>
      </c>
      <c r="O2073" s="2" t="s">
        <v>240</v>
      </c>
      <c r="P2073" s="2" t="s">
        <v>233</v>
      </c>
      <c r="Q2073" s="2" t="s">
        <v>234</v>
      </c>
      <c r="R2073" s="2" t="s">
        <v>228</v>
      </c>
      <c r="S2073" s="2" t="s">
        <v>9930</v>
      </c>
      <c r="T2073" s="2" t="s">
        <v>9411</v>
      </c>
      <c r="U2073" s="2" t="s">
        <v>520</v>
      </c>
      <c r="V2073" s="2" t="s">
        <v>236</v>
      </c>
      <c r="W2073" s="2" t="s">
        <v>269</v>
      </c>
      <c r="X2073" s="2" t="s">
        <v>417</v>
      </c>
      <c r="Y2073" s="2" t="s">
        <v>9914</v>
      </c>
      <c r="Z2073" s="4">
        <v>432</v>
      </c>
      <c r="AA2073" s="4">
        <f>=ROUNDDOWN(16.6153846153846,0)</f>
      </c>
      <c r="AB2073" s="5">
        <v>26</v>
      </c>
      <c r="AC2073" s="2" t="s">
        <v>9905</v>
      </c>
      <c r="AD2073" s="4">
        <v>144</v>
      </c>
      <c r="AE2073" s="4">
        <v>304</v>
      </c>
      <c r="AF2073" s="6">
        <v>65</v>
      </c>
      <c r="AG2073" s="6">
        <v>48</v>
      </c>
      <c r="AH2073" s="7">
        <v>1</v>
      </c>
      <c r="AI2073" s="4"/>
      <c r="AJ2073" s="4">
        <f>=ROUNDDOWN({0},0)</f>
      </c>
      <c r="AK2073" s="5"/>
      <c r="AL2073" s="2" t="s">
        <v>228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 t="s">
        <v>228</v>
      </c>
      <c r="AW2073" s="8" t="s">
        <v>228</v>
      </c>
      <c r="AX2073" s="4" t="s">
        <v>228</v>
      </c>
      <c r="AY2073" s="8" t="s">
        <v>228</v>
      </c>
      <c r="AZ2073" s="7" t="s">
        <v>228</v>
      </c>
      <c r="BA2073" s="7" t="s">
        <v>228</v>
      </c>
      <c r="BB2073" s="7" t="s">
        <v>228</v>
      </c>
      <c r="BC2073" s="4" t="s">
        <v>228</v>
      </c>
      <c r="BD2073" s="8" t="s">
        <v>228</v>
      </c>
      <c r="BE2073" s="4" t="s">
        <v>228</v>
      </c>
      <c r="BF2073" s="8" t="s">
        <v>228</v>
      </c>
      <c r="BG2073" s="7" t="s">
        <v>228</v>
      </c>
      <c r="BH2073" s="7" t="s">
        <v>228</v>
      </c>
      <c r="BI2073" s="7"/>
      <c r="BJ2073" s="4"/>
      <c r="BK2073" s="8"/>
      <c r="BL2073" s="2" t="s">
        <v>228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238</v>
      </c>
      <c r="BV2073" s="2" t="s">
        <v>228</v>
      </c>
      <c r="BW2073" s="2" t="s">
        <v>228</v>
      </c>
      <c r="BX2073" s="2" t="s">
        <v>238</v>
      </c>
      <c r="BY2073" s="2" t="s">
        <v>239</v>
      </c>
      <c r="BZ2073" s="2" t="s">
        <v>240</v>
      </c>
      <c r="CA2073" s="2" t="s">
        <v>228</v>
      </c>
      <c r="CB2073" s="2" t="s">
        <v>228</v>
      </c>
      <c r="CC2073" s="2" t="s">
        <v>241</v>
      </c>
      <c r="CD2073" s="2" t="s">
        <v>228</v>
      </c>
      <c r="CE2073" s="4">
        <v>288</v>
      </c>
      <c r="CF2073" s="4"/>
      <c r="CG2073" s="4"/>
      <c r="CH2073" s="4">
        <v>144</v>
      </c>
      <c r="CI2073" s="4"/>
      <c r="CJ2073" s="4"/>
      <c r="CK2073" s="4"/>
      <c r="CL2073" s="4"/>
      <c r="CM2073" s="4"/>
      <c r="CN2073" s="4"/>
      <c r="CO2073" s="4"/>
      <c r="CP2073" s="4"/>
      <c r="CQ2073" s="4"/>
      <c r="CR2073" s="4"/>
      <c r="CS2073" s="4"/>
      <c r="CT2073" s="4"/>
      <c r="CU2073" s="4"/>
      <c r="CV2073" s="4"/>
      <c r="CW2073" s="4"/>
      <c r="CX2073" s="4"/>
      <c r="CY2073" s="4"/>
      <c r="CZ2073" s="4"/>
      <c r="DA2073" s="4"/>
      <c r="DB2073" s="4"/>
      <c r="DC2073" s="4"/>
      <c r="DD2073" s="4"/>
      <c r="DE2073" s="4"/>
      <c r="DF2073" s="4"/>
      <c r="DG2073" s="4"/>
      <c r="DH2073" s="4"/>
      <c r="DI2073" s="4"/>
      <c r="DJ2073" s="4"/>
      <c r="DK2073" s="4"/>
      <c r="DL2073" s="4"/>
      <c r="DM2073" s="4"/>
      <c r="DN2073" s="4"/>
      <c r="DO2073" s="4"/>
      <c r="DP2073" s="4"/>
      <c r="DQ2073" s="4"/>
      <c r="DR2073" s="4"/>
      <c r="DS2073" s="4"/>
      <c r="DT2073" s="4"/>
      <c r="DU2073" s="4"/>
      <c r="DV2073" s="4"/>
      <c r="DW2073" s="4"/>
      <c r="DX2073" s="4"/>
      <c r="DY2073" s="4"/>
      <c r="DZ2073" s="4"/>
      <c r="EA2073" s="4"/>
      <c r="EB2073" s="4">
        <v>144</v>
      </c>
      <c r="EC2073" s="4"/>
      <c r="ED2073" s="4"/>
      <c r="EE2073" s="4"/>
      <c r="EF2073" s="4"/>
      <c r="EG2073" s="4"/>
      <c r="EH2073" s="4"/>
      <c r="EI2073" s="4"/>
      <c r="EJ2073" s="4">
        <v>160</v>
      </c>
      <c r="EK2073" s="4"/>
      <c r="EL2073" s="4"/>
      <c r="EM2073" s="4"/>
      <c r="EN2073" s="4"/>
      <c r="EO2073" s="4"/>
      <c r="EP2073" s="4"/>
      <c r="EQ2073" s="4"/>
      <c r="ER2073" s="4"/>
      <c r="ES2073" s="4"/>
      <c r="ET2073" s="4"/>
      <c r="EU2073" s="4"/>
      <c r="EV2073" s="4"/>
      <c r="EW2073" s="4"/>
      <c r="EX2073" s="4"/>
      <c r="EY2073" s="4"/>
      <c r="EZ2073" s="4"/>
      <c r="FA2073" s="4"/>
      <c r="FB2073" s="4"/>
      <c r="FC2073" s="4"/>
      <c r="FD2073" s="4"/>
      <c r="FE2073" s="4"/>
      <c r="FF2073" s="4"/>
      <c r="FG2073" s="4"/>
      <c r="FH2073" s="4"/>
      <c r="FI2073" s="4"/>
      <c r="FJ2073" s="4"/>
      <c r="FK2073" s="4"/>
      <c r="FL2073" s="4"/>
      <c r="FM2073" s="4"/>
      <c r="FN2073" s="4"/>
      <c r="FO2073" s="4"/>
      <c r="FP2073" s="4"/>
      <c r="FQ2073" s="4"/>
      <c r="FR2073" s="4"/>
      <c r="FS2073" s="4"/>
      <c r="FT2073" s="4"/>
      <c r="FU2073" s="4"/>
      <c r="FV2073" s="4"/>
      <c r="FW2073" s="4"/>
      <c r="FX2073" s="4"/>
      <c r="FY2073" s="4"/>
      <c r="FZ2073" s="4"/>
      <c r="GA2073" s="4"/>
      <c r="GB2073" s="4"/>
      <c r="GC2073" s="4"/>
      <c r="GD2073" s="4"/>
      <c r="GE2073" s="4"/>
      <c r="GF2073" s="4"/>
      <c r="GG2073" s="4"/>
      <c r="GH2073" s="4"/>
      <c r="GI2073" s="4"/>
      <c r="GJ2073" s="4"/>
      <c r="GK2073" s="4"/>
      <c r="GL2073" s="4"/>
      <c r="GM2073" s="4"/>
      <c r="GN2073" s="4"/>
      <c r="GO2073" s="4"/>
      <c r="GP2073" s="4"/>
      <c r="GQ2073" s="4"/>
      <c r="GR2073" s="4"/>
      <c r="GS2073" s="4"/>
      <c r="GT2073" s="4"/>
      <c r="GU2073" s="4"/>
      <c r="GV2073" s="4"/>
      <c r="GW2073" s="4"/>
      <c r="GX2073" s="4"/>
      <c r="GY2073" s="4"/>
      <c r="GZ2073" s="4"/>
      <c r="HA2073" s="4"/>
      <c r="HB2073" s="4"/>
      <c r="HC2073" s="4"/>
      <c r="HD2073" s="4"/>
      <c r="HE2073" s="4"/>
    </row>
    <row r="2074">
      <c r="A2074" s="2" t="s">
        <v>9934</v>
      </c>
      <c r="B2074" s="2" t="s">
        <v>299</v>
      </c>
      <c r="C2074" s="2" t="s">
        <v>345</v>
      </c>
      <c r="D2074" s="2" t="s">
        <v>301</v>
      </c>
      <c r="E2074" s="2" t="s">
        <v>302</v>
      </c>
      <c r="F2074" s="2" t="s">
        <v>9411</v>
      </c>
      <c r="G2074" s="2" t="s">
        <v>9411</v>
      </c>
      <c r="H2074" s="2" t="s">
        <v>9411</v>
      </c>
      <c r="I2074" s="2" t="s">
        <v>9903</v>
      </c>
      <c r="J2074" s="2" t="s">
        <v>294</v>
      </c>
      <c r="K2074" s="2" t="s">
        <v>9929</v>
      </c>
      <c r="L2074" s="3">
        <v>19.17</v>
      </c>
      <c r="M2074" s="3">
        <v>20.13</v>
      </c>
      <c r="N2074" s="3">
        <v>42.99</v>
      </c>
      <c r="O2074" s="2" t="s">
        <v>240</v>
      </c>
      <c r="P2074" s="2" t="s">
        <v>233</v>
      </c>
      <c r="Q2074" s="2" t="s">
        <v>234</v>
      </c>
      <c r="R2074" s="2" t="s">
        <v>228</v>
      </c>
      <c r="S2074" s="2" t="s">
        <v>9930</v>
      </c>
      <c r="T2074" s="2" t="s">
        <v>9411</v>
      </c>
      <c r="U2074" s="2" t="s">
        <v>1054</v>
      </c>
      <c r="V2074" s="2" t="s">
        <v>236</v>
      </c>
      <c r="W2074" s="2" t="s">
        <v>269</v>
      </c>
      <c r="X2074" s="2" t="s">
        <v>417</v>
      </c>
      <c r="Y2074" s="2" t="s">
        <v>1994</v>
      </c>
      <c r="Z2074" s="4">
        <v>531</v>
      </c>
      <c r="AA2074" s="4">
        <f>=ROUNDDOWN(12.0681818181818,0)</f>
      </c>
      <c r="AB2074" s="5">
        <v>44</v>
      </c>
      <c r="AC2074" s="2" t="s">
        <v>9905</v>
      </c>
      <c r="AD2074" s="4">
        <v>180</v>
      </c>
      <c r="AE2074" s="4">
        <v>410</v>
      </c>
      <c r="AF2074" s="6">
        <v>65</v>
      </c>
      <c r="AG2074" s="6">
        <v>48</v>
      </c>
      <c r="AH2074" s="7">
        <v>1</v>
      </c>
      <c r="AI2074" s="4"/>
      <c r="AJ2074" s="4">
        <f>=ROUNDDOWN({0},0)</f>
      </c>
      <c r="AK2074" s="5"/>
      <c r="AL2074" s="2" t="s">
        <v>228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 t="s">
        <v>228</v>
      </c>
      <c r="AW2074" s="8" t="s">
        <v>228</v>
      </c>
      <c r="AX2074" s="4" t="s">
        <v>228</v>
      </c>
      <c r="AY2074" s="8" t="s">
        <v>228</v>
      </c>
      <c r="AZ2074" s="7" t="s">
        <v>228</v>
      </c>
      <c r="BA2074" s="7" t="s">
        <v>228</v>
      </c>
      <c r="BB2074" s="7" t="s">
        <v>228</v>
      </c>
      <c r="BC2074" s="4" t="s">
        <v>228</v>
      </c>
      <c r="BD2074" s="8" t="s">
        <v>228</v>
      </c>
      <c r="BE2074" s="4" t="s">
        <v>228</v>
      </c>
      <c r="BF2074" s="8" t="s">
        <v>228</v>
      </c>
      <c r="BG2074" s="7" t="s">
        <v>228</v>
      </c>
      <c r="BH2074" s="7" t="s">
        <v>228</v>
      </c>
      <c r="BI2074" s="7"/>
      <c r="BJ2074" s="4">
        <v>6</v>
      </c>
      <c r="BK2074" s="8">
        <v>239.15</v>
      </c>
      <c r="BL2074" s="2" t="s">
        <v>7807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238</v>
      </c>
      <c r="BV2074" s="2" t="s">
        <v>228</v>
      </c>
      <c r="BW2074" s="2" t="s">
        <v>228</v>
      </c>
      <c r="BX2074" s="2" t="s">
        <v>238</v>
      </c>
      <c r="BY2074" s="2" t="s">
        <v>239</v>
      </c>
      <c r="BZ2074" s="2" t="s">
        <v>240</v>
      </c>
      <c r="CA2074" s="2" t="s">
        <v>228</v>
      </c>
      <c r="CB2074" s="2" t="s">
        <v>228</v>
      </c>
      <c r="CC2074" s="2" t="s">
        <v>241</v>
      </c>
      <c r="CD2074" s="2" t="s">
        <v>228</v>
      </c>
      <c r="CE2074" s="4">
        <v>356</v>
      </c>
      <c r="CF2074" s="4"/>
      <c r="CG2074" s="4"/>
      <c r="CH2074" s="4">
        <v>175</v>
      </c>
      <c r="CI2074" s="4"/>
      <c r="CJ2074" s="4"/>
      <c r="CK2074" s="4"/>
      <c r="CL2074" s="4"/>
      <c r="CM2074" s="4"/>
      <c r="CN2074" s="4"/>
      <c r="CO2074" s="4"/>
      <c r="CP2074" s="4"/>
      <c r="CQ2074" s="4"/>
      <c r="CR2074" s="4"/>
      <c r="CS2074" s="4"/>
      <c r="CT2074" s="4"/>
      <c r="CU2074" s="4"/>
      <c r="CV2074" s="4"/>
      <c r="CW2074" s="4"/>
      <c r="CX2074" s="4"/>
      <c r="CY2074" s="4"/>
      <c r="CZ2074" s="4"/>
      <c r="DA2074" s="4"/>
      <c r="DB2074" s="4"/>
      <c r="DC2074" s="4"/>
      <c r="DD2074" s="4"/>
      <c r="DE2074" s="4"/>
      <c r="DF2074" s="4"/>
      <c r="DG2074" s="4"/>
      <c r="DH2074" s="4"/>
      <c r="DI2074" s="4"/>
      <c r="DJ2074" s="4"/>
      <c r="DK2074" s="4"/>
      <c r="DL2074" s="4"/>
      <c r="DM2074" s="4"/>
      <c r="DN2074" s="4"/>
      <c r="DO2074" s="4"/>
      <c r="DP2074" s="4"/>
      <c r="DQ2074" s="4"/>
      <c r="DR2074" s="4"/>
      <c r="DS2074" s="4"/>
      <c r="DT2074" s="4"/>
      <c r="DU2074" s="4"/>
      <c r="DV2074" s="4"/>
      <c r="DW2074" s="4"/>
      <c r="DX2074" s="4"/>
      <c r="DY2074" s="4"/>
      <c r="DZ2074" s="4"/>
      <c r="EA2074" s="4"/>
      <c r="EB2074" s="4">
        <v>180</v>
      </c>
      <c r="EC2074" s="4"/>
      <c r="ED2074" s="4"/>
      <c r="EE2074" s="4"/>
      <c r="EF2074" s="4"/>
      <c r="EG2074" s="4"/>
      <c r="EH2074" s="4"/>
      <c r="EI2074" s="4"/>
      <c r="EJ2074" s="4">
        <v>230</v>
      </c>
      <c r="EK2074" s="4"/>
      <c r="EL2074" s="4"/>
      <c r="EM2074" s="4"/>
      <c r="EN2074" s="4"/>
      <c r="EO2074" s="4"/>
      <c r="EP2074" s="4"/>
      <c r="EQ2074" s="4"/>
      <c r="ER2074" s="4"/>
      <c r="ES2074" s="4"/>
      <c r="ET2074" s="4"/>
      <c r="EU2074" s="4"/>
      <c r="EV2074" s="4"/>
      <c r="EW2074" s="4"/>
      <c r="EX2074" s="4"/>
      <c r="EY2074" s="4"/>
      <c r="EZ2074" s="4"/>
      <c r="FA2074" s="4"/>
      <c r="FB2074" s="4"/>
      <c r="FC2074" s="4"/>
      <c r="FD2074" s="4"/>
      <c r="FE2074" s="4"/>
      <c r="FF2074" s="4"/>
      <c r="FG2074" s="4"/>
      <c r="FH2074" s="4"/>
      <c r="FI2074" s="4"/>
      <c r="FJ2074" s="4"/>
      <c r="FK2074" s="4"/>
      <c r="FL2074" s="4"/>
      <c r="FM2074" s="4"/>
      <c r="FN2074" s="4"/>
      <c r="FO2074" s="4"/>
      <c r="FP2074" s="4"/>
      <c r="FQ2074" s="4"/>
      <c r="FR2074" s="4"/>
      <c r="FS2074" s="4"/>
      <c r="FT2074" s="4"/>
      <c r="FU2074" s="4"/>
      <c r="FV2074" s="4"/>
      <c r="FW2074" s="4"/>
      <c r="FX2074" s="4"/>
      <c r="FY2074" s="4"/>
      <c r="FZ2074" s="4"/>
      <c r="GA2074" s="4"/>
      <c r="GB2074" s="4"/>
      <c r="GC2074" s="4"/>
      <c r="GD2074" s="4"/>
      <c r="GE2074" s="4"/>
      <c r="GF2074" s="4"/>
      <c r="GG2074" s="4"/>
      <c r="GH2074" s="4"/>
      <c r="GI2074" s="4"/>
      <c r="GJ2074" s="4"/>
      <c r="GK2074" s="4"/>
      <c r="GL2074" s="4"/>
      <c r="GM2074" s="4"/>
      <c r="GN2074" s="4"/>
      <c r="GO2074" s="4"/>
      <c r="GP2074" s="4"/>
      <c r="GQ2074" s="4"/>
      <c r="GR2074" s="4"/>
      <c r="GS2074" s="4"/>
      <c r="GT2074" s="4"/>
      <c r="GU2074" s="4"/>
      <c r="GV2074" s="4"/>
      <c r="GW2074" s="4"/>
      <c r="GX2074" s="4"/>
      <c r="GY2074" s="4"/>
      <c r="GZ2074" s="4"/>
      <c r="HA2074" s="4"/>
      <c r="HB2074" s="4"/>
      <c r="HC2074" s="4"/>
      <c r="HD2074" s="4"/>
      <c r="HE2074" s="4"/>
    </row>
    <row r="2075">
      <c r="A2075" s="2" t="s">
        <v>9935</v>
      </c>
      <c r="B2075" s="2" t="s">
        <v>299</v>
      </c>
      <c r="C2075" s="2" t="s">
        <v>345</v>
      </c>
      <c r="D2075" s="2" t="s">
        <v>301</v>
      </c>
      <c r="E2075" s="2" t="s">
        <v>302</v>
      </c>
      <c r="F2075" s="2" t="s">
        <v>9411</v>
      </c>
      <c r="G2075" s="2" t="s">
        <v>9411</v>
      </c>
      <c r="H2075" s="2" t="s">
        <v>9411</v>
      </c>
      <c r="I2075" s="2" t="s">
        <v>9903</v>
      </c>
      <c r="J2075" s="2" t="s">
        <v>312</v>
      </c>
      <c r="K2075" s="2" t="s">
        <v>9929</v>
      </c>
      <c r="L2075" s="3">
        <v>19.17</v>
      </c>
      <c r="M2075" s="3">
        <v>20.13</v>
      </c>
      <c r="N2075" s="3">
        <v>42.99</v>
      </c>
      <c r="O2075" s="2" t="s">
        <v>240</v>
      </c>
      <c r="P2075" s="2" t="s">
        <v>233</v>
      </c>
      <c r="Q2075" s="2" t="s">
        <v>234</v>
      </c>
      <c r="R2075" s="2" t="s">
        <v>228</v>
      </c>
      <c r="S2075" s="2" t="s">
        <v>9930</v>
      </c>
      <c r="T2075" s="2" t="s">
        <v>9411</v>
      </c>
      <c r="U2075" s="2" t="s">
        <v>1054</v>
      </c>
      <c r="V2075" s="2" t="s">
        <v>236</v>
      </c>
      <c r="W2075" s="2" t="s">
        <v>269</v>
      </c>
      <c r="X2075" s="2" t="s">
        <v>417</v>
      </c>
      <c r="Y2075" s="2" t="s">
        <v>9914</v>
      </c>
      <c r="Z2075" s="4">
        <v>148</v>
      </c>
      <c r="AA2075" s="4">
        <f>=ROUNDDOWN(14.8,0)</f>
      </c>
      <c r="AB2075" s="5">
        <v>10</v>
      </c>
      <c r="AC2075" s="2" t="s">
        <v>9905</v>
      </c>
      <c r="AD2075" s="4">
        <v>50</v>
      </c>
      <c r="AE2075" s="4">
        <v>80</v>
      </c>
      <c r="AF2075" s="6">
        <v>65</v>
      </c>
      <c r="AG2075" s="6">
        <v>48</v>
      </c>
      <c r="AH2075" s="7">
        <v>1</v>
      </c>
      <c r="AI2075" s="4"/>
      <c r="AJ2075" s="4">
        <f>=ROUNDDOWN({0},0)</f>
      </c>
      <c r="AK2075" s="5"/>
      <c r="AL2075" s="2" t="s">
        <v>228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 t="s">
        <v>228</v>
      </c>
      <c r="AW2075" s="8" t="s">
        <v>228</v>
      </c>
      <c r="AX2075" s="4" t="s">
        <v>228</v>
      </c>
      <c r="AY2075" s="8" t="s">
        <v>228</v>
      </c>
      <c r="AZ2075" s="7" t="s">
        <v>228</v>
      </c>
      <c r="BA2075" s="7" t="s">
        <v>228</v>
      </c>
      <c r="BB2075" s="7"/>
      <c r="BC2075" s="4" t="s">
        <v>228</v>
      </c>
      <c r="BD2075" s="8" t="s">
        <v>228</v>
      </c>
      <c r="BE2075" s="4" t="s">
        <v>228</v>
      </c>
      <c r="BF2075" s="8" t="s">
        <v>228</v>
      </c>
      <c r="BG2075" s="7" t="s">
        <v>228</v>
      </c>
      <c r="BH2075" s="7" t="s">
        <v>228</v>
      </c>
      <c r="BI2075" s="7"/>
      <c r="BJ2075" s="4">
        <v>1</v>
      </c>
      <c r="BK2075" s="8">
        <v>39.63</v>
      </c>
      <c r="BL2075" s="2" t="s">
        <v>7807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238</v>
      </c>
      <c r="BV2075" s="2" t="s">
        <v>228</v>
      </c>
      <c r="BW2075" s="2" t="s">
        <v>228</v>
      </c>
      <c r="BX2075" s="2" t="s">
        <v>238</v>
      </c>
      <c r="BY2075" s="2" t="s">
        <v>239</v>
      </c>
      <c r="BZ2075" s="2" t="s">
        <v>240</v>
      </c>
      <c r="CA2075" s="2" t="s">
        <v>228</v>
      </c>
      <c r="CB2075" s="2" t="s">
        <v>228</v>
      </c>
      <c r="CC2075" s="2" t="s">
        <v>241</v>
      </c>
      <c r="CD2075" s="2" t="s">
        <v>228</v>
      </c>
      <c r="CE2075" s="4">
        <v>49</v>
      </c>
      <c r="CF2075" s="4"/>
      <c r="CG2075" s="4"/>
      <c r="CH2075" s="4">
        <v>49</v>
      </c>
      <c r="CI2075" s="4"/>
      <c r="CJ2075" s="4"/>
      <c r="CK2075" s="4">
        <v>50</v>
      </c>
      <c r="CL2075" s="4"/>
      <c r="CM2075" s="4"/>
      <c r="CN2075" s="4"/>
      <c r="CO2075" s="4"/>
      <c r="CP2075" s="4"/>
      <c r="CQ2075" s="4"/>
      <c r="CR2075" s="4"/>
      <c r="CS2075" s="4"/>
      <c r="CT2075" s="4"/>
      <c r="CU2075" s="4"/>
      <c r="CV2075" s="4"/>
      <c r="CW2075" s="4"/>
      <c r="CX2075" s="4"/>
      <c r="CY2075" s="4"/>
      <c r="CZ2075" s="4"/>
      <c r="DA2075" s="4"/>
      <c r="DB2075" s="4"/>
      <c r="DC2075" s="4"/>
      <c r="DD2075" s="4"/>
      <c r="DE2075" s="4"/>
      <c r="DF2075" s="4"/>
      <c r="DG2075" s="4"/>
      <c r="DH2075" s="4"/>
      <c r="DI2075" s="4"/>
      <c r="DJ2075" s="4"/>
      <c r="DK2075" s="4"/>
      <c r="DL2075" s="4"/>
      <c r="DM2075" s="4"/>
      <c r="DN2075" s="4"/>
      <c r="DO2075" s="4"/>
      <c r="DP2075" s="4"/>
      <c r="DQ2075" s="4"/>
      <c r="DR2075" s="4"/>
      <c r="DS2075" s="4"/>
      <c r="DT2075" s="4"/>
      <c r="DU2075" s="4"/>
      <c r="DV2075" s="4"/>
      <c r="DW2075" s="4"/>
      <c r="DX2075" s="4"/>
      <c r="DY2075" s="4"/>
      <c r="DZ2075" s="4"/>
      <c r="EA2075" s="4"/>
      <c r="EB2075" s="4">
        <v>50</v>
      </c>
      <c r="EC2075" s="4"/>
      <c r="ED2075" s="4"/>
      <c r="EE2075" s="4"/>
      <c r="EF2075" s="4"/>
      <c r="EG2075" s="4"/>
      <c r="EH2075" s="4"/>
      <c r="EI2075" s="4"/>
      <c r="EJ2075" s="4">
        <v>30</v>
      </c>
      <c r="EK2075" s="4"/>
      <c r="EL2075" s="4"/>
      <c r="EM2075" s="4"/>
      <c r="EN2075" s="4"/>
      <c r="EO2075" s="4"/>
      <c r="EP2075" s="4"/>
      <c r="EQ2075" s="4"/>
      <c r="ER2075" s="4"/>
      <c r="ES2075" s="4"/>
      <c r="ET2075" s="4"/>
      <c r="EU2075" s="4"/>
      <c r="EV2075" s="4"/>
      <c r="EW2075" s="4"/>
      <c r="EX2075" s="4"/>
      <c r="EY2075" s="4"/>
      <c r="EZ2075" s="4"/>
      <c r="FA2075" s="4"/>
      <c r="FB2075" s="4"/>
      <c r="FC2075" s="4"/>
      <c r="FD2075" s="4"/>
      <c r="FE2075" s="4"/>
      <c r="FF2075" s="4"/>
      <c r="FG2075" s="4"/>
      <c r="FH2075" s="4"/>
      <c r="FI2075" s="4"/>
      <c r="FJ2075" s="4"/>
      <c r="FK2075" s="4"/>
      <c r="FL2075" s="4"/>
      <c r="FM2075" s="4"/>
      <c r="FN2075" s="4"/>
      <c r="FO2075" s="4"/>
      <c r="FP2075" s="4"/>
      <c r="FQ2075" s="4"/>
      <c r="FR2075" s="4"/>
      <c r="FS2075" s="4"/>
      <c r="FT2075" s="4"/>
      <c r="FU2075" s="4"/>
      <c r="FV2075" s="4"/>
      <c r="FW2075" s="4"/>
      <c r="FX2075" s="4"/>
      <c r="FY2075" s="4"/>
      <c r="FZ2075" s="4"/>
      <c r="GA2075" s="4"/>
      <c r="GB2075" s="4"/>
      <c r="GC2075" s="4"/>
      <c r="GD2075" s="4"/>
      <c r="GE2075" s="4"/>
      <c r="GF2075" s="4"/>
      <c r="GG2075" s="4"/>
      <c r="GH2075" s="4"/>
      <c r="GI2075" s="4"/>
      <c r="GJ2075" s="4"/>
      <c r="GK2075" s="4"/>
      <c r="GL2075" s="4"/>
      <c r="GM2075" s="4"/>
      <c r="GN2075" s="4"/>
      <c r="GO2075" s="4"/>
      <c r="GP2075" s="4"/>
      <c r="GQ2075" s="4"/>
      <c r="GR2075" s="4"/>
      <c r="GS2075" s="4"/>
      <c r="GT2075" s="4"/>
      <c r="GU2075" s="4"/>
      <c r="GV2075" s="4"/>
      <c r="GW2075" s="4"/>
      <c r="GX2075" s="4"/>
      <c r="GY2075" s="4"/>
      <c r="GZ2075" s="4"/>
      <c r="HA2075" s="4"/>
      <c r="HB2075" s="4"/>
      <c r="HC2075" s="4"/>
      <c r="HD2075" s="4"/>
      <c r="HE2075" s="4"/>
    </row>
    <row r="2076">
      <c r="A2076" s="2" t="s">
        <v>9936</v>
      </c>
      <c r="B2076" s="2" t="s">
        <v>299</v>
      </c>
      <c r="C2076" s="2" t="s">
        <v>345</v>
      </c>
      <c r="D2076" s="2" t="s">
        <v>516</v>
      </c>
      <c r="E2076" s="2" t="s">
        <v>517</v>
      </c>
      <c r="F2076" s="2" t="s">
        <v>9411</v>
      </c>
      <c r="G2076" s="2" t="s">
        <v>9411</v>
      </c>
      <c r="H2076" s="2" t="s">
        <v>9411</v>
      </c>
      <c r="I2076" s="2" t="s">
        <v>9913</v>
      </c>
      <c r="J2076" s="2" t="s">
        <v>7551</v>
      </c>
      <c r="K2076" s="2" t="s">
        <v>9929</v>
      </c>
      <c r="L2076" s="3">
        <v>5.35</v>
      </c>
      <c r="M2076" s="3">
        <v>5.62</v>
      </c>
      <c r="N2076" s="3">
        <v>11.99</v>
      </c>
      <c r="O2076" s="2" t="s">
        <v>240</v>
      </c>
      <c r="P2076" s="2" t="s">
        <v>233</v>
      </c>
      <c r="Q2076" s="2" t="s">
        <v>234</v>
      </c>
      <c r="R2076" s="2" t="s">
        <v>228</v>
      </c>
      <c r="S2076" s="2" t="s">
        <v>9930</v>
      </c>
      <c r="T2076" s="2" t="s">
        <v>9411</v>
      </c>
      <c r="U2076" s="2" t="s">
        <v>520</v>
      </c>
      <c r="V2076" s="2" t="s">
        <v>236</v>
      </c>
      <c r="W2076" s="2" t="s">
        <v>269</v>
      </c>
      <c r="X2076" s="2" t="s">
        <v>417</v>
      </c>
      <c r="Y2076" s="2" t="s">
        <v>9914</v>
      </c>
      <c r="Z2076" s="4">
        <v>888</v>
      </c>
      <c r="AA2076" s="4">
        <f>=ROUNDDOWN(14.8,0)</f>
      </c>
      <c r="AB2076" s="5">
        <v>60</v>
      </c>
      <c r="AC2076" s="2" t="s">
        <v>9905</v>
      </c>
      <c r="AD2076" s="4">
        <v>296</v>
      </c>
      <c r="AE2076" s="4">
        <v>728</v>
      </c>
      <c r="AF2076" s="6">
        <v>65</v>
      </c>
      <c r="AG2076" s="6">
        <v>48</v>
      </c>
      <c r="AH2076" s="7">
        <v>1</v>
      </c>
      <c r="AI2076" s="4"/>
      <c r="AJ2076" s="4">
        <f>=ROUNDDOWN({0},0)</f>
      </c>
      <c r="AK2076" s="5"/>
      <c r="AL2076" s="2" t="s">
        <v>228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 t="s">
        <v>228</v>
      </c>
      <c r="AW2076" s="8" t="s">
        <v>228</v>
      </c>
      <c r="AX2076" s="4" t="s">
        <v>228</v>
      </c>
      <c r="AY2076" s="8" t="s">
        <v>228</v>
      </c>
      <c r="AZ2076" s="7" t="s">
        <v>228</v>
      </c>
      <c r="BA2076" s="7" t="s">
        <v>228</v>
      </c>
      <c r="BB2076" s="7"/>
      <c r="BC2076" s="4" t="s">
        <v>228</v>
      </c>
      <c r="BD2076" s="8" t="s">
        <v>228</v>
      </c>
      <c r="BE2076" s="4" t="s">
        <v>228</v>
      </c>
      <c r="BF2076" s="8" t="s">
        <v>228</v>
      </c>
      <c r="BG2076" s="7" t="s">
        <v>228</v>
      </c>
      <c r="BH2076" s="7" t="s">
        <v>228</v>
      </c>
      <c r="BI2076" s="7"/>
      <c r="BJ2076" s="4"/>
      <c r="BK2076" s="8"/>
      <c r="BL2076" s="2" t="s">
        <v>228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238</v>
      </c>
      <c r="BV2076" s="2" t="s">
        <v>228</v>
      </c>
      <c r="BW2076" s="2" t="s">
        <v>228</v>
      </c>
      <c r="BX2076" s="2" t="s">
        <v>238</v>
      </c>
      <c r="BY2076" s="2" t="s">
        <v>239</v>
      </c>
      <c r="BZ2076" s="2" t="s">
        <v>240</v>
      </c>
      <c r="CA2076" s="2" t="s">
        <v>228</v>
      </c>
      <c r="CB2076" s="2" t="s">
        <v>228</v>
      </c>
      <c r="CC2076" s="2" t="s">
        <v>241</v>
      </c>
      <c r="CD2076" s="2" t="s">
        <v>228</v>
      </c>
      <c r="CE2076" s="4">
        <v>592</v>
      </c>
      <c r="CF2076" s="4"/>
      <c r="CG2076" s="4"/>
      <c r="CH2076" s="4">
        <v>296</v>
      </c>
      <c r="CI2076" s="4"/>
      <c r="CJ2076" s="4"/>
      <c r="CK2076" s="4"/>
      <c r="CL2076" s="4"/>
      <c r="CM2076" s="4"/>
      <c r="CN2076" s="4"/>
      <c r="CO2076" s="4"/>
      <c r="CP2076" s="4"/>
      <c r="CQ2076" s="4"/>
      <c r="CR2076" s="4"/>
      <c r="CS2076" s="4"/>
      <c r="CT2076" s="4"/>
      <c r="CU2076" s="4"/>
      <c r="CV2076" s="4"/>
      <c r="CW2076" s="4"/>
      <c r="CX2076" s="4"/>
      <c r="CY2076" s="4"/>
      <c r="CZ2076" s="4"/>
      <c r="DA2076" s="4"/>
      <c r="DB2076" s="4"/>
      <c r="DC2076" s="4"/>
      <c r="DD2076" s="4"/>
      <c r="DE2076" s="4"/>
      <c r="DF2076" s="4"/>
      <c r="DG2076" s="4"/>
      <c r="DH2076" s="4"/>
      <c r="DI2076" s="4"/>
      <c r="DJ2076" s="4"/>
      <c r="DK2076" s="4"/>
      <c r="DL2076" s="4"/>
      <c r="DM2076" s="4"/>
      <c r="DN2076" s="4"/>
      <c r="DO2076" s="4"/>
      <c r="DP2076" s="4"/>
      <c r="DQ2076" s="4"/>
      <c r="DR2076" s="4"/>
      <c r="DS2076" s="4"/>
      <c r="DT2076" s="4"/>
      <c r="DU2076" s="4"/>
      <c r="DV2076" s="4"/>
      <c r="DW2076" s="4"/>
      <c r="DX2076" s="4"/>
      <c r="DY2076" s="4"/>
      <c r="DZ2076" s="4"/>
      <c r="EA2076" s="4"/>
      <c r="EB2076" s="4">
        <v>296</v>
      </c>
      <c r="EC2076" s="4"/>
      <c r="ED2076" s="4"/>
      <c r="EE2076" s="4"/>
      <c r="EF2076" s="4"/>
      <c r="EG2076" s="4"/>
      <c r="EH2076" s="4"/>
      <c r="EI2076" s="4"/>
      <c r="EJ2076" s="4">
        <v>432</v>
      </c>
      <c r="EK2076" s="4"/>
      <c r="EL2076" s="4"/>
      <c r="EM2076" s="4"/>
      <c r="EN2076" s="4"/>
      <c r="EO2076" s="4"/>
      <c r="EP2076" s="4"/>
      <c r="EQ2076" s="4"/>
      <c r="ER2076" s="4"/>
      <c r="ES2076" s="4"/>
      <c r="ET2076" s="4"/>
      <c r="EU2076" s="4"/>
      <c r="EV2076" s="4"/>
      <c r="EW2076" s="4"/>
      <c r="EX2076" s="4"/>
      <c r="EY2076" s="4"/>
      <c r="EZ2076" s="4"/>
      <c r="FA2076" s="4"/>
      <c r="FB2076" s="4"/>
      <c r="FC2076" s="4"/>
      <c r="FD2076" s="4"/>
      <c r="FE2076" s="4"/>
      <c r="FF2076" s="4"/>
      <c r="FG2076" s="4"/>
      <c r="FH2076" s="4"/>
      <c r="FI2076" s="4"/>
      <c r="FJ2076" s="4"/>
      <c r="FK2076" s="4"/>
      <c r="FL2076" s="4"/>
      <c r="FM2076" s="4"/>
      <c r="FN2076" s="4"/>
      <c r="FO2076" s="4"/>
      <c r="FP2076" s="4"/>
      <c r="FQ2076" s="4"/>
      <c r="FR2076" s="4"/>
      <c r="FS2076" s="4"/>
      <c r="FT2076" s="4"/>
      <c r="FU2076" s="4"/>
      <c r="FV2076" s="4"/>
      <c r="FW2076" s="4"/>
      <c r="FX2076" s="4"/>
      <c r="FY2076" s="4"/>
      <c r="FZ2076" s="4"/>
      <c r="GA2076" s="4"/>
      <c r="GB2076" s="4"/>
      <c r="GC2076" s="4"/>
      <c r="GD2076" s="4"/>
      <c r="GE2076" s="4"/>
      <c r="GF2076" s="4"/>
      <c r="GG2076" s="4"/>
      <c r="GH2076" s="4"/>
      <c r="GI2076" s="4"/>
      <c r="GJ2076" s="4"/>
      <c r="GK2076" s="4"/>
      <c r="GL2076" s="4"/>
      <c r="GM2076" s="4"/>
      <c r="GN2076" s="4"/>
      <c r="GO2076" s="4"/>
      <c r="GP2076" s="4"/>
      <c r="GQ2076" s="4"/>
      <c r="GR2076" s="4"/>
      <c r="GS2076" s="4"/>
      <c r="GT2076" s="4"/>
      <c r="GU2076" s="4"/>
      <c r="GV2076" s="4"/>
      <c r="GW2076" s="4"/>
      <c r="GX2076" s="4"/>
      <c r="GY2076" s="4"/>
      <c r="GZ2076" s="4"/>
      <c r="HA2076" s="4"/>
      <c r="HB2076" s="4"/>
      <c r="HC2076" s="4"/>
      <c r="HD2076" s="4"/>
      <c r="HE2076" s="4"/>
    </row>
    <row r="2077">
      <c r="A2077" s="2" t="s">
        <v>9937</v>
      </c>
      <c r="B2077" s="2" t="s">
        <v>299</v>
      </c>
      <c r="C2077" s="2" t="s">
        <v>345</v>
      </c>
      <c r="D2077" s="2" t="s">
        <v>301</v>
      </c>
      <c r="E2077" s="2" t="s">
        <v>302</v>
      </c>
      <c r="F2077" s="2" t="s">
        <v>9411</v>
      </c>
      <c r="G2077" s="2" t="s">
        <v>9411</v>
      </c>
      <c r="H2077" s="2" t="s">
        <v>9411</v>
      </c>
      <c r="I2077" s="2" t="s">
        <v>9903</v>
      </c>
      <c r="J2077" s="2" t="s">
        <v>264</v>
      </c>
      <c r="K2077" s="2" t="s">
        <v>249</v>
      </c>
      <c r="L2077" s="3">
        <v>12.48</v>
      </c>
      <c r="M2077" s="3">
        <v>13.1</v>
      </c>
      <c r="N2077" s="3">
        <v>27.99</v>
      </c>
      <c r="O2077" s="2" t="s">
        <v>240</v>
      </c>
      <c r="P2077" s="2" t="s">
        <v>233</v>
      </c>
      <c r="Q2077" s="2" t="s">
        <v>234</v>
      </c>
      <c r="R2077" s="2" t="s">
        <v>228</v>
      </c>
      <c r="S2077" s="2" t="s">
        <v>9938</v>
      </c>
      <c r="T2077" s="2" t="s">
        <v>9411</v>
      </c>
      <c r="U2077" s="2" t="s">
        <v>308</v>
      </c>
      <c r="V2077" s="2" t="s">
        <v>236</v>
      </c>
      <c r="W2077" s="2" t="s">
        <v>269</v>
      </c>
      <c r="X2077" s="2" t="s">
        <v>417</v>
      </c>
      <c r="Y2077" s="2" t="s">
        <v>1994</v>
      </c>
      <c r="Z2077" s="4">
        <v>1675</v>
      </c>
      <c r="AA2077" s="4">
        <f>=ROUNDDOWN(27.9166666666667,0)</f>
      </c>
      <c r="AB2077" s="5">
        <v>60</v>
      </c>
      <c r="AC2077" s="2" t="s">
        <v>9905</v>
      </c>
      <c r="AD2077" s="4">
        <v>560</v>
      </c>
      <c r="AE2077" s="4">
        <v>1160</v>
      </c>
      <c r="AF2077" s="6">
        <v>65</v>
      </c>
      <c r="AG2077" s="6">
        <v>48</v>
      </c>
      <c r="AH2077" s="7">
        <v>1</v>
      </c>
      <c r="AI2077" s="4"/>
      <c r="AJ2077" s="4">
        <f>=ROUNDDOWN({0},0)</f>
      </c>
      <c r="AK2077" s="5"/>
      <c r="AL2077" s="2" t="s">
        <v>228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 t="s">
        <v>228</v>
      </c>
      <c r="AW2077" s="8" t="s">
        <v>228</v>
      </c>
      <c r="AX2077" s="4" t="s">
        <v>228</v>
      </c>
      <c r="AY2077" s="8" t="s">
        <v>228</v>
      </c>
      <c r="AZ2077" s="7" t="s">
        <v>228</v>
      </c>
      <c r="BA2077" s="7" t="s">
        <v>228</v>
      </c>
      <c r="BB2077" s="7"/>
      <c r="BC2077" s="4" t="s">
        <v>228</v>
      </c>
      <c r="BD2077" s="8" t="s">
        <v>228</v>
      </c>
      <c r="BE2077" s="4" t="s">
        <v>228</v>
      </c>
      <c r="BF2077" s="8" t="s">
        <v>228</v>
      </c>
      <c r="BG2077" s="7" t="s">
        <v>228</v>
      </c>
      <c r="BH2077" s="7" t="s">
        <v>228</v>
      </c>
      <c r="BI2077" s="7"/>
      <c r="BJ2077" s="4">
        <v>5</v>
      </c>
      <c r="BK2077" s="8">
        <v>170.31</v>
      </c>
      <c r="BL2077" s="2" t="s">
        <v>7807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238</v>
      </c>
      <c r="BV2077" s="2" t="s">
        <v>228</v>
      </c>
      <c r="BW2077" s="2" t="s">
        <v>228</v>
      </c>
      <c r="BX2077" s="2" t="s">
        <v>238</v>
      </c>
      <c r="BY2077" s="2" t="s">
        <v>239</v>
      </c>
      <c r="BZ2077" s="2" t="s">
        <v>240</v>
      </c>
      <c r="CA2077" s="2" t="s">
        <v>228</v>
      </c>
      <c r="CB2077" s="2" t="s">
        <v>228</v>
      </c>
      <c r="CC2077" s="2" t="s">
        <v>241</v>
      </c>
      <c r="CD2077" s="2" t="s">
        <v>228</v>
      </c>
      <c r="CE2077" s="4">
        <v>1118</v>
      </c>
      <c r="CF2077" s="4"/>
      <c r="CG2077" s="4"/>
      <c r="CH2077" s="4">
        <v>557</v>
      </c>
      <c r="CI2077" s="4"/>
      <c r="CJ2077" s="4"/>
      <c r="CK2077" s="4"/>
      <c r="CL2077" s="4"/>
      <c r="CM2077" s="4"/>
      <c r="CN2077" s="4"/>
      <c r="CO2077" s="4"/>
      <c r="CP2077" s="4"/>
      <c r="CQ2077" s="4"/>
      <c r="CR2077" s="4"/>
      <c r="CS2077" s="4"/>
      <c r="CT2077" s="4"/>
      <c r="CU2077" s="4"/>
      <c r="CV2077" s="4"/>
      <c r="CW2077" s="4"/>
      <c r="CX2077" s="4"/>
      <c r="CY2077" s="4"/>
      <c r="CZ2077" s="4"/>
      <c r="DA2077" s="4"/>
      <c r="DB2077" s="4"/>
      <c r="DC2077" s="4"/>
      <c r="DD2077" s="4"/>
      <c r="DE2077" s="4"/>
      <c r="DF2077" s="4"/>
      <c r="DG2077" s="4"/>
      <c r="DH2077" s="4"/>
      <c r="DI2077" s="4"/>
      <c r="DJ2077" s="4"/>
      <c r="DK2077" s="4"/>
      <c r="DL2077" s="4"/>
      <c r="DM2077" s="4"/>
      <c r="DN2077" s="4"/>
      <c r="DO2077" s="4"/>
      <c r="DP2077" s="4"/>
      <c r="DQ2077" s="4"/>
      <c r="DR2077" s="4"/>
      <c r="DS2077" s="4"/>
      <c r="DT2077" s="4"/>
      <c r="DU2077" s="4"/>
      <c r="DV2077" s="4"/>
      <c r="DW2077" s="4"/>
      <c r="DX2077" s="4"/>
      <c r="DY2077" s="4"/>
      <c r="DZ2077" s="4"/>
      <c r="EA2077" s="4"/>
      <c r="EB2077" s="4">
        <v>560</v>
      </c>
      <c r="EC2077" s="4"/>
      <c r="ED2077" s="4"/>
      <c r="EE2077" s="4"/>
      <c r="EF2077" s="4"/>
      <c r="EG2077" s="4"/>
      <c r="EH2077" s="4"/>
      <c r="EI2077" s="4"/>
      <c r="EJ2077" s="4">
        <v>600</v>
      </c>
      <c r="EK2077" s="4"/>
      <c r="EL2077" s="4"/>
      <c r="EM2077" s="4"/>
      <c r="EN2077" s="4"/>
      <c r="EO2077" s="4"/>
      <c r="EP2077" s="4"/>
      <c r="EQ2077" s="4"/>
      <c r="ER2077" s="4"/>
      <c r="ES2077" s="4"/>
      <c r="ET2077" s="4"/>
      <c r="EU2077" s="4"/>
      <c r="EV2077" s="4"/>
      <c r="EW2077" s="4"/>
      <c r="EX2077" s="4"/>
      <c r="EY2077" s="4"/>
      <c r="EZ2077" s="4"/>
      <c r="FA2077" s="4"/>
      <c r="FB2077" s="4"/>
      <c r="FC2077" s="4"/>
      <c r="FD2077" s="4"/>
      <c r="FE2077" s="4"/>
      <c r="FF2077" s="4"/>
      <c r="FG2077" s="4"/>
      <c r="FH2077" s="4"/>
      <c r="FI2077" s="4"/>
      <c r="FJ2077" s="4"/>
      <c r="FK2077" s="4"/>
      <c r="FL2077" s="4"/>
      <c r="FM2077" s="4"/>
      <c r="FN2077" s="4"/>
      <c r="FO2077" s="4"/>
      <c r="FP2077" s="4"/>
      <c r="FQ2077" s="4"/>
      <c r="FR2077" s="4"/>
      <c r="FS2077" s="4"/>
      <c r="FT2077" s="4"/>
      <c r="FU2077" s="4"/>
      <c r="FV2077" s="4"/>
      <c r="FW2077" s="4"/>
      <c r="FX2077" s="4"/>
      <c r="FY2077" s="4"/>
      <c r="FZ2077" s="4"/>
      <c r="GA2077" s="4"/>
      <c r="GB2077" s="4"/>
      <c r="GC2077" s="4"/>
      <c r="GD2077" s="4"/>
      <c r="GE2077" s="4"/>
      <c r="GF2077" s="4"/>
      <c r="GG2077" s="4"/>
      <c r="GH2077" s="4"/>
      <c r="GI2077" s="4"/>
      <c r="GJ2077" s="4"/>
      <c r="GK2077" s="4"/>
      <c r="GL2077" s="4"/>
      <c r="GM2077" s="4"/>
      <c r="GN2077" s="4"/>
      <c r="GO2077" s="4"/>
      <c r="GP2077" s="4"/>
      <c r="GQ2077" s="4"/>
      <c r="GR2077" s="4"/>
      <c r="GS2077" s="4"/>
      <c r="GT2077" s="4"/>
      <c r="GU2077" s="4"/>
      <c r="GV2077" s="4"/>
      <c r="GW2077" s="4"/>
      <c r="GX2077" s="4"/>
      <c r="GY2077" s="4"/>
      <c r="GZ2077" s="4"/>
      <c r="HA2077" s="4"/>
      <c r="HB2077" s="4"/>
      <c r="HC2077" s="4"/>
      <c r="HD2077" s="4"/>
      <c r="HE2077" s="4"/>
    </row>
    <row r="2078">
      <c r="A2078" s="2" t="s">
        <v>9939</v>
      </c>
      <c r="B2078" s="2" t="s">
        <v>299</v>
      </c>
      <c r="C2078" s="2" t="s">
        <v>345</v>
      </c>
      <c r="D2078" s="2" t="s">
        <v>301</v>
      </c>
      <c r="E2078" s="2" t="s">
        <v>302</v>
      </c>
      <c r="F2078" s="2" t="s">
        <v>9411</v>
      </c>
      <c r="G2078" s="2" t="s">
        <v>9411</v>
      </c>
      <c r="H2078" s="2" t="s">
        <v>9411</v>
      </c>
      <c r="I2078" s="2" t="s">
        <v>9903</v>
      </c>
      <c r="J2078" s="2" t="s">
        <v>9907</v>
      </c>
      <c r="K2078" s="2" t="s">
        <v>249</v>
      </c>
      <c r="L2078" s="3">
        <v>25</v>
      </c>
      <c r="M2078" s="3">
        <v>26.25</v>
      </c>
      <c r="N2078" s="3">
        <v>49.99</v>
      </c>
      <c r="O2078" s="2" t="s">
        <v>240</v>
      </c>
      <c r="P2078" s="2" t="s">
        <v>233</v>
      </c>
      <c r="Q2078" s="2" t="s">
        <v>234</v>
      </c>
      <c r="R2078" s="2" t="s">
        <v>228</v>
      </c>
      <c r="S2078" s="2" t="s">
        <v>9938</v>
      </c>
      <c r="T2078" s="2" t="s">
        <v>9411</v>
      </c>
      <c r="U2078" s="2" t="s">
        <v>1331</v>
      </c>
      <c r="V2078" s="2" t="s">
        <v>236</v>
      </c>
      <c r="W2078" s="2" t="s">
        <v>269</v>
      </c>
      <c r="X2078" s="2" t="s">
        <v>417</v>
      </c>
      <c r="Y2078" s="2" t="s">
        <v>1994</v>
      </c>
      <c r="Z2078" s="4">
        <v>326</v>
      </c>
      <c r="AA2078" s="4">
        <f>=ROUNDDOWN(29.6363636363636,0)</f>
      </c>
      <c r="AB2078" s="5">
        <v>11</v>
      </c>
      <c r="AC2078" s="2" t="s">
        <v>9905</v>
      </c>
      <c r="AD2078" s="4">
        <v>110</v>
      </c>
      <c r="AE2078" s="4">
        <v>260</v>
      </c>
      <c r="AF2078" s="6">
        <v>65</v>
      </c>
      <c r="AG2078" s="6">
        <v>48</v>
      </c>
      <c r="AH2078" s="7">
        <v>1</v>
      </c>
      <c r="AI2078" s="4"/>
      <c r="AJ2078" s="4">
        <f>=ROUNDDOWN({0},0)</f>
      </c>
      <c r="AK2078" s="5"/>
      <c r="AL2078" s="2" t="s">
        <v>228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 t="s">
        <v>228</v>
      </c>
      <c r="AW2078" s="8" t="s">
        <v>228</v>
      </c>
      <c r="AX2078" s="4" t="s">
        <v>228</v>
      </c>
      <c r="AY2078" s="8" t="s">
        <v>228</v>
      </c>
      <c r="AZ2078" s="7" t="s">
        <v>228</v>
      </c>
      <c r="BA2078" s="7" t="s">
        <v>228</v>
      </c>
      <c r="BB2078" s="7"/>
      <c r="BC2078" s="4" t="s">
        <v>228</v>
      </c>
      <c r="BD2078" s="8" t="s">
        <v>228</v>
      </c>
      <c r="BE2078" s="4" t="s">
        <v>228</v>
      </c>
      <c r="BF2078" s="8" t="s">
        <v>228</v>
      </c>
      <c r="BG2078" s="7" t="s">
        <v>228</v>
      </c>
      <c r="BH2078" s="7" t="s">
        <v>228</v>
      </c>
      <c r="BI2078" s="7"/>
      <c r="BJ2078" s="4">
        <v>2</v>
      </c>
      <c r="BK2078" s="8">
        <v>65.72</v>
      </c>
      <c r="BL2078" s="2" t="s">
        <v>7807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238</v>
      </c>
      <c r="BV2078" s="2" t="s">
        <v>228</v>
      </c>
      <c r="BW2078" s="2" t="s">
        <v>228</v>
      </c>
      <c r="BX2078" s="2" t="s">
        <v>238</v>
      </c>
      <c r="BY2078" s="2" t="s">
        <v>239</v>
      </c>
      <c r="BZ2078" s="2" t="s">
        <v>240</v>
      </c>
      <c r="CA2078" s="2" t="s">
        <v>228</v>
      </c>
      <c r="CB2078" s="2" t="s">
        <v>228</v>
      </c>
      <c r="CC2078" s="2" t="s">
        <v>241</v>
      </c>
      <c r="CD2078" s="2" t="s">
        <v>228</v>
      </c>
      <c r="CE2078" s="4">
        <v>217</v>
      </c>
      <c r="CF2078" s="4"/>
      <c r="CG2078" s="4"/>
      <c r="CH2078" s="4">
        <v>109</v>
      </c>
      <c r="CI2078" s="4"/>
      <c r="CJ2078" s="4"/>
      <c r="CK2078" s="4"/>
      <c r="CL2078" s="4"/>
      <c r="CM2078" s="4"/>
      <c r="CN2078" s="4"/>
      <c r="CO2078" s="4"/>
      <c r="CP2078" s="4"/>
      <c r="CQ2078" s="4"/>
      <c r="CR2078" s="4"/>
      <c r="CS2078" s="4"/>
      <c r="CT2078" s="4"/>
      <c r="CU2078" s="4"/>
      <c r="CV2078" s="4"/>
      <c r="CW2078" s="4"/>
      <c r="CX2078" s="4"/>
      <c r="CY2078" s="4"/>
      <c r="CZ2078" s="4"/>
      <c r="DA2078" s="4"/>
      <c r="DB2078" s="4"/>
      <c r="DC2078" s="4"/>
      <c r="DD2078" s="4"/>
      <c r="DE2078" s="4"/>
      <c r="DF2078" s="4"/>
      <c r="DG2078" s="4"/>
      <c r="DH2078" s="4"/>
      <c r="DI2078" s="4"/>
      <c r="DJ2078" s="4"/>
      <c r="DK2078" s="4"/>
      <c r="DL2078" s="4"/>
      <c r="DM2078" s="4"/>
      <c r="DN2078" s="4"/>
      <c r="DO2078" s="4"/>
      <c r="DP2078" s="4"/>
      <c r="DQ2078" s="4"/>
      <c r="DR2078" s="4"/>
      <c r="DS2078" s="4"/>
      <c r="DT2078" s="4"/>
      <c r="DU2078" s="4"/>
      <c r="DV2078" s="4"/>
      <c r="DW2078" s="4"/>
      <c r="DX2078" s="4"/>
      <c r="DY2078" s="4"/>
      <c r="DZ2078" s="4"/>
      <c r="EA2078" s="4"/>
      <c r="EB2078" s="4">
        <v>110</v>
      </c>
      <c r="EC2078" s="4"/>
      <c r="ED2078" s="4"/>
      <c r="EE2078" s="4"/>
      <c r="EF2078" s="4"/>
      <c r="EG2078" s="4"/>
      <c r="EH2078" s="4"/>
      <c r="EI2078" s="4"/>
      <c r="EJ2078" s="4">
        <v>150</v>
      </c>
      <c r="EK2078" s="4"/>
      <c r="EL2078" s="4"/>
      <c r="EM2078" s="4"/>
      <c r="EN2078" s="4"/>
      <c r="EO2078" s="4"/>
      <c r="EP2078" s="4"/>
      <c r="EQ2078" s="4"/>
      <c r="ER2078" s="4"/>
      <c r="ES2078" s="4"/>
      <c r="ET2078" s="4"/>
      <c r="EU2078" s="4"/>
      <c r="EV2078" s="4"/>
      <c r="EW2078" s="4"/>
      <c r="EX2078" s="4"/>
      <c r="EY2078" s="4"/>
      <c r="EZ2078" s="4"/>
      <c r="FA2078" s="4"/>
      <c r="FB2078" s="4"/>
      <c r="FC2078" s="4"/>
      <c r="FD2078" s="4"/>
      <c r="FE2078" s="4"/>
      <c r="FF2078" s="4"/>
      <c r="FG2078" s="4"/>
      <c r="FH2078" s="4"/>
      <c r="FI2078" s="4"/>
      <c r="FJ2078" s="4"/>
      <c r="FK2078" s="4"/>
      <c r="FL2078" s="4"/>
      <c r="FM2078" s="4"/>
      <c r="FN2078" s="4"/>
      <c r="FO2078" s="4"/>
      <c r="FP2078" s="4"/>
      <c r="FQ2078" s="4"/>
      <c r="FR2078" s="4"/>
      <c r="FS2078" s="4"/>
      <c r="FT2078" s="4"/>
      <c r="FU2078" s="4"/>
      <c r="FV2078" s="4"/>
      <c r="FW2078" s="4"/>
      <c r="FX2078" s="4"/>
      <c r="FY2078" s="4"/>
      <c r="FZ2078" s="4"/>
      <c r="GA2078" s="4"/>
      <c r="GB2078" s="4"/>
      <c r="GC2078" s="4"/>
      <c r="GD2078" s="4"/>
      <c r="GE2078" s="4"/>
      <c r="GF2078" s="4"/>
      <c r="GG2078" s="4"/>
      <c r="GH2078" s="4"/>
      <c r="GI2078" s="4"/>
      <c r="GJ2078" s="4"/>
      <c r="GK2078" s="4"/>
      <c r="GL2078" s="4"/>
      <c r="GM2078" s="4"/>
      <c r="GN2078" s="4"/>
      <c r="GO2078" s="4"/>
      <c r="GP2078" s="4"/>
      <c r="GQ2078" s="4"/>
      <c r="GR2078" s="4"/>
      <c r="GS2078" s="4"/>
      <c r="GT2078" s="4"/>
      <c r="GU2078" s="4"/>
      <c r="GV2078" s="4"/>
      <c r="GW2078" s="4"/>
      <c r="GX2078" s="4"/>
      <c r="GY2078" s="4"/>
      <c r="GZ2078" s="4"/>
      <c r="HA2078" s="4"/>
      <c r="HB2078" s="4"/>
      <c r="HC2078" s="4"/>
      <c r="HD2078" s="4"/>
      <c r="HE2078" s="4"/>
    </row>
    <row r="2079">
      <c r="A2079" s="2" t="s">
        <v>9940</v>
      </c>
      <c r="B2079" s="2" t="s">
        <v>299</v>
      </c>
      <c r="C2079" s="2" t="s">
        <v>345</v>
      </c>
      <c r="D2079" s="2" t="s">
        <v>301</v>
      </c>
      <c r="E2079" s="2" t="s">
        <v>302</v>
      </c>
      <c r="F2079" s="2" t="s">
        <v>9411</v>
      </c>
      <c r="G2079" s="2" t="s">
        <v>9411</v>
      </c>
      <c r="H2079" s="2" t="s">
        <v>9411</v>
      </c>
      <c r="I2079" s="2" t="s">
        <v>9903</v>
      </c>
      <c r="J2079" s="2" t="s">
        <v>264</v>
      </c>
      <c r="K2079" s="2" t="s">
        <v>480</v>
      </c>
      <c r="L2079" s="3">
        <v>12.48</v>
      </c>
      <c r="M2079" s="3">
        <v>13.1</v>
      </c>
      <c r="N2079" s="3">
        <v>27.99</v>
      </c>
      <c r="O2079" s="2" t="s">
        <v>240</v>
      </c>
      <c r="P2079" s="2" t="s">
        <v>233</v>
      </c>
      <c r="Q2079" s="2" t="s">
        <v>234</v>
      </c>
      <c r="R2079" s="2" t="s">
        <v>228</v>
      </c>
      <c r="S2079" s="2" t="s">
        <v>9941</v>
      </c>
      <c r="T2079" s="2" t="s">
        <v>9411</v>
      </c>
      <c r="U2079" s="2" t="s">
        <v>308</v>
      </c>
      <c r="V2079" s="2" t="s">
        <v>236</v>
      </c>
      <c r="W2079" s="2" t="s">
        <v>269</v>
      </c>
      <c r="X2079" s="2" t="s">
        <v>417</v>
      </c>
      <c r="Y2079" s="2" t="s">
        <v>9914</v>
      </c>
      <c r="Z2079" s="4">
        <v>866</v>
      </c>
      <c r="AA2079" s="4">
        <f>=ROUNDDOWN(24.0555555555556,0)</f>
      </c>
      <c r="AB2079" s="5">
        <v>36</v>
      </c>
      <c r="AC2079" s="2" t="s">
        <v>9905</v>
      </c>
      <c r="AD2079" s="4">
        <v>290</v>
      </c>
      <c r="AE2079" s="4">
        <v>560</v>
      </c>
      <c r="AF2079" s="6">
        <v>65</v>
      </c>
      <c r="AG2079" s="6">
        <v>48</v>
      </c>
      <c r="AH2079" s="7">
        <v>1</v>
      </c>
      <c r="AI2079" s="4"/>
      <c r="AJ2079" s="4">
        <f>=ROUNDDOWN({0},0)</f>
      </c>
      <c r="AK2079" s="5"/>
      <c r="AL2079" s="2" t="s">
        <v>228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 t="s">
        <v>228</v>
      </c>
      <c r="AW2079" s="8" t="s">
        <v>228</v>
      </c>
      <c r="AX2079" s="4" t="s">
        <v>228</v>
      </c>
      <c r="AY2079" s="8" t="s">
        <v>228</v>
      </c>
      <c r="AZ2079" s="7" t="s">
        <v>228</v>
      </c>
      <c r="BA2079" s="7" t="s">
        <v>228</v>
      </c>
      <c r="BB2079" s="7"/>
      <c r="BC2079" s="4" t="s">
        <v>228</v>
      </c>
      <c r="BD2079" s="8" t="s">
        <v>228</v>
      </c>
      <c r="BE2079" s="4" t="s">
        <v>228</v>
      </c>
      <c r="BF2079" s="8" t="s">
        <v>228</v>
      </c>
      <c r="BG2079" s="7" t="s">
        <v>228</v>
      </c>
      <c r="BH2079" s="7" t="s">
        <v>228</v>
      </c>
      <c r="BI2079" s="7"/>
      <c r="BJ2079" s="4">
        <v>1</v>
      </c>
      <c r="BK2079" s="8">
        <v>33.83</v>
      </c>
      <c r="BL2079" s="2" t="s">
        <v>7807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238</v>
      </c>
      <c r="BV2079" s="2" t="s">
        <v>228</v>
      </c>
      <c r="BW2079" s="2" t="s">
        <v>228</v>
      </c>
      <c r="BX2079" s="2" t="s">
        <v>238</v>
      </c>
      <c r="BY2079" s="2" t="s">
        <v>239</v>
      </c>
      <c r="BZ2079" s="2" t="s">
        <v>240</v>
      </c>
      <c r="CA2079" s="2" t="s">
        <v>228</v>
      </c>
      <c r="CB2079" s="2" t="s">
        <v>228</v>
      </c>
      <c r="CC2079" s="2" t="s">
        <v>241</v>
      </c>
      <c r="CD2079" s="2" t="s">
        <v>228</v>
      </c>
      <c r="CE2079" s="4">
        <v>578</v>
      </c>
      <c r="CF2079" s="4"/>
      <c r="CG2079" s="4"/>
      <c r="CH2079" s="4">
        <v>288</v>
      </c>
      <c r="CI2079" s="4"/>
      <c r="CJ2079" s="4"/>
      <c r="CK2079" s="4"/>
      <c r="CL2079" s="4"/>
      <c r="CM2079" s="4"/>
      <c r="CN2079" s="4"/>
      <c r="CO2079" s="4"/>
      <c r="CP2079" s="4"/>
      <c r="CQ2079" s="4"/>
      <c r="CR2079" s="4"/>
      <c r="CS2079" s="4"/>
      <c r="CT2079" s="4"/>
      <c r="CU2079" s="4"/>
      <c r="CV2079" s="4"/>
      <c r="CW2079" s="4"/>
      <c r="CX2079" s="4"/>
      <c r="CY2079" s="4"/>
      <c r="CZ2079" s="4"/>
      <c r="DA2079" s="4"/>
      <c r="DB2079" s="4"/>
      <c r="DC2079" s="4"/>
      <c r="DD2079" s="4"/>
      <c r="DE2079" s="4"/>
      <c r="DF2079" s="4"/>
      <c r="DG2079" s="4"/>
      <c r="DH2079" s="4"/>
      <c r="DI2079" s="4"/>
      <c r="DJ2079" s="4"/>
      <c r="DK2079" s="4"/>
      <c r="DL2079" s="4"/>
      <c r="DM2079" s="4"/>
      <c r="DN2079" s="4"/>
      <c r="DO2079" s="4"/>
      <c r="DP2079" s="4"/>
      <c r="DQ2079" s="4"/>
      <c r="DR2079" s="4"/>
      <c r="DS2079" s="4"/>
      <c r="DT2079" s="4"/>
      <c r="DU2079" s="4"/>
      <c r="DV2079" s="4"/>
      <c r="DW2079" s="4"/>
      <c r="DX2079" s="4"/>
      <c r="DY2079" s="4"/>
      <c r="DZ2079" s="4"/>
      <c r="EA2079" s="4"/>
      <c r="EB2079" s="4">
        <v>290</v>
      </c>
      <c r="EC2079" s="4"/>
      <c r="ED2079" s="4"/>
      <c r="EE2079" s="4"/>
      <c r="EF2079" s="4"/>
      <c r="EG2079" s="4"/>
      <c r="EH2079" s="4"/>
      <c r="EI2079" s="4"/>
      <c r="EJ2079" s="4">
        <v>270</v>
      </c>
      <c r="EK2079" s="4"/>
      <c r="EL2079" s="4"/>
      <c r="EM2079" s="4"/>
      <c r="EN2079" s="4"/>
      <c r="EO2079" s="4"/>
      <c r="EP2079" s="4"/>
      <c r="EQ2079" s="4"/>
      <c r="ER2079" s="4"/>
      <c r="ES2079" s="4"/>
      <c r="ET2079" s="4"/>
      <c r="EU2079" s="4"/>
      <c r="EV2079" s="4"/>
      <c r="EW2079" s="4"/>
      <c r="EX2079" s="4"/>
      <c r="EY2079" s="4"/>
      <c r="EZ2079" s="4"/>
      <c r="FA2079" s="4"/>
      <c r="FB2079" s="4"/>
      <c r="FC2079" s="4"/>
      <c r="FD2079" s="4"/>
      <c r="FE2079" s="4"/>
      <c r="FF2079" s="4"/>
      <c r="FG2079" s="4"/>
      <c r="FH2079" s="4"/>
      <c r="FI2079" s="4"/>
      <c r="FJ2079" s="4"/>
      <c r="FK2079" s="4"/>
      <c r="FL2079" s="4"/>
      <c r="FM2079" s="4"/>
      <c r="FN2079" s="4"/>
      <c r="FO2079" s="4"/>
      <c r="FP2079" s="4"/>
      <c r="FQ2079" s="4"/>
      <c r="FR2079" s="4"/>
      <c r="FS2079" s="4"/>
      <c r="FT2079" s="4"/>
      <c r="FU2079" s="4"/>
      <c r="FV2079" s="4"/>
      <c r="FW2079" s="4"/>
      <c r="FX2079" s="4"/>
      <c r="FY2079" s="4"/>
      <c r="FZ2079" s="4"/>
      <c r="GA2079" s="4"/>
      <c r="GB2079" s="4"/>
      <c r="GC2079" s="4"/>
      <c r="GD2079" s="4"/>
      <c r="GE2079" s="4"/>
      <c r="GF2079" s="4"/>
      <c r="GG2079" s="4"/>
      <c r="GH2079" s="4"/>
      <c r="GI2079" s="4"/>
      <c r="GJ2079" s="4"/>
      <c r="GK2079" s="4"/>
      <c r="GL2079" s="4"/>
      <c r="GM2079" s="4"/>
      <c r="GN2079" s="4"/>
      <c r="GO2079" s="4"/>
      <c r="GP2079" s="4"/>
      <c r="GQ2079" s="4"/>
      <c r="GR2079" s="4"/>
      <c r="GS2079" s="4"/>
      <c r="GT2079" s="4"/>
      <c r="GU2079" s="4"/>
      <c r="GV2079" s="4"/>
      <c r="GW2079" s="4"/>
      <c r="GX2079" s="4"/>
      <c r="GY2079" s="4"/>
      <c r="GZ2079" s="4"/>
      <c r="HA2079" s="4"/>
      <c r="HB2079" s="4"/>
      <c r="HC2079" s="4"/>
      <c r="HD2079" s="4"/>
      <c r="HE2079" s="4"/>
    </row>
    <row r="2080">
      <c r="A2080" s="2" t="s">
        <v>9942</v>
      </c>
      <c r="B2080" s="2" t="s">
        <v>299</v>
      </c>
      <c r="C2080" s="2" t="s">
        <v>345</v>
      </c>
      <c r="D2080" s="2" t="s">
        <v>301</v>
      </c>
      <c r="E2080" s="2" t="s">
        <v>302</v>
      </c>
      <c r="F2080" s="2" t="s">
        <v>9411</v>
      </c>
      <c r="G2080" s="2" t="s">
        <v>9411</v>
      </c>
      <c r="H2080" s="2" t="s">
        <v>9411</v>
      </c>
      <c r="I2080" s="2" t="s">
        <v>9903</v>
      </c>
      <c r="J2080" s="2" t="s">
        <v>9907</v>
      </c>
      <c r="K2080" s="2" t="s">
        <v>480</v>
      </c>
      <c r="L2080" s="3">
        <v>25</v>
      </c>
      <c r="M2080" s="3">
        <v>26.25</v>
      </c>
      <c r="N2080" s="3">
        <v>49.99</v>
      </c>
      <c r="O2080" s="2" t="s">
        <v>240</v>
      </c>
      <c r="P2080" s="2" t="s">
        <v>233</v>
      </c>
      <c r="Q2080" s="2" t="s">
        <v>234</v>
      </c>
      <c r="R2080" s="2" t="s">
        <v>228</v>
      </c>
      <c r="S2080" s="2" t="s">
        <v>9941</v>
      </c>
      <c r="T2080" s="2" t="s">
        <v>9411</v>
      </c>
      <c r="U2080" s="2" t="s">
        <v>1331</v>
      </c>
      <c r="V2080" s="2" t="s">
        <v>236</v>
      </c>
      <c r="W2080" s="2" t="s">
        <v>269</v>
      </c>
      <c r="X2080" s="2" t="s">
        <v>417</v>
      </c>
      <c r="Y2080" s="2" t="s">
        <v>9914</v>
      </c>
      <c r="Z2080" s="4">
        <v>209</v>
      </c>
      <c r="AA2080" s="4">
        <f>=ROUNDDOWN(20.9,0)</f>
      </c>
      <c r="AB2080" s="5">
        <v>10</v>
      </c>
      <c r="AC2080" s="2" t="s">
        <v>9905</v>
      </c>
      <c r="AD2080" s="4">
        <v>70</v>
      </c>
      <c r="AE2080" s="4">
        <v>150</v>
      </c>
      <c r="AF2080" s="6">
        <v>65</v>
      </c>
      <c r="AG2080" s="6">
        <v>48</v>
      </c>
      <c r="AH2080" s="7">
        <v>1</v>
      </c>
      <c r="AI2080" s="4"/>
      <c r="AJ2080" s="4">
        <f>=ROUNDDOWN({0},0)</f>
      </c>
      <c r="AK2080" s="5"/>
      <c r="AL2080" s="2" t="s">
        <v>228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 t="s">
        <v>228</v>
      </c>
      <c r="AW2080" s="8" t="s">
        <v>228</v>
      </c>
      <c r="AX2080" s="4" t="s">
        <v>228</v>
      </c>
      <c r="AY2080" s="8" t="s">
        <v>228</v>
      </c>
      <c r="AZ2080" s="7" t="s">
        <v>228</v>
      </c>
      <c r="BA2080" s="7" t="s">
        <v>228</v>
      </c>
      <c r="BB2080" s="7"/>
      <c r="BC2080" s="4" t="s">
        <v>228</v>
      </c>
      <c r="BD2080" s="8" t="s">
        <v>228</v>
      </c>
      <c r="BE2080" s="4" t="s">
        <v>228</v>
      </c>
      <c r="BF2080" s="8" t="s">
        <v>228</v>
      </c>
      <c r="BG2080" s="7" t="s">
        <v>228</v>
      </c>
      <c r="BH2080" s="7" t="s">
        <v>228</v>
      </c>
      <c r="BI2080" s="7"/>
      <c r="BJ2080" s="4"/>
      <c r="BK2080" s="8"/>
      <c r="BL2080" s="2" t="s">
        <v>228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238</v>
      </c>
      <c r="BV2080" s="2" t="s">
        <v>228</v>
      </c>
      <c r="BW2080" s="2" t="s">
        <v>228</v>
      </c>
      <c r="BX2080" s="2" t="s">
        <v>238</v>
      </c>
      <c r="BY2080" s="2" t="s">
        <v>239</v>
      </c>
      <c r="BZ2080" s="2" t="s">
        <v>240</v>
      </c>
      <c r="CA2080" s="2" t="s">
        <v>228</v>
      </c>
      <c r="CB2080" s="2" t="s">
        <v>228</v>
      </c>
      <c r="CC2080" s="2" t="s">
        <v>241</v>
      </c>
      <c r="CD2080" s="2" t="s">
        <v>228</v>
      </c>
      <c r="CE2080" s="4">
        <v>139</v>
      </c>
      <c r="CF2080" s="4"/>
      <c r="CG2080" s="4"/>
      <c r="CH2080" s="4">
        <v>70</v>
      </c>
      <c r="CI2080" s="4"/>
      <c r="CJ2080" s="4"/>
      <c r="CK2080" s="4"/>
      <c r="CL2080" s="4"/>
      <c r="CM2080" s="4"/>
      <c r="CN2080" s="4"/>
      <c r="CO2080" s="4"/>
      <c r="CP2080" s="4"/>
      <c r="CQ2080" s="4"/>
      <c r="CR2080" s="4"/>
      <c r="CS2080" s="4"/>
      <c r="CT2080" s="4"/>
      <c r="CU2080" s="4"/>
      <c r="CV2080" s="4"/>
      <c r="CW2080" s="4"/>
      <c r="CX2080" s="4"/>
      <c r="CY2080" s="4"/>
      <c r="CZ2080" s="4"/>
      <c r="DA2080" s="4"/>
      <c r="DB2080" s="4"/>
      <c r="DC2080" s="4"/>
      <c r="DD2080" s="4"/>
      <c r="DE2080" s="4"/>
      <c r="DF2080" s="4"/>
      <c r="DG2080" s="4"/>
      <c r="DH2080" s="4"/>
      <c r="DI2080" s="4"/>
      <c r="DJ2080" s="4"/>
      <c r="DK2080" s="4"/>
      <c r="DL2080" s="4"/>
      <c r="DM2080" s="4"/>
      <c r="DN2080" s="4"/>
      <c r="DO2080" s="4"/>
      <c r="DP2080" s="4"/>
      <c r="DQ2080" s="4"/>
      <c r="DR2080" s="4"/>
      <c r="DS2080" s="4"/>
      <c r="DT2080" s="4"/>
      <c r="DU2080" s="4"/>
      <c r="DV2080" s="4"/>
      <c r="DW2080" s="4"/>
      <c r="DX2080" s="4"/>
      <c r="DY2080" s="4"/>
      <c r="DZ2080" s="4"/>
      <c r="EA2080" s="4"/>
      <c r="EB2080" s="4">
        <v>70</v>
      </c>
      <c r="EC2080" s="4"/>
      <c r="ED2080" s="4"/>
      <c r="EE2080" s="4"/>
      <c r="EF2080" s="4"/>
      <c r="EG2080" s="4"/>
      <c r="EH2080" s="4"/>
      <c r="EI2080" s="4"/>
      <c r="EJ2080" s="4">
        <v>80</v>
      </c>
      <c r="EK2080" s="4"/>
      <c r="EL2080" s="4"/>
      <c r="EM2080" s="4"/>
      <c r="EN2080" s="4"/>
      <c r="EO2080" s="4"/>
      <c r="EP2080" s="4"/>
      <c r="EQ2080" s="4"/>
      <c r="ER2080" s="4"/>
      <c r="ES2080" s="4"/>
      <c r="ET2080" s="4"/>
      <c r="EU2080" s="4"/>
      <c r="EV2080" s="4"/>
      <c r="EW2080" s="4"/>
      <c r="EX2080" s="4"/>
      <c r="EY2080" s="4"/>
      <c r="EZ2080" s="4"/>
      <c r="FA2080" s="4"/>
      <c r="FB2080" s="4"/>
      <c r="FC2080" s="4"/>
      <c r="FD2080" s="4"/>
      <c r="FE2080" s="4"/>
      <c r="FF2080" s="4"/>
      <c r="FG2080" s="4"/>
      <c r="FH2080" s="4"/>
      <c r="FI2080" s="4"/>
      <c r="FJ2080" s="4"/>
      <c r="FK2080" s="4"/>
      <c r="FL2080" s="4"/>
      <c r="FM2080" s="4"/>
      <c r="FN2080" s="4"/>
      <c r="FO2080" s="4"/>
      <c r="FP2080" s="4"/>
      <c r="FQ2080" s="4"/>
      <c r="FR2080" s="4"/>
      <c r="FS2080" s="4"/>
      <c r="FT2080" s="4"/>
      <c r="FU2080" s="4"/>
      <c r="FV2080" s="4"/>
      <c r="FW2080" s="4"/>
      <c r="FX2080" s="4"/>
      <c r="FY2080" s="4"/>
      <c r="FZ2080" s="4"/>
      <c r="GA2080" s="4"/>
      <c r="GB2080" s="4"/>
      <c r="GC2080" s="4"/>
      <c r="GD2080" s="4"/>
      <c r="GE2080" s="4"/>
      <c r="GF2080" s="4"/>
      <c r="GG2080" s="4"/>
      <c r="GH2080" s="4"/>
      <c r="GI2080" s="4"/>
      <c r="GJ2080" s="4"/>
      <c r="GK2080" s="4"/>
      <c r="GL2080" s="4"/>
      <c r="GM2080" s="4"/>
      <c r="GN2080" s="4"/>
      <c r="GO2080" s="4"/>
      <c r="GP2080" s="4"/>
      <c r="GQ2080" s="4"/>
      <c r="GR2080" s="4"/>
      <c r="GS2080" s="4"/>
      <c r="GT2080" s="4"/>
      <c r="GU2080" s="4"/>
      <c r="GV2080" s="4"/>
      <c r="GW2080" s="4"/>
      <c r="GX2080" s="4"/>
      <c r="GY2080" s="4"/>
      <c r="GZ2080" s="4"/>
      <c r="HA2080" s="4"/>
      <c r="HB2080" s="4"/>
      <c r="HC2080" s="4"/>
      <c r="HD2080" s="4"/>
      <c r="HE2080" s="4"/>
    </row>
    <row r="2081">
      <c r="A2081" s="2" t="s">
        <v>9943</v>
      </c>
      <c r="B2081" s="2" t="s">
        <v>299</v>
      </c>
      <c r="C2081" s="2" t="s">
        <v>345</v>
      </c>
      <c r="D2081" s="2" t="s">
        <v>301</v>
      </c>
      <c r="E2081" s="2" t="s">
        <v>302</v>
      </c>
      <c r="F2081" s="2" t="s">
        <v>9411</v>
      </c>
      <c r="G2081" s="2" t="s">
        <v>9411</v>
      </c>
      <c r="H2081" s="2" t="s">
        <v>9411</v>
      </c>
      <c r="I2081" s="2" t="s">
        <v>9903</v>
      </c>
      <c r="J2081" s="2" t="s">
        <v>264</v>
      </c>
      <c r="K2081" s="2" t="s">
        <v>2350</v>
      </c>
      <c r="L2081" s="3">
        <v>12.48</v>
      </c>
      <c r="M2081" s="3">
        <v>13.1</v>
      </c>
      <c r="N2081" s="3">
        <v>27.99</v>
      </c>
      <c r="O2081" s="2" t="s">
        <v>240</v>
      </c>
      <c r="P2081" s="2" t="s">
        <v>233</v>
      </c>
      <c r="Q2081" s="2" t="s">
        <v>234</v>
      </c>
      <c r="R2081" s="2" t="s">
        <v>228</v>
      </c>
      <c r="S2081" s="2" t="s">
        <v>9944</v>
      </c>
      <c r="T2081" s="2" t="s">
        <v>9411</v>
      </c>
      <c r="U2081" s="2" t="s">
        <v>308</v>
      </c>
      <c r="V2081" s="2" t="s">
        <v>236</v>
      </c>
      <c r="W2081" s="2" t="s">
        <v>269</v>
      </c>
      <c r="X2081" s="2" t="s">
        <v>417</v>
      </c>
      <c r="Y2081" s="2" t="s">
        <v>1994</v>
      </c>
      <c r="Z2081" s="4">
        <v>901</v>
      </c>
      <c r="AA2081" s="4">
        <f>=ROUNDDOWN(23.7105263157895,0)</f>
      </c>
      <c r="AB2081" s="5">
        <v>38</v>
      </c>
      <c r="AC2081" s="2" t="s">
        <v>9905</v>
      </c>
      <c r="AD2081" s="4">
        <v>300</v>
      </c>
      <c r="AE2081" s="4">
        <v>580</v>
      </c>
      <c r="AF2081" s="6">
        <v>65</v>
      </c>
      <c r="AG2081" s="6">
        <v>48</v>
      </c>
      <c r="AH2081" s="7">
        <v>1</v>
      </c>
      <c r="AI2081" s="4"/>
      <c r="AJ2081" s="4">
        <f>=ROUNDDOWN({0},0)</f>
      </c>
      <c r="AK2081" s="5"/>
      <c r="AL2081" s="2" t="s">
        <v>228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/>
      <c r="AW2081" s="8"/>
      <c r="AX2081" s="4"/>
      <c r="AY2081" s="8"/>
      <c r="AZ2081" s="7"/>
      <c r="BA2081" s="7"/>
      <c r="BB2081" s="7"/>
      <c r="BC2081" s="4" t="s">
        <v>228</v>
      </c>
      <c r="BD2081" s="8" t="s">
        <v>228</v>
      </c>
      <c r="BE2081" s="4" t="s">
        <v>228</v>
      </c>
      <c r="BF2081" s="8" t="s">
        <v>228</v>
      </c>
      <c r="BG2081" s="7" t="s">
        <v>228</v>
      </c>
      <c r="BH2081" s="7" t="s">
        <v>228</v>
      </c>
      <c r="BI2081" s="7"/>
      <c r="BJ2081" s="4"/>
      <c r="BK2081" s="8"/>
      <c r="BL2081" s="2" t="s">
        <v>228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238</v>
      </c>
      <c r="BV2081" s="2" t="s">
        <v>228</v>
      </c>
      <c r="BW2081" s="2" t="s">
        <v>228</v>
      </c>
      <c r="BX2081" s="2" t="s">
        <v>238</v>
      </c>
      <c r="BY2081" s="2" t="s">
        <v>239</v>
      </c>
      <c r="BZ2081" s="2" t="s">
        <v>240</v>
      </c>
      <c r="CA2081" s="2" t="s">
        <v>228</v>
      </c>
      <c r="CB2081" s="2" t="s">
        <v>228</v>
      </c>
      <c r="CC2081" s="2" t="s">
        <v>241</v>
      </c>
      <c r="CD2081" s="2" t="s">
        <v>228</v>
      </c>
      <c r="CE2081" s="4">
        <v>298</v>
      </c>
      <c r="CF2081" s="4"/>
      <c r="CG2081" s="4"/>
      <c r="CH2081" s="4">
        <v>301</v>
      </c>
      <c r="CI2081" s="4"/>
      <c r="CJ2081" s="4"/>
      <c r="CK2081" s="4">
        <v>302</v>
      </c>
      <c r="CL2081" s="4"/>
      <c r="CM2081" s="4"/>
      <c r="CN2081" s="4"/>
      <c r="CO2081" s="4"/>
      <c r="CP2081" s="4"/>
      <c r="CQ2081" s="4"/>
      <c r="CR2081" s="4"/>
      <c r="CS2081" s="4"/>
      <c r="CT2081" s="4"/>
      <c r="CU2081" s="4"/>
      <c r="CV2081" s="4"/>
      <c r="CW2081" s="4"/>
      <c r="CX2081" s="4"/>
      <c r="CY2081" s="4"/>
      <c r="CZ2081" s="4"/>
      <c r="DA2081" s="4"/>
      <c r="DB2081" s="4"/>
      <c r="DC2081" s="4"/>
      <c r="DD2081" s="4"/>
      <c r="DE2081" s="4"/>
      <c r="DF2081" s="4"/>
      <c r="DG2081" s="4"/>
      <c r="DH2081" s="4"/>
      <c r="DI2081" s="4"/>
      <c r="DJ2081" s="4"/>
      <c r="DK2081" s="4"/>
      <c r="DL2081" s="4"/>
      <c r="DM2081" s="4"/>
      <c r="DN2081" s="4"/>
      <c r="DO2081" s="4"/>
      <c r="DP2081" s="4"/>
      <c r="DQ2081" s="4"/>
      <c r="DR2081" s="4"/>
      <c r="DS2081" s="4"/>
      <c r="DT2081" s="4"/>
      <c r="DU2081" s="4"/>
      <c r="DV2081" s="4"/>
      <c r="DW2081" s="4"/>
      <c r="DX2081" s="4"/>
      <c r="DY2081" s="4"/>
      <c r="DZ2081" s="4"/>
      <c r="EA2081" s="4"/>
      <c r="EB2081" s="4">
        <v>300</v>
      </c>
      <c r="EC2081" s="4"/>
      <c r="ED2081" s="4"/>
      <c r="EE2081" s="4"/>
      <c r="EF2081" s="4"/>
      <c r="EG2081" s="4"/>
      <c r="EH2081" s="4"/>
      <c r="EI2081" s="4"/>
      <c r="EJ2081" s="4">
        <v>280</v>
      </c>
      <c r="EK2081" s="4"/>
      <c r="EL2081" s="4"/>
      <c r="EM2081" s="4"/>
      <c r="EN2081" s="4"/>
      <c r="EO2081" s="4"/>
      <c r="EP2081" s="4"/>
      <c r="EQ2081" s="4"/>
      <c r="ER2081" s="4"/>
      <c r="ES2081" s="4"/>
      <c r="ET2081" s="4"/>
      <c r="EU2081" s="4"/>
      <c r="EV2081" s="4"/>
      <c r="EW2081" s="4"/>
      <c r="EX2081" s="4"/>
      <c r="EY2081" s="4"/>
      <c r="EZ2081" s="4"/>
      <c r="FA2081" s="4"/>
      <c r="FB2081" s="4"/>
      <c r="FC2081" s="4"/>
      <c r="FD2081" s="4"/>
      <c r="FE2081" s="4"/>
      <c r="FF2081" s="4"/>
      <c r="FG2081" s="4"/>
      <c r="FH2081" s="4"/>
      <c r="FI2081" s="4"/>
      <c r="FJ2081" s="4"/>
      <c r="FK2081" s="4"/>
      <c r="FL2081" s="4"/>
      <c r="FM2081" s="4"/>
      <c r="FN2081" s="4"/>
      <c r="FO2081" s="4"/>
      <c r="FP2081" s="4"/>
      <c r="FQ2081" s="4"/>
      <c r="FR2081" s="4"/>
      <c r="FS2081" s="4"/>
      <c r="FT2081" s="4"/>
      <c r="FU2081" s="4"/>
      <c r="FV2081" s="4"/>
      <c r="FW2081" s="4"/>
      <c r="FX2081" s="4"/>
      <c r="FY2081" s="4"/>
      <c r="FZ2081" s="4"/>
      <c r="GA2081" s="4"/>
      <c r="GB2081" s="4"/>
      <c r="GC2081" s="4"/>
      <c r="GD2081" s="4"/>
      <c r="GE2081" s="4"/>
      <c r="GF2081" s="4"/>
      <c r="GG2081" s="4"/>
      <c r="GH2081" s="4"/>
      <c r="GI2081" s="4"/>
      <c r="GJ2081" s="4"/>
      <c r="GK2081" s="4"/>
      <c r="GL2081" s="4"/>
      <c r="GM2081" s="4"/>
      <c r="GN2081" s="4"/>
      <c r="GO2081" s="4"/>
      <c r="GP2081" s="4"/>
      <c r="GQ2081" s="4"/>
      <c r="GR2081" s="4"/>
      <c r="GS2081" s="4"/>
      <c r="GT2081" s="4"/>
      <c r="GU2081" s="4"/>
      <c r="GV2081" s="4"/>
      <c r="GW2081" s="4"/>
      <c r="GX2081" s="4"/>
      <c r="GY2081" s="4"/>
      <c r="GZ2081" s="4"/>
      <c r="HA2081" s="4"/>
      <c r="HB2081" s="4"/>
      <c r="HC2081" s="4"/>
      <c r="HD2081" s="4"/>
      <c r="HE2081" s="4"/>
    </row>
    <row r="2082">
      <c r="A2082" s="2" t="s">
        <v>9945</v>
      </c>
      <c r="B2082" s="2" t="s">
        <v>299</v>
      </c>
      <c r="C2082" s="2" t="s">
        <v>345</v>
      </c>
      <c r="D2082" s="2" t="s">
        <v>301</v>
      </c>
      <c r="E2082" s="2" t="s">
        <v>302</v>
      </c>
      <c r="F2082" s="2" t="s">
        <v>9411</v>
      </c>
      <c r="G2082" s="2" t="s">
        <v>9411</v>
      </c>
      <c r="H2082" s="2" t="s">
        <v>9411</v>
      </c>
      <c r="I2082" s="2" t="s">
        <v>9903</v>
      </c>
      <c r="J2082" s="2" t="s">
        <v>264</v>
      </c>
      <c r="K2082" s="2" t="s">
        <v>725</v>
      </c>
      <c r="L2082" s="3">
        <v>12.48</v>
      </c>
      <c r="M2082" s="3">
        <v>13.1</v>
      </c>
      <c r="N2082" s="3">
        <v>27.99</v>
      </c>
      <c r="O2082" s="2" t="s">
        <v>240</v>
      </c>
      <c r="P2082" s="2" t="s">
        <v>233</v>
      </c>
      <c r="Q2082" s="2" t="s">
        <v>234</v>
      </c>
      <c r="R2082" s="2" t="s">
        <v>228</v>
      </c>
      <c r="S2082" s="2" t="s">
        <v>9946</v>
      </c>
      <c r="T2082" s="2" t="s">
        <v>9411</v>
      </c>
      <c r="U2082" s="2" t="s">
        <v>308</v>
      </c>
      <c r="V2082" s="2" t="s">
        <v>236</v>
      </c>
      <c r="W2082" s="2" t="s">
        <v>269</v>
      </c>
      <c r="X2082" s="2" t="s">
        <v>417</v>
      </c>
      <c r="Y2082" s="2" t="s">
        <v>1996</v>
      </c>
      <c r="Z2082" s="4">
        <v>390</v>
      </c>
      <c r="AA2082" s="4">
        <f>=ROUNDDOWN(19.5,0)</f>
      </c>
      <c r="AB2082" s="5">
        <v>20</v>
      </c>
      <c r="AC2082" s="2" t="s">
        <v>9905</v>
      </c>
      <c r="AD2082" s="4">
        <v>130</v>
      </c>
      <c r="AE2082" s="4">
        <v>310</v>
      </c>
      <c r="AF2082" s="6">
        <v>65</v>
      </c>
      <c r="AG2082" s="6">
        <v>48</v>
      </c>
      <c r="AH2082" s="7">
        <v>1</v>
      </c>
      <c r="AI2082" s="4"/>
      <c r="AJ2082" s="4">
        <f>=ROUNDDOWN({0},0)</f>
      </c>
      <c r="AK2082" s="5"/>
      <c r="AL2082" s="2" t="s">
        <v>228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 t="s">
        <v>228</v>
      </c>
      <c r="AW2082" s="8" t="s">
        <v>228</v>
      </c>
      <c r="AX2082" s="4" t="s">
        <v>228</v>
      </c>
      <c r="AY2082" s="8" t="s">
        <v>228</v>
      </c>
      <c r="AZ2082" s="7" t="s">
        <v>228</v>
      </c>
      <c r="BA2082" s="7" t="s">
        <v>228</v>
      </c>
      <c r="BB2082" s="7"/>
      <c r="BC2082" s="4" t="s">
        <v>228</v>
      </c>
      <c r="BD2082" s="8" t="s">
        <v>228</v>
      </c>
      <c r="BE2082" s="4" t="s">
        <v>228</v>
      </c>
      <c r="BF2082" s="8" t="s">
        <v>228</v>
      </c>
      <c r="BG2082" s="7" t="s">
        <v>228</v>
      </c>
      <c r="BH2082" s="7" t="s">
        <v>228</v>
      </c>
      <c r="BI2082" s="7"/>
      <c r="BJ2082" s="4"/>
      <c r="BK2082" s="8"/>
      <c r="BL2082" s="2" t="s">
        <v>228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238</v>
      </c>
      <c r="BV2082" s="2" t="s">
        <v>228</v>
      </c>
      <c r="BW2082" s="2" t="s">
        <v>228</v>
      </c>
      <c r="BX2082" s="2" t="s">
        <v>238</v>
      </c>
      <c r="BY2082" s="2" t="s">
        <v>239</v>
      </c>
      <c r="BZ2082" s="2" t="s">
        <v>240</v>
      </c>
      <c r="CA2082" s="2" t="s">
        <v>228</v>
      </c>
      <c r="CB2082" s="2" t="s">
        <v>228</v>
      </c>
      <c r="CC2082" s="2" t="s">
        <v>241</v>
      </c>
      <c r="CD2082" s="2" t="s">
        <v>228</v>
      </c>
      <c r="CE2082" s="4">
        <v>260</v>
      </c>
      <c r="CF2082" s="4"/>
      <c r="CG2082" s="4"/>
      <c r="CH2082" s="4">
        <v>130</v>
      </c>
      <c r="CI2082" s="4"/>
      <c r="CJ2082" s="4"/>
      <c r="CK2082" s="4"/>
      <c r="CL2082" s="4"/>
      <c r="CM2082" s="4"/>
      <c r="CN2082" s="4"/>
      <c r="CO2082" s="4"/>
      <c r="CP2082" s="4"/>
      <c r="CQ2082" s="4"/>
      <c r="CR2082" s="4"/>
      <c r="CS2082" s="4"/>
      <c r="CT2082" s="4"/>
      <c r="CU2082" s="4"/>
      <c r="CV2082" s="4"/>
      <c r="CW2082" s="4"/>
      <c r="CX2082" s="4"/>
      <c r="CY2082" s="4"/>
      <c r="CZ2082" s="4"/>
      <c r="DA2082" s="4"/>
      <c r="DB2082" s="4"/>
      <c r="DC2082" s="4"/>
      <c r="DD2082" s="4"/>
      <c r="DE2082" s="4"/>
      <c r="DF2082" s="4"/>
      <c r="DG2082" s="4"/>
      <c r="DH2082" s="4"/>
      <c r="DI2082" s="4"/>
      <c r="DJ2082" s="4"/>
      <c r="DK2082" s="4"/>
      <c r="DL2082" s="4"/>
      <c r="DM2082" s="4"/>
      <c r="DN2082" s="4"/>
      <c r="DO2082" s="4"/>
      <c r="DP2082" s="4"/>
      <c r="DQ2082" s="4"/>
      <c r="DR2082" s="4"/>
      <c r="DS2082" s="4"/>
      <c r="DT2082" s="4"/>
      <c r="DU2082" s="4"/>
      <c r="DV2082" s="4"/>
      <c r="DW2082" s="4"/>
      <c r="DX2082" s="4"/>
      <c r="DY2082" s="4"/>
      <c r="DZ2082" s="4"/>
      <c r="EA2082" s="4"/>
      <c r="EB2082" s="4">
        <v>130</v>
      </c>
      <c r="EC2082" s="4"/>
      <c r="ED2082" s="4"/>
      <c r="EE2082" s="4"/>
      <c r="EF2082" s="4"/>
      <c r="EG2082" s="4"/>
      <c r="EH2082" s="4"/>
      <c r="EI2082" s="4"/>
      <c r="EJ2082" s="4">
        <v>180</v>
      </c>
      <c r="EK2082" s="4"/>
      <c r="EL2082" s="4"/>
      <c r="EM2082" s="4"/>
      <c r="EN2082" s="4"/>
      <c r="EO2082" s="4"/>
      <c r="EP2082" s="4"/>
      <c r="EQ2082" s="4"/>
      <c r="ER2082" s="4"/>
      <c r="ES2082" s="4"/>
      <c r="ET2082" s="4"/>
      <c r="EU2082" s="4"/>
      <c r="EV2082" s="4"/>
      <c r="EW2082" s="4"/>
      <c r="EX2082" s="4"/>
      <c r="EY2082" s="4"/>
      <c r="EZ2082" s="4"/>
      <c r="FA2082" s="4"/>
      <c r="FB2082" s="4"/>
      <c r="FC2082" s="4"/>
      <c r="FD2082" s="4"/>
      <c r="FE2082" s="4"/>
      <c r="FF2082" s="4"/>
      <c r="FG2082" s="4"/>
      <c r="FH2082" s="4"/>
      <c r="FI2082" s="4"/>
      <c r="FJ2082" s="4"/>
      <c r="FK2082" s="4"/>
      <c r="FL2082" s="4"/>
      <c r="FM2082" s="4"/>
      <c r="FN2082" s="4"/>
      <c r="FO2082" s="4"/>
      <c r="FP2082" s="4"/>
      <c r="FQ2082" s="4"/>
      <c r="FR2082" s="4"/>
      <c r="FS2082" s="4"/>
      <c r="FT2082" s="4"/>
      <c r="FU2082" s="4"/>
      <c r="FV2082" s="4"/>
      <c r="FW2082" s="4"/>
      <c r="FX2082" s="4"/>
      <c r="FY2082" s="4"/>
      <c r="FZ2082" s="4"/>
      <c r="GA2082" s="4"/>
      <c r="GB2082" s="4"/>
      <c r="GC2082" s="4"/>
      <c r="GD2082" s="4"/>
      <c r="GE2082" s="4"/>
      <c r="GF2082" s="4"/>
      <c r="GG2082" s="4"/>
      <c r="GH2082" s="4"/>
      <c r="GI2082" s="4"/>
      <c r="GJ2082" s="4"/>
      <c r="GK2082" s="4"/>
      <c r="GL2082" s="4"/>
      <c r="GM2082" s="4"/>
      <c r="GN2082" s="4"/>
      <c r="GO2082" s="4"/>
      <c r="GP2082" s="4"/>
      <c r="GQ2082" s="4"/>
      <c r="GR2082" s="4"/>
      <c r="GS2082" s="4"/>
      <c r="GT2082" s="4"/>
      <c r="GU2082" s="4"/>
      <c r="GV2082" s="4"/>
      <c r="GW2082" s="4"/>
      <c r="GX2082" s="4"/>
      <c r="GY2082" s="4"/>
      <c r="GZ2082" s="4"/>
      <c r="HA2082" s="4"/>
      <c r="HB2082" s="4"/>
      <c r="HC2082" s="4"/>
      <c r="HD2082" s="4"/>
      <c r="HE2082" s="4"/>
    </row>
    <row r="2083">
      <c r="A2083" s="2" t="s">
        <v>9947</v>
      </c>
      <c r="B2083" s="2" t="s">
        <v>299</v>
      </c>
      <c r="C2083" s="2" t="s">
        <v>345</v>
      </c>
      <c r="D2083" s="2" t="s">
        <v>301</v>
      </c>
      <c r="E2083" s="2" t="s">
        <v>302</v>
      </c>
      <c r="F2083" s="2" t="s">
        <v>9411</v>
      </c>
      <c r="G2083" s="2" t="s">
        <v>9411</v>
      </c>
      <c r="H2083" s="2" t="s">
        <v>9411</v>
      </c>
      <c r="I2083" s="2" t="s">
        <v>9903</v>
      </c>
      <c r="J2083" s="2" t="s">
        <v>284</v>
      </c>
      <c r="K2083" s="2" t="s">
        <v>725</v>
      </c>
      <c r="L2083" s="3">
        <v>14.71</v>
      </c>
      <c r="M2083" s="3">
        <v>15.45</v>
      </c>
      <c r="N2083" s="3">
        <v>32.99</v>
      </c>
      <c r="O2083" s="2" t="s">
        <v>240</v>
      </c>
      <c r="P2083" s="2" t="s">
        <v>233</v>
      </c>
      <c r="Q2083" s="2" t="s">
        <v>234</v>
      </c>
      <c r="R2083" s="2" t="s">
        <v>228</v>
      </c>
      <c r="S2083" s="2" t="s">
        <v>9946</v>
      </c>
      <c r="T2083" s="2" t="s">
        <v>9411</v>
      </c>
      <c r="U2083" s="2" t="s">
        <v>1054</v>
      </c>
      <c r="V2083" s="2" t="s">
        <v>236</v>
      </c>
      <c r="W2083" s="2" t="s">
        <v>269</v>
      </c>
      <c r="X2083" s="2" t="s">
        <v>417</v>
      </c>
      <c r="Y2083" s="2" t="s">
        <v>9914</v>
      </c>
      <c r="Z2083" s="4">
        <v>476</v>
      </c>
      <c r="AA2083" s="4">
        <f>=ROUNDDOWN(18.3076923076923,0)</f>
      </c>
      <c r="AB2083" s="5">
        <v>26</v>
      </c>
      <c r="AC2083" s="2" t="s">
        <v>9905</v>
      </c>
      <c r="AD2083" s="4">
        <v>160</v>
      </c>
      <c r="AE2083" s="4">
        <v>380</v>
      </c>
      <c r="AF2083" s="6">
        <v>65</v>
      </c>
      <c r="AG2083" s="6">
        <v>48</v>
      </c>
      <c r="AH2083" s="7">
        <v>1</v>
      </c>
      <c r="AI2083" s="4"/>
      <c r="AJ2083" s="4">
        <f>=ROUNDDOWN({0},0)</f>
      </c>
      <c r="AK2083" s="5"/>
      <c r="AL2083" s="2" t="s">
        <v>228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 t="s">
        <v>228</v>
      </c>
      <c r="AW2083" s="8" t="s">
        <v>228</v>
      </c>
      <c r="AX2083" s="4" t="s">
        <v>228</v>
      </c>
      <c r="AY2083" s="8" t="s">
        <v>228</v>
      </c>
      <c r="AZ2083" s="7" t="s">
        <v>228</v>
      </c>
      <c r="BA2083" s="7" t="s">
        <v>228</v>
      </c>
      <c r="BB2083" s="7"/>
      <c r="BC2083" s="4" t="s">
        <v>228</v>
      </c>
      <c r="BD2083" s="8" t="s">
        <v>228</v>
      </c>
      <c r="BE2083" s="4" t="s">
        <v>228</v>
      </c>
      <c r="BF2083" s="8" t="s">
        <v>228</v>
      </c>
      <c r="BG2083" s="7" t="s">
        <v>228</v>
      </c>
      <c r="BH2083" s="7" t="s">
        <v>228</v>
      </c>
      <c r="BI2083" s="7"/>
      <c r="BJ2083" s="4">
        <v>3</v>
      </c>
      <c r="BK2083" s="8">
        <v>101.49</v>
      </c>
      <c r="BL2083" s="2" t="s">
        <v>7807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238</v>
      </c>
      <c r="BV2083" s="2" t="s">
        <v>228</v>
      </c>
      <c r="BW2083" s="2" t="s">
        <v>228</v>
      </c>
      <c r="BX2083" s="2" t="s">
        <v>238</v>
      </c>
      <c r="BY2083" s="2" t="s">
        <v>239</v>
      </c>
      <c r="BZ2083" s="2" t="s">
        <v>240</v>
      </c>
      <c r="CA2083" s="2" t="s">
        <v>228</v>
      </c>
      <c r="CB2083" s="2" t="s">
        <v>228</v>
      </c>
      <c r="CC2083" s="2" t="s">
        <v>241</v>
      </c>
      <c r="CD2083" s="2" t="s">
        <v>228</v>
      </c>
      <c r="CE2083" s="4">
        <v>317</v>
      </c>
      <c r="CF2083" s="4"/>
      <c r="CG2083" s="4"/>
      <c r="CH2083" s="4">
        <v>159</v>
      </c>
      <c r="CI2083" s="4"/>
      <c r="CJ2083" s="4"/>
      <c r="CK2083" s="4"/>
      <c r="CL2083" s="4"/>
      <c r="CM2083" s="4"/>
      <c r="CN2083" s="4"/>
      <c r="CO2083" s="4"/>
      <c r="CP2083" s="4"/>
      <c r="CQ2083" s="4"/>
      <c r="CR2083" s="4"/>
      <c r="CS2083" s="4"/>
      <c r="CT2083" s="4"/>
      <c r="CU2083" s="4"/>
      <c r="CV2083" s="4"/>
      <c r="CW2083" s="4"/>
      <c r="CX2083" s="4"/>
      <c r="CY2083" s="4"/>
      <c r="CZ2083" s="4"/>
      <c r="DA2083" s="4"/>
      <c r="DB2083" s="4"/>
      <c r="DC2083" s="4"/>
      <c r="DD2083" s="4"/>
      <c r="DE2083" s="4"/>
      <c r="DF2083" s="4"/>
      <c r="DG2083" s="4"/>
      <c r="DH2083" s="4"/>
      <c r="DI2083" s="4"/>
      <c r="DJ2083" s="4"/>
      <c r="DK2083" s="4"/>
      <c r="DL2083" s="4"/>
      <c r="DM2083" s="4"/>
      <c r="DN2083" s="4"/>
      <c r="DO2083" s="4"/>
      <c r="DP2083" s="4"/>
      <c r="DQ2083" s="4"/>
      <c r="DR2083" s="4"/>
      <c r="DS2083" s="4"/>
      <c r="DT2083" s="4"/>
      <c r="DU2083" s="4"/>
      <c r="DV2083" s="4"/>
      <c r="DW2083" s="4"/>
      <c r="DX2083" s="4"/>
      <c r="DY2083" s="4"/>
      <c r="DZ2083" s="4"/>
      <c r="EA2083" s="4"/>
      <c r="EB2083" s="4">
        <v>160</v>
      </c>
      <c r="EC2083" s="4"/>
      <c r="ED2083" s="4"/>
      <c r="EE2083" s="4"/>
      <c r="EF2083" s="4"/>
      <c r="EG2083" s="4"/>
      <c r="EH2083" s="4"/>
      <c r="EI2083" s="4"/>
      <c r="EJ2083" s="4">
        <v>220</v>
      </c>
      <c r="EK2083" s="4"/>
      <c r="EL2083" s="4"/>
      <c r="EM2083" s="4"/>
      <c r="EN2083" s="4"/>
      <c r="EO2083" s="4"/>
      <c r="EP2083" s="4"/>
      <c r="EQ2083" s="4"/>
      <c r="ER2083" s="4"/>
      <c r="ES2083" s="4"/>
      <c r="ET2083" s="4"/>
      <c r="EU2083" s="4"/>
      <c r="EV2083" s="4"/>
      <c r="EW2083" s="4"/>
      <c r="EX2083" s="4"/>
      <c r="EY2083" s="4"/>
      <c r="EZ2083" s="4"/>
      <c r="FA2083" s="4"/>
      <c r="FB2083" s="4"/>
      <c r="FC2083" s="4"/>
      <c r="FD2083" s="4"/>
      <c r="FE2083" s="4"/>
      <c r="FF2083" s="4"/>
      <c r="FG2083" s="4"/>
      <c r="FH2083" s="4"/>
      <c r="FI2083" s="4"/>
      <c r="FJ2083" s="4"/>
      <c r="FK2083" s="4"/>
      <c r="FL2083" s="4"/>
      <c r="FM2083" s="4"/>
      <c r="FN2083" s="4"/>
      <c r="FO2083" s="4"/>
      <c r="FP2083" s="4"/>
      <c r="FQ2083" s="4"/>
      <c r="FR2083" s="4"/>
      <c r="FS2083" s="4"/>
      <c r="FT2083" s="4"/>
      <c r="FU2083" s="4"/>
      <c r="FV2083" s="4"/>
      <c r="FW2083" s="4"/>
      <c r="FX2083" s="4"/>
      <c r="FY2083" s="4"/>
      <c r="FZ2083" s="4"/>
      <c r="GA2083" s="4"/>
      <c r="GB2083" s="4"/>
      <c r="GC2083" s="4"/>
      <c r="GD2083" s="4"/>
      <c r="GE2083" s="4"/>
      <c r="GF2083" s="4"/>
      <c r="GG2083" s="4"/>
      <c r="GH2083" s="4"/>
      <c r="GI2083" s="4"/>
      <c r="GJ2083" s="4"/>
      <c r="GK2083" s="4"/>
      <c r="GL2083" s="4"/>
      <c r="GM2083" s="4"/>
      <c r="GN2083" s="4"/>
      <c r="GO2083" s="4"/>
      <c r="GP2083" s="4"/>
      <c r="GQ2083" s="4"/>
      <c r="GR2083" s="4"/>
      <c r="GS2083" s="4"/>
      <c r="GT2083" s="4"/>
      <c r="GU2083" s="4"/>
      <c r="GV2083" s="4"/>
      <c r="GW2083" s="4"/>
      <c r="GX2083" s="4"/>
      <c r="GY2083" s="4"/>
      <c r="GZ2083" s="4"/>
      <c r="HA2083" s="4"/>
      <c r="HB2083" s="4"/>
      <c r="HC2083" s="4"/>
      <c r="HD2083" s="4"/>
      <c r="HE2083" s="4"/>
    </row>
    <row r="2084">
      <c r="A2084" s="2" t="s">
        <v>9948</v>
      </c>
      <c r="B2084" s="2" t="s">
        <v>299</v>
      </c>
      <c r="C2084" s="2" t="s">
        <v>345</v>
      </c>
      <c r="D2084" s="2" t="s">
        <v>301</v>
      </c>
      <c r="E2084" s="2" t="s">
        <v>302</v>
      </c>
      <c r="F2084" s="2" t="s">
        <v>9411</v>
      </c>
      <c r="G2084" s="2" t="s">
        <v>9411</v>
      </c>
      <c r="H2084" s="2" t="s">
        <v>9411</v>
      </c>
      <c r="I2084" s="2" t="s">
        <v>9903</v>
      </c>
      <c r="J2084" s="2" t="s">
        <v>289</v>
      </c>
      <c r="K2084" s="2" t="s">
        <v>725</v>
      </c>
      <c r="L2084" s="3">
        <v>16.94</v>
      </c>
      <c r="M2084" s="3">
        <v>17.79</v>
      </c>
      <c r="N2084" s="3">
        <v>37.99</v>
      </c>
      <c r="O2084" s="2" t="s">
        <v>240</v>
      </c>
      <c r="P2084" s="2" t="s">
        <v>233</v>
      </c>
      <c r="Q2084" s="2" t="s">
        <v>234</v>
      </c>
      <c r="R2084" s="2" t="s">
        <v>228</v>
      </c>
      <c r="S2084" s="2" t="s">
        <v>9946</v>
      </c>
      <c r="T2084" s="2" t="s">
        <v>9411</v>
      </c>
      <c r="U2084" s="2" t="s">
        <v>1054</v>
      </c>
      <c r="V2084" s="2" t="s">
        <v>236</v>
      </c>
      <c r="W2084" s="2" t="s">
        <v>269</v>
      </c>
      <c r="X2084" s="2" t="s">
        <v>417</v>
      </c>
      <c r="Y2084" s="2" t="s">
        <v>9914</v>
      </c>
      <c r="Z2084" s="4">
        <v>1195</v>
      </c>
      <c r="AA2084" s="4">
        <f>=ROUNDDOWN(25.9782608695652,0)</f>
      </c>
      <c r="AB2084" s="5">
        <v>46</v>
      </c>
      <c r="AC2084" s="2" t="s">
        <v>9905</v>
      </c>
      <c r="AD2084" s="4">
        <v>400</v>
      </c>
      <c r="AE2084" s="4">
        <v>1020</v>
      </c>
      <c r="AF2084" s="6">
        <v>65</v>
      </c>
      <c r="AG2084" s="6">
        <v>48</v>
      </c>
      <c r="AH2084" s="7">
        <v>1</v>
      </c>
      <c r="AI2084" s="4"/>
      <c r="AJ2084" s="4">
        <f>=ROUNDDOWN({0},0)</f>
      </c>
      <c r="AK2084" s="5"/>
      <c r="AL2084" s="2" t="s">
        <v>228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 t="s">
        <v>228</v>
      </c>
      <c r="AW2084" s="8" t="s">
        <v>228</v>
      </c>
      <c r="AX2084" s="4" t="s">
        <v>228</v>
      </c>
      <c r="AY2084" s="8" t="s">
        <v>228</v>
      </c>
      <c r="AZ2084" s="7" t="s">
        <v>228</v>
      </c>
      <c r="BA2084" s="7" t="s">
        <v>228</v>
      </c>
      <c r="BB2084" s="7"/>
      <c r="BC2084" s="4" t="s">
        <v>228</v>
      </c>
      <c r="BD2084" s="8" t="s">
        <v>228</v>
      </c>
      <c r="BE2084" s="4" t="s">
        <v>228</v>
      </c>
      <c r="BF2084" s="8" t="s">
        <v>228</v>
      </c>
      <c r="BG2084" s="7" t="s">
        <v>228</v>
      </c>
      <c r="BH2084" s="7" t="s">
        <v>228</v>
      </c>
      <c r="BI2084" s="7"/>
      <c r="BJ2084" s="4">
        <v>5</v>
      </c>
      <c r="BK2084" s="8">
        <v>180.03</v>
      </c>
      <c r="BL2084" s="2" t="s">
        <v>7807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238</v>
      </c>
      <c r="BV2084" s="2" t="s">
        <v>228</v>
      </c>
      <c r="BW2084" s="2" t="s">
        <v>228</v>
      </c>
      <c r="BX2084" s="2" t="s">
        <v>238</v>
      </c>
      <c r="BY2084" s="2" t="s">
        <v>239</v>
      </c>
      <c r="BZ2084" s="2" t="s">
        <v>240</v>
      </c>
      <c r="CA2084" s="2" t="s">
        <v>228</v>
      </c>
      <c r="CB2084" s="2" t="s">
        <v>228</v>
      </c>
      <c r="CC2084" s="2" t="s">
        <v>241</v>
      </c>
      <c r="CD2084" s="2" t="s">
        <v>228</v>
      </c>
      <c r="CE2084" s="4">
        <v>396</v>
      </c>
      <c r="CF2084" s="4"/>
      <c r="CG2084" s="4"/>
      <c r="CH2084" s="4">
        <v>399</v>
      </c>
      <c r="CI2084" s="4"/>
      <c r="CJ2084" s="4"/>
      <c r="CK2084" s="4">
        <v>400</v>
      </c>
      <c r="CL2084" s="4"/>
      <c r="CM2084" s="4"/>
      <c r="CN2084" s="4"/>
      <c r="CO2084" s="4"/>
      <c r="CP2084" s="4"/>
      <c r="CQ2084" s="4"/>
      <c r="CR2084" s="4"/>
      <c r="CS2084" s="4"/>
      <c r="CT2084" s="4"/>
      <c r="CU2084" s="4"/>
      <c r="CV2084" s="4"/>
      <c r="CW2084" s="4"/>
      <c r="CX2084" s="4"/>
      <c r="CY2084" s="4"/>
      <c r="CZ2084" s="4"/>
      <c r="DA2084" s="4"/>
      <c r="DB2084" s="4"/>
      <c r="DC2084" s="4"/>
      <c r="DD2084" s="4"/>
      <c r="DE2084" s="4"/>
      <c r="DF2084" s="4"/>
      <c r="DG2084" s="4"/>
      <c r="DH2084" s="4"/>
      <c r="DI2084" s="4"/>
      <c r="DJ2084" s="4"/>
      <c r="DK2084" s="4"/>
      <c r="DL2084" s="4"/>
      <c r="DM2084" s="4"/>
      <c r="DN2084" s="4"/>
      <c r="DO2084" s="4"/>
      <c r="DP2084" s="4"/>
      <c r="DQ2084" s="4"/>
      <c r="DR2084" s="4"/>
      <c r="DS2084" s="4"/>
      <c r="DT2084" s="4"/>
      <c r="DU2084" s="4"/>
      <c r="DV2084" s="4"/>
      <c r="DW2084" s="4"/>
      <c r="DX2084" s="4"/>
      <c r="DY2084" s="4"/>
      <c r="DZ2084" s="4"/>
      <c r="EA2084" s="4"/>
      <c r="EB2084" s="4">
        <v>400</v>
      </c>
      <c r="EC2084" s="4"/>
      <c r="ED2084" s="4"/>
      <c r="EE2084" s="4"/>
      <c r="EF2084" s="4"/>
      <c r="EG2084" s="4"/>
      <c r="EH2084" s="4"/>
      <c r="EI2084" s="4"/>
      <c r="EJ2084" s="4">
        <v>620</v>
      </c>
      <c r="EK2084" s="4"/>
      <c r="EL2084" s="4"/>
      <c r="EM2084" s="4"/>
      <c r="EN2084" s="4"/>
      <c r="EO2084" s="4"/>
      <c r="EP2084" s="4"/>
      <c r="EQ2084" s="4"/>
      <c r="ER2084" s="4"/>
      <c r="ES2084" s="4"/>
      <c r="ET2084" s="4"/>
      <c r="EU2084" s="4"/>
      <c r="EV2084" s="4"/>
      <c r="EW2084" s="4"/>
      <c r="EX2084" s="4"/>
      <c r="EY2084" s="4"/>
      <c r="EZ2084" s="4"/>
      <c r="FA2084" s="4"/>
      <c r="FB2084" s="4"/>
      <c r="FC2084" s="4"/>
      <c r="FD2084" s="4"/>
      <c r="FE2084" s="4"/>
      <c r="FF2084" s="4"/>
      <c r="FG2084" s="4"/>
      <c r="FH2084" s="4"/>
      <c r="FI2084" s="4"/>
      <c r="FJ2084" s="4"/>
      <c r="FK2084" s="4"/>
      <c r="FL2084" s="4"/>
      <c r="FM2084" s="4"/>
      <c r="FN2084" s="4"/>
      <c r="FO2084" s="4"/>
      <c r="FP2084" s="4"/>
      <c r="FQ2084" s="4"/>
      <c r="FR2084" s="4"/>
      <c r="FS2084" s="4"/>
      <c r="FT2084" s="4"/>
      <c r="FU2084" s="4"/>
      <c r="FV2084" s="4"/>
      <c r="FW2084" s="4"/>
      <c r="FX2084" s="4"/>
      <c r="FY2084" s="4"/>
      <c r="FZ2084" s="4"/>
      <c r="GA2084" s="4"/>
      <c r="GB2084" s="4"/>
      <c r="GC2084" s="4"/>
      <c r="GD2084" s="4"/>
      <c r="GE2084" s="4"/>
      <c r="GF2084" s="4"/>
      <c r="GG2084" s="4"/>
      <c r="GH2084" s="4"/>
      <c r="GI2084" s="4"/>
      <c r="GJ2084" s="4"/>
      <c r="GK2084" s="4"/>
      <c r="GL2084" s="4"/>
      <c r="GM2084" s="4"/>
      <c r="GN2084" s="4"/>
      <c r="GO2084" s="4"/>
      <c r="GP2084" s="4"/>
      <c r="GQ2084" s="4"/>
      <c r="GR2084" s="4"/>
      <c r="GS2084" s="4"/>
      <c r="GT2084" s="4"/>
      <c r="GU2084" s="4"/>
      <c r="GV2084" s="4"/>
      <c r="GW2084" s="4"/>
      <c r="GX2084" s="4"/>
      <c r="GY2084" s="4"/>
      <c r="GZ2084" s="4"/>
      <c r="HA2084" s="4"/>
      <c r="HB2084" s="4"/>
      <c r="HC2084" s="4"/>
      <c r="HD2084" s="4"/>
      <c r="HE2084" s="4"/>
    </row>
    <row r="2085">
      <c r="A2085" s="2" t="s">
        <v>9949</v>
      </c>
      <c r="B2085" s="2" t="s">
        <v>299</v>
      </c>
      <c r="C2085" s="2" t="s">
        <v>345</v>
      </c>
      <c r="D2085" s="2" t="s">
        <v>516</v>
      </c>
      <c r="E2085" s="2" t="s">
        <v>517</v>
      </c>
      <c r="F2085" s="2" t="s">
        <v>9411</v>
      </c>
      <c r="G2085" s="2" t="s">
        <v>9411</v>
      </c>
      <c r="H2085" s="2" t="s">
        <v>9411</v>
      </c>
      <c r="I2085" s="2" t="s">
        <v>9913</v>
      </c>
      <c r="J2085" s="2" t="s">
        <v>294</v>
      </c>
      <c r="K2085" s="2" t="s">
        <v>725</v>
      </c>
      <c r="L2085" s="3">
        <v>5.79</v>
      </c>
      <c r="M2085" s="3">
        <v>6.08</v>
      </c>
      <c r="N2085" s="3">
        <v>12.99</v>
      </c>
      <c r="O2085" s="2" t="s">
        <v>240</v>
      </c>
      <c r="P2085" s="2" t="s">
        <v>233</v>
      </c>
      <c r="Q2085" s="2" t="s">
        <v>234</v>
      </c>
      <c r="R2085" s="2" t="s">
        <v>228</v>
      </c>
      <c r="S2085" s="2" t="s">
        <v>9946</v>
      </c>
      <c r="T2085" s="2" t="s">
        <v>9411</v>
      </c>
      <c r="U2085" s="2" t="s">
        <v>520</v>
      </c>
      <c r="V2085" s="2" t="s">
        <v>236</v>
      </c>
      <c r="W2085" s="2" t="s">
        <v>269</v>
      </c>
      <c r="X2085" s="2" t="s">
        <v>417</v>
      </c>
      <c r="Y2085" s="2" t="s">
        <v>9914</v>
      </c>
      <c r="Z2085" s="4">
        <v>432</v>
      </c>
      <c r="AA2085" s="4">
        <f>=ROUNDDOWN(19.6363636363636,0)</f>
      </c>
      <c r="AB2085" s="5">
        <v>22</v>
      </c>
      <c r="AC2085" s="2" t="s">
        <v>9905</v>
      </c>
      <c r="AD2085" s="4">
        <v>144</v>
      </c>
      <c r="AE2085" s="4">
        <v>304</v>
      </c>
      <c r="AF2085" s="6">
        <v>65</v>
      </c>
      <c r="AG2085" s="6">
        <v>48</v>
      </c>
      <c r="AH2085" s="7">
        <v>1</v>
      </c>
      <c r="AI2085" s="4"/>
      <c r="AJ2085" s="4">
        <f>=ROUNDDOWN({0},0)</f>
      </c>
      <c r="AK2085" s="5"/>
      <c r="AL2085" s="2" t="s">
        <v>228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 t="s">
        <v>228</v>
      </c>
      <c r="AW2085" s="8" t="s">
        <v>228</v>
      </c>
      <c r="AX2085" s="4" t="s">
        <v>228</v>
      </c>
      <c r="AY2085" s="8" t="s">
        <v>228</v>
      </c>
      <c r="AZ2085" s="7" t="s">
        <v>228</v>
      </c>
      <c r="BA2085" s="7" t="s">
        <v>228</v>
      </c>
      <c r="BB2085" s="7" t="s">
        <v>228</v>
      </c>
      <c r="BC2085" s="4" t="s">
        <v>228</v>
      </c>
      <c r="BD2085" s="8" t="s">
        <v>228</v>
      </c>
      <c r="BE2085" s="4" t="s">
        <v>228</v>
      </c>
      <c r="BF2085" s="8" t="s">
        <v>228</v>
      </c>
      <c r="BG2085" s="7" t="s">
        <v>228</v>
      </c>
      <c r="BH2085" s="7" t="s">
        <v>228</v>
      </c>
      <c r="BI2085" s="7"/>
      <c r="BJ2085" s="4"/>
      <c r="BK2085" s="8"/>
      <c r="BL2085" s="2" t="s">
        <v>228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238</v>
      </c>
      <c r="BV2085" s="2" t="s">
        <v>228</v>
      </c>
      <c r="BW2085" s="2" t="s">
        <v>228</v>
      </c>
      <c r="BX2085" s="2" t="s">
        <v>238</v>
      </c>
      <c r="BY2085" s="2" t="s">
        <v>239</v>
      </c>
      <c r="BZ2085" s="2" t="s">
        <v>240</v>
      </c>
      <c r="CA2085" s="2" t="s">
        <v>228</v>
      </c>
      <c r="CB2085" s="2" t="s">
        <v>228</v>
      </c>
      <c r="CC2085" s="2" t="s">
        <v>241</v>
      </c>
      <c r="CD2085" s="2" t="s">
        <v>228</v>
      </c>
      <c r="CE2085" s="4">
        <v>288</v>
      </c>
      <c r="CF2085" s="4"/>
      <c r="CG2085" s="4"/>
      <c r="CH2085" s="4">
        <v>144</v>
      </c>
      <c r="CI2085" s="4"/>
      <c r="CJ2085" s="4"/>
      <c r="CK2085" s="4"/>
      <c r="CL2085" s="4"/>
      <c r="CM2085" s="4"/>
      <c r="CN2085" s="4"/>
      <c r="CO2085" s="4"/>
      <c r="CP2085" s="4"/>
      <c r="CQ2085" s="4"/>
      <c r="CR2085" s="4"/>
      <c r="CS2085" s="4"/>
      <c r="CT2085" s="4"/>
      <c r="CU2085" s="4"/>
      <c r="CV2085" s="4"/>
      <c r="CW2085" s="4"/>
      <c r="CX2085" s="4"/>
      <c r="CY2085" s="4"/>
      <c r="CZ2085" s="4"/>
      <c r="DA2085" s="4"/>
      <c r="DB2085" s="4"/>
      <c r="DC2085" s="4"/>
      <c r="DD2085" s="4"/>
      <c r="DE2085" s="4"/>
      <c r="DF2085" s="4"/>
      <c r="DG2085" s="4"/>
      <c r="DH2085" s="4"/>
      <c r="DI2085" s="4"/>
      <c r="DJ2085" s="4"/>
      <c r="DK2085" s="4"/>
      <c r="DL2085" s="4"/>
      <c r="DM2085" s="4"/>
      <c r="DN2085" s="4"/>
      <c r="DO2085" s="4"/>
      <c r="DP2085" s="4"/>
      <c r="DQ2085" s="4"/>
      <c r="DR2085" s="4"/>
      <c r="DS2085" s="4"/>
      <c r="DT2085" s="4"/>
      <c r="DU2085" s="4"/>
      <c r="DV2085" s="4"/>
      <c r="DW2085" s="4"/>
      <c r="DX2085" s="4"/>
      <c r="DY2085" s="4"/>
      <c r="DZ2085" s="4"/>
      <c r="EA2085" s="4"/>
      <c r="EB2085" s="4">
        <v>144</v>
      </c>
      <c r="EC2085" s="4"/>
      <c r="ED2085" s="4"/>
      <c r="EE2085" s="4"/>
      <c r="EF2085" s="4"/>
      <c r="EG2085" s="4"/>
      <c r="EH2085" s="4"/>
      <c r="EI2085" s="4"/>
      <c r="EJ2085" s="4">
        <v>160</v>
      </c>
      <c r="EK2085" s="4"/>
      <c r="EL2085" s="4"/>
      <c r="EM2085" s="4"/>
      <c r="EN2085" s="4"/>
      <c r="EO2085" s="4"/>
      <c r="EP2085" s="4"/>
      <c r="EQ2085" s="4"/>
      <c r="ER2085" s="4"/>
      <c r="ES2085" s="4"/>
      <c r="ET2085" s="4"/>
      <c r="EU2085" s="4"/>
      <c r="EV2085" s="4"/>
      <c r="EW2085" s="4"/>
      <c r="EX2085" s="4"/>
      <c r="EY2085" s="4"/>
      <c r="EZ2085" s="4"/>
      <c r="FA2085" s="4"/>
      <c r="FB2085" s="4"/>
      <c r="FC2085" s="4"/>
      <c r="FD2085" s="4"/>
      <c r="FE2085" s="4"/>
      <c r="FF2085" s="4"/>
      <c r="FG2085" s="4"/>
      <c r="FH2085" s="4"/>
      <c r="FI2085" s="4"/>
      <c r="FJ2085" s="4"/>
      <c r="FK2085" s="4"/>
      <c r="FL2085" s="4"/>
      <c r="FM2085" s="4"/>
      <c r="FN2085" s="4"/>
      <c r="FO2085" s="4"/>
      <c r="FP2085" s="4"/>
      <c r="FQ2085" s="4"/>
      <c r="FR2085" s="4"/>
      <c r="FS2085" s="4"/>
      <c r="FT2085" s="4"/>
      <c r="FU2085" s="4"/>
      <c r="FV2085" s="4"/>
      <c r="FW2085" s="4"/>
      <c r="FX2085" s="4"/>
      <c r="FY2085" s="4"/>
      <c r="FZ2085" s="4"/>
      <c r="GA2085" s="4"/>
      <c r="GB2085" s="4"/>
      <c r="GC2085" s="4"/>
      <c r="GD2085" s="4"/>
      <c r="GE2085" s="4"/>
      <c r="GF2085" s="4"/>
      <c r="GG2085" s="4"/>
      <c r="GH2085" s="4"/>
      <c r="GI2085" s="4"/>
      <c r="GJ2085" s="4"/>
      <c r="GK2085" s="4"/>
      <c r="GL2085" s="4"/>
      <c r="GM2085" s="4"/>
      <c r="GN2085" s="4"/>
      <c r="GO2085" s="4"/>
      <c r="GP2085" s="4"/>
      <c r="GQ2085" s="4"/>
      <c r="GR2085" s="4"/>
      <c r="GS2085" s="4"/>
      <c r="GT2085" s="4"/>
      <c r="GU2085" s="4"/>
      <c r="GV2085" s="4"/>
      <c r="GW2085" s="4"/>
      <c r="GX2085" s="4"/>
      <c r="GY2085" s="4"/>
      <c r="GZ2085" s="4"/>
      <c r="HA2085" s="4"/>
      <c r="HB2085" s="4"/>
      <c r="HC2085" s="4"/>
      <c r="HD2085" s="4"/>
      <c r="HE2085" s="4"/>
    </row>
    <row r="2086">
      <c r="A2086" s="2" t="s">
        <v>9950</v>
      </c>
      <c r="B2086" s="2" t="s">
        <v>299</v>
      </c>
      <c r="C2086" s="2" t="s">
        <v>345</v>
      </c>
      <c r="D2086" s="2" t="s">
        <v>301</v>
      </c>
      <c r="E2086" s="2" t="s">
        <v>302</v>
      </c>
      <c r="F2086" s="2" t="s">
        <v>9411</v>
      </c>
      <c r="G2086" s="2" t="s">
        <v>9411</v>
      </c>
      <c r="H2086" s="2" t="s">
        <v>9411</v>
      </c>
      <c r="I2086" s="2" t="s">
        <v>9903</v>
      </c>
      <c r="J2086" s="2" t="s">
        <v>294</v>
      </c>
      <c r="K2086" s="2" t="s">
        <v>725</v>
      </c>
      <c r="L2086" s="3">
        <v>19.17</v>
      </c>
      <c r="M2086" s="3">
        <v>20.13</v>
      </c>
      <c r="N2086" s="3">
        <v>42.99</v>
      </c>
      <c r="O2086" s="2" t="s">
        <v>240</v>
      </c>
      <c r="P2086" s="2" t="s">
        <v>233</v>
      </c>
      <c r="Q2086" s="2" t="s">
        <v>234</v>
      </c>
      <c r="R2086" s="2" t="s">
        <v>228</v>
      </c>
      <c r="S2086" s="2" t="s">
        <v>9946</v>
      </c>
      <c r="T2086" s="2" t="s">
        <v>9411</v>
      </c>
      <c r="U2086" s="2" t="s">
        <v>1054</v>
      </c>
      <c r="V2086" s="2" t="s">
        <v>236</v>
      </c>
      <c r="W2086" s="2" t="s">
        <v>269</v>
      </c>
      <c r="X2086" s="2" t="s">
        <v>417</v>
      </c>
      <c r="Y2086" s="2" t="s">
        <v>9914</v>
      </c>
      <c r="Z2086" s="4">
        <v>538</v>
      </c>
      <c r="AA2086" s="4">
        <f>=ROUNDDOWN(17.9333333333333,0)</f>
      </c>
      <c r="AB2086" s="5">
        <v>30</v>
      </c>
      <c r="AC2086" s="2" t="s">
        <v>9905</v>
      </c>
      <c r="AD2086" s="4">
        <v>180</v>
      </c>
      <c r="AE2086" s="4">
        <v>430</v>
      </c>
      <c r="AF2086" s="6">
        <v>65</v>
      </c>
      <c r="AG2086" s="6">
        <v>48</v>
      </c>
      <c r="AH2086" s="7">
        <v>1</v>
      </c>
      <c r="AI2086" s="4"/>
      <c r="AJ2086" s="4">
        <f>=ROUNDDOWN({0},0)</f>
      </c>
      <c r="AK2086" s="5"/>
      <c r="AL2086" s="2" t="s">
        <v>228</v>
      </c>
      <c r="AM2086" s="4"/>
      <c r="AN2086" s="4"/>
      <c r="AO2086" s="7"/>
      <c r="AP2086" s="4"/>
      <c r="AQ2086" s="8"/>
      <c r="AR2086" s="4"/>
      <c r="AS2086" s="8"/>
      <c r="AT2086" s="7"/>
      <c r="AU2086" s="7"/>
      <c r="AV2086" s="4" t="s">
        <v>228</v>
      </c>
      <c r="AW2086" s="8" t="s">
        <v>228</v>
      </c>
      <c r="AX2086" s="4" t="s">
        <v>228</v>
      </c>
      <c r="AY2086" s="8" t="s">
        <v>228</v>
      </c>
      <c r="AZ2086" s="7" t="s">
        <v>228</v>
      </c>
      <c r="BA2086" s="7" t="s">
        <v>228</v>
      </c>
      <c r="BB2086" s="7" t="s">
        <v>228</v>
      </c>
      <c r="BC2086" s="4" t="s">
        <v>228</v>
      </c>
      <c r="BD2086" s="8" t="s">
        <v>228</v>
      </c>
      <c r="BE2086" s="4" t="s">
        <v>228</v>
      </c>
      <c r="BF2086" s="8" t="s">
        <v>228</v>
      </c>
      <c r="BG2086" s="7" t="s">
        <v>228</v>
      </c>
      <c r="BH2086" s="7" t="s">
        <v>228</v>
      </c>
      <c r="BI2086" s="7"/>
      <c r="BJ2086" s="4">
        <v>1</v>
      </c>
      <c r="BK2086" s="8">
        <v>39.63</v>
      </c>
      <c r="BL2086" s="2" t="s">
        <v>7807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238</v>
      </c>
      <c r="BV2086" s="2" t="s">
        <v>228</v>
      </c>
      <c r="BW2086" s="2" t="s">
        <v>228</v>
      </c>
      <c r="BX2086" s="2" t="s">
        <v>238</v>
      </c>
      <c r="BY2086" s="2" t="s">
        <v>239</v>
      </c>
      <c r="BZ2086" s="2" t="s">
        <v>240</v>
      </c>
      <c r="CA2086" s="2" t="s">
        <v>228</v>
      </c>
      <c r="CB2086" s="2" t="s">
        <v>228</v>
      </c>
      <c r="CC2086" s="2" t="s">
        <v>241</v>
      </c>
      <c r="CD2086" s="2" t="s">
        <v>228</v>
      </c>
      <c r="CE2086" s="4">
        <v>178</v>
      </c>
      <c r="CF2086" s="4"/>
      <c r="CG2086" s="4"/>
      <c r="CH2086" s="4">
        <v>180</v>
      </c>
      <c r="CI2086" s="4"/>
      <c r="CJ2086" s="4"/>
      <c r="CK2086" s="4">
        <v>180</v>
      </c>
      <c r="CL2086" s="4"/>
      <c r="CM2086" s="4"/>
      <c r="CN2086" s="4"/>
      <c r="CO2086" s="4"/>
      <c r="CP2086" s="4"/>
      <c r="CQ2086" s="4"/>
      <c r="CR2086" s="4"/>
      <c r="CS2086" s="4"/>
      <c r="CT2086" s="4"/>
      <c r="CU2086" s="4"/>
      <c r="CV2086" s="4"/>
      <c r="CW2086" s="4"/>
      <c r="CX2086" s="4"/>
      <c r="CY2086" s="4"/>
      <c r="CZ2086" s="4"/>
      <c r="DA2086" s="4"/>
      <c r="DB2086" s="4"/>
      <c r="DC2086" s="4"/>
      <c r="DD2086" s="4"/>
      <c r="DE2086" s="4"/>
      <c r="DF2086" s="4"/>
      <c r="DG2086" s="4"/>
      <c r="DH2086" s="4"/>
      <c r="DI2086" s="4"/>
      <c r="DJ2086" s="4"/>
      <c r="DK2086" s="4"/>
      <c r="DL2086" s="4"/>
      <c r="DM2086" s="4"/>
      <c r="DN2086" s="4"/>
      <c r="DO2086" s="4"/>
      <c r="DP2086" s="4"/>
      <c r="DQ2086" s="4"/>
      <c r="DR2086" s="4"/>
      <c r="DS2086" s="4"/>
      <c r="DT2086" s="4"/>
      <c r="DU2086" s="4"/>
      <c r="DV2086" s="4"/>
      <c r="DW2086" s="4"/>
      <c r="DX2086" s="4"/>
      <c r="DY2086" s="4"/>
      <c r="DZ2086" s="4"/>
      <c r="EA2086" s="4"/>
      <c r="EB2086" s="4">
        <v>180</v>
      </c>
      <c r="EC2086" s="4"/>
      <c r="ED2086" s="4"/>
      <c r="EE2086" s="4"/>
      <c r="EF2086" s="4"/>
      <c r="EG2086" s="4"/>
      <c r="EH2086" s="4"/>
      <c r="EI2086" s="4"/>
      <c r="EJ2086" s="4">
        <v>250</v>
      </c>
      <c r="EK2086" s="4"/>
      <c r="EL2086" s="4"/>
      <c r="EM2086" s="4"/>
      <c r="EN2086" s="4"/>
      <c r="EO2086" s="4"/>
      <c r="EP2086" s="4"/>
      <c r="EQ2086" s="4"/>
      <c r="ER2086" s="4"/>
      <c r="ES2086" s="4"/>
      <c r="ET2086" s="4"/>
      <c r="EU2086" s="4"/>
      <c r="EV2086" s="4"/>
      <c r="EW2086" s="4"/>
      <c r="EX2086" s="4"/>
      <c r="EY2086" s="4"/>
      <c r="EZ2086" s="4"/>
      <c r="FA2086" s="4"/>
      <c r="FB2086" s="4"/>
      <c r="FC2086" s="4"/>
      <c r="FD2086" s="4"/>
      <c r="FE2086" s="4"/>
      <c r="FF2086" s="4"/>
      <c r="FG2086" s="4"/>
      <c r="FH2086" s="4"/>
      <c r="FI2086" s="4"/>
      <c r="FJ2086" s="4"/>
      <c r="FK2086" s="4"/>
      <c r="FL2086" s="4"/>
      <c r="FM2086" s="4"/>
      <c r="FN2086" s="4"/>
      <c r="FO2086" s="4"/>
      <c r="FP2086" s="4"/>
      <c r="FQ2086" s="4"/>
      <c r="FR2086" s="4"/>
      <c r="FS2086" s="4"/>
      <c r="FT2086" s="4"/>
      <c r="FU2086" s="4"/>
      <c r="FV2086" s="4"/>
      <c r="FW2086" s="4"/>
      <c r="FX2086" s="4"/>
      <c r="FY2086" s="4"/>
      <c r="FZ2086" s="4"/>
      <c r="GA2086" s="4"/>
      <c r="GB2086" s="4"/>
      <c r="GC2086" s="4"/>
      <c r="GD2086" s="4"/>
      <c r="GE2086" s="4"/>
      <c r="GF2086" s="4"/>
      <c r="GG2086" s="4"/>
      <c r="GH2086" s="4"/>
      <c r="GI2086" s="4"/>
      <c r="GJ2086" s="4"/>
      <c r="GK2086" s="4"/>
      <c r="GL2086" s="4"/>
      <c r="GM2086" s="4"/>
      <c r="GN2086" s="4"/>
      <c r="GO2086" s="4"/>
      <c r="GP2086" s="4"/>
      <c r="GQ2086" s="4"/>
      <c r="GR2086" s="4"/>
      <c r="GS2086" s="4"/>
      <c r="GT2086" s="4"/>
      <c r="GU2086" s="4"/>
      <c r="GV2086" s="4"/>
      <c r="GW2086" s="4"/>
      <c r="GX2086" s="4"/>
      <c r="GY2086" s="4"/>
      <c r="GZ2086" s="4"/>
      <c r="HA2086" s="4"/>
      <c r="HB2086" s="4"/>
      <c r="HC2086" s="4"/>
      <c r="HD2086" s="4"/>
      <c r="HE2086" s="4"/>
    </row>
    <row r="2087">
      <c r="A2087" s="2" t="s">
        <v>9951</v>
      </c>
      <c r="B2087" s="2" t="s">
        <v>299</v>
      </c>
      <c r="C2087" s="2" t="s">
        <v>345</v>
      </c>
      <c r="D2087" s="2" t="s">
        <v>301</v>
      </c>
      <c r="E2087" s="2" t="s">
        <v>302</v>
      </c>
      <c r="F2087" s="2" t="s">
        <v>9411</v>
      </c>
      <c r="G2087" s="2" t="s">
        <v>9411</v>
      </c>
      <c r="H2087" s="2" t="s">
        <v>9411</v>
      </c>
      <c r="I2087" s="2" t="s">
        <v>9903</v>
      </c>
      <c r="J2087" s="2" t="s">
        <v>312</v>
      </c>
      <c r="K2087" s="2" t="s">
        <v>725</v>
      </c>
      <c r="L2087" s="3">
        <v>19.17</v>
      </c>
      <c r="M2087" s="3">
        <v>20.13</v>
      </c>
      <c r="N2087" s="3">
        <v>42.99</v>
      </c>
      <c r="O2087" s="2" t="s">
        <v>240</v>
      </c>
      <c r="P2087" s="2" t="s">
        <v>233</v>
      </c>
      <c r="Q2087" s="2" t="s">
        <v>234</v>
      </c>
      <c r="R2087" s="2" t="s">
        <v>228</v>
      </c>
      <c r="S2087" s="2" t="s">
        <v>9946</v>
      </c>
      <c r="T2087" s="2" t="s">
        <v>9411</v>
      </c>
      <c r="U2087" s="2" t="s">
        <v>1054</v>
      </c>
      <c r="V2087" s="2" t="s">
        <v>236</v>
      </c>
      <c r="W2087" s="2" t="s">
        <v>269</v>
      </c>
      <c r="X2087" s="2" t="s">
        <v>417</v>
      </c>
      <c r="Y2087" s="2" t="s">
        <v>1996</v>
      </c>
      <c r="Z2087" s="4">
        <v>148</v>
      </c>
      <c r="AA2087" s="4">
        <f>=ROUNDDOWN(21.1428571428571,0)</f>
      </c>
      <c r="AB2087" s="5">
        <v>7</v>
      </c>
      <c r="AC2087" s="2" t="s">
        <v>9905</v>
      </c>
      <c r="AD2087" s="4">
        <v>50</v>
      </c>
      <c r="AE2087" s="4">
        <v>90</v>
      </c>
      <c r="AF2087" s="6">
        <v>65</v>
      </c>
      <c r="AG2087" s="6">
        <v>48</v>
      </c>
      <c r="AH2087" s="7">
        <v>1</v>
      </c>
      <c r="AI2087" s="4"/>
      <c r="AJ2087" s="4">
        <f>=ROUNDDOWN({0},0)</f>
      </c>
      <c r="AK2087" s="5"/>
      <c r="AL2087" s="2" t="s">
        <v>228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 t="s">
        <v>228</v>
      </c>
      <c r="AW2087" s="8" t="s">
        <v>228</v>
      </c>
      <c r="AX2087" s="4" t="s">
        <v>228</v>
      </c>
      <c r="AY2087" s="8" t="s">
        <v>228</v>
      </c>
      <c r="AZ2087" s="7" t="s">
        <v>228</v>
      </c>
      <c r="BA2087" s="7" t="s">
        <v>228</v>
      </c>
      <c r="BB2087" s="7"/>
      <c r="BC2087" s="4" t="s">
        <v>228</v>
      </c>
      <c r="BD2087" s="8" t="s">
        <v>228</v>
      </c>
      <c r="BE2087" s="4" t="s">
        <v>228</v>
      </c>
      <c r="BF2087" s="8" t="s">
        <v>228</v>
      </c>
      <c r="BG2087" s="7" t="s">
        <v>228</v>
      </c>
      <c r="BH2087" s="7" t="s">
        <v>228</v>
      </c>
      <c r="BI2087" s="7"/>
      <c r="BJ2087" s="4">
        <v>2</v>
      </c>
      <c r="BK2087" s="8">
        <v>80.63</v>
      </c>
      <c r="BL2087" s="2" t="s">
        <v>7807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238</v>
      </c>
      <c r="BV2087" s="2" t="s">
        <v>228</v>
      </c>
      <c r="BW2087" s="2" t="s">
        <v>228</v>
      </c>
      <c r="BX2087" s="2" t="s">
        <v>238</v>
      </c>
      <c r="BY2087" s="2" t="s">
        <v>239</v>
      </c>
      <c r="BZ2087" s="2" t="s">
        <v>240</v>
      </c>
      <c r="CA2087" s="2" t="s">
        <v>228</v>
      </c>
      <c r="CB2087" s="2" t="s">
        <v>228</v>
      </c>
      <c r="CC2087" s="2" t="s">
        <v>241</v>
      </c>
      <c r="CD2087" s="2" t="s">
        <v>228</v>
      </c>
      <c r="CE2087" s="4">
        <v>100</v>
      </c>
      <c r="CF2087" s="4"/>
      <c r="CG2087" s="4"/>
      <c r="CH2087" s="4">
        <v>48</v>
      </c>
      <c r="CI2087" s="4"/>
      <c r="CJ2087" s="4"/>
      <c r="CK2087" s="4"/>
      <c r="CL2087" s="4"/>
      <c r="CM2087" s="4"/>
      <c r="CN2087" s="4"/>
      <c r="CO2087" s="4"/>
      <c r="CP2087" s="4"/>
      <c r="CQ2087" s="4"/>
      <c r="CR2087" s="4"/>
      <c r="CS2087" s="4"/>
      <c r="CT2087" s="4"/>
      <c r="CU2087" s="4"/>
      <c r="CV2087" s="4"/>
      <c r="CW2087" s="4"/>
      <c r="CX2087" s="4"/>
      <c r="CY2087" s="4"/>
      <c r="CZ2087" s="4"/>
      <c r="DA2087" s="4"/>
      <c r="DB2087" s="4"/>
      <c r="DC2087" s="4"/>
      <c r="DD2087" s="4"/>
      <c r="DE2087" s="4"/>
      <c r="DF2087" s="4"/>
      <c r="DG2087" s="4"/>
      <c r="DH2087" s="4"/>
      <c r="DI2087" s="4"/>
      <c r="DJ2087" s="4"/>
      <c r="DK2087" s="4"/>
      <c r="DL2087" s="4"/>
      <c r="DM2087" s="4"/>
      <c r="DN2087" s="4"/>
      <c r="DO2087" s="4"/>
      <c r="DP2087" s="4"/>
      <c r="DQ2087" s="4"/>
      <c r="DR2087" s="4"/>
      <c r="DS2087" s="4"/>
      <c r="DT2087" s="4"/>
      <c r="DU2087" s="4"/>
      <c r="DV2087" s="4"/>
      <c r="DW2087" s="4"/>
      <c r="DX2087" s="4"/>
      <c r="DY2087" s="4"/>
      <c r="DZ2087" s="4"/>
      <c r="EA2087" s="4"/>
      <c r="EB2087" s="4">
        <v>50</v>
      </c>
      <c r="EC2087" s="4"/>
      <c r="ED2087" s="4"/>
      <c r="EE2087" s="4"/>
      <c r="EF2087" s="4"/>
      <c r="EG2087" s="4"/>
      <c r="EH2087" s="4"/>
      <c r="EI2087" s="4"/>
      <c r="EJ2087" s="4">
        <v>40</v>
      </c>
      <c r="EK2087" s="4"/>
      <c r="EL2087" s="4"/>
      <c r="EM2087" s="4"/>
      <c r="EN2087" s="4"/>
      <c r="EO2087" s="4"/>
      <c r="EP2087" s="4"/>
      <c r="EQ2087" s="4"/>
      <c r="ER2087" s="4"/>
      <c r="ES2087" s="4"/>
      <c r="ET2087" s="4"/>
      <c r="EU2087" s="4"/>
      <c r="EV2087" s="4"/>
      <c r="EW2087" s="4"/>
      <c r="EX2087" s="4"/>
      <c r="EY2087" s="4"/>
      <c r="EZ2087" s="4"/>
      <c r="FA2087" s="4"/>
      <c r="FB2087" s="4"/>
      <c r="FC2087" s="4"/>
      <c r="FD2087" s="4"/>
      <c r="FE2087" s="4"/>
      <c r="FF2087" s="4"/>
      <c r="FG2087" s="4"/>
      <c r="FH2087" s="4"/>
      <c r="FI2087" s="4"/>
      <c r="FJ2087" s="4"/>
      <c r="FK2087" s="4"/>
      <c r="FL2087" s="4"/>
      <c r="FM2087" s="4"/>
      <c r="FN2087" s="4"/>
      <c r="FO2087" s="4"/>
      <c r="FP2087" s="4"/>
      <c r="FQ2087" s="4"/>
      <c r="FR2087" s="4"/>
      <c r="FS2087" s="4"/>
      <c r="FT2087" s="4"/>
      <c r="FU2087" s="4"/>
      <c r="FV2087" s="4"/>
      <c r="FW2087" s="4"/>
      <c r="FX2087" s="4"/>
      <c r="FY2087" s="4"/>
      <c r="FZ2087" s="4"/>
      <c r="GA2087" s="4"/>
      <c r="GB2087" s="4"/>
      <c r="GC2087" s="4"/>
      <c r="GD2087" s="4"/>
      <c r="GE2087" s="4"/>
      <c r="GF2087" s="4"/>
      <c r="GG2087" s="4"/>
      <c r="GH2087" s="4"/>
      <c r="GI2087" s="4"/>
      <c r="GJ2087" s="4"/>
      <c r="GK2087" s="4"/>
      <c r="GL2087" s="4"/>
      <c r="GM2087" s="4"/>
      <c r="GN2087" s="4"/>
      <c r="GO2087" s="4"/>
      <c r="GP2087" s="4"/>
      <c r="GQ2087" s="4"/>
      <c r="GR2087" s="4"/>
      <c r="GS2087" s="4"/>
      <c r="GT2087" s="4"/>
      <c r="GU2087" s="4"/>
      <c r="GV2087" s="4"/>
      <c r="GW2087" s="4"/>
      <c r="GX2087" s="4"/>
      <c r="GY2087" s="4"/>
      <c r="GZ2087" s="4"/>
      <c r="HA2087" s="4"/>
      <c r="HB2087" s="4"/>
      <c r="HC2087" s="4"/>
      <c r="HD2087" s="4"/>
      <c r="HE2087" s="4"/>
    </row>
    <row r="2088">
      <c r="A2088" s="2" t="s">
        <v>9952</v>
      </c>
      <c r="B2088" s="2" t="s">
        <v>299</v>
      </c>
      <c r="C2088" s="2" t="s">
        <v>345</v>
      </c>
      <c r="D2088" s="2" t="s">
        <v>516</v>
      </c>
      <c r="E2088" s="2" t="s">
        <v>517</v>
      </c>
      <c r="F2088" s="2" t="s">
        <v>9411</v>
      </c>
      <c r="G2088" s="2" t="s">
        <v>9411</v>
      </c>
      <c r="H2088" s="2" t="s">
        <v>9411</v>
      </c>
      <c r="I2088" s="2" t="s">
        <v>9913</v>
      </c>
      <c r="J2088" s="2" t="s">
        <v>7551</v>
      </c>
      <c r="K2088" s="2" t="s">
        <v>725</v>
      </c>
      <c r="L2088" s="3">
        <v>5.35</v>
      </c>
      <c r="M2088" s="3">
        <v>5.62</v>
      </c>
      <c r="N2088" s="3">
        <v>11.99</v>
      </c>
      <c r="O2088" s="2" t="s">
        <v>240</v>
      </c>
      <c r="P2088" s="2" t="s">
        <v>233</v>
      </c>
      <c r="Q2088" s="2" t="s">
        <v>234</v>
      </c>
      <c r="R2088" s="2" t="s">
        <v>228</v>
      </c>
      <c r="S2088" s="2" t="s">
        <v>9946</v>
      </c>
      <c r="T2088" s="2" t="s">
        <v>9411</v>
      </c>
      <c r="U2088" s="2" t="s">
        <v>520</v>
      </c>
      <c r="V2088" s="2" t="s">
        <v>236</v>
      </c>
      <c r="W2088" s="2" t="s">
        <v>269</v>
      </c>
      <c r="X2088" s="2" t="s">
        <v>417</v>
      </c>
      <c r="Y2088" s="2" t="s">
        <v>9914</v>
      </c>
      <c r="Z2088" s="4">
        <v>888</v>
      </c>
      <c r="AA2088" s="4">
        <f>=ROUNDDOWN(17.76,0)</f>
      </c>
      <c r="AB2088" s="5">
        <v>50</v>
      </c>
      <c r="AC2088" s="2" t="s">
        <v>9905</v>
      </c>
      <c r="AD2088" s="4">
        <v>296</v>
      </c>
      <c r="AE2088" s="4">
        <v>728</v>
      </c>
      <c r="AF2088" s="6">
        <v>65</v>
      </c>
      <c r="AG2088" s="6">
        <v>48</v>
      </c>
      <c r="AH2088" s="7">
        <v>1</v>
      </c>
      <c r="AI2088" s="4"/>
      <c r="AJ2088" s="4">
        <f>=ROUNDDOWN({0},0)</f>
      </c>
      <c r="AK2088" s="5"/>
      <c r="AL2088" s="2" t="s">
        <v>228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 t="s">
        <v>228</v>
      </c>
      <c r="AW2088" s="8" t="s">
        <v>228</v>
      </c>
      <c r="AX2088" s="4" t="s">
        <v>228</v>
      </c>
      <c r="AY2088" s="8" t="s">
        <v>228</v>
      </c>
      <c r="AZ2088" s="7" t="s">
        <v>228</v>
      </c>
      <c r="BA2088" s="7" t="s">
        <v>228</v>
      </c>
      <c r="BB2088" s="7"/>
      <c r="BC2088" s="4" t="s">
        <v>228</v>
      </c>
      <c r="BD2088" s="8" t="s">
        <v>228</v>
      </c>
      <c r="BE2088" s="4" t="s">
        <v>228</v>
      </c>
      <c r="BF2088" s="8" t="s">
        <v>228</v>
      </c>
      <c r="BG2088" s="7" t="s">
        <v>228</v>
      </c>
      <c r="BH2088" s="7" t="s">
        <v>228</v>
      </c>
      <c r="BI2088" s="7"/>
      <c r="BJ2088" s="4"/>
      <c r="BK2088" s="8"/>
      <c r="BL2088" s="2" t="s">
        <v>228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238</v>
      </c>
      <c r="BV2088" s="2" t="s">
        <v>228</v>
      </c>
      <c r="BW2088" s="2" t="s">
        <v>228</v>
      </c>
      <c r="BX2088" s="2" t="s">
        <v>238</v>
      </c>
      <c r="BY2088" s="2" t="s">
        <v>239</v>
      </c>
      <c r="BZ2088" s="2" t="s">
        <v>240</v>
      </c>
      <c r="CA2088" s="2" t="s">
        <v>228</v>
      </c>
      <c r="CB2088" s="2" t="s">
        <v>228</v>
      </c>
      <c r="CC2088" s="2" t="s">
        <v>241</v>
      </c>
      <c r="CD2088" s="2" t="s">
        <v>228</v>
      </c>
      <c r="CE2088" s="4">
        <v>592</v>
      </c>
      <c r="CF2088" s="4"/>
      <c r="CG2088" s="4"/>
      <c r="CH2088" s="4">
        <v>296</v>
      </c>
      <c r="CI2088" s="4"/>
      <c r="CJ2088" s="4"/>
      <c r="CK2088" s="4"/>
      <c r="CL2088" s="4"/>
      <c r="CM2088" s="4"/>
      <c r="CN2088" s="4"/>
      <c r="CO2088" s="4"/>
      <c r="CP2088" s="4"/>
      <c r="CQ2088" s="4"/>
      <c r="CR2088" s="4"/>
      <c r="CS2088" s="4"/>
      <c r="CT2088" s="4"/>
      <c r="CU2088" s="4"/>
      <c r="CV2088" s="4"/>
      <c r="CW2088" s="4"/>
      <c r="CX2088" s="4"/>
      <c r="CY2088" s="4"/>
      <c r="CZ2088" s="4"/>
      <c r="DA2088" s="4"/>
      <c r="DB2088" s="4"/>
      <c r="DC2088" s="4"/>
      <c r="DD2088" s="4"/>
      <c r="DE2088" s="4"/>
      <c r="DF2088" s="4"/>
      <c r="DG2088" s="4"/>
      <c r="DH2088" s="4"/>
      <c r="DI2088" s="4"/>
      <c r="DJ2088" s="4"/>
      <c r="DK2088" s="4"/>
      <c r="DL2088" s="4"/>
      <c r="DM2088" s="4"/>
      <c r="DN2088" s="4"/>
      <c r="DO2088" s="4"/>
      <c r="DP2088" s="4"/>
      <c r="DQ2088" s="4"/>
      <c r="DR2088" s="4"/>
      <c r="DS2088" s="4"/>
      <c r="DT2088" s="4"/>
      <c r="DU2088" s="4"/>
      <c r="DV2088" s="4"/>
      <c r="DW2088" s="4"/>
      <c r="DX2088" s="4"/>
      <c r="DY2088" s="4"/>
      <c r="DZ2088" s="4"/>
      <c r="EA2088" s="4"/>
      <c r="EB2088" s="4">
        <v>296</v>
      </c>
      <c r="EC2088" s="4"/>
      <c r="ED2088" s="4"/>
      <c r="EE2088" s="4"/>
      <c r="EF2088" s="4"/>
      <c r="EG2088" s="4"/>
      <c r="EH2088" s="4"/>
      <c r="EI2088" s="4"/>
      <c r="EJ2088" s="4">
        <v>432</v>
      </c>
      <c r="EK2088" s="4"/>
      <c r="EL2088" s="4"/>
      <c r="EM2088" s="4"/>
      <c r="EN2088" s="4"/>
      <c r="EO2088" s="4"/>
      <c r="EP2088" s="4"/>
      <c r="EQ2088" s="4"/>
      <c r="ER2088" s="4"/>
      <c r="ES2088" s="4"/>
      <c r="ET2088" s="4"/>
      <c r="EU2088" s="4"/>
      <c r="EV2088" s="4"/>
      <c r="EW2088" s="4"/>
      <c r="EX2088" s="4"/>
      <c r="EY2088" s="4"/>
      <c r="EZ2088" s="4"/>
      <c r="FA2088" s="4"/>
      <c r="FB2088" s="4"/>
      <c r="FC2088" s="4"/>
      <c r="FD2088" s="4"/>
      <c r="FE2088" s="4"/>
      <c r="FF2088" s="4"/>
      <c r="FG2088" s="4"/>
      <c r="FH2088" s="4"/>
      <c r="FI2088" s="4"/>
      <c r="FJ2088" s="4"/>
      <c r="FK2088" s="4"/>
      <c r="FL2088" s="4"/>
      <c r="FM2088" s="4"/>
      <c r="FN2088" s="4"/>
      <c r="FO2088" s="4"/>
      <c r="FP2088" s="4"/>
      <c r="FQ2088" s="4"/>
      <c r="FR2088" s="4"/>
      <c r="FS2088" s="4"/>
      <c r="FT2088" s="4"/>
      <c r="FU2088" s="4"/>
      <c r="FV2088" s="4"/>
      <c r="FW2088" s="4"/>
      <c r="FX2088" s="4"/>
      <c r="FY2088" s="4"/>
      <c r="FZ2088" s="4"/>
      <c r="GA2088" s="4"/>
      <c r="GB2088" s="4"/>
      <c r="GC2088" s="4"/>
      <c r="GD2088" s="4"/>
      <c r="GE2088" s="4"/>
      <c r="GF2088" s="4"/>
      <c r="GG2088" s="4"/>
      <c r="GH2088" s="4"/>
      <c r="GI2088" s="4"/>
      <c r="GJ2088" s="4"/>
      <c r="GK2088" s="4"/>
      <c r="GL2088" s="4"/>
      <c r="GM2088" s="4"/>
      <c r="GN2088" s="4"/>
      <c r="GO2088" s="4"/>
      <c r="GP2088" s="4"/>
      <c r="GQ2088" s="4"/>
      <c r="GR2088" s="4"/>
      <c r="GS2088" s="4"/>
      <c r="GT2088" s="4"/>
      <c r="GU2088" s="4"/>
      <c r="GV2088" s="4"/>
      <c r="GW2088" s="4"/>
      <c r="GX2088" s="4"/>
      <c r="GY2088" s="4"/>
      <c r="GZ2088" s="4"/>
      <c r="HA2088" s="4"/>
      <c r="HB2088" s="4"/>
      <c r="HC2088" s="4"/>
      <c r="HD2088" s="4"/>
      <c r="HE2088" s="4"/>
    </row>
    <row r="2089">
      <c r="A2089" s="2" t="s">
        <v>9953</v>
      </c>
      <c r="B2089" s="2" t="s">
        <v>299</v>
      </c>
      <c r="C2089" s="2" t="s">
        <v>345</v>
      </c>
      <c r="D2089" s="2" t="s">
        <v>301</v>
      </c>
      <c r="E2089" s="2" t="s">
        <v>302</v>
      </c>
      <c r="F2089" s="2" t="s">
        <v>9411</v>
      </c>
      <c r="G2089" s="2" t="s">
        <v>9411</v>
      </c>
      <c r="H2089" s="2" t="s">
        <v>9411</v>
      </c>
      <c r="I2089" s="2" t="s">
        <v>9903</v>
      </c>
      <c r="J2089" s="2" t="s">
        <v>264</v>
      </c>
      <c r="K2089" s="2" t="s">
        <v>9954</v>
      </c>
      <c r="L2089" s="3">
        <v>12.48</v>
      </c>
      <c r="M2089" s="3">
        <v>13.1</v>
      </c>
      <c r="N2089" s="3">
        <v>27.99</v>
      </c>
      <c r="O2089" s="2" t="s">
        <v>240</v>
      </c>
      <c r="P2089" s="2" t="s">
        <v>233</v>
      </c>
      <c r="Q2089" s="2" t="s">
        <v>234</v>
      </c>
      <c r="R2089" s="2" t="s">
        <v>228</v>
      </c>
      <c r="S2089" s="2" t="s">
        <v>9955</v>
      </c>
      <c r="T2089" s="2" t="s">
        <v>9411</v>
      </c>
      <c r="U2089" s="2" t="s">
        <v>308</v>
      </c>
      <c r="V2089" s="2" t="s">
        <v>236</v>
      </c>
      <c r="W2089" s="2" t="s">
        <v>269</v>
      </c>
      <c r="X2089" s="2" t="s">
        <v>417</v>
      </c>
      <c r="Y2089" s="2" t="s">
        <v>1996</v>
      </c>
      <c r="Z2089" s="4">
        <v>357</v>
      </c>
      <c r="AA2089" s="4">
        <f>=ROUNDDOWN(17.85,0)</f>
      </c>
      <c r="AB2089" s="5">
        <v>20</v>
      </c>
      <c r="AC2089" s="2" t="s">
        <v>9905</v>
      </c>
      <c r="AD2089" s="4">
        <v>120</v>
      </c>
      <c r="AE2089" s="4">
        <v>300</v>
      </c>
      <c r="AF2089" s="6">
        <v>65</v>
      </c>
      <c r="AG2089" s="6">
        <v>48</v>
      </c>
      <c r="AH2089" s="7">
        <v>1</v>
      </c>
      <c r="AI2089" s="4"/>
      <c r="AJ2089" s="4">
        <f>=ROUNDDOWN({0},0)</f>
      </c>
      <c r="AK2089" s="5"/>
      <c r="AL2089" s="2" t="s">
        <v>228</v>
      </c>
      <c r="AM2089" s="4"/>
      <c r="AN2089" s="4"/>
      <c r="AO2089" s="7"/>
      <c r="AP2089" s="4"/>
      <c r="AQ2089" s="8"/>
      <c r="AR2089" s="4"/>
      <c r="AS2089" s="8"/>
      <c r="AT2089" s="7"/>
      <c r="AU2089" s="7"/>
      <c r="AV2089" s="4" t="s">
        <v>228</v>
      </c>
      <c r="AW2089" s="8" t="s">
        <v>228</v>
      </c>
      <c r="AX2089" s="4" t="s">
        <v>228</v>
      </c>
      <c r="AY2089" s="8" t="s">
        <v>228</v>
      </c>
      <c r="AZ2089" s="7" t="s">
        <v>228</v>
      </c>
      <c r="BA2089" s="7" t="s">
        <v>228</v>
      </c>
      <c r="BB2089" s="7"/>
      <c r="BC2089" s="4" t="s">
        <v>228</v>
      </c>
      <c r="BD2089" s="8" t="s">
        <v>228</v>
      </c>
      <c r="BE2089" s="4" t="s">
        <v>228</v>
      </c>
      <c r="BF2089" s="8" t="s">
        <v>228</v>
      </c>
      <c r="BG2089" s="7" t="s">
        <v>228</v>
      </c>
      <c r="BH2089" s="7" t="s">
        <v>228</v>
      </c>
      <c r="BI2089" s="7"/>
      <c r="BJ2089" s="4">
        <v>2</v>
      </c>
      <c r="BK2089" s="8">
        <v>67.66</v>
      </c>
      <c r="BL2089" s="2" t="s">
        <v>7807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238</v>
      </c>
      <c r="BV2089" s="2" t="s">
        <v>228</v>
      </c>
      <c r="BW2089" s="2" t="s">
        <v>228</v>
      </c>
      <c r="BX2089" s="2" t="s">
        <v>238</v>
      </c>
      <c r="BY2089" s="2" t="s">
        <v>239</v>
      </c>
      <c r="BZ2089" s="2" t="s">
        <v>240</v>
      </c>
      <c r="CA2089" s="2" t="s">
        <v>228</v>
      </c>
      <c r="CB2089" s="2" t="s">
        <v>228</v>
      </c>
      <c r="CC2089" s="2" t="s">
        <v>241</v>
      </c>
      <c r="CD2089" s="2" t="s">
        <v>228</v>
      </c>
      <c r="CE2089" s="4">
        <v>119</v>
      </c>
      <c r="CF2089" s="4"/>
      <c r="CG2089" s="4"/>
      <c r="CH2089" s="4">
        <v>118</v>
      </c>
      <c r="CI2089" s="4"/>
      <c r="CJ2089" s="4"/>
      <c r="CK2089" s="4">
        <v>120</v>
      </c>
      <c r="CL2089" s="4"/>
      <c r="CM2089" s="4"/>
      <c r="CN2089" s="4"/>
      <c r="CO2089" s="4"/>
      <c r="CP2089" s="4"/>
      <c r="CQ2089" s="4"/>
      <c r="CR2089" s="4"/>
      <c r="CS2089" s="4"/>
      <c r="CT2089" s="4"/>
      <c r="CU2089" s="4"/>
      <c r="CV2089" s="4"/>
      <c r="CW2089" s="4"/>
      <c r="CX2089" s="4"/>
      <c r="CY2089" s="4"/>
      <c r="CZ2089" s="4"/>
      <c r="DA2089" s="4"/>
      <c r="DB2089" s="4"/>
      <c r="DC2089" s="4"/>
      <c r="DD2089" s="4"/>
      <c r="DE2089" s="4"/>
      <c r="DF2089" s="4"/>
      <c r="DG2089" s="4"/>
      <c r="DH2089" s="4"/>
      <c r="DI2089" s="4"/>
      <c r="DJ2089" s="4"/>
      <c r="DK2089" s="4"/>
      <c r="DL2089" s="4"/>
      <c r="DM2089" s="4"/>
      <c r="DN2089" s="4"/>
      <c r="DO2089" s="4"/>
      <c r="DP2089" s="4"/>
      <c r="DQ2089" s="4"/>
      <c r="DR2089" s="4"/>
      <c r="DS2089" s="4"/>
      <c r="DT2089" s="4"/>
      <c r="DU2089" s="4"/>
      <c r="DV2089" s="4"/>
      <c r="DW2089" s="4"/>
      <c r="DX2089" s="4"/>
      <c r="DY2089" s="4"/>
      <c r="DZ2089" s="4"/>
      <c r="EA2089" s="4"/>
      <c r="EB2089" s="4">
        <v>120</v>
      </c>
      <c r="EC2089" s="4"/>
      <c r="ED2089" s="4"/>
      <c r="EE2089" s="4"/>
      <c r="EF2089" s="4"/>
      <c r="EG2089" s="4"/>
      <c r="EH2089" s="4"/>
      <c r="EI2089" s="4"/>
      <c r="EJ2089" s="4">
        <v>180</v>
      </c>
      <c r="EK2089" s="4"/>
      <c r="EL2089" s="4"/>
      <c r="EM2089" s="4"/>
      <c r="EN2089" s="4"/>
      <c r="EO2089" s="4"/>
      <c r="EP2089" s="4"/>
      <c r="EQ2089" s="4"/>
      <c r="ER2089" s="4"/>
      <c r="ES2089" s="4"/>
      <c r="ET2089" s="4"/>
      <c r="EU2089" s="4"/>
      <c r="EV2089" s="4"/>
      <c r="EW2089" s="4"/>
      <c r="EX2089" s="4"/>
      <c r="EY2089" s="4"/>
      <c r="EZ2089" s="4"/>
      <c r="FA2089" s="4"/>
      <c r="FB2089" s="4"/>
      <c r="FC2089" s="4"/>
      <c r="FD2089" s="4"/>
      <c r="FE2089" s="4"/>
      <c r="FF2089" s="4"/>
      <c r="FG2089" s="4"/>
      <c r="FH2089" s="4"/>
      <c r="FI2089" s="4"/>
      <c r="FJ2089" s="4"/>
      <c r="FK2089" s="4"/>
      <c r="FL2089" s="4"/>
      <c r="FM2089" s="4"/>
      <c r="FN2089" s="4"/>
      <c r="FO2089" s="4"/>
      <c r="FP2089" s="4"/>
      <c r="FQ2089" s="4"/>
      <c r="FR2089" s="4"/>
      <c r="FS2089" s="4"/>
      <c r="FT2089" s="4"/>
      <c r="FU2089" s="4"/>
      <c r="FV2089" s="4"/>
      <c r="FW2089" s="4"/>
      <c r="FX2089" s="4"/>
      <c r="FY2089" s="4"/>
      <c r="FZ2089" s="4"/>
      <c r="GA2089" s="4"/>
      <c r="GB2089" s="4"/>
      <c r="GC2089" s="4"/>
      <c r="GD2089" s="4"/>
      <c r="GE2089" s="4"/>
      <c r="GF2089" s="4"/>
      <c r="GG2089" s="4"/>
      <c r="GH2089" s="4"/>
      <c r="GI2089" s="4"/>
      <c r="GJ2089" s="4"/>
      <c r="GK2089" s="4"/>
      <c r="GL2089" s="4"/>
      <c r="GM2089" s="4"/>
      <c r="GN2089" s="4"/>
      <c r="GO2089" s="4"/>
      <c r="GP2089" s="4"/>
      <c r="GQ2089" s="4"/>
      <c r="GR2089" s="4"/>
      <c r="GS2089" s="4"/>
      <c r="GT2089" s="4"/>
      <c r="GU2089" s="4"/>
      <c r="GV2089" s="4"/>
      <c r="GW2089" s="4"/>
      <c r="GX2089" s="4"/>
      <c r="GY2089" s="4"/>
      <c r="GZ2089" s="4"/>
      <c r="HA2089" s="4"/>
      <c r="HB2089" s="4"/>
      <c r="HC2089" s="4"/>
      <c r="HD2089" s="4"/>
      <c r="HE2089" s="4"/>
    </row>
    <row r="2090">
      <c r="A2090" s="2" t="s">
        <v>9956</v>
      </c>
      <c r="B2090" s="2" t="s">
        <v>299</v>
      </c>
      <c r="C2090" s="2" t="s">
        <v>345</v>
      </c>
      <c r="D2090" s="2" t="s">
        <v>301</v>
      </c>
      <c r="E2090" s="2" t="s">
        <v>302</v>
      </c>
      <c r="F2090" s="2" t="s">
        <v>9411</v>
      </c>
      <c r="G2090" s="2" t="s">
        <v>9411</v>
      </c>
      <c r="H2090" s="2" t="s">
        <v>9411</v>
      </c>
      <c r="I2090" s="2" t="s">
        <v>9903</v>
      </c>
      <c r="J2090" s="2" t="s">
        <v>284</v>
      </c>
      <c r="K2090" s="2" t="s">
        <v>9954</v>
      </c>
      <c r="L2090" s="3">
        <v>14.71</v>
      </c>
      <c r="M2090" s="3">
        <v>15.45</v>
      </c>
      <c r="N2090" s="3">
        <v>32.99</v>
      </c>
      <c r="O2090" s="2" t="s">
        <v>240</v>
      </c>
      <c r="P2090" s="2" t="s">
        <v>233</v>
      </c>
      <c r="Q2090" s="2" t="s">
        <v>234</v>
      </c>
      <c r="R2090" s="2" t="s">
        <v>228</v>
      </c>
      <c r="S2090" s="2" t="s">
        <v>9955</v>
      </c>
      <c r="T2090" s="2" t="s">
        <v>9411</v>
      </c>
      <c r="U2090" s="2" t="s">
        <v>1054</v>
      </c>
      <c r="V2090" s="2" t="s">
        <v>236</v>
      </c>
      <c r="W2090" s="2" t="s">
        <v>269</v>
      </c>
      <c r="X2090" s="2" t="s">
        <v>417</v>
      </c>
      <c r="Y2090" s="2" t="s">
        <v>1996</v>
      </c>
      <c r="Z2090" s="4">
        <v>430</v>
      </c>
      <c r="AA2090" s="4">
        <f>=ROUNDDOWN(16.5384615384615,0)</f>
      </c>
      <c r="AB2090" s="5">
        <v>26</v>
      </c>
      <c r="AC2090" s="2" t="s">
        <v>9905</v>
      </c>
      <c r="AD2090" s="4">
        <v>150</v>
      </c>
      <c r="AE2090" s="4">
        <v>370</v>
      </c>
      <c r="AF2090" s="6">
        <v>65</v>
      </c>
      <c r="AG2090" s="6">
        <v>48</v>
      </c>
      <c r="AH2090" s="7">
        <v>1</v>
      </c>
      <c r="AI2090" s="4"/>
      <c r="AJ2090" s="4">
        <f>=ROUNDDOWN({0},0)</f>
      </c>
      <c r="AK2090" s="5"/>
      <c r="AL2090" s="2" t="s">
        <v>228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 t="s">
        <v>228</v>
      </c>
      <c r="AW2090" s="8" t="s">
        <v>228</v>
      </c>
      <c r="AX2090" s="4" t="s">
        <v>228</v>
      </c>
      <c r="AY2090" s="8" t="s">
        <v>228</v>
      </c>
      <c r="AZ2090" s="7" t="s">
        <v>228</v>
      </c>
      <c r="BA2090" s="7" t="s">
        <v>228</v>
      </c>
      <c r="BB2090" s="7"/>
      <c r="BC2090" s="4" t="s">
        <v>228</v>
      </c>
      <c r="BD2090" s="8" t="s">
        <v>228</v>
      </c>
      <c r="BE2090" s="4" t="s">
        <v>228</v>
      </c>
      <c r="BF2090" s="8" t="s">
        <v>228</v>
      </c>
      <c r="BG2090" s="7" t="s">
        <v>228</v>
      </c>
      <c r="BH2090" s="7" t="s">
        <v>228</v>
      </c>
      <c r="BI2090" s="7"/>
      <c r="BJ2090" s="4">
        <v>12</v>
      </c>
      <c r="BK2090" s="8">
        <v>409.47</v>
      </c>
      <c r="BL2090" s="2" t="s">
        <v>7807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238</v>
      </c>
      <c r="BV2090" s="2" t="s">
        <v>228</v>
      </c>
      <c r="BW2090" s="2" t="s">
        <v>228</v>
      </c>
      <c r="BX2090" s="2" t="s">
        <v>238</v>
      </c>
      <c r="BY2090" s="2" t="s">
        <v>239</v>
      </c>
      <c r="BZ2090" s="2" t="s">
        <v>240</v>
      </c>
      <c r="CA2090" s="2" t="s">
        <v>228</v>
      </c>
      <c r="CB2090" s="2" t="s">
        <v>228</v>
      </c>
      <c r="CC2090" s="2" t="s">
        <v>241</v>
      </c>
      <c r="CD2090" s="2" t="s">
        <v>228</v>
      </c>
      <c r="CE2090" s="4">
        <v>291</v>
      </c>
      <c r="CF2090" s="4"/>
      <c r="CG2090" s="4"/>
      <c r="CH2090" s="4">
        <v>139</v>
      </c>
      <c r="CI2090" s="4"/>
      <c r="CJ2090" s="4"/>
      <c r="CK2090" s="4"/>
      <c r="CL2090" s="4"/>
      <c r="CM2090" s="4"/>
      <c r="CN2090" s="4"/>
      <c r="CO2090" s="4"/>
      <c r="CP2090" s="4"/>
      <c r="CQ2090" s="4"/>
      <c r="CR2090" s="4"/>
      <c r="CS2090" s="4"/>
      <c r="CT2090" s="4"/>
      <c r="CU2090" s="4"/>
      <c r="CV2090" s="4"/>
      <c r="CW2090" s="4"/>
      <c r="CX2090" s="4"/>
      <c r="CY2090" s="4"/>
      <c r="CZ2090" s="4"/>
      <c r="DA2090" s="4"/>
      <c r="DB2090" s="4"/>
      <c r="DC2090" s="4"/>
      <c r="DD2090" s="4"/>
      <c r="DE2090" s="4"/>
      <c r="DF2090" s="4"/>
      <c r="DG2090" s="4"/>
      <c r="DH2090" s="4"/>
      <c r="DI2090" s="4"/>
      <c r="DJ2090" s="4"/>
      <c r="DK2090" s="4"/>
      <c r="DL2090" s="4"/>
      <c r="DM2090" s="4"/>
      <c r="DN2090" s="4"/>
      <c r="DO2090" s="4"/>
      <c r="DP2090" s="4"/>
      <c r="DQ2090" s="4"/>
      <c r="DR2090" s="4"/>
      <c r="DS2090" s="4"/>
      <c r="DT2090" s="4"/>
      <c r="DU2090" s="4"/>
      <c r="DV2090" s="4"/>
      <c r="DW2090" s="4"/>
      <c r="DX2090" s="4"/>
      <c r="DY2090" s="4"/>
      <c r="DZ2090" s="4"/>
      <c r="EA2090" s="4"/>
      <c r="EB2090" s="4">
        <v>150</v>
      </c>
      <c r="EC2090" s="4"/>
      <c r="ED2090" s="4"/>
      <c r="EE2090" s="4"/>
      <c r="EF2090" s="4"/>
      <c r="EG2090" s="4"/>
      <c r="EH2090" s="4"/>
      <c r="EI2090" s="4"/>
      <c r="EJ2090" s="4">
        <v>220</v>
      </c>
      <c r="EK2090" s="4"/>
      <c r="EL2090" s="4"/>
      <c r="EM2090" s="4"/>
      <c r="EN2090" s="4"/>
      <c r="EO2090" s="4"/>
      <c r="EP2090" s="4"/>
      <c r="EQ2090" s="4"/>
      <c r="ER2090" s="4"/>
      <c r="ES2090" s="4"/>
      <c r="ET2090" s="4"/>
      <c r="EU2090" s="4"/>
      <c r="EV2090" s="4"/>
      <c r="EW2090" s="4"/>
      <c r="EX2090" s="4"/>
      <c r="EY2090" s="4"/>
      <c r="EZ2090" s="4"/>
      <c r="FA2090" s="4"/>
      <c r="FB2090" s="4"/>
      <c r="FC2090" s="4"/>
      <c r="FD2090" s="4"/>
      <c r="FE2090" s="4"/>
      <c r="FF2090" s="4"/>
      <c r="FG2090" s="4"/>
      <c r="FH2090" s="4"/>
      <c r="FI2090" s="4"/>
      <c r="FJ2090" s="4"/>
      <c r="FK2090" s="4"/>
      <c r="FL2090" s="4"/>
      <c r="FM2090" s="4"/>
      <c r="FN2090" s="4"/>
      <c r="FO2090" s="4"/>
      <c r="FP2090" s="4"/>
      <c r="FQ2090" s="4"/>
      <c r="FR2090" s="4"/>
      <c r="FS2090" s="4"/>
      <c r="FT2090" s="4"/>
      <c r="FU2090" s="4"/>
      <c r="FV2090" s="4"/>
      <c r="FW2090" s="4"/>
      <c r="FX2090" s="4"/>
      <c r="FY2090" s="4"/>
      <c r="FZ2090" s="4"/>
      <c r="GA2090" s="4"/>
      <c r="GB2090" s="4"/>
      <c r="GC2090" s="4"/>
      <c r="GD2090" s="4"/>
      <c r="GE2090" s="4"/>
      <c r="GF2090" s="4"/>
      <c r="GG2090" s="4"/>
      <c r="GH2090" s="4"/>
      <c r="GI2090" s="4"/>
      <c r="GJ2090" s="4"/>
      <c r="GK2090" s="4"/>
      <c r="GL2090" s="4"/>
      <c r="GM2090" s="4"/>
      <c r="GN2090" s="4"/>
      <c r="GO2090" s="4"/>
      <c r="GP2090" s="4"/>
      <c r="GQ2090" s="4"/>
      <c r="GR2090" s="4"/>
      <c r="GS2090" s="4"/>
      <c r="GT2090" s="4"/>
      <c r="GU2090" s="4"/>
      <c r="GV2090" s="4"/>
      <c r="GW2090" s="4"/>
      <c r="GX2090" s="4"/>
      <c r="GY2090" s="4"/>
      <c r="GZ2090" s="4"/>
      <c r="HA2090" s="4"/>
      <c r="HB2090" s="4"/>
      <c r="HC2090" s="4"/>
      <c r="HD2090" s="4"/>
      <c r="HE2090" s="4"/>
    </row>
    <row r="2091">
      <c r="A2091" s="2" t="s">
        <v>9957</v>
      </c>
      <c r="B2091" s="2" t="s">
        <v>299</v>
      </c>
      <c r="C2091" s="2" t="s">
        <v>345</v>
      </c>
      <c r="D2091" s="2" t="s">
        <v>301</v>
      </c>
      <c r="E2091" s="2" t="s">
        <v>302</v>
      </c>
      <c r="F2091" s="2" t="s">
        <v>9411</v>
      </c>
      <c r="G2091" s="2" t="s">
        <v>9411</v>
      </c>
      <c r="H2091" s="2" t="s">
        <v>9411</v>
      </c>
      <c r="I2091" s="2" t="s">
        <v>9903</v>
      </c>
      <c r="J2091" s="2" t="s">
        <v>289</v>
      </c>
      <c r="K2091" s="2" t="s">
        <v>9954</v>
      </c>
      <c r="L2091" s="3">
        <v>16.94</v>
      </c>
      <c r="M2091" s="3">
        <v>17.79</v>
      </c>
      <c r="N2091" s="3">
        <v>37.99</v>
      </c>
      <c r="O2091" s="2" t="s">
        <v>240</v>
      </c>
      <c r="P2091" s="2" t="s">
        <v>233</v>
      </c>
      <c r="Q2091" s="2" t="s">
        <v>234</v>
      </c>
      <c r="R2091" s="2" t="s">
        <v>228</v>
      </c>
      <c r="S2091" s="2" t="s">
        <v>9955</v>
      </c>
      <c r="T2091" s="2" t="s">
        <v>9411</v>
      </c>
      <c r="U2091" s="2" t="s">
        <v>1054</v>
      </c>
      <c r="V2091" s="2" t="s">
        <v>236</v>
      </c>
      <c r="W2091" s="2" t="s">
        <v>269</v>
      </c>
      <c r="X2091" s="2" t="s">
        <v>417</v>
      </c>
      <c r="Y2091" s="2" t="s">
        <v>1994</v>
      </c>
      <c r="Z2091" s="4">
        <v>1165</v>
      </c>
      <c r="AA2091" s="4">
        <f>=ROUNDDOWN(19.0983606557377,0)</f>
      </c>
      <c r="AB2091" s="5">
        <v>61</v>
      </c>
      <c r="AC2091" s="2" t="s">
        <v>9905</v>
      </c>
      <c r="AD2091" s="4">
        <v>400</v>
      </c>
      <c r="AE2091" s="4">
        <v>800</v>
      </c>
      <c r="AF2091" s="6">
        <v>65</v>
      </c>
      <c r="AG2091" s="6">
        <v>48</v>
      </c>
      <c r="AH2091" s="7">
        <v>1</v>
      </c>
      <c r="AI2091" s="4"/>
      <c r="AJ2091" s="4">
        <f>=ROUNDDOWN({0},0)</f>
      </c>
      <c r="AK2091" s="5"/>
      <c r="AL2091" s="2" t="s">
        <v>228</v>
      </c>
      <c r="AM2091" s="4"/>
      <c r="AN2091" s="4"/>
      <c r="AO2091" s="7"/>
      <c r="AP2091" s="4"/>
      <c r="AQ2091" s="8"/>
      <c r="AR2091" s="4"/>
      <c r="AS2091" s="8"/>
      <c r="AT2091" s="7"/>
      <c r="AU2091" s="7"/>
      <c r="AV2091" s="4" t="s">
        <v>228</v>
      </c>
      <c r="AW2091" s="8" t="s">
        <v>228</v>
      </c>
      <c r="AX2091" s="4" t="s">
        <v>228</v>
      </c>
      <c r="AY2091" s="8" t="s">
        <v>228</v>
      </c>
      <c r="AZ2091" s="7" t="s">
        <v>228</v>
      </c>
      <c r="BA2091" s="7" t="s">
        <v>228</v>
      </c>
      <c r="BB2091" s="7"/>
      <c r="BC2091" s="4" t="s">
        <v>228</v>
      </c>
      <c r="BD2091" s="8" t="s">
        <v>228</v>
      </c>
      <c r="BE2091" s="4" t="s">
        <v>228</v>
      </c>
      <c r="BF2091" s="8" t="s">
        <v>228</v>
      </c>
      <c r="BG2091" s="7" t="s">
        <v>228</v>
      </c>
      <c r="BH2091" s="7" t="s">
        <v>228</v>
      </c>
      <c r="BI2091" s="7"/>
      <c r="BJ2091" s="4">
        <v>21</v>
      </c>
      <c r="BK2091" s="8">
        <v>752.19</v>
      </c>
      <c r="BL2091" s="2" t="s">
        <v>7807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238</v>
      </c>
      <c r="BV2091" s="2" t="s">
        <v>228</v>
      </c>
      <c r="BW2091" s="2" t="s">
        <v>228</v>
      </c>
      <c r="BX2091" s="2" t="s">
        <v>238</v>
      </c>
      <c r="BY2091" s="2" t="s">
        <v>239</v>
      </c>
      <c r="BZ2091" s="2" t="s">
        <v>240</v>
      </c>
      <c r="CA2091" s="2" t="s">
        <v>228</v>
      </c>
      <c r="CB2091" s="2" t="s">
        <v>228</v>
      </c>
      <c r="CC2091" s="2" t="s">
        <v>241</v>
      </c>
      <c r="CD2091" s="2" t="s">
        <v>228</v>
      </c>
      <c r="CE2091" s="4">
        <v>372</v>
      </c>
      <c r="CF2091" s="4"/>
      <c r="CG2091" s="4"/>
      <c r="CH2091" s="4">
        <v>393</v>
      </c>
      <c r="CI2091" s="4"/>
      <c r="CJ2091" s="4"/>
      <c r="CK2091" s="4">
        <v>400</v>
      </c>
      <c r="CL2091" s="4"/>
      <c r="CM2091" s="4"/>
      <c r="CN2091" s="4"/>
      <c r="CO2091" s="4"/>
      <c r="CP2091" s="4"/>
      <c r="CQ2091" s="4"/>
      <c r="CR2091" s="4"/>
      <c r="CS2091" s="4"/>
      <c r="CT2091" s="4"/>
      <c r="CU2091" s="4"/>
      <c r="CV2091" s="4"/>
      <c r="CW2091" s="4"/>
      <c r="CX2091" s="4"/>
      <c r="CY2091" s="4"/>
      <c r="CZ2091" s="4"/>
      <c r="DA2091" s="4"/>
      <c r="DB2091" s="4"/>
      <c r="DC2091" s="4"/>
      <c r="DD2091" s="4"/>
      <c r="DE2091" s="4"/>
      <c r="DF2091" s="4"/>
      <c r="DG2091" s="4"/>
      <c r="DH2091" s="4"/>
      <c r="DI2091" s="4"/>
      <c r="DJ2091" s="4"/>
      <c r="DK2091" s="4"/>
      <c r="DL2091" s="4"/>
      <c r="DM2091" s="4"/>
      <c r="DN2091" s="4"/>
      <c r="DO2091" s="4"/>
      <c r="DP2091" s="4"/>
      <c r="DQ2091" s="4"/>
      <c r="DR2091" s="4"/>
      <c r="DS2091" s="4"/>
      <c r="DT2091" s="4"/>
      <c r="DU2091" s="4"/>
      <c r="DV2091" s="4"/>
      <c r="DW2091" s="4"/>
      <c r="DX2091" s="4"/>
      <c r="DY2091" s="4"/>
      <c r="DZ2091" s="4"/>
      <c r="EA2091" s="4"/>
      <c r="EB2091" s="4">
        <v>400</v>
      </c>
      <c r="EC2091" s="4"/>
      <c r="ED2091" s="4"/>
      <c r="EE2091" s="4"/>
      <c r="EF2091" s="4"/>
      <c r="EG2091" s="4"/>
      <c r="EH2091" s="4"/>
      <c r="EI2091" s="4"/>
      <c r="EJ2091" s="4">
        <v>400</v>
      </c>
      <c r="EK2091" s="4"/>
      <c r="EL2091" s="4"/>
      <c r="EM2091" s="4"/>
      <c r="EN2091" s="4"/>
      <c r="EO2091" s="4"/>
      <c r="EP2091" s="4"/>
      <c r="EQ2091" s="4"/>
      <c r="ER2091" s="4"/>
      <c r="ES2091" s="4"/>
      <c r="ET2091" s="4"/>
      <c r="EU2091" s="4"/>
      <c r="EV2091" s="4"/>
      <c r="EW2091" s="4"/>
      <c r="EX2091" s="4"/>
      <c r="EY2091" s="4"/>
      <c r="EZ2091" s="4"/>
      <c r="FA2091" s="4"/>
      <c r="FB2091" s="4"/>
      <c r="FC2091" s="4"/>
      <c r="FD2091" s="4"/>
      <c r="FE2091" s="4"/>
      <c r="FF2091" s="4"/>
      <c r="FG2091" s="4"/>
      <c r="FH2091" s="4"/>
      <c r="FI2091" s="4"/>
      <c r="FJ2091" s="4"/>
      <c r="FK2091" s="4"/>
      <c r="FL2091" s="4"/>
      <c r="FM2091" s="4"/>
      <c r="FN2091" s="4"/>
      <c r="FO2091" s="4"/>
      <c r="FP2091" s="4"/>
      <c r="FQ2091" s="4"/>
      <c r="FR2091" s="4"/>
      <c r="FS2091" s="4"/>
      <c r="FT2091" s="4"/>
      <c r="FU2091" s="4"/>
      <c r="FV2091" s="4"/>
      <c r="FW2091" s="4"/>
      <c r="FX2091" s="4"/>
      <c r="FY2091" s="4"/>
      <c r="FZ2091" s="4"/>
      <c r="GA2091" s="4"/>
      <c r="GB2091" s="4"/>
      <c r="GC2091" s="4"/>
      <c r="GD2091" s="4"/>
      <c r="GE2091" s="4"/>
      <c r="GF2091" s="4"/>
      <c r="GG2091" s="4"/>
      <c r="GH2091" s="4"/>
      <c r="GI2091" s="4"/>
      <c r="GJ2091" s="4"/>
      <c r="GK2091" s="4"/>
      <c r="GL2091" s="4"/>
      <c r="GM2091" s="4"/>
      <c r="GN2091" s="4"/>
      <c r="GO2091" s="4"/>
      <c r="GP2091" s="4"/>
      <c r="GQ2091" s="4"/>
      <c r="GR2091" s="4"/>
      <c r="GS2091" s="4"/>
      <c r="GT2091" s="4"/>
      <c r="GU2091" s="4"/>
      <c r="GV2091" s="4"/>
      <c r="GW2091" s="4"/>
      <c r="GX2091" s="4"/>
      <c r="GY2091" s="4"/>
      <c r="GZ2091" s="4"/>
      <c r="HA2091" s="4"/>
      <c r="HB2091" s="4"/>
      <c r="HC2091" s="4"/>
      <c r="HD2091" s="4"/>
      <c r="HE2091" s="4"/>
    </row>
    <row r="2092">
      <c r="A2092" s="2" t="s">
        <v>9958</v>
      </c>
      <c r="B2092" s="2" t="s">
        <v>299</v>
      </c>
      <c r="C2092" s="2" t="s">
        <v>345</v>
      </c>
      <c r="D2092" s="2" t="s">
        <v>516</v>
      </c>
      <c r="E2092" s="2" t="s">
        <v>517</v>
      </c>
      <c r="F2092" s="2" t="s">
        <v>9411</v>
      </c>
      <c r="G2092" s="2" t="s">
        <v>9411</v>
      </c>
      <c r="H2092" s="2" t="s">
        <v>9411</v>
      </c>
      <c r="I2092" s="2" t="s">
        <v>9913</v>
      </c>
      <c r="J2092" s="2" t="s">
        <v>294</v>
      </c>
      <c r="K2092" s="2" t="s">
        <v>9954</v>
      </c>
      <c r="L2092" s="3">
        <v>5.79</v>
      </c>
      <c r="M2092" s="3">
        <v>6.08</v>
      </c>
      <c r="N2092" s="3">
        <v>12.99</v>
      </c>
      <c r="O2092" s="2" t="s">
        <v>240</v>
      </c>
      <c r="P2092" s="2" t="s">
        <v>233</v>
      </c>
      <c r="Q2092" s="2" t="s">
        <v>234</v>
      </c>
      <c r="R2092" s="2" t="s">
        <v>228</v>
      </c>
      <c r="S2092" s="2" t="s">
        <v>9955</v>
      </c>
      <c r="T2092" s="2" t="s">
        <v>9411</v>
      </c>
      <c r="U2092" s="2" t="s">
        <v>520</v>
      </c>
      <c r="V2092" s="2" t="s">
        <v>236</v>
      </c>
      <c r="W2092" s="2" t="s">
        <v>269</v>
      </c>
      <c r="X2092" s="2" t="s">
        <v>417</v>
      </c>
      <c r="Y2092" s="2" t="s">
        <v>9914</v>
      </c>
      <c r="Z2092" s="4">
        <v>432</v>
      </c>
      <c r="AA2092" s="4">
        <f>=ROUNDDOWN(19.6363636363636,0)</f>
      </c>
      <c r="AB2092" s="5">
        <v>22</v>
      </c>
      <c r="AC2092" s="2" t="s">
        <v>9905</v>
      </c>
      <c r="AD2092" s="4">
        <v>144</v>
      </c>
      <c r="AE2092" s="4">
        <v>304</v>
      </c>
      <c r="AF2092" s="6">
        <v>65</v>
      </c>
      <c r="AG2092" s="6">
        <v>48</v>
      </c>
      <c r="AH2092" s="7">
        <v>1</v>
      </c>
      <c r="AI2092" s="4"/>
      <c r="AJ2092" s="4">
        <f>=ROUNDDOWN({0},0)</f>
      </c>
      <c r="AK2092" s="5"/>
      <c r="AL2092" s="2" t="s">
        <v>228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 t="s">
        <v>228</v>
      </c>
      <c r="AW2092" s="8" t="s">
        <v>228</v>
      </c>
      <c r="AX2092" s="4" t="s">
        <v>228</v>
      </c>
      <c r="AY2092" s="8" t="s">
        <v>228</v>
      </c>
      <c r="AZ2092" s="7" t="s">
        <v>228</v>
      </c>
      <c r="BA2092" s="7" t="s">
        <v>228</v>
      </c>
      <c r="BB2092" s="7" t="s">
        <v>228</v>
      </c>
      <c r="BC2092" s="4" t="s">
        <v>228</v>
      </c>
      <c r="BD2092" s="8" t="s">
        <v>228</v>
      </c>
      <c r="BE2092" s="4" t="s">
        <v>228</v>
      </c>
      <c r="BF2092" s="8" t="s">
        <v>228</v>
      </c>
      <c r="BG2092" s="7" t="s">
        <v>228</v>
      </c>
      <c r="BH2092" s="7" t="s">
        <v>228</v>
      </c>
      <c r="BI2092" s="7"/>
      <c r="BJ2092" s="4"/>
      <c r="BK2092" s="8"/>
      <c r="BL2092" s="2" t="s">
        <v>228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238</v>
      </c>
      <c r="BV2092" s="2" t="s">
        <v>228</v>
      </c>
      <c r="BW2092" s="2" t="s">
        <v>228</v>
      </c>
      <c r="BX2092" s="2" t="s">
        <v>238</v>
      </c>
      <c r="BY2092" s="2" t="s">
        <v>239</v>
      </c>
      <c r="BZ2092" s="2" t="s">
        <v>240</v>
      </c>
      <c r="CA2092" s="2" t="s">
        <v>228</v>
      </c>
      <c r="CB2092" s="2" t="s">
        <v>228</v>
      </c>
      <c r="CC2092" s="2" t="s">
        <v>241</v>
      </c>
      <c r="CD2092" s="2" t="s">
        <v>228</v>
      </c>
      <c r="CE2092" s="4">
        <v>288</v>
      </c>
      <c r="CF2092" s="4"/>
      <c r="CG2092" s="4"/>
      <c r="CH2092" s="4">
        <v>144</v>
      </c>
      <c r="CI2092" s="4"/>
      <c r="CJ2092" s="4"/>
      <c r="CK2092" s="4"/>
      <c r="CL2092" s="4"/>
      <c r="CM2092" s="4"/>
      <c r="CN2092" s="4"/>
      <c r="CO2092" s="4"/>
      <c r="CP2092" s="4"/>
      <c r="CQ2092" s="4"/>
      <c r="CR2092" s="4"/>
      <c r="CS2092" s="4"/>
      <c r="CT2092" s="4"/>
      <c r="CU2092" s="4"/>
      <c r="CV2092" s="4"/>
      <c r="CW2092" s="4"/>
      <c r="CX2092" s="4"/>
      <c r="CY2092" s="4"/>
      <c r="CZ2092" s="4"/>
      <c r="DA2092" s="4"/>
      <c r="DB2092" s="4"/>
      <c r="DC2092" s="4"/>
      <c r="DD2092" s="4"/>
      <c r="DE2092" s="4"/>
      <c r="DF2092" s="4"/>
      <c r="DG2092" s="4"/>
      <c r="DH2092" s="4"/>
      <c r="DI2092" s="4"/>
      <c r="DJ2092" s="4"/>
      <c r="DK2092" s="4"/>
      <c r="DL2092" s="4"/>
      <c r="DM2092" s="4"/>
      <c r="DN2092" s="4"/>
      <c r="DO2092" s="4"/>
      <c r="DP2092" s="4"/>
      <c r="DQ2092" s="4"/>
      <c r="DR2092" s="4"/>
      <c r="DS2092" s="4"/>
      <c r="DT2092" s="4"/>
      <c r="DU2092" s="4"/>
      <c r="DV2092" s="4"/>
      <c r="DW2092" s="4"/>
      <c r="DX2092" s="4"/>
      <c r="DY2092" s="4"/>
      <c r="DZ2092" s="4"/>
      <c r="EA2092" s="4"/>
      <c r="EB2092" s="4">
        <v>144</v>
      </c>
      <c r="EC2092" s="4"/>
      <c r="ED2092" s="4"/>
      <c r="EE2092" s="4"/>
      <c r="EF2092" s="4"/>
      <c r="EG2092" s="4"/>
      <c r="EH2092" s="4"/>
      <c r="EI2092" s="4"/>
      <c r="EJ2092" s="4">
        <v>160</v>
      </c>
      <c r="EK2092" s="4"/>
      <c r="EL2092" s="4"/>
      <c r="EM2092" s="4"/>
      <c r="EN2092" s="4"/>
      <c r="EO2092" s="4"/>
      <c r="EP2092" s="4"/>
      <c r="EQ2092" s="4"/>
      <c r="ER2092" s="4"/>
      <c r="ES2092" s="4"/>
      <c r="ET2092" s="4"/>
      <c r="EU2092" s="4"/>
      <c r="EV2092" s="4"/>
      <c r="EW2092" s="4"/>
      <c r="EX2092" s="4"/>
      <c r="EY2092" s="4"/>
      <c r="EZ2092" s="4"/>
      <c r="FA2092" s="4"/>
      <c r="FB2092" s="4"/>
      <c r="FC2092" s="4"/>
      <c r="FD2092" s="4"/>
      <c r="FE2092" s="4"/>
      <c r="FF2092" s="4"/>
      <c r="FG2092" s="4"/>
      <c r="FH2092" s="4"/>
      <c r="FI2092" s="4"/>
      <c r="FJ2092" s="4"/>
      <c r="FK2092" s="4"/>
      <c r="FL2092" s="4"/>
      <c r="FM2092" s="4"/>
      <c r="FN2092" s="4"/>
      <c r="FO2092" s="4"/>
      <c r="FP2092" s="4"/>
      <c r="FQ2092" s="4"/>
      <c r="FR2092" s="4"/>
      <c r="FS2092" s="4"/>
      <c r="FT2092" s="4"/>
      <c r="FU2092" s="4"/>
      <c r="FV2092" s="4"/>
      <c r="FW2092" s="4"/>
      <c r="FX2092" s="4"/>
      <c r="FY2092" s="4"/>
      <c r="FZ2092" s="4"/>
      <c r="GA2092" s="4"/>
      <c r="GB2092" s="4"/>
      <c r="GC2092" s="4"/>
      <c r="GD2092" s="4"/>
      <c r="GE2092" s="4"/>
      <c r="GF2092" s="4"/>
      <c r="GG2092" s="4"/>
      <c r="GH2092" s="4"/>
      <c r="GI2092" s="4"/>
      <c r="GJ2092" s="4"/>
      <c r="GK2092" s="4"/>
      <c r="GL2092" s="4"/>
      <c r="GM2092" s="4"/>
      <c r="GN2092" s="4"/>
      <c r="GO2092" s="4"/>
      <c r="GP2092" s="4"/>
      <c r="GQ2092" s="4"/>
      <c r="GR2092" s="4"/>
      <c r="GS2092" s="4"/>
      <c r="GT2092" s="4"/>
      <c r="GU2092" s="4"/>
      <c r="GV2092" s="4"/>
      <c r="GW2092" s="4"/>
      <c r="GX2092" s="4"/>
      <c r="GY2092" s="4"/>
      <c r="GZ2092" s="4"/>
      <c r="HA2092" s="4"/>
      <c r="HB2092" s="4"/>
      <c r="HC2092" s="4"/>
      <c r="HD2092" s="4"/>
      <c r="HE2092" s="4"/>
    </row>
    <row r="2093">
      <c r="A2093" s="2" t="s">
        <v>9959</v>
      </c>
      <c r="B2093" s="2" t="s">
        <v>299</v>
      </c>
      <c r="C2093" s="2" t="s">
        <v>345</v>
      </c>
      <c r="D2093" s="2" t="s">
        <v>301</v>
      </c>
      <c r="E2093" s="2" t="s">
        <v>302</v>
      </c>
      <c r="F2093" s="2" t="s">
        <v>9411</v>
      </c>
      <c r="G2093" s="2" t="s">
        <v>9411</v>
      </c>
      <c r="H2093" s="2" t="s">
        <v>9411</v>
      </c>
      <c r="I2093" s="2" t="s">
        <v>9903</v>
      </c>
      <c r="J2093" s="2" t="s">
        <v>294</v>
      </c>
      <c r="K2093" s="2" t="s">
        <v>9954</v>
      </c>
      <c r="L2093" s="3">
        <v>19.17</v>
      </c>
      <c r="M2093" s="3">
        <v>20.13</v>
      </c>
      <c r="N2093" s="3">
        <v>42.99</v>
      </c>
      <c r="O2093" s="2" t="s">
        <v>240</v>
      </c>
      <c r="P2093" s="2" t="s">
        <v>233</v>
      </c>
      <c r="Q2093" s="2" t="s">
        <v>234</v>
      </c>
      <c r="R2093" s="2" t="s">
        <v>228</v>
      </c>
      <c r="S2093" s="2" t="s">
        <v>9955</v>
      </c>
      <c r="T2093" s="2" t="s">
        <v>9411</v>
      </c>
      <c r="U2093" s="2" t="s">
        <v>1054</v>
      </c>
      <c r="V2093" s="2" t="s">
        <v>236</v>
      </c>
      <c r="W2093" s="2" t="s">
        <v>269</v>
      </c>
      <c r="X2093" s="2" t="s">
        <v>417</v>
      </c>
      <c r="Y2093" s="2" t="s">
        <v>1996</v>
      </c>
      <c r="Z2093" s="4">
        <v>524</v>
      </c>
      <c r="AA2093" s="4">
        <f>=ROUNDDOWN(17.4666666666667,0)</f>
      </c>
      <c r="AB2093" s="5">
        <v>30</v>
      </c>
      <c r="AC2093" s="2" t="s">
        <v>9905</v>
      </c>
      <c r="AD2093" s="4">
        <v>180</v>
      </c>
      <c r="AE2093" s="4">
        <v>420</v>
      </c>
      <c r="AF2093" s="6">
        <v>65</v>
      </c>
      <c r="AG2093" s="6">
        <v>48</v>
      </c>
      <c r="AH2093" s="7">
        <v>1</v>
      </c>
      <c r="AI2093" s="4"/>
      <c r="AJ2093" s="4">
        <f>=ROUNDDOWN({0},0)</f>
      </c>
      <c r="AK2093" s="5"/>
      <c r="AL2093" s="2" t="s">
        <v>228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 t="s">
        <v>228</v>
      </c>
      <c r="AW2093" s="8" t="s">
        <v>228</v>
      </c>
      <c r="AX2093" s="4" t="s">
        <v>228</v>
      </c>
      <c r="AY2093" s="8" t="s">
        <v>228</v>
      </c>
      <c r="AZ2093" s="7" t="s">
        <v>228</v>
      </c>
      <c r="BA2093" s="7" t="s">
        <v>228</v>
      </c>
      <c r="BB2093" s="7" t="s">
        <v>228</v>
      </c>
      <c r="BC2093" s="4" t="s">
        <v>228</v>
      </c>
      <c r="BD2093" s="8" t="s">
        <v>228</v>
      </c>
      <c r="BE2093" s="4" t="s">
        <v>228</v>
      </c>
      <c r="BF2093" s="8" t="s">
        <v>228</v>
      </c>
      <c r="BG2093" s="7" t="s">
        <v>228</v>
      </c>
      <c r="BH2093" s="7" t="s">
        <v>228</v>
      </c>
      <c r="BI2093" s="7"/>
      <c r="BJ2093" s="4">
        <v>11</v>
      </c>
      <c r="BK2093" s="8">
        <v>437.3</v>
      </c>
      <c r="BL2093" s="2" t="s">
        <v>7807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238</v>
      </c>
      <c r="BV2093" s="2" t="s">
        <v>228</v>
      </c>
      <c r="BW2093" s="2" t="s">
        <v>228</v>
      </c>
      <c r="BX2093" s="2" t="s">
        <v>238</v>
      </c>
      <c r="BY2093" s="2" t="s">
        <v>239</v>
      </c>
      <c r="BZ2093" s="2" t="s">
        <v>240</v>
      </c>
      <c r="CA2093" s="2" t="s">
        <v>228</v>
      </c>
      <c r="CB2093" s="2" t="s">
        <v>228</v>
      </c>
      <c r="CC2093" s="2" t="s">
        <v>241</v>
      </c>
      <c r="CD2093" s="2" t="s">
        <v>228</v>
      </c>
      <c r="CE2093" s="4">
        <v>343</v>
      </c>
      <c r="CF2093" s="4"/>
      <c r="CG2093" s="4"/>
      <c r="CH2093" s="4">
        <v>177</v>
      </c>
      <c r="CI2093" s="4"/>
      <c r="CJ2093" s="4"/>
      <c r="CK2093" s="4">
        <v>4</v>
      </c>
      <c r="CL2093" s="4"/>
      <c r="CM2093" s="4"/>
      <c r="CN2093" s="4"/>
      <c r="CO2093" s="4"/>
      <c r="CP2093" s="4"/>
      <c r="CQ2093" s="4"/>
      <c r="CR2093" s="4"/>
      <c r="CS2093" s="4"/>
      <c r="CT2093" s="4"/>
      <c r="CU2093" s="4"/>
      <c r="CV2093" s="4"/>
      <c r="CW2093" s="4"/>
      <c r="CX2093" s="4"/>
      <c r="CY2093" s="4"/>
      <c r="CZ2093" s="4"/>
      <c r="DA2093" s="4"/>
      <c r="DB2093" s="4"/>
      <c r="DC2093" s="4"/>
      <c r="DD2093" s="4"/>
      <c r="DE2093" s="4"/>
      <c r="DF2093" s="4"/>
      <c r="DG2093" s="4"/>
      <c r="DH2093" s="4"/>
      <c r="DI2093" s="4"/>
      <c r="DJ2093" s="4"/>
      <c r="DK2093" s="4"/>
      <c r="DL2093" s="4"/>
      <c r="DM2093" s="4"/>
      <c r="DN2093" s="4"/>
      <c r="DO2093" s="4"/>
      <c r="DP2093" s="4"/>
      <c r="DQ2093" s="4"/>
      <c r="DR2093" s="4"/>
      <c r="DS2093" s="4"/>
      <c r="DT2093" s="4"/>
      <c r="DU2093" s="4"/>
      <c r="DV2093" s="4"/>
      <c r="DW2093" s="4"/>
      <c r="DX2093" s="4"/>
      <c r="DY2093" s="4"/>
      <c r="DZ2093" s="4"/>
      <c r="EA2093" s="4"/>
      <c r="EB2093" s="4">
        <v>180</v>
      </c>
      <c r="EC2093" s="4"/>
      <c r="ED2093" s="4"/>
      <c r="EE2093" s="4"/>
      <c r="EF2093" s="4"/>
      <c r="EG2093" s="4"/>
      <c r="EH2093" s="4"/>
      <c r="EI2093" s="4"/>
      <c r="EJ2093" s="4">
        <v>240</v>
      </c>
      <c r="EK2093" s="4"/>
      <c r="EL2093" s="4"/>
      <c r="EM2093" s="4"/>
      <c r="EN2093" s="4"/>
      <c r="EO2093" s="4"/>
      <c r="EP2093" s="4"/>
      <c r="EQ2093" s="4"/>
      <c r="ER2093" s="4"/>
      <c r="ES2093" s="4"/>
      <c r="ET2093" s="4"/>
      <c r="EU2093" s="4"/>
      <c r="EV2093" s="4"/>
      <c r="EW2093" s="4"/>
      <c r="EX2093" s="4"/>
      <c r="EY2093" s="4"/>
      <c r="EZ2093" s="4"/>
      <c r="FA2093" s="4"/>
      <c r="FB2093" s="4"/>
      <c r="FC2093" s="4"/>
      <c r="FD2093" s="4"/>
      <c r="FE2093" s="4"/>
      <c r="FF2093" s="4"/>
      <c r="FG2093" s="4"/>
      <c r="FH2093" s="4"/>
      <c r="FI2093" s="4"/>
      <c r="FJ2093" s="4"/>
      <c r="FK2093" s="4"/>
      <c r="FL2093" s="4"/>
      <c r="FM2093" s="4"/>
      <c r="FN2093" s="4"/>
      <c r="FO2093" s="4"/>
      <c r="FP2093" s="4"/>
      <c r="FQ2093" s="4"/>
      <c r="FR2093" s="4"/>
      <c r="FS2093" s="4"/>
      <c r="FT2093" s="4"/>
      <c r="FU2093" s="4"/>
      <c r="FV2093" s="4"/>
      <c r="FW2093" s="4"/>
      <c r="FX2093" s="4"/>
      <c r="FY2093" s="4"/>
      <c r="FZ2093" s="4"/>
      <c r="GA2093" s="4"/>
      <c r="GB2093" s="4"/>
      <c r="GC2093" s="4"/>
      <c r="GD2093" s="4"/>
      <c r="GE2093" s="4"/>
      <c r="GF2093" s="4"/>
      <c r="GG2093" s="4"/>
      <c r="GH2093" s="4"/>
      <c r="GI2093" s="4"/>
      <c r="GJ2093" s="4"/>
      <c r="GK2093" s="4"/>
      <c r="GL2093" s="4"/>
      <c r="GM2093" s="4"/>
      <c r="GN2093" s="4"/>
      <c r="GO2093" s="4"/>
      <c r="GP2093" s="4"/>
      <c r="GQ2093" s="4"/>
      <c r="GR2093" s="4"/>
      <c r="GS2093" s="4"/>
      <c r="GT2093" s="4"/>
      <c r="GU2093" s="4"/>
      <c r="GV2093" s="4"/>
      <c r="GW2093" s="4"/>
      <c r="GX2093" s="4"/>
      <c r="GY2093" s="4"/>
      <c r="GZ2093" s="4"/>
      <c r="HA2093" s="4"/>
      <c r="HB2093" s="4"/>
      <c r="HC2093" s="4"/>
      <c r="HD2093" s="4"/>
      <c r="HE2093" s="4"/>
    </row>
    <row r="2094">
      <c r="A2094" s="2" t="s">
        <v>9960</v>
      </c>
      <c r="B2094" s="2" t="s">
        <v>299</v>
      </c>
      <c r="C2094" s="2" t="s">
        <v>345</v>
      </c>
      <c r="D2094" s="2" t="s">
        <v>301</v>
      </c>
      <c r="E2094" s="2" t="s">
        <v>302</v>
      </c>
      <c r="F2094" s="2" t="s">
        <v>9411</v>
      </c>
      <c r="G2094" s="2" t="s">
        <v>9411</v>
      </c>
      <c r="H2094" s="2" t="s">
        <v>9411</v>
      </c>
      <c r="I2094" s="2" t="s">
        <v>9903</v>
      </c>
      <c r="J2094" s="2" t="s">
        <v>312</v>
      </c>
      <c r="K2094" s="2" t="s">
        <v>9954</v>
      </c>
      <c r="L2094" s="3">
        <v>19.17</v>
      </c>
      <c r="M2094" s="3">
        <v>20.13</v>
      </c>
      <c r="N2094" s="3">
        <v>42.99</v>
      </c>
      <c r="O2094" s="2" t="s">
        <v>240</v>
      </c>
      <c r="P2094" s="2" t="s">
        <v>233</v>
      </c>
      <c r="Q2094" s="2" t="s">
        <v>234</v>
      </c>
      <c r="R2094" s="2" t="s">
        <v>228</v>
      </c>
      <c r="S2094" s="2" t="s">
        <v>9955</v>
      </c>
      <c r="T2094" s="2" t="s">
        <v>9411</v>
      </c>
      <c r="U2094" s="2" t="s">
        <v>1054</v>
      </c>
      <c r="V2094" s="2" t="s">
        <v>236</v>
      </c>
      <c r="W2094" s="2" t="s">
        <v>269</v>
      </c>
      <c r="X2094" s="2" t="s">
        <v>417</v>
      </c>
      <c r="Y2094" s="2" t="s">
        <v>9914</v>
      </c>
      <c r="Z2094" s="4">
        <v>172</v>
      </c>
      <c r="AA2094" s="4">
        <f>=ROUNDDOWN(19.1111111111111,0)</f>
      </c>
      <c r="AB2094" s="5">
        <v>9</v>
      </c>
      <c r="AC2094" s="2" t="s">
        <v>9905</v>
      </c>
      <c r="AD2094" s="4">
        <v>60</v>
      </c>
      <c r="AE2094" s="4">
        <v>110</v>
      </c>
      <c r="AF2094" s="6">
        <v>65</v>
      </c>
      <c r="AG2094" s="6">
        <v>48</v>
      </c>
      <c r="AH2094" s="7">
        <v>1</v>
      </c>
      <c r="AI2094" s="4"/>
      <c r="AJ2094" s="4">
        <f>=ROUNDDOWN({0},0)</f>
      </c>
      <c r="AK2094" s="5"/>
      <c r="AL2094" s="2" t="s">
        <v>228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 t="s">
        <v>228</v>
      </c>
      <c r="AW2094" s="8" t="s">
        <v>228</v>
      </c>
      <c r="AX2094" s="4" t="s">
        <v>228</v>
      </c>
      <c r="AY2094" s="8" t="s">
        <v>228</v>
      </c>
      <c r="AZ2094" s="7" t="s">
        <v>228</v>
      </c>
      <c r="BA2094" s="7" t="s">
        <v>228</v>
      </c>
      <c r="BB2094" s="7"/>
      <c r="BC2094" s="4" t="s">
        <v>228</v>
      </c>
      <c r="BD2094" s="8" t="s">
        <v>228</v>
      </c>
      <c r="BE2094" s="4" t="s">
        <v>228</v>
      </c>
      <c r="BF2094" s="8" t="s">
        <v>228</v>
      </c>
      <c r="BG2094" s="7" t="s">
        <v>228</v>
      </c>
      <c r="BH2094" s="7" t="s">
        <v>228</v>
      </c>
      <c r="BI2094" s="7"/>
      <c r="BJ2094" s="4">
        <v>5</v>
      </c>
      <c r="BK2094" s="8">
        <v>198.15</v>
      </c>
      <c r="BL2094" s="2" t="s">
        <v>7807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238</v>
      </c>
      <c r="BV2094" s="2" t="s">
        <v>228</v>
      </c>
      <c r="BW2094" s="2" t="s">
        <v>228</v>
      </c>
      <c r="BX2094" s="2" t="s">
        <v>238</v>
      </c>
      <c r="BY2094" s="2" t="s">
        <v>239</v>
      </c>
      <c r="BZ2094" s="2" t="s">
        <v>240</v>
      </c>
      <c r="CA2094" s="2" t="s">
        <v>228</v>
      </c>
      <c r="CB2094" s="2" t="s">
        <v>228</v>
      </c>
      <c r="CC2094" s="2" t="s">
        <v>241</v>
      </c>
      <c r="CD2094" s="2" t="s">
        <v>228</v>
      </c>
      <c r="CE2094" s="4">
        <v>116</v>
      </c>
      <c r="CF2094" s="4"/>
      <c r="CG2094" s="4"/>
      <c r="CH2094" s="4">
        <v>56</v>
      </c>
      <c r="CI2094" s="4"/>
      <c r="CJ2094" s="4"/>
      <c r="CK2094" s="4"/>
      <c r="CL2094" s="4"/>
      <c r="CM2094" s="4"/>
      <c r="CN2094" s="4"/>
      <c r="CO2094" s="4"/>
      <c r="CP2094" s="4"/>
      <c r="CQ2094" s="4"/>
      <c r="CR2094" s="4"/>
      <c r="CS2094" s="4"/>
      <c r="CT2094" s="4"/>
      <c r="CU2094" s="4"/>
      <c r="CV2094" s="4"/>
      <c r="CW2094" s="4"/>
      <c r="CX2094" s="4"/>
      <c r="CY2094" s="4"/>
      <c r="CZ2094" s="4"/>
      <c r="DA2094" s="4"/>
      <c r="DB2094" s="4"/>
      <c r="DC2094" s="4"/>
      <c r="DD2094" s="4"/>
      <c r="DE2094" s="4"/>
      <c r="DF2094" s="4"/>
      <c r="DG2094" s="4"/>
      <c r="DH2094" s="4"/>
      <c r="DI2094" s="4"/>
      <c r="DJ2094" s="4"/>
      <c r="DK2094" s="4"/>
      <c r="DL2094" s="4"/>
      <c r="DM2094" s="4"/>
      <c r="DN2094" s="4"/>
      <c r="DO2094" s="4"/>
      <c r="DP2094" s="4"/>
      <c r="DQ2094" s="4"/>
      <c r="DR2094" s="4"/>
      <c r="DS2094" s="4"/>
      <c r="DT2094" s="4"/>
      <c r="DU2094" s="4"/>
      <c r="DV2094" s="4"/>
      <c r="DW2094" s="4"/>
      <c r="DX2094" s="4"/>
      <c r="DY2094" s="4"/>
      <c r="DZ2094" s="4"/>
      <c r="EA2094" s="4"/>
      <c r="EB2094" s="4">
        <v>60</v>
      </c>
      <c r="EC2094" s="4"/>
      <c r="ED2094" s="4"/>
      <c r="EE2094" s="4"/>
      <c r="EF2094" s="4"/>
      <c r="EG2094" s="4"/>
      <c r="EH2094" s="4"/>
      <c r="EI2094" s="4"/>
      <c r="EJ2094" s="4">
        <v>50</v>
      </c>
      <c r="EK2094" s="4"/>
      <c r="EL2094" s="4"/>
      <c r="EM2094" s="4"/>
      <c r="EN2094" s="4"/>
      <c r="EO2094" s="4"/>
      <c r="EP2094" s="4"/>
      <c r="EQ2094" s="4"/>
      <c r="ER2094" s="4"/>
      <c r="ES2094" s="4"/>
      <c r="ET2094" s="4"/>
      <c r="EU2094" s="4"/>
      <c r="EV2094" s="4"/>
      <c r="EW2094" s="4"/>
      <c r="EX2094" s="4"/>
      <c r="EY2094" s="4"/>
      <c r="EZ2094" s="4"/>
      <c r="FA2094" s="4"/>
      <c r="FB2094" s="4"/>
      <c r="FC2094" s="4"/>
      <c r="FD2094" s="4"/>
      <c r="FE2094" s="4"/>
      <c r="FF2094" s="4"/>
      <c r="FG2094" s="4"/>
      <c r="FH2094" s="4"/>
      <c r="FI2094" s="4"/>
      <c r="FJ2094" s="4"/>
      <c r="FK2094" s="4"/>
      <c r="FL2094" s="4"/>
      <c r="FM2094" s="4"/>
      <c r="FN2094" s="4"/>
      <c r="FO2094" s="4"/>
      <c r="FP2094" s="4"/>
      <c r="FQ2094" s="4"/>
      <c r="FR2094" s="4"/>
      <c r="FS2094" s="4"/>
      <c r="FT2094" s="4"/>
      <c r="FU2094" s="4"/>
      <c r="FV2094" s="4"/>
      <c r="FW2094" s="4"/>
      <c r="FX2094" s="4"/>
      <c r="FY2094" s="4"/>
      <c r="FZ2094" s="4"/>
      <c r="GA2094" s="4"/>
      <c r="GB2094" s="4"/>
      <c r="GC2094" s="4"/>
      <c r="GD2094" s="4"/>
      <c r="GE2094" s="4"/>
      <c r="GF2094" s="4"/>
      <c r="GG2094" s="4"/>
      <c r="GH2094" s="4"/>
      <c r="GI2094" s="4"/>
      <c r="GJ2094" s="4"/>
      <c r="GK2094" s="4"/>
      <c r="GL2094" s="4"/>
      <c r="GM2094" s="4"/>
      <c r="GN2094" s="4"/>
      <c r="GO2094" s="4"/>
      <c r="GP2094" s="4"/>
      <c r="GQ2094" s="4"/>
      <c r="GR2094" s="4"/>
      <c r="GS2094" s="4"/>
      <c r="GT2094" s="4"/>
      <c r="GU2094" s="4"/>
      <c r="GV2094" s="4"/>
      <c r="GW2094" s="4"/>
      <c r="GX2094" s="4"/>
      <c r="GY2094" s="4"/>
      <c r="GZ2094" s="4"/>
      <c r="HA2094" s="4"/>
      <c r="HB2094" s="4"/>
      <c r="HC2094" s="4"/>
      <c r="HD2094" s="4"/>
      <c r="HE2094" s="4"/>
    </row>
    <row r="2095">
      <c r="A2095" s="2" t="s">
        <v>9961</v>
      </c>
      <c r="B2095" s="2" t="s">
        <v>299</v>
      </c>
      <c r="C2095" s="2" t="s">
        <v>345</v>
      </c>
      <c r="D2095" s="2" t="s">
        <v>516</v>
      </c>
      <c r="E2095" s="2" t="s">
        <v>517</v>
      </c>
      <c r="F2095" s="2" t="s">
        <v>9411</v>
      </c>
      <c r="G2095" s="2" t="s">
        <v>9411</v>
      </c>
      <c r="H2095" s="2" t="s">
        <v>9411</v>
      </c>
      <c r="I2095" s="2" t="s">
        <v>9913</v>
      </c>
      <c r="J2095" s="2" t="s">
        <v>7551</v>
      </c>
      <c r="K2095" s="2" t="s">
        <v>9954</v>
      </c>
      <c r="L2095" s="3">
        <v>5.35</v>
      </c>
      <c r="M2095" s="3">
        <v>5.62</v>
      </c>
      <c r="N2095" s="3">
        <v>11.99</v>
      </c>
      <c r="O2095" s="2" t="s">
        <v>240</v>
      </c>
      <c r="P2095" s="2" t="s">
        <v>233</v>
      </c>
      <c r="Q2095" s="2" t="s">
        <v>234</v>
      </c>
      <c r="R2095" s="2" t="s">
        <v>228</v>
      </c>
      <c r="S2095" s="2" t="s">
        <v>9955</v>
      </c>
      <c r="T2095" s="2" t="s">
        <v>9411</v>
      </c>
      <c r="U2095" s="2" t="s">
        <v>520</v>
      </c>
      <c r="V2095" s="2" t="s">
        <v>236</v>
      </c>
      <c r="W2095" s="2" t="s">
        <v>269</v>
      </c>
      <c r="X2095" s="2" t="s">
        <v>417</v>
      </c>
      <c r="Y2095" s="2" t="s">
        <v>9914</v>
      </c>
      <c r="Z2095" s="4">
        <v>888</v>
      </c>
      <c r="AA2095" s="4">
        <f>=ROUNDDOWN(17.76,0)</f>
      </c>
      <c r="AB2095" s="5">
        <v>50</v>
      </c>
      <c r="AC2095" s="2" t="s">
        <v>9905</v>
      </c>
      <c r="AD2095" s="4">
        <v>296</v>
      </c>
      <c r="AE2095" s="4">
        <v>728</v>
      </c>
      <c r="AF2095" s="6">
        <v>65</v>
      </c>
      <c r="AG2095" s="6">
        <v>48</v>
      </c>
      <c r="AH2095" s="7">
        <v>1</v>
      </c>
      <c r="AI2095" s="4"/>
      <c r="AJ2095" s="4">
        <f>=ROUNDDOWN({0},0)</f>
      </c>
      <c r="AK2095" s="5"/>
      <c r="AL2095" s="2" t="s">
        <v>228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 t="s">
        <v>228</v>
      </c>
      <c r="AW2095" s="8" t="s">
        <v>228</v>
      </c>
      <c r="AX2095" s="4" t="s">
        <v>228</v>
      </c>
      <c r="AY2095" s="8" t="s">
        <v>228</v>
      </c>
      <c r="AZ2095" s="7" t="s">
        <v>228</v>
      </c>
      <c r="BA2095" s="7" t="s">
        <v>228</v>
      </c>
      <c r="BB2095" s="7"/>
      <c r="BC2095" s="4" t="s">
        <v>228</v>
      </c>
      <c r="BD2095" s="8" t="s">
        <v>228</v>
      </c>
      <c r="BE2095" s="4" t="s">
        <v>228</v>
      </c>
      <c r="BF2095" s="8" t="s">
        <v>228</v>
      </c>
      <c r="BG2095" s="7" t="s">
        <v>228</v>
      </c>
      <c r="BH2095" s="7" t="s">
        <v>228</v>
      </c>
      <c r="BI2095" s="7"/>
      <c r="BJ2095" s="4"/>
      <c r="BK2095" s="8"/>
      <c r="BL2095" s="2" t="s">
        <v>228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238</v>
      </c>
      <c r="BV2095" s="2" t="s">
        <v>228</v>
      </c>
      <c r="BW2095" s="2" t="s">
        <v>228</v>
      </c>
      <c r="BX2095" s="2" t="s">
        <v>238</v>
      </c>
      <c r="BY2095" s="2" t="s">
        <v>239</v>
      </c>
      <c r="BZ2095" s="2" t="s">
        <v>240</v>
      </c>
      <c r="CA2095" s="2" t="s">
        <v>228</v>
      </c>
      <c r="CB2095" s="2" t="s">
        <v>228</v>
      </c>
      <c r="CC2095" s="2" t="s">
        <v>241</v>
      </c>
      <c r="CD2095" s="2" t="s">
        <v>228</v>
      </c>
      <c r="CE2095" s="4">
        <v>592</v>
      </c>
      <c r="CF2095" s="4"/>
      <c r="CG2095" s="4"/>
      <c r="CH2095" s="4">
        <v>296</v>
      </c>
      <c r="CI2095" s="4"/>
      <c r="CJ2095" s="4"/>
      <c r="CK2095" s="4"/>
      <c r="CL2095" s="4"/>
      <c r="CM2095" s="4"/>
      <c r="CN2095" s="4"/>
      <c r="CO2095" s="4"/>
      <c r="CP2095" s="4"/>
      <c r="CQ2095" s="4"/>
      <c r="CR2095" s="4"/>
      <c r="CS2095" s="4"/>
      <c r="CT2095" s="4"/>
      <c r="CU2095" s="4"/>
      <c r="CV2095" s="4"/>
      <c r="CW2095" s="4"/>
      <c r="CX2095" s="4"/>
      <c r="CY2095" s="4"/>
      <c r="CZ2095" s="4"/>
      <c r="DA2095" s="4"/>
      <c r="DB2095" s="4"/>
      <c r="DC2095" s="4"/>
      <c r="DD2095" s="4"/>
      <c r="DE2095" s="4"/>
      <c r="DF2095" s="4"/>
      <c r="DG2095" s="4"/>
      <c r="DH2095" s="4"/>
      <c r="DI2095" s="4"/>
      <c r="DJ2095" s="4"/>
      <c r="DK2095" s="4"/>
      <c r="DL2095" s="4"/>
      <c r="DM2095" s="4"/>
      <c r="DN2095" s="4"/>
      <c r="DO2095" s="4"/>
      <c r="DP2095" s="4"/>
      <c r="DQ2095" s="4"/>
      <c r="DR2095" s="4"/>
      <c r="DS2095" s="4"/>
      <c r="DT2095" s="4"/>
      <c r="DU2095" s="4"/>
      <c r="DV2095" s="4"/>
      <c r="DW2095" s="4"/>
      <c r="DX2095" s="4"/>
      <c r="DY2095" s="4"/>
      <c r="DZ2095" s="4"/>
      <c r="EA2095" s="4"/>
      <c r="EB2095" s="4">
        <v>296</v>
      </c>
      <c r="EC2095" s="4"/>
      <c r="ED2095" s="4"/>
      <c r="EE2095" s="4"/>
      <c r="EF2095" s="4"/>
      <c r="EG2095" s="4"/>
      <c r="EH2095" s="4"/>
      <c r="EI2095" s="4"/>
      <c r="EJ2095" s="4">
        <v>432</v>
      </c>
      <c r="EK2095" s="4"/>
      <c r="EL2095" s="4"/>
      <c r="EM2095" s="4"/>
      <c r="EN2095" s="4"/>
      <c r="EO2095" s="4"/>
      <c r="EP2095" s="4"/>
      <c r="EQ2095" s="4"/>
      <c r="ER2095" s="4"/>
      <c r="ES2095" s="4"/>
      <c r="ET2095" s="4"/>
      <c r="EU2095" s="4"/>
      <c r="EV2095" s="4"/>
      <c r="EW2095" s="4"/>
      <c r="EX2095" s="4"/>
      <c r="EY2095" s="4"/>
      <c r="EZ2095" s="4"/>
      <c r="FA2095" s="4"/>
      <c r="FB2095" s="4"/>
      <c r="FC2095" s="4"/>
      <c r="FD2095" s="4"/>
      <c r="FE2095" s="4"/>
      <c r="FF2095" s="4"/>
      <c r="FG2095" s="4"/>
      <c r="FH2095" s="4"/>
      <c r="FI2095" s="4"/>
      <c r="FJ2095" s="4"/>
      <c r="FK2095" s="4"/>
      <c r="FL2095" s="4"/>
      <c r="FM2095" s="4"/>
      <c r="FN2095" s="4"/>
      <c r="FO2095" s="4"/>
      <c r="FP2095" s="4"/>
      <c r="FQ2095" s="4"/>
      <c r="FR2095" s="4"/>
      <c r="FS2095" s="4"/>
      <c r="FT2095" s="4"/>
      <c r="FU2095" s="4"/>
      <c r="FV2095" s="4"/>
      <c r="FW2095" s="4"/>
      <c r="FX2095" s="4"/>
      <c r="FY2095" s="4"/>
      <c r="FZ2095" s="4"/>
      <c r="GA2095" s="4"/>
      <c r="GB2095" s="4"/>
      <c r="GC2095" s="4"/>
      <c r="GD2095" s="4"/>
      <c r="GE2095" s="4"/>
      <c r="GF2095" s="4"/>
      <c r="GG2095" s="4"/>
      <c r="GH2095" s="4"/>
      <c r="GI2095" s="4"/>
      <c r="GJ2095" s="4"/>
      <c r="GK2095" s="4"/>
      <c r="GL2095" s="4"/>
      <c r="GM2095" s="4"/>
      <c r="GN2095" s="4"/>
      <c r="GO2095" s="4"/>
      <c r="GP2095" s="4"/>
      <c r="GQ2095" s="4"/>
      <c r="GR2095" s="4"/>
      <c r="GS2095" s="4"/>
      <c r="GT2095" s="4"/>
      <c r="GU2095" s="4"/>
      <c r="GV2095" s="4"/>
      <c r="GW2095" s="4"/>
      <c r="GX2095" s="4"/>
      <c r="GY2095" s="4"/>
      <c r="GZ2095" s="4"/>
      <c r="HA2095" s="4"/>
      <c r="HB2095" s="4"/>
      <c r="HC2095" s="4"/>
      <c r="HD2095" s="4"/>
      <c r="HE2095" s="4"/>
    </row>
    <row r="2096">
      <c r="A2096" s="2" t="s">
        <v>9962</v>
      </c>
      <c r="B2096" s="2" t="s">
        <v>299</v>
      </c>
      <c r="C2096" s="2" t="s">
        <v>345</v>
      </c>
      <c r="D2096" s="2" t="s">
        <v>301</v>
      </c>
      <c r="E2096" s="2" t="s">
        <v>302</v>
      </c>
      <c r="F2096" s="2" t="s">
        <v>9411</v>
      </c>
      <c r="G2096" s="2" t="s">
        <v>9411</v>
      </c>
      <c r="H2096" s="2" t="s">
        <v>9411</v>
      </c>
      <c r="I2096" s="2" t="s">
        <v>9903</v>
      </c>
      <c r="J2096" s="2" t="s">
        <v>264</v>
      </c>
      <c r="K2096" s="2" t="s">
        <v>4659</v>
      </c>
      <c r="L2096" s="3">
        <v>12.48</v>
      </c>
      <c r="M2096" s="3">
        <v>13.1</v>
      </c>
      <c r="N2096" s="3">
        <v>27.99</v>
      </c>
      <c r="O2096" s="2" t="s">
        <v>240</v>
      </c>
      <c r="P2096" s="2" t="s">
        <v>233</v>
      </c>
      <c r="Q2096" s="2" t="s">
        <v>234</v>
      </c>
      <c r="R2096" s="2" t="s">
        <v>228</v>
      </c>
      <c r="S2096" s="2" t="s">
        <v>9963</v>
      </c>
      <c r="T2096" s="2" t="s">
        <v>9411</v>
      </c>
      <c r="U2096" s="2" t="s">
        <v>308</v>
      </c>
      <c r="V2096" s="2" t="s">
        <v>236</v>
      </c>
      <c r="W2096" s="2" t="s">
        <v>269</v>
      </c>
      <c r="X2096" s="2" t="s">
        <v>417</v>
      </c>
      <c r="Y2096" s="2" t="s">
        <v>1996</v>
      </c>
      <c r="Z2096" s="4">
        <v>360</v>
      </c>
      <c r="AA2096" s="4">
        <f>=ROUNDDOWN(18.9473684210526,0)</f>
      </c>
      <c r="AB2096" s="5">
        <v>19</v>
      </c>
      <c r="AC2096" s="2" t="s">
        <v>9905</v>
      </c>
      <c r="AD2096" s="4">
        <v>120</v>
      </c>
      <c r="AE2096" s="4">
        <v>260</v>
      </c>
      <c r="AF2096" s="6">
        <v>65</v>
      </c>
      <c r="AG2096" s="6">
        <v>48</v>
      </c>
      <c r="AH2096" s="7">
        <v>1</v>
      </c>
      <c r="AI2096" s="4"/>
      <c r="AJ2096" s="4">
        <f>=ROUNDDOWN({0},0)</f>
      </c>
      <c r="AK2096" s="5"/>
      <c r="AL2096" s="2" t="s">
        <v>228</v>
      </c>
      <c r="AM2096" s="4"/>
      <c r="AN2096" s="4"/>
      <c r="AO2096" s="7"/>
      <c r="AP2096" s="4"/>
      <c r="AQ2096" s="8"/>
      <c r="AR2096" s="4"/>
      <c r="AS2096" s="8"/>
      <c r="AT2096" s="7"/>
      <c r="AU2096" s="7"/>
      <c r="AV2096" s="4" t="s">
        <v>228</v>
      </c>
      <c r="AW2096" s="8" t="s">
        <v>228</v>
      </c>
      <c r="AX2096" s="4" t="s">
        <v>228</v>
      </c>
      <c r="AY2096" s="8" t="s">
        <v>228</v>
      </c>
      <c r="AZ2096" s="7" t="s">
        <v>228</v>
      </c>
      <c r="BA2096" s="7" t="s">
        <v>228</v>
      </c>
      <c r="BB2096" s="7"/>
      <c r="BC2096" s="4" t="s">
        <v>228</v>
      </c>
      <c r="BD2096" s="8" t="s">
        <v>228</v>
      </c>
      <c r="BE2096" s="4" t="s">
        <v>228</v>
      </c>
      <c r="BF2096" s="8" t="s">
        <v>228</v>
      </c>
      <c r="BG2096" s="7" t="s">
        <v>228</v>
      </c>
      <c r="BH2096" s="7" t="s">
        <v>228</v>
      </c>
      <c r="BI2096" s="7"/>
      <c r="BJ2096" s="4"/>
      <c r="BK2096" s="8"/>
      <c r="BL2096" s="2" t="s">
        <v>228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238</v>
      </c>
      <c r="BV2096" s="2" t="s">
        <v>228</v>
      </c>
      <c r="BW2096" s="2" t="s">
        <v>228</v>
      </c>
      <c r="BX2096" s="2" t="s">
        <v>238</v>
      </c>
      <c r="BY2096" s="2" t="s">
        <v>239</v>
      </c>
      <c r="BZ2096" s="2" t="s">
        <v>240</v>
      </c>
      <c r="CA2096" s="2" t="s">
        <v>228</v>
      </c>
      <c r="CB2096" s="2" t="s">
        <v>228</v>
      </c>
      <c r="CC2096" s="2" t="s">
        <v>241</v>
      </c>
      <c r="CD2096" s="2" t="s">
        <v>228</v>
      </c>
      <c r="CE2096" s="4">
        <v>240</v>
      </c>
      <c r="CF2096" s="4"/>
      <c r="CG2096" s="4"/>
      <c r="CH2096" s="4">
        <v>120</v>
      </c>
      <c r="CI2096" s="4"/>
      <c r="CJ2096" s="4"/>
      <c r="CK2096" s="4"/>
      <c r="CL2096" s="4"/>
      <c r="CM2096" s="4"/>
      <c r="CN2096" s="4"/>
      <c r="CO2096" s="4"/>
      <c r="CP2096" s="4"/>
      <c r="CQ2096" s="4"/>
      <c r="CR2096" s="4"/>
      <c r="CS2096" s="4"/>
      <c r="CT2096" s="4"/>
      <c r="CU2096" s="4"/>
      <c r="CV2096" s="4"/>
      <c r="CW2096" s="4"/>
      <c r="CX2096" s="4"/>
      <c r="CY2096" s="4"/>
      <c r="CZ2096" s="4"/>
      <c r="DA2096" s="4"/>
      <c r="DB2096" s="4"/>
      <c r="DC2096" s="4"/>
      <c r="DD2096" s="4"/>
      <c r="DE2096" s="4"/>
      <c r="DF2096" s="4"/>
      <c r="DG2096" s="4"/>
      <c r="DH2096" s="4"/>
      <c r="DI2096" s="4"/>
      <c r="DJ2096" s="4"/>
      <c r="DK2096" s="4"/>
      <c r="DL2096" s="4"/>
      <c r="DM2096" s="4"/>
      <c r="DN2096" s="4"/>
      <c r="DO2096" s="4"/>
      <c r="DP2096" s="4"/>
      <c r="DQ2096" s="4"/>
      <c r="DR2096" s="4"/>
      <c r="DS2096" s="4"/>
      <c r="DT2096" s="4"/>
      <c r="DU2096" s="4"/>
      <c r="DV2096" s="4"/>
      <c r="DW2096" s="4"/>
      <c r="DX2096" s="4"/>
      <c r="DY2096" s="4"/>
      <c r="DZ2096" s="4"/>
      <c r="EA2096" s="4"/>
      <c r="EB2096" s="4">
        <v>120</v>
      </c>
      <c r="EC2096" s="4"/>
      <c r="ED2096" s="4"/>
      <c r="EE2096" s="4"/>
      <c r="EF2096" s="4"/>
      <c r="EG2096" s="4"/>
      <c r="EH2096" s="4"/>
      <c r="EI2096" s="4"/>
      <c r="EJ2096" s="4">
        <v>140</v>
      </c>
      <c r="EK2096" s="4"/>
      <c r="EL2096" s="4"/>
      <c r="EM2096" s="4"/>
      <c r="EN2096" s="4"/>
      <c r="EO2096" s="4"/>
      <c r="EP2096" s="4"/>
      <c r="EQ2096" s="4"/>
      <c r="ER2096" s="4"/>
      <c r="ES2096" s="4"/>
      <c r="ET2096" s="4"/>
      <c r="EU2096" s="4"/>
      <c r="EV2096" s="4"/>
      <c r="EW2096" s="4"/>
      <c r="EX2096" s="4"/>
      <c r="EY2096" s="4"/>
      <c r="EZ2096" s="4"/>
      <c r="FA2096" s="4"/>
      <c r="FB2096" s="4"/>
      <c r="FC2096" s="4"/>
      <c r="FD2096" s="4"/>
      <c r="FE2096" s="4"/>
      <c r="FF2096" s="4"/>
      <c r="FG2096" s="4"/>
      <c r="FH2096" s="4"/>
      <c r="FI2096" s="4"/>
      <c r="FJ2096" s="4"/>
      <c r="FK2096" s="4"/>
      <c r="FL2096" s="4"/>
      <c r="FM2096" s="4"/>
      <c r="FN2096" s="4"/>
      <c r="FO2096" s="4"/>
      <c r="FP2096" s="4"/>
      <c r="FQ2096" s="4"/>
      <c r="FR2096" s="4"/>
      <c r="FS2096" s="4"/>
      <c r="FT2096" s="4"/>
      <c r="FU2096" s="4"/>
      <c r="FV2096" s="4"/>
      <c r="FW2096" s="4"/>
      <c r="FX2096" s="4"/>
      <c r="FY2096" s="4"/>
      <c r="FZ2096" s="4"/>
      <c r="GA2096" s="4"/>
      <c r="GB2096" s="4"/>
      <c r="GC2096" s="4"/>
      <c r="GD2096" s="4"/>
      <c r="GE2096" s="4"/>
      <c r="GF2096" s="4"/>
      <c r="GG2096" s="4"/>
      <c r="GH2096" s="4"/>
      <c r="GI2096" s="4"/>
      <c r="GJ2096" s="4"/>
      <c r="GK2096" s="4"/>
      <c r="GL2096" s="4"/>
      <c r="GM2096" s="4"/>
      <c r="GN2096" s="4"/>
      <c r="GO2096" s="4"/>
      <c r="GP2096" s="4"/>
      <c r="GQ2096" s="4"/>
      <c r="GR2096" s="4"/>
      <c r="GS2096" s="4"/>
      <c r="GT2096" s="4"/>
      <c r="GU2096" s="4"/>
      <c r="GV2096" s="4"/>
      <c r="GW2096" s="4"/>
      <c r="GX2096" s="4"/>
      <c r="GY2096" s="4"/>
      <c r="GZ2096" s="4"/>
      <c r="HA2096" s="4"/>
      <c r="HB2096" s="4"/>
      <c r="HC2096" s="4"/>
      <c r="HD2096" s="4"/>
      <c r="HE2096" s="4"/>
    </row>
    <row r="2097">
      <c r="A2097" s="2" t="s">
        <v>9964</v>
      </c>
      <c r="B2097" s="2" t="s">
        <v>299</v>
      </c>
      <c r="C2097" s="2" t="s">
        <v>345</v>
      </c>
      <c r="D2097" s="2" t="s">
        <v>301</v>
      </c>
      <c r="E2097" s="2" t="s">
        <v>302</v>
      </c>
      <c r="F2097" s="2" t="s">
        <v>9411</v>
      </c>
      <c r="G2097" s="2" t="s">
        <v>9411</v>
      </c>
      <c r="H2097" s="2" t="s">
        <v>9411</v>
      </c>
      <c r="I2097" s="2" t="s">
        <v>9903</v>
      </c>
      <c r="J2097" s="2" t="s">
        <v>284</v>
      </c>
      <c r="K2097" s="2" t="s">
        <v>4659</v>
      </c>
      <c r="L2097" s="3">
        <v>14.71</v>
      </c>
      <c r="M2097" s="3">
        <v>15.45</v>
      </c>
      <c r="N2097" s="3">
        <v>32.99</v>
      </c>
      <c r="O2097" s="2" t="s">
        <v>240</v>
      </c>
      <c r="P2097" s="2" t="s">
        <v>233</v>
      </c>
      <c r="Q2097" s="2" t="s">
        <v>234</v>
      </c>
      <c r="R2097" s="2" t="s">
        <v>228</v>
      </c>
      <c r="S2097" s="2" t="s">
        <v>9963</v>
      </c>
      <c r="T2097" s="2" t="s">
        <v>9411</v>
      </c>
      <c r="U2097" s="2" t="s">
        <v>1054</v>
      </c>
      <c r="V2097" s="2" t="s">
        <v>236</v>
      </c>
      <c r="W2097" s="2" t="s">
        <v>269</v>
      </c>
      <c r="X2097" s="2" t="s">
        <v>417</v>
      </c>
      <c r="Y2097" s="2" t="s">
        <v>9914</v>
      </c>
      <c r="Z2097" s="4">
        <v>418</v>
      </c>
      <c r="AA2097" s="4">
        <f>=ROUNDDOWN(17.4166666666667,0)</f>
      </c>
      <c r="AB2097" s="5">
        <v>24</v>
      </c>
      <c r="AC2097" s="2" t="s">
        <v>9905</v>
      </c>
      <c r="AD2097" s="4">
        <v>140</v>
      </c>
      <c r="AE2097" s="4">
        <v>340</v>
      </c>
      <c r="AF2097" s="6">
        <v>65</v>
      </c>
      <c r="AG2097" s="6">
        <v>48</v>
      </c>
      <c r="AH2097" s="7">
        <v>1</v>
      </c>
      <c r="AI2097" s="4"/>
      <c r="AJ2097" s="4">
        <f>=ROUNDDOWN({0},0)</f>
      </c>
      <c r="AK2097" s="5"/>
      <c r="AL2097" s="2" t="s">
        <v>228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 t="s">
        <v>228</v>
      </c>
      <c r="AW2097" s="8" t="s">
        <v>228</v>
      </c>
      <c r="AX2097" s="4" t="s">
        <v>228</v>
      </c>
      <c r="AY2097" s="8" t="s">
        <v>228</v>
      </c>
      <c r="AZ2097" s="7" t="s">
        <v>228</v>
      </c>
      <c r="BA2097" s="7" t="s">
        <v>228</v>
      </c>
      <c r="BB2097" s="7"/>
      <c r="BC2097" s="4" t="s">
        <v>228</v>
      </c>
      <c r="BD2097" s="8" t="s">
        <v>228</v>
      </c>
      <c r="BE2097" s="4" t="s">
        <v>228</v>
      </c>
      <c r="BF2097" s="8" t="s">
        <v>228</v>
      </c>
      <c r="BG2097" s="7" t="s">
        <v>228</v>
      </c>
      <c r="BH2097" s="7" t="s">
        <v>228</v>
      </c>
      <c r="BI2097" s="7"/>
      <c r="BJ2097" s="4">
        <v>1</v>
      </c>
      <c r="BK2097" s="8">
        <v>33.83</v>
      </c>
      <c r="BL2097" s="2" t="s">
        <v>7807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238</v>
      </c>
      <c r="BV2097" s="2" t="s">
        <v>228</v>
      </c>
      <c r="BW2097" s="2" t="s">
        <v>228</v>
      </c>
      <c r="BX2097" s="2" t="s">
        <v>238</v>
      </c>
      <c r="BY2097" s="2" t="s">
        <v>239</v>
      </c>
      <c r="BZ2097" s="2" t="s">
        <v>240</v>
      </c>
      <c r="CA2097" s="2" t="s">
        <v>228</v>
      </c>
      <c r="CB2097" s="2" t="s">
        <v>228</v>
      </c>
      <c r="CC2097" s="2" t="s">
        <v>241</v>
      </c>
      <c r="CD2097" s="2" t="s">
        <v>228</v>
      </c>
      <c r="CE2097" s="4">
        <v>278</v>
      </c>
      <c r="CF2097" s="4"/>
      <c r="CG2097" s="4"/>
      <c r="CH2097" s="4">
        <v>140</v>
      </c>
      <c r="CI2097" s="4"/>
      <c r="CJ2097" s="4"/>
      <c r="CK2097" s="4"/>
      <c r="CL2097" s="4"/>
      <c r="CM2097" s="4"/>
      <c r="CN2097" s="4"/>
      <c r="CO2097" s="4"/>
      <c r="CP2097" s="4"/>
      <c r="CQ2097" s="4"/>
      <c r="CR2097" s="4"/>
      <c r="CS2097" s="4"/>
      <c r="CT2097" s="4"/>
      <c r="CU2097" s="4"/>
      <c r="CV2097" s="4"/>
      <c r="CW2097" s="4"/>
      <c r="CX2097" s="4"/>
      <c r="CY2097" s="4"/>
      <c r="CZ2097" s="4"/>
      <c r="DA2097" s="4"/>
      <c r="DB2097" s="4"/>
      <c r="DC2097" s="4"/>
      <c r="DD2097" s="4"/>
      <c r="DE2097" s="4"/>
      <c r="DF2097" s="4"/>
      <c r="DG2097" s="4"/>
      <c r="DH2097" s="4"/>
      <c r="DI2097" s="4"/>
      <c r="DJ2097" s="4"/>
      <c r="DK2097" s="4"/>
      <c r="DL2097" s="4"/>
      <c r="DM2097" s="4"/>
      <c r="DN2097" s="4"/>
      <c r="DO2097" s="4"/>
      <c r="DP2097" s="4"/>
      <c r="DQ2097" s="4"/>
      <c r="DR2097" s="4"/>
      <c r="DS2097" s="4"/>
      <c r="DT2097" s="4"/>
      <c r="DU2097" s="4"/>
      <c r="DV2097" s="4"/>
      <c r="DW2097" s="4"/>
      <c r="DX2097" s="4"/>
      <c r="DY2097" s="4"/>
      <c r="DZ2097" s="4"/>
      <c r="EA2097" s="4"/>
      <c r="EB2097" s="4">
        <v>140</v>
      </c>
      <c r="EC2097" s="4"/>
      <c r="ED2097" s="4"/>
      <c r="EE2097" s="4"/>
      <c r="EF2097" s="4"/>
      <c r="EG2097" s="4"/>
      <c r="EH2097" s="4"/>
      <c r="EI2097" s="4"/>
      <c r="EJ2097" s="4">
        <v>200</v>
      </c>
      <c r="EK2097" s="4"/>
      <c r="EL2097" s="4"/>
      <c r="EM2097" s="4"/>
      <c r="EN2097" s="4"/>
      <c r="EO2097" s="4"/>
      <c r="EP2097" s="4"/>
      <c r="EQ2097" s="4"/>
      <c r="ER2097" s="4"/>
      <c r="ES2097" s="4"/>
      <c r="ET2097" s="4"/>
      <c r="EU2097" s="4"/>
      <c r="EV2097" s="4"/>
      <c r="EW2097" s="4"/>
      <c r="EX2097" s="4"/>
      <c r="EY2097" s="4"/>
      <c r="EZ2097" s="4"/>
      <c r="FA2097" s="4"/>
      <c r="FB2097" s="4"/>
      <c r="FC2097" s="4"/>
      <c r="FD2097" s="4"/>
      <c r="FE2097" s="4"/>
      <c r="FF2097" s="4"/>
      <c r="FG2097" s="4"/>
      <c r="FH2097" s="4"/>
      <c r="FI2097" s="4"/>
      <c r="FJ2097" s="4"/>
      <c r="FK2097" s="4"/>
      <c r="FL2097" s="4"/>
      <c r="FM2097" s="4"/>
      <c r="FN2097" s="4"/>
      <c r="FO2097" s="4"/>
      <c r="FP2097" s="4"/>
      <c r="FQ2097" s="4"/>
      <c r="FR2097" s="4"/>
      <c r="FS2097" s="4"/>
      <c r="FT2097" s="4"/>
      <c r="FU2097" s="4"/>
      <c r="FV2097" s="4"/>
      <c r="FW2097" s="4"/>
      <c r="FX2097" s="4"/>
      <c r="FY2097" s="4"/>
      <c r="FZ2097" s="4"/>
      <c r="GA2097" s="4"/>
      <c r="GB2097" s="4"/>
      <c r="GC2097" s="4"/>
      <c r="GD2097" s="4"/>
      <c r="GE2097" s="4"/>
      <c r="GF2097" s="4"/>
      <c r="GG2097" s="4"/>
      <c r="GH2097" s="4"/>
      <c r="GI2097" s="4"/>
      <c r="GJ2097" s="4"/>
      <c r="GK2097" s="4"/>
      <c r="GL2097" s="4"/>
      <c r="GM2097" s="4"/>
      <c r="GN2097" s="4"/>
      <c r="GO2097" s="4"/>
      <c r="GP2097" s="4"/>
      <c r="GQ2097" s="4"/>
      <c r="GR2097" s="4"/>
      <c r="GS2097" s="4"/>
      <c r="GT2097" s="4"/>
      <c r="GU2097" s="4"/>
      <c r="GV2097" s="4"/>
      <c r="GW2097" s="4"/>
      <c r="GX2097" s="4"/>
      <c r="GY2097" s="4"/>
      <c r="GZ2097" s="4"/>
      <c r="HA2097" s="4"/>
      <c r="HB2097" s="4"/>
      <c r="HC2097" s="4"/>
      <c r="HD2097" s="4"/>
      <c r="HE2097" s="4"/>
    </row>
    <row r="2098">
      <c r="A2098" s="2" t="s">
        <v>9965</v>
      </c>
      <c r="B2098" s="2" t="s">
        <v>299</v>
      </c>
      <c r="C2098" s="2" t="s">
        <v>345</v>
      </c>
      <c r="D2098" s="2" t="s">
        <v>301</v>
      </c>
      <c r="E2098" s="2" t="s">
        <v>302</v>
      </c>
      <c r="F2098" s="2" t="s">
        <v>9411</v>
      </c>
      <c r="G2098" s="2" t="s">
        <v>9411</v>
      </c>
      <c r="H2098" s="2" t="s">
        <v>9411</v>
      </c>
      <c r="I2098" s="2" t="s">
        <v>9903</v>
      </c>
      <c r="J2098" s="2" t="s">
        <v>289</v>
      </c>
      <c r="K2098" s="2" t="s">
        <v>4659</v>
      </c>
      <c r="L2098" s="3">
        <v>16.94</v>
      </c>
      <c r="M2098" s="3">
        <v>17.79</v>
      </c>
      <c r="N2098" s="3">
        <v>37.99</v>
      </c>
      <c r="O2098" s="2" t="s">
        <v>240</v>
      </c>
      <c r="P2098" s="2" t="s">
        <v>233</v>
      </c>
      <c r="Q2098" s="2" t="s">
        <v>234</v>
      </c>
      <c r="R2098" s="2" t="s">
        <v>228</v>
      </c>
      <c r="S2098" s="2" t="s">
        <v>9963</v>
      </c>
      <c r="T2098" s="2" t="s">
        <v>9411</v>
      </c>
      <c r="U2098" s="2" t="s">
        <v>1054</v>
      </c>
      <c r="V2098" s="2" t="s">
        <v>236</v>
      </c>
      <c r="W2098" s="2" t="s">
        <v>269</v>
      </c>
      <c r="X2098" s="2" t="s">
        <v>417</v>
      </c>
      <c r="Y2098" s="2" t="s">
        <v>1996</v>
      </c>
      <c r="Z2098" s="4">
        <v>1188</v>
      </c>
      <c r="AA2098" s="4">
        <f>=ROUNDDOWN(19.1612903225806,0)</f>
      </c>
      <c r="AB2098" s="5">
        <v>62</v>
      </c>
      <c r="AC2098" s="2" t="s">
        <v>9905</v>
      </c>
      <c r="AD2098" s="4">
        <v>400</v>
      </c>
      <c r="AE2098" s="4">
        <v>810</v>
      </c>
      <c r="AF2098" s="6">
        <v>65</v>
      </c>
      <c r="AG2098" s="6">
        <v>48</v>
      </c>
      <c r="AH2098" s="7">
        <v>1</v>
      </c>
      <c r="AI2098" s="4"/>
      <c r="AJ2098" s="4">
        <f>=ROUNDDOWN({0},0)</f>
      </c>
      <c r="AK2098" s="5"/>
      <c r="AL2098" s="2" t="s">
        <v>228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 t="s">
        <v>228</v>
      </c>
      <c r="AW2098" s="8" t="s">
        <v>228</v>
      </c>
      <c r="AX2098" s="4" t="s">
        <v>228</v>
      </c>
      <c r="AY2098" s="8" t="s">
        <v>228</v>
      </c>
      <c r="AZ2098" s="7" t="s">
        <v>228</v>
      </c>
      <c r="BA2098" s="7" t="s">
        <v>228</v>
      </c>
      <c r="BB2098" s="7"/>
      <c r="BC2098" s="4" t="s">
        <v>228</v>
      </c>
      <c r="BD2098" s="8" t="s">
        <v>228</v>
      </c>
      <c r="BE2098" s="4" t="s">
        <v>228</v>
      </c>
      <c r="BF2098" s="8" t="s">
        <v>228</v>
      </c>
      <c r="BG2098" s="7" t="s">
        <v>228</v>
      </c>
      <c r="BH2098" s="7" t="s">
        <v>228</v>
      </c>
      <c r="BI2098" s="7"/>
      <c r="BJ2098" s="4">
        <v>7</v>
      </c>
      <c r="BK2098" s="8">
        <v>248.6</v>
      </c>
      <c r="BL2098" s="2" t="s">
        <v>7807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238</v>
      </c>
      <c r="BV2098" s="2" t="s">
        <v>228</v>
      </c>
      <c r="BW2098" s="2" t="s">
        <v>228</v>
      </c>
      <c r="BX2098" s="2" t="s">
        <v>238</v>
      </c>
      <c r="BY2098" s="2" t="s">
        <v>239</v>
      </c>
      <c r="BZ2098" s="2" t="s">
        <v>240</v>
      </c>
      <c r="CA2098" s="2" t="s">
        <v>228</v>
      </c>
      <c r="CB2098" s="2" t="s">
        <v>228</v>
      </c>
      <c r="CC2098" s="2" t="s">
        <v>241</v>
      </c>
      <c r="CD2098" s="2" t="s">
        <v>228</v>
      </c>
      <c r="CE2098" s="4">
        <v>391</v>
      </c>
      <c r="CF2098" s="4"/>
      <c r="CG2098" s="4"/>
      <c r="CH2098" s="4">
        <v>397</v>
      </c>
      <c r="CI2098" s="4"/>
      <c r="CJ2098" s="4"/>
      <c r="CK2098" s="4">
        <v>400</v>
      </c>
      <c r="CL2098" s="4"/>
      <c r="CM2098" s="4"/>
      <c r="CN2098" s="4"/>
      <c r="CO2098" s="4"/>
      <c r="CP2098" s="4"/>
      <c r="CQ2098" s="4"/>
      <c r="CR2098" s="4"/>
      <c r="CS2098" s="4"/>
      <c r="CT2098" s="4"/>
      <c r="CU2098" s="4"/>
      <c r="CV2098" s="4"/>
      <c r="CW2098" s="4"/>
      <c r="CX2098" s="4"/>
      <c r="CY2098" s="4"/>
      <c r="CZ2098" s="4"/>
      <c r="DA2098" s="4"/>
      <c r="DB2098" s="4"/>
      <c r="DC2098" s="4"/>
      <c r="DD2098" s="4"/>
      <c r="DE2098" s="4"/>
      <c r="DF2098" s="4"/>
      <c r="DG2098" s="4"/>
      <c r="DH2098" s="4"/>
      <c r="DI2098" s="4"/>
      <c r="DJ2098" s="4"/>
      <c r="DK2098" s="4"/>
      <c r="DL2098" s="4"/>
      <c r="DM2098" s="4"/>
      <c r="DN2098" s="4"/>
      <c r="DO2098" s="4"/>
      <c r="DP2098" s="4"/>
      <c r="DQ2098" s="4"/>
      <c r="DR2098" s="4"/>
      <c r="DS2098" s="4"/>
      <c r="DT2098" s="4"/>
      <c r="DU2098" s="4"/>
      <c r="DV2098" s="4"/>
      <c r="DW2098" s="4"/>
      <c r="DX2098" s="4"/>
      <c r="DY2098" s="4"/>
      <c r="DZ2098" s="4"/>
      <c r="EA2098" s="4"/>
      <c r="EB2098" s="4">
        <v>400</v>
      </c>
      <c r="EC2098" s="4"/>
      <c r="ED2098" s="4"/>
      <c r="EE2098" s="4"/>
      <c r="EF2098" s="4"/>
      <c r="EG2098" s="4"/>
      <c r="EH2098" s="4"/>
      <c r="EI2098" s="4"/>
      <c r="EJ2098" s="4">
        <v>410</v>
      </c>
      <c r="EK2098" s="4"/>
      <c r="EL2098" s="4"/>
      <c r="EM2098" s="4"/>
      <c r="EN2098" s="4"/>
      <c r="EO2098" s="4"/>
      <c r="EP2098" s="4"/>
      <c r="EQ2098" s="4"/>
      <c r="ER2098" s="4"/>
      <c r="ES2098" s="4"/>
      <c r="ET2098" s="4"/>
      <c r="EU2098" s="4"/>
      <c r="EV2098" s="4"/>
      <c r="EW2098" s="4"/>
      <c r="EX2098" s="4"/>
      <c r="EY2098" s="4"/>
      <c r="EZ2098" s="4"/>
      <c r="FA2098" s="4"/>
      <c r="FB2098" s="4"/>
      <c r="FC2098" s="4"/>
      <c r="FD2098" s="4"/>
      <c r="FE2098" s="4"/>
      <c r="FF2098" s="4"/>
      <c r="FG2098" s="4"/>
      <c r="FH2098" s="4"/>
      <c r="FI2098" s="4"/>
      <c r="FJ2098" s="4"/>
      <c r="FK2098" s="4"/>
      <c r="FL2098" s="4"/>
      <c r="FM2098" s="4"/>
      <c r="FN2098" s="4"/>
      <c r="FO2098" s="4"/>
      <c r="FP2098" s="4"/>
      <c r="FQ2098" s="4"/>
      <c r="FR2098" s="4"/>
      <c r="FS2098" s="4"/>
      <c r="FT2098" s="4"/>
      <c r="FU2098" s="4"/>
      <c r="FV2098" s="4"/>
      <c r="FW2098" s="4"/>
      <c r="FX2098" s="4"/>
      <c r="FY2098" s="4"/>
      <c r="FZ2098" s="4"/>
      <c r="GA2098" s="4"/>
      <c r="GB2098" s="4"/>
      <c r="GC2098" s="4"/>
      <c r="GD2098" s="4"/>
      <c r="GE2098" s="4"/>
      <c r="GF2098" s="4"/>
      <c r="GG2098" s="4"/>
      <c r="GH2098" s="4"/>
      <c r="GI2098" s="4"/>
      <c r="GJ2098" s="4"/>
      <c r="GK2098" s="4"/>
      <c r="GL2098" s="4"/>
      <c r="GM2098" s="4"/>
      <c r="GN2098" s="4"/>
      <c r="GO2098" s="4"/>
      <c r="GP2098" s="4"/>
      <c r="GQ2098" s="4"/>
      <c r="GR2098" s="4"/>
      <c r="GS2098" s="4"/>
      <c r="GT2098" s="4"/>
      <c r="GU2098" s="4"/>
      <c r="GV2098" s="4"/>
      <c r="GW2098" s="4"/>
      <c r="GX2098" s="4"/>
      <c r="GY2098" s="4"/>
      <c r="GZ2098" s="4"/>
      <c r="HA2098" s="4"/>
      <c r="HB2098" s="4"/>
      <c r="HC2098" s="4"/>
      <c r="HD2098" s="4"/>
      <c r="HE2098" s="4"/>
    </row>
    <row r="2099">
      <c r="A2099" s="2" t="s">
        <v>9966</v>
      </c>
      <c r="B2099" s="2" t="s">
        <v>299</v>
      </c>
      <c r="C2099" s="2" t="s">
        <v>345</v>
      </c>
      <c r="D2099" s="2" t="s">
        <v>516</v>
      </c>
      <c r="E2099" s="2" t="s">
        <v>517</v>
      </c>
      <c r="F2099" s="2" t="s">
        <v>9411</v>
      </c>
      <c r="G2099" s="2" t="s">
        <v>9411</v>
      </c>
      <c r="H2099" s="2" t="s">
        <v>9411</v>
      </c>
      <c r="I2099" s="2" t="s">
        <v>9913</v>
      </c>
      <c r="J2099" s="2" t="s">
        <v>294</v>
      </c>
      <c r="K2099" s="2" t="s">
        <v>4659</v>
      </c>
      <c r="L2099" s="3">
        <v>5.79</v>
      </c>
      <c r="M2099" s="3">
        <v>6.08</v>
      </c>
      <c r="N2099" s="3">
        <v>12.99</v>
      </c>
      <c r="O2099" s="2" t="s">
        <v>240</v>
      </c>
      <c r="P2099" s="2" t="s">
        <v>233</v>
      </c>
      <c r="Q2099" s="2" t="s">
        <v>234</v>
      </c>
      <c r="R2099" s="2" t="s">
        <v>228</v>
      </c>
      <c r="S2099" s="2" t="s">
        <v>9963</v>
      </c>
      <c r="T2099" s="2" t="s">
        <v>9411</v>
      </c>
      <c r="U2099" s="2" t="s">
        <v>520</v>
      </c>
      <c r="V2099" s="2" t="s">
        <v>236</v>
      </c>
      <c r="W2099" s="2" t="s">
        <v>269</v>
      </c>
      <c r="X2099" s="2" t="s">
        <v>417</v>
      </c>
      <c r="Y2099" s="2" t="s">
        <v>9914</v>
      </c>
      <c r="Z2099" s="4">
        <v>312</v>
      </c>
      <c r="AA2099" s="4">
        <f>=ROUNDDOWN(19.5,0)</f>
      </c>
      <c r="AB2099" s="5">
        <v>16</v>
      </c>
      <c r="AC2099" s="2" t="s">
        <v>9905</v>
      </c>
      <c r="AD2099" s="4">
        <v>104</v>
      </c>
      <c r="AE2099" s="4">
        <v>224</v>
      </c>
      <c r="AF2099" s="6">
        <v>65</v>
      </c>
      <c r="AG2099" s="6">
        <v>48</v>
      </c>
      <c r="AH2099" s="7">
        <v>1</v>
      </c>
      <c r="AI2099" s="4"/>
      <c r="AJ2099" s="4">
        <f>=ROUNDDOWN({0},0)</f>
      </c>
      <c r="AK2099" s="5"/>
      <c r="AL2099" s="2" t="s">
        <v>228</v>
      </c>
      <c r="AM2099" s="4"/>
      <c r="AN2099" s="4"/>
      <c r="AO2099" s="7"/>
      <c r="AP2099" s="4"/>
      <c r="AQ2099" s="8"/>
      <c r="AR2099" s="4"/>
      <c r="AS2099" s="8"/>
      <c r="AT2099" s="7"/>
      <c r="AU2099" s="7"/>
      <c r="AV2099" s="4" t="s">
        <v>228</v>
      </c>
      <c r="AW2099" s="8" t="s">
        <v>228</v>
      </c>
      <c r="AX2099" s="4" t="s">
        <v>228</v>
      </c>
      <c r="AY2099" s="8" t="s">
        <v>228</v>
      </c>
      <c r="AZ2099" s="7" t="s">
        <v>228</v>
      </c>
      <c r="BA2099" s="7" t="s">
        <v>228</v>
      </c>
      <c r="BB2099" s="7" t="s">
        <v>228</v>
      </c>
      <c r="BC2099" s="4" t="s">
        <v>228</v>
      </c>
      <c r="BD2099" s="8" t="s">
        <v>228</v>
      </c>
      <c r="BE2099" s="4" t="s">
        <v>228</v>
      </c>
      <c r="BF2099" s="8" t="s">
        <v>228</v>
      </c>
      <c r="BG2099" s="7" t="s">
        <v>228</v>
      </c>
      <c r="BH2099" s="7" t="s">
        <v>228</v>
      </c>
      <c r="BI2099" s="7"/>
      <c r="BJ2099" s="4"/>
      <c r="BK2099" s="8"/>
      <c r="BL2099" s="2" t="s">
        <v>228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238</v>
      </c>
      <c r="BV2099" s="2" t="s">
        <v>228</v>
      </c>
      <c r="BW2099" s="2" t="s">
        <v>228</v>
      </c>
      <c r="BX2099" s="2" t="s">
        <v>238</v>
      </c>
      <c r="BY2099" s="2" t="s">
        <v>239</v>
      </c>
      <c r="BZ2099" s="2" t="s">
        <v>240</v>
      </c>
      <c r="CA2099" s="2" t="s">
        <v>228</v>
      </c>
      <c r="CB2099" s="2" t="s">
        <v>228</v>
      </c>
      <c r="CC2099" s="2" t="s">
        <v>241</v>
      </c>
      <c r="CD2099" s="2" t="s">
        <v>228</v>
      </c>
      <c r="CE2099" s="4">
        <v>208</v>
      </c>
      <c r="CF2099" s="4"/>
      <c r="CG2099" s="4"/>
      <c r="CH2099" s="4">
        <v>104</v>
      </c>
      <c r="CI2099" s="4"/>
      <c r="CJ2099" s="4"/>
      <c r="CK2099" s="4"/>
      <c r="CL2099" s="4"/>
      <c r="CM2099" s="4"/>
      <c r="CN2099" s="4"/>
      <c r="CO2099" s="4"/>
      <c r="CP2099" s="4"/>
      <c r="CQ2099" s="4"/>
      <c r="CR2099" s="4"/>
      <c r="CS2099" s="4"/>
      <c r="CT2099" s="4"/>
      <c r="CU2099" s="4"/>
      <c r="CV2099" s="4"/>
      <c r="CW2099" s="4"/>
      <c r="CX2099" s="4"/>
      <c r="CY2099" s="4"/>
      <c r="CZ2099" s="4"/>
      <c r="DA2099" s="4"/>
      <c r="DB2099" s="4"/>
      <c r="DC2099" s="4"/>
      <c r="DD2099" s="4"/>
      <c r="DE2099" s="4"/>
      <c r="DF2099" s="4"/>
      <c r="DG2099" s="4"/>
      <c r="DH2099" s="4"/>
      <c r="DI2099" s="4"/>
      <c r="DJ2099" s="4"/>
      <c r="DK2099" s="4"/>
      <c r="DL2099" s="4"/>
      <c r="DM2099" s="4"/>
      <c r="DN2099" s="4"/>
      <c r="DO2099" s="4"/>
      <c r="DP2099" s="4"/>
      <c r="DQ2099" s="4"/>
      <c r="DR2099" s="4"/>
      <c r="DS2099" s="4"/>
      <c r="DT2099" s="4"/>
      <c r="DU2099" s="4"/>
      <c r="DV2099" s="4"/>
      <c r="DW2099" s="4"/>
      <c r="DX2099" s="4"/>
      <c r="DY2099" s="4"/>
      <c r="DZ2099" s="4"/>
      <c r="EA2099" s="4"/>
      <c r="EB2099" s="4">
        <v>104</v>
      </c>
      <c r="EC2099" s="4"/>
      <c r="ED2099" s="4"/>
      <c r="EE2099" s="4"/>
      <c r="EF2099" s="4"/>
      <c r="EG2099" s="4"/>
      <c r="EH2099" s="4"/>
      <c r="EI2099" s="4"/>
      <c r="EJ2099" s="4">
        <v>120</v>
      </c>
      <c r="EK2099" s="4"/>
      <c r="EL2099" s="4"/>
      <c r="EM2099" s="4"/>
      <c r="EN2099" s="4"/>
      <c r="EO2099" s="4"/>
      <c r="EP2099" s="4"/>
      <c r="EQ2099" s="4"/>
      <c r="ER2099" s="4"/>
      <c r="ES2099" s="4"/>
      <c r="ET2099" s="4"/>
      <c r="EU2099" s="4"/>
      <c r="EV2099" s="4"/>
      <c r="EW2099" s="4"/>
      <c r="EX2099" s="4"/>
      <c r="EY2099" s="4"/>
      <c r="EZ2099" s="4"/>
      <c r="FA2099" s="4"/>
      <c r="FB2099" s="4"/>
      <c r="FC2099" s="4"/>
      <c r="FD2099" s="4"/>
      <c r="FE2099" s="4"/>
      <c r="FF2099" s="4"/>
      <c r="FG2099" s="4"/>
      <c r="FH2099" s="4"/>
      <c r="FI2099" s="4"/>
      <c r="FJ2099" s="4"/>
      <c r="FK2099" s="4"/>
      <c r="FL2099" s="4"/>
      <c r="FM2099" s="4"/>
      <c r="FN2099" s="4"/>
      <c r="FO2099" s="4"/>
      <c r="FP2099" s="4"/>
      <c r="FQ2099" s="4"/>
      <c r="FR2099" s="4"/>
      <c r="FS2099" s="4"/>
      <c r="FT2099" s="4"/>
      <c r="FU2099" s="4"/>
      <c r="FV2099" s="4"/>
      <c r="FW2099" s="4"/>
      <c r="FX2099" s="4"/>
      <c r="FY2099" s="4"/>
      <c r="FZ2099" s="4"/>
      <c r="GA2099" s="4"/>
      <c r="GB2099" s="4"/>
      <c r="GC2099" s="4"/>
      <c r="GD2099" s="4"/>
      <c r="GE2099" s="4"/>
      <c r="GF2099" s="4"/>
      <c r="GG2099" s="4"/>
      <c r="GH2099" s="4"/>
      <c r="GI2099" s="4"/>
      <c r="GJ2099" s="4"/>
      <c r="GK2099" s="4"/>
      <c r="GL2099" s="4"/>
      <c r="GM2099" s="4"/>
      <c r="GN2099" s="4"/>
      <c r="GO2099" s="4"/>
      <c r="GP2099" s="4"/>
      <c r="GQ2099" s="4"/>
      <c r="GR2099" s="4"/>
      <c r="GS2099" s="4"/>
      <c r="GT2099" s="4"/>
      <c r="GU2099" s="4"/>
      <c r="GV2099" s="4"/>
      <c r="GW2099" s="4"/>
      <c r="GX2099" s="4"/>
      <c r="GY2099" s="4"/>
      <c r="GZ2099" s="4"/>
      <c r="HA2099" s="4"/>
      <c r="HB2099" s="4"/>
      <c r="HC2099" s="4"/>
      <c r="HD2099" s="4"/>
      <c r="HE2099" s="4"/>
    </row>
    <row r="2100">
      <c r="A2100" s="2" t="s">
        <v>9967</v>
      </c>
      <c r="B2100" s="2" t="s">
        <v>299</v>
      </c>
      <c r="C2100" s="2" t="s">
        <v>345</v>
      </c>
      <c r="D2100" s="2" t="s">
        <v>301</v>
      </c>
      <c r="E2100" s="2" t="s">
        <v>302</v>
      </c>
      <c r="F2100" s="2" t="s">
        <v>9411</v>
      </c>
      <c r="G2100" s="2" t="s">
        <v>9411</v>
      </c>
      <c r="H2100" s="2" t="s">
        <v>9411</v>
      </c>
      <c r="I2100" s="2" t="s">
        <v>9903</v>
      </c>
      <c r="J2100" s="2" t="s">
        <v>294</v>
      </c>
      <c r="K2100" s="2" t="s">
        <v>4659</v>
      </c>
      <c r="L2100" s="3">
        <v>19.17</v>
      </c>
      <c r="M2100" s="3">
        <v>20.13</v>
      </c>
      <c r="N2100" s="3">
        <v>42.99</v>
      </c>
      <c r="O2100" s="2" t="s">
        <v>240</v>
      </c>
      <c r="P2100" s="2" t="s">
        <v>233</v>
      </c>
      <c r="Q2100" s="2" t="s">
        <v>234</v>
      </c>
      <c r="R2100" s="2" t="s">
        <v>228</v>
      </c>
      <c r="S2100" s="2" t="s">
        <v>9963</v>
      </c>
      <c r="T2100" s="2" t="s">
        <v>9411</v>
      </c>
      <c r="U2100" s="2" t="s">
        <v>1054</v>
      </c>
      <c r="V2100" s="2" t="s">
        <v>236</v>
      </c>
      <c r="W2100" s="2" t="s">
        <v>269</v>
      </c>
      <c r="X2100" s="2" t="s">
        <v>417</v>
      </c>
      <c r="Y2100" s="2" t="s">
        <v>1994</v>
      </c>
      <c r="Z2100" s="4">
        <v>534</v>
      </c>
      <c r="AA2100" s="4">
        <f>=ROUNDDOWN(17.8,0)</f>
      </c>
      <c r="AB2100" s="5">
        <v>30</v>
      </c>
      <c r="AC2100" s="2" t="s">
        <v>9905</v>
      </c>
      <c r="AD2100" s="4">
        <v>180</v>
      </c>
      <c r="AE2100" s="4">
        <v>410</v>
      </c>
      <c r="AF2100" s="6">
        <v>65</v>
      </c>
      <c r="AG2100" s="6">
        <v>48</v>
      </c>
      <c r="AH2100" s="7">
        <v>1</v>
      </c>
      <c r="AI2100" s="4"/>
      <c r="AJ2100" s="4">
        <f>=ROUNDDOWN({0},0)</f>
      </c>
      <c r="AK2100" s="5"/>
      <c r="AL2100" s="2" t="s">
        <v>228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 t="s">
        <v>228</v>
      </c>
      <c r="AW2100" s="8" t="s">
        <v>228</v>
      </c>
      <c r="AX2100" s="4" t="s">
        <v>228</v>
      </c>
      <c r="AY2100" s="8" t="s">
        <v>228</v>
      </c>
      <c r="AZ2100" s="7" t="s">
        <v>228</v>
      </c>
      <c r="BA2100" s="7" t="s">
        <v>228</v>
      </c>
      <c r="BB2100" s="7" t="s">
        <v>228</v>
      </c>
      <c r="BC2100" s="4" t="s">
        <v>228</v>
      </c>
      <c r="BD2100" s="8" t="s">
        <v>228</v>
      </c>
      <c r="BE2100" s="4" t="s">
        <v>228</v>
      </c>
      <c r="BF2100" s="8" t="s">
        <v>228</v>
      </c>
      <c r="BG2100" s="7" t="s">
        <v>228</v>
      </c>
      <c r="BH2100" s="7" t="s">
        <v>228</v>
      </c>
      <c r="BI2100" s="7"/>
      <c r="BJ2100" s="4">
        <v>3</v>
      </c>
      <c r="BK2100" s="8">
        <v>120.26</v>
      </c>
      <c r="BL2100" s="2" t="s">
        <v>7807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238</v>
      </c>
      <c r="BV2100" s="2" t="s">
        <v>228</v>
      </c>
      <c r="BW2100" s="2" t="s">
        <v>228</v>
      </c>
      <c r="BX2100" s="2" t="s">
        <v>238</v>
      </c>
      <c r="BY2100" s="2" t="s">
        <v>239</v>
      </c>
      <c r="BZ2100" s="2" t="s">
        <v>240</v>
      </c>
      <c r="CA2100" s="2" t="s">
        <v>228</v>
      </c>
      <c r="CB2100" s="2" t="s">
        <v>228</v>
      </c>
      <c r="CC2100" s="2" t="s">
        <v>241</v>
      </c>
      <c r="CD2100" s="2" t="s">
        <v>228</v>
      </c>
      <c r="CE2100" s="4">
        <v>355</v>
      </c>
      <c r="CF2100" s="4"/>
      <c r="CG2100" s="4"/>
      <c r="CH2100" s="4">
        <v>179</v>
      </c>
      <c r="CI2100" s="4"/>
      <c r="CJ2100" s="4"/>
      <c r="CK2100" s="4"/>
      <c r="CL2100" s="4"/>
      <c r="CM2100" s="4"/>
      <c r="CN2100" s="4"/>
      <c r="CO2100" s="4"/>
      <c r="CP2100" s="4"/>
      <c r="CQ2100" s="4"/>
      <c r="CR2100" s="4"/>
      <c r="CS2100" s="4"/>
      <c r="CT2100" s="4"/>
      <c r="CU2100" s="4"/>
      <c r="CV2100" s="4"/>
      <c r="CW2100" s="4"/>
      <c r="CX2100" s="4"/>
      <c r="CY2100" s="4"/>
      <c r="CZ2100" s="4"/>
      <c r="DA2100" s="4"/>
      <c r="DB2100" s="4"/>
      <c r="DC2100" s="4"/>
      <c r="DD2100" s="4"/>
      <c r="DE2100" s="4"/>
      <c r="DF2100" s="4"/>
      <c r="DG2100" s="4"/>
      <c r="DH2100" s="4"/>
      <c r="DI2100" s="4"/>
      <c r="DJ2100" s="4"/>
      <c r="DK2100" s="4"/>
      <c r="DL2100" s="4"/>
      <c r="DM2100" s="4"/>
      <c r="DN2100" s="4"/>
      <c r="DO2100" s="4"/>
      <c r="DP2100" s="4"/>
      <c r="DQ2100" s="4"/>
      <c r="DR2100" s="4"/>
      <c r="DS2100" s="4"/>
      <c r="DT2100" s="4"/>
      <c r="DU2100" s="4"/>
      <c r="DV2100" s="4"/>
      <c r="DW2100" s="4"/>
      <c r="DX2100" s="4"/>
      <c r="DY2100" s="4"/>
      <c r="DZ2100" s="4"/>
      <c r="EA2100" s="4"/>
      <c r="EB2100" s="4">
        <v>180</v>
      </c>
      <c r="EC2100" s="4"/>
      <c r="ED2100" s="4"/>
      <c r="EE2100" s="4"/>
      <c r="EF2100" s="4"/>
      <c r="EG2100" s="4"/>
      <c r="EH2100" s="4"/>
      <c r="EI2100" s="4"/>
      <c r="EJ2100" s="4">
        <v>230</v>
      </c>
      <c r="EK2100" s="4"/>
      <c r="EL2100" s="4"/>
      <c r="EM2100" s="4"/>
      <c r="EN2100" s="4"/>
      <c r="EO2100" s="4"/>
      <c r="EP2100" s="4"/>
      <c r="EQ2100" s="4"/>
      <c r="ER2100" s="4"/>
      <c r="ES2100" s="4"/>
      <c r="ET2100" s="4"/>
      <c r="EU2100" s="4"/>
      <c r="EV2100" s="4"/>
      <c r="EW2100" s="4"/>
      <c r="EX2100" s="4"/>
      <c r="EY2100" s="4"/>
      <c r="EZ2100" s="4"/>
      <c r="FA2100" s="4"/>
      <c r="FB2100" s="4"/>
      <c r="FC2100" s="4"/>
      <c r="FD2100" s="4"/>
      <c r="FE2100" s="4"/>
      <c r="FF2100" s="4"/>
      <c r="FG2100" s="4"/>
      <c r="FH2100" s="4"/>
      <c r="FI2100" s="4"/>
      <c r="FJ2100" s="4"/>
      <c r="FK2100" s="4"/>
      <c r="FL2100" s="4"/>
      <c r="FM2100" s="4"/>
      <c r="FN2100" s="4"/>
      <c r="FO2100" s="4"/>
      <c r="FP2100" s="4"/>
      <c r="FQ2100" s="4"/>
      <c r="FR2100" s="4"/>
      <c r="FS2100" s="4"/>
      <c r="FT2100" s="4"/>
      <c r="FU2100" s="4"/>
      <c r="FV2100" s="4"/>
      <c r="FW2100" s="4"/>
      <c r="FX2100" s="4"/>
      <c r="FY2100" s="4"/>
      <c r="FZ2100" s="4"/>
      <c r="GA2100" s="4"/>
      <c r="GB2100" s="4"/>
      <c r="GC2100" s="4"/>
      <c r="GD2100" s="4"/>
      <c r="GE2100" s="4"/>
      <c r="GF2100" s="4"/>
      <c r="GG2100" s="4"/>
      <c r="GH2100" s="4"/>
      <c r="GI2100" s="4"/>
      <c r="GJ2100" s="4"/>
      <c r="GK2100" s="4"/>
      <c r="GL2100" s="4"/>
      <c r="GM2100" s="4"/>
      <c r="GN2100" s="4"/>
      <c r="GO2100" s="4"/>
      <c r="GP2100" s="4"/>
      <c r="GQ2100" s="4"/>
      <c r="GR2100" s="4"/>
      <c r="GS2100" s="4"/>
      <c r="GT2100" s="4"/>
      <c r="GU2100" s="4"/>
      <c r="GV2100" s="4"/>
      <c r="GW2100" s="4"/>
      <c r="GX2100" s="4"/>
      <c r="GY2100" s="4"/>
      <c r="GZ2100" s="4"/>
      <c r="HA2100" s="4"/>
      <c r="HB2100" s="4"/>
      <c r="HC2100" s="4"/>
      <c r="HD2100" s="4"/>
      <c r="HE2100" s="4"/>
    </row>
    <row r="2101">
      <c r="A2101" s="2" t="s">
        <v>9968</v>
      </c>
      <c r="B2101" s="2" t="s">
        <v>299</v>
      </c>
      <c r="C2101" s="2" t="s">
        <v>345</v>
      </c>
      <c r="D2101" s="2" t="s">
        <v>301</v>
      </c>
      <c r="E2101" s="2" t="s">
        <v>302</v>
      </c>
      <c r="F2101" s="2" t="s">
        <v>9411</v>
      </c>
      <c r="G2101" s="2" t="s">
        <v>9411</v>
      </c>
      <c r="H2101" s="2" t="s">
        <v>9411</v>
      </c>
      <c r="I2101" s="2" t="s">
        <v>9903</v>
      </c>
      <c r="J2101" s="2" t="s">
        <v>312</v>
      </c>
      <c r="K2101" s="2" t="s">
        <v>4659</v>
      </c>
      <c r="L2101" s="3">
        <v>19.17</v>
      </c>
      <c r="M2101" s="3">
        <v>20.13</v>
      </c>
      <c r="N2101" s="3">
        <v>42.99</v>
      </c>
      <c r="O2101" s="2" t="s">
        <v>240</v>
      </c>
      <c r="P2101" s="2" t="s">
        <v>233</v>
      </c>
      <c r="Q2101" s="2" t="s">
        <v>234</v>
      </c>
      <c r="R2101" s="2" t="s">
        <v>228</v>
      </c>
      <c r="S2101" s="2" t="s">
        <v>9963</v>
      </c>
      <c r="T2101" s="2" t="s">
        <v>9411</v>
      </c>
      <c r="U2101" s="2" t="s">
        <v>1054</v>
      </c>
      <c r="V2101" s="2" t="s">
        <v>236</v>
      </c>
      <c r="W2101" s="2" t="s">
        <v>269</v>
      </c>
      <c r="X2101" s="2" t="s">
        <v>417</v>
      </c>
      <c r="Y2101" s="2" t="s">
        <v>1996</v>
      </c>
      <c r="Z2101" s="4">
        <v>149</v>
      </c>
      <c r="AA2101" s="4">
        <f>=ROUNDDOWN(18.625,0)</f>
      </c>
      <c r="AB2101" s="5">
        <v>8</v>
      </c>
      <c r="AC2101" s="2" t="s">
        <v>9905</v>
      </c>
      <c r="AD2101" s="4">
        <v>50</v>
      </c>
      <c r="AE2101" s="4">
        <v>110</v>
      </c>
      <c r="AF2101" s="6">
        <v>65</v>
      </c>
      <c r="AG2101" s="6">
        <v>48</v>
      </c>
      <c r="AH2101" s="7">
        <v>1</v>
      </c>
      <c r="AI2101" s="4"/>
      <c r="AJ2101" s="4">
        <f>=ROUNDDOWN({0},0)</f>
      </c>
      <c r="AK2101" s="5"/>
      <c r="AL2101" s="2" t="s">
        <v>228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 t="s">
        <v>228</v>
      </c>
      <c r="AW2101" s="8" t="s">
        <v>228</v>
      </c>
      <c r="AX2101" s="4" t="s">
        <v>228</v>
      </c>
      <c r="AY2101" s="8" t="s">
        <v>228</v>
      </c>
      <c r="AZ2101" s="7" t="s">
        <v>228</v>
      </c>
      <c r="BA2101" s="7" t="s">
        <v>228</v>
      </c>
      <c r="BB2101" s="7"/>
      <c r="BC2101" s="4" t="s">
        <v>228</v>
      </c>
      <c r="BD2101" s="8" t="s">
        <v>228</v>
      </c>
      <c r="BE2101" s="4" t="s">
        <v>228</v>
      </c>
      <c r="BF2101" s="8" t="s">
        <v>228</v>
      </c>
      <c r="BG2101" s="7" t="s">
        <v>228</v>
      </c>
      <c r="BH2101" s="7" t="s">
        <v>228</v>
      </c>
      <c r="BI2101" s="7"/>
      <c r="BJ2101" s="4">
        <v>1</v>
      </c>
      <c r="BK2101" s="8">
        <v>39.63</v>
      </c>
      <c r="BL2101" s="2" t="s">
        <v>7807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238</v>
      </c>
      <c r="BV2101" s="2" t="s">
        <v>228</v>
      </c>
      <c r="BW2101" s="2" t="s">
        <v>228</v>
      </c>
      <c r="BX2101" s="2" t="s">
        <v>238</v>
      </c>
      <c r="BY2101" s="2" t="s">
        <v>239</v>
      </c>
      <c r="BZ2101" s="2" t="s">
        <v>240</v>
      </c>
      <c r="CA2101" s="2" t="s">
        <v>228</v>
      </c>
      <c r="CB2101" s="2" t="s">
        <v>228</v>
      </c>
      <c r="CC2101" s="2" t="s">
        <v>241</v>
      </c>
      <c r="CD2101" s="2" t="s">
        <v>228</v>
      </c>
      <c r="CE2101" s="4">
        <v>100</v>
      </c>
      <c r="CF2101" s="4"/>
      <c r="CG2101" s="4"/>
      <c r="CH2101" s="4">
        <v>49</v>
      </c>
      <c r="CI2101" s="4"/>
      <c r="CJ2101" s="4"/>
      <c r="CK2101" s="4"/>
      <c r="CL2101" s="4"/>
      <c r="CM2101" s="4"/>
      <c r="CN2101" s="4"/>
      <c r="CO2101" s="4"/>
      <c r="CP2101" s="4"/>
      <c r="CQ2101" s="4"/>
      <c r="CR2101" s="4"/>
      <c r="CS2101" s="4"/>
      <c r="CT2101" s="4"/>
      <c r="CU2101" s="4"/>
      <c r="CV2101" s="4"/>
      <c r="CW2101" s="4"/>
      <c r="CX2101" s="4"/>
      <c r="CY2101" s="4"/>
      <c r="CZ2101" s="4"/>
      <c r="DA2101" s="4"/>
      <c r="DB2101" s="4"/>
      <c r="DC2101" s="4"/>
      <c r="DD2101" s="4"/>
      <c r="DE2101" s="4"/>
      <c r="DF2101" s="4"/>
      <c r="DG2101" s="4"/>
      <c r="DH2101" s="4"/>
      <c r="DI2101" s="4"/>
      <c r="DJ2101" s="4"/>
      <c r="DK2101" s="4"/>
      <c r="DL2101" s="4"/>
      <c r="DM2101" s="4"/>
      <c r="DN2101" s="4"/>
      <c r="DO2101" s="4"/>
      <c r="DP2101" s="4"/>
      <c r="DQ2101" s="4"/>
      <c r="DR2101" s="4"/>
      <c r="DS2101" s="4"/>
      <c r="DT2101" s="4"/>
      <c r="DU2101" s="4"/>
      <c r="DV2101" s="4"/>
      <c r="DW2101" s="4"/>
      <c r="DX2101" s="4"/>
      <c r="DY2101" s="4"/>
      <c r="DZ2101" s="4"/>
      <c r="EA2101" s="4"/>
      <c r="EB2101" s="4">
        <v>50</v>
      </c>
      <c r="EC2101" s="4"/>
      <c r="ED2101" s="4"/>
      <c r="EE2101" s="4"/>
      <c r="EF2101" s="4"/>
      <c r="EG2101" s="4"/>
      <c r="EH2101" s="4"/>
      <c r="EI2101" s="4"/>
      <c r="EJ2101" s="4">
        <v>60</v>
      </c>
      <c r="EK2101" s="4"/>
      <c r="EL2101" s="4"/>
      <c r="EM2101" s="4"/>
      <c r="EN2101" s="4"/>
      <c r="EO2101" s="4"/>
      <c r="EP2101" s="4"/>
      <c r="EQ2101" s="4"/>
      <c r="ER2101" s="4"/>
      <c r="ES2101" s="4"/>
      <c r="ET2101" s="4"/>
      <c r="EU2101" s="4"/>
      <c r="EV2101" s="4"/>
      <c r="EW2101" s="4"/>
      <c r="EX2101" s="4"/>
      <c r="EY2101" s="4"/>
      <c r="EZ2101" s="4"/>
      <c r="FA2101" s="4"/>
      <c r="FB2101" s="4"/>
      <c r="FC2101" s="4"/>
      <c r="FD2101" s="4"/>
      <c r="FE2101" s="4"/>
      <c r="FF2101" s="4"/>
      <c r="FG2101" s="4"/>
      <c r="FH2101" s="4"/>
      <c r="FI2101" s="4"/>
      <c r="FJ2101" s="4"/>
      <c r="FK2101" s="4"/>
      <c r="FL2101" s="4"/>
      <c r="FM2101" s="4"/>
      <c r="FN2101" s="4"/>
      <c r="FO2101" s="4"/>
      <c r="FP2101" s="4"/>
      <c r="FQ2101" s="4"/>
      <c r="FR2101" s="4"/>
      <c r="FS2101" s="4"/>
      <c r="FT2101" s="4"/>
      <c r="FU2101" s="4"/>
      <c r="FV2101" s="4"/>
      <c r="FW2101" s="4"/>
      <c r="FX2101" s="4"/>
      <c r="FY2101" s="4"/>
      <c r="FZ2101" s="4"/>
      <c r="GA2101" s="4"/>
      <c r="GB2101" s="4"/>
      <c r="GC2101" s="4"/>
      <c r="GD2101" s="4"/>
      <c r="GE2101" s="4"/>
      <c r="GF2101" s="4"/>
      <c r="GG2101" s="4"/>
      <c r="GH2101" s="4"/>
      <c r="GI2101" s="4"/>
      <c r="GJ2101" s="4"/>
      <c r="GK2101" s="4"/>
      <c r="GL2101" s="4"/>
      <c r="GM2101" s="4"/>
      <c r="GN2101" s="4"/>
      <c r="GO2101" s="4"/>
      <c r="GP2101" s="4"/>
      <c r="GQ2101" s="4"/>
      <c r="GR2101" s="4"/>
      <c r="GS2101" s="4"/>
      <c r="GT2101" s="4"/>
      <c r="GU2101" s="4"/>
      <c r="GV2101" s="4"/>
      <c r="GW2101" s="4"/>
      <c r="GX2101" s="4"/>
      <c r="GY2101" s="4"/>
      <c r="GZ2101" s="4"/>
      <c r="HA2101" s="4"/>
      <c r="HB2101" s="4"/>
      <c r="HC2101" s="4"/>
      <c r="HD2101" s="4"/>
      <c r="HE2101" s="4"/>
    </row>
    <row r="2102">
      <c r="A2102" s="2" t="s">
        <v>9969</v>
      </c>
      <c r="B2102" s="2" t="s">
        <v>299</v>
      </c>
      <c r="C2102" s="2" t="s">
        <v>345</v>
      </c>
      <c r="D2102" s="2" t="s">
        <v>516</v>
      </c>
      <c r="E2102" s="2" t="s">
        <v>517</v>
      </c>
      <c r="F2102" s="2" t="s">
        <v>9411</v>
      </c>
      <c r="G2102" s="2" t="s">
        <v>9411</v>
      </c>
      <c r="H2102" s="2" t="s">
        <v>9411</v>
      </c>
      <c r="I2102" s="2" t="s">
        <v>9913</v>
      </c>
      <c r="J2102" s="2" t="s">
        <v>7551</v>
      </c>
      <c r="K2102" s="2" t="s">
        <v>4659</v>
      </c>
      <c r="L2102" s="3">
        <v>5.35</v>
      </c>
      <c r="M2102" s="3">
        <v>5.62</v>
      </c>
      <c r="N2102" s="3">
        <v>11.99</v>
      </c>
      <c r="O2102" s="2" t="s">
        <v>240</v>
      </c>
      <c r="P2102" s="2" t="s">
        <v>233</v>
      </c>
      <c r="Q2102" s="2" t="s">
        <v>234</v>
      </c>
      <c r="R2102" s="2" t="s">
        <v>228</v>
      </c>
      <c r="S2102" s="2" t="s">
        <v>9963</v>
      </c>
      <c r="T2102" s="2" t="s">
        <v>9411</v>
      </c>
      <c r="U2102" s="2" t="s">
        <v>520</v>
      </c>
      <c r="V2102" s="2" t="s">
        <v>236</v>
      </c>
      <c r="W2102" s="2" t="s">
        <v>269</v>
      </c>
      <c r="X2102" s="2" t="s">
        <v>417</v>
      </c>
      <c r="Y2102" s="2" t="s">
        <v>9914</v>
      </c>
      <c r="Z2102" s="4">
        <v>600</v>
      </c>
      <c r="AA2102" s="4">
        <f>=ROUNDDOWN(18.75,0)</f>
      </c>
      <c r="AB2102" s="5">
        <v>32</v>
      </c>
      <c r="AC2102" s="2" t="s">
        <v>9905</v>
      </c>
      <c r="AD2102" s="4">
        <v>200</v>
      </c>
      <c r="AE2102" s="4">
        <v>512</v>
      </c>
      <c r="AF2102" s="6">
        <v>65</v>
      </c>
      <c r="AG2102" s="6">
        <v>48</v>
      </c>
      <c r="AH2102" s="7">
        <v>1</v>
      </c>
      <c r="AI2102" s="4"/>
      <c r="AJ2102" s="4">
        <f>=ROUNDDOWN({0},0)</f>
      </c>
      <c r="AK2102" s="5"/>
      <c r="AL2102" s="2" t="s">
        <v>228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 t="s">
        <v>228</v>
      </c>
      <c r="AW2102" s="8" t="s">
        <v>228</v>
      </c>
      <c r="AX2102" s="4" t="s">
        <v>228</v>
      </c>
      <c r="AY2102" s="8" t="s">
        <v>228</v>
      </c>
      <c r="AZ2102" s="7" t="s">
        <v>228</v>
      </c>
      <c r="BA2102" s="7" t="s">
        <v>228</v>
      </c>
      <c r="BB2102" s="7"/>
      <c r="BC2102" s="4" t="s">
        <v>228</v>
      </c>
      <c r="BD2102" s="8" t="s">
        <v>228</v>
      </c>
      <c r="BE2102" s="4" t="s">
        <v>228</v>
      </c>
      <c r="BF2102" s="8" t="s">
        <v>228</v>
      </c>
      <c r="BG2102" s="7" t="s">
        <v>228</v>
      </c>
      <c r="BH2102" s="7" t="s">
        <v>228</v>
      </c>
      <c r="BI2102" s="7"/>
      <c r="BJ2102" s="4"/>
      <c r="BK2102" s="8"/>
      <c r="BL2102" s="2" t="s">
        <v>228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238</v>
      </c>
      <c r="BV2102" s="2" t="s">
        <v>228</v>
      </c>
      <c r="BW2102" s="2" t="s">
        <v>228</v>
      </c>
      <c r="BX2102" s="2" t="s">
        <v>238</v>
      </c>
      <c r="BY2102" s="2" t="s">
        <v>239</v>
      </c>
      <c r="BZ2102" s="2" t="s">
        <v>240</v>
      </c>
      <c r="CA2102" s="2" t="s">
        <v>228</v>
      </c>
      <c r="CB2102" s="2" t="s">
        <v>228</v>
      </c>
      <c r="CC2102" s="2" t="s">
        <v>241</v>
      </c>
      <c r="CD2102" s="2" t="s">
        <v>228</v>
      </c>
      <c r="CE2102" s="4">
        <v>400</v>
      </c>
      <c r="CF2102" s="4"/>
      <c r="CG2102" s="4"/>
      <c r="CH2102" s="4">
        <v>200</v>
      </c>
      <c r="CI2102" s="4"/>
      <c r="CJ2102" s="4"/>
      <c r="CK2102" s="4"/>
      <c r="CL2102" s="4"/>
      <c r="CM2102" s="4"/>
      <c r="CN2102" s="4"/>
      <c r="CO2102" s="4"/>
      <c r="CP2102" s="4"/>
      <c r="CQ2102" s="4"/>
      <c r="CR2102" s="4"/>
      <c r="CS2102" s="4"/>
      <c r="CT2102" s="4"/>
      <c r="CU2102" s="4"/>
      <c r="CV2102" s="4"/>
      <c r="CW2102" s="4"/>
      <c r="CX2102" s="4"/>
      <c r="CY2102" s="4"/>
      <c r="CZ2102" s="4"/>
      <c r="DA2102" s="4"/>
      <c r="DB2102" s="4"/>
      <c r="DC2102" s="4"/>
      <c r="DD2102" s="4"/>
      <c r="DE2102" s="4"/>
      <c r="DF2102" s="4"/>
      <c r="DG2102" s="4"/>
      <c r="DH2102" s="4"/>
      <c r="DI2102" s="4"/>
      <c r="DJ2102" s="4"/>
      <c r="DK2102" s="4"/>
      <c r="DL2102" s="4"/>
      <c r="DM2102" s="4"/>
      <c r="DN2102" s="4"/>
      <c r="DO2102" s="4"/>
      <c r="DP2102" s="4"/>
      <c r="DQ2102" s="4"/>
      <c r="DR2102" s="4"/>
      <c r="DS2102" s="4"/>
      <c r="DT2102" s="4"/>
      <c r="DU2102" s="4"/>
      <c r="DV2102" s="4"/>
      <c r="DW2102" s="4"/>
      <c r="DX2102" s="4"/>
      <c r="DY2102" s="4"/>
      <c r="DZ2102" s="4"/>
      <c r="EA2102" s="4"/>
      <c r="EB2102" s="4">
        <v>200</v>
      </c>
      <c r="EC2102" s="4"/>
      <c r="ED2102" s="4"/>
      <c r="EE2102" s="4"/>
      <c r="EF2102" s="4"/>
      <c r="EG2102" s="4"/>
      <c r="EH2102" s="4"/>
      <c r="EI2102" s="4"/>
      <c r="EJ2102" s="4">
        <v>312</v>
      </c>
      <c r="EK2102" s="4"/>
      <c r="EL2102" s="4"/>
      <c r="EM2102" s="4"/>
      <c r="EN2102" s="4"/>
      <c r="EO2102" s="4"/>
      <c r="EP2102" s="4"/>
      <c r="EQ2102" s="4"/>
      <c r="ER2102" s="4"/>
      <c r="ES2102" s="4"/>
      <c r="ET2102" s="4"/>
      <c r="EU2102" s="4"/>
      <c r="EV2102" s="4"/>
      <c r="EW2102" s="4"/>
      <c r="EX2102" s="4"/>
      <c r="EY2102" s="4"/>
      <c r="EZ2102" s="4"/>
      <c r="FA2102" s="4"/>
      <c r="FB2102" s="4"/>
      <c r="FC2102" s="4"/>
      <c r="FD2102" s="4"/>
      <c r="FE2102" s="4"/>
      <c r="FF2102" s="4"/>
      <c r="FG2102" s="4"/>
      <c r="FH2102" s="4"/>
      <c r="FI2102" s="4"/>
      <c r="FJ2102" s="4"/>
      <c r="FK2102" s="4"/>
      <c r="FL2102" s="4"/>
      <c r="FM2102" s="4"/>
      <c r="FN2102" s="4"/>
      <c r="FO2102" s="4"/>
      <c r="FP2102" s="4"/>
      <c r="FQ2102" s="4"/>
      <c r="FR2102" s="4"/>
      <c r="FS2102" s="4"/>
      <c r="FT2102" s="4"/>
      <c r="FU2102" s="4"/>
      <c r="FV2102" s="4"/>
      <c r="FW2102" s="4"/>
      <c r="FX2102" s="4"/>
      <c r="FY2102" s="4"/>
      <c r="FZ2102" s="4"/>
      <c r="GA2102" s="4"/>
      <c r="GB2102" s="4"/>
      <c r="GC2102" s="4"/>
      <c r="GD2102" s="4"/>
      <c r="GE2102" s="4"/>
      <c r="GF2102" s="4"/>
      <c r="GG2102" s="4"/>
      <c r="GH2102" s="4"/>
      <c r="GI2102" s="4"/>
      <c r="GJ2102" s="4"/>
      <c r="GK2102" s="4"/>
      <c r="GL2102" s="4"/>
      <c r="GM2102" s="4"/>
      <c r="GN2102" s="4"/>
      <c r="GO2102" s="4"/>
      <c r="GP2102" s="4"/>
      <c r="GQ2102" s="4"/>
      <c r="GR2102" s="4"/>
      <c r="GS2102" s="4"/>
      <c r="GT2102" s="4"/>
      <c r="GU2102" s="4"/>
      <c r="GV2102" s="4"/>
      <c r="GW2102" s="4"/>
      <c r="GX2102" s="4"/>
      <c r="GY2102" s="4"/>
      <c r="GZ2102" s="4"/>
      <c r="HA2102" s="4"/>
      <c r="HB2102" s="4"/>
      <c r="HC2102" s="4"/>
      <c r="HD2102" s="4"/>
      <c r="HE2102" s="4"/>
    </row>
    <row r="2103">
      <c r="A2103" s="2" t="s">
        <v>9970</v>
      </c>
      <c r="B2103" s="2" t="s">
        <v>299</v>
      </c>
      <c r="C2103" s="2" t="s">
        <v>345</v>
      </c>
      <c r="D2103" s="2" t="s">
        <v>516</v>
      </c>
      <c r="E2103" s="2" t="s">
        <v>517</v>
      </c>
      <c r="F2103" s="2" t="s">
        <v>9411</v>
      </c>
      <c r="G2103" s="2" t="s">
        <v>9411</v>
      </c>
      <c r="H2103" s="2" t="s">
        <v>9411</v>
      </c>
      <c r="I2103" s="2" t="s">
        <v>9913</v>
      </c>
      <c r="J2103" s="2" t="s">
        <v>294</v>
      </c>
      <c r="K2103" s="2" t="s">
        <v>650</v>
      </c>
      <c r="L2103" s="3">
        <v>6.24</v>
      </c>
      <c r="M2103" s="3">
        <v>6.55</v>
      </c>
      <c r="N2103" s="3">
        <v>12.99</v>
      </c>
      <c r="O2103" s="2" t="s">
        <v>240</v>
      </c>
      <c r="P2103" s="2" t="s">
        <v>333</v>
      </c>
      <c r="Q2103" s="2" t="s">
        <v>234</v>
      </c>
      <c r="R2103" s="2" t="s">
        <v>228</v>
      </c>
      <c r="S2103" s="2" t="s">
        <v>9971</v>
      </c>
      <c r="T2103" s="2" t="s">
        <v>9411</v>
      </c>
      <c r="U2103" s="2" t="s">
        <v>520</v>
      </c>
      <c r="V2103" s="2" t="s">
        <v>236</v>
      </c>
      <c r="W2103" s="2" t="s">
        <v>309</v>
      </c>
      <c r="X2103" s="2" t="s">
        <v>269</v>
      </c>
      <c r="Y2103" s="2" t="s">
        <v>9972</v>
      </c>
      <c r="Z2103" s="4">
        <v>217</v>
      </c>
      <c r="AA2103" s="4">
        <f>=ROUNDDOWN(12.5433526011561,0)</f>
      </c>
      <c r="AB2103" s="5">
        <v>17.3</v>
      </c>
      <c r="AC2103" s="2" t="s">
        <v>228</v>
      </c>
      <c r="AD2103" s="4"/>
      <c r="AE2103" s="4"/>
      <c r="AF2103" s="6">
        <v>65</v>
      </c>
      <c r="AG2103" s="6"/>
      <c r="AH2103" s="7">
        <v>1</v>
      </c>
      <c r="AI2103" s="4"/>
      <c r="AJ2103" s="4">
        <f>=ROUNDDOWN({0},0)</f>
      </c>
      <c r="AK2103" s="5"/>
      <c r="AL2103" s="2" t="s">
        <v>228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/>
      <c r="AW2103" s="8"/>
      <c r="AX2103" s="4"/>
      <c r="AY2103" s="8"/>
      <c r="AZ2103" s="7"/>
      <c r="BA2103" s="7"/>
      <c r="BB2103" s="7"/>
      <c r="BC2103" s="4" t="s">
        <v>228</v>
      </c>
      <c r="BD2103" s="8" t="s">
        <v>228</v>
      </c>
      <c r="BE2103" s="4" t="s">
        <v>228</v>
      </c>
      <c r="BF2103" s="8" t="s">
        <v>228</v>
      </c>
      <c r="BG2103" s="7" t="s">
        <v>228</v>
      </c>
      <c r="BH2103" s="7" t="s">
        <v>228</v>
      </c>
      <c r="BI2103" s="7"/>
      <c r="BJ2103" s="4">
        <v>65</v>
      </c>
      <c r="BK2103" s="8">
        <v>423.25</v>
      </c>
      <c r="BL2103" s="2" t="s">
        <v>9973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9974</v>
      </c>
      <c r="BV2103" s="2" t="s">
        <v>228</v>
      </c>
      <c r="BW2103" s="2" t="s">
        <v>228</v>
      </c>
      <c r="BX2103" s="2" t="s">
        <v>337</v>
      </c>
      <c r="BY2103" s="2" t="s">
        <v>274</v>
      </c>
      <c r="BZ2103" s="2" t="s">
        <v>240</v>
      </c>
      <c r="CA2103" s="2" t="s">
        <v>9975</v>
      </c>
      <c r="CB2103" s="2" t="s">
        <v>9976</v>
      </c>
      <c r="CC2103" s="2" t="s">
        <v>241</v>
      </c>
      <c r="CD2103" s="2" t="s">
        <v>228</v>
      </c>
      <c r="CE2103" s="4">
        <v>217</v>
      </c>
      <c r="CF2103" s="4"/>
      <c r="CG2103" s="4"/>
      <c r="CH2103" s="4"/>
      <c r="CI2103" s="4"/>
      <c r="CJ2103" s="4"/>
      <c r="CK2103" s="4"/>
      <c r="CL2103" s="4"/>
      <c r="CM2103" s="4"/>
      <c r="CN2103" s="4"/>
      <c r="CO2103" s="4"/>
      <c r="CP2103" s="4"/>
      <c r="CQ2103" s="4"/>
      <c r="CR2103" s="4"/>
      <c r="CS2103" s="4"/>
      <c r="CT2103" s="4"/>
      <c r="CU2103" s="4"/>
      <c r="CV2103" s="4"/>
      <c r="CW2103" s="4"/>
      <c r="CX2103" s="4"/>
      <c r="CY2103" s="4"/>
      <c r="CZ2103" s="4"/>
      <c r="DA2103" s="4"/>
      <c r="DB2103" s="4"/>
      <c r="DC2103" s="4"/>
      <c r="DD2103" s="4"/>
      <c r="DE2103" s="4"/>
      <c r="DF2103" s="4"/>
      <c r="DG2103" s="4"/>
      <c r="DH2103" s="4"/>
      <c r="DI2103" s="4"/>
      <c r="DJ2103" s="4"/>
      <c r="DK2103" s="4"/>
      <c r="DL2103" s="4"/>
      <c r="DM2103" s="4"/>
      <c r="DN2103" s="4"/>
      <c r="DO2103" s="4"/>
      <c r="DP2103" s="4"/>
      <c r="DQ2103" s="4"/>
      <c r="DR2103" s="4"/>
      <c r="DS2103" s="4"/>
      <c r="DT2103" s="4"/>
      <c r="DU2103" s="4"/>
      <c r="DV2103" s="4"/>
      <c r="DW2103" s="4"/>
      <c r="DX2103" s="4"/>
      <c r="DY2103" s="4"/>
      <c r="DZ2103" s="4"/>
      <c r="EA2103" s="4"/>
      <c r="EB2103" s="4"/>
      <c r="EC2103" s="4"/>
      <c r="ED2103" s="4"/>
      <c r="EE2103" s="4"/>
      <c r="EF2103" s="4"/>
      <c r="EG2103" s="4"/>
      <c r="EH2103" s="4"/>
      <c r="EI2103" s="4"/>
      <c r="EJ2103" s="4"/>
      <c r="EK2103" s="4"/>
      <c r="EL2103" s="4"/>
      <c r="EM2103" s="4"/>
      <c r="EN2103" s="4"/>
      <c r="EO2103" s="4"/>
      <c r="EP2103" s="4"/>
      <c r="EQ2103" s="4"/>
      <c r="ER2103" s="4"/>
      <c r="ES2103" s="4"/>
      <c r="ET2103" s="4"/>
      <c r="EU2103" s="4"/>
      <c r="EV2103" s="4"/>
      <c r="EW2103" s="4"/>
      <c r="EX2103" s="4"/>
      <c r="EY2103" s="4"/>
      <c r="EZ2103" s="4"/>
      <c r="FA2103" s="4"/>
      <c r="FB2103" s="4"/>
      <c r="FC2103" s="4"/>
      <c r="FD2103" s="4"/>
      <c r="FE2103" s="4"/>
      <c r="FF2103" s="4"/>
      <c r="FG2103" s="4"/>
      <c r="FH2103" s="4"/>
      <c r="FI2103" s="4"/>
      <c r="FJ2103" s="4"/>
      <c r="FK2103" s="4"/>
      <c r="FL2103" s="4"/>
      <c r="FM2103" s="4"/>
      <c r="FN2103" s="4"/>
      <c r="FO2103" s="4"/>
      <c r="FP2103" s="4"/>
      <c r="FQ2103" s="4"/>
      <c r="FR2103" s="4"/>
      <c r="FS2103" s="4"/>
      <c r="FT2103" s="4"/>
      <c r="FU2103" s="4"/>
      <c r="FV2103" s="4"/>
      <c r="FW2103" s="4"/>
      <c r="FX2103" s="4"/>
      <c r="FY2103" s="4"/>
      <c r="FZ2103" s="4"/>
      <c r="GA2103" s="4"/>
      <c r="GB2103" s="4"/>
      <c r="GC2103" s="4"/>
      <c r="GD2103" s="4"/>
      <c r="GE2103" s="4"/>
      <c r="GF2103" s="4"/>
      <c r="GG2103" s="4"/>
      <c r="GH2103" s="4"/>
      <c r="GI2103" s="4"/>
      <c r="GJ2103" s="4"/>
      <c r="GK2103" s="4"/>
      <c r="GL2103" s="4"/>
      <c r="GM2103" s="4"/>
      <c r="GN2103" s="4"/>
      <c r="GO2103" s="4"/>
      <c r="GP2103" s="4"/>
      <c r="GQ2103" s="4"/>
      <c r="GR2103" s="4"/>
      <c r="GS2103" s="4"/>
      <c r="GT2103" s="4"/>
      <c r="GU2103" s="4"/>
      <c r="GV2103" s="4"/>
      <c r="GW2103" s="4"/>
      <c r="GX2103" s="4"/>
      <c r="GY2103" s="4"/>
      <c r="GZ2103" s="4"/>
      <c r="HA2103" s="4"/>
      <c r="HB2103" s="4"/>
      <c r="HC2103" s="4"/>
      <c r="HD2103" s="4"/>
      <c r="HE2103" s="4"/>
    </row>
    <row r="2104">
      <c r="A2104" s="2" t="s">
        <v>9977</v>
      </c>
      <c r="B2104" s="2" t="s">
        <v>299</v>
      </c>
      <c r="C2104" s="2" t="s">
        <v>345</v>
      </c>
      <c r="D2104" s="2" t="s">
        <v>301</v>
      </c>
      <c r="E2104" s="2" t="s">
        <v>302</v>
      </c>
      <c r="F2104" s="2" t="s">
        <v>9411</v>
      </c>
      <c r="G2104" s="2" t="s">
        <v>9411</v>
      </c>
      <c r="H2104" s="2" t="s">
        <v>9411</v>
      </c>
      <c r="I2104" s="2" t="s">
        <v>9903</v>
      </c>
      <c r="J2104" s="2" t="s">
        <v>264</v>
      </c>
      <c r="K2104" s="2" t="s">
        <v>316</v>
      </c>
      <c r="L2104" s="3">
        <v>12.48</v>
      </c>
      <c r="M2104" s="3">
        <v>13.1</v>
      </c>
      <c r="N2104" s="3">
        <v>27.99</v>
      </c>
      <c r="O2104" s="2" t="s">
        <v>240</v>
      </c>
      <c r="P2104" s="2" t="s">
        <v>233</v>
      </c>
      <c r="Q2104" s="2" t="s">
        <v>234</v>
      </c>
      <c r="R2104" s="2" t="s">
        <v>228</v>
      </c>
      <c r="S2104" s="2" t="s">
        <v>9978</v>
      </c>
      <c r="T2104" s="2" t="s">
        <v>9411</v>
      </c>
      <c r="U2104" s="2" t="s">
        <v>308</v>
      </c>
      <c r="V2104" s="2" t="s">
        <v>236</v>
      </c>
      <c r="W2104" s="2" t="s">
        <v>269</v>
      </c>
      <c r="X2104" s="2" t="s">
        <v>417</v>
      </c>
      <c r="Y2104" s="2" t="s">
        <v>1996</v>
      </c>
      <c r="Z2104" s="4">
        <v>720</v>
      </c>
      <c r="AA2104" s="4">
        <f>=ROUNDDOWN(20.5714285714286,0)</f>
      </c>
      <c r="AB2104" s="5">
        <v>35</v>
      </c>
      <c r="AC2104" s="2" t="s">
        <v>9905</v>
      </c>
      <c r="AD2104" s="4">
        <v>240</v>
      </c>
      <c r="AE2104" s="4">
        <v>490</v>
      </c>
      <c r="AF2104" s="6">
        <v>65</v>
      </c>
      <c r="AG2104" s="6">
        <v>48</v>
      </c>
      <c r="AH2104" s="7">
        <v>1</v>
      </c>
      <c r="AI2104" s="4"/>
      <c r="AJ2104" s="4">
        <f>=ROUNDDOWN({0},0)</f>
      </c>
      <c r="AK2104" s="5"/>
      <c r="AL2104" s="2" t="s">
        <v>228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/>
      <c r="AW2104" s="8"/>
      <c r="AX2104" s="4"/>
      <c r="AY2104" s="8"/>
      <c r="AZ2104" s="7"/>
      <c r="BA2104" s="7"/>
      <c r="BB2104" s="7"/>
      <c r="BC2104" s="4" t="s">
        <v>228</v>
      </c>
      <c r="BD2104" s="8" t="s">
        <v>228</v>
      </c>
      <c r="BE2104" s="4" t="s">
        <v>228</v>
      </c>
      <c r="BF2104" s="8" t="s">
        <v>228</v>
      </c>
      <c r="BG2104" s="7" t="s">
        <v>228</v>
      </c>
      <c r="BH2104" s="7" t="s">
        <v>228</v>
      </c>
      <c r="BI2104" s="7"/>
      <c r="BJ2104" s="4"/>
      <c r="BK2104" s="8"/>
      <c r="BL2104" s="2" t="s">
        <v>228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238</v>
      </c>
      <c r="BV2104" s="2" t="s">
        <v>228</v>
      </c>
      <c r="BW2104" s="2" t="s">
        <v>228</v>
      </c>
      <c r="BX2104" s="2" t="s">
        <v>238</v>
      </c>
      <c r="BY2104" s="2" t="s">
        <v>239</v>
      </c>
      <c r="BZ2104" s="2" t="s">
        <v>240</v>
      </c>
      <c r="CA2104" s="2" t="s">
        <v>228</v>
      </c>
      <c r="CB2104" s="2" t="s">
        <v>228</v>
      </c>
      <c r="CC2104" s="2" t="s">
        <v>241</v>
      </c>
      <c r="CD2104" s="2" t="s">
        <v>228</v>
      </c>
      <c r="CE2104" s="4">
        <v>480</v>
      </c>
      <c r="CF2104" s="4"/>
      <c r="CG2104" s="4"/>
      <c r="CH2104" s="4">
        <v>240</v>
      </c>
      <c r="CI2104" s="4"/>
      <c r="CJ2104" s="4"/>
      <c r="CK2104" s="4"/>
      <c r="CL2104" s="4"/>
      <c r="CM2104" s="4"/>
      <c r="CN2104" s="4"/>
      <c r="CO2104" s="4"/>
      <c r="CP2104" s="4"/>
      <c r="CQ2104" s="4"/>
      <c r="CR2104" s="4"/>
      <c r="CS2104" s="4"/>
      <c r="CT2104" s="4"/>
      <c r="CU2104" s="4"/>
      <c r="CV2104" s="4"/>
      <c r="CW2104" s="4"/>
      <c r="CX2104" s="4"/>
      <c r="CY2104" s="4"/>
      <c r="CZ2104" s="4"/>
      <c r="DA2104" s="4"/>
      <c r="DB2104" s="4"/>
      <c r="DC2104" s="4"/>
      <c r="DD2104" s="4"/>
      <c r="DE2104" s="4"/>
      <c r="DF2104" s="4"/>
      <c r="DG2104" s="4"/>
      <c r="DH2104" s="4"/>
      <c r="DI2104" s="4"/>
      <c r="DJ2104" s="4"/>
      <c r="DK2104" s="4"/>
      <c r="DL2104" s="4"/>
      <c r="DM2104" s="4"/>
      <c r="DN2104" s="4"/>
      <c r="DO2104" s="4"/>
      <c r="DP2104" s="4"/>
      <c r="DQ2104" s="4"/>
      <c r="DR2104" s="4"/>
      <c r="DS2104" s="4"/>
      <c r="DT2104" s="4"/>
      <c r="DU2104" s="4"/>
      <c r="DV2104" s="4"/>
      <c r="DW2104" s="4"/>
      <c r="DX2104" s="4"/>
      <c r="DY2104" s="4"/>
      <c r="DZ2104" s="4"/>
      <c r="EA2104" s="4"/>
      <c r="EB2104" s="4">
        <v>240</v>
      </c>
      <c r="EC2104" s="4"/>
      <c r="ED2104" s="4"/>
      <c r="EE2104" s="4"/>
      <c r="EF2104" s="4"/>
      <c r="EG2104" s="4"/>
      <c r="EH2104" s="4"/>
      <c r="EI2104" s="4"/>
      <c r="EJ2104" s="4">
        <v>250</v>
      </c>
      <c r="EK2104" s="4"/>
      <c r="EL2104" s="4"/>
      <c r="EM2104" s="4"/>
      <c r="EN2104" s="4"/>
      <c r="EO2104" s="4"/>
      <c r="EP2104" s="4"/>
      <c r="EQ2104" s="4"/>
      <c r="ER2104" s="4"/>
      <c r="ES2104" s="4"/>
      <c r="ET2104" s="4"/>
      <c r="EU2104" s="4"/>
      <c r="EV2104" s="4"/>
      <c r="EW2104" s="4"/>
      <c r="EX2104" s="4"/>
      <c r="EY2104" s="4"/>
      <c r="EZ2104" s="4"/>
      <c r="FA2104" s="4"/>
      <c r="FB2104" s="4"/>
      <c r="FC2104" s="4"/>
      <c r="FD2104" s="4"/>
      <c r="FE2104" s="4"/>
      <c r="FF2104" s="4"/>
      <c r="FG2104" s="4"/>
      <c r="FH2104" s="4"/>
      <c r="FI2104" s="4"/>
      <c r="FJ2104" s="4"/>
      <c r="FK2104" s="4"/>
      <c r="FL2104" s="4"/>
      <c r="FM2104" s="4"/>
      <c r="FN2104" s="4"/>
      <c r="FO2104" s="4"/>
      <c r="FP2104" s="4"/>
      <c r="FQ2104" s="4"/>
      <c r="FR2104" s="4"/>
      <c r="FS2104" s="4"/>
      <c r="FT2104" s="4"/>
      <c r="FU2104" s="4"/>
      <c r="FV2104" s="4"/>
      <c r="FW2104" s="4"/>
      <c r="FX2104" s="4"/>
      <c r="FY2104" s="4"/>
      <c r="FZ2104" s="4"/>
      <c r="GA2104" s="4"/>
      <c r="GB2104" s="4"/>
      <c r="GC2104" s="4"/>
      <c r="GD2104" s="4"/>
      <c r="GE2104" s="4"/>
      <c r="GF2104" s="4"/>
      <c r="GG2104" s="4"/>
      <c r="GH2104" s="4"/>
      <c r="GI2104" s="4"/>
      <c r="GJ2104" s="4"/>
      <c r="GK2104" s="4"/>
      <c r="GL2104" s="4"/>
      <c r="GM2104" s="4"/>
      <c r="GN2104" s="4"/>
      <c r="GO2104" s="4"/>
      <c r="GP2104" s="4"/>
      <c r="GQ2104" s="4"/>
      <c r="GR2104" s="4"/>
      <c r="GS2104" s="4"/>
      <c r="GT2104" s="4"/>
      <c r="GU2104" s="4"/>
      <c r="GV2104" s="4"/>
      <c r="GW2104" s="4"/>
      <c r="GX2104" s="4"/>
      <c r="GY2104" s="4"/>
      <c r="GZ2104" s="4"/>
      <c r="HA2104" s="4"/>
      <c r="HB2104" s="4"/>
      <c r="HC2104" s="4"/>
      <c r="HD2104" s="4"/>
      <c r="HE2104" s="4"/>
    </row>
    <row r="2105">
      <c r="A2105" s="2" t="s">
        <v>9979</v>
      </c>
      <c r="B2105" s="2" t="s">
        <v>223</v>
      </c>
      <c r="C2105" s="2" t="s">
        <v>300</v>
      </c>
      <c r="D2105" s="2" t="s">
        <v>1112</v>
      </c>
      <c r="E2105" s="2" t="s">
        <v>1113</v>
      </c>
      <c r="F2105" s="2" t="s">
        <v>9980</v>
      </c>
      <c r="G2105" s="2" t="s">
        <v>9981</v>
      </c>
      <c r="H2105" s="2" t="s">
        <v>9981</v>
      </c>
      <c r="I2105" s="2" t="s">
        <v>9982</v>
      </c>
      <c r="J2105" s="2" t="s">
        <v>1043</v>
      </c>
      <c r="K2105" s="2" t="s">
        <v>480</v>
      </c>
      <c r="L2105" s="3">
        <v>47.61</v>
      </c>
      <c r="M2105" s="3">
        <v>49.99</v>
      </c>
      <c r="N2105" s="3">
        <v>99.99</v>
      </c>
      <c r="O2105" s="2" t="s">
        <v>461</v>
      </c>
      <c r="P2105" s="2" t="s">
        <v>333</v>
      </c>
      <c r="Q2105" s="2" t="s">
        <v>234</v>
      </c>
      <c r="R2105" s="2" t="s">
        <v>228</v>
      </c>
      <c r="S2105" s="2" t="s">
        <v>9983</v>
      </c>
      <c r="T2105" s="2" t="s">
        <v>1608</v>
      </c>
      <c r="U2105" s="2" t="s">
        <v>500</v>
      </c>
      <c r="V2105" s="2" t="s">
        <v>236</v>
      </c>
      <c r="W2105" s="2" t="s">
        <v>309</v>
      </c>
      <c r="X2105" s="2" t="s">
        <v>9984</v>
      </c>
      <c r="Y2105" s="2" t="s">
        <v>7788</v>
      </c>
      <c r="Z2105" s="4">
        <v>81</v>
      </c>
      <c r="AA2105" s="4">
        <f>=ROUNDDOWN(7.36363636363636,0)</f>
      </c>
      <c r="AB2105" s="5">
        <v>11</v>
      </c>
      <c r="AC2105" s="2" t="s">
        <v>228</v>
      </c>
      <c r="AD2105" s="4"/>
      <c r="AE2105" s="4"/>
      <c r="AF2105" s="6">
        <v>65</v>
      </c>
      <c r="AG2105" s="6"/>
      <c r="AH2105" s="7">
        <v>1</v>
      </c>
      <c r="AI2105" s="4"/>
      <c r="AJ2105" s="4">
        <f>=ROUNDDOWN({0},0)</f>
      </c>
      <c r="AK2105" s="5"/>
      <c r="AL2105" s="2" t="s">
        <v>228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/>
      <c r="AW2105" s="8"/>
      <c r="AX2105" s="4"/>
      <c r="AY2105" s="8"/>
      <c r="AZ2105" s="7"/>
      <c r="BA2105" s="7"/>
      <c r="BB2105" s="7"/>
      <c r="BC2105" s="4"/>
      <c r="BD2105" s="8"/>
      <c r="BE2105" s="4"/>
      <c r="BF2105" s="8"/>
      <c r="BG2105" s="7"/>
      <c r="BH2105" s="7"/>
      <c r="BI2105" s="7"/>
      <c r="BJ2105" s="4">
        <v>10</v>
      </c>
      <c r="BK2105" s="8">
        <v>453.29</v>
      </c>
      <c r="BL2105" s="2" t="s">
        <v>6317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9985</v>
      </c>
      <c r="BV2105" s="2" t="s">
        <v>228</v>
      </c>
      <c r="BW2105" s="2" t="s">
        <v>228</v>
      </c>
      <c r="BX2105" s="2" t="s">
        <v>337</v>
      </c>
      <c r="BY2105" s="2" t="s">
        <v>274</v>
      </c>
      <c r="BZ2105" s="2" t="s">
        <v>240</v>
      </c>
      <c r="CA2105" s="2" t="s">
        <v>4467</v>
      </c>
      <c r="CB2105" s="2" t="s">
        <v>9986</v>
      </c>
      <c r="CC2105" s="2" t="s">
        <v>241</v>
      </c>
      <c r="CD2105" s="2" t="s">
        <v>228</v>
      </c>
      <c r="CE2105" s="4">
        <v>81</v>
      </c>
      <c r="CF2105" s="4"/>
      <c r="CG2105" s="4"/>
      <c r="CH2105" s="4"/>
      <c r="CI2105" s="4"/>
      <c r="CJ2105" s="4"/>
      <c r="CK2105" s="4"/>
      <c r="CL2105" s="4"/>
      <c r="CM2105" s="4"/>
      <c r="CN2105" s="4"/>
      <c r="CO2105" s="4"/>
      <c r="CP2105" s="4"/>
      <c r="CQ2105" s="4"/>
      <c r="CR2105" s="4"/>
      <c r="CS2105" s="4"/>
      <c r="CT2105" s="4"/>
      <c r="CU2105" s="4"/>
      <c r="CV2105" s="4"/>
      <c r="CW2105" s="4"/>
      <c r="CX2105" s="4"/>
      <c r="CY2105" s="4"/>
      <c r="CZ2105" s="4"/>
      <c r="DA2105" s="4"/>
      <c r="DB2105" s="4"/>
      <c r="DC2105" s="4"/>
      <c r="DD2105" s="4"/>
      <c r="DE2105" s="4"/>
      <c r="DF2105" s="4"/>
      <c r="DG2105" s="4"/>
      <c r="DH2105" s="4"/>
      <c r="DI2105" s="4"/>
      <c r="DJ2105" s="4"/>
      <c r="DK2105" s="4"/>
      <c r="DL2105" s="4"/>
      <c r="DM2105" s="4"/>
      <c r="DN2105" s="4"/>
      <c r="DO2105" s="4"/>
      <c r="DP2105" s="4"/>
      <c r="DQ2105" s="4"/>
      <c r="DR2105" s="4"/>
      <c r="DS2105" s="4"/>
      <c r="DT2105" s="4"/>
      <c r="DU2105" s="4"/>
      <c r="DV2105" s="4"/>
      <c r="DW2105" s="4"/>
      <c r="DX2105" s="4"/>
      <c r="DY2105" s="4"/>
      <c r="DZ2105" s="4"/>
      <c r="EA2105" s="4"/>
      <c r="EB2105" s="4"/>
      <c r="EC2105" s="4"/>
      <c r="ED2105" s="4"/>
      <c r="EE2105" s="4"/>
      <c r="EF2105" s="4"/>
      <c r="EG2105" s="4"/>
      <c r="EH2105" s="4"/>
      <c r="EI2105" s="4"/>
      <c r="EJ2105" s="4"/>
      <c r="EK2105" s="4"/>
      <c r="EL2105" s="4"/>
      <c r="EM2105" s="4"/>
      <c r="EN2105" s="4"/>
      <c r="EO2105" s="4"/>
      <c r="EP2105" s="4"/>
      <c r="EQ2105" s="4"/>
      <c r="ER2105" s="4"/>
      <c r="ES2105" s="4"/>
      <c r="ET2105" s="4"/>
      <c r="EU2105" s="4"/>
      <c r="EV2105" s="4"/>
      <c r="EW2105" s="4"/>
      <c r="EX2105" s="4"/>
      <c r="EY2105" s="4"/>
      <c r="EZ2105" s="4"/>
      <c r="FA2105" s="4"/>
      <c r="FB2105" s="4"/>
      <c r="FC2105" s="4"/>
      <c r="FD2105" s="4"/>
      <c r="FE2105" s="4"/>
      <c r="FF2105" s="4"/>
      <c r="FG2105" s="4"/>
      <c r="FH2105" s="4"/>
      <c r="FI2105" s="4"/>
      <c r="FJ2105" s="4"/>
      <c r="FK2105" s="4"/>
      <c r="FL2105" s="4"/>
      <c r="FM2105" s="4"/>
      <c r="FN2105" s="4"/>
      <c r="FO2105" s="4"/>
      <c r="FP2105" s="4"/>
      <c r="FQ2105" s="4"/>
      <c r="FR2105" s="4"/>
      <c r="FS2105" s="4"/>
      <c r="FT2105" s="4"/>
      <c r="FU2105" s="4"/>
      <c r="FV2105" s="4"/>
      <c r="FW2105" s="4"/>
      <c r="FX2105" s="4"/>
      <c r="FY2105" s="4"/>
      <c r="FZ2105" s="4"/>
      <c r="GA2105" s="4"/>
      <c r="GB2105" s="4"/>
      <c r="GC2105" s="4"/>
      <c r="GD2105" s="4"/>
      <c r="GE2105" s="4"/>
      <c r="GF2105" s="4"/>
      <c r="GG2105" s="4"/>
      <c r="GH2105" s="4"/>
      <c r="GI2105" s="4"/>
      <c r="GJ2105" s="4"/>
      <c r="GK2105" s="4"/>
      <c r="GL2105" s="4"/>
      <c r="GM2105" s="4"/>
      <c r="GN2105" s="4"/>
      <c r="GO2105" s="4"/>
      <c r="GP2105" s="4"/>
      <c r="GQ2105" s="4"/>
      <c r="GR2105" s="4"/>
      <c r="GS2105" s="4"/>
      <c r="GT2105" s="4"/>
      <c r="GU2105" s="4"/>
      <c r="GV2105" s="4"/>
      <c r="GW2105" s="4"/>
      <c r="GX2105" s="4"/>
      <c r="GY2105" s="4"/>
      <c r="GZ2105" s="4"/>
      <c r="HA2105" s="4"/>
      <c r="HB2105" s="4"/>
      <c r="HC2105" s="4"/>
      <c r="HD2105" s="4"/>
      <c r="HE2105" s="4"/>
    </row>
    <row r="2106">
      <c r="A2106" s="2" t="s">
        <v>9987</v>
      </c>
      <c r="B2106" s="2" t="s">
        <v>958</v>
      </c>
      <c r="C2106" s="2" t="s">
        <v>835</v>
      </c>
      <c r="D2106" s="2" t="s">
        <v>959</v>
      </c>
      <c r="E2106" s="2" t="s">
        <v>960</v>
      </c>
      <c r="F2106" s="2" t="s">
        <v>9988</v>
      </c>
      <c r="G2106" s="2" t="s">
        <v>9988</v>
      </c>
      <c r="H2106" s="2" t="s">
        <v>228</v>
      </c>
      <c r="I2106" s="2" t="s">
        <v>2560</v>
      </c>
      <c r="J2106" s="2" t="s">
        <v>840</v>
      </c>
      <c r="K2106" s="2" t="s">
        <v>9989</v>
      </c>
      <c r="L2106" s="3">
        <v>194.75</v>
      </c>
      <c r="M2106" s="3">
        <v>204.49</v>
      </c>
      <c r="N2106" s="3">
        <v>409</v>
      </c>
      <c r="O2106" s="2" t="s">
        <v>240</v>
      </c>
      <c r="P2106" s="2" t="s">
        <v>1012</v>
      </c>
      <c r="Q2106" s="2" t="s">
        <v>234</v>
      </c>
      <c r="R2106" s="2" t="s">
        <v>228</v>
      </c>
      <c r="S2106" s="2" t="s">
        <v>9990</v>
      </c>
      <c r="T2106" s="2" t="s">
        <v>228</v>
      </c>
      <c r="U2106" s="2" t="s">
        <v>228</v>
      </c>
      <c r="V2106" s="2" t="s">
        <v>236</v>
      </c>
      <c r="W2106" s="2" t="s">
        <v>743</v>
      </c>
      <c r="X2106" s="2" t="s">
        <v>228</v>
      </c>
      <c r="Y2106" s="2" t="s">
        <v>270</v>
      </c>
      <c r="Z2106" s="4">
        <v>102</v>
      </c>
      <c r="AA2106" s="4">
        <f>=ROUNDDOWN(51,0)</f>
      </c>
      <c r="AB2106" s="5">
        <v>2</v>
      </c>
      <c r="AC2106" s="2" t="s">
        <v>228</v>
      </c>
      <c r="AD2106" s="4"/>
      <c r="AE2106" s="4"/>
      <c r="AF2106" s="6">
        <v>66</v>
      </c>
      <c r="AG2106" s="6">
        <v>49</v>
      </c>
      <c r="AH2106" s="7">
        <v>1</v>
      </c>
      <c r="AI2106" s="4"/>
      <c r="AJ2106" s="4">
        <f>=ROUNDDOWN({0},0)</f>
      </c>
      <c r="AK2106" s="5"/>
      <c r="AL2106" s="2" t="s">
        <v>228</v>
      </c>
      <c r="AM2106" s="4"/>
      <c r="AN2106" s="4"/>
      <c r="AO2106" s="7"/>
      <c r="AP2106" s="4"/>
      <c r="AQ2106" s="8"/>
      <c r="AR2106" s="4"/>
      <c r="AS2106" s="8"/>
      <c r="AT2106" s="7"/>
      <c r="AU2106" s="7"/>
      <c r="AV2106" s="4"/>
      <c r="AW2106" s="8"/>
      <c r="AX2106" s="4"/>
      <c r="AY2106" s="8"/>
      <c r="AZ2106" s="7"/>
      <c r="BA2106" s="7"/>
      <c r="BB2106" s="7"/>
      <c r="BC2106" s="4"/>
      <c r="BD2106" s="8"/>
      <c r="BE2106" s="4"/>
      <c r="BF2106" s="8"/>
      <c r="BG2106" s="7"/>
      <c r="BH2106" s="7"/>
      <c r="BI2106" s="7"/>
      <c r="BJ2106" s="4">
        <v>5</v>
      </c>
      <c r="BK2106" s="8">
        <v>961.31</v>
      </c>
      <c r="BL2106" s="2" t="s">
        <v>9991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9992</v>
      </c>
      <c r="BV2106" s="2" t="s">
        <v>228</v>
      </c>
      <c r="BW2106" s="2" t="s">
        <v>228</v>
      </c>
      <c r="BX2106" s="2" t="s">
        <v>273</v>
      </c>
      <c r="BY2106" s="2" t="s">
        <v>274</v>
      </c>
      <c r="BZ2106" s="2" t="s">
        <v>240</v>
      </c>
      <c r="CA2106" s="2" t="s">
        <v>9993</v>
      </c>
      <c r="CB2106" s="2" t="s">
        <v>6387</v>
      </c>
      <c r="CC2106" s="2" t="s">
        <v>241</v>
      </c>
      <c r="CD2106" s="2" t="s">
        <v>228</v>
      </c>
      <c r="CE2106" s="4"/>
      <c r="CF2106" s="4">
        <v>102</v>
      </c>
      <c r="CG2106" s="4"/>
      <c r="CH2106" s="4"/>
      <c r="CI2106" s="4"/>
      <c r="CJ2106" s="4"/>
      <c r="CK2106" s="4"/>
      <c r="CL2106" s="4"/>
      <c r="CM2106" s="4"/>
      <c r="CN2106" s="4"/>
      <c r="CO2106" s="4"/>
      <c r="CP2106" s="4"/>
      <c r="CQ2106" s="4"/>
      <c r="CR2106" s="4"/>
      <c r="CS2106" s="4"/>
      <c r="CT2106" s="4"/>
      <c r="CU2106" s="4"/>
      <c r="CV2106" s="4"/>
      <c r="CW2106" s="4"/>
      <c r="CX2106" s="4"/>
      <c r="CY2106" s="4"/>
      <c r="CZ2106" s="4"/>
      <c r="DA2106" s="4"/>
      <c r="DB2106" s="4"/>
      <c r="DC2106" s="4"/>
      <c r="DD2106" s="4"/>
      <c r="DE2106" s="4"/>
      <c r="DF2106" s="4"/>
      <c r="DG2106" s="4"/>
      <c r="DH2106" s="4"/>
      <c r="DI2106" s="4"/>
      <c r="DJ2106" s="4"/>
      <c r="DK2106" s="4"/>
      <c r="DL2106" s="4"/>
      <c r="DM2106" s="4"/>
      <c r="DN2106" s="4"/>
      <c r="DO2106" s="4"/>
      <c r="DP2106" s="4"/>
      <c r="DQ2106" s="4"/>
      <c r="DR2106" s="4"/>
      <c r="DS2106" s="4"/>
      <c r="DT2106" s="4"/>
      <c r="DU2106" s="4"/>
      <c r="DV2106" s="4"/>
      <c r="DW2106" s="4"/>
      <c r="DX2106" s="4"/>
      <c r="DY2106" s="4"/>
      <c r="DZ2106" s="4"/>
      <c r="EA2106" s="4"/>
      <c r="EB2106" s="4"/>
      <c r="EC2106" s="4"/>
      <c r="ED2106" s="4"/>
      <c r="EE2106" s="4"/>
      <c r="EF2106" s="4"/>
      <c r="EG2106" s="4"/>
      <c r="EH2106" s="4"/>
      <c r="EI2106" s="4"/>
      <c r="EJ2106" s="4"/>
      <c r="EK2106" s="4"/>
      <c r="EL2106" s="4"/>
      <c r="EM2106" s="4"/>
      <c r="EN2106" s="4"/>
      <c r="EO2106" s="4"/>
      <c r="EP2106" s="4"/>
      <c r="EQ2106" s="4"/>
      <c r="ER2106" s="4"/>
      <c r="ES2106" s="4"/>
      <c r="ET2106" s="4"/>
      <c r="EU2106" s="4"/>
      <c r="EV2106" s="4"/>
      <c r="EW2106" s="4"/>
      <c r="EX2106" s="4"/>
      <c r="EY2106" s="4"/>
      <c r="EZ2106" s="4"/>
      <c r="FA2106" s="4"/>
      <c r="FB2106" s="4"/>
      <c r="FC2106" s="4"/>
      <c r="FD2106" s="4"/>
      <c r="FE2106" s="4"/>
      <c r="FF2106" s="4"/>
      <c r="FG2106" s="4"/>
      <c r="FH2106" s="4"/>
      <c r="FI2106" s="4"/>
      <c r="FJ2106" s="4"/>
      <c r="FK2106" s="4"/>
      <c r="FL2106" s="4"/>
      <c r="FM2106" s="4"/>
      <c r="FN2106" s="4"/>
      <c r="FO2106" s="4"/>
      <c r="FP2106" s="4"/>
      <c r="FQ2106" s="4"/>
      <c r="FR2106" s="4"/>
      <c r="FS2106" s="4"/>
      <c r="FT2106" s="4"/>
      <c r="FU2106" s="4"/>
      <c r="FV2106" s="4"/>
      <c r="FW2106" s="4"/>
      <c r="FX2106" s="4"/>
      <c r="FY2106" s="4"/>
      <c r="FZ2106" s="4"/>
      <c r="GA2106" s="4"/>
      <c r="GB2106" s="4"/>
      <c r="GC2106" s="4"/>
      <c r="GD2106" s="4"/>
      <c r="GE2106" s="4"/>
      <c r="GF2106" s="4"/>
      <c r="GG2106" s="4"/>
      <c r="GH2106" s="4"/>
      <c r="GI2106" s="4"/>
      <c r="GJ2106" s="4"/>
      <c r="GK2106" s="4"/>
      <c r="GL2106" s="4"/>
      <c r="GM2106" s="4"/>
      <c r="GN2106" s="4"/>
      <c r="GO2106" s="4"/>
      <c r="GP2106" s="4"/>
      <c r="GQ2106" s="4"/>
      <c r="GR2106" s="4"/>
      <c r="GS2106" s="4"/>
      <c r="GT2106" s="4"/>
      <c r="GU2106" s="4"/>
      <c r="GV2106" s="4"/>
      <c r="GW2106" s="4"/>
      <c r="GX2106" s="4"/>
      <c r="GY2106" s="4"/>
      <c r="GZ2106" s="4"/>
      <c r="HA2106" s="4"/>
      <c r="HB2106" s="4"/>
      <c r="HC2106" s="4"/>
      <c r="HD2106" s="4"/>
      <c r="HE2106" s="4"/>
    </row>
    <row r="2107">
      <c r="A2107" s="2" t="s">
        <v>9994</v>
      </c>
      <c r="B2107" s="2" t="s">
        <v>958</v>
      </c>
      <c r="C2107" s="2" t="s">
        <v>835</v>
      </c>
      <c r="D2107" s="2" t="s">
        <v>2117</v>
      </c>
      <c r="E2107" s="2" t="s">
        <v>3992</v>
      </c>
      <c r="F2107" s="2" t="s">
        <v>9995</v>
      </c>
      <c r="G2107" s="2" t="s">
        <v>9995</v>
      </c>
      <c r="H2107" s="2" t="s">
        <v>9995</v>
      </c>
      <c r="I2107" s="2" t="s">
        <v>9996</v>
      </c>
      <c r="J2107" s="2" t="s">
        <v>840</v>
      </c>
      <c r="K2107" s="2" t="s">
        <v>1357</v>
      </c>
      <c r="L2107" s="3">
        <v>270.75</v>
      </c>
      <c r="M2107" s="3">
        <v>284.29</v>
      </c>
      <c r="N2107" s="3">
        <v>579</v>
      </c>
      <c r="O2107" s="2" t="s">
        <v>240</v>
      </c>
      <c r="P2107" s="2" t="s">
        <v>333</v>
      </c>
      <c r="Q2107" s="2" t="s">
        <v>234</v>
      </c>
      <c r="R2107" s="2" t="s">
        <v>228</v>
      </c>
      <c r="S2107" s="2" t="s">
        <v>228</v>
      </c>
      <c r="T2107" s="2" t="s">
        <v>228</v>
      </c>
      <c r="U2107" s="2" t="s">
        <v>416</v>
      </c>
      <c r="V2107" s="2" t="s">
        <v>842</v>
      </c>
      <c r="W2107" s="2" t="s">
        <v>463</v>
      </c>
      <c r="X2107" s="2" t="s">
        <v>2472</v>
      </c>
      <c r="Y2107" s="2" t="s">
        <v>9997</v>
      </c>
      <c r="Z2107" s="4">
        <v>111</v>
      </c>
      <c r="AA2107" s="4">
        <f>=ROUNDDOWN(55.5,0)</f>
      </c>
      <c r="AB2107" s="5">
        <v>2</v>
      </c>
      <c r="AC2107" s="2" t="s">
        <v>228</v>
      </c>
      <c r="AD2107" s="4"/>
      <c r="AE2107" s="4"/>
      <c r="AF2107" s="6">
        <v>76</v>
      </c>
      <c r="AG2107" s="6"/>
      <c r="AH2107" s="7">
        <v>1</v>
      </c>
      <c r="AI2107" s="4"/>
      <c r="AJ2107" s="4">
        <f>=ROUNDDOWN({0},0)</f>
      </c>
      <c r="AK2107" s="5"/>
      <c r="AL2107" s="2" t="s">
        <v>228</v>
      </c>
      <c r="AM2107" s="4"/>
      <c r="AN2107" s="4"/>
      <c r="AO2107" s="7"/>
      <c r="AP2107" s="4"/>
      <c r="AQ2107" s="8"/>
      <c r="AR2107" s="4"/>
      <c r="AS2107" s="8"/>
      <c r="AT2107" s="7"/>
      <c r="AU2107" s="7"/>
      <c r="AV2107" s="4"/>
      <c r="AW2107" s="8"/>
      <c r="AX2107" s="4"/>
      <c r="AY2107" s="8"/>
      <c r="AZ2107" s="7"/>
      <c r="BA2107" s="7"/>
      <c r="BB2107" s="7"/>
      <c r="BC2107" s="4"/>
      <c r="BD2107" s="8"/>
      <c r="BE2107" s="4"/>
      <c r="BF2107" s="8"/>
      <c r="BG2107" s="7"/>
      <c r="BH2107" s="7"/>
      <c r="BI2107" s="7"/>
      <c r="BJ2107" s="4">
        <v>13</v>
      </c>
      <c r="BK2107" s="8">
        <v>2020.46</v>
      </c>
      <c r="BL2107" s="2" t="s">
        <v>9998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9999</v>
      </c>
      <c r="BV2107" s="2" t="s">
        <v>228</v>
      </c>
      <c r="BW2107" s="2" t="s">
        <v>228</v>
      </c>
      <c r="BX2107" s="2" t="s">
        <v>337</v>
      </c>
      <c r="BY2107" s="2" t="s">
        <v>274</v>
      </c>
      <c r="BZ2107" s="2" t="s">
        <v>240</v>
      </c>
      <c r="CA2107" s="2" t="s">
        <v>6438</v>
      </c>
      <c r="CB2107" s="2" t="s">
        <v>5700</v>
      </c>
      <c r="CC2107" s="2" t="s">
        <v>241</v>
      </c>
      <c r="CD2107" s="2" t="s">
        <v>228</v>
      </c>
      <c r="CE2107" s="4"/>
      <c r="CF2107" s="4">
        <v>111</v>
      </c>
      <c r="CG2107" s="4"/>
      <c r="CH2107" s="4"/>
      <c r="CI2107" s="4"/>
      <c r="CJ2107" s="4"/>
      <c r="CK2107" s="4"/>
      <c r="CL2107" s="4"/>
      <c r="CM2107" s="4"/>
      <c r="CN2107" s="4"/>
      <c r="CO2107" s="4"/>
      <c r="CP2107" s="4"/>
      <c r="CQ2107" s="4"/>
      <c r="CR2107" s="4"/>
      <c r="CS2107" s="4"/>
      <c r="CT2107" s="4"/>
      <c r="CU2107" s="4"/>
      <c r="CV2107" s="4"/>
      <c r="CW2107" s="4"/>
      <c r="CX2107" s="4"/>
      <c r="CY2107" s="4"/>
      <c r="CZ2107" s="4"/>
      <c r="DA2107" s="4"/>
      <c r="DB2107" s="4"/>
      <c r="DC2107" s="4"/>
      <c r="DD2107" s="4"/>
      <c r="DE2107" s="4"/>
      <c r="DF2107" s="4"/>
      <c r="DG2107" s="4"/>
      <c r="DH2107" s="4"/>
      <c r="DI2107" s="4"/>
      <c r="DJ2107" s="4"/>
      <c r="DK2107" s="4"/>
      <c r="DL2107" s="4"/>
      <c r="DM2107" s="4"/>
      <c r="DN2107" s="4"/>
      <c r="DO2107" s="4"/>
      <c r="DP2107" s="4"/>
      <c r="DQ2107" s="4"/>
      <c r="DR2107" s="4"/>
      <c r="DS2107" s="4"/>
      <c r="DT2107" s="4"/>
      <c r="DU2107" s="4"/>
      <c r="DV2107" s="4"/>
      <c r="DW2107" s="4"/>
      <c r="DX2107" s="4"/>
      <c r="DY2107" s="4"/>
      <c r="DZ2107" s="4"/>
      <c r="EA2107" s="4"/>
      <c r="EB2107" s="4"/>
      <c r="EC2107" s="4"/>
      <c r="ED2107" s="4"/>
      <c r="EE2107" s="4"/>
      <c r="EF2107" s="4"/>
      <c r="EG2107" s="4"/>
      <c r="EH2107" s="4"/>
      <c r="EI2107" s="4"/>
      <c r="EJ2107" s="4"/>
      <c r="EK2107" s="4"/>
      <c r="EL2107" s="4"/>
      <c r="EM2107" s="4"/>
      <c r="EN2107" s="4"/>
      <c r="EO2107" s="4"/>
      <c r="EP2107" s="4"/>
      <c r="EQ2107" s="4"/>
      <c r="ER2107" s="4"/>
      <c r="ES2107" s="4"/>
      <c r="ET2107" s="4"/>
      <c r="EU2107" s="4"/>
      <c r="EV2107" s="4"/>
      <c r="EW2107" s="4"/>
      <c r="EX2107" s="4"/>
      <c r="EY2107" s="4"/>
      <c r="EZ2107" s="4"/>
      <c r="FA2107" s="4"/>
      <c r="FB2107" s="4"/>
      <c r="FC2107" s="4"/>
      <c r="FD2107" s="4"/>
      <c r="FE2107" s="4"/>
      <c r="FF2107" s="4"/>
      <c r="FG2107" s="4"/>
      <c r="FH2107" s="4"/>
      <c r="FI2107" s="4"/>
      <c r="FJ2107" s="4"/>
      <c r="FK2107" s="4"/>
      <c r="FL2107" s="4"/>
      <c r="FM2107" s="4"/>
      <c r="FN2107" s="4"/>
      <c r="FO2107" s="4"/>
      <c r="FP2107" s="4"/>
      <c r="FQ2107" s="4"/>
      <c r="FR2107" s="4"/>
      <c r="FS2107" s="4"/>
      <c r="FT2107" s="4"/>
      <c r="FU2107" s="4"/>
      <c r="FV2107" s="4"/>
      <c r="FW2107" s="4"/>
      <c r="FX2107" s="4"/>
      <c r="FY2107" s="4"/>
      <c r="FZ2107" s="4"/>
      <c r="GA2107" s="4"/>
      <c r="GB2107" s="4"/>
      <c r="GC2107" s="4"/>
      <c r="GD2107" s="4"/>
      <c r="GE2107" s="4"/>
      <c r="GF2107" s="4"/>
      <c r="GG2107" s="4"/>
      <c r="GH2107" s="4"/>
      <c r="GI2107" s="4"/>
      <c r="GJ2107" s="4"/>
      <c r="GK2107" s="4"/>
      <c r="GL2107" s="4"/>
      <c r="GM2107" s="4"/>
      <c r="GN2107" s="4"/>
      <c r="GO2107" s="4"/>
      <c r="GP2107" s="4"/>
      <c r="GQ2107" s="4"/>
      <c r="GR2107" s="4"/>
      <c r="GS2107" s="4"/>
      <c r="GT2107" s="4"/>
      <c r="GU2107" s="4"/>
      <c r="GV2107" s="4"/>
      <c r="GW2107" s="4"/>
      <c r="GX2107" s="4"/>
      <c r="GY2107" s="4"/>
      <c r="GZ2107" s="4"/>
      <c r="HA2107" s="4"/>
      <c r="HB2107" s="4"/>
      <c r="HC2107" s="4"/>
      <c r="HD2107" s="4"/>
      <c r="HE2107" s="4"/>
    </row>
    <row r="2108">
      <c r="A2108" s="2" t="s">
        <v>10000</v>
      </c>
      <c r="B2108" s="2" t="s">
        <v>866</v>
      </c>
      <c r="C2108" s="2" t="s">
        <v>300</v>
      </c>
      <c r="D2108" s="2" t="s">
        <v>899</v>
      </c>
      <c r="E2108" s="2" t="s">
        <v>877</v>
      </c>
      <c r="F2108" s="2" t="s">
        <v>10001</v>
      </c>
      <c r="G2108" s="2" t="s">
        <v>10001</v>
      </c>
      <c r="H2108" s="2" t="s">
        <v>10001</v>
      </c>
      <c r="I2108" s="2" t="s">
        <v>8795</v>
      </c>
      <c r="J2108" s="2" t="s">
        <v>840</v>
      </c>
      <c r="K2108" s="2" t="s">
        <v>265</v>
      </c>
      <c r="L2108" s="3">
        <v>55.77</v>
      </c>
      <c r="M2108" s="3">
        <v>58.56</v>
      </c>
      <c r="N2108" s="3">
        <v>118.99</v>
      </c>
      <c r="O2108" s="2" t="s">
        <v>240</v>
      </c>
      <c r="P2108" s="2" t="s">
        <v>1012</v>
      </c>
      <c r="Q2108" s="2" t="s">
        <v>234</v>
      </c>
      <c r="R2108" s="2" t="s">
        <v>228</v>
      </c>
      <c r="S2108" s="2" t="s">
        <v>10002</v>
      </c>
      <c r="T2108" s="2" t="s">
        <v>228</v>
      </c>
      <c r="U2108" s="2" t="s">
        <v>308</v>
      </c>
      <c r="V2108" s="2" t="s">
        <v>351</v>
      </c>
      <c r="W2108" s="2" t="s">
        <v>351</v>
      </c>
      <c r="X2108" s="2" t="s">
        <v>228</v>
      </c>
      <c r="Y2108" s="2" t="s">
        <v>1055</v>
      </c>
      <c r="Z2108" s="4">
        <v>64</v>
      </c>
      <c r="AA2108" s="4">
        <f>=ROUNDDOWN(21.3333333333333,0)</f>
      </c>
      <c r="AB2108" s="5">
        <v>3</v>
      </c>
      <c r="AC2108" s="2" t="s">
        <v>228</v>
      </c>
      <c r="AD2108" s="4"/>
      <c r="AE2108" s="4"/>
      <c r="AF2108" s="6">
        <v>63</v>
      </c>
      <c r="AG2108" s="6"/>
      <c r="AH2108" s="7">
        <v>1</v>
      </c>
      <c r="AI2108" s="4"/>
      <c r="AJ2108" s="4">
        <f>=ROUNDDOWN({0},0)</f>
      </c>
      <c r="AK2108" s="5"/>
      <c r="AL2108" s="2" t="s">
        <v>228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/>
      <c r="AW2108" s="8"/>
      <c r="AX2108" s="4"/>
      <c r="AY2108" s="8"/>
      <c r="AZ2108" s="7"/>
      <c r="BA2108" s="7"/>
      <c r="BB2108" s="7"/>
      <c r="BC2108" s="4"/>
      <c r="BD2108" s="8"/>
      <c r="BE2108" s="4"/>
      <c r="BF2108" s="8"/>
      <c r="BG2108" s="7"/>
      <c r="BH2108" s="7"/>
      <c r="BI2108" s="7"/>
      <c r="BJ2108" s="4">
        <v>16</v>
      </c>
      <c r="BK2108" s="8">
        <v>1057.22</v>
      </c>
      <c r="BL2108" s="2" t="s">
        <v>10003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10004</v>
      </c>
      <c r="BV2108" s="2" t="s">
        <v>228</v>
      </c>
      <c r="BW2108" s="2" t="s">
        <v>228</v>
      </c>
      <c r="BX2108" s="2" t="s">
        <v>273</v>
      </c>
      <c r="BY2108" s="2" t="s">
        <v>274</v>
      </c>
      <c r="BZ2108" s="2" t="s">
        <v>240</v>
      </c>
      <c r="CA2108" s="2" t="s">
        <v>7843</v>
      </c>
      <c r="CB2108" s="2" t="s">
        <v>2753</v>
      </c>
      <c r="CC2108" s="2" t="s">
        <v>241</v>
      </c>
      <c r="CD2108" s="2" t="s">
        <v>228</v>
      </c>
      <c r="CE2108" s="4"/>
      <c r="CF2108" s="4">
        <v>64</v>
      </c>
      <c r="CG2108" s="4"/>
      <c r="CH2108" s="4"/>
      <c r="CI2108" s="4"/>
      <c r="CJ2108" s="4"/>
      <c r="CK2108" s="4"/>
      <c r="CL2108" s="4"/>
      <c r="CM2108" s="4"/>
      <c r="CN2108" s="4"/>
      <c r="CO2108" s="4"/>
      <c r="CP2108" s="4"/>
      <c r="CQ2108" s="4"/>
      <c r="CR2108" s="4"/>
      <c r="CS2108" s="4"/>
      <c r="CT2108" s="4"/>
      <c r="CU2108" s="4"/>
      <c r="CV2108" s="4"/>
      <c r="CW2108" s="4"/>
      <c r="CX2108" s="4"/>
      <c r="CY2108" s="4"/>
      <c r="CZ2108" s="4"/>
      <c r="DA2108" s="4"/>
      <c r="DB2108" s="4"/>
      <c r="DC2108" s="4"/>
      <c r="DD2108" s="4"/>
      <c r="DE2108" s="4"/>
      <c r="DF2108" s="4"/>
      <c r="DG2108" s="4"/>
      <c r="DH2108" s="4"/>
      <c r="DI2108" s="4"/>
      <c r="DJ2108" s="4"/>
      <c r="DK2108" s="4"/>
      <c r="DL2108" s="4"/>
      <c r="DM2108" s="4"/>
      <c r="DN2108" s="4"/>
      <c r="DO2108" s="4"/>
      <c r="DP2108" s="4"/>
      <c r="DQ2108" s="4"/>
      <c r="DR2108" s="4"/>
      <c r="DS2108" s="4"/>
      <c r="DT2108" s="4"/>
      <c r="DU2108" s="4"/>
      <c r="DV2108" s="4"/>
      <c r="DW2108" s="4"/>
      <c r="DX2108" s="4"/>
      <c r="DY2108" s="4"/>
      <c r="DZ2108" s="4"/>
      <c r="EA2108" s="4"/>
      <c r="EB2108" s="4"/>
      <c r="EC2108" s="4"/>
      <c r="ED2108" s="4"/>
      <c r="EE2108" s="4"/>
      <c r="EF2108" s="4"/>
      <c r="EG2108" s="4"/>
      <c r="EH2108" s="4"/>
      <c r="EI2108" s="4"/>
      <c r="EJ2108" s="4"/>
      <c r="EK2108" s="4"/>
      <c r="EL2108" s="4"/>
      <c r="EM2108" s="4"/>
      <c r="EN2108" s="4"/>
      <c r="EO2108" s="4"/>
      <c r="EP2108" s="4"/>
      <c r="EQ2108" s="4"/>
      <c r="ER2108" s="4"/>
      <c r="ES2108" s="4"/>
      <c r="ET2108" s="4"/>
      <c r="EU2108" s="4"/>
      <c r="EV2108" s="4"/>
      <c r="EW2108" s="4"/>
      <c r="EX2108" s="4"/>
      <c r="EY2108" s="4"/>
      <c r="EZ2108" s="4"/>
      <c r="FA2108" s="4"/>
      <c r="FB2108" s="4"/>
      <c r="FC2108" s="4"/>
      <c r="FD2108" s="4"/>
      <c r="FE2108" s="4"/>
      <c r="FF2108" s="4"/>
      <c r="FG2108" s="4"/>
      <c r="FH2108" s="4"/>
      <c r="FI2108" s="4"/>
      <c r="FJ2108" s="4"/>
      <c r="FK2108" s="4"/>
      <c r="FL2108" s="4"/>
      <c r="FM2108" s="4"/>
      <c r="FN2108" s="4"/>
      <c r="FO2108" s="4"/>
      <c r="FP2108" s="4"/>
      <c r="FQ2108" s="4"/>
      <c r="FR2108" s="4"/>
      <c r="FS2108" s="4"/>
      <c r="FT2108" s="4"/>
      <c r="FU2108" s="4"/>
      <c r="FV2108" s="4"/>
      <c r="FW2108" s="4"/>
      <c r="FX2108" s="4"/>
      <c r="FY2108" s="4"/>
      <c r="FZ2108" s="4"/>
      <c r="GA2108" s="4"/>
      <c r="GB2108" s="4"/>
      <c r="GC2108" s="4"/>
      <c r="GD2108" s="4"/>
      <c r="GE2108" s="4"/>
      <c r="GF2108" s="4"/>
      <c r="GG2108" s="4"/>
      <c r="GH2108" s="4"/>
      <c r="GI2108" s="4"/>
      <c r="GJ2108" s="4"/>
      <c r="GK2108" s="4"/>
      <c r="GL2108" s="4"/>
      <c r="GM2108" s="4"/>
      <c r="GN2108" s="4"/>
      <c r="GO2108" s="4"/>
      <c r="GP2108" s="4"/>
      <c r="GQ2108" s="4"/>
      <c r="GR2108" s="4"/>
      <c r="GS2108" s="4"/>
      <c r="GT2108" s="4"/>
      <c r="GU2108" s="4"/>
      <c r="GV2108" s="4"/>
      <c r="GW2108" s="4"/>
      <c r="GX2108" s="4"/>
      <c r="GY2108" s="4"/>
      <c r="GZ2108" s="4"/>
      <c r="HA2108" s="4"/>
      <c r="HB2108" s="4"/>
      <c r="HC2108" s="4"/>
      <c r="HD2108" s="4"/>
      <c r="HE2108" s="4"/>
    </row>
    <row r="2109">
      <c r="A2109" s="2" t="s">
        <v>10005</v>
      </c>
      <c r="B2109" s="2" t="s">
        <v>848</v>
      </c>
      <c r="C2109" s="2" t="s">
        <v>849</v>
      </c>
      <c r="D2109" s="2" t="s">
        <v>1112</v>
      </c>
      <c r="E2109" s="2" t="s">
        <v>1165</v>
      </c>
      <c r="F2109" s="2" t="s">
        <v>10006</v>
      </c>
      <c r="G2109" s="2" t="s">
        <v>10007</v>
      </c>
      <c r="H2109" s="2" t="s">
        <v>10008</v>
      </c>
      <c r="I2109" s="2" t="s">
        <v>3216</v>
      </c>
      <c r="J2109" s="2" t="s">
        <v>856</v>
      </c>
      <c r="K2109" s="2" t="s">
        <v>978</v>
      </c>
      <c r="L2109" s="3">
        <v>32.2</v>
      </c>
      <c r="M2109" s="3">
        <v>33.81</v>
      </c>
      <c r="N2109" s="3">
        <v>79.99</v>
      </c>
      <c r="O2109" s="2" t="s">
        <v>461</v>
      </c>
      <c r="P2109" s="2" t="s">
        <v>333</v>
      </c>
      <c r="Q2109" s="2" t="s">
        <v>234</v>
      </c>
      <c r="R2109" s="2" t="s">
        <v>228</v>
      </c>
      <c r="S2109" s="2" t="s">
        <v>10009</v>
      </c>
      <c r="T2109" s="2" t="s">
        <v>415</v>
      </c>
      <c r="U2109" s="2" t="s">
        <v>308</v>
      </c>
      <c r="V2109" s="2" t="s">
        <v>1302</v>
      </c>
      <c r="W2109" s="2" t="s">
        <v>463</v>
      </c>
      <c r="X2109" s="2" t="s">
        <v>269</v>
      </c>
      <c r="Y2109" s="2" t="s">
        <v>270</v>
      </c>
      <c r="Z2109" s="4">
        <v>108</v>
      </c>
      <c r="AA2109" s="4">
        <f>=ROUNDDOWN(27.6923076923077,0)</f>
      </c>
      <c r="AB2109" s="5">
        <v>3.9</v>
      </c>
      <c r="AC2109" s="2" t="s">
        <v>228</v>
      </c>
      <c r="AD2109" s="4"/>
      <c r="AE2109" s="4"/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228</v>
      </c>
      <c r="AM2109" s="4"/>
      <c r="AN2109" s="4"/>
      <c r="AO2109" s="7"/>
      <c r="AP2109" s="4"/>
      <c r="AQ2109" s="8"/>
      <c r="AR2109" s="4"/>
      <c r="AS2109" s="8"/>
      <c r="AT2109" s="7"/>
      <c r="AU2109" s="7"/>
      <c r="AV2109" s="4"/>
      <c r="AW2109" s="8"/>
      <c r="AX2109" s="4"/>
      <c r="AY2109" s="8"/>
      <c r="AZ2109" s="7"/>
      <c r="BA2109" s="7"/>
      <c r="BB2109" s="7"/>
      <c r="BC2109" s="4"/>
      <c r="BD2109" s="8"/>
      <c r="BE2109" s="4"/>
      <c r="BF2109" s="8"/>
      <c r="BG2109" s="7"/>
      <c r="BH2109" s="7"/>
      <c r="BI2109" s="7"/>
      <c r="BJ2109" s="4">
        <v>55</v>
      </c>
      <c r="BK2109" s="8">
        <v>1427.66</v>
      </c>
      <c r="BL2109" s="2" t="s">
        <v>2932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10010</v>
      </c>
      <c r="BV2109" s="2" t="s">
        <v>228</v>
      </c>
      <c r="BW2109" s="2" t="s">
        <v>228</v>
      </c>
      <c r="BX2109" s="2" t="s">
        <v>337</v>
      </c>
      <c r="BY2109" s="2" t="s">
        <v>274</v>
      </c>
      <c r="BZ2109" s="2" t="s">
        <v>240</v>
      </c>
      <c r="CA2109" s="2" t="s">
        <v>275</v>
      </c>
      <c r="CB2109" s="2" t="s">
        <v>10011</v>
      </c>
      <c r="CC2109" s="2" t="s">
        <v>241</v>
      </c>
      <c r="CD2109" s="2" t="s">
        <v>228</v>
      </c>
      <c r="CE2109" s="4"/>
      <c r="CF2109" s="4"/>
      <c r="CG2109" s="4"/>
      <c r="CH2109" s="4">
        <v>108</v>
      </c>
      <c r="CI2109" s="4"/>
      <c r="CJ2109" s="4"/>
      <c r="CK2109" s="4"/>
      <c r="CL2109" s="4"/>
      <c r="CM2109" s="4"/>
      <c r="CN2109" s="4"/>
      <c r="CO2109" s="4"/>
      <c r="CP2109" s="4"/>
      <c r="CQ2109" s="4"/>
      <c r="CR2109" s="4"/>
      <c r="CS2109" s="4"/>
      <c r="CT2109" s="4"/>
      <c r="CU2109" s="4"/>
      <c r="CV2109" s="4"/>
      <c r="CW2109" s="4"/>
      <c r="CX2109" s="4"/>
      <c r="CY2109" s="4"/>
      <c r="CZ2109" s="4"/>
      <c r="DA2109" s="4"/>
      <c r="DB2109" s="4"/>
      <c r="DC2109" s="4"/>
      <c r="DD2109" s="4"/>
      <c r="DE2109" s="4"/>
      <c r="DF2109" s="4"/>
      <c r="DG2109" s="4"/>
      <c r="DH2109" s="4"/>
      <c r="DI2109" s="4"/>
      <c r="DJ2109" s="4"/>
      <c r="DK2109" s="4"/>
      <c r="DL2109" s="4"/>
      <c r="DM2109" s="4"/>
      <c r="DN2109" s="4"/>
      <c r="DO2109" s="4"/>
      <c r="DP2109" s="4"/>
      <c r="DQ2109" s="4"/>
      <c r="DR2109" s="4"/>
      <c r="DS2109" s="4"/>
      <c r="DT2109" s="4"/>
      <c r="DU2109" s="4"/>
      <c r="DV2109" s="4"/>
      <c r="DW2109" s="4"/>
      <c r="DX2109" s="4"/>
      <c r="DY2109" s="4"/>
      <c r="DZ2109" s="4"/>
      <c r="EA2109" s="4"/>
      <c r="EB2109" s="4"/>
      <c r="EC2109" s="4"/>
      <c r="ED2109" s="4"/>
      <c r="EE2109" s="4"/>
      <c r="EF2109" s="4"/>
      <c r="EG2109" s="4"/>
      <c r="EH2109" s="4"/>
      <c r="EI2109" s="4"/>
      <c r="EJ2109" s="4"/>
      <c r="EK2109" s="4"/>
      <c r="EL2109" s="4"/>
      <c r="EM2109" s="4"/>
      <c r="EN2109" s="4"/>
      <c r="EO2109" s="4"/>
      <c r="EP2109" s="4"/>
      <c r="EQ2109" s="4"/>
      <c r="ER2109" s="4"/>
      <c r="ES2109" s="4"/>
      <c r="ET2109" s="4"/>
      <c r="EU2109" s="4"/>
      <c r="EV2109" s="4"/>
      <c r="EW2109" s="4"/>
      <c r="EX2109" s="4"/>
      <c r="EY2109" s="4"/>
      <c r="EZ2109" s="4"/>
      <c r="FA2109" s="4"/>
      <c r="FB2109" s="4"/>
      <c r="FC2109" s="4"/>
      <c r="FD2109" s="4"/>
      <c r="FE2109" s="4"/>
      <c r="FF2109" s="4"/>
      <c r="FG2109" s="4"/>
      <c r="FH2109" s="4"/>
      <c r="FI2109" s="4"/>
      <c r="FJ2109" s="4"/>
      <c r="FK2109" s="4"/>
      <c r="FL2109" s="4"/>
      <c r="FM2109" s="4"/>
      <c r="FN2109" s="4"/>
      <c r="FO2109" s="4"/>
      <c r="FP2109" s="4"/>
      <c r="FQ2109" s="4"/>
      <c r="FR2109" s="4"/>
      <c r="FS2109" s="4"/>
      <c r="FT2109" s="4"/>
      <c r="FU2109" s="4"/>
      <c r="FV2109" s="4"/>
      <c r="FW2109" s="4"/>
      <c r="FX2109" s="4"/>
      <c r="FY2109" s="4"/>
      <c r="FZ2109" s="4"/>
      <c r="GA2109" s="4"/>
      <c r="GB2109" s="4"/>
      <c r="GC2109" s="4"/>
      <c r="GD2109" s="4"/>
      <c r="GE2109" s="4"/>
      <c r="GF2109" s="4"/>
      <c r="GG2109" s="4"/>
      <c r="GH2109" s="4"/>
      <c r="GI2109" s="4"/>
      <c r="GJ2109" s="4"/>
      <c r="GK2109" s="4"/>
      <c r="GL2109" s="4"/>
      <c r="GM2109" s="4"/>
      <c r="GN2109" s="4"/>
      <c r="GO2109" s="4"/>
      <c r="GP2109" s="4"/>
      <c r="GQ2109" s="4"/>
      <c r="GR2109" s="4"/>
      <c r="GS2109" s="4"/>
      <c r="GT2109" s="4"/>
      <c r="GU2109" s="4"/>
      <c r="GV2109" s="4"/>
      <c r="GW2109" s="4"/>
      <c r="GX2109" s="4"/>
      <c r="GY2109" s="4"/>
      <c r="GZ2109" s="4"/>
      <c r="HA2109" s="4"/>
      <c r="HB2109" s="4"/>
      <c r="HC2109" s="4"/>
      <c r="HD2109" s="4"/>
      <c r="HE2109" s="4"/>
    </row>
    <row r="2110">
      <c r="A2110" s="2" t="s">
        <v>10012</v>
      </c>
      <c r="B2110" s="2" t="s">
        <v>1150</v>
      </c>
      <c r="C2110" s="2" t="s">
        <v>835</v>
      </c>
      <c r="D2110" s="2" t="s">
        <v>850</v>
      </c>
      <c r="E2110" s="2" t="s">
        <v>1038</v>
      </c>
      <c r="F2110" s="2" t="s">
        <v>10013</v>
      </c>
      <c r="G2110" s="2" t="s">
        <v>10013</v>
      </c>
      <c r="H2110" s="2" t="s">
        <v>10013</v>
      </c>
      <c r="I2110" s="2" t="s">
        <v>10014</v>
      </c>
      <c r="J2110" s="2" t="s">
        <v>1189</v>
      </c>
      <c r="K2110" s="2" t="s">
        <v>251</v>
      </c>
      <c r="L2110" s="3">
        <v>52.8</v>
      </c>
      <c r="M2110" s="3">
        <v>55.44</v>
      </c>
      <c r="N2110" s="3">
        <v>109.99</v>
      </c>
      <c r="O2110" s="2" t="s">
        <v>491</v>
      </c>
      <c r="P2110" s="2" t="s">
        <v>333</v>
      </c>
      <c r="Q2110" s="2" t="s">
        <v>234</v>
      </c>
      <c r="R2110" s="2" t="s">
        <v>228</v>
      </c>
      <c r="S2110" s="2" t="s">
        <v>10015</v>
      </c>
      <c r="T2110" s="2" t="s">
        <v>228</v>
      </c>
      <c r="U2110" s="2" t="s">
        <v>500</v>
      </c>
      <c r="V2110" s="2" t="s">
        <v>5214</v>
      </c>
      <c r="W2110" s="2" t="s">
        <v>843</v>
      </c>
      <c r="X2110" s="2" t="s">
        <v>269</v>
      </c>
      <c r="Y2110" s="2" t="s">
        <v>10016</v>
      </c>
      <c r="Z2110" s="4">
        <v>142</v>
      </c>
      <c r="AA2110" s="4">
        <f>=ROUNDDOWN(355,0)</f>
      </c>
      <c r="AB2110" s="5">
        <v>0.4</v>
      </c>
      <c r="AC2110" s="2" t="s">
        <v>228</v>
      </c>
      <c r="AD2110" s="4"/>
      <c r="AE2110" s="4"/>
      <c r="AF2110" s="6">
        <v>67</v>
      </c>
      <c r="AG2110" s="6"/>
      <c r="AH2110" s="7">
        <v>1</v>
      </c>
      <c r="AI2110" s="4"/>
      <c r="AJ2110" s="4">
        <f>=ROUNDDOWN({0},0)</f>
      </c>
      <c r="AK2110" s="5"/>
      <c r="AL2110" s="2" t="s">
        <v>228</v>
      </c>
      <c r="AM2110" s="4"/>
      <c r="AN2110" s="4"/>
      <c r="AO2110" s="7"/>
      <c r="AP2110" s="4"/>
      <c r="AQ2110" s="8"/>
      <c r="AR2110" s="4"/>
      <c r="AS2110" s="8"/>
      <c r="AT2110" s="7"/>
      <c r="AU2110" s="7"/>
      <c r="AV2110" s="4" t="s">
        <v>228</v>
      </c>
      <c r="AW2110" s="8" t="s">
        <v>228</v>
      </c>
      <c r="AX2110" s="4" t="s">
        <v>228</v>
      </c>
      <c r="AY2110" s="8" t="s">
        <v>228</v>
      </c>
      <c r="AZ2110" s="7" t="s">
        <v>228</v>
      </c>
      <c r="BA2110" s="7" t="s">
        <v>228</v>
      </c>
      <c r="BB2110" s="7"/>
      <c r="BC2110" s="4" t="s">
        <v>228</v>
      </c>
      <c r="BD2110" s="8" t="s">
        <v>228</v>
      </c>
      <c r="BE2110" s="4" t="s">
        <v>228</v>
      </c>
      <c r="BF2110" s="8" t="s">
        <v>228</v>
      </c>
      <c r="BG2110" s="7" t="s">
        <v>228</v>
      </c>
      <c r="BH2110" s="7" t="s">
        <v>228</v>
      </c>
      <c r="BI2110" s="7"/>
      <c r="BJ2110" s="4">
        <v>2</v>
      </c>
      <c r="BK2110" s="8">
        <v>88.99</v>
      </c>
      <c r="BL2110" s="2" t="s">
        <v>6412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10017</v>
      </c>
      <c r="BV2110" s="2" t="s">
        <v>228</v>
      </c>
      <c r="BW2110" s="2" t="s">
        <v>228</v>
      </c>
      <c r="BX2110" s="2" t="s">
        <v>337</v>
      </c>
      <c r="BY2110" s="2" t="s">
        <v>274</v>
      </c>
      <c r="BZ2110" s="2" t="s">
        <v>240</v>
      </c>
      <c r="CA2110" s="2" t="s">
        <v>5637</v>
      </c>
      <c r="CB2110" s="2" t="s">
        <v>10018</v>
      </c>
      <c r="CC2110" s="2" t="s">
        <v>241</v>
      </c>
      <c r="CD2110" s="2" t="s">
        <v>228</v>
      </c>
      <c r="CE2110" s="4">
        <v>142</v>
      </c>
      <c r="CF2110" s="4"/>
      <c r="CG2110" s="4"/>
      <c r="CH2110" s="4"/>
      <c r="CI2110" s="4"/>
      <c r="CJ2110" s="4"/>
      <c r="CK2110" s="4"/>
      <c r="CL2110" s="4"/>
      <c r="CM2110" s="4"/>
      <c r="CN2110" s="4"/>
      <c r="CO2110" s="4"/>
      <c r="CP2110" s="4"/>
      <c r="CQ2110" s="4"/>
      <c r="CR2110" s="4"/>
      <c r="CS2110" s="4"/>
      <c r="CT2110" s="4"/>
      <c r="CU2110" s="4"/>
      <c r="CV2110" s="4"/>
      <c r="CW2110" s="4"/>
      <c r="CX2110" s="4"/>
      <c r="CY2110" s="4"/>
      <c r="CZ2110" s="4"/>
      <c r="DA2110" s="4"/>
      <c r="DB2110" s="4"/>
      <c r="DC2110" s="4"/>
      <c r="DD2110" s="4"/>
      <c r="DE2110" s="4"/>
      <c r="DF2110" s="4"/>
      <c r="DG2110" s="4"/>
      <c r="DH2110" s="4"/>
      <c r="DI2110" s="4"/>
      <c r="DJ2110" s="4"/>
      <c r="DK2110" s="4"/>
      <c r="DL2110" s="4"/>
      <c r="DM2110" s="4"/>
      <c r="DN2110" s="4"/>
      <c r="DO2110" s="4"/>
      <c r="DP2110" s="4"/>
      <c r="DQ2110" s="4"/>
      <c r="DR2110" s="4"/>
      <c r="DS2110" s="4"/>
      <c r="DT2110" s="4"/>
      <c r="DU2110" s="4"/>
      <c r="DV2110" s="4"/>
      <c r="DW2110" s="4"/>
      <c r="DX2110" s="4"/>
      <c r="DY2110" s="4"/>
      <c r="DZ2110" s="4"/>
      <c r="EA2110" s="4"/>
      <c r="EB2110" s="4"/>
      <c r="EC2110" s="4"/>
      <c r="ED2110" s="4"/>
      <c r="EE2110" s="4"/>
      <c r="EF2110" s="4"/>
      <c r="EG2110" s="4"/>
      <c r="EH2110" s="4"/>
      <c r="EI2110" s="4"/>
      <c r="EJ2110" s="4"/>
      <c r="EK2110" s="4"/>
      <c r="EL2110" s="4"/>
      <c r="EM2110" s="4"/>
      <c r="EN2110" s="4"/>
      <c r="EO2110" s="4"/>
      <c r="EP2110" s="4"/>
      <c r="EQ2110" s="4"/>
      <c r="ER2110" s="4"/>
      <c r="ES2110" s="4"/>
      <c r="ET2110" s="4"/>
      <c r="EU2110" s="4"/>
      <c r="EV2110" s="4"/>
      <c r="EW2110" s="4"/>
      <c r="EX2110" s="4"/>
      <c r="EY2110" s="4"/>
      <c r="EZ2110" s="4"/>
      <c r="FA2110" s="4"/>
      <c r="FB2110" s="4"/>
      <c r="FC2110" s="4"/>
      <c r="FD2110" s="4"/>
      <c r="FE2110" s="4"/>
      <c r="FF2110" s="4"/>
      <c r="FG2110" s="4"/>
      <c r="FH2110" s="4"/>
      <c r="FI2110" s="4"/>
      <c r="FJ2110" s="4"/>
      <c r="FK2110" s="4"/>
      <c r="FL2110" s="4"/>
      <c r="FM2110" s="4"/>
      <c r="FN2110" s="4"/>
      <c r="FO2110" s="4"/>
      <c r="FP2110" s="4"/>
      <c r="FQ2110" s="4"/>
      <c r="FR2110" s="4"/>
      <c r="FS2110" s="4"/>
      <c r="FT2110" s="4"/>
      <c r="FU2110" s="4"/>
      <c r="FV2110" s="4"/>
      <c r="FW2110" s="4"/>
      <c r="FX2110" s="4"/>
      <c r="FY2110" s="4"/>
      <c r="FZ2110" s="4"/>
      <c r="GA2110" s="4"/>
      <c r="GB2110" s="4"/>
      <c r="GC2110" s="4"/>
      <c r="GD2110" s="4"/>
      <c r="GE2110" s="4"/>
      <c r="GF2110" s="4"/>
      <c r="GG2110" s="4"/>
      <c r="GH2110" s="4"/>
      <c r="GI2110" s="4"/>
      <c r="GJ2110" s="4"/>
      <c r="GK2110" s="4"/>
      <c r="GL2110" s="4"/>
      <c r="GM2110" s="4"/>
      <c r="GN2110" s="4"/>
      <c r="GO2110" s="4"/>
      <c r="GP2110" s="4"/>
      <c r="GQ2110" s="4"/>
      <c r="GR2110" s="4"/>
      <c r="GS2110" s="4"/>
      <c r="GT2110" s="4"/>
      <c r="GU2110" s="4"/>
      <c r="GV2110" s="4"/>
      <c r="GW2110" s="4"/>
      <c r="GX2110" s="4"/>
      <c r="GY2110" s="4"/>
      <c r="GZ2110" s="4"/>
      <c r="HA2110" s="4"/>
      <c r="HB2110" s="4"/>
      <c r="HC2110" s="4"/>
      <c r="HD2110" s="4"/>
      <c r="HE2110" s="4"/>
    </row>
    <row r="2111">
      <c r="A2111" s="2" t="s">
        <v>10019</v>
      </c>
      <c r="B2111" s="2" t="s">
        <v>1150</v>
      </c>
      <c r="C2111" s="2" t="s">
        <v>835</v>
      </c>
      <c r="D2111" s="2" t="s">
        <v>1112</v>
      </c>
      <c r="E2111" s="2" t="s">
        <v>1113</v>
      </c>
      <c r="F2111" s="2" t="s">
        <v>10013</v>
      </c>
      <c r="G2111" s="2" t="s">
        <v>10013</v>
      </c>
      <c r="H2111" s="2" t="s">
        <v>10013</v>
      </c>
      <c r="I2111" s="2" t="s">
        <v>10020</v>
      </c>
      <c r="J2111" s="2" t="s">
        <v>1043</v>
      </c>
      <c r="K2111" s="2" t="s">
        <v>251</v>
      </c>
      <c r="L2111" s="3">
        <v>76.8</v>
      </c>
      <c r="M2111" s="3">
        <v>80.64</v>
      </c>
      <c r="N2111" s="3">
        <v>159.99</v>
      </c>
      <c r="O2111" s="2" t="s">
        <v>491</v>
      </c>
      <c r="P2111" s="2" t="s">
        <v>333</v>
      </c>
      <c r="Q2111" s="2" t="s">
        <v>234</v>
      </c>
      <c r="R2111" s="2" t="s">
        <v>228</v>
      </c>
      <c r="S2111" s="2" t="s">
        <v>10015</v>
      </c>
      <c r="T2111" s="2" t="s">
        <v>228</v>
      </c>
      <c r="U2111" s="2" t="s">
        <v>500</v>
      </c>
      <c r="V2111" s="2" t="s">
        <v>5214</v>
      </c>
      <c r="W2111" s="2" t="s">
        <v>843</v>
      </c>
      <c r="X2111" s="2" t="s">
        <v>269</v>
      </c>
      <c r="Y2111" s="2" t="s">
        <v>10016</v>
      </c>
      <c r="Z2111" s="4">
        <v>500</v>
      </c>
      <c r="AA2111" s="4">
        <f>=ROUNDDOWN(250,0)</f>
      </c>
      <c r="AB2111" s="5">
        <v>2</v>
      </c>
      <c r="AC2111" s="2" t="s">
        <v>228</v>
      </c>
      <c r="AD2111" s="4"/>
      <c r="AE2111" s="4"/>
      <c r="AF2111" s="6">
        <v>67</v>
      </c>
      <c r="AG2111" s="6"/>
      <c r="AH2111" s="7">
        <v>1</v>
      </c>
      <c r="AI2111" s="4"/>
      <c r="AJ2111" s="4">
        <f>=ROUNDDOWN({0},0)</f>
      </c>
      <c r="AK2111" s="5"/>
      <c r="AL2111" s="2" t="s">
        <v>228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 t="s">
        <v>228</v>
      </c>
      <c r="AW2111" s="8" t="s">
        <v>228</v>
      </c>
      <c r="AX2111" s="4" t="s">
        <v>228</v>
      </c>
      <c r="AY2111" s="8" t="s">
        <v>228</v>
      </c>
      <c r="AZ2111" s="7" t="s">
        <v>228</v>
      </c>
      <c r="BA2111" s="7" t="s">
        <v>228</v>
      </c>
      <c r="BB2111" s="7" t="s">
        <v>228</v>
      </c>
      <c r="BC2111" s="4" t="s">
        <v>228</v>
      </c>
      <c r="BD2111" s="8" t="s">
        <v>228</v>
      </c>
      <c r="BE2111" s="4" t="s">
        <v>228</v>
      </c>
      <c r="BF2111" s="8" t="s">
        <v>228</v>
      </c>
      <c r="BG2111" s="7" t="s">
        <v>228</v>
      </c>
      <c r="BH2111" s="7" t="s">
        <v>228</v>
      </c>
      <c r="BI2111" s="7"/>
      <c r="BJ2111" s="4">
        <v>5</v>
      </c>
      <c r="BK2111" s="8">
        <v>287.77</v>
      </c>
      <c r="BL2111" s="2" t="s">
        <v>3408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10021</v>
      </c>
      <c r="BV2111" s="2" t="s">
        <v>228</v>
      </c>
      <c r="BW2111" s="2" t="s">
        <v>228</v>
      </c>
      <c r="BX2111" s="2" t="s">
        <v>337</v>
      </c>
      <c r="BY2111" s="2" t="s">
        <v>274</v>
      </c>
      <c r="BZ2111" s="2" t="s">
        <v>240</v>
      </c>
      <c r="CA2111" s="2" t="s">
        <v>5637</v>
      </c>
      <c r="CB2111" s="2" t="s">
        <v>9997</v>
      </c>
      <c r="CC2111" s="2" t="s">
        <v>241</v>
      </c>
      <c r="CD2111" s="2" t="s">
        <v>228</v>
      </c>
      <c r="CE2111" s="4">
        <v>500</v>
      </c>
      <c r="CF2111" s="4"/>
      <c r="CG2111" s="4"/>
      <c r="CH2111" s="4"/>
      <c r="CI2111" s="4"/>
      <c r="CJ2111" s="4"/>
      <c r="CK2111" s="4"/>
      <c r="CL2111" s="4"/>
      <c r="CM2111" s="4"/>
      <c r="CN2111" s="4"/>
      <c r="CO2111" s="4"/>
      <c r="CP2111" s="4"/>
      <c r="CQ2111" s="4"/>
      <c r="CR2111" s="4"/>
      <c r="CS2111" s="4"/>
      <c r="CT2111" s="4"/>
      <c r="CU2111" s="4"/>
      <c r="CV2111" s="4"/>
      <c r="CW2111" s="4"/>
      <c r="CX2111" s="4"/>
      <c r="CY2111" s="4"/>
      <c r="CZ2111" s="4"/>
      <c r="DA2111" s="4"/>
      <c r="DB2111" s="4"/>
      <c r="DC2111" s="4"/>
      <c r="DD2111" s="4"/>
      <c r="DE2111" s="4"/>
      <c r="DF2111" s="4"/>
      <c r="DG2111" s="4"/>
      <c r="DH2111" s="4"/>
      <c r="DI2111" s="4"/>
      <c r="DJ2111" s="4"/>
      <c r="DK2111" s="4"/>
      <c r="DL2111" s="4"/>
      <c r="DM2111" s="4"/>
      <c r="DN2111" s="4"/>
      <c r="DO2111" s="4"/>
      <c r="DP2111" s="4"/>
      <c r="DQ2111" s="4"/>
      <c r="DR2111" s="4"/>
      <c r="DS2111" s="4"/>
      <c r="DT2111" s="4"/>
      <c r="DU2111" s="4"/>
      <c r="DV2111" s="4"/>
      <c r="DW2111" s="4"/>
      <c r="DX2111" s="4"/>
      <c r="DY2111" s="4"/>
      <c r="DZ2111" s="4"/>
      <c r="EA2111" s="4"/>
      <c r="EB2111" s="4"/>
      <c r="EC2111" s="4"/>
      <c r="ED2111" s="4"/>
      <c r="EE2111" s="4"/>
      <c r="EF2111" s="4"/>
      <c r="EG2111" s="4"/>
      <c r="EH2111" s="4"/>
      <c r="EI2111" s="4"/>
      <c r="EJ2111" s="4"/>
      <c r="EK2111" s="4"/>
      <c r="EL2111" s="4"/>
      <c r="EM2111" s="4"/>
      <c r="EN2111" s="4"/>
      <c r="EO2111" s="4"/>
      <c r="EP2111" s="4"/>
      <c r="EQ2111" s="4"/>
      <c r="ER2111" s="4"/>
      <c r="ES2111" s="4"/>
      <c r="ET2111" s="4"/>
      <c r="EU2111" s="4"/>
      <c r="EV2111" s="4"/>
      <c r="EW2111" s="4"/>
      <c r="EX2111" s="4"/>
      <c r="EY2111" s="4"/>
      <c r="EZ2111" s="4"/>
      <c r="FA2111" s="4"/>
      <c r="FB2111" s="4"/>
      <c r="FC2111" s="4"/>
      <c r="FD2111" s="4"/>
      <c r="FE2111" s="4"/>
      <c r="FF2111" s="4"/>
      <c r="FG2111" s="4"/>
      <c r="FH2111" s="4"/>
      <c r="FI2111" s="4"/>
      <c r="FJ2111" s="4"/>
      <c r="FK2111" s="4"/>
      <c r="FL2111" s="4"/>
      <c r="FM2111" s="4"/>
      <c r="FN2111" s="4"/>
      <c r="FO2111" s="4"/>
      <c r="FP2111" s="4"/>
      <c r="FQ2111" s="4"/>
      <c r="FR2111" s="4"/>
      <c r="FS2111" s="4"/>
      <c r="FT2111" s="4"/>
      <c r="FU2111" s="4"/>
      <c r="FV2111" s="4"/>
      <c r="FW2111" s="4"/>
      <c r="FX2111" s="4"/>
      <c r="FY2111" s="4"/>
      <c r="FZ2111" s="4"/>
      <c r="GA2111" s="4"/>
      <c r="GB2111" s="4"/>
      <c r="GC2111" s="4"/>
      <c r="GD2111" s="4"/>
      <c r="GE2111" s="4"/>
      <c r="GF2111" s="4"/>
      <c r="GG2111" s="4"/>
      <c r="GH2111" s="4"/>
      <c r="GI2111" s="4"/>
      <c r="GJ2111" s="4"/>
      <c r="GK2111" s="4"/>
      <c r="GL2111" s="4"/>
      <c r="GM2111" s="4"/>
      <c r="GN2111" s="4"/>
      <c r="GO2111" s="4"/>
      <c r="GP2111" s="4"/>
      <c r="GQ2111" s="4"/>
      <c r="GR2111" s="4"/>
      <c r="GS2111" s="4"/>
      <c r="GT2111" s="4"/>
      <c r="GU2111" s="4"/>
      <c r="GV2111" s="4"/>
      <c r="GW2111" s="4"/>
      <c r="GX2111" s="4"/>
      <c r="GY2111" s="4"/>
      <c r="GZ2111" s="4"/>
      <c r="HA2111" s="4"/>
      <c r="HB2111" s="4"/>
      <c r="HC2111" s="4"/>
      <c r="HD2111" s="4"/>
      <c r="HE2111" s="4"/>
    </row>
    <row r="2112">
      <c r="A2112" s="2" t="s">
        <v>10022</v>
      </c>
      <c r="B2112" s="2" t="s">
        <v>1150</v>
      </c>
      <c r="C2112" s="2" t="s">
        <v>835</v>
      </c>
      <c r="D2112" s="2" t="s">
        <v>850</v>
      </c>
      <c r="E2112" s="2" t="s">
        <v>1038</v>
      </c>
      <c r="F2112" s="2" t="s">
        <v>10013</v>
      </c>
      <c r="G2112" s="2" t="s">
        <v>10013</v>
      </c>
      <c r="H2112" s="2" t="s">
        <v>10013</v>
      </c>
      <c r="I2112" s="2" t="s">
        <v>10014</v>
      </c>
      <c r="J2112" s="2" t="s">
        <v>1043</v>
      </c>
      <c r="K2112" s="2" t="s">
        <v>251</v>
      </c>
      <c r="L2112" s="3">
        <v>67.2</v>
      </c>
      <c r="M2112" s="3">
        <v>70.56</v>
      </c>
      <c r="N2112" s="3">
        <v>139.99</v>
      </c>
      <c r="O2112" s="2" t="s">
        <v>491</v>
      </c>
      <c r="P2112" s="2" t="s">
        <v>333</v>
      </c>
      <c r="Q2112" s="2" t="s">
        <v>234</v>
      </c>
      <c r="R2112" s="2" t="s">
        <v>228</v>
      </c>
      <c r="S2112" s="2" t="s">
        <v>10015</v>
      </c>
      <c r="T2112" s="2" t="s">
        <v>228</v>
      </c>
      <c r="U2112" s="2" t="s">
        <v>500</v>
      </c>
      <c r="V2112" s="2" t="s">
        <v>5214</v>
      </c>
      <c r="W2112" s="2" t="s">
        <v>843</v>
      </c>
      <c r="X2112" s="2" t="s">
        <v>269</v>
      </c>
      <c r="Y2112" s="2" t="s">
        <v>10016</v>
      </c>
      <c r="Z2112" s="4">
        <v>369</v>
      </c>
      <c r="AA2112" s="4">
        <f>=ROUNDDOWN(369,0)</f>
      </c>
      <c r="AB2112" s="5">
        <v>1</v>
      </c>
      <c r="AC2112" s="2" t="s">
        <v>228</v>
      </c>
      <c r="AD2112" s="4"/>
      <c r="AE2112" s="4"/>
      <c r="AF2112" s="6">
        <v>67</v>
      </c>
      <c r="AG2112" s="6"/>
      <c r="AH2112" s="7">
        <v>1</v>
      </c>
      <c r="AI2112" s="4"/>
      <c r="AJ2112" s="4">
        <f>=ROUNDDOWN({0},0)</f>
      </c>
      <c r="AK2112" s="5"/>
      <c r="AL2112" s="2" t="s">
        <v>228</v>
      </c>
      <c r="AM2112" s="4"/>
      <c r="AN2112" s="4"/>
      <c r="AO2112" s="7"/>
      <c r="AP2112" s="4"/>
      <c r="AQ2112" s="8"/>
      <c r="AR2112" s="4"/>
      <c r="AS2112" s="8"/>
      <c r="AT2112" s="7"/>
      <c r="AU2112" s="7"/>
      <c r="AV2112" s="4" t="s">
        <v>228</v>
      </c>
      <c r="AW2112" s="8" t="s">
        <v>228</v>
      </c>
      <c r="AX2112" s="4" t="s">
        <v>228</v>
      </c>
      <c r="AY2112" s="8" t="s">
        <v>228</v>
      </c>
      <c r="AZ2112" s="7" t="s">
        <v>228</v>
      </c>
      <c r="BA2112" s="7" t="s">
        <v>228</v>
      </c>
      <c r="BB2112" s="7" t="s">
        <v>228</v>
      </c>
      <c r="BC2112" s="4" t="s">
        <v>228</v>
      </c>
      <c r="BD2112" s="8" t="s">
        <v>228</v>
      </c>
      <c r="BE2112" s="4" t="s">
        <v>228</v>
      </c>
      <c r="BF2112" s="8" t="s">
        <v>228</v>
      </c>
      <c r="BG2112" s="7" t="s">
        <v>228</v>
      </c>
      <c r="BH2112" s="7" t="s">
        <v>228</v>
      </c>
      <c r="BI2112" s="7"/>
      <c r="BJ2112" s="4">
        <v>1</v>
      </c>
      <c r="BK2112" s="8">
        <v>35.28</v>
      </c>
      <c r="BL2112" s="2" t="s">
        <v>2978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10023</v>
      </c>
      <c r="BV2112" s="2" t="s">
        <v>228</v>
      </c>
      <c r="BW2112" s="2" t="s">
        <v>228</v>
      </c>
      <c r="BX2112" s="2" t="s">
        <v>337</v>
      </c>
      <c r="BY2112" s="2" t="s">
        <v>274</v>
      </c>
      <c r="BZ2112" s="2" t="s">
        <v>240</v>
      </c>
      <c r="CA2112" s="2" t="s">
        <v>5637</v>
      </c>
      <c r="CB2112" s="2" t="s">
        <v>10024</v>
      </c>
      <c r="CC2112" s="2" t="s">
        <v>241</v>
      </c>
      <c r="CD2112" s="2" t="s">
        <v>228</v>
      </c>
      <c r="CE2112" s="4">
        <v>369</v>
      </c>
      <c r="CF2112" s="4"/>
      <c r="CG2112" s="4"/>
      <c r="CH2112" s="4"/>
      <c r="CI2112" s="4"/>
      <c r="CJ2112" s="4"/>
      <c r="CK2112" s="4"/>
      <c r="CL2112" s="4"/>
      <c r="CM2112" s="4"/>
      <c r="CN2112" s="4"/>
      <c r="CO2112" s="4"/>
      <c r="CP2112" s="4"/>
      <c r="CQ2112" s="4"/>
      <c r="CR2112" s="4"/>
      <c r="CS2112" s="4"/>
      <c r="CT2112" s="4"/>
      <c r="CU2112" s="4"/>
      <c r="CV2112" s="4"/>
      <c r="CW2112" s="4"/>
      <c r="CX2112" s="4"/>
      <c r="CY2112" s="4"/>
      <c r="CZ2112" s="4"/>
      <c r="DA2112" s="4"/>
      <c r="DB2112" s="4"/>
      <c r="DC2112" s="4"/>
      <c r="DD2112" s="4"/>
      <c r="DE2112" s="4"/>
      <c r="DF2112" s="4"/>
      <c r="DG2112" s="4"/>
      <c r="DH2112" s="4"/>
      <c r="DI2112" s="4"/>
      <c r="DJ2112" s="4"/>
      <c r="DK2112" s="4"/>
      <c r="DL2112" s="4"/>
      <c r="DM2112" s="4"/>
      <c r="DN2112" s="4"/>
      <c r="DO2112" s="4"/>
      <c r="DP2112" s="4"/>
      <c r="DQ2112" s="4"/>
      <c r="DR2112" s="4"/>
      <c r="DS2112" s="4"/>
      <c r="DT2112" s="4"/>
      <c r="DU2112" s="4"/>
      <c r="DV2112" s="4"/>
      <c r="DW2112" s="4"/>
      <c r="DX2112" s="4"/>
      <c r="DY2112" s="4"/>
      <c r="DZ2112" s="4"/>
      <c r="EA2112" s="4"/>
      <c r="EB2112" s="4"/>
      <c r="EC2112" s="4"/>
      <c r="ED2112" s="4"/>
      <c r="EE2112" s="4"/>
      <c r="EF2112" s="4"/>
      <c r="EG2112" s="4"/>
      <c r="EH2112" s="4"/>
      <c r="EI2112" s="4"/>
      <c r="EJ2112" s="4"/>
      <c r="EK2112" s="4"/>
      <c r="EL2112" s="4"/>
      <c r="EM2112" s="4"/>
      <c r="EN2112" s="4"/>
      <c r="EO2112" s="4"/>
      <c r="EP2112" s="4"/>
      <c r="EQ2112" s="4"/>
      <c r="ER2112" s="4"/>
      <c r="ES2112" s="4"/>
      <c r="ET2112" s="4"/>
      <c r="EU2112" s="4"/>
      <c r="EV2112" s="4"/>
      <c r="EW2112" s="4"/>
      <c r="EX2112" s="4"/>
      <c r="EY2112" s="4"/>
      <c r="EZ2112" s="4"/>
      <c r="FA2112" s="4"/>
      <c r="FB2112" s="4"/>
      <c r="FC2112" s="4"/>
      <c r="FD2112" s="4"/>
      <c r="FE2112" s="4"/>
      <c r="FF2112" s="4"/>
      <c r="FG2112" s="4"/>
      <c r="FH2112" s="4"/>
      <c r="FI2112" s="4"/>
      <c r="FJ2112" s="4"/>
      <c r="FK2112" s="4"/>
      <c r="FL2112" s="4"/>
      <c r="FM2112" s="4"/>
      <c r="FN2112" s="4"/>
      <c r="FO2112" s="4"/>
      <c r="FP2112" s="4"/>
      <c r="FQ2112" s="4"/>
      <c r="FR2112" s="4"/>
      <c r="FS2112" s="4"/>
      <c r="FT2112" s="4"/>
      <c r="FU2112" s="4"/>
      <c r="FV2112" s="4"/>
      <c r="FW2112" s="4"/>
      <c r="FX2112" s="4"/>
      <c r="FY2112" s="4"/>
      <c r="FZ2112" s="4"/>
      <c r="GA2112" s="4"/>
      <c r="GB2112" s="4"/>
      <c r="GC2112" s="4"/>
      <c r="GD2112" s="4"/>
      <c r="GE2112" s="4"/>
      <c r="GF2112" s="4"/>
      <c r="GG2112" s="4"/>
      <c r="GH2112" s="4"/>
      <c r="GI2112" s="4"/>
      <c r="GJ2112" s="4"/>
      <c r="GK2112" s="4"/>
      <c r="GL2112" s="4"/>
      <c r="GM2112" s="4"/>
      <c r="GN2112" s="4"/>
      <c r="GO2112" s="4"/>
      <c r="GP2112" s="4"/>
      <c r="GQ2112" s="4"/>
      <c r="GR2112" s="4"/>
      <c r="GS2112" s="4"/>
      <c r="GT2112" s="4"/>
      <c r="GU2112" s="4"/>
      <c r="GV2112" s="4"/>
      <c r="GW2112" s="4"/>
      <c r="GX2112" s="4"/>
      <c r="GY2112" s="4"/>
      <c r="GZ2112" s="4"/>
      <c r="HA2112" s="4"/>
      <c r="HB2112" s="4"/>
      <c r="HC2112" s="4"/>
      <c r="HD2112" s="4"/>
      <c r="HE2112" s="4"/>
    </row>
    <row r="2113">
      <c r="A2113" s="2" t="s">
        <v>10025</v>
      </c>
      <c r="B2113" s="2" t="s">
        <v>1150</v>
      </c>
      <c r="C2113" s="2" t="s">
        <v>300</v>
      </c>
      <c r="D2113" s="2" t="s">
        <v>1112</v>
      </c>
      <c r="E2113" s="2" t="s">
        <v>1165</v>
      </c>
      <c r="F2113" s="2" t="s">
        <v>10026</v>
      </c>
      <c r="G2113" s="2" t="s">
        <v>10027</v>
      </c>
      <c r="H2113" s="2" t="s">
        <v>10028</v>
      </c>
      <c r="I2113" s="2" t="s">
        <v>10029</v>
      </c>
      <c r="J2113" s="2" t="s">
        <v>294</v>
      </c>
      <c r="K2113" s="2" t="s">
        <v>10030</v>
      </c>
      <c r="L2113" s="3">
        <v>93.1</v>
      </c>
      <c r="M2113" s="3">
        <v>97.75</v>
      </c>
      <c r="N2113" s="3">
        <v>189.99</v>
      </c>
      <c r="O2113" s="2" t="s">
        <v>240</v>
      </c>
      <c r="P2113" s="2" t="s">
        <v>333</v>
      </c>
      <c r="Q2113" s="2" t="s">
        <v>234</v>
      </c>
      <c r="R2113" s="2" t="s">
        <v>228</v>
      </c>
      <c r="S2113" s="2" t="s">
        <v>10031</v>
      </c>
      <c r="T2113" s="2" t="s">
        <v>228</v>
      </c>
      <c r="U2113" s="2" t="s">
        <v>1162</v>
      </c>
      <c r="V2113" s="2" t="s">
        <v>1156</v>
      </c>
      <c r="W2113" s="2" t="s">
        <v>1268</v>
      </c>
      <c r="X2113" s="2" t="s">
        <v>4537</v>
      </c>
      <c r="Y2113" s="2" t="s">
        <v>270</v>
      </c>
      <c r="Z2113" s="4">
        <v>6</v>
      </c>
      <c r="AA2113" s="4">
        <f>=ROUNDDOWN(2,0)</f>
      </c>
      <c r="AB2113" s="5">
        <v>3</v>
      </c>
      <c r="AC2113" s="2" t="s">
        <v>228</v>
      </c>
      <c r="AD2113" s="4"/>
      <c r="AE2113" s="4"/>
      <c r="AF2113" s="6">
        <v>65</v>
      </c>
      <c r="AG2113" s="6"/>
      <c r="AH2113" s="7">
        <v>1</v>
      </c>
      <c r="AI2113" s="4"/>
      <c r="AJ2113" s="4">
        <f>=ROUNDDOWN({0},0)</f>
      </c>
      <c r="AK2113" s="5"/>
      <c r="AL2113" s="2" t="s">
        <v>228</v>
      </c>
      <c r="AM2113" s="4"/>
      <c r="AN2113" s="4"/>
      <c r="AO2113" s="7"/>
      <c r="AP2113" s="4"/>
      <c r="AQ2113" s="8"/>
      <c r="AR2113" s="4"/>
      <c r="AS2113" s="8"/>
      <c r="AT2113" s="7"/>
      <c r="AU2113" s="7"/>
      <c r="AV2113" s="4"/>
      <c r="AW2113" s="8"/>
      <c r="AX2113" s="4"/>
      <c r="AY2113" s="8"/>
      <c r="AZ2113" s="7"/>
      <c r="BA2113" s="7"/>
      <c r="BB2113" s="7"/>
      <c r="BC2113" s="4"/>
      <c r="BD2113" s="8"/>
      <c r="BE2113" s="4"/>
      <c r="BF2113" s="8"/>
      <c r="BG2113" s="7"/>
      <c r="BH2113" s="7"/>
      <c r="BI2113" s="7"/>
      <c r="BJ2113" s="4">
        <v>15</v>
      </c>
      <c r="BK2113" s="8">
        <v>1504.21</v>
      </c>
      <c r="BL2113" s="2" t="s">
        <v>10032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10033</v>
      </c>
      <c r="BV2113" s="2" t="s">
        <v>228</v>
      </c>
      <c r="BW2113" s="2" t="s">
        <v>228</v>
      </c>
      <c r="BX2113" s="2" t="s">
        <v>337</v>
      </c>
      <c r="BY2113" s="2" t="s">
        <v>274</v>
      </c>
      <c r="BZ2113" s="2" t="s">
        <v>240</v>
      </c>
      <c r="CA2113" s="2" t="s">
        <v>10034</v>
      </c>
      <c r="CB2113" s="2" t="s">
        <v>10035</v>
      </c>
      <c r="CC2113" s="2" t="s">
        <v>241</v>
      </c>
      <c r="CD2113" s="2" t="s">
        <v>228</v>
      </c>
      <c r="CE2113" s="4">
        <v>6</v>
      </c>
      <c r="CF2113" s="4"/>
      <c r="CG2113" s="4"/>
      <c r="CH2113" s="4"/>
      <c r="CI2113" s="4"/>
      <c r="CJ2113" s="4"/>
      <c r="CK2113" s="4"/>
      <c r="CL2113" s="4"/>
      <c r="CM2113" s="4"/>
      <c r="CN2113" s="4"/>
      <c r="CO2113" s="4"/>
      <c r="CP2113" s="4"/>
      <c r="CQ2113" s="4"/>
      <c r="CR2113" s="4"/>
      <c r="CS2113" s="4"/>
      <c r="CT2113" s="4"/>
      <c r="CU2113" s="4"/>
      <c r="CV2113" s="4"/>
      <c r="CW2113" s="4"/>
      <c r="CX2113" s="4"/>
      <c r="CY2113" s="4"/>
      <c r="CZ2113" s="4"/>
      <c r="DA2113" s="4"/>
      <c r="DB2113" s="4"/>
      <c r="DC2113" s="4"/>
      <c r="DD2113" s="4"/>
      <c r="DE2113" s="4"/>
      <c r="DF2113" s="4"/>
      <c r="DG2113" s="4"/>
      <c r="DH2113" s="4"/>
      <c r="DI2113" s="4"/>
      <c r="DJ2113" s="4"/>
      <c r="DK2113" s="4"/>
      <c r="DL2113" s="4"/>
      <c r="DM2113" s="4"/>
      <c r="DN2113" s="4"/>
      <c r="DO2113" s="4"/>
      <c r="DP2113" s="4"/>
      <c r="DQ2113" s="4"/>
      <c r="DR2113" s="4"/>
      <c r="DS2113" s="4"/>
      <c r="DT2113" s="4"/>
      <c r="DU2113" s="4"/>
      <c r="DV2113" s="4"/>
      <c r="DW2113" s="4"/>
      <c r="DX2113" s="4"/>
      <c r="DY2113" s="4"/>
      <c r="DZ2113" s="4"/>
      <c r="EA2113" s="4"/>
      <c r="EB2113" s="4"/>
      <c r="EC2113" s="4"/>
      <c r="ED2113" s="4"/>
      <c r="EE2113" s="4"/>
      <c r="EF2113" s="4"/>
      <c r="EG2113" s="4"/>
      <c r="EH2113" s="4"/>
      <c r="EI2113" s="4"/>
      <c r="EJ2113" s="4"/>
      <c r="EK2113" s="4"/>
      <c r="EL2113" s="4"/>
      <c r="EM2113" s="4"/>
      <c r="EN2113" s="4"/>
      <c r="EO2113" s="4"/>
      <c r="EP2113" s="4"/>
      <c r="EQ2113" s="4"/>
      <c r="ER2113" s="4"/>
      <c r="ES2113" s="4"/>
      <c r="ET2113" s="4"/>
      <c r="EU2113" s="4"/>
      <c r="EV2113" s="4"/>
      <c r="EW2113" s="4"/>
      <c r="EX2113" s="4"/>
      <c r="EY2113" s="4"/>
      <c r="EZ2113" s="4"/>
      <c r="FA2113" s="4"/>
      <c r="FB2113" s="4"/>
      <c r="FC2113" s="4"/>
      <c r="FD2113" s="4"/>
      <c r="FE2113" s="4"/>
      <c r="FF2113" s="4"/>
      <c r="FG2113" s="4"/>
      <c r="FH2113" s="4"/>
      <c r="FI2113" s="4"/>
      <c r="FJ2113" s="4"/>
      <c r="FK2113" s="4"/>
      <c r="FL2113" s="4"/>
      <c r="FM2113" s="4"/>
      <c r="FN2113" s="4"/>
      <c r="FO2113" s="4"/>
      <c r="FP2113" s="4"/>
      <c r="FQ2113" s="4"/>
      <c r="FR2113" s="4"/>
      <c r="FS2113" s="4"/>
      <c r="FT2113" s="4"/>
      <c r="FU2113" s="4"/>
      <c r="FV2113" s="4"/>
      <c r="FW2113" s="4"/>
      <c r="FX2113" s="4"/>
      <c r="FY2113" s="4"/>
      <c r="FZ2113" s="4"/>
      <c r="GA2113" s="4"/>
      <c r="GB2113" s="4"/>
      <c r="GC2113" s="4"/>
      <c r="GD2113" s="4"/>
      <c r="GE2113" s="4"/>
      <c r="GF2113" s="4"/>
      <c r="GG2113" s="4"/>
      <c r="GH2113" s="4"/>
      <c r="GI2113" s="4"/>
      <c r="GJ2113" s="4"/>
      <c r="GK2113" s="4"/>
      <c r="GL2113" s="4"/>
      <c r="GM2113" s="4"/>
      <c r="GN2113" s="4"/>
      <c r="GO2113" s="4"/>
      <c r="GP2113" s="4"/>
      <c r="GQ2113" s="4"/>
      <c r="GR2113" s="4"/>
      <c r="GS2113" s="4"/>
      <c r="GT2113" s="4"/>
      <c r="GU2113" s="4"/>
      <c r="GV2113" s="4"/>
      <c r="GW2113" s="4"/>
      <c r="GX2113" s="4"/>
      <c r="GY2113" s="4"/>
      <c r="GZ2113" s="4"/>
      <c r="HA2113" s="4"/>
      <c r="HB2113" s="4"/>
      <c r="HC2113" s="4"/>
      <c r="HD2113" s="4"/>
      <c r="HE2113" s="4"/>
    </row>
    <row r="2114">
      <c r="A2114" s="2" t="s">
        <v>10036</v>
      </c>
      <c r="B2114" s="2" t="s">
        <v>970</v>
      </c>
      <c r="C2114" s="2" t="s">
        <v>300</v>
      </c>
      <c r="D2114" s="2" t="s">
        <v>971</v>
      </c>
      <c r="E2114" s="2" t="s">
        <v>972</v>
      </c>
      <c r="F2114" s="2" t="s">
        <v>10037</v>
      </c>
      <c r="G2114" s="2" t="s">
        <v>10038</v>
      </c>
      <c r="H2114" s="2" t="s">
        <v>7427</v>
      </c>
      <c r="I2114" s="2" t="s">
        <v>10039</v>
      </c>
      <c r="J2114" s="2" t="s">
        <v>977</v>
      </c>
      <c r="K2114" s="2" t="s">
        <v>265</v>
      </c>
      <c r="L2114" s="3">
        <v>16.45</v>
      </c>
      <c r="M2114" s="3">
        <v>17.27</v>
      </c>
      <c r="N2114" s="3">
        <v>34.99</v>
      </c>
      <c r="O2114" s="2" t="s">
        <v>240</v>
      </c>
      <c r="P2114" s="2" t="s">
        <v>333</v>
      </c>
      <c r="Q2114" s="2" t="s">
        <v>234</v>
      </c>
      <c r="R2114" s="2" t="s">
        <v>228</v>
      </c>
      <c r="S2114" s="2" t="s">
        <v>10040</v>
      </c>
      <c r="T2114" s="2" t="s">
        <v>228</v>
      </c>
      <c r="U2114" s="2" t="s">
        <v>228</v>
      </c>
      <c r="V2114" s="2" t="s">
        <v>1344</v>
      </c>
      <c r="W2114" s="2" t="s">
        <v>463</v>
      </c>
      <c r="X2114" s="2" t="s">
        <v>1345</v>
      </c>
      <c r="Y2114" s="2" t="s">
        <v>270</v>
      </c>
      <c r="Z2114" s="4">
        <v>73</v>
      </c>
      <c r="AA2114" s="4">
        <f>=ROUNDDOWN(6.23931623931624,0)</f>
      </c>
      <c r="AB2114" s="5">
        <v>11.7</v>
      </c>
      <c r="AC2114" s="2" t="s">
        <v>228</v>
      </c>
      <c r="AD2114" s="4"/>
      <c r="AE2114" s="4"/>
      <c r="AF2114" s="6">
        <v>64</v>
      </c>
      <c r="AG2114" s="6"/>
      <c r="AH2114" s="7">
        <v>1</v>
      </c>
      <c r="AI2114" s="4"/>
      <c r="AJ2114" s="4">
        <f>=ROUNDDOWN({0},0)</f>
      </c>
      <c r="AK2114" s="5"/>
      <c r="AL2114" s="2" t="s">
        <v>228</v>
      </c>
      <c r="AM2114" s="4"/>
      <c r="AN2114" s="4"/>
      <c r="AO2114" s="7"/>
      <c r="AP2114" s="4"/>
      <c r="AQ2114" s="8"/>
      <c r="AR2114" s="4"/>
      <c r="AS2114" s="8"/>
      <c r="AT2114" s="7"/>
      <c r="AU2114" s="7"/>
      <c r="AV2114" s="4"/>
      <c r="AW2114" s="8"/>
      <c r="AX2114" s="4"/>
      <c r="AY2114" s="8"/>
      <c r="AZ2114" s="7"/>
      <c r="BA2114" s="7"/>
      <c r="BB2114" s="7"/>
      <c r="BC2114" s="4" t="s">
        <v>228</v>
      </c>
      <c r="BD2114" s="8" t="s">
        <v>228</v>
      </c>
      <c r="BE2114" s="4" t="s">
        <v>228</v>
      </c>
      <c r="BF2114" s="8" t="s">
        <v>228</v>
      </c>
      <c r="BG2114" s="7" t="s">
        <v>228</v>
      </c>
      <c r="BH2114" s="7" t="s">
        <v>228</v>
      </c>
      <c r="BI2114" s="7"/>
      <c r="BJ2114" s="4">
        <v>56</v>
      </c>
      <c r="BK2114" s="8">
        <v>720.04</v>
      </c>
      <c r="BL2114" s="2" t="s">
        <v>10041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10042</v>
      </c>
      <c r="BV2114" s="2" t="s">
        <v>228</v>
      </c>
      <c r="BW2114" s="2" t="s">
        <v>228</v>
      </c>
      <c r="BX2114" s="2" t="s">
        <v>337</v>
      </c>
      <c r="BY2114" s="2" t="s">
        <v>274</v>
      </c>
      <c r="BZ2114" s="2" t="s">
        <v>240</v>
      </c>
      <c r="CA2114" s="2" t="s">
        <v>1950</v>
      </c>
      <c r="CB2114" s="2" t="s">
        <v>10043</v>
      </c>
      <c r="CC2114" s="2" t="s">
        <v>241</v>
      </c>
      <c r="CD2114" s="2" t="s">
        <v>228</v>
      </c>
      <c r="CE2114" s="4">
        <v>73</v>
      </c>
      <c r="CF2114" s="4"/>
      <c r="CG2114" s="4"/>
      <c r="CH2114" s="4"/>
      <c r="CI2114" s="4"/>
      <c r="CJ2114" s="4"/>
      <c r="CK2114" s="4"/>
      <c r="CL2114" s="4"/>
      <c r="CM2114" s="4"/>
      <c r="CN2114" s="4"/>
      <c r="CO2114" s="4"/>
      <c r="CP2114" s="4"/>
      <c r="CQ2114" s="4"/>
      <c r="CR2114" s="4"/>
      <c r="CS2114" s="4"/>
      <c r="CT2114" s="4"/>
      <c r="CU2114" s="4"/>
      <c r="CV2114" s="4"/>
      <c r="CW2114" s="4"/>
      <c r="CX2114" s="4"/>
      <c r="CY2114" s="4"/>
      <c r="CZ2114" s="4"/>
      <c r="DA2114" s="4"/>
      <c r="DB2114" s="4"/>
      <c r="DC2114" s="4"/>
      <c r="DD2114" s="4"/>
      <c r="DE2114" s="4"/>
      <c r="DF2114" s="4"/>
      <c r="DG2114" s="4"/>
      <c r="DH2114" s="4"/>
      <c r="DI2114" s="4"/>
      <c r="DJ2114" s="4"/>
      <c r="DK2114" s="4"/>
      <c r="DL2114" s="4"/>
      <c r="DM2114" s="4"/>
      <c r="DN2114" s="4"/>
      <c r="DO2114" s="4"/>
      <c r="DP2114" s="4"/>
      <c r="DQ2114" s="4"/>
      <c r="DR2114" s="4"/>
      <c r="DS2114" s="4"/>
      <c r="DT2114" s="4"/>
      <c r="DU2114" s="4"/>
      <c r="DV2114" s="4"/>
      <c r="DW2114" s="4"/>
      <c r="DX2114" s="4"/>
      <c r="DY2114" s="4"/>
      <c r="DZ2114" s="4"/>
      <c r="EA2114" s="4"/>
      <c r="EB2114" s="4"/>
      <c r="EC2114" s="4"/>
      <c r="ED2114" s="4"/>
      <c r="EE2114" s="4"/>
      <c r="EF2114" s="4"/>
      <c r="EG2114" s="4"/>
      <c r="EH2114" s="4"/>
      <c r="EI2114" s="4"/>
      <c r="EJ2114" s="4"/>
      <c r="EK2114" s="4"/>
      <c r="EL2114" s="4"/>
      <c r="EM2114" s="4"/>
      <c r="EN2114" s="4"/>
      <c r="EO2114" s="4"/>
      <c r="EP2114" s="4"/>
      <c r="EQ2114" s="4"/>
      <c r="ER2114" s="4"/>
      <c r="ES2114" s="4"/>
      <c r="ET2114" s="4"/>
      <c r="EU2114" s="4"/>
      <c r="EV2114" s="4"/>
      <c r="EW2114" s="4"/>
      <c r="EX2114" s="4"/>
      <c r="EY2114" s="4"/>
      <c r="EZ2114" s="4"/>
      <c r="FA2114" s="4"/>
      <c r="FB2114" s="4"/>
      <c r="FC2114" s="4"/>
      <c r="FD2114" s="4"/>
      <c r="FE2114" s="4"/>
      <c r="FF2114" s="4"/>
      <c r="FG2114" s="4"/>
      <c r="FH2114" s="4"/>
      <c r="FI2114" s="4"/>
      <c r="FJ2114" s="4"/>
      <c r="FK2114" s="4"/>
      <c r="FL2114" s="4"/>
      <c r="FM2114" s="4"/>
      <c r="FN2114" s="4"/>
      <c r="FO2114" s="4"/>
      <c r="FP2114" s="4"/>
      <c r="FQ2114" s="4"/>
      <c r="FR2114" s="4"/>
      <c r="FS2114" s="4"/>
      <c r="FT2114" s="4"/>
      <c r="FU2114" s="4"/>
      <c r="FV2114" s="4"/>
      <c r="FW2114" s="4"/>
      <c r="FX2114" s="4"/>
      <c r="FY2114" s="4"/>
      <c r="FZ2114" s="4"/>
      <c r="GA2114" s="4"/>
      <c r="GB2114" s="4"/>
      <c r="GC2114" s="4"/>
      <c r="GD2114" s="4"/>
      <c r="GE2114" s="4"/>
      <c r="GF2114" s="4"/>
      <c r="GG2114" s="4"/>
      <c r="GH2114" s="4"/>
      <c r="GI2114" s="4"/>
      <c r="GJ2114" s="4"/>
      <c r="GK2114" s="4"/>
      <c r="GL2114" s="4"/>
      <c r="GM2114" s="4"/>
      <c r="GN2114" s="4"/>
      <c r="GO2114" s="4"/>
      <c r="GP2114" s="4"/>
      <c r="GQ2114" s="4"/>
      <c r="GR2114" s="4"/>
      <c r="GS2114" s="4"/>
      <c r="GT2114" s="4"/>
      <c r="GU2114" s="4"/>
      <c r="GV2114" s="4"/>
      <c r="GW2114" s="4"/>
      <c r="GX2114" s="4"/>
      <c r="GY2114" s="4"/>
      <c r="GZ2114" s="4"/>
      <c r="HA2114" s="4"/>
      <c r="HB2114" s="4"/>
      <c r="HC2114" s="4"/>
      <c r="HD2114" s="4"/>
      <c r="HE2114" s="4"/>
    </row>
    <row r="2115">
      <c r="A2115" s="2" t="s">
        <v>10044</v>
      </c>
      <c r="B2115" s="2" t="s">
        <v>970</v>
      </c>
      <c r="C2115" s="2" t="s">
        <v>300</v>
      </c>
      <c r="D2115" s="2" t="s">
        <v>1497</v>
      </c>
      <c r="E2115" s="2" t="s">
        <v>1498</v>
      </c>
      <c r="F2115" s="2" t="s">
        <v>10037</v>
      </c>
      <c r="G2115" s="2" t="s">
        <v>10038</v>
      </c>
      <c r="H2115" s="2" t="s">
        <v>7427</v>
      </c>
      <c r="I2115" s="2" t="s">
        <v>10045</v>
      </c>
      <c r="J2115" s="2" t="s">
        <v>1500</v>
      </c>
      <c r="K2115" s="2" t="s">
        <v>460</v>
      </c>
      <c r="L2115" s="3">
        <v>11.25</v>
      </c>
      <c r="M2115" s="3">
        <v>11.81</v>
      </c>
      <c r="N2115" s="3">
        <v>24.99</v>
      </c>
      <c r="O2115" s="2" t="s">
        <v>240</v>
      </c>
      <c r="P2115" s="2" t="s">
        <v>333</v>
      </c>
      <c r="Q2115" s="2" t="s">
        <v>234</v>
      </c>
      <c r="R2115" s="2" t="s">
        <v>228</v>
      </c>
      <c r="S2115" s="2" t="s">
        <v>10046</v>
      </c>
      <c r="T2115" s="2" t="s">
        <v>228</v>
      </c>
      <c r="U2115" s="2" t="s">
        <v>228</v>
      </c>
      <c r="V2115" s="2" t="s">
        <v>1344</v>
      </c>
      <c r="W2115" s="2" t="s">
        <v>463</v>
      </c>
      <c r="X2115" s="2" t="s">
        <v>228</v>
      </c>
      <c r="Y2115" s="2" t="s">
        <v>10047</v>
      </c>
      <c r="Z2115" s="4">
        <v>190</v>
      </c>
      <c r="AA2115" s="4">
        <f>=ROUNDDOWN(43.1818181818182,0)</f>
      </c>
      <c r="AB2115" s="5">
        <v>4.4</v>
      </c>
      <c r="AC2115" s="2" t="s">
        <v>228</v>
      </c>
      <c r="AD2115" s="4"/>
      <c r="AE2115" s="4"/>
      <c r="AF2115" s="6">
        <v>64</v>
      </c>
      <c r="AG2115" s="6"/>
      <c r="AH2115" s="7">
        <v>1</v>
      </c>
      <c r="AI2115" s="4"/>
      <c r="AJ2115" s="4">
        <f>=ROUNDDOWN({0},0)</f>
      </c>
      <c r="AK2115" s="5"/>
      <c r="AL2115" s="2" t="s">
        <v>228</v>
      </c>
      <c r="AM2115" s="4"/>
      <c r="AN2115" s="4"/>
      <c r="AO2115" s="7"/>
      <c r="AP2115" s="4"/>
      <c r="AQ2115" s="8"/>
      <c r="AR2115" s="4"/>
      <c r="AS2115" s="8"/>
      <c r="AT2115" s="7"/>
      <c r="AU2115" s="7"/>
      <c r="AV2115" s="4"/>
      <c r="AW2115" s="8"/>
      <c r="AX2115" s="4"/>
      <c r="AY2115" s="8"/>
      <c r="AZ2115" s="7"/>
      <c r="BA2115" s="7"/>
      <c r="BB2115" s="7"/>
      <c r="BC2115" s="4" t="s">
        <v>228</v>
      </c>
      <c r="BD2115" s="8" t="s">
        <v>228</v>
      </c>
      <c r="BE2115" s="4" t="s">
        <v>228</v>
      </c>
      <c r="BF2115" s="8" t="s">
        <v>228</v>
      </c>
      <c r="BG2115" s="7" t="s">
        <v>228</v>
      </c>
      <c r="BH2115" s="7" t="s">
        <v>228</v>
      </c>
      <c r="BI2115" s="7"/>
      <c r="BJ2115" s="4">
        <v>22</v>
      </c>
      <c r="BK2115" s="8">
        <v>261.16</v>
      </c>
      <c r="BL2115" s="2" t="s">
        <v>7975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10048</v>
      </c>
      <c r="BV2115" s="2" t="s">
        <v>228</v>
      </c>
      <c r="BW2115" s="2" t="s">
        <v>228</v>
      </c>
      <c r="BX2115" s="2" t="s">
        <v>337</v>
      </c>
      <c r="BY2115" s="2" t="s">
        <v>274</v>
      </c>
      <c r="BZ2115" s="2" t="s">
        <v>240</v>
      </c>
      <c r="CA2115" s="2" t="s">
        <v>1950</v>
      </c>
      <c r="CB2115" s="2" t="s">
        <v>2523</v>
      </c>
      <c r="CC2115" s="2" t="s">
        <v>241</v>
      </c>
      <c r="CD2115" s="2" t="s">
        <v>228</v>
      </c>
      <c r="CE2115" s="4">
        <v>190</v>
      </c>
      <c r="CF2115" s="4"/>
      <c r="CG2115" s="4"/>
      <c r="CH2115" s="4"/>
      <c r="CI2115" s="4"/>
      <c r="CJ2115" s="4"/>
      <c r="CK2115" s="4"/>
      <c r="CL2115" s="4"/>
      <c r="CM2115" s="4"/>
      <c r="CN2115" s="4"/>
      <c r="CO2115" s="4"/>
      <c r="CP2115" s="4"/>
      <c r="CQ2115" s="4"/>
      <c r="CR2115" s="4"/>
      <c r="CS2115" s="4"/>
      <c r="CT2115" s="4"/>
      <c r="CU2115" s="4"/>
      <c r="CV2115" s="4"/>
      <c r="CW2115" s="4"/>
      <c r="CX2115" s="4"/>
      <c r="CY2115" s="4"/>
      <c r="CZ2115" s="4"/>
      <c r="DA2115" s="4"/>
      <c r="DB2115" s="4"/>
      <c r="DC2115" s="4"/>
      <c r="DD2115" s="4"/>
      <c r="DE2115" s="4"/>
      <c r="DF2115" s="4"/>
      <c r="DG2115" s="4"/>
      <c r="DH2115" s="4"/>
      <c r="DI2115" s="4"/>
      <c r="DJ2115" s="4"/>
      <c r="DK2115" s="4"/>
      <c r="DL2115" s="4"/>
      <c r="DM2115" s="4"/>
      <c r="DN2115" s="4"/>
      <c r="DO2115" s="4"/>
      <c r="DP2115" s="4"/>
      <c r="DQ2115" s="4"/>
      <c r="DR2115" s="4"/>
      <c r="DS2115" s="4"/>
      <c r="DT2115" s="4"/>
      <c r="DU2115" s="4"/>
      <c r="DV2115" s="4"/>
      <c r="DW2115" s="4"/>
      <c r="DX2115" s="4"/>
      <c r="DY2115" s="4"/>
      <c r="DZ2115" s="4"/>
      <c r="EA2115" s="4"/>
      <c r="EB2115" s="4"/>
      <c r="EC2115" s="4"/>
      <c r="ED2115" s="4"/>
      <c r="EE2115" s="4"/>
      <c r="EF2115" s="4"/>
      <c r="EG2115" s="4"/>
      <c r="EH2115" s="4"/>
      <c r="EI2115" s="4"/>
      <c r="EJ2115" s="4"/>
      <c r="EK2115" s="4"/>
      <c r="EL2115" s="4"/>
      <c r="EM2115" s="4"/>
      <c r="EN2115" s="4"/>
      <c r="EO2115" s="4"/>
      <c r="EP2115" s="4"/>
      <c r="EQ2115" s="4"/>
      <c r="ER2115" s="4"/>
      <c r="ES2115" s="4"/>
      <c r="ET2115" s="4"/>
      <c r="EU2115" s="4"/>
      <c r="EV2115" s="4"/>
      <c r="EW2115" s="4"/>
      <c r="EX2115" s="4"/>
      <c r="EY2115" s="4"/>
      <c r="EZ2115" s="4"/>
      <c r="FA2115" s="4"/>
      <c r="FB2115" s="4"/>
      <c r="FC2115" s="4"/>
      <c r="FD2115" s="4"/>
      <c r="FE2115" s="4"/>
      <c r="FF2115" s="4"/>
      <c r="FG2115" s="4"/>
      <c r="FH2115" s="4"/>
      <c r="FI2115" s="4"/>
      <c r="FJ2115" s="4"/>
      <c r="FK2115" s="4"/>
      <c r="FL2115" s="4"/>
      <c r="FM2115" s="4"/>
      <c r="FN2115" s="4"/>
      <c r="FO2115" s="4"/>
      <c r="FP2115" s="4"/>
      <c r="FQ2115" s="4"/>
      <c r="FR2115" s="4"/>
      <c r="FS2115" s="4"/>
      <c r="FT2115" s="4"/>
      <c r="FU2115" s="4"/>
      <c r="FV2115" s="4"/>
      <c r="FW2115" s="4"/>
      <c r="FX2115" s="4"/>
      <c r="FY2115" s="4"/>
      <c r="FZ2115" s="4"/>
      <c r="GA2115" s="4"/>
      <c r="GB2115" s="4"/>
      <c r="GC2115" s="4"/>
      <c r="GD2115" s="4"/>
      <c r="GE2115" s="4"/>
      <c r="GF2115" s="4"/>
      <c r="GG2115" s="4"/>
      <c r="GH2115" s="4"/>
      <c r="GI2115" s="4"/>
      <c r="GJ2115" s="4"/>
      <c r="GK2115" s="4"/>
      <c r="GL2115" s="4"/>
      <c r="GM2115" s="4"/>
      <c r="GN2115" s="4"/>
      <c r="GO2115" s="4"/>
      <c r="GP2115" s="4"/>
      <c r="GQ2115" s="4"/>
      <c r="GR2115" s="4"/>
      <c r="GS2115" s="4"/>
      <c r="GT2115" s="4"/>
      <c r="GU2115" s="4"/>
      <c r="GV2115" s="4"/>
      <c r="GW2115" s="4"/>
      <c r="GX2115" s="4"/>
      <c r="GY2115" s="4"/>
      <c r="GZ2115" s="4"/>
      <c r="HA2115" s="4"/>
      <c r="HB2115" s="4"/>
      <c r="HC2115" s="4"/>
      <c r="HD2115" s="4"/>
      <c r="HE2115" s="4"/>
    </row>
    <row r="2116">
      <c r="A2116" s="2" t="s">
        <v>10049</v>
      </c>
      <c r="B2116" s="2" t="s">
        <v>1150</v>
      </c>
      <c r="C2116" s="2" t="s">
        <v>300</v>
      </c>
      <c r="D2116" s="2" t="s">
        <v>1112</v>
      </c>
      <c r="E2116" s="2" t="s">
        <v>1165</v>
      </c>
      <c r="F2116" s="2" t="s">
        <v>10037</v>
      </c>
      <c r="G2116" s="2" t="s">
        <v>10038</v>
      </c>
      <c r="H2116" s="2" t="s">
        <v>7427</v>
      </c>
      <c r="I2116" s="2" t="s">
        <v>10050</v>
      </c>
      <c r="J2116" s="2" t="s">
        <v>312</v>
      </c>
      <c r="K2116" s="2" t="s">
        <v>251</v>
      </c>
      <c r="L2116" s="3">
        <v>76.49</v>
      </c>
      <c r="M2116" s="3">
        <v>80.32</v>
      </c>
      <c r="N2116" s="3">
        <v>159.99</v>
      </c>
      <c r="O2116" s="2" t="s">
        <v>240</v>
      </c>
      <c r="P2116" s="2" t="s">
        <v>266</v>
      </c>
      <c r="Q2116" s="2" t="s">
        <v>234</v>
      </c>
      <c r="R2116" s="2" t="s">
        <v>228</v>
      </c>
      <c r="S2116" s="2" t="s">
        <v>10051</v>
      </c>
      <c r="T2116" s="2" t="s">
        <v>228</v>
      </c>
      <c r="U2116" s="2" t="s">
        <v>1331</v>
      </c>
      <c r="V2116" s="2" t="s">
        <v>1344</v>
      </c>
      <c r="W2116" s="2" t="s">
        <v>463</v>
      </c>
      <c r="X2116" s="2" t="s">
        <v>9030</v>
      </c>
      <c r="Y2116" s="2" t="s">
        <v>270</v>
      </c>
      <c r="Z2116" s="4">
        <v>153</v>
      </c>
      <c r="AA2116" s="4">
        <f>=ROUNDDOWN(38.25,0)</f>
      </c>
      <c r="AB2116" s="5">
        <v>4</v>
      </c>
      <c r="AC2116" s="2" t="s">
        <v>1516</v>
      </c>
      <c r="AD2116" s="4">
        <v>50</v>
      </c>
      <c r="AE2116" s="4">
        <v>50</v>
      </c>
      <c r="AF2116" s="6">
        <v>64</v>
      </c>
      <c r="AG2116" s="6">
        <v>47</v>
      </c>
      <c r="AH2116" s="7">
        <v>1</v>
      </c>
      <c r="AI2116" s="4"/>
      <c r="AJ2116" s="4">
        <f>=ROUNDDOWN({0},0)</f>
      </c>
      <c r="AK2116" s="5"/>
      <c r="AL2116" s="2" t="s">
        <v>228</v>
      </c>
      <c r="AM2116" s="4"/>
      <c r="AN2116" s="4"/>
      <c r="AO2116" s="7"/>
      <c r="AP2116" s="4"/>
      <c r="AQ2116" s="8"/>
      <c r="AR2116" s="4"/>
      <c r="AS2116" s="8"/>
      <c r="AT2116" s="7"/>
      <c r="AU2116" s="7"/>
      <c r="AV2116" s="4"/>
      <c r="AW2116" s="8"/>
      <c r="AX2116" s="4"/>
      <c r="AY2116" s="8"/>
      <c r="AZ2116" s="7"/>
      <c r="BA2116" s="7"/>
      <c r="BB2116" s="7"/>
      <c r="BC2116" s="4" t="s">
        <v>228</v>
      </c>
      <c r="BD2116" s="8" t="s">
        <v>228</v>
      </c>
      <c r="BE2116" s="4" t="s">
        <v>228</v>
      </c>
      <c r="BF2116" s="8" t="s">
        <v>228</v>
      </c>
      <c r="BG2116" s="7" t="s">
        <v>228</v>
      </c>
      <c r="BH2116" s="7" t="s">
        <v>228</v>
      </c>
      <c r="BI2116" s="7"/>
      <c r="BJ2116" s="4">
        <v>18</v>
      </c>
      <c r="BK2116" s="8">
        <v>1369.34</v>
      </c>
      <c r="BL2116" s="2" t="s">
        <v>10052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10053</v>
      </c>
      <c r="BV2116" s="2" t="s">
        <v>228</v>
      </c>
      <c r="BW2116" s="2" t="s">
        <v>228</v>
      </c>
      <c r="BX2116" s="2" t="s">
        <v>273</v>
      </c>
      <c r="BY2116" s="2" t="s">
        <v>274</v>
      </c>
      <c r="BZ2116" s="2" t="s">
        <v>240</v>
      </c>
      <c r="CA2116" s="2" t="s">
        <v>3871</v>
      </c>
      <c r="CB2116" s="2" t="s">
        <v>437</v>
      </c>
      <c r="CC2116" s="2" t="s">
        <v>241</v>
      </c>
      <c r="CD2116" s="2" t="s">
        <v>228</v>
      </c>
      <c r="CE2116" s="4">
        <v>76</v>
      </c>
      <c r="CF2116" s="4"/>
      <c r="CG2116" s="4"/>
      <c r="CH2116" s="4">
        <v>77</v>
      </c>
      <c r="CI2116" s="4"/>
      <c r="CJ2116" s="4"/>
      <c r="CK2116" s="4"/>
      <c r="CL2116" s="4"/>
      <c r="CM2116" s="4"/>
      <c r="CN2116" s="4"/>
      <c r="CO2116" s="4"/>
      <c r="CP2116" s="4"/>
      <c r="CQ2116" s="4"/>
      <c r="CR2116" s="4"/>
      <c r="CS2116" s="4"/>
      <c r="CT2116" s="4"/>
      <c r="CU2116" s="4"/>
      <c r="CV2116" s="4"/>
      <c r="CW2116" s="4"/>
      <c r="CX2116" s="4"/>
      <c r="CY2116" s="4"/>
      <c r="CZ2116" s="4"/>
      <c r="DA2116" s="4"/>
      <c r="DB2116" s="4"/>
      <c r="DC2116" s="4"/>
      <c r="DD2116" s="4"/>
      <c r="DE2116" s="4"/>
      <c r="DF2116" s="4"/>
      <c r="DG2116" s="4"/>
      <c r="DH2116" s="4"/>
      <c r="DI2116" s="4"/>
      <c r="DJ2116" s="4"/>
      <c r="DK2116" s="4"/>
      <c r="DL2116" s="4"/>
      <c r="DM2116" s="4"/>
      <c r="DN2116" s="4"/>
      <c r="DO2116" s="4"/>
      <c r="DP2116" s="4"/>
      <c r="DQ2116" s="4"/>
      <c r="DR2116" s="4"/>
      <c r="DS2116" s="4"/>
      <c r="DT2116" s="4"/>
      <c r="DU2116" s="4"/>
      <c r="DV2116" s="4"/>
      <c r="DW2116" s="4"/>
      <c r="DX2116" s="4"/>
      <c r="DY2116" s="4"/>
      <c r="DZ2116" s="4"/>
      <c r="EA2116" s="4"/>
      <c r="EB2116" s="4"/>
      <c r="EC2116" s="4"/>
      <c r="ED2116" s="4"/>
      <c r="EE2116" s="4"/>
      <c r="EF2116" s="4"/>
      <c r="EG2116" s="4">
        <v>50</v>
      </c>
      <c r="EH2116" s="4"/>
      <c r="EI2116" s="4"/>
      <c r="EJ2116" s="4"/>
      <c r="EK2116" s="4"/>
      <c r="EL2116" s="4"/>
      <c r="EM2116" s="4"/>
      <c r="EN2116" s="4"/>
      <c r="EO2116" s="4"/>
      <c r="EP2116" s="4"/>
      <c r="EQ2116" s="4"/>
      <c r="ER2116" s="4"/>
      <c r="ES2116" s="4"/>
      <c r="ET2116" s="4"/>
      <c r="EU2116" s="4"/>
      <c r="EV2116" s="4"/>
      <c r="EW2116" s="4"/>
      <c r="EX2116" s="4"/>
      <c r="EY2116" s="4"/>
      <c r="EZ2116" s="4"/>
      <c r="FA2116" s="4"/>
      <c r="FB2116" s="4"/>
      <c r="FC2116" s="4"/>
      <c r="FD2116" s="4"/>
      <c r="FE2116" s="4"/>
      <c r="FF2116" s="4"/>
      <c r="FG2116" s="4"/>
      <c r="FH2116" s="4"/>
      <c r="FI2116" s="4"/>
      <c r="FJ2116" s="4"/>
      <c r="FK2116" s="4"/>
      <c r="FL2116" s="4"/>
      <c r="FM2116" s="4"/>
      <c r="FN2116" s="4"/>
      <c r="FO2116" s="4"/>
      <c r="FP2116" s="4"/>
      <c r="FQ2116" s="4"/>
      <c r="FR2116" s="4"/>
      <c r="FS2116" s="4"/>
      <c r="FT2116" s="4"/>
      <c r="FU2116" s="4"/>
      <c r="FV2116" s="4"/>
      <c r="FW2116" s="4"/>
      <c r="FX2116" s="4"/>
      <c r="FY2116" s="4"/>
      <c r="FZ2116" s="4"/>
      <c r="GA2116" s="4"/>
      <c r="GB2116" s="4"/>
      <c r="GC2116" s="4"/>
      <c r="GD2116" s="4"/>
      <c r="GE2116" s="4"/>
      <c r="GF2116" s="4"/>
      <c r="GG2116" s="4"/>
      <c r="GH2116" s="4"/>
      <c r="GI2116" s="4"/>
      <c r="GJ2116" s="4"/>
      <c r="GK2116" s="4"/>
      <c r="GL2116" s="4"/>
      <c r="GM2116" s="4"/>
      <c r="GN2116" s="4"/>
      <c r="GO2116" s="4"/>
      <c r="GP2116" s="4"/>
      <c r="GQ2116" s="4"/>
      <c r="GR2116" s="4"/>
      <c r="GS2116" s="4"/>
      <c r="GT2116" s="4"/>
      <c r="GU2116" s="4"/>
      <c r="GV2116" s="4"/>
      <c r="GW2116" s="4"/>
      <c r="GX2116" s="4"/>
      <c r="GY2116" s="4"/>
      <c r="GZ2116" s="4"/>
      <c r="HA2116" s="4"/>
      <c r="HB2116" s="4"/>
      <c r="HC2116" s="4"/>
      <c r="HD2116" s="4"/>
      <c r="HE2116" s="4"/>
    </row>
    <row r="2117">
      <c r="A2117" s="2" t="s">
        <v>10054</v>
      </c>
      <c r="B2117" s="2" t="s">
        <v>1150</v>
      </c>
      <c r="C2117" s="2" t="s">
        <v>300</v>
      </c>
      <c r="D2117" s="2" t="s">
        <v>1112</v>
      </c>
      <c r="E2117" s="2" t="s">
        <v>1165</v>
      </c>
      <c r="F2117" s="2" t="s">
        <v>10037</v>
      </c>
      <c r="G2117" s="2" t="s">
        <v>10038</v>
      </c>
      <c r="H2117" s="2" t="s">
        <v>7427</v>
      </c>
      <c r="I2117" s="2" t="s">
        <v>10050</v>
      </c>
      <c r="J2117" s="2" t="s">
        <v>312</v>
      </c>
      <c r="K2117" s="2" t="s">
        <v>1390</v>
      </c>
      <c r="L2117" s="3">
        <v>76.49</v>
      </c>
      <c r="M2117" s="3">
        <v>80.32</v>
      </c>
      <c r="N2117" s="3">
        <v>159.99</v>
      </c>
      <c r="O2117" s="2" t="s">
        <v>240</v>
      </c>
      <c r="P2117" s="2" t="s">
        <v>266</v>
      </c>
      <c r="Q2117" s="2" t="s">
        <v>234</v>
      </c>
      <c r="R2117" s="2" t="s">
        <v>228</v>
      </c>
      <c r="S2117" s="2" t="s">
        <v>10055</v>
      </c>
      <c r="T2117" s="2" t="s">
        <v>228</v>
      </c>
      <c r="U2117" s="2" t="s">
        <v>1331</v>
      </c>
      <c r="V2117" s="2" t="s">
        <v>1344</v>
      </c>
      <c r="W2117" s="2" t="s">
        <v>463</v>
      </c>
      <c r="X2117" s="2" t="s">
        <v>9030</v>
      </c>
      <c r="Y2117" s="2" t="s">
        <v>270</v>
      </c>
      <c r="Z2117" s="4">
        <v>222</v>
      </c>
      <c r="AA2117" s="4">
        <f>=ROUNDDOWN(74,0)</f>
      </c>
      <c r="AB2117" s="5">
        <v>3</v>
      </c>
      <c r="AC2117" s="2" t="s">
        <v>228</v>
      </c>
      <c r="AD2117" s="4"/>
      <c r="AE2117" s="4"/>
      <c r="AF2117" s="6">
        <v>64</v>
      </c>
      <c r="AG2117" s="6">
        <v>47</v>
      </c>
      <c r="AH2117" s="7">
        <v>1</v>
      </c>
      <c r="AI2117" s="4"/>
      <c r="AJ2117" s="4">
        <f>=ROUNDDOWN({0},0)</f>
      </c>
      <c r="AK2117" s="5"/>
      <c r="AL2117" s="2" t="s">
        <v>228</v>
      </c>
      <c r="AM2117" s="4"/>
      <c r="AN2117" s="4"/>
      <c r="AO2117" s="7"/>
      <c r="AP2117" s="4"/>
      <c r="AQ2117" s="8"/>
      <c r="AR2117" s="4"/>
      <c r="AS2117" s="8"/>
      <c r="AT2117" s="7"/>
      <c r="AU2117" s="7"/>
      <c r="AV2117" s="4"/>
      <c r="AW2117" s="8"/>
      <c r="AX2117" s="4"/>
      <c r="AY2117" s="8"/>
      <c r="AZ2117" s="7"/>
      <c r="BA2117" s="7"/>
      <c r="BB2117" s="7"/>
      <c r="BC2117" s="4" t="s">
        <v>228</v>
      </c>
      <c r="BD2117" s="8" t="s">
        <v>228</v>
      </c>
      <c r="BE2117" s="4" t="s">
        <v>228</v>
      </c>
      <c r="BF2117" s="8" t="s">
        <v>228</v>
      </c>
      <c r="BG2117" s="7" t="s">
        <v>228</v>
      </c>
      <c r="BH2117" s="7" t="s">
        <v>228</v>
      </c>
      <c r="BI2117" s="7"/>
      <c r="BJ2117" s="4">
        <v>12</v>
      </c>
      <c r="BK2117" s="8">
        <v>915.41</v>
      </c>
      <c r="BL2117" s="2" t="s">
        <v>10056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10057</v>
      </c>
      <c r="BV2117" s="2" t="s">
        <v>228</v>
      </c>
      <c r="BW2117" s="2" t="s">
        <v>228</v>
      </c>
      <c r="BX2117" s="2" t="s">
        <v>273</v>
      </c>
      <c r="BY2117" s="2" t="s">
        <v>274</v>
      </c>
      <c r="BZ2117" s="2" t="s">
        <v>240</v>
      </c>
      <c r="CA2117" s="2" t="s">
        <v>275</v>
      </c>
      <c r="CB2117" s="2" t="s">
        <v>609</v>
      </c>
      <c r="CC2117" s="2" t="s">
        <v>241</v>
      </c>
      <c r="CD2117" s="2" t="s">
        <v>228</v>
      </c>
      <c r="CE2117" s="4">
        <v>124</v>
      </c>
      <c r="CF2117" s="4"/>
      <c r="CG2117" s="4"/>
      <c r="CH2117" s="4">
        <v>98</v>
      </c>
      <c r="CI2117" s="4"/>
      <c r="CJ2117" s="4"/>
      <c r="CK2117" s="4"/>
      <c r="CL2117" s="4"/>
      <c r="CM2117" s="4"/>
      <c r="CN2117" s="4"/>
      <c r="CO2117" s="4"/>
      <c r="CP2117" s="4"/>
      <c r="CQ2117" s="4"/>
      <c r="CR2117" s="4"/>
      <c r="CS2117" s="4"/>
      <c r="CT2117" s="4"/>
      <c r="CU2117" s="4"/>
      <c r="CV2117" s="4"/>
      <c r="CW2117" s="4"/>
      <c r="CX2117" s="4"/>
      <c r="CY2117" s="4"/>
      <c r="CZ2117" s="4"/>
      <c r="DA2117" s="4"/>
      <c r="DB2117" s="4"/>
      <c r="DC2117" s="4"/>
      <c r="DD2117" s="4"/>
      <c r="DE2117" s="4"/>
      <c r="DF2117" s="4"/>
      <c r="DG2117" s="4"/>
      <c r="DH2117" s="4"/>
      <c r="DI2117" s="4"/>
      <c r="DJ2117" s="4"/>
      <c r="DK2117" s="4"/>
      <c r="DL2117" s="4"/>
      <c r="DM2117" s="4"/>
      <c r="DN2117" s="4"/>
      <c r="DO2117" s="4"/>
      <c r="DP2117" s="4"/>
      <c r="DQ2117" s="4"/>
      <c r="DR2117" s="4"/>
      <c r="DS2117" s="4"/>
      <c r="DT2117" s="4"/>
      <c r="DU2117" s="4"/>
      <c r="DV2117" s="4"/>
      <c r="DW2117" s="4"/>
      <c r="DX2117" s="4"/>
      <c r="DY2117" s="4"/>
      <c r="DZ2117" s="4"/>
      <c r="EA2117" s="4"/>
      <c r="EB2117" s="4"/>
      <c r="EC2117" s="4"/>
      <c r="ED2117" s="4"/>
      <c r="EE2117" s="4"/>
      <c r="EF2117" s="4"/>
      <c r="EG2117" s="4"/>
      <c r="EH2117" s="4"/>
      <c r="EI2117" s="4"/>
      <c r="EJ2117" s="4"/>
      <c r="EK2117" s="4"/>
      <c r="EL2117" s="4"/>
      <c r="EM2117" s="4"/>
      <c r="EN2117" s="4"/>
      <c r="EO2117" s="4"/>
      <c r="EP2117" s="4"/>
      <c r="EQ2117" s="4"/>
      <c r="ER2117" s="4"/>
      <c r="ES2117" s="4"/>
      <c r="ET2117" s="4"/>
      <c r="EU2117" s="4"/>
      <c r="EV2117" s="4"/>
      <c r="EW2117" s="4"/>
      <c r="EX2117" s="4"/>
      <c r="EY2117" s="4"/>
      <c r="EZ2117" s="4"/>
      <c r="FA2117" s="4"/>
      <c r="FB2117" s="4"/>
      <c r="FC2117" s="4"/>
      <c r="FD2117" s="4"/>
      <c r="FE2117" s="4"/>
      <c r="FF2117" s="4"/>
      <c r="FG2117" s="4"/>
      <c r="FH2117" s="4"/>
      <c r="FI2117" s="4"/>
      <c r="FJ2117" s="4"/>
      <c r="FK2117" s="4"/>
      <c r="FL2117" s="4"/>
      <c r="FM2117" s="4"/>
      <c r="FN2117" s="4"/>
      <c r="FO2117" s="4"/>
      <c r="FP2117" s="4"/>
      <c r="FQ2117" s="4"/>
      <c r="FR2117" s="4"/>
      <c r="FS2117" s="4"/>
      <c r="FT2117" s="4"/>
      <c r="FU2117" s="4"/>
      <c r="FV2117" s="4"/>
      <c r="FW2117" s="4"/>
      <c r="FX2117" s="4"/>
      <c r="FY2117" s="4"/>
      <c r="FZ2117" s="4"/>
      <c r="GA2117" s="4"/>
      <c r="GB2117" s="4"/>
      <c r="GC2117" s="4"/>
      <c r="GD2117" s="4"/>
      <c r="GE2117" s="4"/>
      <c r="GF2117" s="4"/>
      <c r="GG2117" s="4"/>
      <c r="GH2117" s="4"/>
      <c r="GI2117" s="4"/>
      <c r="GJ2117" s="4"/>
      <c r="GK2117" s="4"/>
      <c r="GL2117" s="4"/>
      <c r="GM2117" s="4"/>
      <c r="GN2117" s="4"/>
      <c r="GO2117" s="4"/>
      <c r="GP2117" s="4"/>
      <c r="GQ2117" s="4"/>
      <c r="GR2117" s="4"/>
      <c r="GS2117" s="4"/>
      <c r="GT2117" s="4"/>
      <c r="GU2117" s="4"/>
      <c r="GV2117" s="4"/>
      <c r="GW2117" s="4"/>
      <c r="GX2117" s="4"/>
      <c r="GY2117" s="4"/>
      <c r="GZ2117" s="4"/>
      <c r="HA2117" s="4"/>
      <c r="HB2117" s="4"/>
      <c r="HC2117" s="4"/>
      <c r="HD2117" s="4"/>
      <c r="HE2117" s="4"/>
    </row>
    <row r="2118">
      <c r="A2118" s="2" t="s">
        <v>10058</v>
      </c>
      <c r="B2118" s="2" t="s">
        <v>1374</v>
      </c>
      <c r="C2118" s="2" t="s">
        <v>300</v>
      </c>
      <c r="D2118" s="2" t="s">
        <v>1375</v>
      </c>
      <c r="E2118" s="2" t="s">
        <v>1376</v>
      </c>
      <c r="F2118" s="2" t="s">
        <v>10037</v>
      </c>
      <c r="G2118" s="2" t="s">
        <v>10038</v>
      </c>
      <c r="H2118" s="2" t="s">
        <v>7427</v>
      </c>
      <c r="I2118" s="2" t="s">
        <v>1377</v>
      </c>
      <c r="J2118" s="2" t="s">
        <v>10059</v>
      </c>
      <c r="K2118" s="2" t="s">
        <v>829</v>
      </c>
      <c r="L2118" s="3">
        <v>15.18</v>
      </c>
      <c r="M2118" s="3">
        <v>15.94</v>
      </c>
      <c r="N2118" s="3">
        <v>32.99</v>
      </c>
      <c r="O2118" s="2" t="s">
        <v>240</v>
      </c>
      <c r="P2118" s="2" t="s">
        <v>233</v>
      </c>
      <c r="Q2118" s="2" t="s">
        <v>234</v>
      </c>
      <c r="R2118" s="2" t="s">
        <v>228</v>
      </c>
      <c r="S2118" s="2" t="s">
        <v>10060</v>
      </c>
      <c r="T2118" s="2" t="s">
        <v>350</v>
      </c>
      <c r="U2118" s="2" t="s">
        <v>416</v>
      </c>
      <c r="V2118" s="2" t="s">
        <v>1156</v>
      </c>
      <c r="W2118" s="2" t="s">
        <v>743</v>
      </c>
      <c r="X2118" s="2" t="s">
        <v>463</v>
      </c>
      <c r="Y2118" s="2" t="s">
        <v>2367</v>
      </c>
      <c r="Z2118" s="4">
        <v>2</v>
      </c>
      <c r="AA2118" s="4">
        <f>=ROUNDDOWN(0.0408163265306122,0)</f>
      </c>
      <c r="AB2118" s="5">
        <v>49</v>
      </c>
      <c r="AC2118" s="2" t="s">
        <v>155</v>
      </c>
      <c r="AD2118" s="4">
        <v>300</v>
      </c>
      <c r="AE2118" s="4">
        <v>1440</v>
      </c>
      <c r="AF2118" s="6">
        <v>67</v>
      </c>
      <c r="AG2118" s="6"/>
      <c r="AH2118" s="7">
        <v>0</v>
      </c>
      <c r="AI2118" s="4"/>
      <c r="AJ2118" s="4">
        <f>=ROUNDDOWN({0},0)</f>
      </c>
      <c r="AK2118" s="5"/>
      <c r="AL2118" s="2" t="s">
        <v>228</v>
      </c>
      <c r="AM2118" s="4"/>
      <c r="AN2118" s="4"/>
      <c r="AO2118" s="7"/>
      <c r="AP2118" s="4"/>
      <c r="AQ2118" s="8"/>
      <c r="AR2118" s="4"/>
      <c r="AS2118" s="8"/>
      <c r="AT2118" s="7"/>
      <c r="AU2118" s="7"/>
      <c r="AV2118" s="4"/>
      <c r="AW2118" s="8"/>
      <c r="AX2118" s="4"/>
      <c r="AY2118" s="8"/>
      <c r="AZ2118" s="7"/>
      <c r="BA2118" s="7"/>
      <c r="BB2118" s="7"/>
      <c r="BC2118" s="4" t="s">
        <v>228</v>
      </c>
      <c r="BD2118" s="8" t="s">
        <v>228</v>
      </c>
      <c r="BE2118" s="4" t="s">
        <v>228</v>
      </c>
      <c r="BF2118" s="8" t="s">
        <v>228</v>
      </c>
      <c r="BG2118" s="7" t="s">
        <v>228</v>
      </c>
      <c r="BH2118" s="7" t="s">
        <v>228</v>
      </c>
      <c r="BI2118" s="7"/>
      <c r="BJ2118" s="4">
        <v>4</v>
      </c>
      <c r="BK2118" s="8">
        <v>69.84</v>
      </c>
      <c r="BL2118" s="2" t="s">
        <v>727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10061</v>
      </c>
      <c r="BV2118" s="2" t="s">
        <v>228</v>
      </c>
      <c r="BW2118" s="2" t="s">
        <v>228</v>
      </c>
      <c r="BX2118" s="2" t="s">
        <v>273</v>
      </c>
      <c r="BY2118" s="2" t="s">
        <v>274</v>
      </c>
      <c r="BZ2118" s="2" t="s">
        <v>240</v>
      </c>
      <c r="CA2118" s="2" t="s">
        <v>5072</v>
      </c>
      <c r="CB2118" s="2" t="s">
        <v>355</v>
      </c>
      <c r="CC2118" s="2" t="s">
        <v>241</v>
      </c>
      <c r="CD2118" s="2" t="s">
        <v>228</v>
      </c>
      <c r="CE2118" s="4">
        <v>2</v>
      </c>
      <c r="CF2118" s="4"/>
      <c r="CG2118" s="4"/>
      <c r="CH2118" s="4"/>
      <c r="CI2118" s="4"/>
      <c r="CJ2118" s="4"/>
      <c r="CK2118" s="4"/>
      <c r="CL2118" s="4"/>
      <c r="CM2118" s="4"/>
      <c r="CN2118" s="4"/>
      <c r="CO2118" s="4"/>
      <c r="CP2118" s="4"/>
      <c r="CQ2118" s="4"/>
      <c r="CR2118" s="4"/>
      <c r="CS2118" s="4"/>
      <c r="CT2118" s="4"/>
      <c r="CU2118" s="4"/>
      <c r="CV2118" s="4"/>
      <c r="CW2118" s="4"/>
      <c r="CX2118" s="4"/>
      <c r="CY2118" s="4"/>
      <c r="CZ2118" s="4"/>
      <c r="DA2118" s="4"/>
      <c r="DB2118" s="4"/>
      <c r="DC2118" s="4"/>
      <c r="DD2118" s="4"/>
      <c r="DE2118" s="4"/>
      <c r="DF2118" s="4"/>
      <c r="DG2118" s="4"/>
      <c r="DH2118" s="4"/>
      <c r="DI2118" s="4"/>
      <c r="DJ2118" s="4"/>
      <c r="DK2118" s="4"/>
      <c r="DL2118" s="4"/>
      <c r="DM2118" s="4"/>
      <c r="DN2118" s="4"/>
      <c r="DO2118" s="4"/>
      <c r="DP2118" s="4"/>
      <c r="DQ2118" s="4"/>
      <c r="DR2118" s="4"/>
      <c r="DS2118" s="4"/>
      <c r="DT2118" s="4"/>
      <c r="DU2118" s="4"/>
      <c r="DV2118" s="4"/>
      <c r="DW2118" s="4"/>
      <c r="DX2118" s="4"/>
      <c r="DY2118" s="4"/>
      <c r="DZ2118" s="4"/>
      <c r="EA2118" s="4"/>
      <c r="EB2118" s="4"/>
      <c r="EC2118" s="4"/>
      <c r="ED2118" s="4"/>
      <c r="EE2118" s="4"/>
      <c r="EF2118" s="4"/>
      <c r="EG2118" s="4"/>
      <c r="EH2118" s="4"/>
      <c r="EI2118" s="4"/>
      <c r="EJ2118" s="4"/>
      <c r="EK2118" s="4"/>
      <c r="EL2118" s="4"/>
      <c r="EM2118" s="4"/>
      <c r="EN2118" s="4"/>
      <c r="EO2118" s="4"/>
      <c r="EP2118" s="4"/>
      <c r="EQ2118" s="4">
        <v>300</v>
      </c>
      <c r="ER2118" s="4"/>
      <c r="ES2118" s="4"/>
      <c r="ET2118" s="4"/>
      <c r="EU2118" s="4"/>
      <c r="EV2118" s="4"/>
      <c r="EW2118" s="4"/>
      <c r="EX2118" s="4"/>
      <c r="EY2118" s="4"/>
      <c r="EZ2118" s="4"/>
      <c r="FA2118" s="4"/>
      <c r="FB2118" s="4"/>
      <c r="FC2118" s="4"/>
      <c r="FD2118" s="4"/>
      <c r="FE2118" s="4"/>
      <c r="FF2118" s="4"/>
      <c r="FG2118" s="4"/>
      <c r="FH2118" s="4"/>
      <c r="FI2118" s="4"/>
      <c r="FJ2118" s="4"/>
      <c r="FK2118" s="4"/>
      <c r="FL2118" s="4"/>
      <c r="FM2118" s="4"/>
      <c r="FN2118" s="4"/>
      <c r="FO2118" s="4"/>
      <c r="FP2118" s="4"/>
      <c r="FQ2118" s="4"/>
      <c r="FR2118" s="4">
        <v>440</v>
      </c>
      <c r="FS2118" s="4"/>
      <c r="FT2118" s="4"/>
      <c r="FU2118" s="4"/>
      <c r="FV2118" s="4"/>
      <c r="FW2118" s="4"/>
      <c r="FX2118" s="4"/>
      <c r="FY2118" s="4"/>
      <c r="FZ2118" s="4"/>
      <c r="GA2118" s="4"/>
      <c r="GB2118" s="4"/>
      <c r="GC2118" s="4"/>
      <c r="GD2118" s="4"/>
      <c r="GE2118" s="4"/>
      <c r="GF2118" s="4"/>
      <c r="GG2118" s="4"/>
      <c r="GH2118" s="4"/>
      <c r="GI2118" s="4"/>
      <c r="GJ2118" s="4"/>
      <c r="GK2118" s="4"/>
      <c r="GL2118" s="4"/>
      <c r="GM2118" s="4"/>
      <c r="GN2118" s="4">
        <v>700</v>
      </c>
      <c r="GO2118" s="4"/>
      <c r="GP2118" s="4"/>
      <c r="GQ2118" s="4"/>
      <c r="GR2118" s="4"/>
      <c r="GS2118" s="4"/>
      <c r="GT2118" s="4"/>
      <c r="GU2118" s="4"/>
      <c r="GV2118" s="4"/>
      <c r="GW2118" s="4"/>
      <c r="GX2118" s="4"/>
      <c r="GY2118" s="4"/>
      <c r="GZ2118" s="4"/>
      <c r="HA2118" s="4"/>
      <c r="HB2118" s="4"/>
      <c r="HC2118" s="4"/>
      <c r="HD2118" s="4"/>
      <c r="HE2118" s="4"/>
    </row>
    <row r="2119">
      <c r="A2119" s="2" t="s">
        <v>10062</v>
      </c>
      <c r="B2119" s="2" t="s">
        <v>970</v>
      </c>
      <c r="C2119" s="2" t="s">
        <v>300</v>
      </c>
      <c r="D2119" s="2" t="s">
        <v>971</v>
      </c>
      <c r="E2119" s="2" t="s">
        <v>972</v>
      </c>
      <c r="F2119" s="2" t="s">
        <v>10037</v>
      </c>
      <c r="G2119" s="2" t="s">
        <v>10038</v>
      </c>
      <c r="H2119" s="2" t="s">
        <v>7427</v>
      </c>
      <c r="I2119" s="2" t="s">
        <v>10039</v>
      </c>
      <c r="J2119" s="2" t="s">
        <v>977</v>
      </c>
      <c r="K2119" s="2" t="s">
        <v>1077</v>
      </c>
      <c r="L2119" s="3">
        <v>16.45</v>
      </c>
      <c r="M2119" s="3">
        <v>17.27</v>
      </c>
      <c r="N2119" s="3">
        <v>34.99</v>
      </c>
      <c r="O2119" s="2" t="s">
        <v>240</v>
      </c>
      <c r="P2119" s="2" t="s">
        <v>266</v>
      </c>
      <c r="Q2119" s="2" t="s">
        <v>234</v>
      </c>
      <c r="R2119" s="2" t="s">
        <v>228</v>
      </c>
      <c r="S2119" s="2" t="s">
        <v>10063</v>
      </c>
      <c r="T2119" s="2" t="s">
        <v>228</v>
      </c>
      <c r="U2119" s="2" t="s">
        <v>416</v>
      </c>
      <c r="V2119" s="2" t="s">
        <v>1344</v>
      </c>
      <c r="W2119" s="2" t="s">
        <v>743</v>
      </c>
      <c r="X2119" s="2" t="s">
        <v>1345</v>
      </c>
      <c r="Y2119" s="2" t="s">
        <v>1247</v>
      </c>
      <c r="Z2119" s="4">
        <v>172</v>
      </c>
      <c r="AA2119" s="4">
        <f>=ROUNDDOWN(11.4666666666667,0)</f>
      </c>
      <c r="AB2119" s="5">
        <v>15</v>
      </c>
      <c r="AC2119" s="2" t="s">
        <v>1352</v>
      </c>
      <c r="AD2119" s="4">
        <v>256</v>
      </c>
      <c r="AE2119" s="4">
        <v>476</v>
      </c>
      <c r="AF2119" s="6">
        <v>64</v>
      </c>
      <c r="AG2119" s="6"/>
      <c r="AH2119" s="7">
        <v>1</v>
      </c>
      <c r="AI2119" s="4"/>
      <c r="AJ2119" s="4">
        <f>=ROUNDDOWN({0},0)</f>
      </c>
      <c r="AK2119" s="5"/>
      <c r="AL2119" s="2" t="s">
        <v>228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/>
      <c r="AW2119" s="8"/>
      <c r="AX2119" s="4"/>
      <c r="AY2119" s="8"/>
      <c r="AZ2119" s="7"/>
      <c r="BA2119" s="7"/>
      <c r="BB2119" s="7"/>
      <c r="BC2119" s="4" t="s">
        <v>228</v>
      </c>
      <c r="BD2119" s="8" t="s">
        <v>228</v>
      </c>
      <c r="BE2119" s="4" t="s">
        <v>228</v>
      </c>
      <c r="BF2119" s="8" t="s">
        <v>228</v>
      </c>
      <c r="BG2119" s="7" t="s">
        <v>228</v>
      </c>
      <c r="BH2119" s="7" t="s">
        <v>228</v>
      </c>
      <c r="BI2119" s="7"/>
      <c r="BJ2119" s="4">
        <v>36</v>
      </c>
      <c r="BK2119" s="8">
        <v>670.96</v>
      </c>
      <c r="BL2119" s="2" t="s">
        <v>10064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10065</v>
      </c>
      <c r="BV2119" s="2" t="s">
        <v>228</v>
      </c>
      <c r="BW2119" s="2" t="s">
        <v>228</v>
      </c>
      <c r="BX2119" s="2" t="s">
        <v>273</v>
      </c>
      <c r="BY2119" s="2" t="s">
        <v>274</v>
      </c>
      <c r="BZ2119" s="2" t="s">
        <v>240</v>
      </c>
      <c r="CA2119" s="2" t="s">
        <v>8663</v>
      </c>
      <c r="CB2119" s="2" t="s">
        <v>4338</v>
      </c>
      <c r="CC2119" s="2" t="s">
        <v>241</v>
      </c>
      <c r="CD2119" s="2" t="s">
        <v>228</v>
      </c>
      <c r="CE2119" s="4">
        <v>172</v>
      </c>
      <c r="CF2119" s="4"/>
      <c r="CG2119" s="4"/>
      <c r="CH2119" s="4"/>
      <c r="CI2119" s="4"/>
      <c r="CJ2119" s="4"/>
      <c r="CK2119" s="4"/>
      <c r="CL2119" s="4"/>
      <c r="CM2119" s="4"/>
      <c r="CN2119" s="4"/>
      <c r="CO2119" s="4"/>
      <c r="CP2119" s="4"/>
      <c r="CQ2119" s="4"/>
      <c r="CR2119" s="4"/>
      <c r="CS2119" s="4"/>
      <c r="CT2119" s="4"/>
      <c r="CU2119" s="4"/>
      <c r="CV2119" s="4"/>
      <c r="CW2119" s="4"/>
      <c r="CX2119" s="4"/>
      <c r="CY2119" s="4"/>
      <c r="CZ2119" s="4"/>
      <c r="DA2119" s="4"/>
      <c r="DB2119" s="4"/>
      <c r="DC2119" s="4"/>
      <c r="DD2119" s="4"/>
      <c r="DE2119" s="4"/>
      <c r="DF2119" s="4"/>
      <c r="DG2119" s="4"/>
      <c r="DH2119" s="4"/>
      <c r="DI2119" s="4"/>
      <c r="DJ2119" s="4"/>
      <c r="DK2119" s="4"/>
      <c r="DL2119" s="4"/>
      <c r="DM2119" s="4"/>
      <c r="DN2119" s="4"/>
      <c r="DO2119" s="4"/>
      <c r="DP2119" s="4"/>
      <c r="DQ2119" s="4"/>
      <c r="DR2119" s="4"/>
      <c r="DS2119" s="4"/>
      <c r="DT2119" s="4"/>
      <c r="DU2119" s="4"/>
      <c r="DV2119" s="4"/>
      <c r="DW2119" s="4"/>
      <c r="DX2119" s="4"/>
      <c r="DY2119" s="4"/>
      <c r="DZ2119" s="4"/>
      <c r="EA2119" s="4"/>
      <c r="EB2119" s="4"/>
      <c r="EC2119" s="4"/>
      <c r="ED2119" s="4"/>
      <c r="EE2119" s="4"/>
      <c r="EF2119" s="4"/>
      <c r="EG2119" s="4"/>
      <c r="EH2119" s="4"/>
      <c r="EI2119" s="4"/>
      <c r="EJ2119" s="4">
        <v>256</v>
      </c>
      <c r="EK2119" s="4"/>
      <c r="EL2119" s="4"/>
      <c r="EM2119" s="4"/>
      <c r="EN2119" s="4"/>
      <c r="EO2119" s="4"/>
      <c r="EP2119" s="4"/>
      <c r="EQ2119" s="4"/>
      <c r="ER2119" s="4"/>
      <c r="ES2119" s="4"/>
      <c r="ET2119" s="4"/>
      <c r="EU2119" s="4"/>
      <c r="EV2119" s="4"/>
      <c r="EW2119" s="4"/>
      <c r="EX2119" s="4"/>
      <c r="EY2119" s="4"/>
      <c r="EZ2119" s="4"/>
      <c r="FA2119" s="4"/>
      <c r="FB2119" s="4"/>
      <c r="FC2119" s="4"/>
      <c r="FD2119" s="4"/>
      <c r="FE2119" s="4"/>
      <c r="FF2119" s="4"/>
      <c r="FG2119" s="4"/>
      <c r="FH2119" s="4"/>
      <c r="FI2119" s="4"/>
      <c r="FJ2119" s="4"/>
      <c r="FK2119" s="4"/>
      <c r="FL2119" s="4"/>
      <c r="FM2119" s="4"/>
      <c r="FN2119" s="4"/>
      <c r="FO2119" s="4"/>
      <c r="FP2119" s="4"/>
      <c r="FQ2119" s="4"/>
      <c r="FR2119" s="4"/>
      <c r="FS2119" s="4"/>
      <c r="FT2119" s="4"/>
      <c r="FU2119" s="4"/>
      <c r="FV2119" s="4"/>
      <c r="FW2119" s="4"/>
      <c r="FX2119" s="4"/>
      <c r="FY2119" s="4"/>
      <c r="FZ2119" s="4"/>
      <c r="GA2119" s="4"/>
      <c r="GB2119" s="4">
        <v>220</v>
      </c>
      <c r="GC2119" s="4"/>
      <c r="GD2119" s="4"/>
      <c r="GE2119" s="4"/>
      <c r="GF2119" s="4"/>
      <c r="GG2119" s="4"/>
      <c r="GH2119" s="4"/>
      <c r="GI2119" s="4"/>
      <c r="GJ2119" s="4"/>
      <c r="GK2119" s="4"/>
      <c r="GL2119" s="4"/>
      <c r="GM2119" s="4"/>
      <c r="GN2119" s="4"/>
      <c r="GO2119" s="4"/>
      <c r="GP2119" s="4"/>
      <c r="GQ2119" s="4"/>
      <c r="GR2119" s="4"/>
      <c r="GS2119" s="4"/>
      <c r="GT2119" s="4"/>
      <c r="GU2119" s="4"/>
      <c r="GV2119" s="4"/>
      <c r="GW2119" s="4"/>
      <c r="GX2119" s="4"/>
      <c r="GY2119" s="4"/>
      <c r="GZ2119" s="4"/>
      <c r="HA2119" s="4"/>
      <c r="HB2119" s="4"/>
      <c r="HC2119" s="4"/>
      <c r="HD2119" s="4"/>
      <c r="HE2119" s="4"/>
    </row>
    <row r="2120">
      <c r="A2120" s="2" t="s">
        <v>10066</v>
      </c>
      <c r="B2120" s="2" t="s">
        <v>834</v>
      </c>
      <c r="C2120" s="2" t="s">
        <v>835</v>
      </c>
      <c r="D2120" s="2" t="s">
        <v>836</v>
      </c>
      <c r="E2120" s="2" t="s">
        <v>837</v>
      </c>
      <c r="F2120" s="2" t="s">
        <v>10067</v>
      </c>
      <c r="G2120" s="2" t="s">
        <v>10067</v>
      </c>
      <c r="H2120" s="2" t="s">
        <v>10067</v>
      </c>
      <c r="I2120" s="2" t="s">
        <v>10068</v>
      </c>
      <c r="J2120" s="2" t="s">
        <v>840</v>
      </c>
      <c r="K2120" s="2" t="s">
        <v>4935</v>
      </c>
      <c r="L2120" s="3">
        <v>132</v>
      </c>
      <c r="M2120" s="3">
        <v>138.6</v>
      </c>
      <c r="N2120" s="3">
        <v>279.99</v>
      </c>
      <c r="O2120" s="2" t="s">
        <v>240</v>
      </c>
      <c r="P2120" s="2" t="s">
        <v>233</v>
      </c>
      <c r="Q2120" s="2" t="s">
        <v>234</v>
      </c>
      <c r="R2120" s="2" t="s">
        <v>228</v>
      </c>
      <c r="S2120" s="2" t="s">
        <v>228</v>
      </c>
      <c r="T2120" s="2" t="s">
        <v>228</v>
      </c>
      <c r="U2120" s="2" t="s">
        <v>416</v>
      </c>
      <c r="V2120" s="2" t="s">
        <v>842</v>
      </c>
      <c r="W2120" s="2" t="s">
        <v>1761</v>
      </c>
      <c r="X2120" s="2" t="s">
        <v>269</v>
      </c>
      <c r="Y2120" s="2" t="s">
        <v>2428</v>
      </c>
      <c r="Z2120" s="4">
        <v>86</v>
      </c>
      <c r="AA2120" s="4">
        <f>=ROUNDDOWN(86,0)</f>
      </c>
      <c r="AB2120" s="5">
        <v>1</v>
      </c>
      <c r="AC2120" s="2" t="s">
        <v>228</v>
      </c>
      <c r="AD2120" s="4"/>
      <c r="AE2120" s="4"/>
      <c r="AF2120" s="6">
        <v>63</v>
      </c>
      <c r="AG2120" s="6"/>
      <c r="AH2120" s="7">
        <v>1</v>
      </c>
      <c r="AI2120" s="4"/>
      <c r="AJ2120" s="4">
        <f>=ROUNDDOWN({0},0)</f>
      </c>
      <c r="AK2120" s="5"/>
      <c r="AL2120" s="2" t="s">
        <v>228</v>
      </c>
      <c r="AM2120" s="4"/>
      <c r="AN2120" s="4"/>
      <c r="AO2120" s="7"/>
      <c r="AP2120" s="4"/>
      <c r="AQ2120" s="8"/>
      <c r="AR2120" s="4"/>
      <c r="AS2120" s="8"/>
      <c r="AT2120" s="7"/>
      <c r="AU2120" s="7"/>
      <c r="AV2120" s="4"/>
      <c r="AW2120" s="8"/>
      <c r="AX2120" s="4"/>
      <c r="AY2120" s="8"/>
      <c r="AZ2120" s="7"/>
      <c r="BA2120" s="7"/>
      <c r="BB2120" s="7"/>
      <c r="BC2120" s="4"/>
      <c r="BD2120" s="8"/>
      <c r="BE2120" s="4"/>
      <c r="BF2120" s="8"/>
      <c r="BG2120" s="7"/>
      <c r="BH2120" s="7"/>
      <c r="BI2120" s="7"/>
      <c r="BJ2120" s="4">
        <v>1</v>
      </c>
      <c r="BK2120" s="8">
        <v>155.23</v>
      </c>
      <c r="BL2120" s="2" t="s">
        <v>484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10069</v>
      </c>
      <c r="BV2120" s="2" t="s">
        <v>228</v>
      </c>
      <c r="BW2120" s="2" t="s">
        <v>228</v>
      </c>
      <c r="BX2120" s="2" t="s">
        <v>273</v>
      </c>
      <c r="BY2120" s="2" t="s">
        <v>274</v>
      </c>
      <c r="BZ2120" s="2" t="s">
        <v>240</v>
      </c>
      <c r="CA2120" s="2" t="s">
        <v>1001</v>
      </c>
      <c r="CB2120" s="2" t="s">
        <v>2812</v>
      </c>
      <c r="CC2120" s="2" t="s">
        <v>241</v>
      </c>
      <c r="CD2120" s="2" t="s">
        <v>228</v>
      </c>
      <c r="CE2120" s="4"/>
      <c r="CF2120" s="4">
        <v>86</v>
      </c>
      <c r="CG2120" s="4"/>
      <c r="CH2120" s="4"/>
      <c r="CI2120" s="4"/>
      <c r="CJ2120" s="4"/>
      <c r="CK2120" s="4"/>
      <c r="CL2120" s="4"/>
      <c r="CM2120" s="4"/>
      <c r="CN2120" s="4"/>
      <c r="CO2120" s="4"/>
      <c r="CP2120" s="4"/>
      <c r="CQ2120" s="4"/>
      <c r="CR2120" s="4"/>
      <c r="CS2120" s="4"/>
      <c r="CT2120" s="4"/>
      <c r="CU2120" s="4"/>
      <c r="CV2120" s="4"/>
      <c r="CW2120" s="4"/>
      <c r="CX2120" s="4"/>
      <c r="CY2120" s="4"/>
      <c r="CZ2120" s="4"/>
      <c r="DA2120" s="4"/>
      <c r="DB2120" s="4"/>
      <c r="DC2120" s="4"/>
      <c r="DD2120" s="4"/>
      <c r="DE2120" s="4"/>
      <c r="DF2120" s="4"/>
      <c r="DG2120" s="4"/>
      <c r="DH2120" s="4"/>
      <c r="DI2120" s="4"/>
      <c r="DJ2120" s="4"/>
      <c r="DK2120" s="4"/>
      <c r="DL2120" s="4"/>
      <c r="DM2120" s="4"/>
      <c r="DN2120" s="4"/>
      <c r="DO2120" s="4"/>
      <c r="DP2120" s="4"/>
      <c r="DQ2120" s="4"/>
      <c r="DR2120" s="4"/>
      <c r="DS2120" s="4"/>
      <c r="DT2120" s="4"/>
      <c r="DU2120" s="4"/>
      <c r="DV2120" s="4"/>
      <c r="DW2120" s="4"/>
      <c r="DX2120" s="4"/>
      <c r="DY2120" s="4"/>
      <c r="DZ2120" s="4"/>
      <c r="EA2120" s="4"/>
      <c r="EB2120" s="4"/>
      <c r="EC2120" s="4"/>
      <c r="ED2120" s="4"/>
      <c r="EE2120" s="4"/>
      <c r="EF2120" s="4"/>
      <c r="EG2120" s="4"/>
      <c r="EH2120" s="4"/>
      <c r="EI2120" s="4"/>
      <c r="EJ2120" s="4"/>
      <c r="EK2120" s="4"/>
      <c r="EL2120" s="4"/>
      <c r="EM2120" s="4"/>
      <c r="EN2120" s="4"/>
      <c r="EO2120" s="4"/>
      <c r="EP2120" s="4"/>
      <c r="EQ2120" s="4"/>
      <c r="ER2120" s="4"/>
      <c r="ES2120" s="4"/>
      <c r="ET2120" s="4"/>
      <c r="EU2120" s="4"/>
      <c r="EV2120" s="4"/>
      <c r="EW2120" s="4"/>
      <c r="EX2120" s="4"/>
      <c r="EY2120" s="4"/>
      <c r="EZ2120" s="4"/>
      <c r="FA2120" s="4"/>
      <c r="FB2120" s="4"/>
      <c r="FC2120" s="4"/>
      <c r="FD2120" s="4"/>
      <c r="FE2120" s="4"/>
      <c r="FF2120" s="4"/>
      <c r="FG2120" s="4"/>
      <c r="FH2120" s="4"/>
      <c r="FI2120" s="4"/>
      <c r="FJ2120" s="4"/>
      <c r="FK2120" s="4"/>
      <c r="FL2120" s="4"/>
      <c r="FM2120" s="4"/>
      <c r="FN2120" s="4"/>
      <c r="FO2120" s="4"/>
      <c r="FP2120" s="4"/>
      <c r="FQ2120" s="4"/>
      <c r="FR2120" s="4"/>
      <c r="FS2120" s="4"/>
      <c r="FT2120" s="4"/>
      <c r="FU2120" s="4"/>
      <c r="FV2120" s="4"/>
      <c r="FW2120" s="4"/>
      <c r="FX2120" s="4"/>
      <c r="FY2120" s="4"/>
      <c r="FZ2120" s="4"/>
      <c r="GA2120" s="4"/>
      <c r="GB2120" s="4"/>
      <c r="GC2120" s="4"/>
      <c r="GD2120" s="4"/>
      <c r="GE2120" s="4"/>
      <c r="GF2120" s="4"/>
      <c r="GG2120" s="4"/>
      <c r="GH2120" s="4"/>
      <c r="GI2120" s="4"/>
      <c r="GJ2120" s="4"/>
      <c r="GK2120" s="4"/>
      <c r="GL2120" s="4"/>
      <c r="GM2120" s="4"/>
      <c r="GN2120" s="4"/>
      <c r="GO2120" s="4"/>
      <c r="GP2120" s="4"/>
      <c r="GQ2120" s="4"/>
      <c r="GR2120" s="4"/>
      <c r="GS2120" s="4"/>
      <c r="GT2120" s="4"/>
      <c r="GU2120" s="4"/>
      <c r="GV2120" s="4"/>
      <c r="GW2120" s="4"/>
      <c r="GX2120" s="4"/>
      <c r="GY2120" s="4"/>
      <c r="GZ2120" s="4"/>
      <c r="HA2120" s="4"/>
      <c r="HB2120" s="4"/>
      <c r="HC2120" s="4"/>
      <c r="HD2120" s="4"/>
      <c r="HE2120" s="4"/>
    </row>
    <row r="2121">
      <c r="A2121" s="2" t="s">
        <v>10070</v>
      </c>
      <c r="B2121" s="2" t="s">
        <v>1150</v>
      </c>
      <c r="C2121" s="2" t="s">
        <v>345</v>
      </c>
      <c r="D2121" s="2" t="s">
        <v>1112</v>
      </c>
      <c r="E2121" s="2" t="s">
        <v>1151</v>
      </c>
      <c r="F2121" s="2" t="s">
        <v>10071</v>
      </c>
      <c r="G2121" s="2" t="s">
        <v>10072</v>
      </c>
      <c r="H2121" s="2" t="s">
        <v>10073</v>
      </c>
      <c r="I2121" s="2" t="s">
        <v>10074</v>
      </c>
      <c r="J2121" s="2" t="s">
        <v>264</v>
      </c>
      <c r="K2121" s="2" t="s">
        <v>829</v>
      </c>
      <c r="L2121" s="3">
        <v>49.39</v>
      </c>
      <c r="M2121" s="3">
        <v>51.86</v>
      </c>
      <c r="N2121" s="3">
        <v>89.99</v>
      </c>
      <c r="O2121" s="2" t="s">
        <v>461</v>
      </c>
      <c r="P2121" s="2" t="s">
        <v>333</v>
      </c>
      <c r="Q2121" s="2" t="s">
        <v>234</v>
      </c>
      <c r="R2121" s="2" t="s">
        <v>228</v>
      </c>
      <c r="S2121" s="2" t="s">
        <v>10075</v>
      </c>
      <c r="T2121" s="2" t="s">
        <v>228</v>
      </c>
      <c r="U2121" s="2" t="s">
        <v>1331</v>
      </c>
      <c r="V2121" s="2" t="s">
        <v>1681</v>
      </c>
      <c r="W2121" s="2" t="s">
        <v>2472</v>
      </c>
      <c r="X2121" s="2" t="s">
        <v>9152</v>
      </c>
      <c r="Y2121" s="2" t="s">
        <v>270</v>
      </c>
      <c r="Z2121" s="4">
        <v>169</v>
      </c>
      <c r="AA2121" s="4">
        <f>=ROUNDDOWN(33.8,0)</f>
      </c>
      <c r="AB2121" s="5">
        <v>5</v>
      </c>
      <c r="AC2121" s="2" t="s">
        <v>228</v>
      </c>
      <c r="AD2121" s="4"/>
      <c r="AE2121" s="4"/>
      <c r="AF2121" s="6">
        <v>65</v>
      </c>
      <c r="AG2121" s="6"/>
      <c r="AH2121" s="7">
        <v>1</v>
      </c>
      <c r="AI2121" s="4"/>
      <c r="AJ2121" s="4">
        <f>=ROUNDDOWN({0},0)</f>
      </c>
      <c r="AK2121" s="5"/>
      <c r="AL2121" s="2" t="s">
        <v>228</v>
      </c>
      <c r="AM2121" s="4"/>
      <c r="AN2121" s="4"/>
      <c r="AO2121" s="7"/>
      <c r="AP2121" s="4"/>
      <c r="AQ2121" s="8"/>
      <c r="AR2121" s="4"/>
      <c r="AS2121" s="8"/>
      <c r="AT2121" s="7"/>
      <c r="AU2121" s="7"/>
      <c r="AV2121" s="4"/>
      <c r="AW2121" s="8"/>
      <c r="AX2121" s="4"/>
      <c r="AY2121" s="8"/>
      <c r="AZ2121" s="7"/>
      <c r="BA2121" s="7"/>
      <c r="BB2121" s="7"/>
      <c r="BC2121" s="4"/>
      <c r="BD2121" s="8"/>
      <c r="BE2121" s="4"/>
      <c r="BF2121" s="8"/>
      <c r="BG2121" s="7"/>
      <c r="BH2121" s="7"/>
      <c r="BI2121" s="7"/>
      <c r="BJ2121" s="4">
        <v>18</v>
      </c>
      <c r="BK2121" s="8">
        <v>532.3</v>
      </c>
      <c r="BL2121" s="2" t="s">
        <v>10076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10077</v>
      </c>
      <c r="BV2121" s="2" t="s">
        <v>228</v>
      </c>
      <c r="BW2121" s="2" t="s">
        <v>228</v>
      </c>
      <c r="BX2121" s="2" t="s">
        <v>337</v>
      </c>
      <c r="BY2121" s="2" t="s">
        <v>274</v>
      </c>
      <c r="BZ2121" s="2" t="s">
        <v>240</v>
      </c>
      <c r="CA2121" s="2" t="s">
        <v>275</v>
      </c>
      <c r="CB2121" s="2" t="s">
        <v>10078</v>
      </c>
      <c r="CC2121" s="2" t="s">
        <v>241</v>
      </c>
      <c r="CD2121" s="2" t="s">
        <v>228</v>
      </c>
      <c r="CE2121" s="4">
        <v>169</v>
      </c>
      <c r="CF2121" s="4"/>
      <c r="CG2121" s="4"/>
      <c r="CH2121" s="4"/>
      <c r="CI2121" s="4"/>
      <c r="CJ2121" s="4"/>
      <c r="CK2121" s="4"/>
      <c r="CL2121" s="4"/>
      <c r="CM2121" s="4"/>
      <c r="CN2121" s="4"/>
      <c r="CO2121" s="4"/>
      <c r="CP2121" s="4"/>
      <c r="CQ2121" s="4"/>
      <c r="CR2121" s="4"/>
      <c r="CS2121" s="4"/>
      <c r="CT2121" s="4"/>
      <c r="CU2121" s="4"/>
      <c r="CV2121" s="4"/>
      <c r="CW2121" s="4"/>
      <c r="CX2121" s="4"/>
      <c r="CY2121" s="4"/>
      <c r="CZ2121" s="4"/>
      <c r="DA2121" s="4"/>
      <c r="DB2121" s="4"/>
      <c r="DC2121" s="4"/>
      <c r="DD2121" s="4"/>
      <c r="DE2121" s="4"/>
      <c r="DF2121" s="4"/>
      <c r="DG2121" s="4"/>
      <c r="DH2121" s="4"/>
      <c r="DI2121" s="4"/>
      <c r="DJ2121" s="4"/>
      <c r="DK2121" s="4"/>
      <c r="DL2121" s="4"/>
      <c r="DM2121" s="4"/>
      <c r="DN2121" s="4"/>
      <c r="DO2121" s="4"/>
      <c r="DP2121" s="4"/>
      <c r="DQ2121" s="4"/>
      <c r="DR2121" s="4"/>
      <c r="DS2121" s="4"/>
      <c r="DT2121" s="4"/>
      <c r="DU2121" s="4"/>
      <c r="DV2121" s="4"/>
      <c r="DW2121" s="4"/>
      <c r="DX2121" s="4"/>
      <c r="DY2121" s="4"/>
      <c r="DZ2121" s="4"/>
      <c r="EA2121" s="4"/>
      <c r="EB2121" s="4"/>
      <c r="EC2121" s="4"/>
      <c r="ED2121" s="4"/>
      <c r="EE2121" s="4"/>
      <c r="EF2121" s="4"/>
      <c r="EG2121" s="4"/>
      <c r="EH2121" s="4"/>
      <c r="EI2121" s="4"/>
      <c r="EJ2121" s="4"/>
      <c r="EK2121" s="4"/>
      <c r="EL2121" s="4"/>
      <c r="EM2121" s="4"/>
      <c r="EN2121" s="4"/>
      <c r="EO2121" s="4"/>
      <c r="EP2121" s="4"/>
      <c r="EQ2121" s="4"/>
      <c r="ER2121" s="4"/>
      <c r="ES2121" s="4"/>
      <c r="ET2121" s="4"/>
      <c r="EU2121" s="4"/>
      <c r="EV2121" s="4"/>
      <c r="EW2121" s="4"/>
      <c r="EX2121" s="4"/>
      <c r="EY2121" s="4"/>
      <c r="EZ2121" s="4"/>
      <c r="FA2121" s="4"/>
      <c r="FB2121" s="4"/>
      <c r="FC2121" s="4"/>
      <c r="FD2121" s="4"/>
      <c r="FE2121" s="4"/>
      <c r="FF2121" s="4"/>
      <c r="FG2121" s="4"/>
      <c r="FH2121" s="4"/>
      <c r="FI2121" s="4"/>
      <c r="FJ2121" s="4"/>
      <c r="FK2121" s="4"/>
      <c r="FL2121" s="4"/>
      <c r="FM2121" s="4"/>
      <c r="FN2121" s="4"/>
      <c r="FO2121" s="4"/>
      <c r="FP2121" s="4"/>
      <c r="FQ2121" s="4"/>
      <c r="FR2121" s="4"/>
      <c r="FS2121" s="4"/>
      <c r="FT2121" s="4"/>
      <c r="FU2121" s="4"/>
      <c r="FV2121" s="4"/>
      <c r="FW2121" s="4"/>
      <c r="FX2121" s="4"/>
      <c r="FY2121" s="4"/>
      <c r="FZ2121" s="4"/>
      <c r="GA2121" s="4"/>
      <c r="GB2121" s="4"/>
      <c r="GC2121" s="4"/>
      <c r="GD2121" s="4"/>
      <c r="GE2121" s="4"/>
      <c r="GF2121" s="4"/>
      <c r="GG2121" s="4"/>
      <c r="GH2121" s="4"/>
      <c r="GI2121" s="4"/>
      <c r="GJ2121" s="4"/>
      <c r="GK2121" s="4"/>
      <c r="GL2121" s="4"/>
      <c r="GM2121" s="4"/>
      <c r="GN2121" s="4"/>
      <c r="GO2121" s="4"/>
      <c r="GP2121" s="4"/>
      <c r="GQ2121" s="4"/>
      <c r="GR2121" s="4"/>
      <c r="GS2121" s="4"/>
      <c r="GT2121" s="4"/>
      <c r="GU2121" s="4"/>
      <c r="GV2121" s="4"/>
      <c r="GW2121" s="4"/>
      <c r="GX2121" s="4"/>
      <c r="GY2121" s="4"/>
      <c r="GZ2121" s="4"/>
      <c r="HA2121" s="4"/>
      <c r="HB2121" s="4"/>
      <c r="HC2121" s="4"/>
      <c r="HD2121" s="4"/>
      <c r="HE2121" s="4"/>
    </row>
    <row r="2122">
      <c r="A2122" s="2" t="s">
        <v>10079</v>
      </c>
      <c r="B2122" s="2" t="s">
        <v>958</v>
      </c>
      <c r="C2122" s="2" t="s">
        <v>300</v>
      </c>
      <c r="D2122" s="2" t="s">
        <v>1564</v>
      </c>
      <c r="E2122" s="2" t="s">
        <v>1692</v>
      </c>
      <c r="F2122" s="2" t="s">
        <v>10080</v>
      </c>
      <c r="G2122" s="2" t="s">
        <v>10081</v>
      </c>
      <c r="H2122" s="2" t="s">
        <v>10082</v>
      </c>
      <c r="I2122" s="2" t="s">
        <v>10083</v>
      </c>
      <c r="J2122" s="2" t="s">
        <v>840</v>
      </c>
      <c r="K2122" s="2" t="s">
        <v>1466</v>
      </c>
      <c r="L2122" s="3">
        <v>114</v>
      </c>
      <c r="M2122" s="3">
        <v>119.7</v>
      </c>
      <c r="N2122" s="3">
        <v>239</v>
      </c>
      <c r="O2122" s="2" t="s">
        <v>240</v>
      </c>
      <c r="P2122" s="2" t="s">
        <v>266</v>
      </c>
      <c r="Q2122" s="2" t="s">
        <v>234</v>
      </c>
      <c r="R2122" s="2" t="s">
        <v>228</v>
      </c>
      <c r="S2122" s="2" t="s">
        <v>10084</v>
      </c>
      <c r="T2122" s="2" t="s">
        <v>228</v>
      </c>
      <c r="U2122" s="2" t="s">
        <v>228</v>
      </c>
      <c r="V2122" s="2" t="s">
        <v>236</v>
      </c>
      <c r="W2122" s="2" t="s">
        <v>463</v>
      </c>
      <c r="X2122" s="2" t="s">
        <v>228</v>
      </c>
      <c r="Y2122" s="2" t="s">
        <v>10085</v>
      </c>
      <c r="Z2122" s="4">
        <v>396</v>
      </c>
      <c r="AA2122" s="4">
        <f>=ROUNDDOWN(33,0)</f>
      </c>
      <c r="AB2122" s="5">
        <v>12</v>
      </c>
      <c r="AC2122" s="2" t="s">
        <v>198</v>
      </c>
      <c r="AD2122" s="4">
        <v>51</v>
      </c>
      <c r="AE2122" s="4">
        <v>140</v>
      </c>
      <c r="AF2122" s="6">
        <v>76</v>
      </c>
      <c r="AG2122" s="6">
        <v>67</v>
      </c>
      <c r="AH2122" s="7">
        <v>1</v>
      </c>
      <c r="AI2122" s="4"/>
      <c r="AJ2122" s="4">
        <f>=ROUNDDOWN({0},0)</f>
      </c>
      <c r="AK2122" s="5"/>
      <c r="AL2122" s="2" t="s">
        <v>228</v>
      </c>
      <c r="AM2122" s="4"/>
      <c r="AN2122" s="4"/>
      <c r="AO2122" s="7"/>
      <c r="AP2122" s="4"/>
      <c r="AQ2122" s="8"/>
      <c r="AR2122" s="4"/>
      <c r="AS2122" s="8"/>
      <c r="AT2122" s="7"/>
      <c r="AU2122" s="7"/>
      <c r="AV2122" s="4"/>
      <c r="AW2122" s="8"/>
      <c r="AX2122" s="4"/>
      <c r="AY2122" s="8"/>
      <c r="AZ2122" s="7"/>
      <c r="BA2122" s="7"/>
      <c r="BB2122" s="7"/>
      <c r="BC2122" s="4"/>
      <c r="BD2122" s="8"/>
      <c r="BE2122" s="4"/>
      <c r="BF2122" s="8"/>
      <c r="BG2122" s="7"/>
      <c r="BH2122" s="7"/>
      <c r="BI2122" s="7"/>
      <c r="BJ2122" s="4">
        <v>42</v>
      </c>
      <c r="BK2122" s="8">
        <v>4713.65</v>
      </c>
      <c r="BL2122" s="2" t="s">
        <v>10086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10087</v>
      </c>
      <c r="BV2122" s="2" t="s">
        <v>228</v>
      </c>
      <c r="BW2122" s="2" t="s">
        <v>228</v>
      </c>
      <c r="BX2122" s="2" t="s">
        <v>273</v>
      </c>
      <c r="BY2122" s="2" t="s">
        <v>274</v>
      </c>
      <c r="BZ2122" s="2" t="s">
        <v>240</v>
      </c>
      <c r="CA2122" s="2" t="s">
        <v>10088</v>
      </c>
      <c r="CB2122" s="2" t="s">
        <v>9976</v>
      </c>
      <c r="CC2122" s="2" t="s">
        <v>241</v>
      </c>
      <c r="CD2122" s="2" t="s">
        <v>228</v>
      </c>
      <c r="CE2122" s="4"/>
      <c r="CF2122" s="4">
        <v>396</v>
      </c>
      <c r="CG2122" s="4"/>
      <c r="CH2122" s="4"/>
      <c r="CI2122" s="4"/>
      <c r="CJ2122" s="4"/>
      <c r="CK2122" s="4"/>
      <c r="CL2122" s="4"/>
      <c r="CM2122" s="4"/>
      <c r="CN2122" s="4"/>
      <c r="CO2122" s="4"/>
      <c r="CP2122" s="4"/>
      <c r="CQ2122" s="4"/>
      <c r="CR2122" s="4"/>
      <c r="CS2122" s="4"/>
      <c r="CT2122" s="4"/>
      <c r="CU2122" s="4"/>
      <c r="CV2122" s="4"/>
      <c r="CW2122" s="4"/>
      <c r="CX2122" s="4"/>
      <c r="CY2122" s="4"/>
      <c r="CZ2122" s="4"/>
      <c r="DA2122" s="4"/>
      <c r="DB2122" s="4"/>
      <c r="DC2122" s="4"/>
      <c r="DD2122" s="4"/>
      <c r="DE2122" s="4"/>
      <c r="DF2122" s="4"/>
      <c r="DG2122" s="4"/>
      <c r="DH2122" s="4"/>
      <c r="DI2122" s="4"/>
      <c r="DJ2122" s="4"/>
      <c r="DK2122" s="4"/>
      <c r="DL2122" s="4"/>
      <c r="DM2122" s="4"/>
      <c r="DN2122" s="4"/>
      <c r="DO2122" s="4"/>
      <c r="DP2122" s="4"/>
      <c r="DQ2122" s="4"/>
      <c r="DR2122" s="4"/>
      <c r="DS2122" s="4"/>
      <c r="DT2122" s="4"/>
      <c r="DU2122" s="4"/>
      <c r="DV2122" s="4"/>
      <c r="DW2122" s="4"/>
      <c r="DX2122" s="4"/>
      <c r="DY2122" s="4"/>
      <c r="DZ2122" s="4"/>
      <c r="EA2122" s="4"/>
      <c r="EB2122" s="4"/>
      <c r="EC2122" s="4"/>
      <c r="ED2122" s="4"/>
      <c r="EE2122" s="4"/>
      <c r="EF2122" s="4"/>
      <c r="EG2122" s="4"/>
      <c r="EH2122" s="4"/>
      <c r="EI2122" s="4"/>
      <c r="EJ2122" s="4"/>
      <c r="EK2122" s="4"/>
      <c r="EL2122" s="4"/>
      <c r="EM2122" s="4"/>
      <c r="EN2122" s="4"/>
      <c r="EO2122" s="4"/>
      <c r="EP2122" s="4"/>
      <c r="EQ2122" s="4"/>
      <c r="ER2122" s="4"/>
      <c r="ES2122" s="4"/>
      <c r="ET2122" s="4"/>
      <c r="EU2122" s="4"/>
      <c r="EV2122" s="4"/>
      <c r="EW2122" s="4"/>
      <c r="EX2122" s="4"/>
      <c r="EY2122" s="4"/>
      <c r="EZ2122" s="4"/>
      <c r="FA2122" s="4"/>
      <c r="FB2122" s="4"/>
      <c r="FC2122" s="4"/>
      <c r="FD2122" s="4"/>
      <c r="FE2122" s="4"/>
      <c r="FF2122" s="4"/>
      <c r="FG2122" s="4"/>
      <c r="FH2122" s="4"/>
      <c r="FI2122" s="4"/>
      <c r="FJ2122" s="4"/>
      <c r="FK2122" s="4"/>
      <c r="FL2122" s="4"/>
      <c r="FM2122" s="4"/>
      <c r="FN2122" s="4"/>
      <c r="FO2122" s="4"/>
      <c r="FP2122" s="4"/>
      <c r="FQ2122" s="4"/>
      <c r="FR2122" s="4"/>
      <c r="FS2122" s="4"/>
      <c r="FT2122" s="4"/>
      <c r="FU2122" s="4"/>
      <c r="FV2122" s="4"/>
      <c r="FW2122" s="4"/>
      <c r="FX2122" s="4"/>
      <c r="FY2122" s="4"/>
      <c r="FZ2122" s="4"/>
      <c r="GA2122" s="4"/>
      <c r="GB2122" s="4"/>
      <c r="GC2122" s="4"/>
      <c r="GD2122" s="4"/>
      <c r="GE2122" s="4"/>
      <c r="GF2122" s="4"/>
      <c r="GG2122" s="4"/>
      <c r="GH2122" s="4">
        <v>51</v>
      </c>
      <c r="GI2122" s="4"/>
      <c r="GJ2122" s="4"/>
      <c r="GK2122" s="4"/>
      <c r="GL2122" s="4"/>
      <c r="GM2122" s="4"/>
      <c r="GN2122" s="4"/>
      <c r="GO2122" s="4"/>
      <c r="GP2122" s="4"/>
      <c r="GQ2122" s="4"/>
      <c r="GR2122" s="4"/>
      <c r="GS2122" s="4"/>
      <c r="GT2122" s="4">
        <v>89</v>
      </c>
      <c r="GU2122" s="4"/>
      <c r="GV2122" s="4"/>
      <c r="GW2122" s="4"/>
      <c r="GX2122" s="4"/>
      <c r="GY2122" s="4"/>
      <c r="GZ2122" s="4"/>
      <c r="HA2122" s="4"/>
      <c r="HB2122" s="4"/>
      <c r="HC2122" s="4"/>
      <c r="HD2122" s="4"/>
      <c r="HE2122" s="4"/>
    </row>
    <row r="2123">
      <c r="A2123" s="2" t="s">
        <v>10089</v>
      </c>
      <c r="B2123" s="2" t="s">
        <v>958</v>
      </c>
      <c r="C2123" s="2" t="s">
        <v>885</v>
      </c>
      <c r="D2123" s="2" t="s">
        <v>987</v>
      </c>
      <c r="E2123" s="2" t="s">
        <v>988</v>
      </c>
      <c r="F2123" s="2" t="s">
        <v>10090</v>
      </c>
      <c r="G2123" s="2" t="s">
        <v>10090</v>
      </c>
      <c r="H2123" s="2" t="s">
        <v>10090</v>
      </c>
      <c r="I2123" s="2" t="s">
        <v>988</v>
      </c>
      <c r="J2123" s="2" t="s">
        <v>840</v>
      </c>
      <c r="K2123" s="2" t="s">
        <v>10091</v>
      </c>
      <c r="L2123" s="3">
        <v>299</v>
      </c>
      <c r="M2123" s="3">
        <v>313.95</v>
      </c>
      <c r="N2123" s="3">
        <v>629</v>
      </c>
      <c r="O2123" s="2" t="s">
        <v>491</v>
      </c>
      <c r="P2123" s="2" t="s">
        <v>333</v>
      </c>
      <c r="Q2123" s="2" t="s">
        <v>234</v>
      </c>
      <c r="R2123" s="2" t="s">
        <v>228</v>
      </c>
      <c r="S2123" s="2" t="s">
        <v>228</v>
      </c>
      <c r="T2123" s="2" t="s">
        <v>228</v>
      </c>
      <c r="U2123" s="2" t="s">
        <v>416</v>
      </c>
      <c r="V2123" s="2" t="s">
        <v>236</v>
      </c>
      <c r="W2123" s="2" t="s">
        <v>417</v>
      </c>
      <c r="X2123" s="2" t="s">
        <v>1514</v>
      </c>
      <c r="Y2123" s="2" t="s">
        <v>10092</v>
      </c>
      <c r="Z2123" s="4">
        <v>32</v>
      </c>
      <c r="AA2123" s="4">
        <f>=ROUNDDOWN(16,0)</f>
      </c>
      <c r="AB2123" s="5">
        <v>2</v>
      </c>
      <c r="AC2123" s="2" t="s">
        <v>228</v>
      </c>
      <c r="AD2123" s="4"/>
      <c r="AE2123" s="4"/>
      <c r="AF2123" s="6">
        <v>65</v>
      </c>
      <c r="AG2123" s="6"/>
      <c r="AH2123" s="7">
        <v>1</v>
      </c>
      <c r="AI2123" s="4"/>
      <c r="AJ2123" s="4">
        <f>=ROUNDDOWN({0},0)</f>
      </c>
      <c r="AK2123" s="5"/>
      <c r="AL2123" s="2" t="s">
        <v>228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/>
      <c r="AW2123" s="8"/>
      <c r="AX2123" s="4"/>
      <c r="AY2123" s="8"/>
      <c r="AZ2123" s="7"/>
      <c r="BA2123" s="7"/>
      <c r="BB2123" s="7"/>
      <c r="BC2123" s="4"/>
      <c r="BD2123" s="8"/>
      <c r="BE2123" s="4"/>
      <c r="BF2123" s="8"/>
      <c r="BG2123" s="7"/>
      <c r="BH2123" s="7"/>
      <c r="BI2123" s="7"/>
      <c r="BJ2123" s="4">
        <v>2</v>
      </c>
      <c r="BK2123" s="8">
        <v>361.98</v>
      </c>
      <c r="BL2123" s="2" t="s">
        <v>1933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10093</v>
      </c>
      <c r="BV2123" s="2" t="s">
        <v>228</v>
      </c>
      <c r="BW2123" s="2" t="s">
        <v>228</v>
      </c>
      <c r="BX2123" s="2" t="s">
        <v>337</v>
      </c>
      <c r="BY2123" s="2" t="s">
        <v>274</v>
      </c>
      <c r="BZ2123" s="2" t="s">
        <v>240</v>
      </c>
      <c r="CA2123" s="2" t="s">
        <v>10094</v>
      </c>
      <c r="CB2123" s="2" t="s">
        <v>10095</v>
      </c>
      <c r="CC2123" s="2" t="s">
        <v>241</v>
      </c>
      <c r="CD2123" s="2" t="s">
        <v>228</v>
      </c>
      <c r="CE2123" s="4"/>
      <c r="CF2123" s="4">
        <v>32</v>
      </c>
      <c r="CG2123" s="4"/>
      <c r="CH2123" s="4"/>
      <c r="CI2123" s="4"/>
      <c r="CJ2123" s="4"/>
      <c r="CK2123" s="4"/>
      <c r="CL2123" s="4"/>
      <c r="CM2123" s="4"/>
      <c r="CN2123" s="4"/>
      <c r="CO2123" s="4"/>
      <c r="CP2123" s="4"/>
      <c r="CQ2123" s="4"/>
      <c r="CR2123" s="4"/>
      <c r="CS2123" s="4"/>
      <c r="CT2123" s="4"/>
      <c r="CU2123" s="4"/>
      <c r="CV2123" s="4"/>
      <c r="CW2123" s="4"/>
      <c r="CX2123" s="4"/>
      <c r="CY2123" s="4"/>
      <c r="CZ2123" s="4"/>
      <c r="DA2123" s="4"/>
      <c r="DB2123" s="4"/>
      <c r="DC2123" s="4"/>
      <c r="DD2123" s="4"/>
      <c r="DE2123" s="4"/>
      <c r="DF2123" s="4"/>
      <c r="DG2123" s="4"/>
      <c r="DH2123" s="4"/>
      <c r="DI2123" s="4"/>
      <c r="DJ2123" s="4"/>
      <c r="DK2123" s="4"/>
      <c r="DL2123" s="4"/>
      <c r="DM2123" s="4"/>
      <c r="DN2123" s="4"/>
      <c r="DO2123" s="4"/>
      <c r="DP2123" s="4"/>
      <c r="DQ2123" s="4"/>
      <c r="DR2123" s="4"/>
      <c r="DS2123" s="4"/>
      <c r="DT2123" s="4"/>
      <c r="DU2123" s="4"/>
      <c r="DV2123" s="4"/>
      <c r="DW2123" s="4"/>
      <c r="DX2123" s="4"/>
      <c r="DY2123" s="4"/>
      <c r="DZ2123" s="4"/>
      <c r="EA2123" s="4"/>
      <c r="EB2123" s="4"/>
      <c r="EC2123" s="4"/>
      <c r="ED2123" s="4"/>
      <c r="EE2123" s="4"/>
      <c r="EF2123" s="4"/>
      <c r="EG2123" s="4"/>
      <c r="EH2123" s="4"/>
      <c r="EI2123" s="4"/>
      <c r="EJ2123" s="4"/>
      <c r="EK2123" s="4"/>
      <c r="EL2123" s="4"/>
      <c r="EM2123" s="4"/>
      <c r="EN2123" s="4"/>
      <c r="EO2123" s="4"/>
      <c r="EP2123" s="4"/>
      <c r="EQ2123" s="4"/>
      <c r="ER2123" s="4"/>
      <c r="ES2123" s="4"/>
      <c r="ET2123" s="4"/>
      <c r="EU2123" s="4"/>
      <c r="EV2123" s="4"/>
      <c r="EW2123" s="4"/>
      <c r="EX2123" s="4"/>
      <c r="EY2123" s="4"/>
      <c r="EZ2123" s="4"/>
      <c r="FA2123" s="4"/>
      <c r="FB2123" s="4"/>
      <c r="FC2123" s="4"/>
      <c r="FD2123" s="4"/>
      <c r="FE2123" s="4"/>
      <c r="FF2123" s="4"/>
      <c r="FG2123" s="4"/>
      <c r="FH2123" s="4"/>
      <c r="FI2123" s="4"/>
      <c r="FJ2123" s="4"/>
      <c r="FK2123" s="4"/>
      <c r="FL2123" s="4"/>
      <c r="FM2123" s="4"/>
      <c r="FN2123" s="4"/>
      <c r="FO2123" s="4"/>
      <c r="FP2123" s="4"/>
      <c r="FQ2123" s="4"/>
      <c r="FR2123" s="4"/>
      <c r="FS2123" s="4"/>
      <c r="FT2123" s="4"/>
      <c r="FU2123" s="4"/>
      <c r="FV2123" s="4"/>
      <c r="FW2123" s="4"/>
      <c r="FX2123" s="4"/>
      <c r="FY2123" s="4"/>
      <c r="FZ2123" s="4"/>
      <c r="GA2123" s="4"/>
      <c r="GB2123" s="4"/>
      <c r="GC2123" s="4"/>
      <c r="GD2123" s="4"/>
      <c r="GE2123" s="4"/>
      <c r="GF2123" s="4"/>
      <c r="GG2123" s="4"/>
      <c r="GH2123" s="4"/>
      <c r="GI2123" s="4"/>
      <c r="GJ2123" s="4"/>
      <c r="GK2123" s="4"/>
      <c r="GL2123" s="4"/>
      <c r="GM2123" s="4"/>
      <c r="GN2123" s="4"/>
      <c r="GO2123" s="4"/>
      <c r="GP2123" s="4"/>
      <c r="GQ2123" s="4"/>
      <c r="GR2123" s="4"/>
      <c r="GS2123" s="4"/>
      <c r="GT2123" s="4"/>
      <c r="GU2123" s="4"/>
      <c r="GV2123" s="4"/>
      <c r="GW2123" s="4"/>
      <c r="GX2123" s="4"/>
      <c r="GY2123" s="4"/>
      <c r="GZ2123" s="4"/>
      <c r="HA2123" s="4"/>
      <c r="HB2123" s="4"/>
      <c r="HC2123" s="4"/>
      <c r="HD2123" s="4"/>
      <c r="HE2123" s="4"/>
    </row>
    <row r="2124">
      <c r="A2124" s="2" t="s">
        <v>10096</v>
      </c>
      <c r="B2124" s="2" t="s">
        <v>958</v>
      </c>
      <c r="C2124" s="2" t="s">
        <v>835</v>
      </c>
      <c r="D2124" s="2" t="s">
        <v>959</v>
      </c>
      <c r="E2124" s="2" t="s">
        <v>960</v>
      </c>
      <c r="F2124" s="2" t="s">
        <v>10097</v>
      </c>
      <c r="G2124" s="2" t="s">
        <v>10097</v>
      </c>
      <c r="H2124" s="2" t="s">
        <v>10097</v>
      </c>
      <c r="I2124" s="2" t="s">
        <v>2560</v>
      </c>
      <c r="J2124" s="2" t="s">
        <v>840</v>
      </c>
      <c r="K2124" s="2" t="s">
        <v>1421</v>
      </c>
      <c r="L2124" s="3">
        <v>226.1</v>
      </c>
      <c r="M2124" s="3">
        <v>237.4</v>
      </c>
      <c r="N2124" s="3">
        <v>479</v>
      </c>
      <c r="O2124" s="2" t="s">
        <v>240</v>
      </c>
      <c r="P2124" s="2" t="s">
        <v>266</v>
      </c>
      <c r="Q2124" s="2" t="s">
        <v>234</v>
      </c>
      <c r="R2124" s="2" t="s">
        <v>228</v>
      </c>
      <c r="S2124" s="2" t="s">
        <v>10098</v>
      </c>
      <c r="T2124" s="2" t="s">
        <v>228</v>
      </c>
      <c r="U2124" s="2" t="s">
        <v>228</v>
      </c>
      <c r="V2124" s="2" t="s">
        <v>236</v>
      </c>
      <c r="W2124" s="2" t="s">
        <v>3057</v>
      </c>
      <c r="X2124" s="2" t="s">
        <v>228</v>
      </c>
      <c r="Y2124" s="2" t="s">
        <v>10099</v>
      </c>
      <c r="Z2124" s="4">
        <v>99</v>
      </c>
      <c r="AA2124" s="4">
        <f>=ROUNDDOWN(19.8,0)</f>
      </c>
      <c r="AB2124" s="5">
        <v>5</v>
      </c>
      <c r="AC2124" s="2" t="s">
        <v>228</v>
      </c>
      <c r="AD2124" s="4"/>
      <c r="AE2124" s="4"/>
      <c r="AF2124" s="6">
        <v>66</v>
      </c>
      <c r="AG2124" s="6"/>
      <c r="AH2124" s="7">
        <v>1</v>
      </c>
      <c r="AI2124" s="4"/>
      <c r="AJ2124" s="4">
        <f>=ROUNDDOWN({0},0)</f>
      </c>
      <c r="AK2124" s="5"/>
      <c r="AL2124" s="2" t="s">
        <v>228</v>
      </c>
      <c r="AM2124" s="4"/>
      <c r="AN2124" s="4"/>
      <c r="AO2124" s="7"/>
      <c r="AP2124" s="4"/>
      <c r="AQ2124" s="8"/>
      <c r="AR2124" s="4"/>
      <c r="AS2124" s="8"/>
      <c r="AT2124" s="7"/>
      <c r="AU2124" s="7"/>
      <c r="AV2124" s="4"/>
      <c r="AW2124" s="8"/>
      <c r="AX2124" s="4"/>
      <c r="AY2124" s="8"/>
      <c r="AZ2124" s="7"/>
      <c r="BA2124" s="7"/>
      <c r="BB2124" s="7"/>
      <c r="BC2124" s="4"/>
      <c r="BD2124" s="8"/>
      <c r="BE2124" s="4"/>
      <c r="BF2124" s="8"/>
      <c r="BG2124" s="7"/>
      <c r="BH2124" s="7"/>
      <c r="BI2124" s="7"/>
      <c r="BJ2124" s="4">
        <v>57</v>
      </c>
      <c r="BK2124" s="8">
        <v>11103.95</v>
      </c>
      <c r="BL2124" s="2" t="s">
        <v>10100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10101</v>
      </c>
      <c r="BV2124" s="2" t="s">
        <v>228</v>
      </c>
      <c r="BW2124" s="2" t="s">
        <v>228</v>
      </c>
      <c r="BX2124" s="2" t="s">
        <v>273</v>
      </c>
      <c r="BY2124" s="2" t="s">
        <v>274</v>
      </c>
      <c r="BZ2124" s="2" t="s">
        <v>240</v>
      </c>
      <c r="CA2124" s="2" t="s">
        <v>10102</v>
      </c>
      <c r="CB2124" s="2" t="s">
        <v>10103</v>
      </c>
      <c r="CC2124" s="2" t="s">
        <v>241</v>
      </c>
      <c r="CD2124" s="2" t="s">
        <v>228</v>
      </c>
      <c r="CE2124" s="4"/>
      <c r="CF2124" s="4">
        <v>99</v>
      </c>
      <c r="CG2124" s="4"/>
      <c r="CH2124" s="4"/>
      <c r="CI2124" s="4"/>
      <c r="CJ2124" s="4"/>
      <c r="CK2124" s="4"/>
      <c r="CL2124" s="4"/>
      <c r="CM2124" s="4"/>
      <c r="CN2124" s="4"/>
      <c r="CO2124" s="4"/>
      <c r="CP2124" s="4"/>
      <c r="CQ2124" s="4"/>
      <c r="CR2124" s="4"/>
      <c r="CS2124" s="4"/>
      <c r="CT2124" s="4"/>
      <c r="CU2124" s="4"/>
      <c r="CV2124" s="4"/>
      <c r="CW2124" s="4"/>
      <c r="CX2124" s="4"/>
      <c r="CY2124" s="4"/>
      <c r="CZ2124" s="4"/>
      <c r="DA2124" s="4"/>
      <c r="DB2124" s="4"/>
      <c r="DC2124" s="4"/>
      <c r="DD2124" s="4"/>
      <c r="DE2124" s="4"/>
      <c r="DF2124" s="4"/>
      <c r="DG2124" s="4"/>
      <c r="DH2124" s="4"/>
      <c r="DI2124" s="4"/>
      <c r="DJ2124" s="4"/>
      <c r="DK2124" s="4"/>
      <c r="DL2124" s="4"/>
      <c r="DM2124" s="4"/>
      <c r="DN2124" s="4"/>
      <c r="DO2124" s="4"/>
      <c r="DP2124" s="4"/>
      <c r="DQ2124" s="4"/>
      <c r="DR2124" s="4"/>
      <c r="DS2124" s="4"/>
      <c r="DT2124" s="4"/>
      <c r="DU2124" s="4"/>
      <c r="DV2124" s="4"/>
      <c r="DW2124" s="4"/>
      <c r="DX2124" s="4"/>
      <c r="DY2124" s="4"/>
      <c r="DZ2124" s="4"/>
      <c r="EA2124" s="4"/>
      <c r="EB2124" s="4"/>
      <c r="EC2124" s="4"/>
      <c r="ED2124" s="4"/>
      <c r="EE2124" s="4"/>
      <c r="EF2124" s="4"/>
      <c r="EG2124" s="4"/>
      <c r="EH2124" s="4"/>
      <c r="EI2124" s="4"/>
      <c r="EJ2124" s="4"/>
      <c r="EK2124" s="4"/>
      <c r="EL2124" s="4"/>
      <c r="EM2124" s="4"/>
      <c r="EN2124" s="4"/>
      <c r="EO2124" s="4"/>
      <c r="EP2124" s="4"/>
      <c r="EQ2124" s="4"/>
      <c r="ER2124" s="4"/>
      <c r="ES2124" s="4"/>
      <c r="ET2124" s="4"/>
      <c r="EU2124" s="4"/>
      <c r="EV2124" s="4"/>
      <c r="EW2124" s="4"/>
      <c r="EX2124" s="4"/>
      <c r="EY2124" s="4"/>
      <c r="EZ2124" s="4"/>
      <c r="FA2124" s="4"/>
      <c r="FB2124" s="4"/>
      <c r="FC2124" s="4"/>
      <c r="FD2124" s="4"/>
      <c r="FE2124" s="4"/>
      <c r="FF2124" s="4"/>
      <c r="FG2124" s="4"/>
      <c r="FH2124" s="4"/>
      <c r="FI2124" s="4"/>
      <c r="FJ2124" s="4"/>
      <c r="FK2124" s="4"/>
      <c r="FL2124" s="4"/>
      <c r="FM2124" s="4"/>
      <c r="FN2124" s="4"/>
      <c r="FO2124" s="4"/>
      <c r="FP2124" s="4"/>
      <c r="FQ2124" s="4"/>
      <c r="FR2124" s="4"/>
      <c r="FS2124" s="4"/>
      <c r="FT2124" s="4"/>
      <c r="FU2124" s="4"/>
      <c r="FV2124" s="4"/>
      <c r="FW2124" s="4"/>
      <c r="FX2124" s="4"/>
      <c r="FY2124" s="4"/>
      <c r="FZ2124" s="4"/>
      <c r="GA2124" s="4"/>
      <c r="GB2124" s="4"/>
      <c r="GC2124" s="4"/>
      <c r="GD2124" s="4"/>
      <c r="GE2124" s="4"/>
      <c r="GF2124" s="4"/>
      <c r="GG2124" s="4"/>
      <c r="GH2124" s="4"/>
      <c r="GI2124" s="4"/>
      <c r="GJ2124" s="4"/>
      <c r="GK2124" s="4"/>
      <c r="GL2124" s="4"/>
      <c r="GM2124" s="4"/>
      <c r="GN2124" s="4"/>
      <c r="GO2124" s="4"/>
      <c r="GP2124" s="4"/>
      <c r="GQ2124" s="4"/>
      <c r="GR2124" s="4"/>
      <c r="GS2124" s="4"/>
      <c r="GT2124" s="4"/>
      <c r="GU2124" s="4"/>
      <c r="GV2124" s="4"/>
      <c r="GW2124" s="4"/>
      <c r="GX2124" s="4"/>
      <c r="GY2124" s="4"/>
      <c r="GZ2124" s="4"/>
      <c r="HA2124" s="4"/>
      <c r="HB2124" s="4"/>
      <c r="HC2124" s="4"/>
      <c r="HD2124" s="4"/>
      <c r="HE2124" s="4"/>
    </row>
    <row r="2125">
      <c r="A2125" s="2" t="s">
        <v>10104</v>
      </c>
      <c r="B2125" s="2" t="s">
        <v>848</v>
      </c>
      <c r="C2125" s="2" t="s">
        <v>849</v>
      </c>
      <c r="D2125" s="2" t="s">
        <v>1112</v>
      </c>
      <c r="E2125" s="2" t="s">
        <v>1113</v>
      </c>
      <c r="F2125" s="2" t="s">
        <v>10105</v>
      </c>
      <c r="G2125" s="2" t="s">
        <v>10106</v>
      </c>
      <c r="H2125" s="2" t="s">
        <v>6825</v>
      </c>
      <c r="I2125" s="2" t="s">
        <v>10107</v>
      </c>
      <c r="J2125" s="2" t="s">
        <v>856</v>
      </c>
      <c r="K2125" s="2" t="s">
        <v>2780</v>
      </c>
      <c r="L2125" s="3">
        <v>23.8</v>
      </c>
      <c r="M2125" s="3">
        <v>24.99</v>
      </c>
      <c r="N2125" s="3">
        <v>49.99</v>
      </c>
      <c r="O2125" s="2" t="s">
        <v>240</v>
      </c>
      <c r="P2125" s="2" t="s">
        <v>233</v>
      </c>
      <c r="Q2125" s="2" t="s">
        <v>234</v>
      </c>
      <c r="R2125" s="2" t="s">
        <v>228</v>
      </c>
      <c r="S2125" s="2" t="s">
        <v>10108</v>
      </c>
      <c r="T2125" s="2" t="s">
        <v>1414</v>
      </c>
      <c r="U2125" s="2" t="s">
        <v>520</v>
      </c>
      <c r="V2125" s="2" t="s">
        <v>1332</v>
      </c>
      <c r="W2125" s="2" t="s">
        <v>269</v>
      </c>
      <c r="X2125" s="2" t="s">
        <v>463</v>
      </c>
      <c r="Y2125" s="2" t="s">
        <v>1671</v>
      </c>
      <c r="Z2125" s="4">
        <v>148</v>
      </c>
      <c r="AA2125" s="4">
        <f>=ROUNDDOWN({0},0)</f>
      </c>
      <c r="AB2125" s="5"/>
      <c r="AC2125" s="2" t="s">
        <v>228</v>
      </c>
      <c r="AD2125" s="4"/>
      <c r="AE2125" s="4"/>
      <c r="AF2125" s="6">
        <v>64</v>
      </c>
      <c r="AG2125" s="6"/>
      <c r="AH2125" s="7">
        <v>1</v>
      </c>
      <c r="AI2125" s="4"/>
      <c r="AJ2125" s="4">
        <f>=ROUNDDOWN({0},0)</f>
      </c>
      <c r="AK2125" s="5"/>
      <c r="AL2125" s="2" t="s">
        <v>228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 t="s">
        <v>228</v>
      </c>
      <c r="AW2125" s="8" t="s">
        <v>228</v>
      </c>
      <c r="AX2125" s="4" t="s">
        <v>228</v>
      </c>
      <c r="AY2125" s="8" t="s">
        <v>228</v>
      </c>
      <c r="AZ2125" s="7" t="s">
        <v>228</v>
      </c>
      <c r="BA2125" s="7" t="s">
        <v>228</v>
      </c>
      <c r="BB2125" s="7" t="s">
        <v>228</v>
      </c>
      <c r="BC2125" s="4" t="s">
        <v>228</v>
      </c>
      <c r="BD2125" s="8" t="s">
        <v>228</v>
      </c>
      <c r="BE2125" s="4" t="s">
        <v>228</v>
      </c>
      <c r="BF2125" s="8" t="s">
        <v>228</v>
      </c>
      <c r="BG2125" s="7" t="s">
        <v>228</v>
      </c>
      <c r="BH2125" s="7" t="s">
        <v>228</v>
      </c>
      <c r="BI2125" s="7"/>
      <c r="BJ2125" s="4"/>
      <c r="BK2125" s="8"/>
      <c r="BL2125" s="2" t="s">
        <v>228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10109</v>
      </c>
      <c r="BV2125" s="2" t="s">
        <v>228</v>
      </c>
      <c r="BW2125" s="2" t="s">
        <v>228</v>
      </c>
      <c r="BX2125" s="2" t="s">
        <v>238</v>
      </c>
      <c r="BY2125" s="2" t="s">
        <v>274</v>
      </c>
      <c r="BZ2125" s="2" t="s">
        <v>240</v>
      </c>
      <c r="CA2125" s="2" t="s">
        <v>1160</v>
      </c>
      <c r="CB2125" s="2" t="s">
        <v>228</v>
      </c>
      <c r="CC2125" s="2" t="s">
        <v>241</v>
      </c>
      <c r="CD2125" s="2" t="s">
        <v>228</v>
      </c>
      <c r="CE2125" s="4">
        <v>148</v>
      </c>
      <c r="CF2125" s="4"/>
      <c r="CG2125" s="4"/>
      <c r="CH2125" s="4"/>
      <c r="CI2125" s="4"/>
      <c r="CJ2125" s="4"/>
      <c r="CK2125" s="4"/>
      <c r="CL2125" s="4"/>
      <c r="CM2125" s="4"/>
      <c r="CN2125" s="4"/>
      <c r="CO2125" s="4"/>
      <c r="CP2125" s="4"/>
      <c r="CQ2125" s="4"/>
      <c r="CR2125" s="4"/>
      <c r="CS2125" s="4"/>
      <c r="CT2125" s="4"/>
      <c r="CU2125" s="4"/>
      <c r="CV2125" s="4"/>
      <c r="CW2125" s="4"/>
      <c r="CX2125" s="4"/>
      <c r="CY2125" s="4"/>
      <c r="CZ2125" s="4"/>
      <c r="DA2125" s="4"/>
      <c r="DB2125" s="4"/>
      <c r="DC2125" s="4"/>
      <c r="DD2125" s="4"/>
      <c r="DE2125" s="4"/>
      <c r="DF2125" s="4"/>
      <c r="DG2125" s="4"/>
      <c r="DH2125" s="4"/>
      <c r="DI2125" s="4"/>
      <c r="DJ2125" s="4"/>
      <c r="DK2125" s="4"/>
      <c r="DL2125" s="4"/>
      <c r="DM2125" s="4"/>
      <c r="DN2125" s="4"/>
      <c r="DO2125" s="4"/>
      <c r="DP2125" s="4"/>
      <c r="DQ2125" s="4"/>
      <c r="DR2125" s="4"/>
      <c r="DS2125" s="4"/>
      <c r="DT2125" s="4"/>
      <c r="DU2125" s="4"/>
      <c r="DV2125" s="4"/>
      <c r="DW2125" s="4"/>
      <c r="DX2125" s="4"/>
      <c r="DY2125" s="4"/>
      <c r="DZ2125" s="4"/>
      <c r="EA2125" s="4"/>
      <c r="EB2125" s="4"/>
      <c r="EC2125" s="4"/>
      <c r="ED2125" s="4"/>
      <c r="EE2125" s="4"/>
      <c r="EF2125" s="4"/>
      <c r="EG2125" s="4"/>
      <c r="EH2125" s="4"/>
      <c r="EI2125" s="4"/>
      <c r="EJ2125" s="4"/>
      <c r="EK2125" s="4"/>
      <c r="EL2125" s="4"/>
      <c r="EM2125" s="4"/>
      <c r="EN2125" s="4"/>
      <c r="EO2125" s="4"/>
      <c r="EP2125" s="4"/>
      <c r="EQ2125" s="4"/>
      <c r="ER2125" s="4"/>
      <c r="ES2125" s="4"/>
      <c r="ET2125" s="4"/>
      <c r="EU2125" s="4"/>
      <c r="EV2125" s="4"/>
      <c r="EW2125" s="4"/>
      <c r="EX2125" s="4"/>
      <c r="EY2125" s="4"/>
      <c r="EZ2125" s="4"/>
      <c r="FA2125" s="4"/>
      <c r="FB2125" s="4"/>
      <c r="FC2125" s="4"/>
      <c r="FD2125" s="4"/>
      <c r="FE2125" s="4"/>
      <c r="FF2125" s="4"/>
      <c r="FG2125" s="4"/>
      <c r="FH2125" s="4"/>
      <c r="FI2125" s="4"/>
      <c r="FJ2125" s="4"/>
      <c r="FK2125" s="4"/>
      <c r="FL2125" s="4"/>
      <c r="FM2125" s="4"/>
      <c r="FN2125" s="4"/>
      <c r="FO2125" s="4"/>
      <c r="FP2125" s="4"/>
      <c r="FQ2125" s="4"/>
      <c r="FR2125" s="4"/>
      <c r="FS2125" s="4"/>
      <c r="FT2125" s="4"/>
      <c r="FU2125" s="4"/>
      <c r="FV2125" s="4"/>
      <c r="FW2125" s="4"/>
      <c r="FX2125" s="4"/>
      <c r="FY2125" s="4"/>
      <c r="FZ2125" s="4"/>
      <c r="GA2125" s="4"/>
      <c r="GB2125" s="4"/>
      <c r="GC2125" s="4"/>
      <c r="GD2125" s="4"/>
      <c r="GE2125" s="4"/>
      <c r="GF2125" s="4"/>
      <c r="GG2125" s="4"/>
      <c r="GH2125" s="4"/>
      <c r="GI2125" s="4"/>
      <c r="GJ2125" s="4"/>
      <c r="GK2125" s="4"/>
      <c r="GL2125" s="4"/>
      <c r="GM2125" s="4"/>
      <c r="GN2125" s="4"/>
      <c r="GO2125" s="4"/>
      <c r="GP2125" s="4"/>
      <c r="GQ2125" s="4"/>
      <c r="GR2125" s="4"/>
      <c r="GS2125" s="4"/>
      <c r="GT2125" s="4"/>
      <c r="GU2125" s="4"/>
      <c r="GV2125" s="4"/>
      <c r="GW2125" s="4"/>
      <c r="GX2125" s="4"/>
      <c r="GY2125" s="4"/>
      <c r="GZ2125" s="4"/>
      <c r="HA2125" s="4"/>
      <c r="HB2125" s="4"/>
      <c r="HC2125" s="4"/>
      <c r="HD2125" s="4"/>
      <c r="HE2125" s="4"/>
    </row>
    <row r="2126">
      <c r="A2126" s="2" t="s">
        <v>10110</v>
      </c>
      <c r="B2126" s="2" t="s">
        <v>848</v>
      </c>
      <c r="C2126" s="2" t="s">
        <v>849</v>
      </c>
      <c r="D2126" s="2" t="s">
        <v>850</v>
      </c>
      <c r="E2126" s="2" t="s">
        <v>1038</v>
      </c>
      <c r="F2126" s="2" t="s">
        <v>10105</v>
      </c>
      <c r="G2126" s="2" t="s">
        <v>10106</v>
      </c>
      <c r="H2126" s="2" t="s">
        <v>6825</v>
      </c>
      <c r="I2126" s="2" t="s">
        <v>10111</v>
      </c>
      <c r="J2126" s="2" t="s">
        <v>856</v>
      </c>
      <c r="K2126" s="2" t="s">
        <v>2780</v>
      </c>
      <c r="L2126" s="3">
        <v>19.04</v>
      </c>
      <c r="M2126" s="3">
        <v>19.99</v>
      </c>
      <c r="N2126" s="3">
        <v>39.99</v>
      </c>
      <c r="O2126" s="2" t="s">
        <v>240</v>
      </c>
      <c r="P2126" s="2" t="s">
        <v>233</v>
      </c>
      <c r="Q2126" s="2" t="s">
        <v>234</v>
      </c>
      <c r="R2126" s="2" t="s">
        <v>228</v>
      </c>
      <c r="S2126" s="2" t="s">
        <v>10108</v>
      </c>
      <c r="T2126" s="2" t="s">
        <v>1414</v>
      </c>
      <c r="U2126" s="2" t="s">
        <v>520</v>
      </c>
      <c r="V2126" s="2" t="s">
        <v>1332</v>
      </c>
      <c r="W2126" s="2" t="s">
        <v>269</v>
      </c>
      <c r="X2126" s="2" t="s">
        <v>463</v>
      </c>
      <c r="Y2126" s="2" t="s">
        <v>1671</v>
      </c>
      <c r="Z2126" s="4">
        <v>69</v>
      </c>
      <c r="AA2126" s="4">
        <f>=ROUNDDOWN({0},0)</f>
      </c>
      <c r="AB2126" s="5"/>
      <c r="AC2126" s="2" t="s">
        <v>228</v>
      </c>
      <c r="AD2126" s="4"/>
      <c r="AE2126" s="4"/>
      <c r="AF2126" s="6">
        <v>64</v>
      </c>
      <c r="AG2126" s="6"/>
      <c r="AH2126" s="7">
        <v>1</v>
      </c>
      <c r="AI2126" s="4"/>
      <c r="AJ2126" s="4">
        <f>=ROUNDDOWN({0},0)</f>
      </c>
      <c r="AK2126" s="5"/>
      <c r="AL2126" s="2" t="s">
        <v>228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 t="s">
        <v>228</v>
      </c>
      <c r="AW2126" s="8" t="s">
        <v>228</v>
      </c>
      <c r="AX2126" s="4" t="s">
        <v>228</v>
      </c>
      <c r="AY2126" s="8" t="s">
        <v>228</v>
      </c>
      <c r="AZ2126" s="7" t="s">
        <v>228</v>
      </c>
      <c r="BA2126" s="7" t="s">
        <v>228</v>
      </c>
      <c r="BB2126" s="7" t="s">
        <v>228</v>
      </c>
      <c r="BC2126" s="4" t="s">
        <v>228</v>
      </c>
      <c r="BD2126" s="8" t="s">
        <v>228</v>
      </c>
      <c r="BE2126" s="4" t="s">
        <v>228</v>
      </c>
      <c r="BF2126" s="8" t="s">
        <v>228</v>
      </c>
      <c r="BG2126" s="7" t="s">
        <v>228</v>
      </c>
      <c r="BH2126" s="7" t="s">
        <v>228</v>
      </c>
      <c r="BI2126" s="7"/>
      <c r="BJ2126" s="4"/>
      <c r="BK2126" s="8"/>
      <c r="BL2126" s="2" t="s">
        <v>228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10112</v>
      </c>
      <c r="BV2126" s="2" t="s">
        <v>228</v>
      </c>
      <c r="BW2126" s="2" t="s">
        <v>228</v>
      </c>
      <c r="BX2126" s="2" t="s">
        <v>238</v>
      </c>
      <c r="BY2126" s="2" t="s">
        <v>274</v>
      </c>
      <c r="BZ2126" s="2" t="s">
        <v>240</v>
      </c>
      <c r="CA2126" s="2" t="s">
        <v>1160</v>
      </c>
      <c r="CB2126" s="2" t="s">
        <v>228</v>
      </c>
      <c r="CC2126" s="2" t="s">
        <v>241</v>
      </c>
      <c r="CD2126" s="2" t="s">
        <v>228</v>
      </c>
      <c r="CE2126" s="4">
        <v>69</v>
      </c>
      <c r="CF2126" s="4"/>
      <c r="CG2126" s="4"/>
      <c r="CH2126" s="4"/>
      <c r="CI2126" s="4"/>
      <c r="CJ2126" s="4"/>
      <c r="CK2126" s="4"/>
      <c r="CL2126" s="4"/>
      <c r="CM2126" s="4"/>
      <c r="CN2126" s="4"/>
      <c r="CO2126" s="4"/>
      <c r="CP2126" s="4"/>
      <c r="CQ2126" s="4"/>
      <c r="CR2126" s="4"/>
      <c r="CS2126" s="4"/>
      <c r="CT2126" s="4"/>
      <c r="CU2126" s="4"/>
      <c r="CV2126" s="4"/>
      <c r="CW2126" s="4"/>
      <c r="CX2126" s="4"/>
      <c r="CY2126" s="4"/>
      <c r="CZ2126" s="4"/>
      <c r="DA2126" s="4"/>
      <c r="DB2126" s="4"/>
      <c r="DC2126" s="4"/>
      <c r="DD2126" s="4"/>
      <c r="DE2126" s="4"/>
      <c r="DF2126" s="4"/>
      <c r="DG2126" s="4"/>
      <c r="DH2126" s="4"/>
      <c r="DI2126" s="4"/>
      <c r="DJ2126" s="4"/>
      <c r="DK2126" s="4"/>
      <c r="DL2126" s="4"/>
      <c r="DM2126" s="4"/>
      <c r="DN2126" s="4"/>
      <c r="DO2126" s="4"/>
      <c r="DP2126" s="4"/>
      <c r="DQ2126" s="4"/>
      <c r="DR2126" s="4"/>
      <c r="DS2126" s="4"/>
      <c r="DT2126" s="4"/>
      <c r="DU2126" s="4"/>
      <c r="DV2126" s="4"/>
      <c r="DW2126" s="4"/>
      <c r="DX2126" s="4"/>
      <c r="DY2126" s="4"/>
      <c r="DZ2126" s="4"/>
      <c r="EA2126" s="4"/>
      <c r="EB2126" s="4"/>
      <c r="EC2126" s="4"/>
      <c r="ED2126" s="4"/>
      <c r="EE2126" s="4"/>
      <c r="EF2126" s="4"/>
      <c r="EG2126" s="4"/>
      <c r="EH2126" s="4"/>
      <c r="EI2126" s="4"/>
      <c r="EJ2126" s="4"/>
      <c r="EK2126" s="4"/>
      <c r="EL2126" s="4"/>
      <c r="EM2126" s="4"/>
      <c r="EN2126" s="4"/>
      <c r="EO2126" s="4"/>
      <c r="EP2126" s="4"/>
      <c r="EQ2126" s="4"/>
      <c r="ER2126" s="4"/>
      <c r="ES2126" s="4"/>
      <c r="ET2126" s="4"/>
      <c r="EU2126" s="4"/>
      <c r="EV2126" s="4"/>
      <c r="EW2126" s="4"/>
      <c r="EX2126" s="4"/>
      <c r="EY2126" s="4"/>
      <c r="EZ2126" s="4"/>
      <c r="FA2126" s="4"/>
      <c r="FB2126" s="4"/>
      <c r="FC2126" s="4"/>
      <c r="FD2126" s="4"/>
      <c r="FE2126" s="4"/>
      <c r="FF2126" s="4"/>
      <c r="FG2126" s="4"/>
      <c r="FH2126" s="4"/>
      <c r="FI2126" s="4"/>
      <c r="FJ2126" s="4"/>
      <c r="FK2126" s="4"/>
      <c r="FL2126" s="4"/>
      <c r="FM2126" s="4"/>
      <c r="FN2126" s="4"/>
      <c r="FO2126" s="4"/>
      <c r="FP2126" s="4"/>
      <c r="FQ2126" s="4"/>
      <c r="FR2126" s="4"/>
      <c r="FS2126" s="4"/>
      <c r="FT2126" s="4"/>
      <c r="FU2126" s="4"/>
      <c r="FV2126" s="4"/>
      <c r="FW2126" s="4"/>
      <c r="FX2126" s="4"/>
      <c r="FY2126" s="4"/>
      <c r="FZ2126" s="4"/>
      <c r="GA2126" s="4"/>
      <c r="GB2126" s="4"/>
      <c r="GC2126" s="4"/>
      <c r="GD2126" s="4"/>
      <c r="GE2126" s="4"/>
      <c r="GF2126" s="4"/>
      <c r="GG2126" s="4"/>
      <c r="GH2126" s="4"/>
      <c r="GI2126" s="4"/>
      <c r="GJ2126" s="4"/>
      <c r="GK2126" s="4"/>
      <c r="GL2126" s="4"/>
      <c r="GM2126" s="4"/>
      <c r="GN2126" s="4"/>
      <c r="GO2126" s="4"/>
      <c r="GP2126" s="4"/>
      <c r="GQ2126" s="4"/>
      <c r="GR2126" s="4"/>
      <c r="GS2126" s="4"/>
      <c r="GT2126" s="4"/>
      <c r="GU2126" s="4"/>
      <c r="GV2126" s="4"/>
      <c r="GW2126" s="4"/>
      <c r="GX2126" s="4"/>
      <c r="GY2126" s="4"/>
      <c r="GZ2126" s="4"/>
      <c r="HA2126" s="4"/>
      <c r="HB2126" s="4"/>
      <c r="HC2126" s="4"/>
      <c r="HD2126" s="4"/>
      <c r="HE2126" s="4"/>
    </row>
    <row r="2127">
      <c r="A2127" s="2" t="s">
        <v>10113</v>
      </c>
      <c r="B2127" s="2" t="s">
        <v>848</v>
      </c>
      <c r="C2127" s="2" t="s">
        <v>849</v>
      </c>
      <c r="D2127" s="2" t="s">
        <v>850</v>
      </c>
      <c r="E2127" s="2" t="s">
        <v>1038</v>
      </c>
      <c r="F2127" s="2" t="s">
        <v>10105</v>
      </c>
      <c r="G2127" s="2" t="s">
        <v>10106</v>
      </c>
      <c r="H2127" s="2" t="s">
        <v>6825</v>
      </c>
      <c r="I2127" s="2" t="s">
        <v>10111</v>
      </c>
      <c r="J2127" s="2" t="s">
        <v>1189</v>
      </c>
      <c r="K2127" s="2" t="s">
        <v>2780</v>
      </c>
      <c r="L2127" s="3">
        <v>23.8</v>
      </c>
      <c r="M2127" s="3">
        <v>24.99</v>
      </c>
      <c r="N2127" s="3">
        <v>49.99</v>
      </c>
      <c r="O2127" s="2" t="s">
        <v>240</v>
      </c>
      <c r="P2127" s="2" t="s">
        <v>233</v>
      </c>
      <c r="Q2127" s="2" t="s">
        <v>234</v>
      </c>
      <c r="R2127" s="2" t="s">
        <v>228</v>
      </c>
      <c r="S2127" s="2" t="s">
        <v>10108</v>
      </c>
      <c r="T2127" s="2" t="s">
        <v>1414</v>
      </c>
      <c r="U2127" s="2" t="s">
        <v>500</v>
      </c>
      <c r="V2127" s="2" t="s">
        <v>1332</v>
      </c>
      <c r="W2127" s="2" t="s">
        <v>269</v>
      </c>
      <c r="X2127" s="2" t="s">
        <v>463</v>
      </c>
      <c r="Y2127" s="2" t="s">
        <v>1026</v>
      </c>
      <c r="Z2127" s="4">
        <v>229</v>
      </c>
      <c r="AA2127" s="4">
        <f>=ROUNDDOWN({0},0)</f>
      </c>
      <c r="AB2127" s="5"/>
      <c r="AC2127" s="2" t="s">
        <v>228</v>
      </c>
      <c r="AD2127" s="4"/>
      <c r="AE2127" s="4"/>
      <c r="AF2127" s="6">
        <v>64</v>
      </c>
      <c r="AG2127" s="6"/>
      <c r="AH2127" s="7">
        <v>1</v>
      </c>
      <c r="AI2127" s="4"/>
      <c r="AJ2127" s="4">
        <f>=ROUNDDOWN({0},0)</f>
      </c>
      <c r="AK2127" s="5"/>
      <c r="AL2127" s="2" t="s">
        <v>228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 t="s">
        <v>228</v>
      </c>
      <c r="AW2127" s="8" t="s">
        <v>228</v>
      </c>
      <c r="AX2127" s="4" t="s">
        <v>228</v>
      </c>
      <c r="AY2127" s="8" t="s">
        <v>228</v>
      </c>
      <c r="AZ2127" s="7" t="s">
        <v>228</v>
      </c>
      <c r="BA2127" s="7" t="s">
        <v>228</v>
      </c>
      <c r="BB2127" s="7"/>
      <c r="BC2127" s="4" t="s">
        <v>228</v>
      </c>
      <c r="BD2127" s="8" t="s">
        <v>228</v>
      </c>
      <c r="BE2127" s="4" t="s">
        <v>228</v>
      </c>
      <c r="BF2127" s="8" t="s">
        <v>228</v>
      </c>
      <c r="BG2127" s="7" t="s">
        <v>228</v>
      </c>
      <c r="BH2127" s="7" t="s">
        <v>228</v>
      </c>
      <c r="BI2127" s="7"/>
      <c r="BJ2127" s="4"/>
      <c r="BK2127" s="8"/>
      <c r="BL2127" s="2" t="s">
        <v>228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10114</v>
      </c>
      <c r="BV2127" s="2" t="s">
        <v>228</v>
      </c>
      <c r="BW2127" s="2" t="s">
        <v>228</v>
      </c>
      <c r="BX2127" s="2" t="s">
        <v>238</v>
      </c>
      <c r="BY2127" s="2" t="s">
        <v>274</v>
      </c>
      <c r="BZ2127" s="2" t="s">
        <v>240</v>
      </c>
      <c r="CA2127" s="2" t="s">
        <v>1160</v>
      </c>
      <c r="CB2127" s="2" t="s">
        <v>228</v>
      </c>
      <c r="CC2127" s="2" t="s">
        <v>241</v>
      </c>
      <c r="CD2127" s="2" t="s">
        <v>228</v>
      </c>
      <c r="CE2127" s="4">
        <v>229</v>
      </c>
      <c r="CF2127" s="4"/>
      <c r="CG2127" s="4"/>
      <c r="CH2127" s="4"/>
      <c r="CI2127" s="4"/>
      <c r="CJ2127" s="4"/>
      <c r="CK2127" s="4"/>
      <c r="CL2127" s="4"/>
      <c r="CM2127" s="4"/>
      <c r="CN2127" s="4"/>
      <c r="CO2127" s="4"/>
      <c r="CP2127" s="4"/>
      <c r="CQ2127" s="4"/>
      <c r="CR2127" s="4"/>
      <c r="CS2127" s="4"/>
      <c r="CT2127" s="4"/>
      <c r="CU2127" s="4"/>
      <c r="CV2127" s="4"/>
      <c r="CW2127" s="4"/>
      <c r="CX2127" s="4"/>
      <c r="CY2127" s="4"/>
      <c r="CZ2127" s="4"/>
      <c r="DA2127" s="4"/>
      <c r="DB2127" s="4"/>
      <c r="DC2127" s="4"/>
      <c r="DD2127" s="4"/>
      <c r="DE2127" s="4"/>
      <c r="DF2127" s="4"/>
      <c r="DG2127" s="4"/>
      <c r="DH2127" s="4"/>
      <c r="DI2127" s="4"/>
      <c r="DJ2127" s="4"/>
      <c r="DK2127" s="4"/>
      <c r="DL2127" s="4"/>
      <c r="DM2127" s="4"/>
      <c r="DN2127" s="4"/>
      <c r="DO2127" s="4"/>
      <c r="DP2127" s="4"/>
      <c r="DQ2127" s="4"/>
      <c r="DR2127" s="4"/>
      <c r="DS2127" s="4"/>
      <c r="DT2127" s="4"/>
      <c r="DU2127" s="4"/>
      <c r="DV2127" s="4"/>
      <c r="DW2127" s="4"/>
      <c r="DX2127" s="4"/>
      <c r="DY2127" s="4"/>
      <c r="DZ2127" s="4"/>
      <c r="EA2127" s="4"/>
      <c r="EB2127" s="4"/>
      <c r="EC2127" s="4"/>
      <c r="ED2127" s="4"/>
      <c r="EE2127" s="4"/>
      <c r="EF2127" s="4"/>
      <c r="EG2127" s="4"/>
      <c r="EH2127" s="4"/>
      <c r="EI2127" s="4"/>
      <c r="EJ2127" s="4"/>
      <c r="EK2127" s="4"/>
      <c r="EL2127" s="4"/>
      <c r="EM2127" s="4"/>
      <c r="EN2127" s="4"/>
      <c r="EO2127" s="4"/>
      <c r="EP2127" s="4"/>
      <c r="EQ2127" s="4"/>
      <c r="ER2127" s="4"/>
      <c r="ES2127" s="4"/>
      <c r="ET2127" s="4"/>
      <c r="EU2127" s="4"/>
      <c r="EV2127" s="4"/>
      <c r="EW2127" s="4"/>
      <c r="EX2127" s="4"/>
      <c r="EY2127" s="4"/>
      <c r="EZ2127" s="4"/>
      <c r="FA2127" s="4"/>
      <c r="FB2127" s="4"/>
      <c r="FC2127" s="4"/>
      <c r="FD2127" s="4"/>
      <c r="FE2127" s="4"/>
      <c r="FF2127" s="4"/>
      <c r="FG2127" s="4"/>
      <c r="FH2127" s="4"/>
      <c r="FI2127" s="4"/>
      <c r="FJ2127" s="4"/>
      <c r="FK2127" s="4"/>
      <c r="FL2127" s="4"/>
      <c r="FM2127" s="4"/>
      <c r="FN2127" s="4"/>
      <c r="FO2127" s="4"/>
      <c r="FP2127" s="4"/>
      <c r="FQ2127" s="4"/>
      <c r="FR2127" s="4"/>
      <c r="FS2127" s="4"/>
      <c r="FT2127" s="4"/>
      <c r="FU2127" s="4"/>
      <c r="FV2127" s="4"/>
      <c r="FW2127" s="4"/>
      <c r="FX2127" s="4"/>
      <c r="FY2127" s="4"/>
      <c r="FZ2127" s="4"/>
      <c r="GA2127" s="4"/>
      <c r="GB2127" s="4"/>
      <c r="GC2127" s="4"/>
      <c r="GD2127" s="4"/>
      <c r="GE2127" s="4"/>
      <c r="GF2127" s="4"/>
      <c r="GG2127" s="4"/>
      <c r="GH2127" s="4"/>
      <c r="GI2127" s="4"/>
      <c r="GJ2127" s="4"/>
      <c r="GK2127" s="4"/>
      <c r="GL2127" s="4"/>
      <c r="GM2127" s="4"/>
      <c r="GN2127" s="4"/>
      <c r="GO2127" s="4"/>
      <c r="GP2127" s="4"/>
      <c r="GQ2127" s="4"/>
      <c r="GR2127" s="4"/>
      <c r="GS2127" s="4"/>
      <c r="GT2127" s="4"/>
      <c r="GU2127" s="4"/>
      <c r="GV2127" s="4"/>
      <c r="GW2127" s="4"/>
      <c r="GX2127" s="4"/>
      <c r="GY2127" s="4"/>
      <c r="GZ2127" s="4"/>
      <c r="HA2127" s="4"/>
      <c r="HB2127" s="4"/>
      <c r="HC2127" s="4"/>
      <c r="HD2127" s="4"/>
      <c r="HE2127" s="4"/>
    </row>
    <row r="2128">
      <c r="A2128" s="2" t="s">
        <v>10115</v>
      </c>
      <c r="B2128" s="2" t="s">
        <v>848</v>
      </c>
      <c r="C2128" s="2" t="s">
        <v>849</v>
      </c>
      <c r="D2128" s="2" t="s">
        <v>850</v>
      </c>
      <c r="E2128" s="2" t="s">
        <v>1038</v>
      </c>
      <c r="F2128" s="2" t="s">
        <v>10105</v>
      </c>
      <c r="G2128" s="2" t="s">
        <v>10106</v>
      </c>
      <c r="H2128" s="2" t="s">
        <v>6825</v>
      </c>
      <c r="I2128" s="2" t="s">
        <v>10111</v>
      </c>
      <c r="J2128" s="2" t="s">
        <v>1043</v>
      </c>
      <c r="K2128" s="2" t="s">
        <v>2780</v>
      </c>
      <c r="L2128" s="3">
        <v>26.19</v>
      </c>
      <c r="M2128" s="3">
        <v>27.5</v>
      </c>
      <c r="N2128" s="3">
        <v>54.99</v>
      </c>
      <c r="O2128" s="2" t="s">
        <v>240</v>
      </c>
      <c r="P2128" s="2" t="s">
        <v>233</v>
      </c>
      <c r="Q2128" s="2" t="s">
        <v>234</v>
      </c>
      <c r="R2128" s="2" t="s">
        <v>228</v>
      </c>
      <c r="S2128" s="2" t="s">
        <v>10108</v>
      </c>
      <c r="T2128" s="2" t="s">
        <v>1414</v>
      </c>
      <c r="U2128" s="2" t="s">
        <v>500</v>
      </c>
      <c r="V2128" s="2" t="s">
        <v>1332</v>
      </c>
      <c r="W2128" s="2" t="s">
        <v>269</v>
      </c>
      <c r="X2128" s="2" t="s">
        <v>463</v>
      </c>
      <c r="Y2128" s="2" t="s">
        <v>1671</v>
      </c>
      <c r="Z2128" s="4">
        <v>79</v>
      </c>
      <c r="AA2128" s="4">
        <f>=ROUNDDOWN({0},0)</f>
      </c>
      <c r="AB2128" s="5"/>
      <c r="AC2128" s="2" t="s">
        <v>228</v>
      </c>
      <c r="AD2128" s="4"/>
      <c r="AE2128" s="4"/>
      <c r="AF2128" s="6">
        <v>64</v>
      </c>
      <c r="AG2128" s="6"/>
      <c r="AH2128" s="7">
        <v>1</v>
      </c>
      <c r="AI2128" s="4"/>
      <c r="AJ2128" s="4">
        <f>=ROUNDDOWN({0},0)</f>
      </c>
      <c r="AK2128" s="5"/>
      <c r="AL2128" s="2" t="s">
        <v>228</v>
      </c>
      <c r="AM2128" s="4"/>
      <c r="AN2128" s="4"/>
      <c r="AO2128" s="7"/>
      <c r="AP2128" s="4"/>
      <c r="AQ2128" s="8"/>
      <c r="AR2128" s="4"/>
      <c r="AS2128" s="8"/>
      <c r="AT2128" s="7"/>
      <c r="AU2128" s="7"/>
      <c r="AV2128" s="4" t="s">
        <v>228</v>
      </c>
      <c r="AW2128" s="8" t="s">
        <v>228</v>
      </c>
      <c r="AX2128" s="4" t="s">
        <v>228</v>
      </c>
      <c r="AY2128" s="8" t="s">
        <v>228</v>
      </c>
      <c r="AZ2128" s="7" t="s">
        <v>228</v>
      </c>
      <c r="BA2128" s="7" t="s">
        <v>228</v>
      </c>
      <c r="BB2128" s="7"/>
      <c r="BC2128" s="4" t="s">
        <v>228</v>
      </c>
      <c r="BD2128" s="8" t="s">
        <v>228</v>
      </c>
      <c r="BE2128" s="4" t="s">
        <v>228</v>
      </c>
      <c r="BF2128" s="8" t="s">
        <v>228</v>
      </c>
      <c r="BG2128" s="7" t="s">
        <v>228</v>
      </c>
      <c r="BH2128" s="7" t="s">
        <v>228</v>
      </c>
      <c r="BI2128" s="7"/>
      <c r="BJ2128" s="4"/>
      <c r="BK2128" s="8"/>
      <c r="BL2128" s="2" t="s">
        <v>228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10116</v>
      </c>
      <c r="BV2128" s="2" t="s">
        <v>228</v>
      </c>
      <c r="BW2128" s="2" t="s">
        <v>228</v>
      </c>
      <c r="BX2128" s="2" t="s">
        <v>238</v>
      </c>
      <c r="BY2128" s="2" t="s">
        <v>274</v>
      </c>
      <c r="BZ2128" s="2" t="s">
        <v>240</v>
      </c>
      <c r="CA2128" s="2" t="s">
        <v>1160</v>
      </c>
      <c r="CB2128" s="2" t="s">
        <v>228</v>
      </c>
      <c r="CC2128" s="2" t="s">
        <v>241</v>
      </c>
      <c r="CD2128" s="2" t="s">
        <v>228</v>
      </c>
      <c r="CE2128" s="4">
        <v>79</v>
      </c>
      <c r="CF2128" s="4"/>
      <c r="CG2128" s="4"/>
      <c r="CH2128" s="4"/>
      <c r="CI2128" s="4"/>
      <c r="CJ2128" s="4"/>
      <c r="CK2128" s="4"/>
      <c r="CL2128" s="4"/>
      <c r="CM2128" s="4"/>
      <c r="CN2128" s="4"/>
      <c r="CO2128" s="4"/>
      <c r="CP2128" s="4"/>
      <c r="CQ2128" s="4"/>
      <c r="CR2128" s="4"/>
      <c r="CS2128" s="4"/>
      <c r="CT2128" s="4"/>
      <c r="CU2128" s="4"/>
      <c r="CV2128" s="4"/>
      <c r="CW2128" s="4"/>
      <c r="CX2128" s="4"/>
      <c r="CY2128" s="4"/>
      <c r="CZ2128" s="4"/>
      <c r="DA2128" s="4"/>
      <c r="DB2128" s="4"/>
      <c r="DC2128" s="4"/>
      <c r="DD2128" s="4"/>
      <c r="DE2128" s="4"/>
      <c r="DF2128" s="4"/>
      <c r="DG2128" s="4"/>
      <c r="DH2128" s="4"/>
      <c r="DI2128" s="4"/>
      <c r="DJ2128" s="4"/>
      <c r="DK2128" s="4"/>
      <c r="DL2128" s="4"/>
      <c r="DM2128" s="4"/>
      <c r="DN2128" s="4"/>
      <c r="DO2128" s="4"/>
      <c r="DP2128" s="4"/>
      <c r="DQ2128" s="4"/>
      <c r="DR2128" s="4"/>
      <c r="DS2128" s="4"/>
      <c r="DT2128" s="4"/>
      <c r="DU2128" s="4"/>
      <c r="DV2128" s="4"/>
      <c r="DW2128" s="4"/>
      <c r="DX2128" s="4"/>
      <c r="DY2128" s="4"/>
      <c r="DZ2128" s="4"/>
      <c r="EA2128" s="4"/>
      <c r="EB2128" s="4"/>
      <c r="EC2128" s="4"/>
      <c r="ED2128" s="4"/>
      <c r="EE2128" s="4"/>
      <c r="EF2128" s="4"/>
      <c r="EG2128" s="4"/>
      <c r="EH2128" s="4"/>
      <c r="EI2128" s="4"/>
      <c r="EJ2128" s="4"/>
      <c r="EK2128" s="4"/>
      <c r="EL2128" s="4"/>
      <c r="EM2128" s="4"/>
      <c r="EN2128" s="4"/>
      <c r="EO2128" s="4"/>
      <c r="EP2128" s="4"/>
      <c r="EQ2128" s="4"/>
      <c r="ER2128" s="4"/>
      <c r="ES2128" s="4"/>
      <c r="ET2128" s="4"/>
      <c r="EU2128" s="4"/>
      <c r="EV2128" s="4"/>
      <c r="EW2128" s="4"/>
      <c r="EX2128" s="4"/>
      <c r="EY2128" s="4"/>
      <c r="EZ2128" s="4"/>
      <c r="FA2128" s="4"/>
      <c r="FB2128" s="4"/>
      <c r="FC2128" s="4"/>
      <c r="FD2128" s="4"/>
      <c r="FE2128" s="4"/>
      <c r="FF2128" s="4"/>
      <c r="FG2128" s="4"/>
      <c r="FH2128" s="4"/>
      <c r="FI2128" s="4"/>
      <c r="FJ2128" s="4"/>
      <c r="FK2128" s="4"/>
      <c r="FL2128" s="4"/>
      <c r="FM2128" s="4"/>
      <c r="FN2128" s="4"/>
      <c r="FO2128" s="4"/>
      <c r="FP2128" s="4"/>
      <c r="FQ2128" s="4"/>
      <c r="FR2128" s="4"/>
      <c r="FS2128" s="4"/>
      <c r="FT2128" s="4"/>
      <c r="FU2128" s="4"/>
      <c r="FV2128" s="4"/>
      <c r="FW2128" s="4"/>
      <c r="FX2128" s="4"/>
      <c r="FY2128" s="4"/>
      <c r="FZ2128" s="4"/>
      <c r="GA2128" s="4"/>
      <c r="GB2128" s="4"/>
      <c r="GC2128" s="4"/>
      <c r="GD2128" s="4"/>
      <c r="GE2128" s="4"/>
      <c r="GF2128" s="4"/>
      <c r="GG2128" s="4"/>
      <c r="GH2128" s="4"/>
      <c r="GI2128" s="4"/>
      <c r="GJ2128" s="4"/>
      <c r="GK2128" s="4"/>
      <c r="GL2128" s="4"/>
      <c r="GM2128" s="4"/>
      <c r="GN2128" s="4"/>
      <c r="GO2128" s="4"/>
      <c r="GP2128" s="4"/>
      <c r="GQ2128" s="4"/>
      <c r="GR2128" s="4"/>
      <c r="GS2128" s="4"/>
      <c r="GT2128" s="4"/>
      <c r="GU2128" s="4"/>
      <c r="GV2128" s="4"/>
      <c r="GW2128" s="4"/>
      <c r="GX2128" s="4"/>
      <c r="GY2128" s="4"/>
      <c r="GZ2128" s="4"/>
      <c r="HA2128" s="4"/>
      <c r="HB2128" s="4"/>
      <c r="HC2128" s="4"/>
      <c r="HD2128" s="4"/>
      <c r="HE2128" s="4"/>
    </row>
    <row r="2129">
      <c r="A2129" s="2" t="s">
        <v>10117</v>
      </c>
      <c r="B2129" s="2" t="s">
        <v>1150</v>
      </c>
      <c r="C2129" s="2" t="s">
        <v>835</v>
      </c>
      <c r="D2129" s="2" t="s">
        <v>1112</v>
      </c>
      <c r="E2129" s="2" t="s">
        <v>1113</v>
      </c>
      <c r="F2129" s="2" t="s">
        <v>10105</v>
      </c>
      <c r="G2129" s="2" t="s">
        <v>10105</v>
      </c>
      <c r="H2129" s="2" t="s">
        <v>10105</v>
      </c>
      <c r="I2129" s="2" t="s">
        <v>10118</v>
      </c>
      <c r="J2129" s="2" t="s">
        <v>1043</v>
      </c>
      <c r="K2129" s="2" t="s">
        <v>829</v>
      </c>
      <c r="L2129" s="3">
        <v>64</v>
      </c>
      <c r="M2129" s="3">
        <v>67.2</v>
      </c>
      <c r="N2129" s="3">
        <v>139.99</v>
      </c>
      <c r="O2129" s="2" t="s">
        <v>240</v>
      </c>
      <c r="P2129" s="2" t="s">
        <v>233</v>
      </c>
      <c r="Q2129" s="2" t="s">
        <v>234</v>
      </c>
      <c r="R2129" s="2" t="s">
        <v>228</v>
      </c>
      <c r="S2129" s="2" t="s">
        <v>10119</v>
      </c>
      <c r="T2129" s="2" t="s">
        <v>350</v>
      </c>
      <c r="U2129" s="2" t="s">
        <v>500</v>
      </c>
      <c r="V2129" s="2" t="s">
        <v>374</v>
      </c>
      <c r="W2129" s="2" t="s">
        <v>1682</v>
      </c>
      <c r="X2129" s="2" t="s">
        <v>269</v>
      </c>
      <c r="Y2129" s="2" t="s">
        <v>3438</v>
      </c>
      <c r="Z2129" s="4">
        <v>162</v>
      </c>
      <c r="AA2129" s="4">
        <f>=ROUNDDOWN(46.2857142857143,0)</f>
      </c>
      <c r="AB2129" s="5">
        <v>3.5</v>
      </c>
      <c r="AC2129" s="2" t="s">
        <v>228</v>
      </c>
      <c r="AD2129" s="4"/>
      <c r="AE2129" s="4"/>
      <c r="AF2129" s="6">
        <v>65</v>
      </c>
      <c r="AG2129" s="6"/>
      <c r="AH2129" s="7">
        <v>1</v>
      </c>
      <c r="AI2129" s="4"/>
      <c r="AJ2129" s="4">
        <f>=ROUNDDOWN({0},0)</f>
      </c>
      <c r="AK2129" s="5"/>
      <c r="AL2129" s="2" t="s">
        <v>228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/>
      <c r="AW2129" s="8"/>
      <c r="AX2129" s="4"/>
      <c r="AY2129" s="8"/>
      <c r="AZ2129" s="7"/>
      <c r="BA2129" s="7"/>
      <c r="BB2129" s="7"/>
      <c r="BC2129" s="4" t="s">
        <v>228</v>
      </c>
      <c r="BD2129" s="8" t="s">
        <v>228</v>
      </c>
      <c r="BE2129" s="4" t="s">
        <v>228</v>
      </c>
      <c r="BF2129" s="8" t="s">
        <v>228</v>
      </c>
      <c r="BG2129" s="7" t="s">
        <v>228</v>
      </c>
      <c r="BH2129" s="7" t="s">
        <v>228</v>
      </c>
      <c r="BI2129" s="7"/>
      <c r="BJ2129" s="4">
        <v>23</v>
      </c>
      <c r="BK2129" s="8">
        <v>1573.54</v>
      </c>
      <c r="BL2129" s="2" t="s">
        <v>10120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10121</v>
      </c>
      <c r="BV2129" s="2" t="s">
        <v>228</v>
      </c>
      <c r="BW2129" s="2" t="s">
        <v>228</v>
      </c>
      <c r="BX2129" s="2" t="s">
        <v>273</v>
      </c>
      <c r="BY2129" s="2" t="s">
        <v>274</v>
      </c>
      <c r="BZ2129" s="2" t="s">
        <v>240</v>
      </c>
      <c r="CA2129" s="2" t="s">
        <v>10122</v>
      </c>
      <c r="CB2129" s="2" t="s">
        <v>3143</v>
      </c>
      <c r="CC2129" s="2" t="s">
        <v>241</v>
      </c>
      <c r="CD2129" s="2" t="s">
        <v>228</v>
      </c>
      <c r="CE2129" s="4">
        <v>65</v>
      </c>
      <c r="CF2129" s="4"/>
      <c r="CG2129" s="4"/>
      <c r="CH2129" s="4">
        <v>97</v>
      </c>
      <c r="CI2129" s="4"/>
      <c r="CJ2129" s="4"/>
      <c r="CK2129" s="4"/>
      <c r="CL2129" s="4"/>
      <c r="CM2129" s="4"/>
      <c r="CN2129" s="4"/>
      <c r="CO2129" s="4"/>
      <c r="CP2129" s="4"/>
      <c r="CQ2129" s="4"/>
      <c r="CR2129" s="4"/>
      <c r="CS2129" s="4"/>
      <c r="CT2129" s="4"/>
      <c r="CU2129" s="4"/>
      <c r="CV2129" s="4"/>
      <c r="CW2129" s="4"/>
      <c r="CX2129" s="4"/>
      <c r="CY2129" s="4"/>
      <c r="CZ2129" s="4"/>
      <c r="DA2129" s="4"/>
      <c r="DB2129" s="4"/>
      <c r="DC2129" s="4"/>
      <c r="DD2129" s="4"/>
      <c r="DE2129" s="4"/>
      <c r="DF2129" s="4"/>
      <c r="DG2129" s="4"/>
      <c r="DH2129" s="4"/>
      <c r="DI2129" s="4"/>
      <c r="DJ2129" s="4"/>
      <c r="DK2129" s="4"/>
      <c r="DL2129" s="4"/>
      <c r="DM2129" s="4"/>
      <c r="DN2129" s="4"/>
      <c r="DO2129" s="4"/>
      <c r="DP2129" s="4"/>
      <c r="DQ2129" s="4"/>
      <c r="DR2129" s="4"/>
      <c r="DS2129" s="4"/>
      <c r="DT2129" s="4"/>
      <c r="DU2129" s="4"/>
      <c r="DV2129" s="4"/>
      <c r="DW2129" s="4"/>
      <c r="DX2129" s="4"/>
      <c r="DY2129" s="4"/>
      <c r="DZ2129" s="4"/>
      <c r="EA2129" s="4"/>
      <c r="EB2129" s="4"/>
      <c r="EC2129" s="4"/>
      <c r="ED2129" s="4"/>
      <c r="EE2129" s="4"/>
      <c r="EF2129" s="4"/>
      <c r="EG2129" s="4"/>
      <c r="EH2129" s="4"/>
      <c r="EI2129" s="4"/>
      <c r="EJ2129" s="4"/>
      <c r="EK2129" s="4"/>
      <c r="EL2129" s="4"/>
      <c r="EM2129" s="4"/>
      <c r="EN2129" s="4"/>
      <c r="EO2129" s="4"/>
      <c r="EP2129" s="4"/>
      <c r="EQ2129" s="4"/>
      <c r="ER2129" s="4"/>
      <c r="ES2129" s="4"/>
      <c r="ET2129" s="4"/>
      <c r="EU2129" s="4"/>
      <c r="EV2129" s="4"/>
      <c r="EW2129" s="4"/>
      <c r="EX2129" s="4"/>
      <c r="EY2129" s="4"/>
      <c r="EZ2129" s="4"/>
      <c r="FA2129" s="4"/>
      <c r="FB2129" s="4"/>
      <c r="FC2129" s="4"/>
      <c r="FD2129" s="4"/>
      <c r="FE2129" s="4"/>
      <c r="FF2129" s="4"/>
      <c r="FG2129" s="4"/>
      <c r="FH2129" s="4"/>
      <c r="FI2129" s="4"/>
      <c r="FJ2129" s="4"/>
      <c r="FK2129" s="4"/>
      <c r="FL2129" s="4"/>
      <c r="FM2129" s="4"/>
      <c r="FN2129" s="4"/>
      <c r="FO2129" s="4"/>
      <c r="FP2129" s="4"/>
      <c r="FQ2129" s="4"/>
      <c r="FR2129" s="4"/>
      <c r="FS2129" s="4"/>
      <c r="FT2129" s="4"/>
      <c r="FU2129" s="4"/>
      <c r="FV2129" s="4"/>
      <c r="FW2129" s="4"/>
      <c r="FX2129" s="4"/>
      <c r="FY2129" s="4"/>
      <c r="FZ2129" s="4"/>
      <c r="GA2129" s="4"/>
      <c r="GB2129" s="4"/>
      <c r="GC2129" s="4"/>
      <c r="GD2129" s="4"/>
      <c r="GE2129" s="4"/>
      <c r="GF2129" s="4"/>
      <c r="GG2129" s="4"/>
      <c r="GH2129" s="4"/>
      <c r="GI2129" s="4"/>
      <c r="GJ2129" s="4"/>
      <c r="GK2129" s="4"/>
      <c r="GL2129" s="4"/>
      <c r="GM2129" s="4"/>
      <c r="GN2129" s="4"/>
      <c r="GO2129" s="4"/>
      <c r="GP2129" s="4"/>
      <c r="GQ2129" s="4"/>
      <c r="GR2129" s="4"/>
      <c r="GS2129" s="4"/>
      <c r="GT2129" s="4"/>
      <c r="GU2129" s="4"/>
      <c r="GV2129" s="4"/>
      <c r="GW2129" s="4"/>
      <c r="GX2129" s="4"/>
      <c r="GY2129" s="4"/>
      <c r="GZ2129" s="4"/>
      <c r="HA2129" s="4"/>
      <c r="HB2129" s="4"/>
      <c r="HC2129" s="4"/>
      <c r="HD2129" s="4"/>
      <c r="HE2129" s="4"/>
    </row>
    <row r="2130">
      <c r="A2130" s="2" t="s">
        <v>10123</v>
      </c>
      <c r="B2130" s="2" t="s">
        <v>223</v>
      </c>
      <c r="C2130" s="2" t="s">
        <v>4000</v>
      </c>
      <c r="D2130" s="2" t="s">
        <v>1407</v>
      </c>
      <c r="E2130" s="2" t="s">
        <v>3636</v>
      </c>
      <c r="F2130" s="2" t="s">
        <v>10124</v>
      </c>
      <c r="G2130" s="2" t="s">
        <v>10124</v>
      </c>
      <c r="H2130" s="2" t="s">
        <v>10124</v>
      </c>
      <c r="I2130" s="2" t="s">
        <v>3638</v>
      </c>
      <c r="J2130" s="2" t="s">
        <v>264</v>
      </c>
      <c r="K2130" s="2" t="s">
        <v>265</v>
      </c>
      <c r="L2130" s="3">
        <v>45.23</v>
      </c>
      <c r="M2130" s="3">
        <v>47.49</v>
      </c>
      <c r="N2130" s="3">
        <v>94.99</v>
      </c>
      <c r="O2130" s="2" t="s">
        <v>240</v>
      </c>
      <c r="P2130" s="2" t="s">
        <v>266</v>
      </c>
      <c r="Q2130" s="2" t="s">
        <v>234</v>
      </c>
      <c r="R2130" s="2" t="s">
        <v>228</v>
      </c>
      <c r="S2130" s="2" t="s">
        <v>10125</v>
      </c>
      <c r="T2130" s="2" t="s">
        <v>1266</v>
      </c>
      <c r="U2130" s="2" t="s">
        <v>416</v>
      </c>
      <c r="V2130" s="2" t="s">
        <v>236</v>
      </c>
      <c r="W2130" s="2" t="s">
        <v>269</v>
      </c>
      <c r="X2130" s="2" t="s">
        <v>1267</v>
      </c>
      <c r="Y2130" s="2" t="s">
        <v>514</v>
      </c>
      <c r="Z2130" s="4">
        <v>193</v>
      </c>
      <c r="AA2130" s="4">
        <f>=ROUNDDOWN(32.1666666666667,0)</f>
      </c>
      <c r="AB2130" s="5">
        <v>6</v>
      </c>
      <c r="AC2130" s="2" t="s">
        <v>6121</v>
      </c>
      <c r="AD2130" s="4">
        <v>160</v>
      </c>
      <c r="AE2130" s="4">
        <v>300</v>
      </c>
      <c r="AF2130" s="6">
        <v>65</v>
      </c>
      <c r="AG2130" s="6"/>
      <c r="AH2130" s="7">
        <v>1</v>
      </c>
      <c r="AI2130" s="4"/>
      <c r="AJ2130" s="4">
        <f>=ROUNDDOWN({0},0)</f>
      </c>
      <c r="AK2130" s="5"/>
      <c r="AL2130" s="2" t="s">
        <v>228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 t="s">
        <v>228</v>
      </c>
      <c r="AW2130" s="8" t="s">
        <v>228</v>
      </c>
      <c r="AX2130" s="4" t="s">
        <v>228</v>
      </c>
      <c r="AY2130" s="8" t="s">
        <v>228</v>
      </c>
      <c r="AZ2130" s="7" t="s">
        <v>228</v>
      </c>
      <c r="BA2130" s="7" t="s">
        <v>228</v>
      </c>
      <c r="BB2130" s="7"/>
      <c r="BC2130" s="4" t="s">
        <v>228</v>
      </c>
      <c r="BD2130" s="8" t="s">
        <v>228</v>
      </c>
      <c r="BE2130" s="4" t="s">
        <v>228</v>
      </c>
      <c r="BF2130" s="8" t="s">
        <v>228</v>
      </c>
      <c r="BG2130" s="7" t="s">
        <v>228</v>
      </c>
      <c r="BH2130" s="7" t="s">
        <v>228</v>
      </c>
      <c r="BI2130" s="7"/>
      <c r="BJ2130" s="4">
        <v>3</v>
      </c>
      <c r="BK2130" s="8">
        <v>151.03</v>
      </c>
      <c r="BL2130" s="2" t="s">
        <v>3157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10126</v>
      </c>
      <c r="BV2130" s="2" t="s">
        <v>228</v>
      </c>
      <c r="BW2130" s="2" t="s">
        <v>228</v>
      </c>
      <c r="BX2130" s="2" t="s">
        <v>273</v>
      </c>
      <c r="BY2130" s="2" t="s">
        <v>274</v>
      </c>
      <c r="BZ2130" s="2" t="s">
        <v>240</v>
      </c>
      <c r="CA2130" s="2" t="s">
        <v>2240</v>
      </c>
      <c r="CB2130" s="2" t="s">
        <v>390</v>
      </c>
      <c r="CC2130" s="2" t="s">
        <v>241</v>
      </c>
      <c r="CD2130" s="2" t="s">
        <v>228</v>
      </c>
      <c r="CE2130" s="4">
        <v>193</v>
      </c>
      <c r="CF2130" s="4"/>
      <c r="CG2130" s="4"/>
      <c r="CH2130" s="4"/>
      <c r="CI2130" s="4"/>
      <c r="CJ2130" s="4"/>
      <c r="CK2130" s="4"/>
      <c r="CL2130" s="4"/>
      <c r="CM2130" s="4"/>
      <c r="CN2130" s="4"/>
      <c r="CO2130" s="4"/>
      <c r="CP2130" s="4"/>
      <c r="CQ2130" s="4"/>
      <c r="CR2130" s="4"/>
      <c r="CS2130" s="4"/>
      <c r="CT2130" s="4"/>
      <c r="CU2130" s="4"/>
      <c r="CV2130" s="4"/>
      <c r="CW2130" s="4"/>
      <c r="CX2130" s="4"/>
      <c r="CY2130" s="4"/>
      <c r="CZ2130" s="4"/>
      <c r="DA2130" s="4"/>
      <c r="DB2130" s="4"/>
      <c r="DC2130" s="4">
        <v>160</v>
      </c>
      <c r="DD2130" s="4"/>
      <c r="DE2130" s="4"/>
      <c r="DF2130" s="4"/>
      <c r="DG2130" s="4"/>
      <c r="DH2130" s="4"/>
      <c r="DI2130" s="4"/>
      <c r="DJ2130" s="4"/>
      <c r="DK2130" s="4"/>
      <c r="DL2130" s="4"/>
      <c r="DM2130" s="4"/>
      <c r="DN2130" s="4"/>
      <c r="DO2130" s="4"/>
      <c r="DP2130" s="4"/>
      <c r="DQ2130" s="4"/>
      <c r="DR2130" s="4"/>
      <c r="DS2130" s="4"/>
      <c r="DT2130" s="4"/>
      <c r="DU2130" s="4"/>
      <c r="DV2130" s="4"/>
      <c r="DW2130" s="4"/>
      <c r="DX2130" s="4"/>
      <c r="DY2130" s="4"/>
      <c r="DZ2130" s="4"/>
      <c r="EA2130" s="4"/>
      <c r="EB2130" s="4"/>
      <c r="EC2130" s="4"/>
      <c r="ED2130" s="4"/>
      <c r="EE2130" s="4"/>
      <c r="EF2130" s="4"/>
      <c r="EG2130" s="4"/>
      <c r="EH2130" s="4"/>
      <c r="EI2130" s="4"/>
      <c r="EJ2130" s="4"/>
      <c r="EK2130" s="4"/>
      <c r="EL2130" s="4"/>
      <c r="EM2130" s="4"/>
      <c r="EN2130" s="4"/>
      <c r="EO2130" s="4"/>
      <c r="EP2130" s="4"/>
      <c r="EQ2130" s="4"/>
      <c r="ER2130" s="4"/>
      <c r="ES2130" s="4"/>
      <c r="ET2130" s="4"/>
      <c r="EU2130" s="4"/>
      <c r="EV2130" s="4"/>
      <c r="EW2130" s="4"/>
      <c r="EX2130" s="4"/>
      <c r="EY2130" s="4"/>
      <c r="EZ2130" s="4"/>
      <c r="FA2130" s="4"/>
      <c r="FB2130" s="4"/>
      <c r="FC2130" s="4"/>
      <c r="FD2130" s="4"/>
      <c r="FE2130" s="4"/>
      <c r="FF2130" s="4"/>
      <c r="FG2130" s="4"/>
      <c r="FH2130" s="4"/>
      <c r="FI2130" s="4"/>
      <c r="FJ2130" s="4"/>
      <c r="FK2130" s="4"/>
      <c r="FL2130" s="4"/>
      <c r="FM2130" s="4"/>
      <c r="FN2130" s="4"/>
      <c r="FO2130" s="4"/>
      <c r="FP2130" s="4"/>
      <c r="FQ2130" s="4"/>
      <c r="FR2130" s="4"/>
      <c r="FS2130" s="4"/>
      <c r="FT2130" s="4"/>
      <c r="FU2130" s="4"/>
      <c r="FV2130" s="4"/>
      <c r="FW2130" s="4"/>
      <c r="FX2130" s="4"/>
      <c r="FY2130" s="4"/>
      <c r="FZ2130" s="4"/>
      <c r="GA2130" s="4"/>
      <c r="GB2130" s="4">
        <v>140</v>
      </c>
      <c r="GC2130" s="4"/>
      <c r="GD2130" s="4"/>
      <c r="GE2130" s="4"/>
      <c r="GF2130" s="4"/>
      <c r="GG2130" s="4"/>
      <c r="GH2130" s="4"/>
      <c r="GI2130" s="4"/>
      <c r="GJ2130" s="4"/>
      <c r="GK2130" s="4"/>
      <c r="GL2130" s="4"/>
      <c r="GM2130" s="4"/>
      <c r="GN2130" s="4"/>
      <c r="GO2130" s="4"/>
      <c r="GP2130" s="4"/>
      <c r="GQ2130" s="4"/>
      <c r="GR2130" s="4"/>
      <c r="GS2130" s="4"/>
      <c r="GT2130" s="4"/>
      <c r="GU2130" s="4"/>
      <c r="GV2130" s="4"/>
      <c r="GW2130" s="4"/>
      <c r="GX2130" s="4"/>
      <c r="GY2130" s="4"/>
      <c r="GZ2130" s="4"/>
      <c r="HA2130" s="4"/>
      <c r="HB2130" s="4"/>
      <c r="HC2130" s="4"/>
      <c r="HD2130" s="4"/>
      <c r="HE2130" s="4"/>
    </row>
    <row r="2131">
      <c r="A2131" s="2" t="s">
        <v>10127</v>
      </c>
      <c r="B2131" s="2" t="s">
        <v>223</v>
      </c>
      <c r="C2131" s="2" t="s">
        <v>4000</v>
      </c>
      <c r="D2131" s="2" t="s">
        <v>1407</v>
      </c>
      <c r="E2131" s="2" t="s">
        <v>3636</v>
      </c>
      <c r="F2131" s="2" t="s">
        <v>10124</v>
      </c>
      <c r="G2131" s="2" t="s">
        <v>10124</v>
      </c>
      <c r="H2131" s="2" t="s">
        <v>10124</v>
      </c>
      <c r="I2131" s="2" t="s">
        <v>3638</v>
      </c>
      <c r="J2131" s="2" t="s">
        <v>294</v>
      </c>
      <c r="K2131" s="2" t="s">
        <v>265</v>
      </c>
      <c r="L2131" s="3">
        <v>78.57</v>
      </c>
      <c r="M2131" s="3">
        <v>82.5</v>
      </c>
      <c r="N2131" s="3">
        <v>164.99</v>
      </c>
      <c r="O2131" s="2" t="s">
        <v>240</v>
      </c>
      <c r="P2131" s="2" t="s">
        <v>266</v>
      </c>
      <c r="Q2131" s="2" t="s">
        <v>234</v>
      </c>
      <c r="R2131" s="2" t="s">
        <v>228</v>
      </c>
      <c r="S2131" s="2" t="s">
        <v>10125</v>
      </c>
      <c r="T2131" s="2" t="s">
        <v>1266</v>
      </c>
      <c r="U2131" s="2" t="s">
        <v>416</v>
      </c>
      <c r="V2131" s="2" t="s">
        <v>236</v>
      </c>
      <c r="W2131" s="2" t="s">
        <v>269</v>
      </c>
      <c r="X2131" s="2" t="s">
        <v>1267</v>
      </c>
      <c r="Y2131" s="2" t="s">
        <v>3642</v>
      </c>
      <c r="Z2131" s="4">
        <v>271</v>
      </c>
      <c r="AA2131" s="4">
        <f>=ROUNDDOWN(20.8461538461538,0)</f>
      </c>
      <c r="AB2131" s="5">
        <v>13</v>
      </c>
      <c r="AC2131" s="2" t="s">
        <v>160</v>
      </c>
      <c r="AD2131" s="4">
        <v>180</v>
      </c>
      <c r="AE2131" s="4">
        <v>220</v>
      </c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228</v>
      </c>
      <c r="AM2131" s="4"/>
      <c r="AN2131" s="4"/>
      <c r="AO2131" s="7"/>
      <c r="AP2131" s="4"/>
      <c r="AQ2131" s="8"/>
      <c r="AR2131" s="4"/>
      <c r="AS2131" s="8"/>
      <c r="AT2131" s="7"/>
      <c r="AU2131" s="7"/>
      <c r="AV2131" s="4" t="s">
        <v>228</v>
      </c>
      <c r="AW2131" s="8" t="s">
        <v>228</v>
      </c>
      <c r="AX2131" s="4" t="s">
        <v>228</v>
      </c>
      <c r="AY2131" s="8" t="s">
        <v>228</v>
      </c>
      <c r="AZ2131" s="7" t="s">
        <v>228</v>
      </c>
      <c r="BA2131" s="7" t="s">
        <v>228</v>
      </c>
      <c r="BB2131" s="7"/>
      <c r="BC2131" s="4" t="s">
        <v>228</v>
      </c>
      <c r="BD2131" s="8" t="s">
        <v>228</v>
      </c>
      <c r="BE2131" s="4" t="s">
        <v>228</v>
      </c>
      <c r="BF2131" s="8" t="s">
        <v>228</v>
      </c>
      <c r="BG2131" s="7" t="s">
        <v>228</v>
      </c>
      <c r="BH2131" s="7" t="s">
        <v>228</v>
      </c>
      <c r="BI2131" s="7"/>
      <c r="BJ2131" s="4">
        <v>4</v>
      </c>
      <c r="BK2131" s="8">
        <v>351.44</v>
      </c>
      <c r="BL2131" s="2" t="s">
        <v>2507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10128</v>
      </c>
      <c r="BV2131" s="2" t="s">
        <v>228</v>
      </c>
      <c r="BW2131" s="2" t="s">
        <v>228</v>
      </c>
      <c r="BX2131" s="2" t="s">
        <v>273</v>
      </c>
      <c r="BY2131" s="2" t="s">
        <v>274</v>
      </c>
      <c r="BZ2131" s="2" t="s">
        <v>240</v>
      </c>
      <c r="CA2131" s="2" t="s">
        <v>2240</v>
      </c>
      <c r="CB2131" s="2" t="s">
        <v>10129</v>
      </c>
      <c r="CC2131" s="2" t="s">
        <v>241</v>
      </c>
      <c r="CD2131" s="2" t="s">
        <v>228</v>
      </c>
      <c r="CE2131" s="4">
        <v>271</v>
      </c>
      <c r="CF2131" s="4"/>
      <c r="CG2131" s="4"/>
      <c r="CH2131" s="4"/>
      <c r="CI2131" s="4"/>
      <c r="CJ2131" s="4"/>
      <c r="CK2131" s="4"/>
      <c r="CL2131" s="4"/>
      <c r="CM2131" s="4"/>
      <c r="CN2131" s="4"/>
      <c r="CO2131" s="4"/>
      <c r="CP2131" s="4"/>
      <c r="CQ2131" s="4"/>
      <c r="CR2131" s="4"/>
      <c r="CS2131" s="4"/>
      <c r="CT2131" s="4"/>
      <c r="CU2131" s="4"/>
      <c r="CV2131" s="4"/>
      <c r="CW2131" s="4"/>
      <c r="CX2131" s="4"/>
      <c r="CY2131" s="4"/>
      <c r="CZ2131" s="4"/>
      <c r="DA2131" s="4"/>
      <c r="DB2131" s="4"/>
      <c r="DC2131" s="4"/>
      <c r="DD2131" s="4"/>
      <c r="DE2131" s="4"/>
      <c r="DF2131" s="4"/>
      <c r="DG2131" s="4"/>
      <c r="DH2131" s="4"/>
      <c r="DI2131" s="4"/>
      <c r="DJ2131" s="4"/>
      <c r="DK2131" s="4"/>
      <c r="DL2131" s="4"/>
      <c r="DM2131" s="4"/>
      <c r="DN2131" s="4"/>
      <c r="DO2131" s="4"/>
      <c r="DP2131" s="4"/>
      <c r="DQ2131" s="4"/>
      <c r="DR2131" s="4"/>
      <c r="DS2131" s="4"/>
      <c r="DT2131" s="4"/>
      <c r="DU2131" s="4"/>
      <c r="DV2131" s="4"/>
      <c r="DW2131" s="4"/>
      <c r="DX2131" s="4"/>
      <c r="DY2131" s="4"/>
      <c r="DZ2131" s="4"/>
      <c r="EA2131" s="4"/>
      <c r="EB2131" s="4"/>
      <c r="EC2131" s="4"/>
      <c r="ED2131" s="4"/>
      <c r="EE2131" s="4"/>
      <c r="EF2131" s="4"/>
      <c r="EG2131" s="4"/>
      <c r="EH2131" s="4"/>
      <c r="EI2131" s="4"/>
      <c r="EJ2131" s="4"/>
      <c r="EK2131" s="4"/>
      <c r="EL2131" s="4"/>
      <c r="EM2131" s="4"/>
      <c r="EN2131" s="4"/>
      <c r="EO2131" s="4"/>
      <c r="EP2131" s="4"/>
      <c r="EQ2131" s="4"/>
      <c r="ER2131" s="4"/>
      <c r="ES2131" s="4"/>
      <c r="ET2131" s="4"/>
      <c r="EU2131" s="4"/>
      <c r="EV2131" s="4">
        <v>180</v>
      </c>
      <c r="EW2131" s="4"/>
      <c r="EX2131" s="4"/>
      <c r="EY2131" s="4"/>
      <c r="EZ2131" s="4"/>
      <c r="FA2131" s="4"/>
      <c r="FB2131" s="4"/>
      <c r="FC2131" s="4"/>
      <c r="FD2131" s="4"/>
      <c r="FE2131" s="4"/>
      <c r="FF2131" s="4"/>
      <c r="FG2131" s="4"/>
      <c r="FH2131" s="4"/>
      <c r="FI2131" s="4"/>
      <c r="FJ2131" s="4"/>
      <c r="FK2131" s="4"/>
      <c r="FL2131" s="4"/>
      <c r="FM2131" s="4"/>
      <c r="FN2131" s="4"/>
      <c r="FO2131" s="4"/>
      <c r="FP2131" s="4"/>
      <c r="FQ2131" s="4"/>
      <c r="FR2131" s="4"/>
      <c r="FS2131" s="4"/>
      <c r="FT2131" s="4"/>
      <c r="FU2131" s="4"/>
      <c r="FV2131" s="4"/>
      <c r="FW2131" s="4"/>
      <c r="FX2131" s="4"/>
      <c r="FY2131" s="4"/>
      <c r="FZ2131" s="4"/>
      <c r="GA2131" s="4"/>
      <c r="GB2131" s="4">
        <v>40</v>
      </c>
      <c r="GC2131" s="4"/>
      <c r="GD2131" s="4"/>
      <c r="GE2131" s="4"/>
      <c r="GF2131" s="4"/>
      <c r="GG2131" s="4"/>
      <c r="GH2131" s="4"/>
      <c r="GI2131" s="4"/>
      <c r="GJ2131" s="4"/>
      <c r="GK2131" s="4"/>
      <c r="GL2131" s="4"/>
      <c r="GM2131" s="4"/>
      <c r="GN2131" s="4"/>
      <c r="GO2131" s="4"/>
      <c r="GP2131" s="4"/>
      <c r="GQ2131" s="4"/>
      <c r="GR2131" s="4"/>
      <c r="GS2131" s="4"/>
      <c r="GT2131" s="4"/>
      <c r="GU2131" s="4"/>
      <c r="GV2131" s="4"/>
      <c r="GW2131" s="4"/>
      <c r="GX2131" s="4"/>
      <c r="GY2131" s="4"/>
      <c r="GZ2131" s="4"/>
      <c r="HA2131" s="4"/>
      <c r="HB2131" s="4"/>
      <c r="HC2131" s="4"/>
      <c r="HD2131" s="4"/>
      <c r="HE2131" s="4"/>
    </row>
    <row r="2132">
      <c r="A2132" s="2" t="s">
        <v>10130</v>
      </c>
      <c r="B2132" s="2" t="s">
        <v>223</v>
      </c>
      <c r="C2132" s="2" t="s">
        <v>4000</v>
      </c>
      <c r="D2132" s="2" t="s">
        <v>1407</v>
      </c>
      <c r="E2132" s="2" t="s">
        <v>3636</v>
      </c>
      <c r="F2132" s="2" t="s">
        <v>10124</v>
      </c>
      <c r="G2132" s="2" t="s">
        <v>10124</v>
      </c>
      <c r="H2132" s="2" t="s">
        <v>10124</v>
      </c>
      <c r="I2132" s="2" t="s">
        <v>3638</v>
      </c>
      <c r="J2132" s="2" t="s">
        <v>264</v>
      </c>
      <c r="K2132" s="2" t="s">
        <v>1421</v>
      </c>
      <c r="L2132" s="3">
        <v>45.23</v>
      </c>
      <c r="M2132" s="3">
        <v>47.49</v>
      </c>
      <c r="N2132" s="3">
        <v>94.99</v>
      </c>
      <c r="O2132" s="2" t="s">
        <v>240</v>
      </c>
      <c r="P2132" s="2" t="s">
        <v>266</v>
      </c>
      <c r="Q2132" s="2" t="s">
        <v>234</v>
      </c>
      <c r="R2132" s="2" t="s">
        <v>228</v>
      </c>
      <c r="S2132" s="2" t="s">
        <v>10131</v>
      </c>
      <c r="T2132" s="2" t="s">
        <v>1266</v>
      </c>
      <c r="U2132" s="2" t="s">
        <v>416</v>
      </c>
      <c r="V2132" s="2" t="s">
        <v>236</v>
      </c>
      <c r="W2132" s="2" t="s">
        <v>269</v>
      </c>
      <c r="X2132" s="2" t="s">
        <v>1267</v>
      </c>
      <c r="Y2132" s="2" t="s">
        <v>3642</v>
      </c>
      <c r="Z2132" s="4">
        <v>224</v>
      </c>
      <c r="AA2132" s="4">
        <f>=ROUNDDOWN(74.6666666666667,0)</f>
      </c>
      <c r="AB2132" s="5">
        <v>3</v>
      </c>
      <c r="AC2132" s="2" t="s">
        <v>228</v>
      </c>
      <c r="AD2132" s="4"/>
      <c r="AE2132" s="4"/>
      <c r="AF2132" s="6">
        <v>65</v>
      </c>
      <c r="AG2132" s="6"/>
      <c r="AH2132" s="7">
        <v>1</v>
      </c>
      <c r="AI2132" s="4"/>
      <c r="AJ2132" s="4">
        <f>=ROUNDDOWN({0},0)</f>
      </c>
      <c r="AK2132" s="5"/>
      <c r="AL2132" s="2" t="s">
        <v>228</v>
      </c>
      <c r="AM2132" s="4"/>
      <c r="AN2132" s="4"/>
      <c r="AO2132" s="7"/>
      <c r="AP2132" s="4"/>
      <c r="AQ2132" s="8"/>
      <c r="AR2132" s="4"/>
      <c r="AS2132" s="8"/>
      <c r="AT2132" s="7"/>
      <c r="AU2132" s="7"/>
      <c r="AV2132" s="4" t="s">
        <v>228</v>
      </c>
      <c r="AW2132" s="8" t="s">
        <v>228</v>
      </c>
      <c r="AX2132" s="4" t="s">
        <v>228</v>
      </c>
      <c r="AY2132" s="8" t="s">
        <v>228</v>
      </c>
      <c r="AZ2132" s="7" t="s">
        <v>228</v>
      </c>
      <c r="BA2132" s="7" t="s">
        <v>228</v>
      </c>
      <c r="BB2132" s="7"/>
      <c r="BC2132" s="4" t="s">
        <v>228</v>
      </c>
      <c r="BD2132" s="8" t="s">
        <v>228</v>
      </c>
      <c r="BE2132" s="4" t="s">
        <v>228</v>
      </c>
      <c r="BF2132" s="8" t="s">
        <v>228</v>
      </c>
      <c r="BG2132" s="7" t="s">
        <v>228</v>
      </c>
      <c r="BH2132" s="7" t="s">
        <v>228</v>
      </c>
      <c r="BI2132" s="7"/>
      <c r="BJ2132" s="4">
        <v>4</v>
      </c>
      <c r="BK2132" s="8">
        <v>200.9</v>
      </c>
      <c r="BL2132" s="2" t="s">
        <v>3157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10132</v>
      </c>
      <c r="BV2132" s="2" t="s">
        <v>228</v>
      </c>
      <c r="BW2132" s="2" t="s">
        <v>228</v>
      </c>
      <c r="BX2132" s="2" t="s">
        <v>273</v>
      </c>
      <c r="BY2132" s="2" t="s">
        <v>274</v>
      </c>
      <c r="BZ2132" s="2" t="s">
        <v>240</v>
      </c>
      <c r="CA2132" s="2" t="s">
        <v>2240</v>
      </c>
      <c r="CB2132" s="2" t="s">
        <v>3101</v>
      </c>
      <c r="CC2132" s="2" t="s">
        <v>241</v>
      </c>
      <c r="CD2132" s="2" t="s">
        <v>228</v>
      </c>
      <c r="CE2132" s="4">
        <v>224</v>
      </c>
      <c r="CF2132" s="4"/>
      <c r="CG2132" s="4"/>
      <c r="CH2132" s="4"/>
      <c r="CI2132" s="4"/>
      <c r="CJ2132" s="4"/>
      <c r="CK2132" s="4"/>
      <c r="CL2132" s="4"/>
      <c r="CM2132" s="4"/>
      <c r="CN2132" s="4"/>
      <c r="CO2132" s="4"/>
      <c r="CP2132" s="4"/>
      <c r="CQ2132" s="4"/>
      <c r="CR2132" s="4"/>
      <c r="CS2132" s="4"/>
      <c r="CT2132" s="4"/>
      <c r="CU2132" s="4"/>
      <c r="CV2132" s="4"/>
      <c r="CW2132" s="4"/>
      <c r="CX2132" s="4"/>
      <c r="CY2132" s="4"/>
      <c r="CZ2132" s="4"/>
      <c r="DA2132" s="4"/>
      <c r="DB2132" s="4"/>
      <c r="DC2132" s="4"/>
      <c r="DD2132" s="4"/>
      <c r="DE2132" s="4"/>
      <c r="DF2132" s="4"/>
      <c r="DG2132" s="4"/>
      <c r="DH2132" s="4"/>
      <c r="DI2132" s="4"/>
      <c r="DJ2132" s="4"/>
      <c r="DK2132" s="4"/>
      <c r="DL2132" s="4"/>
      <c r="DM2132" s="4"/>
      <c r="DN2132" s="4"/>
      <c r="DO2132" s="4"/>
      <c r="DP2132" s="4"/>
      <c r="DQ2132" s="4"/>
      <c r="DR2132" s="4"/>
      <c r="DS2132" s="4"/>
      <c r="DT2132" s="4"/>
      <c r="DU2132" s="4"/>
      <c r="DV2132" s="4"/>
      <c r="DW2132" s="4"/>
      <c r="DX2132" s="4"/>
      <c r="DY2132" s="4"/>
      <c r="DZ2132" s="4"/>
      <c r="EA2132" s="4"/>
      <c r="EB2132" s="4"/>
      <c r="EC2132" s="4"/>
      <c r="ED2132" s="4"/>
      <c r="EE2132" s="4"/>
      <c r="EF2132" s="4"/>
      <c r="EG2132" s="4"/>
      <c r="EH2132" s="4"/>
      <c r="EI2132" s="4"/>
      <c r="EJ2132" s="4"/>
      <c r="EK2132" s="4"/>
      <c r="EL2132" s="4"/>
      <c r="EM2132" s="4"/>
      <c r="EN2132" s="4"/>
      <c r="EO2132" s="4"/>
      <c r="EP2132" s="4"/>
      <c r="EQ2132" s="4"/>
      <c r="ER2132" s="4"/>
      <c r="ES2132" s="4"/>
      <c r="ET2132" s="4"/>
      <c r="EU2132" s="4"/>
      <c r="EV2132" s="4"/>
      <c r="EW2132" s="4"/>
      <c r="EX2132" s="4"/>
      <c r="EY2132" s="4"/>
      <c r="EZ2132" s="4"/>
      <c r="FA2132" s="4"/>
      <c r="FB2132" s="4"/>
      <c r="FC2132" s="4"/>
      <c r="FD2132" s="4"/>
      <c r="FE2132" s="4"/>
      <c r="FF2132" s="4"/>
      <c r="FG2132" s="4"/>
      <c r="FH2132" s="4"/>
      <c r="FI2132" s="4"/>
      <c r="FJ2132" s="4"/>
      <c r="FK2132" s="4"/>
      <c r="FL2132" s="4"/>
      <c r="FM2132" s="4"/>
      <c r="FN2132" s="4"/>
      <c r="FO2132" s="4"/>
      <c r="FP2132" s="4"/>
      <c r="FQ2132" s="4"/>
      <c r="FR2132" s="4"/>
      <c r="FS2132" s="4"/>
      <c r="FT2132" s="4"/>
      <c r="FU2132" s="4"/>
      <c r="FV2132" s="4"/>
      <c r="FW2132" s="4"/>
      <c r="FX2132" s="4"/>
      <c r="FY2132" s="4"/>
      <c r="FZ2132" s="4"/>
      <c r="GA2132" s="4"/>
      <c r="GB2132" s="4"/>
      <c r="GC2132" s="4"/>
      <c r="GD2132" s="4"/>
      <c r="GE2132" s="4"/>
      <c r="GF2132" s="4"/>
      <c r="GG2132" s="4"/>
      <c r="GH2132" s="4"/>
      <c r="GI2132" s="4"/>
      <c r="GJ2132" s="4"/>
      <c r="GK2132" s="4"/>
      <c r="GL2132" s="4"/>
      <c r="GM2132" s="4"/>
      <c r="GN2132" s="4"/>
      <c r="GO2132" s="4"/>
      <c r="GP2132" s="4"/>
      <c r="GQ2132" s="4"/>
      <c r="GR2132" s="4"/>
      <c r="GS2132" s="4"/>
      <c r="GT2132" s="4"/>
      <c r="GU2132" s="4"/>
      <c r="GV2132" s="4"/>
      <c r="GW2132" s="4"/>
      <c r="GX2132" s="4"/>
      <c r="GY2132" s="4"/>
      <c r="GZ2132" s="4"/>
      <c r="HA2132" s="4"/>
      <c r="HB2132" s="4"/>
      <c r="HC2132" s="4"/>
      <c r="HD2132" s="4"/>
      <c r="HE2132" s="4"/>
    </row>
    <row r="2133">
      <c r="A2133" s="2" t="s">
        <v>10133</v>
      </c>
      <c r="B2133" s="2" t="s">
        <v>223</v>
      </c>
      <c r="C2133" s="2" t="s">
        <v>4000</v>
      </c>
      <c r="D2133" s="2" t="s">
        <v>1407</v>
      </c>
      <c r="E2133" s="2" t="s">
        <v>3636</v>
      </c>
      <c r="F2133" s="2" t="s">
        <v>10124</v>
      </c>
      <c r="G2133" s="2" t="s">
        <v>10124</v>
      </c>
      <c r="H2133" s="2" t="s">
        <v>10124</v>
      </c>
      <c r="I2133" s="2" t="s">
        <v>3638</v>
      </c>
      <c r="J2133" s="2" t="s">
        <v>284</v>
      </c>
      <c r="K2133" s="2" t="s">
        <v>1421</v>
      </c>
      <c r="L2133" s="3">
        <v>50</v>
      </c>
      <c r="M2133" s="3">
        <v>52.5</v>
      </c>
      <c r="N2133" s="3">
        <v>104.99</v>
      </c>
      <c r="O2133" s="2" t="s">
        <v>240</v>
      </c>
      <c r="P2133" s="2" t="s">
        <v>266</v>
      </c>
      <c r="Q2133" s="2" t="s">
        <v>234</v>
      </c>
      <c r="R2133" s="2" t="s">
        <v>228</v>
      </c>
      <c r="S2133" s="2" t="s">
        <v>10131</v>
      </c>
      <c r="T2133" s="2" t="s">
        <v>1266</v>
      </c>
      <c r="U2133" s="2" t="s">
        <v>416</v>
      </c>
      <c r="V2133" s="2" t="s">
        <v>236</v>
      </c>
      <c r="W2133" s="2" t="s">
        <v>269</v>
      </c>
      <c r="X2133" s="2" t="s">
        <v>1267</v>
      </c>
      <c r="Y2133" s="2" t="s">
        <v>3642</v>
      </c>
      <c r="Z2133" s="4">
        <v>208</v>
      </c>
      <c r="AA2133" s="4">
        <f>=ROUNDDOWN(29.7142857142857,0)</f>
      </c>
      <c r="AB2133" s="5">
        <v>7</v>
      </c>
      <c r="AC2133" s="2" t="s">
        <v>1014</v>
      </c>
      <c r="AD2133" s="4">
        <v>180</v>
      </c>
      <c r="AE2133" s="4">
        <v>300</v>
      </c>
      <c r="AF2133" s="6">
        <v>65</v>
      </c>
      <c r="AG2133" s="6"/>
      <c r="AH2133" s="7">
        <v>1</v>
      </c>
      <c r="AI2133" s="4"/>
      <c r="AJ2133" s="4">
        <f>=ROUNDDOWN({0},0)</f>
      </c>
      <c r="AK2133" s="5"/>
      <c r="AL2133" s="2" t="s">
        <v>228</v>
      </c>
      <c r="AM2133" s="4"/>
      <c r="AN2133" s="4"/>
      <c r="AO2133" s="7"/>
      <c r="AP2133" s="4"/>
      <c r="AQ2133" s="8"/>
      <c r="AR2133" s="4"/>
      <c r="AS2133" s="8"/>
      <c r="AT2133" s="7"/>
      <c r="AU2133" s="7"/>
      <c r="AV2133" s="4" t="s">
        <v>228</v>
      </c>
      <c r="AW2133" s="8" t="s">
        <v>228</v>
      </c>
      <c r="AX2133" s="4" t="s">
        <v>228</v>
      </c>
      <c r="AY2133" s="8" t="s">
        <v>228</v>
      </c>
      <c r="AZ2133" s="7" t="s">
        <v>228</v>
      </c>
      <c r="BA2133" s="7" t="s">
        <v>228</v>
      </c>
      <c r="BB2133" s="7"/>
      <c r="BC2133" s="4" t="s">
        <v>228</v>
      </c>
      <c r="BD2133" s="8" t="s">
        <v>228</v>
      </c>
      <c r="BE2133" s="4" t="s">
        <v>228</v>
      </c>
      <c r="BF2133" s="8" t="s">
        <v>228</v>
      </c>
      <c r="BG2133" s="7" t="s">
        <v>228</v>
      </c>
      <c r="BH2133" s="7" t="s">
        <v>228</v>
      </c>
      <c r="BI2133" s="7"/>
      <c r="BJ2133" s="4">
        <v>3</v>
      </c>
      <c r="BK2133" s="8">
        <v>168.52</v>
      </c>
      <c r="BL2133" s="2" t="s">
        <v>10134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10135</v>
      </c>
      <c r="BV2133" s="2" t="s">
        <v>228</v>
      </c>
      <c r="BW2133" s="2" t="s">
        <v>228</v>
      </c>
      <c r="BX2133" s="2" t="s">
        <v>273</v>
      </c>
      <c r="BY2133" s="2" t="s">
        <v>274</v>
      </c>
      <c r="BZ2133" s="2" t="s">
        <v>240</v>
      </c>
      <c r="CA2133" s="2" t="s">
        <v>2240</v>
      </c>
      <c r="CB2133" s="2" t="s">
        <v>228</v>
      </c>
      <c r="CC2133" s="2" t="s">
        <v>241</v>
      </c>
      <c r="CD2133" s="2" t="s">
        <v>228</v>
      </c>
      <c r="CE2133" s="4">
        <v>208</v>
      </c>
      <c r="CF2133" s="4"/>
      <c r="CG2133" s="4"/>
      <c r="CH2133" s="4"/>
      <c r="CI2133" s="4"/>
      <c r="CJ2133" s="4"/>
      <c r="CK2133" s="4"/>
      <c r="CL2133" s="4"/>
      <c r="CM2133" s="4"/>
      <c r="CN2133" s="4"/>
      <c r="CO2133" s="4"/>
      <c r="CP2133" s="4"/>
      <c r="CQ2133" s="4"/>
      <c r="CR2133" s="4"/>
      <c r="CS2133" s="4"/>
      <c r="CT2133" s="4"/>
      <c r="CU2133" s="4"/>
      <c r="CV2133" s="4"/>
      <c r="CW2133" s="4"/>
      <c r="CX2133" s="4"/>
      <c r="CY2133" s="4"/>
      <c r="CZ2133" s="4"/>
      <c r="DA2133" s="4"/>
      <c r="DB2133" s="4"/>
      <c r="DC2133" s="4"/>
      <c r="DD2133" s="4"/>
      <c r="DE2133" s="4"/>
      <c r="DF2133" s="4"/>
      <c r="DG2133" s="4"/>
      <c r="DH2133" s="4"/>
      <c r="DI2133" s="4"/>
      <c r="DJ2133" s="4"/>
      <c r="DK2133" s="4"/>
      <c r="DL2133" s="4"/>
      <c r="DM2133" s="4"/>
      <c r="DN2133" s="4"/>
      <c r="DO2133" s="4"/>
      <c r="DP2133" s="4">
        <v>180</v>
      </c>
      <c r="DQ2133" s="4"/>
      <c r="DR2133" s="4"/>
      <c r="DS2133" s="4"/>
      <c r="DT2133" s="4"/>
      <c r="DU2133" s="4"/>
      <c r="DV2133" s="4"/>
      <c r="DW2133" s="4"/>
      <c r="DX2133" s="4"/>
      <c r="DY2133" s="4"/>
      <c r="DZ2133" s="4"/>
      <c r="EA2133" s="4"/>
      <c r="EB2133" s="4"/>
      <c r="EC2133" s="4"/>
      <c r="ED2133" s="4"/>
      <c r="EE2133" s="4"/>
      <c r="EF2133" s="4"/>
      <c r="EG2133" s="4"/>
      <c r="EH2133" s="4"/>
      <c r="EI2133" s="4"/>
      <c r="EJ2133" s="4"/>
      <c r="EK2133" s="4"/>
      <c r="EL2133" s="4"/>
      <c r="EM2133" s="4"/>
      <c r="EN2133" s="4"/>
      <c r="EO2133" s="4"/>
      <c r="EP2133" s="4"/>
      <c r="EQ2133" s="4"/>
      <c r="ER2133" s="4"/>
      <c r="ES2133" s="4"/>
      <c r="ET2133" s="4"/>
      <c r="EU2133" s="4"/>
      <c r="EV2133" s="4"/>
      <c r="EW2133" s="4"/>
      <c r="EX2133" s="4"/>
      <c r="EY2133" s="4"/>
      <c r="EZ2133" s="4"/>
      <c r="FA2133" s="4"/>
      <c r="FB2133" s="4"/>
      <c r="FC2133" s="4"/>
      <c r="FD2133" s="4"/>
      <c r="FE2133" s="4"/>
      <c r="FF2133" s="4"/>
      <c r="FG2133" s="4"/>
      <c r="FH2133" s="4"/>
      <c r="FI2133" s="4"/>
      <c r="FJ2133" s="4"/>
      <c r="FK2133" s="4"/>
      <c r="FL2133" s="4"/>
      <c r="FM2133" s="4"/>
      <c r="FN2133" s="4"/>
      <c r="FO2133" s="4"/>
      <c r="FP2133" s="4"/>
      <c r="FQ2133" s="4"/>
      <c r="FR2133" s="4"/>
      <c r="FS2133" s="4"/>
      <c r="FT2133" s="4"/>
      <c r="FU2133" s="4"/>
      <c r="FV2133" s="4"/>
      <c r="FW2133" s="4"/>
      <c r="FX2133" s="4"/>
      <c r="FY2133" s="4"/>
      <c r="FZ2133" s="4"/>
      <c r="GA2133" s="4"/>
      <c r="GB2133" s="4">
        <v>120</v>
      </c>
      <c r="GC2133" s="4"/>
      <c r="GD2133" s="4"/>
      <c r="GE2133" s="4"/>
      <c r="GF2133" s="4"/>
      <c r="GG2133" s="4"/>
      <c r="GH2133" s="4"/>
      <c r="GI2133" s="4"/>
      <c r="GJ2133" s="4"/>
      <c r="GK2133" s="4"/>
      <c r="GL2133" s="4"/>
      <c r="GM2133" s="4"/>
      <c r="GN2133" s="4"/>
      <c r="GO2133" s="4"/>
      <c r="GP2133" s="4"/>
      <c r="GQ2133" s="4"/>
      <c r="GR2133" s="4"/>
      <c r="GS2133" s="4"/>
      <c r="GT2133" s="4"/>
      <c r="GU2133" s="4"/>
      <c r="GV2133" s="4"/>
      <c r="GW2133" s="4"/>
      <c r="GX2133" s="4"/>
      <c r="GY2133" s="4"/>
      <c r="GZ2133" s="4"/>
      <c r="HA2133" s="4"/>
      <c r="HB2133" s="4"/>
      <c r="HC2133" s="4"/>
      <c r="HD2133" s="4"/>
      <c r="HE2133" s="4"/>
    </row>
    <row r="2134">
      <c r="A2134" s="2" t="s">
        <v>10136</v>
      </c>
      <c r="B2134" s="2" t="s">
        <v>223</v>
      </c>
      <c r="C2134" s="2" t="s">
        <v>4000</v>
      </c>
      <c r="D2134" s="2" t="s">
        <v>1407</v>
      </c>
      <c r="E2134" s="2" t="s">
        <v>3636</v>
      </c>
      <c r="F2134" s="2" t="s">
        <v>10124</v>
      </c>
      <c r="G2134" s="2" t="s">
        <v>10124</v>
      </c>
      <c r="H2134" s="2" t="s">
        <v>10124</v>
      </c>
      <c r="I2134" s="2" t="s">
        <v>3638</v>
      </c>
      <c r="J2134" s="2" t="s">
        <v>289</v>
      </c>
      <c r="K2134" s="2" t="s">
        <v>1421</v>
      </c>
      <c r="L2134" s="3">
        <v>69.04</v>
      </c>
      <c r="M2134" s="3">
        <v>72.49</v>
      </c>
      <c r="N2134" s="3">
        <v>144.99</v>
      </c>
      <c r="O2134" s="2" t="s">
        <v>240</v>
      </c>
      <c r="P2134" s="2" t="s">
        <v>266</v>
      </c>
      <c r="Q2134" s="2" t="s">
        <v>234</v>
      </c>
      <c r="R2134" s="2" t="s">
        <v>228</v>
      </c>
      <c r="S2134" s="2" t="s">
        <v>10131</v>
      </c>
      <c r="T2134" s="2" t="s">
        <v>1266</v>
      </c>
      <c r="U2134" s="2" t="s">
        <v>416</v>
      </c>
      <c r="V2134" s="2" t="s">
        <v>236</v>
      </c>
      <c r="W2134" s="2" t="s">
        <v>269</v>
      </c>
      <c r="X2134" s="2" t="s">
        <v>1267</v>
      </c>
      <c r="Y2134" s="2" t="s">
        <v>3642</v>
      </c>
      <c r="Z2134" s="4">
        <v>191</v>
      </c>
      <c r="AA2134" s="4">
        <f>=ROUNDDOWN(27.2857142857143,0)</f>
      </c>
      <c r="AB2134" s="5">
        <v>7</v>
      </c>
      <c r="AC2134" s="2" t="s">
        <v>6121</v>
      </c>
      <c r="AD2134" s="4">
        <v>180</v>
      </c>
      <c r="AE2134" s="4">
        <v>300</v>
      </c>
      <c r="AF2134" s="6">
        <v>65</v>
      </c>
      <c r="AG2134" s="6"/>
      <c r="AH2134" s="7">
        <v>1</v>
      </c>
      <c r="AI2134" s="4"/>
      <c r="AJ2134" s="4">
        <f>=ROUNDDOWN({0},0)</f>
      </c>
      <c r="AK2134" s="5"/>
      <c r="AL2134" s="2" t="s">
        <v>228</v>
      </c>
      <c r="AM2134" s="4"/>
      <c r="AN2134" s="4"/>
      <c r="AO2134" s="7"/>
      <c r="AP2134" s="4"/>
      <c r="AQ2134" s="8"/>
      <c r="AR2134" s="4"/>
      <c r="AS2134" s="8"/>
      <c r="AT2134" s="7"/>
      <c r="AU2134" s="7"/>
      <c r="AV2134" s="4" t="s">
        <v>228</v>
      </c>
      <c r="AW2134" s="8" t="s">
        <v>228</v>
      </c>
      <c r="AX2134" s="4" t="s">
        <v>228</v>
      </c>
      <c r="AY2134" s="8" t="s">
        <v>228</v>
      </c>
      <c r="AZ2134" s="7" t="s">
        <v>228</v>
      </c>
      <c r="BA2134" s="7" t="s">
        <v>228</v>
      </c>
      <c r="BB2134" s="7"/>
      <c r="BC2134" s="4" t="s">
        <v>228</v>
      </c>
      <c r="BD2134" s="8" t="s">
        <v>228</v>
      </c>
      <c r="BE2134" s="4" t="s">
        <v>228</v>
      </c>
      <c r="BF2134" s="8" t="s">
        <v>228</v>
      </c>
      <c r="BG2134" s="7" t="s">
        <v>228</v>
      </c>
      <c r="BH2134" s="7" t="s">
        <v>228</v>
      </c>
      <c r="BI2134" s="7"/>
      <c r="BJ2134" s="4">
        <v>2</v>
      </c>
      <c r="BK2134" s="8">
        <v>156.58</v>
      </c>
      <c r="BL2134" s="2" t="s">
        <v>4746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10137</v>
      </c>
      <c r="BV2134" s="2" t="s">
        <v>228</v>
      </c>
      <c r="BW2134" s="2" t="s">
        <v>228</v>
      </c>
      <c r="BX2134" s="2" t="s">
        <v>273</v>
      </c>
      <c r="BY2134" s="2" t="s">
        <v>274</v>
      </c>
      <c r="BZ2134" s="2" t="s">
        <v>240</v>
      </c>
      <c r="CA2134" s="2" t="s">
        <v>2240</v>
      </c>
      <c r="CB2134" s="2" t="s">
        <v>2515</v>
      </c>
      <c r="CC2134" s="2" t="s">
        <v>241</v>
      </c>
      <c r="CD2134" s="2" t="s">
        <v>228</v>
      </c>
      <c r="CE2134" s="4">
        <v>191</v>
      </c>
      <c r="CF2134" s="4"/>
      <c r="CG2134" s="4"/>
      <c r="CH2134" s="4"/>
      <c r="CI2134" s="4"/>
      <c r="CJ2134" s="4"/>
      <c r="CK2134" s="4"/>
      <c r="CL2134" s="4"/>
      <c r="CM2134" s="4"/>
      <c r="CN2134" s="4"/>
      <c r="CO2134" s="4"/>
      <c r="CP2134" s="4"/>
      <c r="CQ2134" s="4"/>
      <c r="CR2134" s="4"/>
      <c r="CS2134" s="4"/>
      <c r="CT2134" s="4"/>
      <c r="CU2134" s="4"/>
      <c r="CV2134" s="4"/>
      <c r="CW2134" s="4"/>
      <c r="CX2134" s="4"/>
      <c r="CY2134" s="4"/>
      <c r="CZ2134" s="4"/>
      <c r="DA2134" s="4"/>
      <c r="DB2134" s="4"/>
      <c r="DC2134" s="4">
        <v>180</v>
      </c>
      <c r="DD2134" s="4"/>
      <c r="DE2134" s="4"/>
      <c r="DF2134" s="4"/>
      <c r="DG2134" s="4"/>
      <c r="DH2134" s="4"/>
      <c r="DI2134" s="4"/>
      <c r="DJ2134" s="4"/>
      <c r="DK2134" s="4"/>
      <c r="DL2134" s="4"/>
      <c r="DM2134" s="4"/>
      <c r="DN2134" s="4"/>
      <c r="DO2134" s="4"/>
      <c r="DP2134" s="4"/>
      <c r="DQ2134" s="4"/>
      <c r="DR2134" s="4"/>
      <c r="DS2134" s="4"/>
      <c r="DT2134" s="4"/>
      <c r="DU2134" s="4"/>
      <c r="DV2134" s="4"/>
      <c r="DW2134" s="4"/>
      <c r="DX2134" s="4"/>
      <c r="DY2134" s="4"/>
      <c r="DZ2134" s="4"/>
      <c r="EA2134" s="4"/>
      <c r="EB2134" s="4"/>
      <c r="EC2134" s="4"/>
      <c r="ED2134" s="4"/>
      <c r="EE2134" s="4"/>
      <c r="EF2134" s="4"/>
      <c r="EG2134" s="4"/>
      <c r="EH2134" s="4"/>
      <c r="EI2134" s="4"/>
      <c r="EJ2134" s="4"/>
      <c r="EK2134" s="4"/>
      <c r="EL2134" s="4"/>
      <c r="EM2134" s="4"/>
      <c r="EN2134" s="4"/>
      <c r="EO2134" s="4"/>
      <c r="EP2134" s="4"/>
      <c r="EQ2134" s="4"/>
      <c r="ER2134" s="4"/>
      <c r="ES2134" s="4"/>
      <c r="ET2134" s="4"/>
      <c r="EU2134" s="4"/>
      <c r="EV2134" s="4"/>
      <c r="EW2134" s="4"/>
      <c r="EX2134" s="4"/>
      <c r="EY2134" s="4"/>
      <c r="EZ2134" s="4"/>
      <c r="FA2134" s="4"/>
      <c r="FB2134" s="4"/>
      <c r="FC2134" s="4"/>
      <c r="FD2134" s="4"/>
      <c r="FE2134" s="4"/>
      <c r="FF2134" s="4"/>
      <c r="FG2134" s="4"/>
      <c r="FH2134" s="4"/>
      <c r="FI2134" s="4"/>
      <c r="FJ2134" s="4"/>
      <c r="FK2134" s="4"/>
      <c r="FL2134" s="4"/>
      <c r="FM2134" s="4"/>
      <c r="FN2134" s="4"/>
      <c r="FO2134" s="4"/>
      <c r="FP2134" s="4"/>
      <c r="FQ2134" s="4"/>
      <c r="FR2134" s="4"/>
      <c r="FS2134" s="4"/>
      <c r="FT2134" s="4"/>
      <c r="FU2134" s="4"/>
      <c r="FV2134" s="4"/>
      <c r="FW2134" s="4"/>
      <c r="FX2134" s="4"/>
      <c r="FY2134" s="4"/>
      <c r="FZ2134" s="4"/>
      <c r="GA2134" s="4"/>
      <c r="GB2134" s="4">
        <v>120</v>
      </c>
      <c r="GC2134" s="4"/>
      <c r="GD2134" s="4"/>
      <c r="GE2134" s="4"/>
      <c r="GF2134" s="4"/>
      <c r="GG2134" s="4"/>
      <c r="GH2134" s="4"/>
      <c r="GI2134" s="4"/>
      <c r="GJ2134" s="4"/>
      <c r="GK2134" s="4"/>
      <c r="GL2134" s="4"/>
      <c r="GM2134" s="4"/>
      <c r="GN2134" s="4"/>
      <c r="GO2134" s="4"/>
      <c r="GP2134" s="4"/>
      <c r="GQ2134" s="4"/>
      <c r="GR2134" s="4"/>
      <c r="GS2134" s="4"/>
      <c r="GT2134" s="4"/>
      <c r="GU2134" s="4"/>
      <c r="GV2134" s="4"/>
      <c r="GW2134" s="4"/>
      <c r="GX2134" s="4"/>
      <c r="GY2134" s="4"/>
      <c r="GZ2134" s="4"/>
      <c r="HA2134" s="4"/>
      <c r="HB2134" s="4"/>
      <c r="HC2134" s="4"/>
      <c r="HD2134" s="4"/>
      <c r="HE2134" s="4"/>
    </row>
    <row r="2135">
      <c r="A2135" s="2" t="s">
        <v>10138</v>
      </c>
      <c r="B2135" s="2" t="s">
        <v>223</v>
      </c>
      <c r="C2135" s="2" t="s">
        <v>4000</v>
      </c>
      <c r="D2135" s="2" t="s">
        <v>1407</v>
      </c>
      <c r="E2135" s="2" t="s">
        <v>3636</v>
      </c>
      <c r="F2135" s="2" t="s">
        <v>10124</v>
      </c>
      <c r="G2135" s="2" t="s">
        <v>10124</v>
      </c>
      <c r="H2135" s="2" t="s">
        <v>10124</v>
      </c>
      <c r="I2135" s="2" t="s">
        <v>3638</v>
      </c>
      <c r="J2135" s="2" t="s">
        <v>294</v>
      </c>
      <c r="K2135" s="2" t="s">
        <v>1421</v>
      </c>
      <c r="L2135" s="3">
        <v>78.57</v>
      </c>
      <c r="M2135" s="3">
        <v>82.5</v>
      </c>
      <c r="N2135" s="3">
        <v>164.99</v>
      </c>
      <c r="O2135" s="2" t="s">
        <v>240</v>
      </c>
      <c r="P2135" s="2" t="s">
        <v>266</v>
      </c>
      <c r="Q2135" s="2" t="s">
        <v>234</v>
      </c>
      <c r="R2135" s="2" t="s">
        <v>228</v>
      </c>
      <c r="S2135" s="2" t="s">
        <v>10131</v>
      </c>
      <c r="T2135" s="2" t="s">
        <v>1266</v>
      </c>
      <c r="U2135" s="2" t="s">
        <v>416</v>
      </c>
      <c r="V2135" s="2" t="s">
        <v>236</v>
      </c>
      <c r="W2135" s="2" t="s">
        <v>269</v>
      </c>
      <c r="X2135" s="2" t="s">
        <v>1267</v>
      </c>
      <c r="Y2135" s="2" t="s">
        <v>3642</v>
      </c>
      <c r="Z2135" s="4">
        <v>263</v>
      </c>
      <c r="AA2135" s="4">
        <f>=ROUNDDOWN(37.5714285714286,0)</f>
      </c>
      <c r="AB2135" s="5">
        <v>7</v>
      </c>
      <c r="AC2135" s="2" t="s">
        <v>228</v>
      </c>
      <c r="AD2135" s="4"/>
      <c r="AE2135" s="4"/>
      <c r="AF2135" s="6">
        <v>65</v>
      </c>
      <c r="AG2135" s="6"/>
      <c r="AH2135" s="7">
        <v>1</v>
      </c>
      <c r="AI2135" s="4"/>
      <c r="AJ2135" s="4">
        <f>=ROUNDDOWN({0},0)</f>
      </c>
      <c r="AK2135" s="5"/>
      <c r="AL2135" s="2" t="s">
        <v>228</v>
      </c>
      <c r="AM2135" s="4"/>
      <c r="AN2135" s="4"/>
      <c r="AO2135" s="7"/>
      <c r="AP2135" s="4"/>
      <c r="AQ2135" s="8"/>
      <c r="AR2135" s="4"/>
      <c r="AS2135" s="8"/>
      <c r="AT2135" s="7"/>
      <c r="AU2135" s="7"/>
      <c r="AV2135" s="4" t="s">
        <v>228</v>
      </c>
      <c r="AW2135" s="8" t="s">
        <v>228</v>
      </c>
      <c r="AX2135" s="4" t="s">
        <v>228</v>
      </c>
      <c r="AY2135" s="8" t="s">
        <v>228</v>
      </c>
      <c r="AZ2135" s="7" t="s">
        <v>228</v>
      </c>
      <c r="BA2135" s="7" t="s">
        <v>228</v>
      </c>
      <c r="BB2135" s="7"/>
      <c r="BC2135" s="4" t="s">
        <v>228</v>
      </c>
      <c r="BD2135" s="8" t="s">
        <v>228</v>
      </c>
      <c r="BE2135" s="4" t="s">
        <v>228</v>
      </c>
      <c r="BF2135" s="8" t="s">
        <v>228</v>
      </c>
      <c r="BG2135" s="7" t="s">
        <v>228</v>
      </c>
      <c r="BH2135" s="7" t="s">
        <v>228</v>
      </c>
      <c r="BI2135" s="7"/>
      <c r="BJ2135" s="4">
        <v>8</v>
      </c>
      <c r="BK2135" s="8">
        <v>709.14</v>
      </c>
      <c r="BL2135" s="2" t="s">
        <v>1092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10139</v>
      </c>
      <c r="BV2135" s="2" t="s">
        <v>228</v>
      </c>
      <c r="BW2135" s="2" t="s">
        <v>228</v>
      </c>
      <c r="BX2135" s="2" t="s">
        <v>273</v>
      </c>
      <c r="BY2135" s="2" t="s">
        <v>274</v>
      </c>
      <c r="BZ2135" s="2" t="s">
        <v>240</v>
      </c>
      <c r="CA2135" s="2" t="s">
        <v>2240</v>
      </c>
      <c r="CB2135" s="2" t="s">
        <v>2186</v>
      </c>
      <c r="CC2135" s="2" t="s">
        <v>241</v>
      </c>
      <c r="CD2135" s="2" t="s">
        <v>228</v>
      </c>
      <c r="CE2135" s="4">
        <v>263</v>
      </c>
      <c r="CF2135" s="4"/>
      <c r="CG2135" s="4"/>
      <c r="CH2135" s="4"/>
      <c r="CI2135" s="4"/>
      <c r="CJ2135" s="4"/>
      <c r="CK2135" s="4"/>
      <c r="CL2135" s="4"/>
      <c r="CM2135" s="4"/>
      <c r="CN2135" s="4"/>
      <c r="CO2135" s="4"/>
      <c r="CP2135" s="4"/>
      <c r="CQ2135" s="4"/>
      <c r="CR2135" s="4"/>
      <c r="CS2135" s="4"/>
      <c r="CT2135" s="4"/>
      <c r="CU2135" s="4"/>
      <c r="CV2135" s="4"/>
      <c r="CW2135" s="4"/>
      <c r="CX2135" s="4"/>
      <c r="CY2135" s="4"/>
      <c r="CZ2135" s="4"/>
      <c r="DA2135" s="4"/>
      <c r="DB2135" s="4"/>
      <c r="DC2135" s="4"/>
      <c r="DD2135" s="4"/>
      <c r="DE2135" s="4"/>
      <c r="DF2135" s="4"/>
      <c r="DG2135" s="4"/>
      <c r="DH2135" s="4"/>
      <c r="DI2135" s="4"/>
      <c r="DJ2135" s="4"/>
      <c r="DK2135" s="4"/>
      <c r="DL2135" s="4"/>
      <c r="DM2135" s="4"/>
      <c r="DN2135" s="4"/>
      <c r="DO2135" s="4"/>
      <c r="DP2135" s="4"/>
      <c r="DQ2135" s="4"/>
      <c r="DR2135" s="4"/>
      <c r="DS2135" s="4"/>
      <c r="DT2135" s="4"/>
      <c r="DU2135" s="4"/>
      <c r="DV2135" s="4"/>
      <c r="DW2135" s="4"/>
      <c r="DX2135" s="4"/>
      <c r="DY2135" s="4"/>
      <c r="DZ2135" s="4"/>
      <c r="EA2135" s="4"/>
      <c r="EB2135" s="4"/>
      <c r="EC2135" s="4"/>
      <c r="ED2135" s="4"/>
      <c r="EE2135" s="4"/>
      <c r="EF2135" s="4"/>
      <c r="EG2135" s="4"/>
      <c r="EH2135" s="4"/>
      <c r="EI2135" s="4"/>
      <c r="EJ2135" s="4"/>
      <c r="EK2135" s="4"/>
      <c r="EL2135" s="4"/>
      <c r="EM2135" s="4"/>
      <c r="EN2135" s="4"/>
      <c r="EO2135" s="4"/>
      <c r="EP2135" s="4"/>
      <c r="EQ2135" s="4"/>
      <c r="ER2135" s="4"/>
      <c r="ES2135" s="4"/>
      <c r="ET2135" s="4"/>
      <c r="EU2135" s="4"/>
      <c r="EV2135" s="4"/>
      <c r="EW2135" s="4"/>
      <c r="EX2135" s="4"/>
      <c r="EY2135" s="4"/>
      <c r="EZ2135" s="4"/>
      <c r="FA2135" s="4"/>
      <c r="FB2135" s="4"/>
      <c r="FC2135" s="4"/>
      <c r="FD2135" s="4"/>
      <c r="FE2135" s="4"/>
      <c r="FF2135" s="4"/>
      <c r="FG2135" s="4"/>
      <c r="FH2135" s="4"/>
      <c r="FI2135" s="4"/>
      <c r="FJ2135" s="4"/>
      <c r="FK2135" s="4"/>
      <c r="FL2135" s="4"/>
      <c r="FM2135" s="4"/>
      <c r="FN2135" s="4"/>
      <c r="FO2135" s="4"/>
      <c r="FP2135" s="4"/>
      <c r="FQ2135" s="4"/>
      <c r="FR2135" s="4"/>
      <c r="FS2135" s="4"/>
      <c r="FT2135" s="4"/>
      <c r="FU2135" s="4"/>
      <c r="FV2135" s="4"/>
      <c r="FW2135" s="4"/>
      <c r="FX2135" s="4"/>
      <c r="FY2135" s="4"/>
      <c r="FZ2135" s="4"/>
      <c r="GA2135" s="4"/>
      <c r="GB2135" s="4"/>
      <c r="GC2135" s="4"/>
      <c r="GD2135" s="4"/>
      <c r="GE2135" s="4"/>
      <c r="GF2135" s="4"/>
      <c r="GG2135" s="4"/>
      <c r="GH2135" s="4"/>
      <c r="GI2135" s="4"/>
      <c r="GJ2135" s="4"/>
      <c r="GK2135" s="4"/>
      <c r="GL2135" s="4"/>
      <c r="GM2135" s="4"/>
      <c r="GN2135" s="4"/>
      <c r="GO2135" s="4"/>
      <c r="GP2135" s="4"/>
      <c r="GQ2135" s="4"/>
      <c r="GR2135" s="4"/>
      <c r="GS2135" s="4"/>
      <c r="GT2135" s="4"/>
      <c r="GU2135" s="4"/>
      <c r="GV2135" s="4"/>
      <c r="GW2135" s="4"/>
      <c r="GX2135" s="4"/>
      <c r="GY2135" s="4"/>
      <c r="GZ2135" s="4"/>
      <c r="HA2135" s="4"/>
      <c r="HB2135" s="4"/>
      <c r="HC2135" s="4"/>
      <c r="HD2135" s="4"/>
      <c r="HE2135" s="4"/>
    </row>
    <row r="2136">
      <c r="A2136" s="2" t="s">
        <v>10140</v>
      </c>
      <c r="B2136" s="2" t="s">
        <v>223</v>
      </c>
      <c r="C2136" s="2" t="s">
        <v>4000</v>
      </c>
      <c r="D2136" s="2" t="s">
        <v>1407</v>
      </c>
      <c r="E2136" s="2" t="s">
        <v>3636</v>
      </c>
      <c r="F2136" s="2" t="s">
        <v>10124</v>
      </c>
      <c r="G2136" s="2" t="s">
        <v>10124</v>
      </c>
      <c r="H2136" s="2" t="s">
        <v>10124</v>
      </c>
      <c r="I2136" s="2" t="s">
        <v>3638</v>
      </c>
      <c r="J2136" s="2" t="s">
        <v>264</v>
      </c>
      <c r="K2136" s="2" t="s">
        <v>249</v>
      </c>
      <c r="L2136" s="3">
        <v>45.23</v>
      </c>
      <c r="M2136" s="3">
        <v>47.49</v>
      </c>
      <c r="N2136" s="3">
        <v>94.99</v>
      </c>
      <c r="O2136" s="2" t="s">
        <v>240</v>
      </c>
      <c r="P2136" s="2" t="s">
        <v>266</v>
      </c>
      <c r="Q2136" s="2" t="s">
        <v>234</v>
      </c>
      <c r="R2136" s="2" t="s">
        <v>228</v>
      </c>
      <c r="S2136" s="2" t="s">
        <v>10141</v>
      </c>
      <c r="T2136" s="2" t="s">
        <v>1266</v>
      </c>
      <c r="U2136" s="2" t="s">
        <v>416</v>
      </c>
      <c r="V2136" s="2" t="s">
        <v>236</v>
      </c>
      <c r="W2136" s="2" t="s">
        <v>269</v>
      </c>
      <c r="X2136" s="2" t="s">
        <v>1267</v>
      </c>
      <c r="Y2136" s="2" t="s">
        <v>3642</v>
      </c>
      <c r="Z2136" s="4">
        <v>171</v>
      </c>
      <c r="AA2136" s="4">
        <f>=ROUNDDOWN(21.375,0)</f>
      </c>
      <c r="AB2136" s="5">
        <v>8</v>
      </c>
      <c r="AC2136" s="2" t="s">
        <v>6121</v>
      </c>
      <c r="AD2136" s="4">
        <v>150</v>
      </c>
      <c r="AE2136" s="4">
        <v>300</v>
      </c>
      <c r="AF2136" s="6">
        <v>65</v>
      </c>
      <c r="AG2136" s="6"/>
      <c r="AH2136" s="7">
        <v>1</v>
      </c>
      <c r="AI2136" s="4"/>
      <c r="AJ2136" s="4">
        <f>=ROUNDDOWN({0},0)</f>
      </c>
      <c r="AK2136" s="5"/>
      <c r="AL2136" s="2" t="s">
        <v>228</v>
      </c>
      <c r="AM2136" s="4"/>
      <c r="AN2136" s="4"/>
      <c r="AO2136" s="7"/>
      <c r="AP2136" s="4"/>
      <c r="AQ2136" s="8"/>
      <c r="AR2136" s="4"/>
      <c r="AS2136" s="8"/>
      <c r="AT2136" s="7"/>
      <c r="AU2136" s="7"/>
      <c r="AV2136" s="4" t="s">
        <v>228</v>
      </c>
      <c r="AW2136" s="8" t="s">
        <v>228</v>
      </c>
      <c r="AX2136" s="4" t="s">
        <v>228</v>
      </c>
      <c r="AY2136" s="8" t="s">
        <v>228</v>
      </c>
      <c r="AZ2136" s="7" t="s">
        <v>228</v>
      </c>
      <c r="BA2136" s="7" t="s">
        <v>228</v>
      </c>
      <c r="BB2136" s="7"/>
      <c r="BC2136" s="4" t="s">
        <v>228</v>
      </c>
      <c r="BD2136" s="8" t="s">
        <v>228</v>
      </c>
      <c r="BE2136" s="4" t="s">
        <v>228</v>
      </c>
      <c r="BF2136" s="8" t="s">
        <v>228</v>
      </c>
      <c r="BG2136" s="7" t="s">
        <v>228</v>
      </c>
      <c r="BH2136" s="7" t="s">
        <v>228</v>
      </c>
      <c r="BI2136" s="7"/>
      <c r="BJ2136" s="4">
        <v>8</v>
      </c>
      <c r="BK2136" s="8">
        <v>406.06</v>
      </c>
      <c r="BL2136" s="2" t="s">
        <v>509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10142</v>
      </c>
      <c r="BV2136" s="2" t="s">
        <v>228</v>
      </c>
      <c r="BW2136" s="2" t="s">
        <v>228</v>
      </c>
      <c r="BX2136" s="2" t="s">
        <v>273</v>
      </c>
      <c r="BY2136" s="2" t="s">
        <v>274</v>
      </c>
      <c r="BZ2136" s="2" t="s">
        <v>240</v>
      </c>
      <c r="CA2136" s="2" t="s">
        <v>2240</v>
      </c>
      <c r="CB2136" s="2" t="s">
        <v>4691</v>
      </c>
      <c r="CC2136" s="2" t="s">
        <v>241</v>
      </c>
      <c r="CD2136" s="2" t="s">
        <v>228</v>
      </c>
      <c r="CE2136" s="4">
        <v>171</v>
      </c>
      <c r="CF2136" s="4"/>
      <c r="CG2136" s="4"/>
      <c r="CH2136" s="4"/>
      <c r="CI2136" s="4"/>
      <c r="CJ2136" s="4"/>
      <c r="CK2136" s="4"/>
      <c r="CL2136" s="4"/>
      <c r="CM2136" s="4"/>
      <c r="CN2136" s="4"/>
      <c r="CO2136" s="4"/>
      <c r="CP2136" s="4"/>
      <c r="CQ2136" s="4"/>
      <c r="CR2136" s="4"/>
      <c r="CS2136" s="4"/>
      <c r="CT2136" s="4"/>
      <c r="CU2136" s="4"/>
      <c r="CV2136" s="4"/>
      <c r="CW2136" s="4"/>
      <c r="CX2136" s="4"/>
      <c r="CY2136" s="4"/>
      <c r="CZ2136" s="4"/>
      <c r="DA2136" s="4"/>
      <c r="DB2136" s="4"/>
      <c r="DC2136" s="4">
        <v>150</v>
      </c>
      <c r="DD2136" s="4"/>
      <c r="DE2136" s="4"/>
      <c r="DF2136" s="4"/>
      <c r="DG2136" s="4"/>
      <c r="DH2136" s="4"/>
      <c r="DI2136" s="4"/>
      <c r="DJ2136" s="4"/>
      <c r="DK2136" s="4"/>
      <c r="DL2136" s="4"/>
      <c r="DM2136" s="4"/>
      <c r="DN2136" s="4"/>
      <c r="DO2136" s="4"/>
      <c r="DP2136" s="4"/>
      <c r="DQ2136" s="4"/>
      <c r="DR2136" s="4"/>
      <c r="DS2136" s="4"/>
      <c r="DT2136" s="4"/>
      <c r="DU2136" s="4"/>
      <c r="DV2136" s="4"/>
      <c r="DW2136" s="4"/>
      <c r="DX2136" s="4"/>
      <c r="DY2136" s="4"/>
      <c r="DZ2136" s="4"/>
      <c r="EA2136" s="4"/>
      <c r="EB2136" s="4"/>
      <c r="EC2136" s="4"/>
      <c r="ED2136" s="4"/>
      <c r="EE2136" s="4"/>
      <c r="EF2136" s="4"/>
      <c r="EG2136" s="4"/>
      <c r="EH2136" s="4"/>
      <c r="EI2136" s="4"/>
      <c r="EJ2136" s="4"/>
      <c r="EK2136" s="4"/>
      <c r="EL2136" s="4"/>
      <c r="EM2136" s="4"/>
      <c r="EN2136" s="4"/>
      <c r="EO2136" s="4"/>
      <c r="EP2136" s="4"/>
      <c r="EQ2136" s="4"/>
      <c r="ER2136" s="4"/>
      <c r="ES2136" s="4"/>
      <c r="ET2136" s="4"/>
      <c r="EU2136" s="4"/>
      <c r="EV2136" s="4">
        <v>145</v>
      </c>
      <c r="EW2136" s="4"/>
      <c r="EX2136" s="4"/>
      <c r="EY2136" s="4"/>
      <c r="EZ2136" s="4"/>
      <c r="FA2136" s="4"/>
      <c r="FB2136" s="4"/>
      <c r="FC2136" s="4"/>
      <c r="FD2136" s="4"/>
      <c r="FE2136" s="4"/>
      <c r="FF2136" s="4"/>
      <c r="FG2136" s="4"/>
      <c r="FH2136" s="4"/>
      <c r="FI2136" s="4"/>
      <c r="FJ2136" s="4"/>
      <c r="FK2136" s="4"/>
      <c r="FL2136" s="4"/>
      <c r="FM2136" s="4"/>
      <c r="FN2136" s="4"/>
      <c r="FO2136" s="4"/>
      <c r="FP2136" s="4"/>
      <c r="FQ2136" s="4"/>
      <c r="FR2136" s="4"/>
      <c r="FS2136" s="4"/>
      <c r="FT2136" s="4"/>
      <c r="FU2136" s="4"/>
      <c r="FV2136" s="4"/>
      <c r="FW2136" s="4"/>
      <c r="FX2136" s="4"/>
      <c r="FY2136" s="4"/>
      <c r="FZ2136" s="4"/>
      <c r="GA2136" s="4"/>
      <c r="GB2136" s="4">
        <v>5</v>
      </c>
      <c r="GC2136" s="4"/>
      <c r="GD2136" s="4"/>
      <c r="GE2136" s="4"/>
      <c r="GF2136" s="4"/>
      <c r="GG2136" s="4"/>
      <c r="GH2136" s="4"/>
      <c r="GI2136" s="4"/>
      <c r="GJ2136" s="4"/>
      <c r="GK2136" s="4"/>
      <c r="GL2136" s="4"/>
      <c r="GM2136" s="4"/>
      <c r="GN2136" s="4"/>
      <c r="GO2136" s="4"/>
      <c r="GP2136" s="4"/>
      <c r="GQ2136" s="4"/>
      <c r="GR2136" s="4"/>
      <c r="GS2136" s="4"/>
      <c r="GT2136" s="4"/>
      <c r="GU2136" s="4"/>
      <c r="GV2136" s="4"/>
      <c r="GW2136" s="4"/>
      <c r="GX2136" s="4"/>
      <c r="GY2136" s="4"/>
      <c r="GZ2136" s="4"/>
      <c r="HA2136" s="4"/>
      <c r="HB2136" s="4"/>
      <c r="HC2136" s="4"/>
      <c r="HD2136" s="4"/>
      <c r="HE2136" s="4"/>
    </row>
    <row r="2137">
      <c r="A2137" s="2" t="s">
        <v>10143</v>
      </c>
      <c r="B2137" s="2" t="s">
        <v>223</v>
      </c>
      <c r="C2137" s="2" t="s">
        <v>4000</v>
      </c>
      <c r="D2137" s="2" t="s">
        <v>1407</v>
      </c>
      <c r="E2137" s="2" t="s">
        <v>3636</v>
      </c>
      <c r="F2137" s="2" t="s">
        <v>10124</v>
      </c>
      <c r="G2137" s="2" t="s">
        <v>10124</v>
      </c>
      <c r="H2137" s="2" t="s">
        <v>10124</v>
      </c>
      <c r="I2137" s="2" t="s">
        <v>3638</v>
      </c>
      <c r="J2137" s="2" t="s">
        <v>284</v>
      </c>
      <c r="K2137" s="2" t="s">
        <v>249</v>
      </c>
      <c r="L2137" s="3">
        <v>50</v>
      </c>
      <c r="M2137" s="3">
        <v>52.5</v>
      </c>
      <c r="N2137" s="3">
        <v>104.99</v>
      </c>
      <c r="O2137" s="2" t="s">
        <v>240</v>
      </c>
      <c r="P2137" s="2" t="s">
        <v>266</v>
      </c>
      <c r="Q2137" s="2" t="s">
        <v>234</v>
      </c>
      <c r="R2137" s="2" t="s">
        <v>228</v>
      </c>
      <c r="S2137" s="2" t="s">
        <v>10141</v>
      </c>
      <c r="T2137" s="2" t="s">
        <v>1266</v>
      </c>
      <c r="U2137" s="2" t="s">
        <v>416</v>
      </c>
      <c r="V2137" s="2" t="s">
        <v>236</v>
      </c>
      <c r="W2137" s="2" t="s">
        <v>269</v>
      </c>
      <c r="X2137" s="2" t="s">
        <v>1267</v>
      </c>
      <c r="Y2137" s="2" t="s">
        <v>3642</v>
      </c>
      <c r="Z2137" s="4">
        <v>282</v>
      </c>
      <c r="AA2137" s="4">
        <f>=ROUNDDOWN(23.5,0)</f>
      </c>
      <c r="AB2137" s="5">
        <v>12</v>
      </c>
      <c r="AC2137" s="2" t="s">
        <v>160</v>
      </c>
      <c r="AD2137" s="4">
        <v>211</v>
      </c>
      <c r="AE2137" s="4">
        <v>240</v>
      </c>
      <c r="AF2137" s="6">
        <v>65</v>
      </c>
      <c r="AG2137" s="6"/>
      <c r="AH2137" s="7">
        <v>1</v>
      </c>
      <c r="AI2137" s="4"/>
      <c r="AJ2137" s="4">
        <f>=ROUNDDOWN({0},0)</f>
      </c>
      <c r="AK2137" s="5"/>
      <c r="AL2137" s="2" t="s">
        <v>228</v>
      </c>
      <c r="AM2137" s="4"/>
      <c r="AN2137" s="4"/>
      <c r="AO2137" s="7"/>
      <c r="AP2137" s="4"/>
      <c r="AQ2137" s="8"/>
      <c r="AR2137" s="4"/>
      <c r="AS2137" s="8"/>
      <c r="AT2137" s="7"/>
      <c r="AU2137" s="7"/>
      <c r="AV2137" s="4" t="s">
        <v>228</v>
      </c>
      <c r="AW2137" s="8" t="s">
        <v>228</v>
      </c>
      <c r="AX2137" s="4" t="s">
        <v>228</v>
      </c>
      <c r="AY2137" s="8" t="s">
        <v>228</v>
      </c>
      <c r="AZ2137" s="7" t="s">
        <v>228</v>
      </c>
      <c r="BA2137" s="7" t="s">
        <v>228</v>
      </c>
      <c r="BB2137" s="7"/>
      <c r="BC2137" s="4" t="s">
        <v>228</v>
      </c>
      <c r="BD2137" s="8" t="s">
        <v>228</v>
      </c>
      <c r="BE2137" s="4" t="s">
        <v>228</v>
      </c>
      <c r="BF2137" s="8" t="s">
        <v>228</v>
      </c>
      <c r="BG2137" s="7" t="s">
        <v>228</v>
      </c>
      <c r="BH2137" s="7" t="s">
        <v>228</v>
      </c>
      <c r="BI2137" s="7"/>
      <c r="BJ2137" s="4">
        <v>4</v>
      </c>
      <c r="BK2137" s="8">
        <v>225.22</v>
      </c>
      <c r="BL2137" s="2" t="s">
        <v>3646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10144</v>
      </c>
      <c r="BV2137" s="2" t="s">
        <v>228</v>
      </c>
      <c r="BW2137" s="2" t="s">
        <v>228</v>
      </c>
      <c r="BX2137" s="2" t="s">
        <v>273</v>
      </c>
      <c r="BY2137" s="2" t="s">
        <v>274</v>
      </c>
      <c r="BZ2137" s="2" t="s">
        <v>240</v>
      </c>
      <c r="CA2137" s="2" t="s">
        <v>2240</v>
      </c>
      <c r="CB2137" s="2" t="s">
        <v>2186</v>
      </c>
      <c r="CC2137" s="2" t="s">
        <v>241</v>
      </c>
      <c r="CD2137" s="2" t="s">
        <v>228</v>
      </c>
      <c r="CE2137" s="4">
        <v>282</v>
      </c>
      <c r="CF2137" s="4"/>
      <c r="CG2137" s="4"/>
      <c r="CH2137" s="4"/>
      <c r="CI2137" s="4"/>
      <c r="CJ2137" s="4"/>
      <c r="CK2137" s="4"/>
      <c r="CL2137" s="4"/>
      <c r="CM2137" s="4"/>
      <c r="CN2137" s="4"/>
      <c r="CO2137" s="4"/>
      <c r="CP2137" s="4"/>
      <c r="CQ2137" s="4"/>
      <c r="CR2137" s="4"/>
      <c r="CS2137" s="4"/>
      <c r="CT2137" s="4"/>
      <c r="CU2137" s="4"/>
      <c r="CV2137" s="4"/>
      <c r="CW2137" s="4"/>
      <c r="CX2137" s="4"/>
      <c r="CY2137" s="4"/>
      <c r="CZ2137" s="4"/>
      <c r="DA2137" s="4"/>
      <c r="DB2137" s="4"/>
      <c r="DC2137" s="4"/>
      <c r="DD2137" s="4"/>
      <c r="DE2137" s="4"/>
      <c r="DF2137" s="4"/>
      <c r="DG2137" s="4"/>
      <c r="DH2137" s="4"/>
      <c r="DI2137" s="4"/>
      <c r="DJ2137" s="4"/>
      <c r="DK2137" s="4"/>
      <c r="DL2137" s="4"/>
      <c r="DM2137" s="4"/>
      <c r="DN2137" s="4"/>
      <c r="DO2137" s="4"/>
      <c r="DP2137" s="4"/>
      <c r="DQ2137" s="4"/>
      <c r="DR2137" s="4"/>
      <c r="DS2137" s="4"/>
      <c r="DT2137" s="4"/>
      <c r="DU2137" s="4"/>
      <c r="DV2137" s="4"/>
      <c r="DW2137" s="4"/>
      <c r="DX2137" s="4"/>
      <c r="DY2137" s="4"/>
      <c r="DZ2137" s="4"/>
      <c r="EA2137" s="4"/>
      <c r="EB2137" s="4"/>
      <c r="EC2137" s="4"/>
      <c r="ED2137" s="4"/>
      <c r="EE2137" s="4"/>
      <c r="EF2137" s="4"/>
      <c r="EG2137" s="4"/>
      <c r="EH2137" s="4"/>
      <c r="EI2137" s="4"/>
      <c r="EJ2137" s="4"/>
      <c r="EK2137" s="4"/>
      <c r="EL2137" s="4"/>
      <c r="EM2137" s="4"/>
      <c r="EN2137" s="4"/>
      <c r="EO2137" s="4"/>
      <c r="EP2137" s="4"/>
      <c r="EQ2137" s="4"/>
      <c r="ER2137" s="4"/>
      <c r="ES2137" s="4"/>
      <c r="ET2137" s="4"/>
      <c r="EU2137" s="4"/>
      <c r="EV2137" s="4">
        <v>211</v>
      </c>
      <c r="EW2137" s="4"/>
      <c r="EX2137" s="4"/>
      <c r="EY2137" s="4"/>
      <c r="EZ2137" s="4"/>
      <c r="FA2137" s="4"/>
      <c r="FB2137" s="4"/>
      <c r="FC2137" s="4"/>
      <c r="FD2137" s="4"/>
      <c r="FE2137" s="4"/>
      <c r="FF2137" s="4"/>
      <c r="FG2137" s="4"/>
      <c r="FH2137" s="4"/>
      <c r="FI2137" s="4"/>
      <c r="FJ2137" s="4"/>
      <c r="FK2137" s="4"/>
      <c r="FL2137" s="4"/>
      <c r="FM2137" s="4"/>
      <c r="FN2137" s="4"/>
      <c r="FO2137" s="4"/>
      <c r="FP2137" s="4"/>
      <c r="FQ2137" s="4"/>
      <c r="FR2137" s="4"/>
      <c r="FS2137" s="4"/>
      <c r="FT2137" s="4"/>
      <c r="FU2137" s="4"/>
      <c r="FV2137" s="4"/>
      <c r="FW2137" s="4"/>
      <c r="FX2137" s="4"/>
      <c r="FY2137" s="4"/>
      <c r="FZ2137" s="4"/>
      <c r="GA2137" s="4"/>
      <c r="GB2137" s="4">
        <v>29</v>
      </c>
      <c r="GC2137" s="4"/>
      <c r="GD2137" s="4"/>
      <c r="GE2137" s="4"/>
      <c r="GF2137" s="4"/>
      <c r="GG2137" s="4"/>
      <c r="GH2137" s="4"/>
      <c r="GI2137" s="4"/>
      <c r="GJ2137" s="4"/>
      <c r="GK2137" s="4"/>
      <c r="GL2137" s="4"/>
      <c r="GM2137" s="4"/>
      <c r="GN2137" s="4"/>
      <c r="GO2137" s="4"/>
      <c r="GP2137" s="4"/>
      <c r="GQ2137" s="4"/>
      <c r="GR2137" s="4"/>
      <c r="GS2137" s="4"/>
      <c r="GT2137" s="4"/>
      <c r="GU2137" s="4"/>
      <c r="GV2137" s="4"/>
      <c r="GW2137" s="4"/>
      <c r="GX2137" s="4"/>
      <c r="GY2137" s="4"/>
      <c r="GZ2137" s="4"/>
      <c r="HA2137" s="4"/>
      <c r="HB2137" s="4"/>
      <c r="HC2137" s="4"/>
      <c r="HD2137" s="4"/>
      <c r="HE2137" s="4"/>
    </row>
    <row r="2138">
      <c r="A2138" s="2" t="s">
        <v>10145</v>
      </c>
      <c r="B2138" s="2" t="s">
        <v>223</v>
      </c>
      <c r="C2138" s="2" t="s">
        <v>4000</v>
      </c>
      <c r="D2138" s="2" t="s">
        <v>1407</v>
      </c>
      <c r="E2138" s="2" t="s">
        <v>3636</v>
      </c>
      <c r="F2138" s="2" t="s">
        <v>10124</v>
      </c>
      <c r="G2138" s="2" t="s">
        <v>10124</v>
      </c>
      <c r="H2138" s="2" t="s">
        <v>10124</v>
      </c>
      <c r="I2138" s="2" t="s">
        <v>3638</v>
      </c>
      <c r="J2138" s="2" t="s">
        <v>284</v>
      </c>
      <c r="K2138" s="2" t="s">
        <v>480</v>
      </c>
      <c r="L2138" s="3">
        <v>50</v>
      </c>
      <c r="M2138" s="3">
        <v>52.5</v>
      </c>
      <c r="N2138" s="3">
        <v>104.99</v>
      </c>
      <c r="O2138" s="2" t="s">
        <v>240</v>
      </c>
      <c r="P2138" s="2" t="s">
        <v>266</v>
      </c>
      <c r="Q2138" s="2" t="s">
        <v>234</v>
      </c>
      <c r="R2138" s="2" t="s">
        <v>228</v>
      </c>
      <c r="S2138" s="2" t="s">
        <v>10146</v>
      </c>
      <c r="T2138" s="2" t="s">
        <v>1266</v>
      </c>
      <c r="U2138" s="2" t="s">
        <v>416</v>
      </c>
      <c r="V2138" s="2" t="s">
        <v>236</v>
      </c>
      <c r="W2138" s="2" t="s">
        <v>269</v>
      </c>
      <c r="X2138" s="2" t="s">
        <v>1267</v>
      </c>
      <c r="Y2138" s="2" t="s">
        <v>514</v>
      </c>
      <c r="Z2138" s="4">
        <v>147</v>
      </c>
      <c r="AA2138" s="4">
        <f>=ROUNDDOWN(14.7,0)</f>
      </c>
      <c r="AB2138" s="5">
        <v>10</v>
      </c>
      <c r="AC2138" s="2" t="s">
        <v>1014</v>
      </c>
      <c r="AD2138" s="4">
        <v>170</v>
      </c>
      <c r="AE2138" s="4">
        <v>300</v>
      </c>
      <c r="AF2138" s="6">
        <v>65</v>
      </c>
      <c r="AG2138" s="6"/>
      <c r="AH2138" s="7">
        <v>1</v>
      </c>
      <c r="AI2138" s="4"/>
      <c r="AJ2138" s="4">
        <f>=ROUNDDOWN({0},0)</f>
      </c>
      <c r="AK2138" s="5"/>
      <c r="AL2138" s="2" t="s">
        <v>228</v>
      </c>
      <c r="AM2138" s="4"/>
      <c r="AN2138" s="4"/>
      <c r="AO2138" s="7"/>
      <c r="AP2138" s="4"/>
      <c r="AQ2138" s="8"/>
      <c r="AR2138" s="4"/>
      <c r="AS2138" s="8"/>
      <c r="AT2138" s="7"/>
      <c r="AU2138" s="7"/>
      <c r="AV2138" s="4" t="s">
        <v>228</v>
      </c>
      <c r="AW2138" s="8" t="s">
        <v>228</v>
      </c>
      <c r="AX2138" s="4" t="s">
        <v>228</v>
      </c>
      <c r="AY2138" s="8" t="s">
        <v>228</v>
      </c>
      <c r="AZ2138" s="7" t="s">
        <v>228</v>
      </c>
      <c r="BA2138" s="7" t="s">
        <v>228</v>
      </c>
      <c r="BB2138" s="7"/>
      <c r="BC2138" s="4" t="s">
        <v>228</v>
      </c>
      <c r="BD2138" s="8" t="s">
        <v>228</v>
      </c>
      <c r="BE2138" s="4" t="s">
        <v>228</v>
      </c>
      <c r="BF2138" s="8" t="s">
        <v>228</v>
      </c>
      <c r="BG2138" s="7" t="s">
        <v>228</v>
      </c>
      <c r="BH2138" s="7" t="s">
        <v>228</v>
      </c>
      <c r="BI2138" s="7"/>
      <c r="BJ2138" s="4">
        <v>3</v>
      </c>
      <c r="BK2138" s="8">
        <v>155.4</v>
      </c>
      <c r="BL2138" s="2" t="s">
        <v>10147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10148</v>
      </c>
      <c r="BV2138" s="2" t="s">
        <v>228</v>
      </c>
      <c r="BW2138" s="2" t="s">
        <v>228</v>
      </c>
      <c r="BX2138" s="2" t="s">
        <v>273</v>
      </c>
      <c r="BY2138" s="2" t="s">
        <v>274</v>
      </c>
      <c r="BZ2138" s="2" t="s">
        <v>240</v>
      </c>
      <c r="CA2138" s="2" t="s">
        <v>2240</v>
      </c>
      <c r="CB2138" s="2" t="s">
        <v>2515</v>
      </c>
      <c r="CC2138" s="2" t="s">
        <v>241</v>
      </c>
      <c r="CD2138" s="2" t="s">
        <v>228</v>
      </c>
      <c r="CE2138" s="4">
        <v>147</v>
      </c>
      <c r="CF2138" s="4"/>
      <c r="CG2138" s="4"/>
      <c r="CH2138" s="4"/>
      <c r="CI2138" s="4"/>
      <c r="CJ2138" s="4"/>
      <c r="CK2138" s="4"/>
      <c r="CL2138" s="4"/>
      <c r="CM2138" s="4"/>
      <c r="CN2138" s="4"/>
      <c r="CO2138" s="4"/>
      <c r="CP2138" s="4"/>
      <c r="CQ2138" s="4"/>
      <c r="CR2138" s="4"/>
      <c r="CS2138" s="4"/>
      <c r="CT2138" s="4"/>
      <c r="CU2138" s="4"/>
      <c r="CV2138" s="4"/>
      <c r="CW2138" s="4"/>
      <c r="CX2138" s="4"/>
      <c r="CY2138" s="4"/>
      <c r="CZ2138" s="4"/>
      <c r="DA2138" s="4"/>
      <c r="DB2138" s="4"/>
      <c r="DC2138" s="4"/>
      <c r="DD2138" s="4"/>
      <c r="DE2138" s="4"/>
      <c r="DF2138" s="4"/>
      <c r="DG2138" s="4"/>
      <c r="DH2138" s="4"/>
      <c r="DI2138" s="4"/>
      <c r="DJ2138" s="4"/>
      <c r="DK2138" s="4"/>
      <c r="DL2138" s="4"/>
      <c r="DM2138" s="4"/>
      <c r="DN2138" s="4"/>
      <c r="DO2138" s="4"/>
      <c r="DP2138" s="4">
        <v>170</v>
      </c>
      <c r="DQ2138" s="4"/>
      <c r="DR2138" s="4"/>
      <c r="DS2138" s="4"/>
      <c r="DT2138" s="4"/>
      <c r="DU2138" s="4"/>
      <c r="DV2138" s="4"/>
      <c r="DW2138" s="4"/>
      <c r="DX2138" s="4"/>
      <c r="DY2138" s="4"/>
      <c r="DZ2138" s="4"/>
      <c r="EA2138" s="4"/>
      <c r="EB2138" s="4"/>
      <c r="EC2138" s="4"/>
      <c r="ED2138" s="4"/>
      <c r="EE2138" s="4"/>
      <c r="EF2138" s="4"/>
      <c r="EG2138" s="4"/>
      <c r="EH2138" s="4"/>
      <c r="EI2138" s="4"/>
      <c r="EJ2138" s="4"/>
      <c r="EK2138" s="4"/>
      <c r="EL2138" s="4"/>
      <c r="EM2138" s="4"/>
      <c r="EN2138" s="4"/>
      <c r="EO2138" s="4"/>
      <c r="EP2138" s="4"/>
      <c r="EQ2138" s="4"/>
      <c r="ER2138" s="4"/>
      <c r="ES2138" s="4"/>
      <c r="ET2138" s="4"/>
      <c r="EU2138" s="4"/>
      <c r="EV2138" s="4"/>
      <c r="EW2138" s="4"/>
      <c r="EX2138" s="4"/>
      <c r="EY2138" s="4"/>
      <c r="EZ2138" s="4"/>
      <c r="FA2138" s="4"/>
      <c r="FB2138" s="4"/>
      <c r="FC2138" s="4"/>
      <c r="FD2138" s="4"/>
      <c r="FE2138" s="4"/>
      <c r="FF2138" s="4"/>
      <c r="FG2138" s="4"/>
      <c r="FH2138" s="4"/>
      <c r="FI2138" s="4"/>
      <c r="FJ2138" s="4"/>
      <c r="FK2138" s="4"/>
      <c r="FL2138" s="4"/>
      <c r="FM2138" s="4"/>
      <c r="FN2138" s="4"/>
      <c r="FO2138" s="4"/>
      <c r="FP2138" s="4"/>
      <c r="FQ2138" s="4"/>
      <c r="FR2138" s="4"/>
      <c r="FS2138" s="4"/>
      <c r="FT2138" s="4"/>
      <c r="FU2138" s="4"/>
      <c r="FV2138" s="4"/>
      <c r="FW2138" s="4"/>
      <c r="FX2138" s="4"/>
      <c r="FY2138" s="4"/>
      <c r="FZ2138" s="4"/>
      <c r="GA2138" s="4"/>
      <c r="GB2138" s="4">
        <v>130</v>
      </c>
      <c r="GC2138" s="4"/>
      <c r="GD2138" s="4"/>
      <c r="GE2138" s="4"/>
      <c r="GF2138" s="4"/>
      <c r="GG2138" s="4"/>
      <c r="GH2138" s="4"/>
      <c r="GI2138" s="4"/>
      <c r="GJ2138" s="4"/>
      <c r="GK2138" s="4"/>
      <c r="GL2138" s="4"/>
      <c r="GM2138" s="4"/>
      <c r="GN2138" s="4"/>
      <c r="GO2138" s="4"/>
      <c r="GP2138" s="4"/>
      <c r="GQ2138" s="4"/>
      <c r="GR2138" s="4"/>
      <c r="GS2138" s="4"/>
      <c r="GT2138" s="4"/>
      <c r="GU2138" s="4"/>
      <c r="GV2138" s="4"/>
      <c r="GW2138" s="4"/>
      <c r="GX2138" s="4"/>
      <c r="GY2138" s="4"/>
      <c r="GZ2138" s="4"/>
      <c r="HA2138" s="4"/>
      <c r="HB2138" s="4"/>
      <c r="HC2138" s="4"/>
      <c r="HD2138" s="4"/>
      <c r="HE2138" s="4"/>
    </row>
    <row r="2139">
      <c r="A2139" s="2" t="s">
        <v>10149</v>
      </c>
      <c r="B2139" s="2" t="s">
        <v>223</v>
      </c>
      <c r="C2139" s="2" t="s">
        <v>4000</v>
      </c>
      <c r="D2139" s="2" t="s">
        <v>1407</v>
      </c>
      <c r="E2139" s="2" t="s">
        <v>3636</v>
      </c>
      <c r="F2139" s="2" t="s">
        <v>10124</v>
      </c>
      <c r="G2139" s="2" t="s">
        <v>10124</v>
      </c>
      <c r="H2139" s="2" t="s">
        <v>10124</v>
      </c>
      <c r="I2139" s="2" t="s">
        <v>3638</v>
      </c>
      <c r="J2139" s="2" t="s">
        <v>289</v>
      </c>
      <c r="K2139" s="2" t="s">
        <v>480</v>
      </c>
      <c r="L2139" s="3">
        <v>69.04</v>
      </c>
      <c r="M2139" s="3">
        <v>72.49</v>
      </c>
      <c r="N2139" s="3">
        <v>144.99</v>
      </c>
      <c r="O2139" s="2" t="s">
        <v>240</v>
      </c>
      <c r="P2139" s="2" t="s">
        <v>266</v>
      </c>
      <c r="Q2139" s="2" t="s">
        <v>234</v>
      </c>
      <c r="R2139" s="2" t="s">
        <v>228</v>
      </c>
      <c r="S2139" s="2" t="s">
        <v>10146</v>
      </c>
      <c r="T2139" s="2" t="s">
        <v>1266</v>
      </c>
      <c r="U2139" s="2" t="s">
        <v>416</v>
      </c>
      <c r="V2139" s="2" t="s">
        <v>236</v>
      </c>
      <c r="W2139" s="2" t="s">
        <v>269</v>
      </c>
      <c r="X2139" s="2" t="s">
        <v>1267</v>
      </c>
      <c r="Y2139" s="2" t="s">
        <v>3642</v>
      </c>
      <c r="Z2139" s="4">
        <v>242</v>
      </c>
      <c r="AA2139" s="4">
        <f>=ROUNDDOWN(18.6153846153846,0)</f>
      </c>
      <c r="AB2139" s="5">
        <v>13</v>
      </c>
      <c r="AC2139" s="2" t="s">
        <v>160</v>
      </c>
      <c r="AD2139" s="4">
        <v>130</v>
      </c>
      <c r="AE2139" s="4">
        <v>190</v>
      </c>
      <c r="AF2139" s="6">
        <v>65</v>
      </c>
      <c r="AG2139" s="6"/>
      <c r="AH2139" s="7">
        <v>1</v>
      </c>
      <c r="AI2139" s="4"/>
      <c r="AJ2139" s="4">
        <f>=ROUNDDOWN({0},0)</f>
      </c>
      <c r="AK2139" s="5"/>
      <c r="AL2139" s="2" t="s">
        <v>228</v>
      </c>
      <c r="AM2139" s="4"/>
      <c r="AN2139" s="4"/>
      <c r="AO2139" s="7"/>
      <c r="AP2139" s="4"/>
      <c r="AQ2139" s="8"/>
      <c r="AR2139" s="4"/>
      <c r="AS2139" s="8"/>
      <c r="AT2139" s="7"/>
      <c r="AU2139" s="7"/>
      <c r="AV2139" s="4" t="s">
        <v>228</v>
      </c>
      <c r="AW2139" s="8" t="s">
        <v>228</v>
      </c>
      <c r="AX2139" s="4" t="s">
        <v>228</v>
      </c>
      <c r="AY2139" s="8" t="s">
        <v>228</v>
      </c>
      <c r="AZ2139" s="7" t="s">
        <v>228</v>
      </c>
      <c r="BA2139" s="7" t="s">
        <v>228</v>
      </c>
      <c r="BB2139" s="7"/>
      <c r="BC2139" s="4" t="s">
        <v>228</v>
      </c>
      <c r="BD2139" s="8" t="s">
        <v>228</v>
      </c>
      <c r="BE2139" s="4" t="s">
        <v>228</v>
      </c>
      <c r="BF2139" s="8" t="s">
        <v>228</v>
      </c>
      <c r="BG2139" s="7" t="s">
        <v>228</v>
      </c>
      <c r="BH2139" s="7" t="s">
        <v>228</v>
      </c>
      <c r="BI2139" s="7"/>
      <c r="BJ2139" s="4">
        <v>6</v>
      </c>
      <c r="BK2139" s="8">
        <v>467.57</v>
      </c>
      <c r="BL2139" s="2" t="s">
        <v>3646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10150</v>
      </c>
      <c r="BV2139" s="2" t="s">
        <v>228</v>
      </c>
      <c r="BW2139" s="2" t="s">
        <v>228</v>
      </c>
      <c r="BX2139" s="2" t="s">
        <v>273</v>
      </c>
      <c r="BY2139" s="2" t="s">
        <v>274</v>
      </c>
      <c r="BZ2139" s="2" t="s">
        <v>240</v>
      </c>
      <c r="CA2139" s="2" t="s">
        <v>2240</v>
      </c>
      <c r="CB2139" s="2" t="s">
        <v>846</v>
      </c>
      <c r="CC2139" s="2" t="s">
        <v>241</v>
      </c>
      <c r="CD2139" s="2" t="s">
        <v>228</v>
      </c>
      <c r="CE2139" s="4">
        <v>242</v>
      </c>
      <c r="CF2139" s="4"/>
      <c r="CG2139" s="4"/>
      <c r="CH2139" s="4"/>
      <c r="CI2139" s="4"/>
      <c r="CJ2139" s="4"/>
      <c r="CK2139" s="4"/>
      <c r="CL2139" s="4"/>
      <c r="CM2139" s="4"/>
      <c r="CN2139" s="4"/>
      <c r="CO2139" s="4"/>
      <c r="CP2139" s="4"/>
      <c r="CQ2139" s="4"/>
      <c r="CR2139" s="4"/>
      <c r="CS2139" s="4"/>
      <c r="CT2139" s="4"/>
      <c r="CU2139" s="4"/>
      <c r="CV2139" s="4"/>
      <c r="CW2139" s="4"/>
      <c r="CX2139" s="4"/>
      <c r="CY2139" s="4"/>
      <c r="CZ2139" s="4"/>
      <c r="DA2139" s="4"/>
      <c r="DB2139" s="4"/>
      <c r="DC2139" s="4"/>
      <c r="DD2139" s="4"/>
      <c r="DE2139" s="4"/>
      <c r="DF2139" s="4"/>
      <c r="DG2139" s="4"/>
      <c r="DH2139" s="4"/>
      <c r="DI2139" s="4"/>
      <c r="DJ2139" s="4"/>
      <c r="DK2139" s="4"/>
      <c r="DL2139" s="4"/>
      <c r="DM2139" s="4"/>
      <c r="DN2139" s="4"/>
      <c r="DO2139" s="4"/>
      <c r="DP2139" s="4"/>
      <c r="DQ2139" s="4"/>
      <c r="DR2139" s="4"/>
      <c r="DS2139" s="4"/>
      <c r="DT2139" s="4"/>
      <c r="DU2139" s="4"/>
      <c r="DV2139" s="4"/>
      <c r="DW2139" s="4"/>
      <c r="DX2139" s="4"/>
      <c r="DY2139" s="4"/>
      <c r="DZ2139" s="4"/>
      <c r="EA2139" s="4"/>
      <c r="EB2139" s="4"/>
      <c r="EC2139" s="4"/>
      <c r="ED2139" s="4"/>
      <c r="EE2139" s="4"/>
      <c r="EF2139" s="4"/>
      <c r="EG2139" s="4"/>
      <c r="EH2139" s="4"/>
      <c r="EI2139" s="4"/>
      <c r="EJ2139" s="4"/>
      <c r="EK2139" s="4"/>
      <c r="EL2139" s="4"/>
      <c r="EM2139" s="4"/>
      <c r="EN2139" s="4"/>
      <c r="EO2139" s="4"/>
      <c r="EP2139" s="4"/>
      <c r="EQ2139" s="4"/>
      <c r="ER2139" s="4"/>
      <c r="ES2139" s="4"/>
      <c r="ET2139" s="4"/>
      <c r="EU2139" s="4"/>
      <c r="EV2139" s="4">
        <v>130</v>
      </c>
      <c r="EW2139" s="4"/>
      <c r="EX2139" s="4"/>
      <c r="EY2139" s="4"/>
      <c r="EZ2139" s="4"/>
      <c r="FA2139" s="4"/>
      <c r="FB2139" s="4"/>
      <c r="FC2139" s="4"/>
      <c r="FD2139" s="4"/>
      <c r="FE2139" s="4"/>
      <c r="FF2139" s="4"/>
      <c r="FG2139" s="4"/>
      <c r="FH2139" s="4"/>
      <c r="FI2139" s="4"/>
      <c r="FJ2139" s="4"/>
      <c r="FK2139" s="4"/>
      <c r="FL2139" s="4"/>
      <c r="FM2139" s="4"/>
      <c r="FN2139" s="4"/>
      <c r="FO2139" s="4"/>
      <c r="FP2139" s="4"/>
      <c r="FQ2139" s="4"/>
      <c r="FR2139" s="4"/>
      <c r="FS2139" s="4"/>
      <c r="FT2139" s="4"/>
      <c r="FU2139" s="4"/>
      <c r="FV2139" s="4"/>
      <c r="FW2139" s="4"/>
      <c r="FX2139" s="4"/>
      <c r="FY2139" s="4"/>
      <c r="FZ2139" s="4"/>
      <c r="GA2139" s="4"/>
      <c r="GB2139" s="4">
        <v>60</v>
      </c>
      <c r="GC2139" s="4"/>
      <c r="GD2139" s="4"/>
      <c r="GE2139" s="4"/>
      <c r="GF2139" s="4"/>
      <c r="GG2139" s="4"/>
      <c r="GH2139" s="4"/>
      <c r="GI2139" s="4"/>
      <c r="GJ2139" s="4"/>
      <c r="GK2139" s="4"/>
      <c r="GL2139" s="4"/>
      <c r="GM2139" s="4"/>
      <c r="GN2139" s="4"/>
      <c r="GO2139" s="4"/>
      <c r="GP2139" s="4"/>
      <c r="GQ2139" s="4"/>
      <c r="GR2139" s="4"/>
      <c r="GS2139" s="4"/>
      <c r="GT2139" s="4"/>
      <c r="GU2139" s="4"/>
      <c r="GV2139" s="4"/>
      <c r="GW2139" s="4"/>
      <c r="GX2139" s="4"/>
      <c r="GY2139" s="4"/>
      <c r="GZ2139" s="4"/>
      <c r="HA2139" s="4"/>
      <c r="HB2139" s="4"/>
      <c r="HC2139" s="4"/>
      <c r="HD2139" s="4"/>
      <c r="HE2139" s="4"/>
    </row>
    <row r="2140">
      <c r="A2140" s="2" t="s">
        <v>10151</v>
      </c>
      <c r="B2140" s="2" t="s">
        <v>223</v>
      </c>
      <c r="C2140" s="2" t="s">
        <v>4000</v>
      </c>
      <c r="D2140" s="2" t="s">
        <v>1407</v>
      </c>
      <c r="E2140" s="2" t="s">
        <v>3636</v>
      </c>
      <c r="F2140" s="2" t="s">
        <v>10124</v>
      </c>
      <c r="G2140" s="2" t="s">
        <v>10124</v>
      </c>
      <c r="H2140" s="2" t="s">
        <v>10124</v>
      </c>
      <c r="I2140" s="2" t="s">
        <v>3638</v>
      </c>
      <c r="J2140" s="2" t="s">
        <v>294</v>
      </c>
      <c r="K2140" s="2" t="s">
        <v>480</v>
      </c>
      <c r="L2140" s="3">
        <v>78.57</v>
      </c>
      <c r="M2140" s="3">
        <v>82.5</v>
      </c>
      <c r="N2140" s="3">
        <v>164.99</v>
      </c>
      <c r="O2140" s="2" t="s">
        <v>240</v>
      </c>
      <c r="P2140" s="2" t="s">
        <v>266</v>
      </c>
      <c r="Q2140" s="2" t="s">
        <v>234</v>
      </c>
      <c r="R2140" s="2" t="s">
        <v>228</v>
      </c>
      <c r="S2140" s="2" t="s">
        <v>10146</v>
      </c>
      <c r="T2140" s="2" t="s">
        <v>1266</v>
      </c>
      <c r="U2140" s="2" t="s">
        <v>416</v>
      </c>
      <c r="V2140" s="2" t="s">
        <v>236</v>
      </c>
      <c r="W2140" s="2" t="s">
        <v>269</v>
      </c>
      <c r="X2140" s="2" t="s">
        <v>1267</v>
      </c>
      <c r="Y2140" s="2" t="s">
        <v>3642</v>
      </c>
      <c r="Z2140" s="4">
        <v>225</v>
      </c>
      <c r="AA2140" s="4">
        <f>=ROUNDDOWN(22.5,0)</f>
      </c>
      <c r="AB2140" s="5">
        <v>10</v>
      </c>
      <c r="AC2140" s="2" t="s">
        <v>1014</v>
      </c>
      <c r="AD2140" s="4">
        <v>160</v>
      </c>
      <c r="AE2140" s="4">
        <v>300</v>
      </c>
      <c r="AF2140" s="6">
        <v>65</v>
      </c>
      <c r="AG2140" s="6"/>
      <c r="AH2140" s="7">
        <v>1</v>
      </c>
      <c r="AI2140" s="4"/>
      <c r="AJ2140" s="4">
        <f>=ROUNDDOWN({0},0)</f>
      </c>
      <c r="AK2140" s="5"/>
      <c r="AL2140" s="2" t="s">
        <v>228</v>
      </c>
      <c r="AM2140" s="4"/>
      <c r="AN2140" s="4"/>
      <c r="AO2140" s="7"/>
      <c r="AP2140" s="4"/>
      <c r="AQ2140" s="8"/>
      <c r="AR2140" s="4"/>
      <c r="AS2140" s="8"/>
      <c r="AT2140" s="7"/>
      <c r="AU2140" s="7"/>
      <c r="AV2140" s="4" t="s">
        <v>228</v>
      </c>
      <c r="AW2140" s="8" t="s">
        <v>228</v>
      </c>
      <c r="AX2140" s="4" t="s">
        <v>228</v>
      </c>
      <c r="AY2140" s="8" t="s">
        <v>228</v>
      </c>
      <c r="AZ2140" s="7" t="s">
        <v>228</v>
      </c>
      <c r="BA2140" s="7" t="s">
        <v>228</v>
      </c>
      <c r="BB2140" s="7"/>
      <c r="BC2140" s="4" t="s">
        <v>228</v>
      </c>
      <c r="BD2140" s="8" t="s">
        <v>228</v>
      </c>
      <c r="BE2140" s="4" t="s">
        <v>228</v>
      </c>
      <c r="BF2140" s="8" t="s">
        <v>228</v>
      </c>
      <c r="BG2140" s="7" t="s">
        <v>228</v>
      </c>
      <c r="BH2140" s="7" t="s">
        <v>228</v>
      </c>
      <c r="BI2140" s="7"/>
      <c r="BJ2140" s="4">
        <v>10</v>
      </c>
      <c r="BK2140" s="8">
        <v>878.6</v>
      </c>
      <c r="BL2140" s="2" t="s">
        <v>2386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10152</v>
      </c>
      <c r="BV2140" s="2" t="s">
        <v>228</v>
      </c>
      <c r="BW2140" s="2" t="s">
        <v>228</v>
      </c>
      <c r="BX2140" s="2" t="s">
        <v>273</v>
      </c>
      <c r="BY2140" s="2" t="s">
        <v>274</v>
      </c>
      <c r="BZ2140" s="2" t="s">
        <v>240</v>
      </c>
      <c r="CA2140" s="2" t="s">
        <v>2240</v>
      </c>
      <c r="CB2140" s="2" t="s">
        <v>7007</v>
      </c>
      <c r="CC2140" s="2" t="s">
        <v>241</v>
      </c>
      <c r="CD2140" s="2" t="s">
        <v>228</v>
      </c>
      <c r="CE2140" s="4">
        <v>225</v>
      </c>
      <c r="CF2140" s="4"/>
      <c r="CG2140" s="4"/>
      <c r="CH2140" s="4"/>
      <c r="CI2140" s="4"/>
      <c r="CJ2140" s="4"/>
      <c r="CK2140" s="4"/>
      <c r="CL2140" s="4"/>
      <c r="CM2140" s="4"/>
      <c r="CN2140" s="4"/>
      <c r="CO2140" s="4"/>
      <c r="CP2140" s="4"/>
      <c r="CQ2140" s="4"/>
      <c r="CR2140" s="4"/>
      <c r="CS2140" s="4"/>
      <c r="CT2140" s="4"/>
      <c r="CU2140" s="4"/>
      <c r="CV2140" s="4"/>
      <c r="CW2140" s="4"/>
      <c r="CX2140" s="4"/>
      <c r="CY2140" s="4"/>
      <c r="CZ2140" s="4"/>
      <c r="DA2140" s="4"/>
      <c r="DB2140" s="4"/>
      <c r="DC2140" s="4"/>
      <c r="DD2140" s="4"/>
      <c r="DE2140" s="4"/>
      <c r="DF2140" s="4"/>
      <c r="DG2140" s="4"/>
      <c r="DH2140" s="4"/>
      <c r="DI2140" s="4"/>
      <c r="DJ2140" s="4"/>
      <c r="DK2140" s="4"/>
      <c r="DL2140" s="4"/>
      <c r="DM2140" s="4"/>
      <c r="DN2140" s="4"/>
      <c r="DO2140" s="4"/>
      <c r="DP2140" s="4">
        <v>160</v>
      </c>
      <c r="DQ2140" s="4"/>
      <c r="DR2140" s="4"/>
      <c r="DS2140" s="4"/>
      <c r="DT2140" s="4"/>
      <c r="DU2140" s="4"/>
      <c r="DV2140" s="4"/>
      <c r="DW2140" s="4"/>
      <c r="DX2140" s="4"/>
      <c r="DY2140" s="4"/>
      <c r="DZ2140" s="4"/>
      <c r="EA2140" s="4"/>
      <c r="EB2140" s="4"/>
      <c r="EC2140" s="4"/>
      <c r="ED2140" s="4"/>
      <c r="EE2140" s="4"/>
      <c r="EF2140" s="4"/>
      <c r="EG2140" s="4"/>
      <c r="EH2140" s="4"/>
      <c r="EI2140" s="4"/>
      <c r="EJ2140" s="4"/>
      <c r="EK2140" s="4"/>
      <c r="EL2140" s="4"/>
      <c r="EM2140" s="4"/>
      <c r="EN2140" s="4"/>
      <c r="EO2140" s="4"/>
      <c r="EP2140" s="4"/>
      <c r="EQ2140" s="4"/>
      <c r="ER2140" s="4"/>
      <c r="ES2140" s="4"/>
      <c r="ET2140" s="4"/>
      <c r="EU2140" s="4"/>
      <c r="EV2140" s="4"/>
      <c r="EW2140" s="4"/>
      <c r="EX2140" s="4"/>
      <c r="EY2140" s="4"/>
      <c r="EZ2140" s="4"/>
      <c r="FA2140" s="4"/>
      <c r="FB2140" s="4"/>
      <c r="FC2140" s="4"/>
      <c r="FD2140" s="4"/>
      <c r="FE2140" s="4"/>
      <c r="FF2140" s="4"/>
      <c r="FG2140" s="4"/>
      <c r="FH2140" s="4"/>
      <c r="FI2140" s="4"/>
      <c r="FJ2140" s="4"/>
      <c r="FK2140" s="4"/>
      <c r="FL2140" s="4"/>
      <c r="FM2140" s="4"/>
      <c r="FN2140" s="4"/>
      <c r="FO2140" s="4"/>
      <c r="FP2140" s="4"/>
      <c r="FQ2140" s="4"/>
      <c r="FR2140" s="4"/>
      <c r="FS2140" s="4"/>
      <c r="FT2140" s="4"/>
      <c r="FU2140" s="4"/>
      <c r="FV2140" s="4"/>
      <c r="FW2140" s="4"/>
      <c r="FX2140" s="4"/>
      <c r="FY2140" s="4"/>
      <c r="FZ2140" s="4"/>
      <c r="GA2140" s="4"/>
      <c r="GB2140" s="4">
        <v>140</v>
      </c>
      <c r="GC2140" s="4"/>
      <c r="GD2140" s="4"/>
      <c r="GE2140" s="4"/>
      <c r="GF2140" s="4"/>
      <c r="GG2140" s="4"/>
      <c r="GH2140" s="4"/>
      <c r="GI2140" s="4"/>
      <c r="GJ2140" s="4"/>
      <c r="GK2140" s="4"/>
      <c r="GL2140" s="4"/>
      <c r="GM2140" s="4"/>
      <c r="GN2140" s="4"/>
      <c r="GO2140" s="4"/>
      <c r="GP2140" s="4"/>
      <c r="GQ2140" s="4"/>
      <c r="GR2140" s="4"/>
      <c r="GS2140" s="4"/>
      <c r="GT2140" s="4"/>
      <c r="GU2140" s="4"/>
      <c r="GV2140" s="4"/>
      <c r="GW2140" s="4"/>
      <c r="GX2140" s="4"/>
      <c r="GY2140" s="4"/>
      <c r="GZ2140" s="4"/>
      <c r="HA2140" s="4"/>
      <c r="HB2140" s="4"/>
      <c r="HC2140" s="4"/>
      <c r="HD2140" s="4"/>
      <c r="HE2140" s="4"/>
    </row>
    <row r="2141">
      <c r="A2141" s="2" t="s">
        <v>10153</v>
      </c>
      <c r="B2141" s="2" t="s">
        <v>258</v>
      </c>
      <c r="C2141" s="2" t="s">
        <v>918</v>
      </c>
      <c r="D2141" s="2" t="s">
        <v>1112</v>
      </c>
      <c r="E2141" s="2" t="s">
        <v>3467</v>
      </c>
      <c r="F2141" s="2" t="s">
        <v>10154</v>
      </c>
      <c r="G2141" s="2" t="s">
        <v>10154</v>
      </c>
      <c r="H2141" s="2" t="s">
        <v>10154</v>
      </c>
      <c r="I2141" s="2" t="s">
        <v>10155</v>
      </c>
      <c r="J2141" s="2" t="s">
        <v>1189</v>
      </c>
      <c r="K2141" s="2" t="s">
        <v>316</v>
      </c>
      <c r="L2141" s="3">
        <v>51.99</v>
      </c>
      <c r="M2141" s="3">
        <v>54.59</v>
      </c>
      <c r="N2141" s="3">
        <v>139.99</v>
      </c>
      <c r="O2141" s="2" t="s">
        <v>240</v>
      </c>
      <c r="P2141" s="2" t="s">
        <v>266</v>
      </c>
      <c r="Q2141" s="2" t="s">
        <v>234</v>
      </c>
      <c r="R2141" s="2" t="s">
        <v>228</v>
      </c>
      <c r="S2141" s="2" t="s">
        <v>228</v>
      </c>
      <c r="T2141" s="2" t="s">
        <v>228</v>
      </c>
      <c r="U2141" s="2" t="s">
        <v>416</v>
      </c>
      <c r="V2141" s="2" t="s">
        <v>236</v>
      </c>
      <c r="W2141" s="2" t="s">
        <v>417</v>
      </c>
      <c r="X2141" s="2" t="s">
        <v>228</v>
      </c>
      <c r="Y2141" s="2" t="s">
        <v>1314</v>
      </c>
      <c r="Z2141" s="4">
        <v>202</v>
      </c>
      <c r="AA2141" s="4">
        <f>=ROUNDDOWN(22.4444444444444,0)</f>
      </c>
      <c r="AB2141" s="5">
        <v>9</v>
      </c>
      <c r="AC2141" s="2" t="s">
        <v>1516</v>
      </c>
      <c r="AD2141" s="4">
        <v>40</v>
      </c>
      <c r="AE2141" s="4">
        <v>210</v>
      </c>
      <c r="AF2141" s="6">
        <v>67</v>
      </c>
      <c r="AG2141" s="6"/>
      <c r="AH2141" s="7">
        <v>1</v>
      </c>
      <c r="AI2141" s="4"/>
      <c r="AJ2141" s="4">
        <f>=ROUNDDOWN({0},0)</f>
      </c>
      <c r="AK2141" s="5"/>
      <c r="AL2141" s="2" t="s">
        <v>228</v>
      </c>
      <c r="AM2141" s="4"/>
      <c r="AN2141" s="4"/>
      <c r="AO2141" s="7"/>
      <c r="AP2141" s="4"/>
      <c r="AQ2141" s="8"/>
      <c r="AR2141" s="4"/>
      <c r="AS2141" s="8"/>
      <c r="AT2141" s="7"/>
      <c r="AU2141" s="7"/>
      <c r="AV2141" s="4" t="s">
        <v>228</v>
      </c>
      <c r="AW2141" s="8" t="s">
        <v>228</v>
      </c>
      <c r="AX2141" s="4" t="s">
        <v>228</v>
      </c>
      <c r="AY2141" s="8" t="s">
        <v>228</v>
      </c>
      <c r="AZ2141" s="7" t="s">
        <v>228</v>
      </c>
      <c r="BA2141" s="7" t="s">
        <v>228</v>
      </c>
      <c r="BB2141" s="7"/>
      <c r="BC2141" s="4" t="s">
        <v>228</v>
      </c>
      <c r="BD2141" s="8" t="s">
        <v>228</v>
      </c>
      <c r="BE2141" s="4" t="s">
        <v>228</v>
      </c>
      <c r="BF2141" s="8" t="s">
        <v>228</v>
      </c>
      <c r="BG2141" s="7" t="s">
        <v>228</v>
      </c>
      <c r="BH2141" s="7" t="s">
        <v>228</v>
      </c>
      <c r="BI2141" s="7"/>
      <c r="BJ2141" s="4">
        <v>12</v>
      </c>
      <c r="BK2141" s="8">
        <v>689.22</v>
      </c>
      <c r="BL2141" s="2" t="s">
        <v>7979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10156</v>
      </c>
      <c r="BV2141" s="2" t="s">
        <v>228</v>
      </c>
      <c r="BW2141" s="2" t="s">
        <v>228</v>
      </c>
      <c r="BX2141" s="2" t="s">
        <v>273</v>
      </c>
      <c r="BY2141" s="2" t="s">
        <v>274</v>
      </c>
      <c r="BZ2141" s="2" t="s">
        <v>240</v>
      </c>
      <c r="CA2141" s="2" t="s">
        <v>10157</v>
      </c>
      <c r="CB2141" s="2" t="s">
        <v>379</v>
      </c>
      <c r="CC2141" s="2" t="s">
        <v>241</v>
      </c>
      <c r="CD2141" s="2" t="s">
        <v>228</v>
      </c>
      <c r="CE2141" s="4">
        <v>202</v>
      </c>
      <c r="CF2141" s="4"/>
      <c r="CG2141" s="4"/>
      <c r="CH2141" s="4"/>
      <c r="CI2141" s="4"/>
      <c r="CJ2141" s="4"/>
      <c r="CK2141" s="4"/>
      <c r="CL2141" s="4"/>
      <c r="CM2141" s="4"/>
      <c r="CN2141" s="4"/>
      <c r="CO2141" s="4"/>
      <c r="CP2141" s="4"/>
      <c r="CQ2141" s="4"/>
      <c r="CR2141" s="4"/>
      <c r="CS2141" s="4"/>
      <c r="CT2141" s="4"/>
      <c r="CU2141" s="4"/>
      <c r="CV2141" s="4"/>
      <c r="CW2141" s="4"/>
      <c r="CX2141" s="4"/>
      <c r="CY2141" s="4"/>
      <c r="CZ2141" s="4"/>
      <c r="DA2141" s="4"/>
      <c r="DB2141" s="4"/>
      <c r="DC2141" s="4"/>
      <c r="DD2141" s="4"/>
      <c r="DE2141" s="4"/>
      <c r="DF2141" s="4"/>
      <c r="DG2141" s="4"/>
      <c r="DH2141" s="4"/>
      <c r="DI2141" s="4"/>
      <c r="DJ2141" s="4"/>
      <c r="DK2141" s="4"/>
      <c r="DL2141" s="4"/>
      <c r="DM2141" s="4"/>
      <c r="DN2141" s="4"/>
      <c r="DO2141" s="4"/>
      <c r="DP2141" s="4"/>
      <c r="DQ2141" s="4"/>
      <c r="DR2141" s="4"/>
      <c r="DS2141" s="4"/>
      <c r="DT2141" s="4"/>
      <c r="DU2141" s="4"/>
      <c r="DV2141" s="4"/>
      <c r="DW2141" s="4"/>
      <c r="DX2141" s="4"/>
      <c r="DY2141" s="4"/>
      <c r="DZ2141" s="4"/>
      <c r="EA2141" s="4"/>
      <c r="EB2141" s="4"/>
      <c r="EC2141" s="4"/>
      <c r="ED2141" s="4"/>
      <c r="EE2141" s="4"/>
      <c r="EF2141" s="4"/>
      <c r="EG2141" s="4">
        <v>40</v>
      </c>
      <c r="EH2141" s="4"/>
      <c r="EI2141" s="4"/>
      <c r="EJ2141" s="4"/>
      <c r="EK2141" s="4"/>
      <c r="EL2141" s="4"/>
      <c r="EM2141" s="4"/>
      <c r="EN2141" s="4"/>
      <c r="EO2141" s="4"/>
      <c r="EP2141" s="4"/>
      <c r="EQ2141" s="4"/>
      <c r="ER2141" s="4"/>
      <c r="ES2141" s="4"/>
      <c r="ET2141" s="4"/>
      <c r="EU2141" s="4"/>
      <c r="EV2141" s="4"/>
      <c r="EW2141" s="4"/>
      <c r="EX2141" s="4"/>
      <c r="EY2141" s="4"/>
      <c r="EZ2141" s="4"/>
      <c r="FA2141" s="4">
        <v>170</v>
      </c>
      <c r="FB2141" s="4"/>
      <c r="FC2141" s="4"/>
      <c r="FD2141" s="4"/>
      <c r="FE2141" s="4"/>
      <c r="FF2141" s="4"/>
      <c r="FG2141" s="4"/>
      <c r="FH2141" s="4"/>
      <c r="FI2141" s="4"/>
      <c r="FJ2141" s="4"/>
      <c r="FK2141" s="4"/>
      <c r="FL2141" s="4"/>
      <c r="FM2141" s="4"/>
      <c r="FN2141" s="4"/>
      <c r="FO2141" s="4"/>
      <c r="FP2141" s="4"/>
      <c r="FQ2141" s="4"/>
      <c r="FR2141" s="4"/>
      <c r="FS2141" s="4"/>
      <c r="FT2141" s="4"/>
      <c r="FU2141" s="4"/>
      <c r="FV2141" s="4"/>
      <c r="FW2141" s="4"/>
      <c r="FX2141" s="4"/>
      <c r="FY2141" s="4"/>
      <c r="FZ2141" s="4"/>
      <c r="GA2141" s="4"/>
      <c r="GB2141" s="4"/>
      <c r="GC2141" s="4"/>
      <c r="GD2141" s="4"/>
      <c r="GE2141" s="4"/>
      <c r="GF2141" s="4"/>
      <c r="GG2141" s="4"/>
      <c r="GH2141" s="4"/>
      <c r="GI2141" s="4"/>
      <c r="GJ2141" s="4"/>
      <c r="GK2141" s="4"/>
      <c r="GL2141" s="4"/>
      <c r="GM2141" s="4"/>
      <c r="GN2141" s="4"/>
      <c r="GO2141" s="4"/>
      <c r="GP2141" s="4"/>
      <c r="GQ2141" s="4"/>
      <c r="GR2141" s="4"/>
      <c r="GS2141" s="4"/>
      <c r="GT2141" s="4"/>
      <c r="GU2141" s="4"/>
      <c r="GV2141" s="4"/>
      <c r="GW2141" s="4"/>
      <c r="GX2141" s="4"/>
      <c r="GY2141" s="4"/>
      <c r="GZ2141" s="4"/>
      <c r="HA2141" s="4"/>
      <c r="HB2141" s="4"/>
      <c r="HC2141" s="4"/>
      <c r="HD2141" s="4"/>
      <c r="HE2141" s="4"/>
    </row>
    <row r="2142">
      <c r="A2142" s="2" t="s">
        <v>10158</v>
      </c>
      <c r="B2142" s="2" t="s">
        <v>258</v>
      </c>
      <c r="C2142" s="2" t="s">
        <v>918</v>
      </c>
      <c r="D2142" s="2" t="s">
        <v>1112</v>
      </c>
      <c r="E2142" s="2" t="s">
        <v>3467</v>
      </c>
      <c r="F2142" s="2" t="s">
        <v>10154</v>
      </c>
      <c r="G2142" s="2" t="s">
        <v>10154</v>
      </c>
      <c r="H2142" s="2" t="s">
        <v>10154</v>
      </c>
      <c r="I2142" s="2" t="s">
        <v>10155</v>
      </c>
      <c r="J2142" s="2" t="s">
        <v>1043</v>
      </c>
      <c r="K2142" s="2" t="s">
        <v>316</v>
      </c>
      <c r="L2142" s="3">
        <v>59.42</v>
      </c>
      <c r="M2142" s="3">
        <v>62.39</v>
      </c>
      <c r="N2142" s="3">
        <v>159.99</v>
      </c>
      <c r="O2142" s="2" t="s">
        <v>240</v>
      </c>
      <c r="P2142" s="2" t="s">
        <v>266</v>
      </c>
      <c r="Q2142" s="2" t="s">
        <v>234</v>
      </c>
      <c r="R2142" s="2" t="s">
        <v>228</v>
      </c>
      <c r="S2142" s="2" t="s">
        <v>228</v>
      </c>
      <c r="T2142" s="2" t="s">
        <v>228</v>
      </c>
      <c r="U2142" s="2" t="s">
        <v>416</v>
      </c>
      <c r="V2142" s="2" t="s">
        <v>236</v>
      </c>
      <c r="W2142" s="2" t="s">
        <v>417</v>
      </c>
      <c r="X2142" s="2" t="s">
        <v>228</v>
      </c>
      <c r="Y2142" s="2" t="s">
        <v>1314</v>
      </c>
      <c r="Z2142" s="4">
        <v>141</v>
      </c>
      <c r="AA2142" s="4">
        <f>=ROUNDDOWN(15.6666666666667,0)</f>
      </c>
      <c r="AB2142" s="5">
        <v>9</v>
      </c>
      <c r="AC2142" s="2" t="s">
        <v>1516</v>
      </c>
      <c r="AD2142" s="4">
        <v>100</v>
      </c>
      <c r="AE2142" s="4">
        <v>250</v>
      </c>
      <c r="AF2142" s="6">
        <v>67</v>
      </c>
      <c r="AG2142" s="6"/>
      <c r="AH2142" s="7">
        <v>1</v>
      </c>
      <c r="AI2142" s="4"/>
      <c r="AJ2142" s="4">
        <f>=ROUNDDOWN({0},0)</f>
      </c>
      <c r="AK2142" s="5"/>
      <c r="AL2142" s="2" t="s">
        <v>228</v>
      </c>
      <c r="AM2142" s="4"/>
      <c r="AN2142" s="4"/>
      <c r="AO2142" s="7"/>
      <c r="AP2142" s="4"/>
      <c r="AQ2142" s="8"/>
      <c r="AR2142" s="4"/>
      <c r="AS2142" s="8"/>
      <c r="AT2142" s="7"/>
      <c r="AU2142" s="7"/>
      <c r="AV2142" s="4" t="s">
        <v>228</v>
      </c>
      <c r="AW2142" s="8" t="s">
        <v>228</v>
      </c>
      <c r="AX2142" s="4" t="s">
        <v>228</v>
      </c>
      <c r="AY2142" s="8" t="s">
        <v>228</v>
      </c>
      <c r="AZ2142" s="7" t="s">
        <v>228</v>
      </c>
      <c r="BA2142" s="7" t="s">
        <v>228</v>
      </c>
      <c r="BB2142" s="7"/>
      <c r="BC2142" s="4" t="s">
        <v>228</v>
      </c>
      <c r="BD2142" s="8" t="s">
        <v>228</v>
      </c>
      <c r="BE2142" s="4" t="s">
        <v>228</v>
      </c>
      <c r="BF2142" s="8" t="s">
        <v>228</v>
      </c>
      <c r="BG2142" s="7" t="s">
        <v>228</v>
      </c>
      <c r="BH2142" s="7" t="s">
        <v>228</v>
      </c>
      <c r="BI2142" s="7"/>
      <c r="BJ2142" s="4">
        <v>24</v>
      </c>
      <c r="BK2142" s="8">
        <v>1564.45</v>
      </c>
      <c r="BL2142" s="2" t="s">
        <v>10159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10160</v>
      </c>
      <c r="BV2142" s="2" t="s">
        <v>228</v>
      </c>
      <c r="BW2142" s="2" t="s">
        <v>228</v>
      </c>
      <c r="BX2142" s="2" t="s">
        <v>273</v>
      </c>
      <c r="BY2142" s="2" t="s">
        <v>274</v>
      </c>
      <c r="BZ2142" s="2" t="s">
        <v>240</v>
      </c>
      <c r="CA2142" s="2" t="s">
        <v>10157</v>
      </c>
      <c r="CB2142" s="2" t="s">
        <v>2643</v>
      </c>
      <c r="CC2142" s="2" t="s">
        <v>241</v>
      </c>
      <c r="CD2142" s="2" t="s">
        <v>228</v>
      </c>
      <c r="CE2142" s="4">
        <v>141</v>
      </c>
      <c r="CF2142" s="4"/>
      <c r="CG2142" s="4"/>
      <c r="CH2142" s="4"/>
      <c r="CI2142" s="4"/>
      <c r="CJ2142" s="4"/>
      <c r="CK2142" s="4"/>
      <c r="CL2142" s="4"/>
      <c r="CM2142" s="4"/>
      <c r="CN2142" s="4"/>
      <c r="CO2142" s="4"/>
      <c r="CP2142" s="4"/>
      <c r="CQ2142" s="4"/>
      <c r="CR2142" s="4"/>
      <c r="CS2142" s="4"/>
      <c r="CT2142" s="4"/>
      <c r="CU2142" s="4"/>
      <c r="CV2142" s="4"/>
      <c r="CW2142" s="4"/>
      <c r="CX2142" s="4"/>
      <c r="CY2142" s="4"/>
      <c r="CZ2142" s="4"/>
      <c r="DA2142" s="4"/>
      <c r="DB2142" s="4"/>
      <c r="DC2142" s="4"/>
      <c r="DD2142" s="4"/>
      <c r="DE2142" s="4"/>
      <c r="DF2142" s="4"/>
      <c r="DG2142" s="4"/>
      <c r="DH2142" s="4"/>
      <c r="DI2142" s="4"/>
      <c r="DJ2142" s="4"/>
      <c r="DK2142" s="4"/>
      <c r="DL2142" s="4"/>
      <c r="DM2142" s="4"/>
      <c r="DN2142" s="4"/>
      <c r="DO2142" s="4"/>
      <c r="DP2142" s="4"/>
      <c r="DQ2142" s="4"/>
      <c r="DR2142" s="4"/>
      <c r="DS2142" s="4"/>
      <c r="DT2142" s="4"/>
      <c r="DU2142" s="4"/>
      <c r="DV2142" s="4"/>
      <c r="DW2142" s="4"/>
      <c r="DX2142" s="4"/>
      <c r="DY2142" s="4"/>
      <c r="DZ2142" s="4"/>
      <c r="EA2142" s="4"/>
      <c r="EB2142" s="4"/>
      <c r="EC2142" s="4"/>
      <c r="ED2142" s="4"/>
      <c r="EE2142" s="4"/>
      <c r="EF2142" s="4"/>
      <c r="EG2142" s="4">
        <v>100</v>
      </c>
      <c r="EH2142" s="4"/>
      <c r="EI2142" s="4"/>
      <c r="EJ2142" s="4"/>
      <c r="EK2142" s="4"/>
      <c r="EL2142" s="4"/>
      <c r="EM2142" s="4"/>
      <c r="EN2142" s="4"/>
      <c r="EO2142" s="4"/>
      <c r="EP2142" s="4"/>
      <c r="EQ2142" s="4"/>
      <c r="ER2142" s="4"/>
      <c r="ES2142" s="4"/>
      <c r="ET2142" s="4"/>
      <c r="EU2142" s="4"/>
      <c r="EV2142" s="4"/>
      <c r="EW2142" s="4"/>
      <c r="EX2142" s="4"/>
      <c r="EY2142" s="4"/>
      <c r="EZ2142" s="4"/>
      <c r="FA2142" s="4"/>
      <c r="FB2142" s="4"/>
      <c r="FC2142" s="4"/>
      <c r="FD2142" s="4"/>
      <c r="FE2142" s="4"/>
      <c r="FF2142" s="4"/>
      <c r="FG2142" s="4"/>
      <c r="FH2142" s="4"/>
      <c r="FI2142" s="4"/>
      <c r="FJ2142" s="4"/>
      <c r="FK2142" s="4"/>
      <c r="FL2142" s="4"/>
      <c r="FM2142" s="4"/>
      <c r="FN2142" s="4"/>
      <c r="FO2142" s="4"/>
      <c r="FP2142" s="4"/>
      <c r="FQ2142" s="4"/>
      <c r="FR2142" s="4"/>
      <c r="FS2142" s="4"/>
      <c r="FT2142" s="4"/>
      <c r="FU2142" s="4"/>
      <c r="FV2142" s="4"/>
      <c r="FW2142" s="4"/>
      <c r="FX2142" s="4"/>
      <c r="FY2142" s="4"/>
      <c r="FZ2142" s="4"/>
      <c r="GA2142" s="4"/>
      <c r="GB2142" s="4"/>
      <c r="GC2142" s="4"/>
      <c r="GD2142" s="4"/>
      <c r="GE2142" s="4"/>
      <c r="GF2142" s="4"/>
      <c r="GG2142" s="4"/>
      <c r="GH2142" s="4"/>
      <c r="GI2142" s="4"/>
      <c r="GJ2142" s="4"/>
      <c r="GK2142" s="4"/>
      <c r="GL2142" s="4"/>
      <c r="GM2142" s="4"/>
      <c r="GN2142" s="4"/>
      <c r="GO2142" s="4"/>
      <c r="GP2142" s="4"/>
      <c r="GQ2142" s="4"/>
      <c r="GR2142" s="4"/>
      <c r="GS2142" s="4">
        <v>150</v>
      </c>
      <c r="GT2142" s="4"/>
      <c r="GU2142" s="4"/>
      <c r="GV2142" s="4"/>
      <c r="GW2142" s="4"/>
      <c r="GX2142" s="4"/>
      <c r="GY2142" s="4"/>
      <c r="GZ2142" s="4"/>
      <c r="HA2142" s="4"/>
      <c r="HB2142" s="4"/>
      <c r="HC2142" s="4"/>
      <c r="HD2142" s="4"/>
      <c r="HE2142" s="4"/>
    </row>
    <row r="2143">
      <c r="A2143" s="2" t="s">
        <v>10161</v>
      </c>
      <c r="B2143" s="2" t="s">
        <v>299</v>
      </c>
      <c r="C2143" s="2" t="s">
        <v>918</v>
      </c>
      <c r="D2143" s="2" t="s">
        <v>301</v>
      </c>
      <c r="E2143" s="2" t="s">
        <v>302</v>
      </c>
      <c r="F2143" s="2" t="s">
        <v>10162</v>
      </c>
      <c r="G2143" s="2" t="s">
        <v>10162</v>
      </c>
      <c r="H2143" s="2" t="s">
        <v>10162</v>
      </c>
      <c r="I2143" s="2" t="s">
        <v>10163</v>
      </c>
      <c r="J2143" s="2" t="s">
        <v>289</v>
      </c>
      <c r="K2143" s="2" t="s">
        <v>249</v>
      </c>
      <c r="L2143" s="3">
        <v>48.28</v>
      </c>
      <c r="M2143" s="3">
        <v>50.69</v>
      </c>
      <c r="N2143" s="3">
        <v>129.99</v>
      </c>
      <c r="O2143" s="2" t="s">
        <v>240</v>
      </c>
      <c r="P2143" s="2" t="s">
        <v>333</v>
      </c>
      <c r="Q2143" s="2" t="s">
        <v>234</v>
      </c>
      <c r="R2143" s="2" t="s">
        <v>228</v>
      </c>
      <c r="S2143" s="2" t="s">
        <v>228</v>
      </c>
      <c r="T2143" s="2" t="s">
        <v>350</v>
      </c>
      <c r="U2143" s="2" t="s">
        <v>228</v>
      </c>
      <c r="V2143" s="2" t="s">
        <v>980</v>
      </c>
      <c r="W2143" s="2" t="s">
        <v>309</v>
      </c>
      <c r="X2143" s="2" t="s">
        <v>228</v>
      </c>
      <c r="Y2143" s="2" t="s">
        <v>2382</v>
      </c>
      <c r="Z2143" s="4">
        <v>227</v>
      </c>
      <c r="AA2143" s="4">
        <f>=ROUNDDOWN(113.5,0)</f>
      </c>
      <c r="AB2143" s="5">
        <v>2</v>
      </c>
      <c r="AC2143" s="2" t="s">
        <v>228</v>
      </c>
      <c r="AD2143" s="4"/>
      <c r="AE2143" s="4"/>
      <c r="AF2143" s="6">
        <v>65</v>
      </c>
      <c r="AG2143" s="6"/>
      <c r="AH2143" s="7">
        <v>1</v>
      </c>
      <c r="AI2143" s="4"/>
      <c r="AJ2143" s="4">
        <f>=ROUNDDOWN({0},0)</f>
      </c>
      <c r="AK2143" s="5"/>
      <c r="AL2143" s="2" t="s">
        <v>228</v>
      </c>
      <c r="AM2143" s="4"/>
      <c r="AN2143" s="4"/>
      <c r="AO2143" s="7"/>
      <c r="AP2143" s="4"/>
      <c r="AQ2143" s="8"/>
      <c r="AR2143" s="4"/>
      <c r="AS2143" s="8"/>
      <c r="AT2143" s="7"/>
      <c r="AU2143" s="7"/>
      <c r="AV2143" s="4" t="s">
        <v>228</v>
      </c>
      <c r="AW2143" s="8" t="s">
        <v>228</v>
      </c>
      <c r="AX2143" s="4" t="s">
        <v>228</v>
      </c>
      <c r="AY2143" s="8" t="s">
        <v>228</v>
      </c>
      <c r="AZ2143" s="7" t="s">
        <v>228</v>
      </c>
      <c r="BA2143" s="7" t="s">
        <v>228</v>
      </c>
      <c r="BB2143" s="7"/>
      <c r="BC2143" s="4" t="s">
        <v>228</v>
      </c>
      <c r="BD2143" s="8" t="s">
        <v>228</v>
      </c>
      <c r="BE2143" s="4" t="s">
        <v>228</v>
      </c>
      <c r="BF2143" s="8" t="s">
        <v>228</v>
      </c>
      <c r="BG2143" s="7" t="s">
        <v>228</v>
      </c>
      <c r="BH2143" s="7" t="s">
        <v>228</v>
      </c>
      <c r="BI2143" s="7"/>
      <c r="BJ2143" s="4">
        <v>8</v>
      </c>
      <c r="BK2143" s="8">
        <v>412.14</v>
      </c>
      <c r="BL2143" s="2" t="s">
        <v>10164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10165</v>
      </c>
      <c r="BV2143" s="2" t="s">
        <v>228</v>
      </c>
      <c r="BW2143" s="2" t="s">
        <v>228</v>
      </c>
      <c r="BX2143" s="2" t="s">
        <v>337</v>
      </c>
      <c r="BY2143" s="2" t="s">
        <v>274</v>
      </c>
      <c r="BZ2143" s="2" t="s">
        <v>240</v>
      </c>
      <c r="CA2143" s="2" t="s">
        <v>5504</v>
      </c>
      <c r="CB2143" s="2" t="s">
        <v>10166</v>
      </c>
      <c r="CC2143" s="2" t="s">
        <v>241</v>
      </c>
      <c r="CD2143" s="2" t="s">
        <v>228</v>
      </c>
      <c r="CE2143" s="4">
        <v>227</v>
      </c>
      <c r="CF2143" s="4"/>
      <c r="CG2143" s="4"/>
      <c r="CH2143" s="4"/>
      <c r="CI2143" s="4"/>
      <c r="CJ2143" s="4"/>
      <c r="CK2143" s="4"/>
      <c r="CL2143" s="4"/>
      <c r="CM2143" s="4"/>
      <c r="CN2143" s="4"/>
      <c r="CO2143" s="4"/>
      <c r="CP2143" s="4"/>
      <c r="CQ2143" s="4"/>
      <c r="CR2143" s="4"/>
      <c r="CS2143" s="4"/>
      <c r="CT2143" s="4"/>
      <c r="CU2143" s="4"/>
      <c r="CV2143" s="4"/>
      <c r="CW2143" s="4"/>
      <c r="CX2143" s="4"/>
      <c r="CY2143" s="4"/>
      <c r="CZ2143" s="4"/>
      <c r="DA2143" s="4"/>
      <c r="DB2143" s="4"/>
      <c r="DC2143" s="4"/>
      <c r="DD2143" s="4"/>
      <c r="DE2143" s="4"/>
      <c r="DF2143" s="4"/>
      <c r="DG2143" s="4"/>
      <c r="DH2143" s="4"/>
      <c r="DI2143" s="4"/>
      <c r="DJ2143" s="4"/>
      <c r="DK2143" s="4"/>
      <c r="DL2143" s="4"/>
      <c r="DM2143" s="4"/>
      <c r="DN2143" s="4"/>
      <c r="DO2143" s="4"/>
      <c r="DP2143" s="4"/>
      <c r="DQ2143" s="4"/>
      <c r="DR2143" s="4"/>
      <c r="DS2143" s="4"/>
      <c r="DT2143" s="4"/>
      <c r="DU2143" s="4"/>
      <c r="DV2143" s="4"/>
      <c r="DW2143" s="4"/>
      <c r="DX2143" s="4"/>
      <c r="DY2143" s="4"/>
      <c r="DZ2143" s="4"/>
      <c r="EA2143" s="4"/>
      <c r="EB2143" s="4"/>
      <c r="EC2143" s="4"/>
      <c r="ED2143" s="4"/>
      <c r="EE2143" s="4"/>
      <c r="EF2143" s="4"/>
      <c r="EG2143" s="4"/>
      <c r="EH2143" s="4"/>
      <c r="EI2143" s="4"/>
      <c r="EJ2143" s="4"/>
      <c r="EK2143" s="4"/>
      <c r="EL2143" s="4"/>
      <c r="EM2143" s="4"/>
      <c r="EN2143" s="4"/>
      <c r="EO2143" s="4"/>
      <c r="EP2143" s="4"/>
      <c r="EQ2143" s="4"/>
      <c r="ER2143" s="4"/>
      <c r="ES2143" s="4"/>
      <c r="ET2143" s="4"/>
      <c r="EU2143" s="4"/>
      <c r="EV2143" s="4"/>
      <c r="EW2143" s="4"/>
      <c r="EX2143" s="4"/>
      <c r="EY2143" s="4"/>
      <c r="EZ2143" s="4"/>
      <c r="FA2143" s="4"/>
      <c r="FB2143" s="4"/>
      <c r="FC2143" s="4"/>
      <c r="FD2143" s="4"/>
      <c r="FE2143" s="4"/>
      <c r="FF2143" s="4"/>
      <c r="FG2143" s="4"/>
      <c r="FH2143" s="4"/>
      <c r="FI2143" s="4"/>
      <c r="FJ2143" s="4"/>
      <c r="FK2143" s="4"/>
      <c r="FL2143" s="4"/>
      <c r="FM2143" s="4"/>
      <c r="FN2143" s="4"/>
      <c r="FO2143" s="4"/>
      <c r="FP2143" s="4"/>
      <c r="FQ2143" s="4"/>
      <c r="FR2143" s="4"/>
      <c r="FS2143" s="4"/>
      <c r="FT2143" s="4"/>
      <c r="FU2143" s="4"/>
      <c r="FV2143" s="4"/>
      <c r="FW2143" s="4"/>
      <c r="FX2143" s="4"/>
      <c r="FY2143" s="4"/>
      <c r="FZ2143" s="4"/>
      <c r="GA2143" s="4"/>
      <c r="GB2143" s="4"/>
      <c r="GC2143" s="4"/>
      <c r="GD2143" s="4"/>
      <c r="GE2143" s="4"/>
      <c r="GF2143" s="4"/>
      <c r="GG2143" s="4"/>
      <c r="GH2143" s="4"/>
      <c r="GI2143" s="4"/>
      <c r="GJ2143" s="4"/>
      <c r="GK2143" s="4"/>
      <c r="GL2143" s="4"/>
      <c r="GM2143" s="4"/>
      <c r="GN2143" s="4"/>
      <c r="GO2143" s="4"/>
      <c r="GP2143" s="4"/>
      <c r="GQ2143" s="4"/>
      <c r="GR2143" s="4"/>
      <c r="GS2143" s="4"/>
      <c r="GT2143" s="4"/>
      <c r="GU2143" s="4"/>
      <c r="GV2143" s="4"/>
      <c r="GW2143" s="4"/>
      <c r="GX2143" s="4"/>
      <c r="GY2143" s="4"/>
      <c r="GZ2143" s="4"/>
      <c r="HA2143" s="4"/>
      <c r="HB2143" s="4"/>
      <c r="HC2143" s="4"/>
      <c r="HD2143" s="4"/>
      <c r="HE2143" s="4"/>
    </row>
    <row r="2144">
      <c r="A2144" s="2" t="s">
        <v>10167</v>
      </c>
      <c r="B2144" s="2" t="s">
        <v>299</v>
      </c>
      <c r="C2144" s="2" t="s">
        <v>918</v>
      </c>
      <c r="D2144" s="2" t="s">
        <v>301</v>
      </c>
      <c r="E2144" s="2" t="s">
        <v>302</v>
      </c>
      <c r="F2144" s="2" t="s">
        <v>10162</v>
      </c>
      <c r="G2144" s="2" t="s">
        <v>10162</v>
      </c>
      <c r="H2144" s="2" t="s">
        <v>10162</v>
      </c>
      <c r="I2144" s="2" t="s">
        <v>10163</v>
      </c>
      <c r="J2144" s="2" t="s">
        <v>294</v>
      </c>
      <c r="K2144" s="2" t="s">
        <v>249</v>
      </c>
      <c r="L2144" s="3">
        <v>55.71</v>
      </c>
      <c r="M2144" s="3">
        <v>58.5</v>
      </c>
      <c r="N2144" s="3">
        <v>149.99</v>
      </c>
      <c r="O2144" s="2" t="s">
        <v>240</v>
      </c>
      <c r="P2144" s="2" t="s">
        <v>333</v>
      </c>
      <c r="Q2144" s="2" t="s">
        <v>234</v>
      </c>
      <c r="R2144" s="2" t="s">
        <v>228</v>
      </c>
      <c r="S2144" s="2" t="s">
        <v>228</v>
      </c>
      <c r="T2144" s="2" t="s">
        <v>350</v>
      </c>
      <c r="U2144" s="2" t="s">
        <v>228</v>
      </c>
      <c r="V2144" s="2" t="s">
        <v>980</v>
      </c>
      <c r="W2144" s="2" t="s">
        <v>309</v>
      </c>
      <c r="X2144" s="2" t="s">
        <v>228</v>
      </c>
      <c r="Y2144" s="2" t="s">
        <v>2382</v>
      </c>
      <c r="Z2144" s="4">
        <v>305</v>
      </c>
      <c r="AA2144" s="4">
        <f>=ROUNDDOWN(305,0)</f>
      </c>
      <c r="AB2144" s="5">
        <v>1</v>
      </c>
      <c r="AC2144" s="2" t="s">
        <v>228</v>
      </c>
      <c r="AD2144" s="4"/>
      <c r="AE2144" s="4"/>
      <c r="AF2144" s="6">
        <v>65</v>
      </c>
      <c r="AG2144" s="6"/>
      <c r="AH2144" s="7">
        <v>1</v>
      </c>
      <c r="AI2144" s="4"/>
      <c r="AJ2144" s="4">
        <f>=ROUNDDOWN({0},0)</f>
      </c>
      <c r="AK2144" s="5"/>
      <c r="AL2144" s="2" t="s">
        <v>228</v>
      </c>
      <c r="AM2144" s="4"/>
      <c r="AN2144" s="4"/>
      <c r="AO2144" s="7"/>
      <c r="AP2144" s="4"/>
      <c r="AQ2144" s="8"/>
      <c r="AR2144" s="4"/>
      <c r="AS2144" s="8"/>
      <c r="AT2144" s="7"/>
      <c r="AU2144" s="7"/>
      <c r="AV2144" s="4" t="s">
        <v>228</v>
      </c>
      <c r="AW2144" s="8" t="s">
        <v>228</v>
      </c>
      <c r="AX2144" s="4" t="s">
        <v>228</v>
      </c>
      <c r="AY2144" s="8" t="s">
        <v>228</v>
      </c>
      <c r="AZ2144" s="7" t="s">
        <v>228</v>
      </c>
      <c r="BA2144" s="7" t="s">
        <v>228</v>
      </c>
      <c r="BB2144" s="7" t="s">
        <v>228</v>
      </c>
      <c r="BC2144" s="4" t="s">
        <v>228</v>
      </c>
      <c r="BD2144" s="8" t="s">
        <v>228</v>
      </c>
      <c r="BE2144" s="4" t="s">
        <v>228</v>
      </c>
      <c r="BF2144" s="8" t="s">
        <v>228</v>
      </c>
      <c r="BG2144" s="7" t="s">
        <v>228</v>
      </c>
      <c r="BH2144" s="7" t="s">
        <v>228</v>
      </c>
      <c r="BI2144" s="7"/>
      <c r="BJ2144" s="4">
        <v>7</v>
      </c>
      <c r="BK2144" s="8">
        <v>456.83</v>
      </c>
      <c r="BL2144" s="2" t="s">
        <v>10168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10169</v>
      </c>
      <c r="BV2144" s="2" t="s">
        <v>228</v>
      </c>
      <c r="BW2144" s="2" t="s">
        <v>228</v>
      </c>
      <c r="BX2144" s="2" t="s">
        <v>337</v>
      </c>
      <c r="BY2144" s="2" t="s">
        <v>274</v>
      </c>
      <c r="BZ2144" s="2" t="s">
        <v>240</v>
      </c>
      <c r="CA2144" s="2" t="s">
        <v>5504</v>
      </c>
      <c r="CB2144" s="2" t="s">
        <v>2428</v>
      </c>
      <c r="CC2144" s="2" t="s">
        <v>241</v>
      </c>
      <c r="CD2144" s="2" t="s">
        <v>228</v>
      </c>
      <c r="CE2144" s="4">
        <v>302</v>
      </c>
      <c r="CF2144" s="4">
        <v>3</v>
      </c>
      <c r="CG2144" s="4"/>
      <c r="CH2144" s="4"/>
      <c r="CI2144" s="4"/>
      <c r="CJ2144" s="4"/>
      <c r="CK2144" s="4"/>
      <c r="CL2144" s="4"/>
      <c r="CM2144" s="4"/>
      <c r="CN2144" s="4"/>
      <c r="CO2144" s="4"/>
      <c r="CP2144" s="4"/>
      <c r="CQ2144" s="4"/>
      <c r="CR2144" s="4"/>
      <c r="CS2144" s="4"/>
      <c r="CT2144" s="4"/>
      <c r="CU2144" s="4"/>
      <c r="CV2144" s="4"/>
      <c r="CW2144" s="4"/>
      <c r="CX2144" s="4"/>
      <c r="CY2144" s="4"/>
      <c r="CZ2144" s="4"/>
      <c r="DA2144" s="4"/>
      <c r="DB2144" s="4"/>
      <c r="DC2144" s="4"/>
      <c r="DD2144" s="4"/>
      <c r="DE2144" s="4"/>
      <c r="DF2144" s="4"/>
      <c r="DG2144" s="4"/>
      <c r="DH2144" s="4"/>
      <c r="DI2144" s="4"/>
      <c r="DJ2144" s="4"/>
      <c r="DK2144" s="4"/>
      <c r="DL2144" s="4"/>
      <c r="DM2144" s="4"/>
      <c r="DN2144" s="4"/>
      <c r="DO2144" s="4"/>
      <c r="DP2144" s="4"/>
      <c r="DQ2144" s="4"/>
      <c r="DR2144" s="4"/>
      <c r="DS2144" s="4"/>
      <c r="DT2144" s="4"/>
      <c r="DU2144" s="4"/>
      <c r="DV2144" s="4"/>
      <c r="DW2144" s="4"/>
      <c r="DX2144" s="4"/>
      <c r="DY2144" s="4"/>
      <c r="DZ2144" s="4"/>
      <c r="EA2144" s="4"/>
      <c r="EB2144" s="4"/>
      <c r="EC2144" s="4"/>
      <c r="ED2144" s="4"/>
      <c r="EE2144" s="4"/>
      <c r="EF2144" s="4"/>
      <c r="EG2144" s="4"/>
      <c r="EH2144" s="4"/>
      <c r="EI2144" s="4"/>
      <c r="EJ2144" s="4"/>
      <c r="EK2144" s="4"/>
      <c r="EL2144" s="4"/>
      <c r="EM2144" s="4"/>
      <c r="EN2144" s="4"/>
      <c r="EO2144" s="4"/>
      <c r="EP2144" s="4"/>
      <c r="EQ2144" s="4"/>
      <c r="ER2144" s="4"/>
      <c r="ES2144" s="4"/>
      <c r="ET2144" s="4"/>
      <c r="EU2144" s="4"/>
      <c r="EV2144" s="4"/>
      <c r="EW2144" s="4"/>
      <c r="EX2144" s="4"/>
      <c r="EY2144" s="4"/>
      <c r="EZ2144" s="4"/>
      <c r="FA2144" s="4"/>
      <c r="FB2144" s="4"/>
      <c r="FC2144" s="4"/>
      <c r="FD2144" s="4"/>
      <c r="FE2144" s="4"/>
      <c r="FF2144" s="4"/>
      <c r="FG2144" s="4"/>
      <c r="FH2144" s="4"/>
      <c r="FI2144" s="4"/>
      <c r="FJ2144" s="4"/>
      <c r="FK2144" s="4"/>
      <c r="FL2144" s="4"/>
      <c r="FM2144" s="4"/>
      <c r="FN2144" s="4"/>
      <c r="FO2144" s="4"/>
      <c r="FP2144" s="4"/>
      <c r="FQ2144" s="4"/>
      <c r="FR2144" s="4"/>
      <c r="FS2144" s="4"/>
      <c r="FT2144" s="4"/>
      <c r="FU2144" s="4"/>
      <c r="FV2144" s="4"/>
      <c r="FW2144" s="4"/>
      <c r="FX2144" s="4"/>
      <c r="FY2144" s="4"/>
      <c r="FZ2144" s="4"/>
      <c r="GA2144" s="4"/>
      <c r="GB2144" s="4"/>
      <c r="GC2144" s="4"/>
      <c r="GD2144" s="4"/>
      <c r="GE2144" s="4"/>
      <c r="GF2144" s="4"/>
      <c r="GG2144" s="4"/>
      <c r="GH2144" s="4"/>
      <c r="GI2144" s="4"/>
      <c r="GJ2144" s="4"/>
      <c r="GK2144" s="4"/>
      <c r="GL2144" s="4"/>
      <c r="GM2144" s="4"/>
      <c r="GN2144" s="4"/>
      <c r="GO2144" s="4"/>
      <c r="GP2144" s="4"/>
      <c r="GQ2144" s="4"/>
      <c r="GR2144" s="4"/>
      <c r="GS2144" s="4"/>
      <c r="GT2144" s="4"/>
      <c r="GU2144" s="4"/>
      <c r="GV2144" s="4"/>
      <c r="GW2144" s="4"/>
      <c r="GX2144" s="4"/>
      <c r="GY2144" s="4"/>
      <c r="GZ2144" s="4"/>
      <c r="HA2144" s="4"/>
      <c r="HB2144" s="4"/>
      <c r="HC2144" s="4"/>
      <c r="HD2144" s="4"/>
      <c r="HE2144" s="4"/>
    </row>
    <row r="2145">
      <c r="A2145" s="2" t="s">
        <v>10170</v>
      </c>
      <c r="B2145" s="2" t="s">
        <v>299</v>
      </c>
      <c r="C2145" s="2" t="s">
        <v>918</v>
      </c>
      <c r="D2145" s="2" t="s">
        <v>301</v>
      </c>
      <c r="E2145" s="2" t="s">
        <v>302</v>
      </c>
      <c r="F2145" s="2" t="s">
        <v>10162</v>
      </c>
      <c r="G2145" s="2" t="s">
        <v>10162</v>
      </c>
      <c r="H2145" s="2" t="s">
        <v>10162</v>
      </c>
      <c r="I2145" s="2" t="s">
        <v>10171</v>
      </c>
      <c r="J2145" s="2" t="s">
        <v>294</v>
      </c>
      <c r="K2145" s="2" t="s">
        <v>249</v>
      </c>
      <c r="L2145" s="3">
        <v>18.57</v>
      </c>
      <c r="M2145" s="3">
        <v>19.5</v>
      </c>
      <c r="N2145" s="3">
        <v>49.99</v>
      </c>
      <c r="O2145" s="2" t="s">
        <v>240</v>
      </c>
      <c r="P2145" s="2" t="s">
        <v>333</v>
      </c>
      <c r="Q2145" s="2" t="s">
        <v>234</v>
      </c>
      <c r="R2145" s="2" t="s">
        <v>228</v>
      </c>
      <c r="S2145" s="2" t="s">
        <v>228</v>
      </c>
      <c r="T2145" s="2" t="s">
        <v>350</v>
      </c>
      <c r="U2145" s="2" t="s">
        <v>228</v>
      </c>
      <c r="V2145" s="2" t="s">
        <v>980</v>
      </c>
      <c r="W2145" s="2" t="s">
        <v>309</v>
      </c>
      <c r="X2145" s="2" t="s">
        <v>228</v>
      </c>
      <c r="Y2145" s="2" t="s">
        <v>2382</v>
      </c>
      <c r="Z2145" s="4">
        <v>19</v>
      </c>
      <c r="AA2145" s="4">
        <f>=ROUNDDOWN(19,0)</f>
      </c>
      <c r="AB2145" s="5">
        <v>1</v>
      </c>
      <c r="AC2145" s="2" t="s">
        <v>228</v>
      </c>
      <c r="AD2145" s="4"/>
      <c r="AE2145" s="4"/>
      <c r="AF2145" s="6">
        <v>65</v>
      </c>
      <c r="AG2145" s="6"/>
      <c r="AH2145" s="7">
        <v>1</v>
      </c>
      <c r="AI2145" s="4"/>
      <c r="AJ2145" s="4">
        <f>=ROUNDDOWN({0},0)</f>
      </c>
      <c r="AK2145" s="5"/>
      <c r="AL2145" s="2" t="s">
        <v>228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 t="s">
        <v>228</v>
      </c>
      <c r="AW2145" s="8" t="s">
        <v>228</v>
      </c>
      <c r="AX2145" s="4" t="s">
        <v>228</v>
      </c>
      <c r="AY2145" s="8" t="s">
        <v>228</v>
      </c>
      <c r="AZ2145" s="7" t="s">
        <v>228</v>
      </c>
      <c r="BA2145" s="7" t="s">
        <v>228</v>
      </c>
      <c r="BB2145" s="7" t="s">
        <v>228</v>
      </c>
      <c r="BC2145" s="4" t="s">
        <v>228</v>
      </c>
      <c r="BD2145" s="8" t="s">
        <v>228</v>
      </c>
      <c r="BE2145" s="4" t="s">
        <v>228</v>
      </c>
      <c r="BF2145" s="8" t="s">
        <v>228</v>
      </c>
      <c r="BG2145" s="7" t="s">
        <v>228</v>
      </c>
      <c r="BH2145" s="7" t="s">
        <v>228</v>
      </c>
      <c r="BI2145" s="7"/>
      <c r="BJ2145" s="4"/>
      <c r="BK2145" s="8"/>
      <c r="BL2145" s="2" t="s">
        <v>2986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10172</v>
      </c>
      <c r="BV2145" s="2" t="s">
        <v>228</v>
      </c>
      <c r="BW2145" s="2" t="s">
        <v>228</v>
      </c>
      <c r="BX2145" s="2" t="s">
        <v>337</v>
      </c>
      <c r="BY2145" s="2" t="s">
        <v>274</v>
      </c>
      <c r="BZ2145" s="2" t="s">
        <v>240</v>
      </c>
      <c r="CA2145" s="2" t="s">
        <v>5504</v>
      </c>
      <c r="CB2145" s="2" t="s">
        <v>10173</v>
      </c>
      <c r="CC2145" s="2" t="s">
        <v>241</v>
      </c>
      <c r="CD2145" s="2" t="s">
        <v>228</v>
      </c>
      <c r="CE2145" s="4">
        <v>19</v>
      </c>
      <c r="CF2145" s="4"/>
      <c r="CG2145" s="4"/>
      <c r="CH2145" s="4"/>
      <c r="CI2145" s="4"/>
      <c r="CJ2145" s="4"/>
      <c r="CK2145" s="4"/>
      <c r="CL2145" s="4"/>
      <c r="CM2145" s="4"/>
      <c r="CN2145" s="4"/>
      <c r="CO2145" s="4"/>
      <c r="CP2145" s="4"/>
      <c r="CQ2145" s="4"/>
      <c r="CR2145" s="4"/>
      <c r="CS2145" s="4"/>
      <c r="CT2145" s="4"/>
      <c r="CU2145" s="4"/>
      <c r="CV2145" s="4"/>
      <c r="CW2145" s="4"/>
      <c r="CX2145" s="4"/>
      <c r="CY2145" s="4"/>
      <c r="CZ2145" s="4"/>
      <c r="DA2145" s="4"/>
      <c r="DB2145" s="4"/>
      <c r="DC2145" s="4"/>
      <c r="DD2145" s="4"/>
      <c r="DE2145" s="4"/>
      <c r="DF2145" s="4"/>
      <c r="DG2145" s="4"/>
      <c r="DH2145" s="4"/>
      <c r="DI2145" s="4"/>
      <c r="DJ2145" s="4"/>
      <c r="DK2145" s="4"/>
      <c r="DL2145" s="4"/>
      <c r="DM2145" s="4"/>
      <c r="DN2145" s="4"/>
      <c r="DO2145" s="4"/>
      <c r="DP2145" s="4"/>
      <c r="DQ2145" s="4"/>
      <c r="DR2145" s="4"/>
      <c r="DS2145" s="4"/>
      <c r="DT2145" s="4"/>
      <c r="DU2145" s="4"/>
      <c r="DV2145" s="4"/>
      <c r="DW2145" s="4"/>
      <c r="DX2145" s="4"/>
      <c r="DY2145" s="4"/>
      <c r="DZ2145" s="4"/>
      <c r="EA2145" s="4"/>
      <c r="EB2145" s="4"/>
      <c r="EC2145" s="4"/>
      <c r="ED2145" s="4"/>
      <c r="EE2145" s="4"/>
      <c r="EF2145" s="4"/>
      <c r="EG2145" s="4"/>
      <c r="EH2145" s="4"/>
      <c r="EI2145" s="4"/>
      <c r="EJ2145" s="4"/>
      <c r="EK2145" s="4"/>
      <c r="EL2145" s="4"/>
      <c r="EM2145" s="4"/>
      <c r="EN2145" s="4"/>
      <c r="EO2145" s="4"/>
      <c r="EP2145" s="4"/>
      <c r="EQ2145" s="4"/>
      <c r="ER2145" s="4"/>
      <c r="ES2145" s="4"/>
      <c r="ET2145" s="4"/>
      <c r="EU2145" s="4"/>
      <c r="EV2145" s="4"/>
      <c r="EW2145" s="4"/>
      <c r="EX2145" s="4"/>
      <c r="EY2145" s="4"/>
      <c r="EZ2145" s="4"/>
      <c r="FA2145" s="4"/>
      <c r="FB2145" s="4"/>
      <c r="FC2145" s="4"/>
      <c r="FD2145" s="4"/>
      <c r="FE2145" s="4"/>
      <c r="FF2145" s="4"/>
      <c r="FG2145" s="4"/>
      <c r="FH2145" s="4"/>
      <c r="FI2145" s="4"/>
      <c r="FJ2145" s="4"/>
      <c r="FK2145" s="4"/>
      <c r="FL2145" s="4"/>
      <c r="FM2145" s="4"/>
      <c r="FN2145" s="4"/>
      <c r="FO2145" s="4"/>
      <c r="FP2145" s="4"/>
      <c r="FQ2145" s="4"/>
      <c r="FR2145" s="4"/>
      <c r="FS2145" s="4"/>
      <c r="FT2145" s="4"/>
      <c r="FU2145" s="4"/>
      <c r="FV2145" s="4"/>
      <c r="FW2145" s="4"/>
      <c r="FX2145" s="4"/>
      <c r="FY2145" s="4"/>
      <c r="FZ2145" s="4"/>
      <c r="GA2145" s="4"/>
      <c r="GB2145" s="4"/>
      <c r="GC2145" s="4"/>
      <c r="GD2145" s="4"/>
      <c r="GE2145" s="4"/>
      <c r="GF2145" s="4"/>
      <c r="GG2145" s="4"/>
      <c r="GH2145" s="4"/>
      <c r="GI2145" s="4"/>
      <c r="GJ2145" s="4"/>
      <c r="GK2145" s="4"/>
      <c r="GL2145" s="4"/>
      <c r="GM2145" s="4"/>
      <c r="GN2145" s="4"/>
      <c r="GO2145" s="4"/>
      <c r="GP2145" s="4"/>
      <c r="GQ2145" s="4"/>
      <c r="GR2145" s="4"/>
      <c r="GS2145" s="4"/>
      <c r="GT2145" s="4"/>
      <c r="GU2145" s="4"/>
      <c r="GV2145" s="4"/>
      <c r="GW2145" s="4"/>
      <c r="GX2145" s="4"/>
      <c r="GY2145" s="4"/>
      <c r="GZ2145" s="4"/>
      <c r="HA2145" s="4"/>
      <c r="HB2145" s="4"/>
      <c r="HC2145" s="4"/>
      <c r="HD2145" s="4"/>
      <c r="HE2145" s="4"/>
    </row>
    <row r="2146">
      <c r="A2146" s="2" t="s">
        <v>10174</v>
      </c>
      <c r="B2146" s="2" t="s">
        <v>299</v>
      </c>
      <c r="C2146" s="2" t="s">
        <v>918</v>
      </c>
      <c r="D2146" s="2" t="s">
        <v>301</v>
      </c>
      <c r="E2146" s="2" t="s">
        <v>302</v>
      </c>
      <c r="F2146" s="2" t="s">
        <v>10162</v>
      </c>
      <c r="G2146" s="2" t="s">
        <v>10162</v>
      </c>
      <c r="H2146" s="2" t="s">
        <v>10162</v>
      </c>
      <c r="I2146" s="2" t="s">
        <v>10163</v>
      </c>
      <c r="J2146" s="2" t="s">
        <v>312</v>
      </c>
      <c r="K2146" s="2" t="s">
        <v>249</v>
      </c>
      <c r="L2146" s="3">
        <v>55.71</v>
      </c>
      <c r="M2146" s="3">
        <v>58.5</v>
      </c>
      <c r="N2146" s="3">
        <v>149.99</v>
      </c>
      <c r="O2146" s="2" t="s">
        <v>240</v>
      </c>
      <c r="P2146" s="2" t="s">
        <v>333</v>
      </c>
      <c r="Q2146" s="2" t="s">
        <v>234</v>
      </c>
      <c r="R2146" s="2" t="s">
        <v>228</v>
      </c>
      <c r="S2146" s="2" t="s">
        <v>228</v>
      </c>
      <c r="T2146" s="2" t="s">
        <v>350</v>
      </c>
      <c r="U2146" s="2" t="s">
        <v>228</v>
      </c>
      <c r="V2146" s="2" t="s">
        <v>980</v>
      </c>
      <c r="W2146" s="2" t="s">
        <v>309</v>
      </c>
      <c r="X2146" s="2" t="s">
        <v>228</v>
      </c>
      <c r="Y2146" s="2" t="s">
        <v>3551</v>
      </c>
      <c r="Z2146" s="4">
        <v>79</v>
      </c>
      <c r="AA2146" s="4">
        <f>=ROUNDDOWN(79,0)</f>
      </c>
      <c r="AB2146" s="5">
        <v>1</v>
      </c>
      <c r="AC2146" s="2" t="s">
        <v>228</v>
      </c>
      <c r="AD2146" s="4"/>
      <c r="AE2146" s="4"/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228</v>
      </c>
      <c r="AM2146" s="4"/>
      <c r="AN2146" s="4"/>
      <c r="AO2146" s="7"/>
      <c r="AP2146" s="4"/>
      <c r="AQ2146" s="8"/>
      <c r="AR2146" s="4"/>
      <c r="AS2146" s="8"/>
      <c r="AT2146" s="7"/>
      <c r="AU2146" s="7"/>
      <c r="AV2146" s="4" t="s">
        <v>228</v>
      </c>
      <c r="AW2146" s="8" t="s">
        <v>228</v>
      </c>
      <c r="AX2146" s="4" t="s">
        <v>228</v>
      </c>
      <c r="AY2146" s="8" t="s">
        <v>228</v>
      </c>
      <c r="AZ2146" s="7" t="s">
        <v>228</v>
      </c>
      <c r="BA2146" s="7" t="s">
        <v>228</v>
      </c>
      <c r="BB2146" s="7"/>
      <c r="BC2146" s="4" t="s">
        <v>228</v>
      </c>
      <c r="BD2146" s="8" t="s">
        <v>228</v>
      </c>
      <c r="BE2146" s="4" t="s">
        <v>228</v>
      </c>
      <c r="BF2146" s="8" t="s">
        <v>228</v>
      </c>
      <c r="BG2146" s="7" t="s">
        <v>228</v>
      </c>
      <c r="BH2146" s="7" t="s">
        <v>228</v>
      </c>
      <c r="BI2146" s="7"/>
      <c r="BJ2146" s="4">
        <v>2</v>
      </c>
      <c r="BK2146" s="8">
        <v>122.84</v>
      </c>
      <c r="BL2146" s="2" t="s">
        <v>708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10175</v>
      </c>
      <c r="BV2146" s="2" t="s">
        <v>228</v>
      </c>
      <c r="BW2146" s="2" t="s">
        <v>228</v>
      </c>
      <c r="BX2146" s="2" t="s">
        <v>337</v>
      </c>
      <c r="BY2146" s="2" t="s">
        <v>274</v>
      </c>
      <c r="BZ2146" s="2" t="s">
        <v>240</v>
      </c>
      <c r="CA2146" s="2" t="s">
        <v>5504</v>
      </c>
      <c r="CB2146" s="2" t="s">
        <v>8138</v>
      </c>
      <c r="CC2146" s="2" t="s">
        <v>241</v>
      </c>
      <c r="CD2146" s="2" t="s">
        <v>228</v>
      </c>
      <c r="CE2146" s="4">
        <v>79</v>
      </c>
      <c r="CF2146" s="4"/>
      <c r="CG2146" s="4"/>
      <c r="CH2146" s="4"/>
      <c r="CI2146" s="4"/>
      <c r="CJ2146" s="4"/>
      <c r="CK2146" s="4"/>
      <c r="CL2146" s="4"/>
      <c r="CM2146" s="4"/>
      <c r="CN2146" s="4"/>
      <c r="CO2146" s="4"/>
      <c r="CP2146" s="4"/>
      <c r="CQ2146" s="4"/>
      <c r="CR2146" s="4"/>
      <c r="CS2146" s="4"/>
      <c r="CT2146" s="4"/>
      <c r="CU2146" s="4"/>
      <c r="CV2146" s="4"/>
      <c r="CW2146" s="4"/>
      <c r="CX2146" s="4"/>
      <c r="CY2146" s="4"/>
      <c r="CZ2146" s="4"/>
      <c r="DA2146" s="4"/>
      <c r="DB2146" s="4"/>
      <c r="DC2146" s="4"/>
      <c r="DD2146" s="4"/>
      <c r="DE2146" s="4"/>
      <c r="DF2146" s="4"/>
      <c r="DG2146" s="4"/>
      <c r="DH2146" s="4"/>
      <c r="DI2146" s="4"/>
      <c r="DJ2146" s="4"/>
      <c r="DK2146" s="4"/>
      <c r="DL2146" s="4"/>
      <c r="DM2146" s="4"/>
      <c r="DN2146" s="4"/>
      <c r="DO2146" s="4"/>
      <c r="DP2146" s="4"/>
      <c r="DQ2146" s="4"/>
      <c r="DR2146" s="4"/>
      <c r="DS2146" s="4"/>
      <c r="DT2146" s="4"/>
      <c r="DU2146" s="4"/>
      <c r="DV2146" s="4"/>
      <c r="DW2146" s="4"/>
      <c r="DX2146" s="4"/>
      <c r="DY2146" s="4"/>
      <c r="DZ2146" s="4"/>
      <c r="EA2146" s="4"/>
      <c r="EB2146" s="4"/>
      <c r="EC2146" s="4"/>
      <c r="ED2146" s="4"/>
      <c r="EE2146" s="4"/>
      <c r="EF2146" s="4"/>
      <c r="EG2146" s="4"/>
      <c r="EH2146" s="4"/>
      <c r="EI2146" s="4"/>
      <c r="EJ2146" s="4"/>
      <c r="EK2146" s="4"/>
      <c r="EL2146" s="4"/>
      <c r="EM2146" s="4"/>
      <c r="EN2146" s="4"/>
      <c r="EO2146" s="4"/>
      <c r="EP2146" s="4"/>
      <c r="EQ2146" s="4"/>
      <c r="ER2146" s="4"/>
      <c r="ES2146" s="4"/>
      <c r="ET2146" s="4"/>
      <c r="EU2146" s="4"/>
      <c r="EV2146" s="4"/>
      <c r="EW2146" s="4"/>
      <c r="EX2146" s="4"/>
      <c r="EY2146" s="4"/>
      <c r="EZ2146" s="4"/>
      <c r="FA2146" s="4"/>
      <c r="FB2146" s="4"/>
      <c r="FC2146" s="4"/>
      <c r="FD2146" s="4"/>
      <c r="FE2146" s="4"/>
      <c r="FF2146" s="4"/>
      <c r="FG2146" s="4"/>
      <c r="FH2146" s="4"/>
      <c r="FI2146" s="4"/>
      <c r="FJ2146" s="4"/>
      <c r="FK2146" s="4"/>
      <c r="FL2146" s="4"/>
      <c r="FM2146" s="4"/>
      <c r="FN2146" s="4"/>
      <c r="FO2146" s="4"/>
      <c r="FP2146" s="4"/>
      <c r="FQ2146" s="4"/>
      <c r="FR2146" s="4"/>
      <c r="FS2146" s="4"/>
      <c r="FT2146" s="4"/>
      <c r="FU2146" s="4"/>
      <c r="FV2146" s="4"/>
      <c r="FW2146" s="4"/>
      <c r="FX2146" s="4"/>
      <c r="FY2146" s="4"/>
      <c r="FZ2146" s="4"/>
      <c r="GA2146" s="4"/>
      <c r="GB2146" s="4"/>
      <c r="GC2146" s="4"/>
      <c r="GD2146" s="4"/>
      <c r="GE2146" s="4"/>
      <c r="GF2146" s="4"/>
      <c r="GG2146" s="4"/>
      <c r="GH2146" s="4"/>
      <c r="GI2146" s="4"/>
      <c r="GJ2146" s="4"/>
      <c r="GK2146" s="4"/>
      <c r="GL2146" s="4"/>
      <c r="GM2146" s="4"/>
      <c r="GN2146" s="4"/>
      <c r="GO2146" s="4"/>
      <c r="GP2146" s="4"/>
      <c r="GQ2146" s="4"/>
      <c r="GR2146" s="4"/>
      <c r="GS2146" s="4"/>
      <c r="GT2146" s="4"/>
      <c r="GU2146" s="4"/>
      <c r="GV2146" s="4"/>
      <c r="GW2146" s="4"/>
      <c r="GX2146" s="4"/>
      <c r="GY2146" s="4"/>
      <c r="GZ2146" s="4"/>
      <c r="HA2146" s="4"/>
      <c r="HB2146" s="4"/>
      <c r="HC2146" s="4"/>
      <c r="HD2146" s="4"/>
      <c r="HE2146" s="4"/>
    </row>
    <row r="2147">
      <c r="A2147" s="2" t="s">
        <v>10176</v>
      </c>
      <c r="B2147" s="2" t="s">
        <v>299</v>
      </c>
      <c r="C2147" s="2" t="s">
        <v>918</v>
      </c>
      <c r="D2147" s="2" t="s">
        <v>301</v>
      </c>
      <c r="E2147" s="2" t="s">
        <v>302</v>
      </c>
      <c r="F2147" s="2" t="s">
        <v>10162</v>
      </c>
      <c r="G2147" s="2" t="s">
        <v>10162</v>
      </c>
      <c r="H2147" s="2" t="s">
        <v>10162</v>
      </c>
      <c r="I2147" s="2" t="s">
        <v>10171</v>
      </c>
      <c r="J2147" s="2" t="s">
        <v>7551</v>
      </c>
      <c r="K2147" s="2" t="s">
        <v>249</v>
      </c>
      <c r="L2147" s="3">
        <v>14.85</v>
      </c>
      <c r="M2147" s="3">
        <v>15.59</v>
      </c>
      <c r="N2147" s="3">
        <v>39.99</v>
      </c>
      <c r="O2147" s="2" t="s">
        <v>240</v>
      </c>
      <c r="P2147" s="2" t="s">
        <v>333</v>
      </c>
      <c r="Q2147" s="2" t="s">
        <v>234</v>
      </c>
      <c r="R2147" s="2" t="s">
        <v>228</v>
      </c>
      <c r="S2147" s="2" t="s">
        <v>228</v>
      </c>
      <c r="T2147" s="2" t="s">
        <v>350</v>
      </c>
      <c r="U2147" s="2" t="s">
        <v>228</v>
      </c>
      <c r="V2147" s="2" t="s">
        <v>980</v>
      </c>
      <c r="W2147" s="2" t="s">
        <v>309</v>
      </c>
      <c r="X2147" s="2" t="s">
        <v>228</v>
      </c>
      <c r="Y2147" s="2" t="s">
        <v>2382</v>
      </c>
      <c r="Z2147" s="4">
        <v>7</v>
      </c>
      <c r="AA2147" s="4">
        <f>=ROUNDDOWN(7,0)</f>
      </c>
      <c r="AB2147" s="5">
        <v>1</v>
      </c>
      <c r="AC2147" s="2" t="s">
        <v>228</v>
      </c>
      <c r="AD2147" s="4"/>
      <c r="AE2147" s="4"/>
      <c r="AF2147" s="6">
        <v>65</v>
      </c>
      <c r="AG2147" s="6"/>
      <c r="AH2147" s="7">
        <v>1</v>
      </c>
      <c r="AI2147" s="4"/>
      <c r="AJ2147" s="4">
        <f>=ROUNDDOWN({0},0)</f>
      </c>
      <c r="AK2147" s="5"/>
      <c r="AL2147" s="2" t="s">
        <v>228</v>
      </c>
      <c r="AM2147" s="4"/>
      <c r="AN2147" s="4"/>
      <c r="AO2147" s="7"/>
      <c r="AP2147" s="4"/>
      <c r="AQ2147" s="8"/>
      <c r="AR2147" s="4"/>
      <c r="AS2147" s="8"/>
      <c r="AT2147" s="7"/>
      <c r="AU2147" s="7"/>
      <c r="AV2147" s="4" t="s">
        <v>228</v>
      </c>
      <c r="AW2147" s="8" t="s">
        <v>228</v>
      </c>
      <c r="AX2147" s="4" t="s">
        <v>228</v>
      </c>
      <c r="AY2147" s="8" t="s">
        <v>228</v>
      </c>
      <c r="AZ2147" s="7" t="s">
        <v>228</v>
      </c>
      <c r="BA2147" s="7" t="s">
        <v>228</v>
      </c>
      <c r="BB2147" s="7"/>
      <c r="BC2147" s="4" t="s">
        <v>228</v>
      </c>
      <c r="BD2147" s="8" t="s">
        <v>228</v>
      </c>
      <c r="BE2147" s="4" t="s">
        <v>228</v>
      </c>
      <c r="BF2147" s="8" t="s">
        <v>228</v>
      </c>
      <c r="BG2147" s="7" t="s">
        <v>228</v>
      </c>
      <c r="BH2147" s="7" t="s">
        <v>228</v>
      </c>
      <c r="BI2147" s="7"/>
      <c r="BJ2147" s="4"/>
      <c r="BK2147" s="8"/>
      <c r="BL2147" s="2" t="s">
        <v>2986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10177</v>
      </c>
      <c r="BV2147" s="2" t="s">
        <v>228</v>
      </c>
      <c r="BW2147" s="2" t="s">
        <v>228</v>
      </c>
      <c r="BX2147" s="2" t="s">
        <v>337</v>
      </c>
      <c r="BY2147" s="2" t="s">
        <v>274</v>
      </c>
      <c r="BZ2147" s="2" t="s">
        <v>240</v>
      </c>
      <c r="CA2147" s="2" t="s">
        <v>5504</v>
      </c>
      <c r="CB2147" s="2" t="s">
        <v>7007</v>
      </c>
      <c r="CC2147" s="2" t="s">
        <v>241</v>
      </c>
      <c r="CD2147" s="2" t="s">
        <v>228</v>
      </c>
      <c r="CE2147" s="4">
        <v>7</v>
      </c>
      <c r="CF2147" s="4"/>
      <c r="CG2147" s="4"/>
      <c r="CH2147" s="4"/>
      <c r="CI2147" s="4"/>
      <c r="CJ2147" s="4"/>
      <c r="CK2147" s="4"/>
      <c r="CL2147" s="4"/>
      <c r="CM2147" s="4"/>
      <c r="CN2147" s="4"/>
      <c r="CO2147" s="4"/>
      <c r="CP2147" s="4"/>
      <c r="CQ2147" s="4"/>
      <c r="CR2147" s="4"/>
      <c r="CS2147" s="4"/>
      <c r="CT2147" s="4"/>
      <c r="CU2147" s="4"/>
      <c r="CV2147" s="4"/>
      <c r="CW2147" s="4"/>
      <c r="CX2147" s="4"/>
      <c r="CY2147" s="4"/>
      <c r="CZ2147" s="4"/>
      <c r="DA2147" s="4"/>
      <c r="DB2147" s="4"/>
      <c r="DC2147" s="4"/>
      <c r="DD2147" s="4"/>
      <c r="DE2147" s="4"/>
      <c r="DF2147" s="4"/>
      <c r="DG2147" s="4"/>
      <c r="DH2147" s="4"/>
      <c r="DI2147" s="4"/>
      <c r="DJ2147" s="4"/>
      <c r="DK2147" s="4"/>
      <c r="DL2147" s="4"/>
      <c r="DM2147" s="4"/>
      <c r="DN2147" s="4"/>
      <c r="DO2147" s="4"/>
      <c r="DP2147" s="4"/>
      <c r="DQ2147" s="4"/>
      <c r="DR2147" s="4"/>
      <c r="DS2147" s="4"/>
      <c r="DT2147" s="4"/>
      <c r="DU2147" s="4"/>
      <c r="DV2147" s="4"/>
      <c r="DW2147" s="4"/>
      <c r="DX2147" s="4"/>
      <c r="DY2147" s="4"/>
      <c r="DZ2147" s="4"/>
      <c r="EA2147" s="4"/>
      <c r="EB2147" s="4"/>
      <c r="EC2147" s="4"/>
      <c r="ED2147" s="4"/>
      <c r="EE2147" s="4"/>
      <c r="EF2147" s="4"/>
      <c r="EG2147" s="4"/>
      <c r="EH2147" s="4"/>
      <c r="EI2147" s="4"/>
      <c r="EJ2147" s="4"/>
      <c r="EK2147" s="4"/>
      <c r="EL2147" s="4"/>
      <c r="EM2147" s="4"/>
      <c r="EN2147" s="4"/>
      <c r="EO2147" s="4"/>
      <c r="EP2147" s="4"/>
      <c r="EQ2147" s="4"/>
      <c r="ER2147" s="4"/>
      <c r="ES2147" s="4"/>
      <c r="ET2147" s="4"/>
      <c r="EU2147" s="4"/>
      <c r="EV2147" s="4"/>
      <c r="EW2147" s="4"/>
      <c r="EX2147" s="4"/>
      <c r="EY2147" s="4"/>
      <c r="EZ2147" s="4"/>
      <c r="FA2147" s="4"/>
      <c r="FB2147" s="4"/>
      <c r="FC2147" s="4"/>
      <c r="FD2147" s="4"/>
      <c r="FE2147" s="4"/>
      <c r="FF2147" s="4"/>
      <c r="FG2147" s="4"/>
      <c r="FH2147" s="4"/>
      <c r="FI2147" s="4"/>
      <c r="FJ2147" s="4"/>
      <c r="FK2147" s="4"/>
      <c r="FL2147" s="4"/>
      <c r="FM2147" s="4"/>
      <c r="FN2147" s="4"/>
      <c r="FO2147" s="4"/>
      <c r="FP2147" s="4"/>
      <c r="FQ2147" s="4"/>
      <c r="FR2147" s="4"/>
      <c r="FS2147" s="4"/>
      <c r="FT2147" s="4"/>
      <c r="FU2147" s="4"/>
      <c r="FV2147" s="4"/>
      <c r="FW2147" s="4"/>
      <c r="FX2147" s="4"/>
      <c r="FY2147" s="4"/>
      <c r="FZ2147" s="4"/>
      <c r="GA2147" s="4"/>
      <c r="GB2147" s="4"/>
      <c r="GC2147" s="4"/>
      <c r="GD2147" s="4"/>
      <c r="GE2147" s="4"/>
      <c r="GF2147" s="4"/>
      <c r="GG2147" s="4"/>
      <c r="GH2147" s="4"/>
      <c r="GI2147" s="4"/>
      <c r="GJ2147" s="4"/>
      <c r="GK2147" s="4"/>
      <c r="GL2147" s="4"/>
      <c r="GM2147" s="4"/>
      <c r="GN2147" s="4"/>
      <c r="GO2147" s="4"/>
      <c r="GP2147" s="4"/>
      <c r="GQ2147" s="4"/>
      <c r="GR2147" s="4"/>
      <c r="GS2147" s="4"/>
      <c r="GT2147" s="4"/>
      <c r="GU2147" s="4"/>
      <c r="GV2147" s="4"/>
      <c r="GW2147" s="4"/>
      <c r="GX2147" s="4"/>
      <c r="GY2147" s="4"/>
      <c r="GZ2147" s="4"/>
      <c r="HA2147" s="4"/>
      <c r="HB2147" s="4"/>
      <c r="HC2147" s="4"/>
      <c r="HD2147" s="4"/>
      <c r="HE2147" s="4"/>
    </row>
    <row r="2148">
      <c r="A2148" s="2" t="s">
        <v>10178</v>
      </c>
      <c r="B2148" s="2" t="s">
        <v>299</v>
      </c>
      <c r="C2148" s="2" t="s">
        <v>918</v>
      </c>
      <c r="D2148" s="2" t="s">
        <v>301</v>
      </c>
      <c r="E2148" s="2" t="s">
        <v>302</v>
      </c>
      <c r="F2148" s="2" t="s">
        <v>10162</v>
      </c>
      <c r="G2148" s="2" t="s">
        <v>10162</v>
      </c>
      <c r="H2148" s="2" t="s">
        <v>10162</v>
      </c>
      <c r="I2148" s="2" t="s">
        <v>10163</v>
      </c>
      <c r="J2148" s="2" t="s">
        <v>294</v>
      </c>
      <c r="K2148" s="2" t="s">
        <v>829</v>
      </c>
      <c r="L2148" s="3">
        <v>55.71</v>
      </c>
      <c r="M2148" s="3">
        <v>58.5</v>
      </c>
      <c r="N2148" s="3">
        <v>149.99</v>
      </c>
      <c r="O2148" s="2" t="s">
        <v>240</v>
      </c>
      <c r="P2148" s="2" t="s">
        <v>333</v>
      </c>
      <c r="Q2148" s="2" t="s">
        <v>234</v>
      </c>
      <c r="R2148" s="2" t="s">
        <v>228</v>
      </c>
      <c r="S2148" s="2" t="s">
        <v>228</v>
      </c>
      <c r="T2148" s="2" t="s">
        <v>350</v>
      </c>
      <c r="U2148" s="2" t="s">
        <v>228</v>
      </c>
      <c r="V2148" s="2" t="s">
        <v>980</v>
      </c>
      <c r="W2148" s="2" t="s">
        <v>309</v>
      </c>
      <c r="X2148" s="2" t="s">
        <v>228</v>
      </c>
      <c r="Y2148" s="2" t="s">
        <v>2382</v>
      </c>
      <c r="Z2148" s="4">
        <v>265</v>
      </c>
      <c r="AA2148" s="4">
        <f>=ROUNDDOWN(132.5,0)</f>
      </c>
      <c r="AB2148" s="5">
        <v>2</v>
      </c>
      <c r="AC2148" s="2" t="s">
        <v>228</v>
      </c>
      <c r="AD2148" s="4"/>
      <c r="AE2148" s="4"/>
      <c r="AF2148" s="6">
        <v>65</v>
      </c>
      <c r="AG2148" s="6"/>
      <c r="AH2148" s="7">
        <v>1</v>
      </c>
      <c r="AI2148" s="4"/>
      <c r="AJ2148" s="4">
        <f>=ROUNDDOWN({0},0)</f>
      </c>
      <c r="AK2148" s="5"/>
      <c r="AL2148" s="2" t="s">
        <v>228</v>
      </c>
      <c r="AM2148" s="4"/>
      <c r="AN2148" s="4"/>
      <c r="AO2148" s="7"/>
      <c r="AP2148" s="4"/>
      <c r="AQ2148" s="8"/>
      <c r="AR2148" s="4"/>
      <c r="AS2148" s="8"/>
      <c r="AT2148" s="7"/>
      <c r="AU2148" s="7"/>
      <c r="AV2148" s="4" t="s">
        <v>228</v>
      </c>
      <c r="AW2148" s="8" t="s">
        <v>228</v>
      </c>
      <c r="AX2148" s="4" t="s">
        <v>228</v>
      </c>
      <c r="AY2148" s="8" t="s">
        <v>228</v>
      </c>
      <c r="AZ2148" s="7" t="s">
        <v>228</v>
      </c>
      <c r="BA2148" s="7" t="s">
        <v>228</v>
      </c>
      <c r="BB2148" s="7" t="s">
        <v>228</v>
      </c>
      <c r="BC2148" s="4" t="s">
        <v>228</v>
      </c>
      <c r="BD2148" s="8" t="s">
        <v>228</v>
      </c>
      <c r="BE2148" s="4" t="s">
        <v>228</v>
      </c>
      <c r="BF2148" s="8" t="s">
        <v>228</v>
      </c>
      <c r="BG2148" s="7" t="s">
        <v>228</v>
      </c>
      <c r="BH2148" s="7" t="s">
        <v>228</v>
      </c>
      <c r="BI2148" s="7"/>
      <c r="BJ2148" s="4">
        <v>12</v>
      </c>
      <c r="BK2148" s="8">
        <v>765.69</v>
      </c>
      <c r="BL2148" s="2" t="s">
        <v>10179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10180</v>
      </c>
      <c r="BV2148" s="2" t="s">
        <v>228</v>
      </c>
      <c r="BW2148" s="2" t="s">
        <v>228</v>
      </c>
      <c r="BX2148" s="2" t="s">
        <v>337</v>
      </c>
      <c r="BY2148" s="2" t="s">
        <v>274</v>
      </c>
      <c r="BZ2148" s="2" t="s">
        <v>240</v>
      </c>
      <c r="CA2148" s="2" t="s">
        <v>5504</v>
      </c>
      <c r="CB2148" s="2" t="s">
        <v>422</v>
      </c>
      <c r="CC2148" s="2" t="s">
        <v>241</v>
      </c>
      <c r="CD2148" s="2" t="s">
        <v>228</v>
      </c>
      <c r="CE2148" s="4">
        <v>265</v>
      </c>
      <c r="CF2148" s="4"/>
      <c r="CG2148" s="4"/>
      <c r="CH2148" s="4"/>
      <c r="CI2148" s="4"/>
      <c r="CJ2148" s="4"/>
      <c r="CK2148" s="4"/>
      <c r="CL2148" s="4"/>
      <c r="CM2148" s="4"/>
      <c r="CN2148" s="4"/>
      <c r="CO2148" s="4"/>
      <c r="CP2148" s="4"/>
      <c r="CQ2148" s="4"/>
      <c r="CR2148" s="4"/>
      <c r="CS2148" s="4"/>
      <c r="CT2148" s="4"/>
      <c r="CU2148" s="4"/>
      <c r="CV2148" s="4"/>
      <c r="CW2148" s="4"/>
      <c r="CX2148" s="4"/>
      <c r="CY2148" s="4"/>
      <c r="CZ2148" s="4"/>
      <c r="DA2148" s="4"/>
      <c r="DB2148" s="4"/>
      <c r="DC2148" s="4"/>
      <c r="DD2148" s="4"/>
      <c r="DE2148" s="4"/>
      <c r="DF2148" s="4"/>
      <c r="DG2148" s="4"/>
      <c r="DH2148" s="4"/>
      <c r="DI2148" s="4"/>
      <c r="DJ2148" s="4"/>
      <c r="DK2148" s="4"/>
      <c r="DL2148" s="4"/>
      <c r="DM2148" s="4"/>
      <c r="DN2148" s="4"/>
      <c r="DO2148" s="4"/>
      <c r="DP2148" s="4"/>
      <c r="DQ2148" s="4"/>
      <c r="DR2148" s="4"/>
      <c r="DS2148" s="4"/>
      <c r="DT2148" s="4"/>
      <c r="DU2148" s="4"/>
      <c r="DV2148" s="4"/>
      <c r="DW2148" s="4"/>
      <c r="DX2148" s="4"/>
      <c r="DY2148" s="4"/>
      <c r="DZ2148" s="4"/>
      <c r="EA2148" s="4"/>
      <c r="EB2148" s="4"/>
      <c r="EC2148" s="4"/>
      <c r="ED2148" s="4"/>
      <c r="EE2148" s="4"/>
      <c r="EF2148" s="4"/>
      <c r="EG2148" s="4"/>
      <c r="EH2148" s="4"/>
      <c r="EI2148" s="4"/>
      <c r="EJ2148" s="4"/>
      <c r="EK2148" s="4"/>
      <c r="EL2148" s="4"/>
      <c r="EM2148" s="4"/>
      <c r="EN2148" s="4"/>
      <c r="EO2148" s="4"/>
      <c r="EP2148" s="4"/>
      <c r="EQ2148" s="4"/>
      <c r="ER2148" s="4"/>
      <c r="ES2148" s="4"/>
      <c r="ET2148" s="4"/>
      <c r="EU2148" s="4"/>
      <c r="EV2148" s="4"/>
      <c r="EW2148" s="4"/>
      <c r="EX2148" s="4"/>
      <c r="EY2148" s="4"/>
      <c r="EZ2148" s="4"/>
      <c r="FA2148" s="4"/>
      <c r="FB2148" s="4"/>
      <c r="FC2148" s="4"/>
      <c r="FD2148" s="4"/>
      <c r="FE2148" s="4"/>
      <c r="FF2148" s="4"/>
      <c r="FG2148" s="4"/>
      <c r="FH2148" s="4"/>
      <c r="FI2148" s="4"/>
      <c r="FJ2148" s="4"/>
      <c r="FK2148" s="4"/>
      <c r="FL2148" s="4"/>
      <c r="FM2148" s="4"/>
      <c r="FN2148" s="4"/>
      <c r="FO2148" s="4"/>
      <c r="FP2148" s="4"/>
      <c r="FQ2148" s="4"/>
      <c r="FR2148" s="4"/>
      <c r="FS2148" s="4"/>
      <c r="FT2148" s="4"/>
      <c r="FU2148" s="4"/>
      <c r="FV2148" s="4"/>
      <c r="FW2148" s="4"/>
      <c r="FX2148" s="4"/>
      <c r="FY2148" s="4"/>
      <c r="FZ2148" s="4"/>
      <c r="GA2148" s="4"/>
      <c r="GB2148" s="4"/>
      <c r="GC2148" s="4"/>
      <c r="GD2148" s="4"/>
      <c r="GE2148" s="4"/>
      <c r="GF2148" s="4"/>
      <c r="GG2148" s="4"/>
      <c r="GH2148" s="4"/>
      <c r="GI2148" s="4"/>
      <c r="GJ2148" s="4"/>
      <c r="GK2148" s="4"/>
      <c r="GL2148" s="4"/>
      <c r="GM2148" s="4"/>
      <c r="GN2148" s="4"/>
      <c r="GO2148" s="4"/>
      <c r="GP2148" s="4"/>
      <c r="GQ2148" s="4"/>
      <c r="GR2148" s="4"/>
      <c r="GS2148" s="4"/>
      <c r="GT2148" s="4"/>
      <c r="GU2148" s="4"/>
      <c r="GV2148" s="4"/>
      <c r="GW2148" s="4"/>
      <c r="GX2148" s="4"/>
      <c r="GY2148" s="4"/>
      <c r="GZ2148" s="4"/>
      <c r="HA2148" s="4"/>
      <c r="HB2148" s="4"/>
      <c r="HC2148" s="4"/>
      <c r="HD2148" s="4"/>
      <c r="HE2148" s="4"/>
    </row>
    <row r="2149">
      <c r="A2149" s="2" t="s">
        <v>10181</v>
      </c>
      <c r="B2149" s="2" t="s">
        <v>299</v>
      </c>
      <c r="C2149" s="2" t="s">
        <v>918</v>
      </c>
      <c r="D2149" s="2" t="s">
        <v>301</v>
      </c>
      <c r="E2149" s="2" t="s">
        <v>302</v>
      </c>
      <c r="F2149" s="2" t="s">
        <v>10162</v>
      </c>
      <c r="G2149" s="2" t="s">
        <v>10162</v>
      </c>
      <c r="H2149" s="2" t="s">
        <v>10162</v>
      </c>
      <c r="I2149" s="2" t="s">
        <v>10171</v>
      </c>
      <c r="J2149" s="2" t="s">
        <v>294</v>
      </c>
      <c r="K2149" s="2" t="s">
        <v>829</v>
      </c>
      <c r="L2149" s="3">
        <v>18.57</v>
      </c>
      <c r="M2149" s="3">
        <v>19.5</v>
      </c>
      <c r="N2149" s="3">
        <v>49.99</v>
      </c>
      <c r="O2149" s="2" t="s">
        <v>240</v>
      </c>
      <c r="P2149" s="2" t="s">
        <v>333</v>
      </c>
      <c r="Q2149" s="2" t="s">
        <v>234</v>
      </c>
      <c r="R2149" s="2" t="s">
        <v>228</v>
      </c>
      <c r="S2149" s="2" t="s">
        <v>228</v>
      </c>
      <c r="T2149" s="2" t="s">
        <v>350</v>
      </c>
      <c r="U2149" s="2" t="s">
        <v>228</v>
      </c>
      <c r="V2149" s="2" t="s">
        <v>980</v>
      </c>
      <c r="W2149" s="2" t="s">
        <v>309</v>
      </c>
      <c r="X2149" s="2" t="s">
        <v>228</v>
      </c>
      <c r="Y2149" s="2" t="s">
        <v>2382</v>
      </c>
      <c r="Z2149" s="4">
        <v>21</v>
      </c>
      <c r="AA2149" s="4">
        <f>=ROUNDDOWN(21,0)</f>
      </c>
      <c r="AB2149" s="5">
        <v>1</v>
      </c>
      <c r="AC2149" s="2" t="s">
        <v>228</v>
      </c>
      <c r="AD2149" s="4"/>
      <c r="AE2149" s="4"/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228</v>
      </c>
      <c r="AM2149" s="4"/>
      <c r="AN2149" s="4"/>
      <c r="AO2149" s="7"/>
      <c r="AP2149" s="4"/>
      <c r="AQ2149" s="8"/>
      <c r="AR2149" s="4"/>
      <c r="AS2149" s="8"/>
      <c r="AT2149" s="7"/>
      <c r="AU2149" s="7"/>
      <c r="AV2149" s="4" t="s">
        <v>228</v>
      </c>
      <c r="AW2149" s="8" t="s">
        <v>228</v>
      </c>
      <c r="AX2149" s="4" t="s">
        <v>228</v>
      </c>
      <c r="AY2149" s="8" t="s">
        <v>228</v>
      </c>
      <c r="AZ2149" s="7" t="s">
        <v>228</v>
      </c>
      <c r="BA2149" s="7" t="s">
        <v>228</v>
      </c>
      <c r="BB2149" s="7" t="s">
        <v>228</v>
      </c>
      <c r="BC2149" s="4" t="s">
        <v>228</v>
      </c>
      <c r="BD2149" s="8" t="s">
        <v>228</v>
      </c>
      <c r="BE2149" s="4" t="s">
        <v>228</v>
      </c>
      <c r="BF2149" s="8" t="s">
        <v>228</v>
      </c>
      <c r="BG2149" s="7" t="s">
        <v>228</v>
      </c>
      <c r="BH2149" s="7" t="s">
        <v>228</v>
      </c>
      <c r="BI2149" s="7"/>
      <c r="BJ2149" s="4">
        <v>3</v>
      </c>
      <c r="BK2149" s="8">
        <v>105.93</v>
      </c>
      <c r="BL2149" s="2" t="s">
        <v>10182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10183</v>
      </c>
      <c r="BV2149" s="2" t="s">
        <v>228</v>
      </c>
      <c r="BW2149" s="2" t="s">
        <v>228</v>
      </c>
      <c r="BX2149" s="2" t="s">
        <v>337</v>
      </c>
      <c r="BY2149" s="2" t="s">
        <v>274</v>
      </c>
      <c r="BZ2149" s="2" t="s">
        <v>240</v>
      </c>
      <c r="CA2149" s="2" t="s">
        <v>5504</v>
      </c>
      <c r="CB2149" s="2" t="s">
        <v>4982</v>
      </c>
      <c r="CC2149" s="2" t="s">
        <v>241</v>
      </c>
      <c r="CD2149" s="2" t="s">
        <v>228</v>
      </c>
      <c r="CE2149" s="4">
        <v>21</v>
      </c>
      <c r="CF2149" s="4"/>
      <c r="CG2149" s="4"/>
      <c r="CH2149" s="4"/>
      <c r="CI2149" s="4"/>
      <c r="CJ2149" s="4"/>
      <c r="CK2149" s="4"/>
      <c r="CL2149" s="4"/>
      <c r="CM2149" s="4"/>
      <c r="CN2149" s="4"/>
      <c r="CO2149" s="4"/>
      <c r="CP2149" s="4"/>
      <c r="CQ2149" s="4"/>
      <c r="CR2149" s="4"/>
      <c r="CS2149" s="4"/>
      <c r="CT2149" s="4"/>
      <c r="CU2149" s="4"/>
      <c r="CV2149" s="4"/>
      <c r="CW2149" s="4"/>
      <c r="CX2149" s="4"/>
      <c r="CY2149" s="4"/>
      <c r="CZ2149" s="4"/>
      <c r="DA2149" s="4"/>
      <c r="DB2149" s="4"/>
      <c r="DC2149" s="4"/>
      <c r="DD2149" s="4"/>
      <c r="DE2149" s="4"/>
      <c r="DF2149" s="4"/>
      <c r="DG2149" s="4"/>
      <c r="DH2149" s="4"/>
      <c r="DI2149" s="4"/>
      <c r="DJ2149" s="4"/>
      <c r="DK2149" s="4"/>
      <c r="DL2149" s="4"/>
      <c r="DM2149" s="4"/>
      <c r="DN2149" s="4"/>
      <c r="DO2149" s="4"/>
      <c r="DP2149" s="4"/>
      <c r="DQ2149" s="4"/>
      <c r="DR2149" s="4"/>
      <c r="DS2149" s="4"/>
      <c r="DT2149" s="4"/>
      <c r="DU2149" s="4"/>
      <c r="DV2149" s="4"/>
      <c r="DW2149" s="4"/>
      <c r="DX2149" s="4"/>
      <c r="DY2149" s="4"/>
      <c r="DZ2149" s="4"/>
      <c r="EA2149" s="4"/>
      <c r="EB2149" s="4"/>
      <c r="EC2149" s="4"/>
      <c r="ED2149" s="4"/>
      <c r="EE2149" s="4"/>
      <c r="EF2149" s="4"/>
      <c r="EG2149" s="4"/>
      <c r="EH2149" s="4"/>
      <c r="EI2149" s="4"/>
      <c r="EJ2149" s="4"/>
      <c r="EK2149" s="4"/>
      <c r="EL2149" s="4"/>
      <c r="EM2149" s="4"/>
      <c r="EN2149" s="4"/>
      <c r="EO2149" s="4"/>
      <c r="EP2149" s="4"/>
      <c r="EQ2149" s="4"/>
      <c r="ER2149" s="4"/>
      <c r="ES2149" s="4"/>
      <c r="ET2149" s="4"/>
      <c r="EU2149" s="4"/>
      <c r="EV2149" s="4"/>
      <c r="EW2149" s="4"/>
      <c r="EX2149" s="4"/>
      <c r="EY2149" s="4"/>
      <c r="EZ2149" s="4"/>
      <c r="FA2149" s="4"/>
      <c r="FB2149" s="4"/>
      <c r="FC2149" s="4"/>
      <c r="FD2149" s="4"/>
      <c r="FE2149" s="4"/>
      <c r="FF2149" s="4"/>
      <c r="FG2149" s="4"/>
      <c r="FH2149" s="4"/>
      <c r="FI2149" s="4"/>
      <c r="FJ2149" s="4"/>
      <c r="FK2149" s="4"/>
      <c r="FL2149" s="4"/>
      <c r="FM2149" s="4"/>
      <c r="FN2149" s="4"/>
      <c r="FO2149" s="4"/>
      <c r="FP2149" s="4"/>
      <c r="FQ2149" s="4"/>
      <c r="FR2149" s="4"/>
      <c r="FS2149" s="4"/>
      <c r="FT2149" s="4"/>
      <c r="FU2149" s="4"/>
      <c r="FV2149" s="4"/>
      <c r="FW2149" s="4"/>
      <c r="FX2149" s="4"/>
      <c r="FY2149" s="4"/>
      <c r="FZ2149" s="4"/>
      <c r="GA2149" s="4"/>
      <c r="GB2149" s="4"/>
      <c r="GC2149" s="4"/>
      <c r="GD2149" s="4"/>
      <c r="GE2149" s="4"/>
      <c r="GF2149" s="4"/>
      <c r="GG2149" s="4"/>
      <c r="GH2149" s="4"/>
      <c r="GI2149" s="4"/>
      <c r="GJ2149" s="4"/>
      <c r="GK2149" s="4"/>
      <c r="GL2149" s="4"/>
      <c r="GM2149" s="4"/>
      <c r="GN2149" s="4"/>
      <c r="GO2149" s="4"/>
      <c r="GP2149" s="4"/>
      <c r="GQ2149" s="4"/>
      <c r="GR2149" s="4"/>
      <c r="GS2149" s="4"/>
      <c r="GT2149" s="4"/>
      <c r="GU2149" s="4"/>
      <c r="GV2149" s="4"/>
      <c r="GW2149" s="4"/>
      <c r="GX2149" s="4"/>
      <c r="GY2149" s="4"/>
      <c r="GZ2149" s="4"/>
      <c r="HA2149" s="4"/>
      <c r="HB2149" s="4"/>
      <c r="HC2149" s="4"/>
      <c r="HD2149" s="4"/>
      <c r="HE2149" s="4"/>
    </row>
    <row r="2150">
      <c r="A2150" s="2" t="s">
        <v>10184</v>
      </c>
      <c r="B2150" s="2" t="s">
        <v>299</v>
      </c>
      <c r="C2150" s="2" t="s">
        <v>918</v>
      </c>
      <c r="D2150" s="2" t="s">
        <v>301</v>
      </c>
      <c r="E2150" s="2" t="s">
        <v>302</v>
      </c>
      <c r="F2150" s="2" t="s">
        <v>10162</v>
      </c>
      <c r="G2150" s="2" t="s">
        <v>10162</v>
      </c>
      <c r="H2150" s="2" t="s">
        <v>10162</v>
      </c>
      <c r="I2150" s="2" t="s">
        <v>10163</v>
      </c>
      <c r="J2150" s="2" t="s">
        <v>312</v>
      </c>
      <c r="K2150" s="2" t="s">
        <v>829</v>
      </c>
      <c r="L2150" s="3">
        <v>55.71</v>
      </c>
      <c r="M2150" s="3">
        <v>58.5</v>
      </c>
      <c r="N2150" s="3">
        <v>149.99</v>
      </c>
      <c r="O2150" s="2" t="s">
        <v>240</v>
      </c>
      <c r="P2150" s="2" t="s">
        <v>333</v>
      </c>
      <c r="Q2150" s="2" t="s">
        <v>234</v>
      </c>
      <c r="R2150" s="2" t="s">
        <v>228</v>
      </c>
      <c r="S2150" s="2" t="s">
        <v>228</v>
      </c>
      <c r="T2150" s="2" t="s">
        <v>350</v>
      </c>
      <c r="U2150" s="2" t="s">
        <v>228</v>
      </c>
      <c r="V2150" s="2" t="s">
        <v>980</v>
      </c>
      <c r="W2150" s="2" t="s">
        <v>309</v>
      </c>
      <c r="X2150" s="2" t="s">
        <v>228</v>
      </c>
      <c r="Y2150" s="2" t="s">
        <v>3551</v>
      </c>
      <c r="Z2150" s="4">
        <v>69</v>
      </c>
      <c r="AA2150" s="4">
        <f>=ROUNDDOWN(69,0)</f>
      </c>
      <c r="AB2150" s="5">
        <v>1</v>
      </c>
      <c r="AC2150" s="2" t="s">
        <v>228</v>
      </c>
      <c r="AD2150" s="4"/>
      <c r="AE2150" s="4"/>
      <c r="AF2150" s="6">
        <v>65</v>
      </c>
      <c r="AG2150" s="6"/>
      <c r="AH2150" s="7">
        <v>1</v>
      </c>
      <c r="AI2150" s="4"/>
      <c r="AJ2150" s="4">
        <f>=ROUNDDOWN({0},0)</f>
      </c>
      <c r="AK2150" s="5"/>
      <c r="AL2150" s="2" t="s">
        <v>228</v>
      </c>
      <c r="AM2150" s="4"/>
      <c r="AN2150" s="4"/>
      <c r="AO2150" s="7"/>
      <c r="AP2150" s="4"/>
      <c r="AQ2150" s="8"/>
      <c r="AR2150" s="4"/>
      <c r="AS2150" s="8"/>
      <c r="AT2150" s="7"/>
      <c r="AU2150" s="7"/>
      <c r="AV2150" s="4" t="s">
        <v>228</v>
      </c>
      <c r="AW2150" s="8" t="s">
        <v>228</v>
      </c>
      <c r="AX2150" s="4" t="s">
        <v>228</v>
      </c>
      <c r="AY2150" s="8" t="s">
        <v>228</v>
      </c>
      <c r="AZ2150" s="7" t="s">
        <v>228</v>
      </c>
      <c r="BA2150" s="7" t="s">
        <v>228</v>
      </c>
      <c r="BB2150" s="7"/>
      <c r="BC2150" s="4" t="s">
        <v>228</v>
      </c>
      <c r="BD2150" s="8" t="s">
        <v>228</v>
      </c>
      <c r="BE2150" s="4" t="s">
        <v>228</v>
      </c>
      <c r="BF2150" s="8" t="s">
        <v>228</v>
      </c>
      <c r="BG2150" s="7" t="s">
        <v>228</v>
      </c>
      <c r="BH2150" s="7" t="s">
        <v>228</v>
      </c>
      <c r="BI2150" s="7"/>
      <c r="BJ2150" s="4">
        <v>6</v>
      </c>
      <c r="BK2150" s="8">
        <v>410.3</v>
      </c>
      <c r="BL2150" s="2" t="s">
        <v>10185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10186</v>
      </c>
      <c r="BV2150" s="2" t="s">
        <v>228</v>
      </c>
      <c r="BW2150" s="2" t="s">
        <v>228</v>
      </c>
      <c r="BX2150" s="2" t="s">
        <v>337</v>
      </c>
      <c r="BY2150" s="2" t="s">
        <v>274</v>
      </c>
      <c r="BZ2150" s="2" t="s">
        <v>240</v>
      </c>
      <c r="CA2150" s="2" t="s">
        <v>5504</v>
      </c>
      <c r="CB2150" s="2" t="s">
        <v>10187</v>
      </c>
      <c r="CC2150" s="2" t="s">
        <v>241</v>
      </c>
      <c r="CD2150" s="2" t="s">
        <v>228</v>
      </c>
      <c r="CE2150" s="4">
        <v>69</v>
      </c>
      <c r="CF2150" s="4"/>
      <c r="CG2150" s="4"/>
      <c r="CH2150" s="4"/>
      <c r="CI2150" s="4"/>
      <c r="CJ2150" s="4"/>
      <c r="CK2150" s="4"/>
      <c r="CL2150" s="4"/>
      <c r="CM2150" s="4"/>
      <c r="CN2150" s="4"/>
      <c r="CO2150" s="4"/>
      <c r="CP2150" s="4"/>
      <c r="CQ2150" s="4"/>
      <c r="CR2150" s="4"/>
      <c r="CS2150" s="4"/>
      <c r="CT2150" s="4"/>
      <c r="CU2150" s="4"/>
      <c r="CV2150" s="4"/>
      <c r="CW2150" s="4"/>
      <c r="CX2150" s="4"/>
      <c r="CY2150" s="4"/>
      <c r="CZ2150" s="4"/>
      <c r="DA2150" s="4"/>
      <c r="DB2150" s="4"/>
      <c r="DC2150" s="4"/>
      <c r="DD2150" s="4"/>
      <c r="DE2150" s="4"/>
      <c r="DF2150" s="4"/>
      <c r="DG2150" s="4"/>
      <c r="DH2150" s="4"/>
      <c r="DI2150" s="4"/>
      <c r="DJ2150" s="4"/>
      <c r="DK2150" s="4"/>
      <c r="DL2150" s="4"/>
      <c r="DM2150" s="4"/>
      <c r="DN2150" s="4"/>
      <c r="DO2150" s="4"/>
      <c r="DP2150" s="4"/>
      <c r="DQ2150" s="4"/>
      <c r="DR2150" s="4"/>
      <c r="DS2150" s="4"/>
      <c r="DT2150" s="4"/>
      <c r="DU2150" s="4"/>
      <c r="DV2150" s="4"/>
      <c r="DW2150" s="4"/>
      <c r="DX2150" s="4"/>
      <c r="DY2150" s="4"/>
      <c r="DZ2150" s="4"/>
      <c r="EA2150" s="4"/>
      <c r="EB2150" s="4"/>
      <c r="EC2150" s="4"/>
      <c r="ED2150" s="4"/>
      <c r="EE2150" s="4"/>
      <c r="EF2150" s="4"/>
      <c r="EG2150" s="4"/>
      <c r="EH2150" s="4"/>
      <c r="EI2150" s="4"/>
      <c r="EJ2150" s="4"/>
      <c r="EK2150" s="4"/>
      <c r="EL2150" s="4"/>
      <c r="EM2150" s="4"/>
      <c r="EN2150" s="4"/>
      <c r="EO2150" s="4"/>
      <c r="EP2150" s="4"/>
      <c r="EQ2150" s="4"/>
      <c r="ER2150" s="4"/>
      <c r="ES2150" s="4"/>
      <c r="ET2150" s="4"/>
      <c r="EU2150" s="4"/>
      <c r="EV2150" s="4"/>
      <c r="EW2150" s="4"/>
      <c r="EX2150" s="4"/>
      <c r="EY2150" s="4"/>
      <c r="EZ2150" s="4"/>
      <c r="FA2150" s="4"/>
      <c r="FB2150" s="4"/>
      <c r="FC2150" s="4"/>
      <c r="FD2150" s="4"/>
      <c r="FE2150" s="4"/>
      <c r="FF2150" s="4"/>
      <c r="FG2150" s="4"/>
      <c r="FH2150" s="4"/>
      <c r="FI2150" s="4"/>
      <c r="FJ2150" s="4"/>
      <c r="FK2150" s="4"/>
      <c r="FL2150" s="4"/>
      <c r="FM2150" s="4"/>
      <c r="FN2150" s="4"/>
      <c r="FO2150" s="4"/>
      <c r="FP2150" s="4"/>
      <c r="FQ2150" s="4"/>
      <c r="FR2150" s="4"/>
      <c r="FS2150" s="4"/>
      <c r="FT2150" s="4"/>
      <c r="FU2150" s="4"/>
      <c r="FV2150" s="4"/>
      <c r="FW2150" s="4"/>
      <c r="FX2150" s="4"/>
      <c r="FY2150" s="4"/>
      <c r="FZ2150" s="4"/>
      <c r="GA2150" s="4"/>
      <c r="GB2150" s="4"/>
      <c r="GC2150" s="4"/>
      <c r="GD2150" s="4"/>
      <c r="GE2150" s="4"/>
      <c r="GF2150" s="4"/>
      <c r="GG2150" s="4"/>
      <c r="GH2150" s="4"/>
      <c r="GI2150" s="4"/>
      <c r="GJ2150" s="4"/>
      <c r="GK2150" s="4"/>
      <c r="GL2150" s="4"/>
      <c r="GM2150" s="4"/>
      <c r="GN2150" s="4"/>
      <c r="GO2150" s="4"/>
      <c r="GP2150" s="4"/>
      <c r="GQ2150" s="4"/>
      <c r="GR2150" s="4"/>
      <c r="GS2150" s="4"/>
      <c r="GT2150" s="4"/>
      <c r="GU2150" s="4"/>
      <c r="GV2150" s="4"/>
      <c r="GW2150" s="4"/>
      <c r="GX2150" s="4"/>
      <c r="GY2150" s="4"/>
      <c r="GZ2150" s="4"/>
      <c r="HA2150" s="4"/>
      <c r="HB2150" s="4"/>
      <c r="HC2150" s="4"/>
      <c r="HD2150" s="4"/>
      <c r="HE2150" s="4"/>
    </row>
    <row r="2151">
      <c r="A2151" s="2" t="s">
        <v>10188</v>
      </c>
      <c r="B2151" s="2" t="s">
        <v>958</v>
      </c>
      <c r="C2151" s="2" t="s">
        <v>300</v>
      </c>
      <c r="D2151" s="2" t="s">
        <v>1006</v>
      </c>
      <c r="E2151" s="2" t="s">
        <v>1007</v>
      </c>
      <c r="F2151" s="2" t="s">
        <v>10189</v>
      </c>
      <c r="G2151" s="2" t="s">
        <v>10190</v>
      </c>
      <c r="H2151" s="2" t="s">
        <v>10191</v>
      </c>
      <c r="I2151" s="2" t="s">
        <v>10192</v>
      </c>
      <c r="J2151" s="2" t="s">
        <v>840</v>
      </c>
      <c r="K2151" s="2" t="s">
        <v>231</v>
      </c>
      <c r="L2151" s="3">
        <v>247.5</v>
      </c>
      <c r="M2151" s="3">
        <v>259.88</v>
      </c>
      <c r="N2151" s="3">
        <v>519</v>
      </c>
      <c r="O2151" s="2" t="s">
        <v>240</v>
      </c>
      <c r="P2151" s="2" t="s">
        <v>333</v>
      </c>
      <c r="Q2151" s="2" t="s">
        <v>234</v>
      </c>
      <c r="R2151" s="2" t="s">
        <v>228</v>
      </c>
      <c r="S2151" s="2" t="s">
        <v>228</v>
      </c>
      <c r="T2151" s="2" t="s">
        <v>228</v>
      </c>
      <c r="U2151" s="2" t="s">
        <v>416</v>
      </c>
      <c r="V2151" s="2" t="s">
        <v>842</v>
      </c>
      <c r="W2151" s="2" t="s">
        <v>417</v>
      </c>
      <c r="X2151" s="2" t="s">
        <v>309</v>
      </c>
      <c r="Y2151" s="2" t="s">
        <v>1467</v>
      </c>
      <c r="Z2151" s="4">
        <v>40</v>
      </c>
      <c r="AA2151" s="4">
        <f>=ROUNDDOWN(400,0)</f>
      </c>
      <c r="AB2151" s="5">
        <v>0.1</v>
      </c>
      <c r="AC2151" s="2" t="s">
        <v>228</v>
      </c>
      <c r="AD2151" s="4"/>
      <c r="AE2151" s="4"/>
      <c r="AF2151" s="6">
        <v>65</v>
      </c>
      <c r="AG2151" s="6"/>
      <c r="AH2151" s="7">
        <v>1</v>
      </c>
      <c r="AI2151" s="4"/>
      <c r="AJ2151" s="4">
        <f>=ROUNDDOWN({0},0)</f>
      </c>
      <c r="AK2151" s="5"/>
      <c r="AL2151" s="2" t="s">
        <v>228</v>
      </c>
      <c r="AM2151" s="4"/>
      <c r="AN2151" s="4"/>
      <c r="AO2151" s="7"/>
      <c r="AP2151" s="4"/>
      <c r="AQ2151" s="8"/>
      <c r="AR2151" s="4"/>
      <c r="AS2151" s="8"/>
      <c r="AT2151" s="7"/>
      <c r="AU2151" s="7"/>
      <c r="AV2151" s="4"/>
      <c r="AW2151" s="8"/>
      <c r="AX2151" s="4"/>
      <c r="AY2151" s="8"/>
      <c r="AZ2151" s="7"/>
      <c r="BA2151" s="7"/>
      <c r="BB2151" s="7"/>
      <c r="BC2151" s="4"/>
      <c r="BD2151" s="8"/>
      <c r="BE2151" s="4"/>
      <c r="BF2151" s="8"/>
      <c r="BG2151" s="7"/>
      <c r="BH2151" s="7"/>
      <c r="BI2151" s="7"/>
      <c r="BJ2151" s="4"/>
      <c r="BK2151" s="8"/>
      <c r="BL2151" s="2" t="s">
        <v>995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10193</v>
      </c>
      <c r="BV2151" s="2" t="s">
        <v>228</v>
      </c>
      <c r="BW2151" s="2" t="s">
        <v>228</v>
      </c>
      <c r="BX2151" s="2" t="s">
        <v>337</v>
      </c>
      <c r="BY2151" s="2" t="s">
        <v>274</v>
      </c>
      <c r="BZ2151" s="2" t="s">
        <v>240</v>
      </c>
      <c r="CA2151" s="2" t="s">
        <v>1467</v>
      </c>
      <c r="CB2151" s="2" t="s">
        <v>228</v>
      </c>
      <c r="CC2151" s="2" t="s">
        <v>241</v>
      </c>
      <c r="CD2151" s="2" t="s">
        <v>228</v>
      </c>
      <c r="CE2151" s="4"/>
      <c r="CF2151" s="4">
        <v>40</v>
      </c>
      <c r="CG2151" s="4"/>
      <c r="CH2151" s="4"/>
      <c r="CI2151" s="4"/>
      <c r="CJ2151" s="4"/>
      <c r="CK2151" s="4"/>
      <c r="CL2151" s="4"/>
      <c r="CM2151" s="4"/>
      <c r="CN2151" s="4"/>
      <c r="CO2151" s="4"/>
      <c r="CP2151" s="4"/>
      <c r="CQ2151" s="4"/>
      <c r="CR2151" s="4"/>
      <c r="CS2151" s="4"/>
      <c r="CT2151" s="4"/>
      <c r="CU2151" s="4"/>
      <c r="CV2151" s="4"/>
      <c r="CW2151" s="4"/>
      <c r="CX2151" s="4"/>
      <c r="CY2151" s="4"/>
      <c r="CZ2151" s="4"/>
      <c r="DA2151" s="4"/>
      <c r="DB2151" s="4"/>
      <c r="DC2151" s="4"/>
      <c r="DD2151" s="4"/>
      <c r="DE2151" s="4"/>
      <c r="DF2151" s="4"/>
      <c r="DG2151" s="4"/>
      <c r="DH2151" s="4"/>
      <c r="DI2151" s="4"/>
      <c r="DJ2151" s="4"/>
      <c r="DK2151" s="4"/>
      <c r="DL2151" s="4"/>
      <c r="DM2151" s="4"/>
      <c r="DN2151" s="4"/>
      <c r="DO2151" s="4"/>
      <c r="DP2151" s="4"/>
      <c r="DQ2151" s="4"/>
      <c r="DR2151" s="4"/>
      <c r="DS2151" s="4"/>
      <c r="DT2151" s="4"/>
      <c r="DU2151" s="4"/>
      <c r="DV2151" s="4"/>
      <c r="DW2151" s="4"/>
      <c r="DX2151" s="4"/>
      <c r="DY2151" s="4"/>
      <c r="DZ2151" s="4"/>
      <c r="EA2151" s="4"/>
      <c r="EB2151" s="4"/>
      <c r="EC2151" s="4"/>
      <c r="ED2151" s="4"/>
      <c r="EE2151" s="4"/>
      <c r="EF2151" s="4"/>
      <c r="EG2151" s="4"/>
      <c r="EH2151" s="4"/>
      <c r="EI2151" s="4"/>
      <c r="EJ2151" s="4"/>
      <c r="EK2151" s="4"/>
      <c r="EL2151" s="4"/>
      <c r="EM2151" s="4"/>
      <c r="EN2151" s="4"/>
      <c r="EO2151" s="4"/>
      <c r="EP2151" s="4"/>
      <c r="EQ2151" s="4"/>
      <c r="ER2151" s="4"/>
      <c r="ES2151" s="4"/>
      <c r="ET2151" s="4"/>
      <c r="EU2151" s="4"/>
      <c r="EV2151" s="4"/>
      <c r="EW2151" s="4"/>
      <c r="EX2151" s="4"/>
      <c r="EY2151" s="4"/>
      <c r="EZ2151" s="4"/>
      <c r="FA2151" s="4"/>
      <c r="FB2151" s="4"/>
      <c r="FC2151" s="4"/>
      <c r="FD2151" s="4"/>
      <c r="FE2151" s="4"/>
      <c r="FF2151" s="4"/>
      <c r="FG2151" s="4"/>
      <c r="FH2151" s="4"/>
      <c r="FI2151" s="4"/>
      <c r="FJ2151" s="4"/>
      <c r="FK2151" s="4"/>
      <c r="FL2151" s="4"/>
      <c r="FM2151" s="4"/>
      <c r="FN2151" s="4"/>
      <c r="FO2151" s="4"/>
      <c r="FP2151" s="4"/>
      <c r="FQ2151" s="4"/>
      <c r="FR2151" s="4"/>
      <c r="FS2151" s="4"/>
      <c r="FT2151" s="4"/>
      <c r="FU2151" s="4"/>
      <c r="FV2151" s="4"/>
      <c r="FW2151" s="4"/>
      <c r="FX2151" s="4"/>
      <c r="FY2151" s="4"/>
      <c r="FZ2151" s="4"/>
      <c r="GA2151" s="4"/>
      <c r="GB2151" s="4"/>
      <c r="GC2151" s="4"/>
      <c r="GD2151" s="4"/>
      <c r="GE2151" s="4"/>
      <c r="GF2151" s="4"/>
      <c r="GG2151" s="4"/>
      <c r="GH2151" s="4"/>
      <c r="GI2151" s="4"/>
      <c r="GJ2151" s="4"/>
      <c r="GK2151" s="4"/>
      <c r="GL2151" s="4"/>
      <c r="GM2151" s="4"/>
      <c r="GN2151" s="4"/>
      <c r="GO2151" s="4"/>
      <c r="GP2151" s="4"/>
      <c r="GQ2151" s="4"/>
      <c r="GR2151" s="4"/>
      <c r="GS2151" s="4"/>
      <c r="GT2151" s="4"/>
      <c r="GU2151" s="4"/>
      <c r="GV2151" s="4"/>
      <c r="GW2151" s="4"/>
      <c r="GX2151" s="4"/>
      <c r="GY2151" s="4"/>
      <c r="GZ2151" s="4"/>
      <c r="HA2151" s="4"/>
      <c r="HB2151" s="4"/>
      <c r="HC2151" s="4"/>
      <c r="HD2151" s="4"/>
      <c r="HE2151" s="4"/>
    </row>
    <row r="2152">
      <c r="A2152" s="2" t="s">
        <v>10194</v>
      </c>
      <c r="B2152" s="2" t="s">
        <v>299</v>
      </c>
      <c r="C2152" s="2" t="s">
        <v>300</v>
      </c>
      <c r="D2152" s="2" t="s">
        <v>516</v>
      </c>
      <c r="E2152" s="2" t="s">
        <v>517</v>
      </c>
      <c r="F2152" s="2" t="s">
        <v>10195</v>
      </c>
      <c r="G2152" s="2" t="s">
        <v>10195</v>
      </c>
      <c r="H2152" s="2" t="s">
        <v>10195</v>
      </c>
      <c r="I2152" s="2" t="s">
        <v>10196</v>
      </c>
      <c r="J2152" s="2" t="s">
        <v>294</v>
      </c>
      <c r="K2152" s="2" t="s">
        <v>2780</v>
      </c>
      <c r="L2152" s="3">
        <v>28.56</v>
      </c>
      <c r="M2152" s="3">
        <v>29.99</v>
      </c>
      <c r="N2152" s="3">
        <v>67.99</v>
      </c>
      <c r="O2152" s="2" t="s">
        <v>240</v>
      </c>
      <c r="P2152" s="2" t="s">
        <v>266</v>
      </c>
      <c r="Q2152" s="2" t="s">
        <v>234</v>
      </c>
      <c r="R2152" s="2" t="s">
        <v>228</v>
      </c>
      <c r="S2152" s="2" t="s">
        <v>10197</v>
      </c>
      <c r="T2152" s="2" t="s">
        <v>10195</v>
      </c>
      <c r="U2152" s="2" t="s">
        <v>416</v>
      </c>
      <c r="V2152" s="2" t="s">
        <v>236</v>
      </c>
      <c r="W2152" s="2" t="s">
        <v>269</v>
      </c>
      <c r="X2152" s="2" t="s">
        <v>417</v>
      </c>
      <c r="Y2152" s="2" t="s">
        <v>5003</v>
      </c>
      <c r="Z2152" s="4">
        <v>149</v>
      </c>
      <c r="AA2152" s="4">
        <f>=ROUNDDOWN(18.625,0)</f>
      </c>
      <c r="AB2152" s="5">
        <v>8</v>
      </c>
      <c r="AC2152" s="2" t="s">
        <v>1014</v>
      </c>
      <c r="AD2152" s="4">
        <v>120</v>
      </c>
      <c r="AE2152" s="4">
        <v>240</v>
      </c>
      <c r="AF2152" s="6">
        <v>65</v>
      </c>
      <c r="AG2152" s="6"/>
      <c r="AH2152" s="7">
        <v>1</v>
      </c>
      <c r="AI2152" s="4"/>
      <c r="AJ2152" s="4">
        <f>=ROUNDDOWN({0},0)</f>
      </c>
      <c r="AK2152" s="5"/>
      <c r="AL2152" s="2" t="s">
        <v>228</v>
      </c>
      <c r="AM2152" s="4"/>
      <c r="AN2152" s="4"/>
      <c r="AO2152" s="7"/>
      <c r="AP2152" s="4"/>
      <c r="AQ2152" s="8"/>
      <c r="AR2152" s="4"/>
      <c r="AS2152" s="8"/>
      <c r="AT2152" s="7"/>
      <c r="AU2152" s="7"/>
      <c r="AV2152" s="4"/>
      <c r="AW2152" s="8"/>
      <c r="AX2152" s="4"/>
      <c r="AY2152" s="8"/>
      <c r="AZ2152" s="7"/>
      <c r="BA2152" s="7"/>
      <c r="BB2152" s="7"/>
      <c r="BC2152" s="4"/>
      <c r="BD2152" s="8"/>
      <c r="BE2152" s="4"/>
      <c r="BF2152" s="8"/>
      <c r="BG2152" s="7"/>
      <c r="BH2152" s="7"/>
      <c r="BI2152" s="7"/>
      <c r="BJ2152" s="4">
        <v>33</v>
      </c>
      <c r="BK2152" s="8">
        <v>1033.92</v>
      </c>
      <c r="BL2152" s="2" t="s">
        <v>600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10198</v>
      </c>
      <c r="BV2152" s="2" t="s">
        <v>228</v>
      </c>
      <c r="BW2152" s="2" t="s">
        <v>228</v>
      </c>
      <c r="BX2152" s="2" t="s">
        <v>273</v>
      </c>
      <c r="BY2152" s="2" t="s">
        <v>274</v>
      </c>
      <c r="BZ2152" s="2" t="s">
        <v>240</v>
      </c>
      <c r="CA2152" s="2" t="s">
        <v>5007</v>
      </c>
      <c r="CB2152" s="2" t="s">
        <v>6006</v>
      </c>
      <c r="CC2152" s="2" t="s">
        <v>241</v>
      </c>
      <c r="CD2152" s="2" t="s">
        <v>228</v>
      </c>
      <c r="CE2152" s="4">
        <v>149</v>
      </c>
      <c r="CF2152" s="4"/>
      <c r="CG2152" s="4"/>
      <c r="CH2152" s="4"/>
      <c r="CI2152" s="4"/>
      <c r="CJ2152" s="4"/>
      <c r="CK2152" s="4"/>
      <c r="CL2152" s="4"/>
      <c r="CM2152" s="4"/>
      <c r="CN2152" s="4"/>
      <c r="CO2152" s="4"/>
      <c r="CP2152" s="4"/>
      <c r="CQ2152" s="4"/>
      <c r="CR2152" s="4"/>
      <c r="CS2152" s="4"/>
      <c r="CT2152" s="4"/>
      <c r="CU2152" s="4"/>
      <c r="CV2152" s="4"/>
      <c r="CW2152" s="4"/>
      <c r="CX2152" s="4"/>
      <c r="CY2152" s="4"/>
      <c r="CZ2152" s="4"/>
      <c r="DA2152" s="4"/>
      <c r="DB2152" s="4"/>
      <c r="DC2152" s="4"/>
      <c r="DD2152" s="4"/>
      <c r="DE2152" s="4"/>
      <c r="DF2152" s="4"/>
      <c r="DG2152" s="4"/>
      <c r="DH2152" s="4"/>
      <c r="DI2152" s="4"/>
      <c r="DJ2152" s="4"/>
      <c r="DK2152" s="4"/>
      <c r="DL2152" s="4"/>
      <c r="DM2152" s="4"/>
      <c r="DN2152" s="4"/>
      <c r="DO2152" s="4"/>
      <c r="DP2152" s="4">
        <v>120</v>
      </c>
      <c r="DQ2152" s="4"/>
      <c r="DR2152" s="4"/>
      <c r="DS2152" s="4"/>
      <c r="DT2152" s="4"/>
      <c r="DU2152" s="4"/>
      <c r="DV2152" s="4"/>
      <c r="DW2152" s="4"/>
      <c r="DX2152" s="4"/>
      <c r="DY2152" s="4"/>
      <c r="DZ2152" s="4"/>
      <c r="EA2152" s="4"/>
      <c r="EB2152" s="4"/>
      <c r="EC2152" s="4"/>
      <c r="ED2152" s="4"/>
      <c r="EE2152" s="4"/>
      <c r="EF2152" s="4"/>
      <c r="EG2152" s="4"/>
      <c r="EH2152" s="4"/>
      <c r="EI2152" s="4"/>
      <c r="EJ2152" s="4"/>
      <c r="EK2152" s="4"/>
      <c r="EL2152" s="4"/>
      <c r="EM2152" s="4"/>
      <c r="EN2152" s="4"/>
      <c r="EO2152" s="4"/>
      <c r="EP2152" s="4"/>
      <c r="EQ2152" s="4"/>
      <c r="ER2152" s="4"/>
      <c r="ES2152" s="4"/>
      <c r="ET2152" s="4"/>
      <c r="EU2152" s="4"/>
      <c r="EV2152" s="4"/>
      <c r="EW2152" s="4"/>
      <c r="EX2152" s="4"/>
      <c r="EY2152" s="4"/>
      <c r="EZ2152" s="4"/>
      <c r="FA2152" s="4"/>
      <c r="FB2152" s="4"/>
      <c r="FC2152" s="4"/>
      <c r="FD2152" s="4"/>
      <c r="FE2152" s="4"/>
      <c r="FF2152" s="4"/>
      <c r="FG2152" s="4"/>
      <c r="FH2152" s="4"/>
      <c r="FI2152" s="4">
        <v>40</v>
      </c>
      <c r="FJ2152" s="4"/>
      <c r="FK2152" s="4"/>
      <c r="FL2152" s="4"/>
      <c r="FM2152" s="4"/>
      <c r="FN2152" s="4"/>
      <c r="FO2152" s="4"/>
      <c r="FP2152" s="4"/>
      <c r="FQ2152" s="4"/>
      <c r="FR2152" s="4"/>
      <c r="FS2152" s="4"/>
      <c r="FT2152" s="4"/>
      <c r="FU2152" s="4"/>
      <c r="FV2152" s="4"/>
      <c r="FW2152" s="4"/>
      <c r="FX2152" s="4"/>
      <c r="FY2152" s="4"/>
      <c r="FZ2152" s="4"/>
      <c r="GA2152" s="4"/>
      <c r="GB2152" s="4">
        <v>80</v>
      </c>
      <c r="GC2152" s="4"/>
      <c r="GD2152" s="4"/>
      <c r="GE2152" s="4"/>
      <c r="GF2152" s="4"/>
      <c r="GG2152" s="4"/>
      <c r="GH2152" s="4"/>
      <c r="GI2152" s="4"/>
      <c r="GJ2152" s="4"/>
      <c r="GK2152" s="4"/>
      <c r="GL2152" s="4"/>
      <c r="GM2152" s="4"/>
      <c r="GN2152" s="4"/>
      <c r="GO2152" s="4"/>
      <c r="GP2152" s="4"/>
      <c r="GQ2152" s="4"/>
      <c r="GR2152" s="4"/>
      <c r="GS2152" s="4"/>
      <c r="GT2152" s="4"/>
      <c r="GU2152" s="4"/>
      <c r="GV2152" s="4"/>
      <c r="GW2152" s="4"/>
      <c r="GX2152" s="4"/>
      <c r="GY2152" s="4"/>
      <c r="GZ2152" s="4"/>
      <c r="HA2152" s="4"/>
      <c r="HB2152" s="4"/>
      <c r="HC2152" s="4"/>
      <c r="HD2152" s="4"/>
      <c r="HE2152" s="4"/>
    </row>
    <row r="2153">
      <c r="A2153" s="2" t="s">
        <v>10199</v>
      </c>
      <c r="B2153" s="2" t="s">
        <v>866</v>
      </c>
      <c r="C2153" s="2" t="s">
        <v>835</v>
      </c>
      <c r="D2153" s="2" t="s">
        <v>899</v>
      </c>
      <c r="E2153" s="2" t="s">
        <v>1891</v>
      </c>
      <c r="F2153" s="2" t="s">
        <v>10200</v>
      </c>
      <c r="G2153" s="2" t="s">
        <v>10200</v>
      </c>
      <c r="H2153" s="2" t="s">
        <v>10200</v>
      </c>
      <c r="I2153" s="2" t="s">
        <v>10201</v>
      </c>
      <c r="J2153" s="2" t="s">
        <v>840</v>
      </c>
      <c r="K2153" s="2" t="s">
        <v>823</v>
      </c>
      <c r="L2153" s="3">
        <v>68.81</v>
      </c>
      <c r="M2153" s="3">
        <v>72.25</v>
      </c>
      <c r="N2153" s="3">
        <v>144.49</v>
      </c>
      <c r="O2153" s="2" t="s">
        <v>240</v>
      </c>
      <c r="P2153" s="2" t="s">
        <v>333</v>
      </c>
      <c r="Q2153" s="2" t="s">
        <v>234</v>
      </c>
      <c r="R2153" s="2" t="s">
        <v>228</v>
      </c>
      <c r="S2153" s="2" t="s">
        <v>10202</v>
      </c>
      <c r="T2153" s="2" t="s">
        <v>228</v>
      </c>
      <c r="U2153" s="2" t="s">
        <v>500</v>
      </c>
      <c r="V2153" s="2" t="s">
        <v>859</v>
      </c>
      <c r="W2153" s="2" t="s">
        <v>417</v>
      </c>
      <c r="X2153" s="2" t="s">
        <v>309</v>
      </c>
      <c r="Y2153" s="2" t="s">
        <v>3358</v>
      </c>
      <c r="Z2153" s="4">
        <v>75</v>
      </c>
      <c r="AA2153" s="4">
        <f>=ROUNDDOWN(75,0)</f>
      </c>
      <c r="AB2153" s="5">
        <v>1</v>
      </c>
      <c r="AC2153" s="2" t="s">
        <v>228</v>
      </c>
      <c r="AD2153" s="4"/>
      <c r="AE2153" s="4"/>
      <c r="AF2153" s="6">
        <v>63</v>
      </c>
      <c r="AG2153" s="6"/>
      <c r="AH2153" s="7">
        <v>1</v>
      </c>
      <c r="AI2153" s="4"/>
      <c r="AJ2153" s="4">
        <f>=ROUNDDOWN({0},0)</f>
      </c>
      <c r="AK2153" s="5"/>
      <c r="AL2153" s="2" t="s">
        <v>228</v>
      </c>
      <c r="AM2153" s="4"/>
      <c r="AN2153" s="4"/>
      <c r="AO2153" s="7"/>
      <c r="AP2153" s="4"/>
      <c r="AQ2153" s="8"/>
      <c r="AR2153" s="4"/>
      <c r="AS2153" s="8"/>
      <c r="AT2153" s="7"/>
      <c r="AU2153" s="7"/>
      <c r="AV2153" s="4"/>
      <c r="AW2153" s="8"/>
      <c r="AX2153" s="4"/>
      <c r="AY2153" s="8"/>
      <c r="AZ2153" s="7"/>
      <c r="BA2153" s="7"/>
      <c r="BB2153" s="7"/>
      <c r="BC2153" s="4"/>
      <c r="BD2153" s="8"/>
      <c r="BE2153" s="4"/>
      <c r="BF2153" s="8"/>
      <c r="BG2153" s="7"/>
      <c r="BH2153" s="7"/>
      <c r="BI2153" s="7"/>
      <c r="BJ2153" s="4"/>
      <c r="BK2153" s="8"/>
      <c r="BL2153" s="2" t="s">
        <v>1033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10203</v>
      </c>
      <c r="BV2153" s="2" t="s">
        <v>228</v>
      </c>
      <c r="BW2153" s="2" t="s">
        <v>228</v>
      </c>
      <c r="BX2153" s="2" t="s">
        <v>337</v>
      </c>
      <c r="BY2153" s="2" t="s">
        <v>274</v>
      </c>
      <c r="BZ2153" s="2" t="s">
        <v>240</v>
      </c>
      <c r="CA2153" s="2" t="s">
        <v>3464</v>
      </c>
      <c r="CB2153" s="2" t="s">
        <v>4129</v>
      </c>
      <c r="CC2153" s="2" t="s">
        <v>241</v>
      </c>
      <c r="CD2153" s="2" t="s">
        <v>228</v>
      </c>
      <c r="CE2153" s="4"/>
      <c r="CF2153" s="4">
        <v>75</v>
      </c>
      <c r="CG2153" s="4"/>
      <c r="CH2153" s="4"/>
      <c r="CI2153" s="4"/>
      <c r="CJ2153" s="4"/>
      <c r="CK2153" s="4"/>
      <c r="CL2153" s="4"/>
      <c r="CM2153" s="4"/>
      <c r="CN2153" s="4"/>
      <c r="CO2153" s="4"/>
      <c r="CP2153" s="4"/>
      <c r="CQ2153" s="4"/>
      <c r="CR2153" s="4"/>
      <c r="CS2153" s="4"/>
      <c r="CT2153" s="4"/>
      <c r="CU2153" s="4"/>
      <c r="CV2153" s="4"/>
      <c r="CW2153" s="4"/>
      <c r="CX2153" s="4"/>
      <c r="CY2153" s="4"/>
      <c r="CZ2153" s="4"/>
      <c r="DA2153" s="4"/>
      <c r="DB2153" s="4"/>
      <c r="DC2153" s="4"/>
      <c r="DD2153" s="4"/>
      <c r="DE2153" s="4"/>
      <c r="DF2153" s="4"/>
      <c r="DG2153" s="4"/>
      <c r="DH2153" s="4"/>
      <c r="DI2153" s="4"/>
      <c r="DJ2153" s="4"/>
      <c r="DK2153" s="4"/>
      <c r="DL2153" s="4"/>
      <c r="DM2153" s="4"/>
      <c r="DN2153" s="4"/>
      <c r="DO2153" s="4"/>
      <c r="DP2153" s="4"/>
      <c r="DQ2153" s="4"/>
      <c r="DR2153" s="4"/>
      <c r="DS2153" s="4"/>
      <c r="DT2153" s="4"/>
      <c r="DU2153" s="4"/>
      <c r="DV2153" s="4"/>
      <c r="DW2153" s="4"/>
      <c r="DX2153" s="4"/>
      <c r="DY2153" s="4"/>
      <c r="DZ2153" s="4"/>
      <c r="EA2153" s="4"/>
      <c r="EB2153" s="4"/>
      <c r="EC2153" s="4"/>
      <c r="ED2153" s="4"/>
      <c r="EE2153" s="4"/>
      <c r="EF2153" s="4"/>
      <c r="EG2153" s="4"/>
      <c r="EH2153" s="4"/>
      <c r="EI2153" s="4"/>
      <c r="EJ2153" s="4"/>
      <c r="EK2153" s="4"/>
      <c r="EL2153" s="4"/>
      <c r="EM2153" s="4"/>
      <c r="EN2153" s="4"/>
      <c r="EO2153" s="4"/>
      <c r="EP2153" s="4"/>
      <c r="EQ2153" s="4"/>
      <c r="ER2153" s="4"/>
      <c r="ES2153" s="4"/>
      <c r="ET2153" s="4"/>
      <c r="EU2153" s="4"/>
      <c r="EV2153" s="4"/>
      <c r="EW2153" s="4"/>
      <c r="EX2153" s="4"/>
      <c r="EY2153" s="4"/>
      <c r="EZ2153" s="4"/>
      <c r="FA2153" s="4"/>
      <c r="FB2153" s="4"/>
      <c r="FC2153" s="4"/>
      <c r="FD2153" s="4"/>
      <c r="FE2153" s="4"/>
      <c r="FF2153" s="4"/>
      <c r="FG2153" s="4"/>
      <c r="FH2153" s="4"/>
      <c r="FI2153" s="4"/>
      <c r="FJ2153" s="4"/>
      <c r="FK2153" s="4"/>
      <c r="FL2153" s="4"/>
      <c r="FM2153" s="4"/>
      <c r="FN2153" s="4"/>
      <c r="FO2153" s="4"/>
      <c r="FP2153" s="4"/>
      <c r="FQ2153" s="4"/>
      <c r="FR2153" s="4"/>
      <c r="FS2153" s="4"/>
      <c r="FT2153" s="4"/>
      <c r="FU2153" s="4"/>
      <c r="FV2153" s="4"/>
      <c r="FW2153" s="4"/>
      <c r="FX2153" s="4"/>
      <c r="FY2153" s="4"/>
      <c r="FZ2153" s="4"/>
      <c r="GA2153" s="4"/>
      <c r="GB2153" s="4"/>
      <c r="GC2153" s="4"/>
      <c r="GD2153" s="4"/>
      <c r="GE2153" s="4"/>
      <c r="GF2153" s="4"/>
      <c r="GG2153" s="4"/>
      <c r="GH2153" s="4"/>
      <c r="GI2153" s="4"/>
      <c r="GJ2153" s="4"/>
      <c r="GK2153" s="4"/>
      <c r="GL2153" s="4"/>
      <c r="GM2153" s="4"/>
      <c r="GN2153" s="4"/>
      <c r="GO2153" s="4"/>
      <c r="GP2153" s="4"/>
      <c r="GQ2153" s="4"/>
      <c r="GR2153" s="4"/>
      <c r="GS2153" s="4"/>
      <c r="GT2153" s="4"/>
      <c r="GU2153" s="4"/>
      <c r="GV2153" s="4"/>
      <c r="GW2153" s="4"/>
      <c r="GX2153" s="4"/>
      <c r="GY2153" s="4"/>
      <c r="GZ2153" s="4"/>
      <c r="HA2153" s="4"/>
      <c r="HB2153" s="4"/>
      <c r="HC2153" s="4"/>
      <c r="HD2153" s="4"/>
      <c r="HE2153" s="4"/>
    </row>
    <row r="2154">
      <c r="A2154" s="2" t="s">
        <v>10204</v>
      </c>
      <c r="B2154" s="2" t="s">
        <v>958</v>
      </c>
      <c r="C2154" s="2" t="s">
        <v>300</v>
      </c>
      <c r="D2154" s="2" t="s">
        <v>1790</v>
      </c>
      <c r="E2154" s="2" t="s">
        <v>1791</v>
      </c>
      <c r="F2154" s="2" t="s">
        <v>10205</v>
      </c>
      <c r="G2154" s="2" t="s">
        <v>9565</v>
      </c>
      <c r="H2154" s="2" t="s">
        <v>10206</v>
      </c>
      <c r="I2154" s="2" t="s">
        <v>1791</v>
      </c>
      <c r="J2154" s="2" t="s">
        <v>840</v>
      </c>
      <c r="K2154" s="2" t="s">
        <v>1105</v>
      </c>
      <c r="L2154" s="3">
        <v>128.7</v>
      </c>
      <c r="M2154" s="3">
        <v>135.14</v>
      </c>
      <c r="N2154" s="3">
        <v>279</v>
      </c>
      <c r="O2154" s="2" t="s">
        <v>240</v>
      </c>
      <c r="P2154" s="2" t="s">
        <v>333</v>
      </c>
      <c r="Q2154" s="2" t="s">
        <v>234</v>
      </c>
      <c r="R2154" s="2" t="s">
        <v>228</v>
      </c>
      <c r="S2154" s="2" t="s">
        <v>10207</v>
      </c>
      <c r="T2154" s="2" t="s">
        <v>228</v>
      </c>
      <c r="U2154" s="2" t="s">
        <v>228</v>
      </c>
      <c r="V2154" s="2" t="s">
        <v>236</v>
      </c>
      <c r="W2154" s="2" t="s">
        <v>463</v>
      </c>
      <c r="X2154" s="2" t="s">
        <v>228</v>
      </c>
      <c r="Y2154" s="2" t="s">
        <v>6344</v>
      </c>
      <c r="Z2154" s="4">
        <v>160</v>
      </c>
      <c r="AA2154" s="4">
        <f>=ROUNDDOWN(40,0)</f>
      </c>
      <c r="AB2154" s="5">
        <v>4</v>
      </c>
      <c r="AC2154" s="2" t="s">
        <v>228</v>
      </c>
      <c r="AD2154" s="4"/>
      <c r="AE2154" s="4"/>
      <c r="AF2154" s="6">
        <v>66</v>
      </c>
      <c r="AG2154" s="6">
        <v>49</v>
      </c>
      <c r="AH2154" s="7">
        <v>1</v>
      </c>
      <c r="AI2154" s="4"/>
      <c r="AJ2154" s="4">
        <f>=ROUNDDOWN({0},0)</f>
      </c>
      <c r="AK2154" s="5"/>
      <c r="AL2154" s="2" t="s">
        <v>228</v>
      </c>
      <c r="AM2154" s="4"/>
      <c r="AN2154" s="4"/>
      <c r="AO2154" s="7">
        <v>0.5484</v>
      </c>
      <c r="AP2154" s="4"/>
      <c r="AQ2154" s="8"/>
      <c r="AR2154" s="4"/>
      <c r="AS2154" s="8"/>
      <c r="AT2154" s="7"/>
      <c r="AU2154" s="7"/>
      <c r="AV2154" s="4"/>
      <c r="AW2154" s="8"/>
      <c r="AX2154" s="4"/>
      <c r="AY2154" s="8"/>
      <c r="AZ2154" s="7"/>
      <c r="BA2154" s="7"/>
      <c r="BB2154" s="7"/>
      <c r="BC2154" s="4"/>
      <c r="BD2154" s="8"/>
      <c r="BE2154" s="4"/>
      <c r="BF2154" s="8"/>
      <c r="BG2154" s="7"/>
      <c r="BH2154" s="7"/>
      <c r="BI2154" s="7"/>
      <c r="BJ2154" s="4">
        <v>22</v>
      </c>
      <c r="BK2154" s="8">
        <v>2406.93</v>
      </c>
      <c r="BL2154" s="2" t="s">
        <v>10208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10209</v>
      </c>
      <c r="BV2154" s="2" t="s">
        <v>228</v>
      </c>
      <c r="BW2154" s="2" t="s">
        <v>228</v>
      </c>
      <c r="BX2154" s="2" t="s">
        <v>337</v>
      </c>
      <c r="BY2154" s="2" t="s">
        <v>274</v>
      </c>
      <c r="BZ2154" s="2" t="s">
        <v>240</v>
      </c>
      <c r="CA2154" s="2" t="s">
        <v>10210</v>
      </c>
      <c r="CB2154" s="2" t="s">
        <v>3795</v>
      </c>
      <c r="CC2154" s="2" t="s">
        <v>241</v>
      </c>
      <c r="CD2154" s="2" t="s">
        <v>228</v>
      </c>
      <c r="CE2154" s="4"/>
      <c r="CF2154" s="4">
        <v>160</v>
      </c>
      <c r="CG2154" s="4"/>
      <c r="CH2154" s="4"/>
      <c r="CI2154" s="4"/>
      <c r="CJ2154" s="4"/>
      <c r="CK2154" s="4"/>
      <c r="CL2154" s="4"/>
      <c r="CM2154" s="4"/>
      <c r="CN2154" s="4"/>
      <c r="CO2154" s="4"/>
      <c r="CP2154" s="4"/>
      <c r="CQ2154" s="4"/>
      <c r="CR2154" s="4"/>
      <c r="CS2154" s="4"/>
      <c r="CT2154" s="4"/>
      <c r="CU2154" s="4"/>
      <c r="CV2154" s="4"/>
      <c r="CW2154" s="4"/>
      <c r="CX2154" s="4"/>
      <c r="CY2154" s="4"/>
      <c r="CZ2154" s="4"/>
      <c r="DA2154" s="4"/>
      <c r="DB2154" s="4"/>
      <c r="DC2154" s="4"/>
      <c r="DD2154" s="4"/>
      <c r="DE2154" s="4"/>
      <c r="DF2154" s="4"/>
      <c r="DG2154" s="4"/>
      <c r="DH2154" s="4"/>
      <c r="DI2154" s="4"/>
      <c r="DJ2154" s="4"/>
      <c r="DK2154" s="4"/>
      <c r="DL2154" s="4"/>
      <c r="DM2154" s="4"/>
      <c r="DN2154" s="4"/>
      <c r="DO2154" s="4"/>
      <c r="DP2154" s="4"/>
      <c r="DQ2154" s="4"/>
      <c r="DR2154" s="4"/>
      <c r="DS2154" s="4"/>
      <c r="DT2154" s="4"/>
      <c r="DU2154" s="4"/>
      <c r="DV2154" s="4"/>
      <c r="DW2154" s="4"/>
      <c r="DX2154" s="4"/>
      <c r="DY2154" s="4"/>
      <c r="DZ2154" s="4"/>
      <c r="EA2154" s="4"/>
      <c r="EB2154" s="4"/>
      <c r="EC2154" s="4"/>
      <c r="ED2154" s="4"/>
      <c r="EE2154" s="4"/>
      <c r="EF2154" s="4"/>
      <c r="EG2154" s="4"/>
      <c r="EH2154" s="4"/>
      <c r="EI2154" s="4"/>
      <c r="EJ2154" s="4"/>
      <c r="EK2154" s="4"/>
      <c r="EL2154" s="4"/>
      <c r="EM2154" s="4"/>
      <c r="EN2154" s="4"/>
      <c r="EO2154" s="4"/>
      <c r="EP2154" s="4"/>
      <c r="EQ2154" s="4"/>
      <c r="ER2154" s="4"/>
      <c r="ES2154" s="4"/>
      <c r="ET2154" s="4"/>
      <c r="EU2154" s="4"/>
      <c r="EV2154" s="4"/>
      <c r="EW2154" s="4"/>
      <c r="EX2154" s="4"/>
      <c r="EY2154" s="4"/>
      <c r="EZ2154" s="4"/>
      <c r="FA2154" s="4"/>
      <c r="FB2154" s="4"/>
      <c r="FC2154" s="4"/>
      <c r="FD2154" s="4"/>
      <c r="FE2154" s="4"/>
      <c r="FF2154" s="4"/>
      <c r="FG2154" s="4"/>
      <c r="FH2154" s="4"/>
      <c r="FI2154" s="4"/>
      <c r="FJ2154" s="4"/>
      <c r="FK2154" s="4"/>
      <c r="FL2154" s="4"/>
      <c r="FM2154" s="4"/>
      <c r="FN2154" s="4"/>
      <c r="FO2154" s="4"/>
      <c r="FP2154" s="4"/>
      <c r="FQ2154" s="4"/>
      <c r="FR2154" s="4"/>
      <c r="FS2154" s="4"/>
      <c r="FT2154" s="4"/>
      <c r="FU2154" s="4"/>
      <c r="FV2154" s="4"/>
      <c r="FW2154" s="4"/>
      <c r="FX2154" s="4"/>
      <c r="FY2154" s="4"/>
      <c r="FZ2154" s="4"/>
      <c r="GA2154" s="4"/>
      <c r="GB2154" s="4"/>
      <c r="GC2154" s="4"/>
      <c r="GD2154" s="4"/>
      <c r="GE2154" s="4"/>
      <c r="GF2154" s="4"/>
      <c r="GG2154" s="4"/>
      <c r="GH2154" s="4"/>
      <c r="GI2154" s="4"/>
      <c r="GJ2154" s="4"/>
      <c r="GK2154" s="4"/>
      <c r="GL2154" s="4"/>
      <c r="GM2154" s="4"/>
      <c r="GN2154" s="4"/>
      <c r="GO2154" s="4"/>
      <c r="GP2154" s="4"/>
      <c r="GQ2154" s="4"/>
      <c r="GR2154" s="4"/>
      <c r="GS2154" s="4"/>
      <c r="GT2154" s="4"/>
      <c r="GU2154" s="4"/>
      <c r="GV2154" s="4"/>
      <c r="GW2154" s="4"/>
      <c r="GX2154" s="4"/>
      <c r="GY2154" s="4"/>
      <c r="GZ2154" s="4"/>
      <c r="HA2154" s="4"/>
      <c r="HB2154" s="4"/>
      <c r="HC2154" s="4"/>
      <c r="HD2154" s="4"/>
      <c r="HE2154" s="4"/>
    </row>
    <row r="2155">
      <c r="A2155" s="2" t="s">
        <v>10211</v>
      </c>
      <c r="B2155" s="2" t="s">
        <v>970</v>
      </c>
      <c r="C2155" s="2" t="s">
        <v>300</v>
      </c>
      <c r="D2155" s="2" t="s">
        <v>971</v>
      </c>
      <c r="E2155" s="2" t="s">
        <v>1940</v>
      </c>
      <c r="F2155" s="2" t="s">
        <v>10212</v>
      </c>
      <c r="G2155" s="2" t="s">
        <v>10213</v>
      </c>
      <c r="H2155" s="2" t="s">
        <v>5462</v>
      </c>
      <c r="I2155" s="2" t="s">
        <v>10214</v>
      </c>
      <c r="J2155" s="2" t="s">
        <v>977</v>
      </c>
      <c r="K2155" s="2" t="s">
        <v>556</v>
      </c>
      <c r="L2155" s="3">
        <v>11.34</v>
      </c>
      <c r="M2155" s="3">
        <v>11.91</v>
      </c>
      <c r="N2155" s="3">
        <v>26.99</v>
      </c>
      <c r="O2155" s="2" t="s">
        <v>240</v>
      </c>
      <c r="P2155" s="2" t="s">
        <v>333</v>
      </c>
      <c r="Q2155" s="2" t="s">
        <v>234</v>
      </c>
      <c r="R2155" s="2" t="s">
        <v>228</v>
      </c>
      <c r="S2155" s="2" t="s">
        <v>10215</v>
      </c>
      <c r="T2155" s="2" t="s">
        <v>228</v>
      </c>
      <c r="U2155" s="2" t="s">
        <v>416</v>
      </c>
      <c r="V2155" s="2" t="s">
        <v>1156</v>
      </c>
      <c r="W2155" s="2" t="s">
        <v>463</v>
      </c>
      <c r="X2155" s="2" t="s">
        <v>417</v>
      </c>
      <c r="Y2155" s="2" t="s">
        <v>6842</v>
      </c>
      <c r="Z2155" s="4">
        <v>1</v>
      </c>
      <c r="AA2155" s="4">
        <f>=ROUNDDOWN(0.2,0)</f>
      </c>
      <c r="AB2155" s="5">
        <v>5</v>
      </c>
      <c r="AC2155" s="2" t="s">
        <v>228</v>
      </c>
      <c r="AD2155" s="4"/>
      <c r="AE2155" s="4"/>
      <c r="AF2155" s="6">
        <v>65</v>
      </c>
      <c r="AG2155" s="6"/>
      <c r="AH2155" s="7">
        <v>1</v>
      </c>
      <c r="AI2155" s="4"/>
      <c r="AJ2155" s="4">
        <f>=ROUNDDOWN({0},0)</f>
      </c>
      <c r="AK2155" s="5"/>
      <c r="AL2155" s="2" t="s">
        <v>228</v>
      </c>
      <c r="AM2155" s="4"/>
      <c r="AN2155" s="4"/>
      <c r="AO2155" s="7"/>
      <c r="AP2155" s="4"/>
      <c r="AQ2155" s="8"/>
      <c r="AR2155" s="4"/>
      <c r="AS2155" s="8"/>
      <c r="AT2155" s="7"/>
      <c r="AU2155" s="7"/>
      <c r="AV2155" s="4" t="s">
        <v>228</v>
      </c>
      <c r="AW2155" s="8" t="s">
        <v>228</v>
      </c>
      <c r="AX2155" s="4" t="s">
        <v>228</v>
      </c>
      <c r="AY2155" s="8" t="s">
        <v>228</v>
      </c>
      <c r="AZ2155" s="7" t="s">
        <v>228</v>
      </c>
      <c r="BA2155" s="7" t="s">
        <v>228</v>
      </c>
      <c r="BB2155" s="7"/>
      <c r="BC2155" s="4" t="s">
        <v>228</v>
      </c>
      <c r="BD2155" s="8" t="s">
        <v>228</v>
      </c>
      <c r="BE2155" s="4" t="s">
        <v>228</v>
      </c>
      <c r="BF2155" s="8" t="s">
        <v>228</v>
      </c>
      <c r="BG2155" s="7" t="s">
        <v>228</v>
      </c>
      <c r="BH2155" s="7" t="s">
        <v>228</v>
      </c>
      <c r="BI2155" s="7"/>
      <c r="BJ2155" s="4">
        <v>8</v>
      </c>
      <c r="BK2155" s="8">
        <v>121.78</v>
      </c>
      <c r="BL2155" s="2" t="s">
        <v>10216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10217</v>
      </c>
      <c r="BV2155" s="2" t="s">
        <v>228</v>
      </c>
      <c r="BW2155" s="2" t="s">
        <v>228</v>
      </c>
      <c r="BX2155" s="2" t="s">
        <v>337</v>
      </c>
      <c r="BY2155" s="2" t="s">
        <v>274</v>
      </c>
      <c r="BZ2155" s="2" t="s">
        <v>240</v>
      </c>
      <c r="CA2155" s="2" t="s">
        <v>1935</v>
      </c>
      <c r="CB2155" s="2" t="s">
        <v>409</v>
      </c>
      <c r="CC2155" s="2" t="s">
        <v>241</v>
      </c>
      <c r="CD2155" s="2" t="s">
        <v>228</v>
      </c>
      <c r="CE2155" s="4">
        <v>1</v>
      </c>
      <c r="CF2155" s="4"/>
      <c r="CG2155" s="4"/>
      <c r="CH2155" s="4"/>
      <c r="CI2155" s="4"/>
      <c r="CJ2155" s="4"/>
      <c r="CK2155" s="4"/>
      <c r="CL2155" s="4"/>
      <c r="CM2155" s="4"/>
      <c r="CN2155" s="4"/>
      <c r="CO2155" s="4"/>
      <c r="CP2155" s="4"/>
      <c r="CQ2155" s="4"/>
      <c r="CR2155" s="4"/>
      <c r="CS2155" s="4"/>
      <c r="CT2155" s="4"/>
      <c r="CU2155" s="4"/>
      <c r="CV2155" s="4"/>
      <c r="CW2155" s="4"/>
      <c r="CX2155" s="4"/>
      <c r="CY2155" s="4"/>
      <c r="CZ2155" s="4"/>
      <c r="DA2155" s="4"/>
      <c r="DB2155" s="4"/>
      <c r="DC2155" s="4"/>
      <c r="DD2155" s="4"/>
      <c r="DE2155" s="4"/>
      <c r="DF2155" s="4"/>
      <c r="DG2155" s="4"/>
      <c r="DH2155" s="4"/>
      <c r="DI2155" s="4"/>
      <c r="DJ2155" s="4"/>
      <c r="DK2155" s="4"/>
      <c r="DL2155" s="4"/>
      <c r="DM2155" s="4"/>
      <c r="DN2155" s="4"/>
      <c r="DO2155" s="4"/>
      <c r="DP2155" s="4"/>
      <c r="DQ2155" s="4"/>
      <c r="DR2155" s="4"/>
      <c r="DS2155" s="4"/>
      <c r="DT2155" s="4"/>
      <c r="DU2155" s="4"/>
      <c r="DV2155" s="4"/>
      <c r="DW2155" s="4"/>
      <c r="DX2155" s="4"/>
      <c r="DY2155" s="4"/>
      <c r="DZ2155" s="4"/>
      <c r="EA2155" s="4"/>
      <c r="EB2155" s="4"/>
      <c r="EC2155" s="4"/>
      <c r="ED2155" s="4"/>
      <c r="EE2155" s="4"/>
      <c r="EF2155" s="4"/>
      <c r="EG2155" s="4"/>
      <c r="EH2155" s="4"/>
      <c r="EI2155" s="4"/>
      <c r="EJ2155" s="4"/>
      <c r="EK2155" s="4"/>
      <c r="EL2155" s="4"/>
      <c r="EM2155" s="4"/>
      <c r="EN2155" s="4"/>
      <c r="EO2155" s="4"/>
      <c r="EP2155" s="4"/>
      <c r="EQ2155" s="4"/>
      <c r="ER2155" s="4"/>
      <c r="ES2155" s="4"/>
      <c r="ET2155" s="4"/>
      <c r="EU2155" s="4"/>
      <c r="EV2155" s="4"/>
      <c r="EW2155" s="4"/>
      <c r="EX2155" s="4"/>
      <c r="EY2155" s="4"/>
      <c r="EZ2155" s="4"/>
      <c r="FA2155" s="4"/>
      <c r="FB2155" s="4"/>
      <c r="FC2155" s="4"/>
      <c r="FD2155" s="4"/>
      <c r="FE2155" s="4"/>
      <c r="FF2155" s="4"/>
      <c r="FG2155" s="4"/>
      <c r="FH2155" s="4"/>
      <c r="FI2155" s="4"/>
      <c r="FJ2155" s="4"/>
      <c r="FK2155" s="4"/>
      <c r="FL2155" s="4"/>
      <c r="FM2155" s="4"/>
      <c r="FN2155" s="4"/>
      <c r="FO2155" s="4"/>
      <c r="FP2155" s="4"/>
      <c r="FQ2155" s="4"/>
      <c r="FR2155" s="4"/>
      <c r="FS2155" s="4"/>
      <c r="FT2155" s="4"/>
      <c r="FU2155" s="4"/>
      <c r="FV2155" s="4"/>
      <c r="FW2155" s="4"/>
      <c r="FX2155" s="4"/>
      <c r="FY2155" s="4"/>
      <c r="FZ2155" s="4"/>
      <c r="GA2155" s="4"/>
      <c r="GB2155" s="4"/>
      <c r="GC2155" s="4"/>
      <c r="GD2155" s="4"/>
      <c r="GE2155" s="4"/>
      <c r="GF2155" s="4"/>
      <c r="GG2155" s="4"/>
      <c r="GH2155" s="4"/>
      <c r="GI2155" s="4"/>
      <c r="GJ2155" s="4"/>
      <c r="GK2155" s="4"/>
      <c r="GL2155" s="4"/>
      <c r="GM2155" s="4"/>
      <c r="GN2155" s="4"/>
      <c r="GO2155" s="4"/>
      <c r="GP2155" s="4"/>
      <c r="GQ2155" s="4"/>
      <c r="GR2155" s="4"/>
      <c r="GS2155" s="4"/>
      <c r="GT2155" s="4"/>
      <c r="GU2155" s="4"/>
      <c r="GV2155" s="4"/>
      <c r="GW2155" s="4"/>
      <c r="GX2155" s="4"/>
      <c r="GY2155" s="4"/>
      <c r="GZ2155" s="4"/>
      <c r="HA2155" s="4"/>
      <c r="HB2155" s="4"/>
      <c r="HC2155" s="4"/>
      <c r="HD2155" s="4"/>
      <c r="HE2155" s="4"/>
    </row>
    <row r="2156">
      <c r="A2156" s="2" t="s">
        <v>10218</v>
      </c>
      <c r="B2156" s="2" t="s">
        <v>970</v>
      </c>
      <c r="C2156" s="2" t="s">
        <v>300</v>
      </c>
      <c r="D2156" s="2" t="s">
        <v>971</v>
      </c>
      <c r="E2156" s="2" t="s">
        <v>1940</v>
      </c>
      <c r="F2156" s="2" t="s">
        <v>10212</v>
      </c>
      <c r="G2156" s="2" t="s">
        <v>10213</v>
      </c>
      <c r="H2156" s="2" t="s">
        <v>5462</v>
      </c>
      <c r="I2156" s="2" t="s">
        <v>10219</v>
      </c>
      <c r="J2156" s="2" t="s">
        <v>1300</v>
      </c>
      <c r="K2156" s="2" t="s">
        <v>556</v>
      </c>
      <c r="L2156" s="3">
        <v>15.75</v>
      </c>
      <c r="M2156" s="3">
        <v>16.54</v>
      </c>
      <c r="N2156" s="3">
        <v>34.99</v>
      </c>
      <c r="O2156" s="2" t="s">
        <v>240</v>
      </c>
      <c r="P2156" s="2" t="s">
        <v>333</v>
      </c>
      <c r="Q2156" s="2" t="s">
        <v>234</v>
      </c>
      <c r="R2156" s="2" t="s">
        <v>228</v>
      </c>
      <c r="S2156" s="2" t="s">
        <v>10215</v>
      </c>
      <c r="T2156" s="2" t="s">
        <v>228</v>
      </c>
      <c r="U2156" s="2" t="s">
        <v>416</v>
      </c>
      <c r="V2156" s="2" t="s">
        <v>1156</v>
      </c>
      <c r="W2156" s="2" t="s">
        <v>463</v>
      </c>
      <c r="X2156" s="2" t="s">
        <v>417</v>
      </c>
      <c r="Y2156" s="2" t="s">
        <v>6842</v>
      </c>
      <c r="Z2156" s="4">
        <v>35</v>
      </c>
      <c r="AA2156" s="4">
        <f>=ROUNDDOWN(23.3333333333333,0)</f>
      </c>
      <c r="AB2156" s="5">
        <v>1.5</v>
      </c>
      <c r="AC2156" s="2" t="s">
        <v>228</v>
      </c>
      <c r="AD2156" s="4"/>
      <c r="AE2156" s="4"/>
      <c r="AF2156" s="6">
        <v>65</v>
      </c>
      <c r="AG2156" s="6"/>
      <c r="AH2156" s="7">
        <v>1</v>
      </c>
      <c r="AI2156" s="4"/>
      <c r="AJ2156" s="4">
        <f>=ROUNDDOWN({0},0)</f>
      </c>
      <c r="AK2156" s="5"/>
      <c r="AL2156" s="2" t="s">
        <v>228</v>
      </c>
      <c r="AM2156" s="4"/>
      <c r="AN2156" s="4"/>
      <c r="AO2156" s="7"/>
      <c r="AP2156" s="4"/>
      <c r="AQ2156" s="8"/>
      <c r="AR2156" s="4"/>
      <c r="AS2156" s="8"/>
      <c r="AT2156" s="7"/>
      <c r="AU2156" s="7"/>
      <c r="AV2156" s="4" t="s">
        <v>228</v>
      </c>
      <c r="AW2156" s="8" t="s">
        <v>228</v>
      </c>
      <c r="AX2156" s="4" t="s">
        <v>228</v>
      </c>
      <c r="AY2156" s="8" t="s">
        <v>228</v>
      </c>
      <c r="AZ2156" s="7" t="s">
        <v>228</v>
      </c>
      <c r="BA2156" s="7" t="s">
        <v>228</v>
      </c>
      <c r="BB2156" s="7" t="s">
        <v>228</v>
      </c>
      <c r="BC2156" s="4" t="s">
        <v>228</v>
      </c>
      <c r="BD2156" s="8" t="s">
        <v>228</v>
      </c>
      <c r="BE2156" s="4" t="s">
        <v>228</v>
      </c>
      <c r="BF2156" s="8" t="s">
        <v>228</v>
      </c>
      <c r="BG2156" s="7" t="s">
        <v>228</v>
      </c>
      <c r="BH2156" s="7" t="s">
        <v>228</v>
      </c>
      <c r="BI2156" s="7"/>
      <c r="BJ2156" s="4">
        <v>6</v>
      </c>
      <c r="BK2156" s="8">
        <v>95.62</v>
      </c>
      <c r="BL2156" s="2" t="s">
        <v>10220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10221</v>
      </c>
      <c r="BV2156" s="2" t="s">
        <v>228</v>
      </c>
      <c r="BW2156" s="2" t="s">
        <v>228</v>
      </c>
      <c r="BX2156" s="2" t="s">
        <v>337</v>
      </c>
      <c r="BY2156" s="2" t="s">
        <v>274</v>
      </c>
      <c r="BZ2156" s="2" t="s">
        <v>240</v>
      </c>
      <c r="CA2156" s="2" t="s">
        <v>1935</v>
      </c>
      <c r="CB2156" s="2" t="s">
        <v>8138</v>
      </c>
      <c r="CC2156" s="2" t="s">
        <v>241</v>
      </c>
      <c r="CD2156" s="2" t="s">
        <v>228</v>
      </c>
      <c r="CE2156" s="4">
        <v>35</v>
      </c>
      <c r="CF2156" s="4"/>
      <c r="CG2156" s="4"/>
      <c r="CH2156" s="4"/>
      <c r="CI2156" s="4"/>
      <c r="CJ2156" s="4"/>
      <c r="CK2156" s="4"/>
      <c r="CL2156" s="4"/>
      <c r="CM2156" s="4"/>
      <c r="CN2156" s="4"/>
      <c r="CO2156" s="4"/>
      <c r="CP2156" s="4"/>
      <c r="CQ2156" s="4"/>
      <c r="CR2156" s="4"/>
      <c r="CS2156" s="4"/>
      <c r="CT2156" s="4"/>
      <c r="CU2156" s="4"/>
      <c r="CV2156" s="4"/>
      <c r="CW2156" s="4"/>
      <c r="CX2156" s="4"/>
      <c r="CY2156" s="4"/>
      <c r="CZ2156" s="4"/>
      <c r="DA2156" s="4"/>
      <c r="DB2156" s="4"/>
      <c r="DC2156" s="4"/>
      <c r="DD2156" s="4"/>
      <c r="DE2156" s="4"/>
      <c r="DF2156" s="4"/>
      <c r="DG2156" s="4"/>
      <c r="DH2156" s="4"/>
      <c r="DI2156" s="4"/>
      <c r="DJ2156" s="4"/>
      <c r="DK2156" s="4"/>
      <c r="DL2156" s="4"/>
      <c r="DM2156" s="4"/>
      <c r="DN2156" s="4"/>
      <c r="DO2156" s="4"/>
      <c r="DP2156" s="4"/>
      <c r="DQ2156" s="4"/>
      <c r="DR2156" s="4"/>
      <c r="DS2156" s="4"/>
      <c r="DT2156" s="4"/>
      <c r="DU2156" s="4"/>
      <c r="DV2156" s="4"/>
      <c r="DW2156" s="4"/>
      <c r="DX2156" s="4"/>
      <c r="DY2156" s="4"/>
      <c r="DZ2156" s="4"/>
      <c r="EA2156" s="4"/>
      <c r="EB2156" s="4"/>
      <c r="EC2156" s="4"/>
      <c r="ED2156" s="4"/>
      <c r="EE2156" s="4"/>
      <c r="EF2156" s="4"/>
      <c r="EG2156" s="4"/>
      <c r="EH2156" s="4"/>
      <c r="EI2156" s="4"/>
      <c r="EJ2156" s="4"/>
      <c r="EK2156" s="4"/>
      <c r="EL2156" s="4"/>
      <c r="EM2156" s="4"/>
      <c r="EN2156" s="4"/>
      <c r="EO2156" s="4"/>
      <c r="EP2156" s="4"/>
      <c r="EQ2156" s="4"/>
      <c r="ER2156" s="4"/>
      <c r="ES2156" s="4"/>
      <c r="ET2156" s="4"/>
      <c r="EU2156" s="4"/>
      <c r="EV2156" s="4"/>
      <c r="EW2156" s="4"/>
      <c r="EX2156" s="4"/>
      <c r="EY2156" s="4"/>
      <c r="EZ2156" s="4"/>
      <c r="FA2156" s="4"/>
      <c r="FB2156" s="4"/>
      <c r="FC2156" s="4"/>
      <c r="FD2156" s="4"/>
      <c r="FE2156" s="4"/>
      <c r="FF2156" s="4"/>
      <c r="FG2156" s="4"/>
      <c r="FH2156" s="4"/>
      <c r="FI2156" s="4"/>
      <c r="FJ2156" s="4"/>
      <c r="FK2156" s="4"/>
      <c r="FL2156" s="4"/>
      <c r="FM2156" s="4"/>
      <c r="FN2156" s="4"/>
      <c r="FO2156" s="4"/>
      <c r="FP2156" s="4"/>
      <c r="FQ2156" s="4"/>
      <c r="FR2156" s="4"/>
      <c r="FS2156" s="4"/>
      <c r="FT2156" s="4"/>
      <c r="FU2156" s="4"/>
      <c r="FV2156" s="4"/>
      <c r="FW2156" s="4"/>
      <c r="FX2156" s="4"/>
      <c r="FY2156" s="4"/>
      <c r="FZ2156" s="4"/>
      <c r="GA2156" s="4"/>
      <c r="GB2156" s="4"/>
      <c r="GC2156" s="4"/>
      <c r="GD2156" s="4"/>
      <c r="GE2156" s="4"/>
      <c r="GF2156" s="4"/>
      <c r="GG2156" s="4"/>
      <c r="GH2156" s="4"/>
      <c r="GI2156" s="4"/>
      <c r="GJ2156" s="4"/>
      <c r="GK2156" s="4"/>
      <c r="GL2156" s="4"/>
      <c r="GM2156" s="4"/>
      <c r="GN2156" s="4"/>
      <c r="GO2156" s="4"/>
      <c r="GP2156" s="4"/>
      <c r="GQ2156" s="4"/>
      <c r="GR2156" s="4"/>
      <c r="GS2156" s="4"/>
      <c r="GT2156" s="4"/>
      <c r="GU2156" s="4"/>
      <c r="GV2156" s="4"/>
      <c r="GW2156" s="4"/>
      <c r="GX2156" s="4"/>
      <c r="GY2156" s="4"/>
      <c r="GZ2156" s="4"/>
      <c r="HA2156" s="4"/>
      <c r="HB2156" s="4"/>
      <c r="HC2156" s="4"/>
      <c r="HD2156" s="4"/>
      <c r="HE2156" s="4"/>
    </row>
    <row r="2157">
      <c r="A2157" s="2" t="s">
        <v>10222</v>
      </c>
      <c r="B2157" s="2" t="s">
        <v>970</v>
      </c>
      <c r="C2157" s="2" t="s">
        <v>300</v>
      </c>
      <c r="D2157" s="2" t="s">
        <v>971</v>
      </c>
      <c r="E2157" s="2" t="s">
        <v>1940</v>
      </c>
      <c r="F2157" s="2" t="s">
        <v>10212</v>
      </c>
      <c r="G2157" s="2" t="s">
        <v>10213</v>
      </c>
      <c r="H2157" s="2" t="s">
        <v>5462</v>
      </c>
      <c r="I2157" s="2" t="s">
        <v>10214</v>
      </c>
      <c r="J2157" s="2" t="s">
        <v>1300</v>
      </c>
      <c r="K2157" s="2" t="s">
        <v>556</v>
      </c>
      <c r="L2157" s="3">
        <v>13.2</v>
      </c>
      <c r="M2157" s="3">
        <v>13.86</v>
      </c>
      <c r="N2157" s="3">
        <v>32.99</v>
      </c>
      <c r="O2157" s="2" t="s">
        <v>240</v>
      </c>
      <c r="P2157" s="2" t="s">
        <v>333</v>
      </c>
      <c r="Q2157" s="2" t="s">
        <v>234</v>
      </c>
      <c r="R2157" s="2" t="s">
        <v>228</v>
      </c>
      <c r="S2157" s="2" t="s">
        <v>10215</v>
      </c>
      <c r="T2157" s="2" t="s">
        <v>228</v>
      </c>
      <c r="U2157" s="2" t="s">
        <v>416</v>
      </c>
      <c r="V2157" s="2" t="s">
        <v>1156</v>
      </c>
      <c r="W2157" s="2" t="s">
        <v>463</v>
      </c>
      <c r="X2157" s="2" t="s">
        <v>417</v>
      </c>
      <c r="Y2157" s="2" t="s">
        <v>6842</v>
      </c>
      <c r="Z2157" s="4">
        <v>11</v>
      </c>
      <c r="AA2157" s="4">
        <f>=ROUNDDOWN(5.5,0)</f>
      </c>
      <c r="AB2157" s="5">
        <v>2</v>
      </c>
      <c r="AC2157" s="2" t="s">
        <v>228</v>
      </c>
      <c r="AD2157" s="4"/>
      <c r="AE2157" s="4"/>
      <c r="AF2157" s="6">
        <v>65</v>
      </c>
      <c r="AG2157" s="6"/>
      <c r="AH2157" s="7">
        <v>1</v>
      </c>
      <c r="AI2157" s="4"/>
      <c r="AJ2157" s="4">
        <f>=ROUNDDOWN({0},0)</f>
      </c>
      <c r="AK2157" s="5"/>
      <c r="AL2157" s="2" t="s">
        <v>228</v>
      </c>
      <c r="AM2157" s="4"/>
      <c r="AN2157" s="4"/>
      <c r="AO2157" s="7"/>
      <c r="AP2157" s="4"/>
      <c r="AQ2157" s="8"/>
      <c r="AR2157" s="4"/>
      <c r="AS2157" s="8"/>
      <c r="AT2157" s="7"/>
      <c r="AU2157" s="7"/>
      <c r="AV2157" s="4" t="s">
        <v>228</v>
      </c>
      <c r="AW2157" s="8" t="s">
        <v>228</v>
      </c>
      <c r="AX2157" s="4" t="s">
        <v>228</v>
      </c>
      <c r="AY2157" s="8" t="s">
        <v>228</v>
      </c>
      <c r="AZ2157" s="7" t="s">
        <v>228</v>
      </c>
      <c r="BA2157" s="7" t="s">
        <v>228</v>
      </c>
      <c r="BB2157" s="7" t="s">
        <v>228</v>
      </c>
      <c r="BC2157" s="4" t="s">
        <v>228</v>
      </c>
      <c r="BD2157" s="8" t="s">
        <v>228</v>
      </c>
      <c r="BE2157" s="4" t="s">
        <v>228</v>
      </c>
      <c r="BF2157" s="8" t="s">
        <v>228</v>
      </c>
      <c r="BG2157" s="7" t="s">
        <v>228</v>
      </c>
      <c r="BH2157" s="7" t="s">
        <v>228</v>
      </c>
      <c r="BI2157" s="7"/>
      <c r="BJ2157" s="4">
        <v>7</v>
      </c>
      <c r="BK2157" s="8">
        <v>157.07</v>
      </c>
      <c r="BL2157" s="2" t="s">
        <v>10223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10224</v>
      </c>
      <c r="BV2157" s="2" t="s">
        <v>228</v>
      </c>
      <c r="BW2157" s="2" t="s">
        <v>228</v>
      </c>
      <c r="BX2157" s="2" t="s">
        <v>337</v>
      </c>
      <c r="BY2157" s="2" t="s">
        <v>274</v>
      </c>
      <c r="BZ2157" s="2" t="s">
        <v>240</v>
      </c>
      <c r="CA2157" s="2" t="s">
        <v>1935</v>
      </c>
      <c r="CB2157" s="2" t="s">
        <v>1749</v>
      </c>
      <c r="CC2157" s="2" t="s">
        <v>241</v>
      </c>
      <c r="CD2157" s="2" t="s">
        <v>228</v>
      </c>
      <c r="CE2157" s="4">
        <v>11</v>
      </c>
      <c r="CF2157" s="4"/>
      <c r="CG2157" s="4"/>
      <c r="CH2157" s="4"/>
      <c r="CI2157" s="4"/>
      <c r="CJ2157" s="4"/>
      <c r="CK2157" s="4"/>
      <c r="CL2157" s="4"/>
      <c r="CM2157" s="4"/>
      <c r="CN2157" s="4"/>
      <c r="CO2157" s="4"/>
      <c r="CP2157" s="4"/>
      <c r="CQ2157" s="4"/>
      <c r="CR2157" s="4"/>
      <c r="CS2157" s="4"/>
      <c r="CT2157" s="4"/>
      <c r="CU2157" s="4"/>
      <c r="CV2157" s="4"/>
      <c r="CW2157" s="4"/>
      <c r="CX2157" s="4"/>
      <c r="CY2157" s="4"/>
      <c r="CZ2157" s="4"/>
      <c r="DA2157" s="4"/>
      <c r="DB2157" s="4"/>
      <c r="DC2157" s="4"/>
      <c r="DD2157" s="4"/>
      <c r="DE2157" s="4"/>
      <c r="DF2157" s="4"/>
      <c r="DG2157" s="4"/>
      <c r="DH2157" s="4"/>
      <c r="DI2157" s="4"/>
      <c r="DJ2157" s="4"/>
      <c r="DK2157" s="4"/>
      <c r="DL2157" s="4"/>
      <c r="DM2157" s="4"/>
      <c r="DN2157" s="4"/>
      <c r="DO2157" s="4"/>
      <c r="DP2157" s="4"/>
      <c r="DQ2157" s="4"/>
      <c r="DR2157" s="4"/>
      <c r="DS2157" s="4"/>
      <c r="DT2157" s="4"/>
      <c r="DU2157" s="4"/>
      <c r="DV2157" s="4"/>
      <c r="DW2157" s="4"/>
      <c r="DX2157" s="4"/>
      <c r="DY2157" s="4"/>
      <c r="DZ2157" s="4"/>
      <c r="EA2157" s="4"/>
      <c r="EB2157" s="4"/>
      <c r="EC2157" s="4"/>
      <c r="ED2157" s="4"/>
      <c r="EE2157" s="4"/>
      <c r="EF2157" s="4"/>
      <c r="EG2157" s="4"/>
      <c r="EH2157" s="4"/>
      <c r="EI2157" s="4"/>
      <c r="EJ2157" s="4"/>
      <c r="EK2157" s="4"/>
      <c r="EL2157" s="4"/>
      <c r="EM2157" s="4"/>
      <c r="EN2157" s="4"/>
      <c r="EO2157" s="4"/>
      <c r="EP2157" s="4"/>
      <c r="EQ2157" s="4"/>
      <c r="ER2157" s="4"/>
      <c r="ES2157" s="4"/>
      <c r="ET2157" s="4"/>
      <c r="EU2157" s="4"/>
      <c r="EV2157" s="4"/>
      <c r="EW2157" s="4"/>
      <c r="EX2157" s="4"/>
      <c r="EY2157" s="4"/>
      <c r="EZ2157" s="4"/>
      <c r="FA2157" s="4"/>
      <c r="FB2157" s="4"/>
      <c r="FC2157" s="4"/>
      <c r="FD2157" s="4"/>
      <c r="FE2157" s="4"/>
      <c r="FF2157" s="4"/>
      <c r="FG2157" s="4"/>
      <c r="FH2157" s="4"/>
      <c r="FI2157" s="4"/>
      <c r="FJ2157" s="4"/>
      <c r="FK2157" s="4"/>
      <c r="FL2157" s="4"/>
      <c r="FM2157" s="4"/>
      <c r="FN2157" s="4"/>
      <c r="FO2157" s="4"/>
      <c r="FP2157" s="4"/>
      <c r="FQ2157" s="4"/>
      <c r="FR2157" s="4"/>
      <c r="FS2157" s="4"/>
      <c r="FT2157" s="4"/>
      <c r="FU2157" s="4"/>
      <c r="FV2157" s="4"/>
      <c r="FW2157" s="4"/>
      <c r="FX2157" s="4"/>
      <c r="FY2157" s="4"/>
      <c r="FZ2157" s="4"/>
      <c r="GA2157" s="4"/>
      <c r="GB2157" s="4"/>
      <c r="GC2157" s="4"/>
      <c r="GD2157" s="4"/>
      <c r="GE2157" s="4"/>
      <c r="GF2157" s="4"/>
      <c r="GG2157" s="4"/>
      <c r="GH2157" s="4"/>
      <c r="GI2157" s="4"/>
      <c r="GJ2157" s="4"/>
      <c r="GK2157" s="4"/>
      <c r="GL2157" s="4"/>
      <c r="GM2157" s="4"/>
      <c r="GN2157" s="4"/>
      <c r="GO2157" s="4"/>
      <c r="GP2157" s="4"/>
      <c r="GQ2157" s="4"/>
      <c r="GR2157" s="4"/>
      <c r="GS2157" s="4"/>
      <c r="GT2157" s="4"/>
      <c r="GU2157" s="4"/>
      <c r="GV2157" s="4"/>
      <c r="GW2157" s="4"/>
      <c r="GX2157" s="4"/>
      <c r="GY2157" s="4"/>
      <c r="GZ2157" s="4"/>
      <c r="HA2157" s="4"/>
      <c r="HB2157" s="4"/>
      <c r="HC2157" s="4"/>
      <c r="HD2157" s="4"/>
      <c r="HE2157" s="4"/>
    </row>
    <row r="2158">
      <c r="A2158" s="2" t="s">
        <v>10225</v>
      </c>
      <c r="B2158" s="2" t="s">
        <v>970</v>
      </c>
      <c r="C2158" s="2" t="s">
        <v>300</v>
      </c>
      <c r="D2158" s="2" t="s">
        <v>971</v>
      </c>
      <c r="E2158" s="2" t="s">
        <v>1940</v>
      </c>
      <c r="F2158" s="2" t="s">
        <v>10212</v>
      </c>
      <c r="G2158" s="2" t="s">
        <v>10213</v>
      </c>
      <c r="H2158" s="2" t="s">
        <v>5462</v>
      </c>
      <c r="I2158" s="2" t="s">
        <v>10219</v>
      </c>
      <c r="J2158" s="2" t="s">
        <v>977</v>
      </c>
      <c r="K2158" s="2" t="s">
        <v>249</v>
      </c>
      <c r="L2158" s="3">
        <v>13.5</v>
      </c>
      <c r="M2158" s="3">
        <v>14.18</v>
      </c>
      <c r="N2158" s="3">
        <v>29.99</v>
      </c>
      <c r="O2158" s="2" t="s">
        <v>240</v>
      </c>
      <c r="P2158" s="2" t="s">
        <v>333</v>
      </c>
      <c r="Q2158" s="2" t="s">
        <v>234</v>
      </c>
      <c r="R2158" s="2" t="s">
        <v>228</v>
      </c>
      <c r="S2158" s="2" t="s">
        <v>10226</v>
      </c>
      <c r="T2158" s="2" t="s">
        <v>228</v>
      </c>
      <c r="U2158" s="2" t="s">
        <v>416</v>
      </c>
      <c r="V2158" s="2" t="s">
        <v>1156</v>
      </c>
      <c r="W2158" s="2" t="s">
        <v>463</v>
      </c>
      <c r="X2158" s="2" t="s">
        <v>417</v>
      </c>
      <c r="Y2158" s="2" t="s">
        <v>5396</v>
      </c>
      <c r="Z2158" s="4">
        <v>167</v>
      </c>
      <c r="AA2158" s="4">
        <f>=ROUNDDOWN(9.8235294117647,0)</f>
      </c>
      <c r="AB2158" s="5">
        <v>17</v>
      </c>
      <c r="AC2158" s="2" t="s">
        <v>228</v>
      </c>
      <c r="AD2158" s="4"/>
      <c r="AE2158" s="4"/>
      <c r="AF2158" s="6">
        <v>65</v>
      </c>
      <c r="AG2158" s="6"/>
      <c r="AH2158" s="7">
        <v>1</v>
      </c>
      <c r="AI2158" s="4"/>
      <c r="AJ2158" s="4">
        <f>=ROUNDDOWN({0},0)</f>
      </c>
      <c r="AK2158" s="5"/>
      <c r="AL2158" s="2" t="s">
        <v>228</v>
      </c>
      <c r="AM2158" s="4"/>
      <c r="AN2158" s="4"/>
      <c r="AO2158" s="7"/>
      <c r="AP2158" s="4"/>
      <c r="AQ2158" s="8"/>
      <c r="AR2158" s="4"/>
      <c r="AS2158" s="8"/>
      <c r="AT2158" s="7"/>
      <c r="AU2158" s="7"/>
      <c r="AV2158" s="4" t="s">
        <v>228</v>
      </c>
      <c r="AW2158" s="8" t="s">
        <v>228</v>
      </c>
      <c r="AX2158" s="4" t="s">
        <v>228</v>
      </c>
      <c r="AY2158" s="8" t="s">
        <v>228</v>
      </c>
      <c r="AZ2158" s="7" t="s">
        <v>228</v>
      </c>
      <c r="BA2158" s="7" t="s">
        <v>228</v>
      </c>
      <c r="BB2158" s="7"/>
      <c r="BC2158" s="4" t="s">
        <v>228</v>
      </c>
      <c r="BD2158" s="8" t="s">
        <v>228</v>
      </c>
      <c r="BE2158" s="4" t="s">
        <v>228</v>
      </c>
      <c r="BF2158" s="8" t="s">
        <v>228</v>
      </c>
      <c r="BG2158" s="7" t="s">
        <v>228</v>
      </c>
      <c r="BH2158" s="7" t="s">
        <v>228</v>
      </c>
      <c r="BI2158" s="7"/>
      <c r="BJ2158" s="4">
        <v>19</v>
      </c>
      <c r="BK2158" s="8">
        <v>253.65</v>
      </c>
      <c r="BL2158" s="2" t="s">
        <v>10227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10228</v>
      </c>
      <c r="BV2158" s="2" t="s">
        <v>228</v>
      </c>
      <c r="BW2158" s="2" t="s">
        <v>228</v>
      </c>
      <c r="BX2158" s="2" t="s">
        <v>337</v>
      </c>
      <c r="BY2158" s="2" t="s">
        <v>274</v>
      </c>
      <c r="BZ2158" s="2" t="s">
        <v>240</v>
      </c>
      <c r="CA2158" s="2" t="s">
        <v>1458</v>
      </c>
      <c r="CB2158" s="2" t="s">
        <v>10229</v>
      </c>
      <c r="CC2158" s="2" t="s">
        <v>241</v>
      </c>
      <c r="CD2158" s="2" t="s">
        <v>228</v>
      </c>
      <c r="CE2158" s="4">
        <v>167</v>
      </c>
      <c r="CF2158" s="4"/>
      <c r="CG2158" s="4"/>
      <c r="CH2158" s="4"/>
      <c r="CI2158" s="4"/>
      <c r="CJ2158" s="4"/>
      <c r="CK2158" s="4"/>
      <c r="CL2158" s="4"/>
      <c r="CM2158" s="4"/>
      <c r="CN2158" s="4"/>
      <c r="CO2158" s="4"/>
      <c r="CP2158" s="4"/>
      <c r="CQ2158" s="4"/>
      <c r="CR2158" s="4"/>
      <c r="CS2158" s="4"/>
      <c r="CT2158" s="4"/>
      <c r="CU2158" s="4"/>
      <c r="CV2158" s="4"/>
      <c r="CW2158" s="4"/>
      <c r="CX2158" s="4"/>
      <c r="CY2158" s="4"/>
      <c r="CZ2158" s="4"/>
      <c r="DA2158" s="4"/>
      <c r="DB2158" s="4"/>
      <c r="DC2158" s="4"/>
      <c r="DD2158" s="4"/>
      <c r="DE2158" s="4"/>
      <c r="DF2158" s="4"/>
      <c r="DG2158" s="4"/>
      <c r="DH2158" s="4"/>
      <c r="DI2158" s="4"/>
      <c r="DJ2158" s="4"/>
      <c r="DK2158" s="4"/>
      <c r="DL2158" s="4"/>
      <c r="DM2158" s="4"/>
      <c r="DN2158" s="4"/>
      <c r="DO2158" s="4"/>
      <c r="DP2158" s="4"/>
      <c r="DQ2158" s="4"/>
      <c r="DR2158" s="4"/>
      <c r="DS2158" s="4"/>
      <c r="DT2158" s="4"/>
      <c r="DU2158" s="4"/>
      <c r="DV2158" s="4"/>
      <c r="DW2158" s="4"/>
      <c r="DX2158" s="4"/>
      <c r="DY2158" s="4"/>
      <c r="DZ2158" s="4"/>
      <c r="EA2158" s="4"/>
      <c r="EB2158" s="4"/>
      <c r="EC2158" s="4"/>
      <c r="ED2158" s="4"/>
      <c r="EE2158" s="4"/>
      <c r="EF2158" s="4"/>
      <c r="EG2158" s="4"/>
      <c r="EH2158" s="4"/>
      <c r="EI2158" s="4"/>
      <c r="EJ2158" s="4"/>
      <c r="EK2158" s="4"/>
      <c r="EL2158" s="4"/>
      <c r="EM2158" s="4"/>
      <c r="EN2158" s="4"/>
      <c r="EO2158" s="4"/>
      <c r="EP2158" s="4"/>
      <c r="EQ2158" s="4"/>
      <c r="ER2158" s="4"/>
      <c r="ES2158" s="4"/>
      <c r="ET2158" s="4"/>
      <c r="EU2158" s="4"/>
      <c r="EV2158" s="4"/>
      <c r="EW2158" s="4"/>
      <c r="EX2158" s="4"/>
      <c r="EY2158" s="4"/>
      <c r="EZ2158" s="4"/>
      <c r="FA2158" s="4"/>
      <c r="FB2158" s="4"/>
      <c r="FC2158" s="4"/>
      <c r="FD2158" s="4"/>
      <c r="FE2158" s="4"/>
      <c r="FF2158" s="4"/>
      <c r="FG2158" s="4"/>
      <c r="FH2158" s="4"/>
      <c r="FI2158" s="4"/>
      <c r="FJ2158" s="4"/>
      <c r="FK2158" s="4"/>
      <c r="FL2158" s="4"/>
      <c r="FM2158" s="4"/>
      <c r="FN2158" s="4"/>
      <c r="FO2158" s="4"/>
      <c r="FP2158" s="4"/>
      <c r="FQ2158" s="4"/>
      <c r="FR2158" s="4"/>
      <c r="FS2158" s="4"/>
      <c r="FT2158" s="4"/>
      <c r="FU2158" s="4"/>
      <c r="FV2158" s="4"/>
      <c r="FW2158" s="4"/>
      <c r="FX2158" s="4"/>
      <c r="FY2158" s="4"/>
      <c r="FZ2158" s="4"/>
      <c r="GA2158" s="4"/>
      <c r="GB2158" s="4"/>
      <c r="GC2158" s="4"/>
      <c r="GD2158" s="4"/>
      <c r="GE2158" s="4"/>
      <c r="GF2158" s="4"/>
      <c r="GG2158" s="4"/>
      <c r="GH2158" s="4"/>
      <c r="GI2158" s="4"/>
      <c r="GJ2158" s="4"/>
      <c r="GK2158" s="4"/>
      <c r="GL2158" s="4"/>
      <c r="GM2158" s="4"/>
      <c r="GN2158" s="4"/>
      <c r="GO2158" s="4"/>
      <c r="GP2158" s="4"/>
      <c r="GQ2158" s="4"/>
      <c r="GR2158" s="4"/>
      <c r="GS2158" s="4"/>
      <c r="GT2158" s="4"/>
      <c r="GU2158" s="4"/>
      <c r="GV2158" s="4"/>
      <c r="GW2158" s="4"/>
      <c r="GX2158" s="4"/>
      <c r="GY2158" s="4"/>
      <c r="GZ2158" s="4"/>
      <c r="HA2158" s="4"/>
      <c r="HB2158" s="4"/>
      <c r="HC2158" s="4"/>
      <c r="HD2158" s="4"/>
      <c r="HE2158" s="4"/>
    </row>
    <row r="2159">
      <c r="A2159" s="2" t="s">
        <v>10230</v>
      </c>
      <c r="B2159" s="2" t="s">
        <v>970</v>
      </c>
      <c r="C2159" s="2" t="s">
        <v>300</v>
      </c>
      <c r="D2159" s="2" t="s">
        <v>971</v>
      </c>
      <c r="E2159" s="2" t="s">
        <v>1940</v>
      </c>
      <c r="F2159" s="2" t="s">
        <v>10212</v>
      </c>
      <c r="G2159" s="2" t="s">
        <v>10213</v>
      </c>
      <c r="H2159" s="2" t="s">
        <v>5462</v>
      </c>
      <c r="I2159" s="2" t="s">
        <v>10214</v>
      </c>
      <c r="J2159" s="2" t="s">
        <v>1300</v>
      </c>
      <c r="K2159" s="2" t="s">
        <v>249</v>
      </c>
      <c r="L2159" s="3">
        <v>13.2</v>
      </c>
      <c r="M2159" s="3">
        <v>13.86</v>
      </c>
      <c r="N2159" s="3">
        <v>32.99</v>
      </c>
      <c r="O2159" s="2" t="s">
        <v>461</v>
      </c>
      <c r="P2159" s="2" t="s">
        <v>333</v>
      </c>
      <c r="Q2159" s="2" t="s">
        <v>234</v>
      </c>
      <c r="R2159" s="2" t="s">
        <v>228</v>
      </c>
      <c r="S2159" s="2" t="s">
        <v>10226</v>
      </c>
      <c r="T2159" s="2" t="s">
        <v>228</v>
      </c>
      <c r="U2159" s="2" t="s">
        <v>416</v>
      </c>
      <c r="V2159" s="2" t="s">
        <v>1156</v>
      </c>
      <c r="W2159" s="2" t="s">
        <v>463</v>
      </c>
      <c r="X2159" s="2" t="s">
        <v>417</v>
      </c>
      <c r="Y2159" s="2" t="s">
        <v>5396</v>
      </c>
      <c r="Z2159" s="4">
        <v>27</v>
      </c>
      <c r="AA2159" s="4">
        <f>=ROUNDDOWN(10,0)</f>
      </c>
      <c r="AB2159" s="5">
        <v>2.7</v>
      </c>
      <c r="AC2159" s="2" t="s">
        <v>228</v>
      </c>
      <c r="AD2159" s="4"/>
      <c r="AE2159" s="4"/>
      <c r="AF2159" s="6">
        <v>65</v>
      </c>
      <c r="AG2159" s="6"/>
      <c r="AH2159" s="7">
        <v>1</v>
      </c>
      <c r="AI2159" s="4"/>
      <c r="AJ2159" s="4">
        <f>=ROUNDDOWN({0},0)</f>
      </c>
      <c r="AK2159" s="5"/>
      <c r="AL2159" s="2" t="s">
        <v>228</v>
      </c>
      <c r="AM2159" s="4"/>
      <c r="AN2159" s="4"/>
      <c r="AO2159" s="7"/>
      <c r="AP2159" s="4"/>
      <c r="AQ2159" s="8"/>
      <c r="AR2159" s="4"/>
      <c r="AS2159" s="8"/>
      <c r="AT2159" s="7"/>
      <c r="AU2159" s="7"/>
      <c r="AV2159" s="4" t="s">
        <v>228</v>
      </c>
      <c r="AW2159" s="8" t="s">
        <v>228</v>
      </c>
      <c r="AX2159" s="4" t="s">
        <v>228</v>
      </c>
      <c r="AY2159" s="8" t="s">
        <v>228</v>
      </c>
      <c r="AZ2159" s="7" t="s">
        <v>228</v>
      </c>
      <c r="BA2159" s="7" t="s">
        <v>228</v>
      </c>
      <c r="BB2159" s="7"/>
      <c r="BC2159" s="4" t="s">
        <v>228</v>
      </c>
      <c r="BD2159" s="8" t="s">
        <v>228</v>
      </c>
      <c r="BE2159" s="4" t="s">
        <v>228</v>
      </c>
      <c r="BF2159" s="8" t="s">
        <v>228</v>
      </c>
      <c r="BG2159" s="7" t="s">
        <v>228</v>
      </c>
      <c r="BH2159" s="7" t="s">
        <v>228</v>
      </c>
      <c r="BI2159" s="7"/>
      <c r="BJ2159" s="4">
        <v>12</v>
      </c>
      <c r="BK2159" s="8">
        <v>154.42</v>
      </c>
      <c r="BL2159" s="2" t="s">
        <v>10231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10232</v>
      </c>
      <c r="BV2159" s="2" t="s">
        <v>228</v>
      </c>
      <c r="BW2159" s="2" t="s">
        <v>228</v>
      </c>
      <c r="BX2159" s="2" t="s">
        <v>337</v>
      </c>
      <c r="BY2159" s="2" t="s">
        <v>274</v>
      </c>
      <c r="BZ2159" s="2" t="s">
        <v>240</v>
      </c>
      <c r="CA2159" s="2" t="s">
        <v>1458</v>
      </c>
      <c r="CB2159" s="2" t="s">
        <v>10233</v>
      </c>
      <c r="CC2159" s="2" t="s">
        <v>241</v>
      </c>
      <c r="CD2159" s="2" t="s">
        <v>228</v>
      </c>
      <c r="CE2159" s="4">
        <v>27</v>
      </c>
      <c r="CF2159" s="4"/>
      <c r="CG2159" s="4"/>
      <c r="CH2159" s="4"/>
      <c r="CI2159" s="4"/>
      <c r="CJ2159" s="4"/>
      <c r="CK2159" s="4"/>
      <c r="CL2159" s="4"/>
      <c r="CM2159" s="4"/>
      <c r="CN2159" s="4"/>
      <c r="CO2159" s="4"/>
      <c r="CP2159" s="4"/>
      <c r="CQ2159" s="4"/>
      <c r="CR2159" s="4"/>
      <c r="CS2159" s="4"/>
      <c r="CT2159" s="4"/>
      <c r="CU2159" s="4"/>
      <c r="CV2159" s="4"/>
      <c r="CW2159" s="4"/>
      <c r="CX2159" s="4"/>
      <c r="CY2159" s="4"/>
      <c r="CZ2159" s="4"/>
      <c r="DA2159" s="4"/>
      <c r="DB2159" s="4"/>
      <c r="DC2159" s="4"/>
      <c r="DD2159" s="4"/>
      <c r="DE2159" s="4"/>
      <c r="DF2159" s="4"/>
      <c r="DG2159" s="4"/>
      <c r="DH2159" s="4"/>
      <c r="DI2159" s="4"/>
      <c r="DJ2159" s="4"/>
      <c r="DK2159" s="4"/>
      <c r="DL2159" s="4"/>
      <c r="DM2159" s="4"/>
      <c r="DN2159" s="4"/>
      <c r="DO2159" s="4"/>
      <c r="DP2159" s="4"/>
      <c r="DQ2159" s="4"/>
      <c r="DR2159" s="4"/>
      <c r="DS2159" s="4"/>
      <c r="DT2159" s="4"/>
      <c r="DU2159" s="4"/>
      <c r="DV2159" s="4"/>
      <c r="DW2159" s="4"/>
      <c r="DX2159" s="4"/>
      <c r="DY2159" s="4"/>
      <c r="DZ2159" s="4"/>
      <c r="EA2159" s="4"/>
      <c r="EB2159" s="4"/>
      <c r="EC2159" s="4"/>
      <c r="ED2159" s="4"/>
      <c r="EE2159" s="4"/>
      <c r="EF2159" s="4"/>
      <c r="EG2159" s="4"/>
      <c r="EH2159" s="4"/>
      <c r="EI2159" s="4"/>
      <c r="EJ2159" s="4"/>
      <c r="EK2159" s="4"/>
      <c r="EL2159" s="4"/>
      <c r="EM2159" s="4"/>
      <c r="EN2159" s="4"/>
      <c r="EO2159" s="4"/>
      <c r="EP2159" s="4"/>
      <c r="EQ2159" s="4"/>
      <c r="ER2159" s="4"/>
      <c r="ES2159" s="4"/>
      <c r="ET2159" s="4"/>
      <c r="EU2159" s="4"/>
      <c r="EV2159" s="4"/>
      <c r="EW2159" s="4"/>
      <c r="EX2159" s="4"/>
      <c r="EY2159" s="4"/>
      <c r="EZ2159" s="4"/>
      <c r="FA2159" s="4"/>
      <c r="FB2159" s="4"/>
      <c r="FC2159" s="4"/>
      <c r="FD2159" s="4"/>
      <c r="FE2159" s="4"/>
      <c r="FF2159" s="4"/>
      <c r="FG2159" s="4"/>
      <c r="FH2159" s="4"/>
      <c r="FI2159" s="4"/>
      <c r="FJ2159" s="4"/>
      <c r="FK2159" s="4"/>
      <c r="FL2159" s="4"/>
      <c r="FM2159" s="4"/>
      <c r="FN2159" s="4"/>
      <c r="FO2159" s="4"/>
      <c r="FP2159" s="4"/>
      <c r="FQ2159" s="4"/>
      <c r="FR2159" s="4"/>
      <c r="FS2159" s="4"/>
      <c r="FT2159" s="4"/>
      <c r="FU2159" s="4"/>
      <c r="FV2159" s="4"/>
      <c r="FW2159" s="4"/>
      <c r="FX2159" s="4"/>
      <c r="FY2159" s="4"/>
      <c r="FZ2159" s="4"/>
      <c r="GA2159" s="4"/>
      <c r="GB2159" s="4"/>
      <c r="GC2159" s="4"/>
      <c r="GD2159" s="4"/>
      <c r="GE2159" s="4"/>
      <c r="GF2159" s="4"/>
      <c r="GG2159" s="4"/>
      <c r="GH2159" s="4"/>
      <c r="GI2159" s="4"/>
      <c r="GJ2159" s="4"/>
      <c r="GK2159" s="4"/>
      <c r="GL2159" s="4"/>
      <c r="GM2159" s="4"/>
      <c r="GN2159" s="4"/>
      <c r="GO2159" s="4"/>
      <c r="GP2159" s="4"/>
      <c r="GQ2159" s="4"/>
      <c r="GR2159" s="4"/>
      <c r="GS2159" s="4"/>
      <c r="GT2159" s="4"/>
      <c r="GU2159" s="4"/>
      <c r="GV2159" s="4"/>
      <c r="GW2159" s="4"/>
      <c r="GX2159" s="4"/>
      <c r="GY2159" s="4"/>
      <c r="GZ2159" s="4"/>
      <c r="HA2159" s="4"/>
      <c r="HB2159" s="4"/>
      <c r="HC2159" s="4"/>
      <c r="HD2159" s="4"/>
      <c r="HE2159" s="4"/>
    </row>
    <row r="2160">
      <c r="A2160" s="2" t="s">
        <v>10234</v>
      </c>
      <c r="B2160" s="2" t="s">
        <v>970</v>
      </c>
      <c r="C2160" s="2" t="s">
        <v>300</v>
      </c>
      <c r="D2160" s="2" t="s">
        <v>971</v>
      </c>
      <c r="E2160" s="2" t="s">
        <v>1940</v>
      </c>
      <c r="F2160" s="2" t="s">
        <v>10212</v>
      </c>
      <c r="G2160" s="2" t="s">
        <v>10213</v>
      </c>
      <c r="H2160" s="2" t="s">
        <v>5462</v>
      </c>
      <c r="I2160" s="2" t="s">
        <v>10219</v>
      </c>
      <c r="J2160" s="2" t="s">
        <v>977</v>
      </c>
      <c r="K2160" s="2" t="s">
        <v>251</v>
      </c>
      <c r="L2160" s="3">
        <v>13.5</v>
      </c>
      <c r="M2160" s="3">
        <v>14.18</v>
      </c>
      <c r="N2160" s="3">
        <v>29.99</v>
      </c>
      <c r="O2160" s="2" t="s">
        <v>240</v>
      </c>
      <c r="P2160" s="2" t="s">
        <v>333</v>
      </c>
      <c r="Q2160" s="2" t="s">
        <v>234</v>
      </c>
      <c r="R2160" s="2" t="s">
        <v>228</v>
      </c>
      <c r="S2160" s="2" t="s">
        <v>10235</v>
      </c>
      <c r="T2160" s="2" t="s">
        <v>228</v>
      </c>
      <c r="U2160" s="2" t="s">
        <v>416</v>
      </c>
      <c r="V2160" s="2" t="s">
        <v>1156</v>
      </c>
      <c r="W2160" s="2" t="s">
        <v>463</v>
      </c>
      <c r="X2160" s="2" t="s">
        <v>417</v>
      </c>
      <c r="Y2160" s="2" t="s">
        <v>5396</v>
      </c>
      <c r="Z2160" s="4">
        <v>78</v>
      </c>
      <c r="AA2160" s="4">
        <f>=ROUNDDOWN(15.6,0)</f>
      </c>
      <c r="AB2160" s="5">
        <v>5</v>
      </c>
      <c r="AC2160" s="2" t="s">
        <v>228</v>
      </c>
      <c r="AD2160" s="4"/>
      <c r="AE2160" s="4"/>
      <c r="AF2160" s="6">
        <v>65</v>
      </c>
      <c r="AG2160" s="6"/>
      <c r="AH2160" s="7">
        <v>1</v>
      </c>
      <c r="AI2160" s="4"/>
      <c r="AJ2160" s="4">
        <f>=ROUNDDOWN({0},0)</f>
      </c>
      <c r="AK2160" s="5"/>
      <c r="AL2160" s="2" t="s">
        <v>228</v>
      </c>
      <c r="AM2160" s="4"/>
      <c r="AN2160" s="4"/>
      <c r="AO2160" s="7"/>
      <c r="AP2160" s="4"/>
      <c r="AQ2160" s="8"/>
      <c r="AR2160" s="4"/>
      <c r="AS2160" s="8"/>
      <c r="AT2160" s="7"/>
      <c r="AU2160" s="7"/>
      <c r="AV2160" s="4" t="s">
        <v>228</v>
      </c>
      <c r="AW2160" s="8" t="s">
        <v>228</v>
      </c>
      <c r="AX2160" s="4" t="s">
        <v>228</v>
      </c>
      <c r="AY2160" s="8" t="s">
        <v>228</v>
      </c>
      <c r="AZ2160" s="7" t="s">
        <v>228</v>
      </c>
      <c r="BA2160" s="7" t="s">
        <v>228</v>
      </c>
      <c r="BB2160" s="7"/>
      <c r="BC2160" s="4" t="s">
        <v>228</v>
      </c>
      <c r="BD2160" s="8" t="s">
        <v>228</v>
      </c>
      <c r="BE2160" s="4" t="s">
        <v>228</v>
      </c>
      <c r="BF2160" s="8" t="s">
        <v>228</v>
      </c>
      <c r="BG2160" s="7" t="s">
        <v>228</v>
      </c>
      <c r="BH2160" s="7" t="s">
        <v>228</v>
      </c>
      <c r="BI2160" s="7"/>
      <c r="BJ2160" s="4">
        <v>30</v>
      </c>
      <c r="BK2160" s="8">
        <v>396.88</v>
      </c>
      <c r="BL2160" s="2" t="s">
        <v>10236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10237</v>
      </c>
      <c r="BV2160" s="2" t="s">
        <v>228</v>
      </c>
      <c r="BW2160" s="2" t="s">
        <v>228</v>
      </c>
      <c r="BX2160" s="2" t="s">
        <v>337</v>
      </c>
      <c r="BY2160" s="2" t="s">
        <v>274</v>
      </c>
      <c r="BZ2160" s="2" t="s">
        <v>240</v>
      </c>
      <c r="CA2160" s="2" t="s">
        <v>1458</v>
      </c>
      <c r="CB2160" s="2" t="s">
        <v>7908</v>
      </c>
      <c r="CC2160" s="2" t="s">
        <v>241</v>
      </c>
      <c r="CD2160" s="2" t="s">
        <v>228</v>
      </c>
      <c r="CE2160" s="4">
        <v>78</v>
      </c>
      <c r="CF2160" s="4"/>
      <c r="CG2160" s="4"/>
      <c r="CH2160" s="4"/>
      <c r="CI2160" s="4"/>
      <c r="CJ2160" s="4"/>
      <c r="CK2160" s="4"/>
      <c r="CL2160" s="4"/>
      <c r="CM2160" s="4"/>
      <c r="CN2160" s="4"/>
      <c r="CO2160" s="4"/>
      <c r="CP2160" s="4"/>
      <c r="CQ2160" s="4"/>
      <c r="CR2160" s="4"/>
      <c r="CS2160" s="4"/>
      <c r="CT2160" s="4"/>
      <c r="CU2160" s="4"/>
      <c r="CV2160" s="4"/>
      <c r="CW2160" s="4"/>
      <c r="CX2160" s="4"/>
      <c r="CY2160" s="4"/>
      <c r="CZ2160" s="4"/>
      <c r="DA2160" s="4"/>
      <c r="DB2160" s="4"/>
      <c r="DC2160" s="4"/>
      <c r="DD2160" s="4"/>
      <c r="DE2160" s="4"/>
      <c r="DF2160" s="4"/>
      <c r="DG2160" s="4"/>
      <c r="DH2160" s="4"/>
      <c r="DI2160" s="4"/>
      <c r="DJ2160" s="4"/>
      <c r="DK2160" s="4"/>
      <c r="DL2160" s="4"/>
      <c r="DM2160" s="4"/>
      <c r="DN2160" s="4"/>
      <c r="DO2160" s="4"/>
      <c r="DP2160" s="4"/>
      <c r="DQ2160" s="4"/>
      <c r="DR2160" s="4"/>
      <c r="DS2160" s="4"/>
      <c r="DT2160" s="4"/>
      <c r="DU2160" s="4"/>
      <c r="DV2160" s="4"/>
      <c r="DW2160" s="4"/>
      <c r="DX2160" s="4"/>
      <c r="DY2160" s="4"/>
      <c r="DZ2160" s="4"/>
      <c r="EA2160" s="4"/>
      <c r="EB2160" s="4"/>
      <c r="EC2160" s="4"/>
      <c r="ED2160" s="4"/>
      <c r="EE2160" s="4"/>
      <c r="EF2160" s="4"/>
      <c r="EG2160" s="4"/>
      <c r="EH2160" s="4"/>
      <c r="EI2160" s="4"/>
      <c r="EJ2160" s="4"/>
      <c r="EK2160" s="4"/>
      <c r="EL2160" s="4"/>
      <c r="EM2160" s="4"/>
      <c r="EN2160" s="4"/>
      <c r="EO2160" s="4"/>
      <c r="EP2160" s="4"/>
      <c r="EQ2160" s="4"/>
      <c r="ER2160" s="4"/>
      <c r="ES2160" s="4"/>
      <c r="ET2160" s="4"/>
      <c r="EU2160" s="4"/>
      <c r="EV2160" s="4"/>
      <c r="EW2160" s="4"/>
      <c r="EX2160" s="4"/>
      <c r="EY2160" s="4"/>
      <c r="EZ2160" s="4"/>
      <c r="FA2160" s="4"/>
      <c r="FB2160" s="4"/>
      <c r="FC2160" s="4"/>
      <c r="FD2160" s="4"/>
      <c r="FE2160" s="4"/>
      <c r="FF2160" s="4"/>
      <c r="FG2160" s="4"/>
      <c r="FH2160" s="4"/>
      <c r="FI2160" s="4"/>
      <c r="FJ2160" s="4"/>
      <c r="FK2160" s="4"/>
      <c r="FL2160" s="4"/>
      <c r="FM2160" s="4"/>
      <c r="FN2160" s="4"/>
      <c r="FO2160" s="4"/>
      <c r="FP2160" s="4"/>
      <c r="FQ2160" s="4"/>
      <c r="FR2160" s="4"/>
      <c r="FS2160" s="4"/>
      <c r="FT2160" s="4"/>
      <c r="FU2160" s="4"/>
      <c r="FV2160" s="4"/>
      <c r="FW2160" s="4"/>
      <c r="FX2160" s="4"/>
      <c r="FY2160" s="4"/>
      <c r="FZ2160" s="4"/>
      <c r="GA2160" s="4"/>
      <c r="GB2160" s="4"/>
      <c r="GC2160" s="4"/>
      <c r="GD2160" s="4"/>
      <c r="GE2160" s="4"/>
      <c r="GF2160" s="4"/>
      <c r="GG2160" s="4"/>
      <c r="GH2160" s="4"/>
      <c r="GI2160" s="4"/>
      <c r="GJ2160" s="4"/>
      <c r="GK2160" s="4"/>
      <c r="GL2160" s="4"/>
      <c r="GM2160" s="4"/>
      <c r="GN2160" s="4"/>
      <c r="GO2160" s="4"/>
      <c r="GP2160" s="4"/>
      <c r="GQ2160" s="4"/>
      <c r="GR2160" s="4"/>
      <c r="GS2160" s="4"/>
      <c r="GT2160" s="4"/>
      <c r="GU2160" s="4"/>
      <c r="GV2160" s="4"/>
      <c r="GW2160" s="4"/>
      <c r="GX2160" s="4"/>
      <c r="GY2160" s="4"/>
      <c r="GZ2160" s="4"/>
      <c r="HA2160" s="4"/>
      <c r="HB2160" s="4"/>
      <c r="HC2160" s="4"/>
      <c r="HD2160" s="4"/>
      <c r="HE2160" s="4"/>
    </row>
    <row r="2161">
      <c r="A2161" s="2" t="s">
        <v>10238</v>
      </c>
      <c r="B2161" s="2" t="s">
        <v>970</v>
      </c>
      <c r="C2161" s="2" t="s">
        <v>300</v>
      </c>
      <c r="D2161" s="2" t="s">
        <v>971</v>
      </c>
      <c r="E2161" s="2" t="s">
        <v>1940</v>
      </c>
      <c r="F2161" s="2" t="s">
        <v>10212</v>
      </c>
      <c r="G2161" s="2" t="s">
        <v>10213</v>
      </c>
      <c r="H2161" s="2" t="s">
        <v>5462</v>
      </c>
      <c r="I2161" s="2" t="s">
        <v>10219</v>
      </c>
      <c r="J2161" s="2" t="s">
        <v>1300</v>
      </c>
      <c r="K2161" s="2" t="s">
        <v>251</v>
      </c>
      <c r="L2161" s="3">
        <v>15.75</v>
      </c>
      <c r="M2161" s="3">
        <v>16.54</v>
      </c>
      <c r="N2161" s="3">
        <v>34.99</v>
      </c>
      <c r="O2161" s="2" t="s">
        <v>491</v>
      </c>
      <c r="P2161" s="2" t="s">
        <v>333</v>
      </c>
      <c r="Q2161" s="2" t="s">
        <v>234</v>
      </c>
      <c r="R2161" s="2" t="s">
        <v>228</v>
      </c>
      <c r="S2161" s="2" t="s">
        <v>10235</v>
      </c>
      <c r="T2161" s="2" t="s">
        <v>228</v>
      </c>
      <c r="U2161" s="2" t="s">
        <v>416</v>
      </c>
      <c r="V2161" s="2" t="s">
        <v>1156</v>
      </c>
      <c r="W2161" s="2" t="s">
        <v>463</v>
      </c>
      <c r="X2161" s="2" t="s">
        <v>417</v>
      </c>
      <c r="Y2161" s="2" t="s">
        <v>5396</v>
      </c>
      <c r="Z2161" s="4">
        <v>1</v>
      </c>
      <c r="AA2161" s="4">
        <f>=ROUNDDOWN(0.333333333333333,0)</f>
      </c>
      <c r="AB2161" s="5">
        <v>3</v>
      </c>
      <c r="AC2161" s="2" t="s">
        <v>228</v>
      </c>
      <c r="AD2161" s="4"/>
      <c r="AE2161" s="4"/>
      <c r="AF2161" s="6">
        <v>65</v>
      </c>
      <c r="AG2161" s="6"/>
      <c r="AH2161" s="7">
        <v>0.9355</v>
      </c>
      <c r="AI2161" s="4"/>
      <c r="AJ2161" s="4">
        <f>=ROUNDDOWN({0},0)</f>
      </c>
      <c r="AK2161" s="5"/>
      <c r="AL2161" s="2" t="s">
        <v>228</v>
      </c>
      <c r="AM2161" s="4"/>
      <c r="AN2161" s="4"/>
      <c r="AO2161" s="7"/>
      <c r="AP2161" s="4"/>
      <c r="AQ2161" s="8"/>
      <c r="AR2161" s="4"/>
      <c r="AS2161" s="8"/>
      <c r="AT2161" s="7"/>
      <c r="AU2161" s="7"/>
      <c r="AV2161" s="4" t="s">
        <v>228</v>
      </c>
      <c r="AW2161" s="8" t="s">
        <v>228</v>
      </c>
      <c r="AX2161" s="4" t="s">
        <v>228</v>
      </c>
      <c r="AY2161" s="8" t="s">
        <v>228</v>
      </c>
      <c r="AZ2161" s="7" t="s">
        <v>228</v>
      </c>
      <c r="BA2161" s="7" t="s">
        <v>228</v>
      </c>
      <c r="BB2161" s="7" t="s">
        <v>228</v>
      </c>
      <c r="BC2161" s="4" t="s">
        <v>228</v>
      </c>
      <c r="BD2161" s="8" t="s">
        <v>228</v>
      </c>
      <c r="BE2161" s="4" t="s">
        <v>228</v>
      </c>
      <c r="BF2161" s="8" t="s">
        <v>228</v>
      </c>
      <c r="BG2161" s="7" t="s">
        <v>228</v>
      </c>
      <c r="BH2161" s="7" t="s">
        <v>228</v>
      </c>
      <c r="BI2161" s="7"/>
      <c r="BJ2161" s="4">
        <v>2</v>
      </c>
      <c r="BK2161" s="8">
        <v>20.04</v>
      </c>
      <c r="BL2161" s="2" t="s">
        <v>622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10239</v>
      </c>
      <c r="BV2161" s="2" t="s">
        <v>228</v>
      </c>
      <c r="BW2161" s="2" t="s">
        <v>228</v>
      </c>
      <c r="BX2161" s="2" t="s">
        <v>337</v>
      </c>
      <c r="BY2161" s="2" t="s">
        <v>274</v>
      </c>
      <c r="BZ2161" s="2" t="s">
        <v>240</v>
      </c>
      <c r="CA2161" s="2" t="s">
        <v>1458</v>
      </c>
      <c r="CB2161" s="2" t="s">
        <v>10240</v>
      </c>
      <c r="CC2161" s="2" t="s">
        <v>241</v>
      </c>
      <c r="CD2161" s="2" t="s">
        <v>228</v>
      </c>
      <c r="CE2161" s="4">
        <v>1</v>
      </c>
      <c r="CF2161" s="4"/>
      <c r="CG2161" s="4"/>
      <c r="CH2161" s="4"/>
      <c r="CI2161" s="4"/>
      <c r="CJ2161" s="4"/>
      <c r="CK2161" s="4"/>
      <c r="CL2161" s="4"/>
      <c r="CM2161" s="4"/>
      <c r="CN2161" s="4"/>
      <c r="CO2161" s="4"/>
      <c r="CP2161" s="4"/>
      <c r="CQ2161" s="4"/>
      <c r="CR2161" s="4"/>
      <c r="CS2161" s="4"/>
      <c r="CT2161" s="4"/>
      <c r="CU2161" s="4"/>
      <c r="CV2161" s="4"/>
      <c r="CW2161" s="4"/>
      <c r="CX2161" s="4"/>
      <c r="CY2161" s="4"/>
      <c r="CZ2161" s="4"/>
      <c r="DA2161" s="4"/>
      <c r="DB2161" s="4"/>
      <c r="DC2161" s="4"/>
      <c r="DD2161" s="4"/>
      <c r="DE2161" s="4"/>
      <c r="DF2161" s="4"/>
      <c r="DG2161" s="4"/>
      <c r="DH2161" s="4"/>
      <c r="DI2161" s="4"/>
      <c r="DJ2161" s="4"/>
      <c r="DK2161" s="4"/>
      <c r="DL2161" s="4"/>
      <c r="DM2161" s="4"/>
      <c r="DN2161" s="4"/>
      <c r="DO2161" s="4"/>
      <c r="DP2161" s="4"/>
      <c r="DQ2161" s="4"/>
      <c r="DR2161" s="4"/>
      <c r="DS2161" s="4"/>
      <c r="DT2161" s="4"/>
      <c r="DU2161" s="4"/>
      <c r="DV2161" s="4"/>
      <c r="DW2161" s="4"/>
      <c r="DX2161" s="4"/>
      <c r="DY2161" s="4"/>
      <c r="DZ2161" s="4"/>
      <c r="EA2161" s="4"/>
      <c r="EB2161" s="4"/>
      <c r="EC2161" s="4"/>
      <c r="ED2161" s="4"/>
      <c r="EE2161" s="4"/>
      <c r="EF2161" s="4"/>
      <c r="EG2161" s="4"/>
      <c r="EH2161" s="4"/>
      <c r="EI2161" s="4"/>
      <c r="EJ2161" s="4"/>
      <c r="EK2161" s="4"/>
      <c r="EL2161" s="4"/>
      <c r="EM2161" s="4"/>
      <c r="EN2161" s="4"/>
      <c r="EO2161" s="4"/>
      <c r="EP2161" s="4"/>
      <c r="EQ2161" s="4"/>
      <c r="ER2161" s="4"/>
      <c r="ES2161" s="4"/>
      <c r="ET2161" s="4"/>
      <c r="EU2161" s="4"/>
      <c r="EV2161" s="4"/>
      <c r="EW2161" s="4"/>
      <c r="EX2161" s="4"/>
      <c r="EY2161" s="4"/>
      <c r="EZ2161" s="4"/>
      <c r="FA2161" s="4"/>
      <c r="FB2161" s="4"/>
      <c r="FC2161" s="4"/>
      <c r="FD2161" s="4"/>
      <c r="FE2161" s="4"/>
      <c r="FF2161" s="4"/>
      <c r="FG2161" s="4"/>
      <c r="FH2161" s="4"/>
      <c r="FI2161" s="4"/>
      <c r="FJ2161" s="4"/>
      <c r="FK2161" s="4"/>
      <c r="FL2161" s="4"/>
      <c r="FM2161" s="4"/>
      <c r="FN2161" s="4"/>
      <c r="FO2161" s="4"/>
      <c r="FP2161" s="4"/>
      <c r="FQ2161" s="4"/>
      <c r="FR2161" s="4"/>
      <c r="FS2161" s="4"/>
      <c r="FT2161" s="4"/>
      <c r="FU2161" s="4"/>
      <c r="FV2161" s="4"/>
      <c r="FW2161" s="4"/>
      <c r="FX2161" s="4"/>
      <c r="FY2161" s="4"/>
      <c r="FZ2161" s="4"/>
      <c r="GA2161" s="4"/>
      <c r="GB2161" s="4"/>
      <c r="GC2161" s="4"/>
      <c r="GD2161" s="4"/>
      <c r="GE2161" s="4"/>
      <c r="GF2161" s="4"/>
      <c r="GG2161" s="4"/>
      <c r="GH2161" s="4"/>
      <c r="GI2161" s="4"/>
      <c r="GJ2161" s="4"/>
      <c r="GK2161" s="4"/>
      <c r="GL2161" s="4"/>
      <c r="GM2161" s="4"/>
      <c r="GN2161" s="4"/>
      <c r="GO2161" s="4"/>
      <c r="GP2161" s="4"/>
      <c r="GQ2161" s="4"/>
      <c r="GR2161" s="4"/>
      <c r="GS2161" s="4"/>
      <c r="GT2161" s="4"/>
      <c r="GU2161" s="4"/>
      <c r="GV2161" s="4"/>
      <c r="GW2161" s="4"/>
      <c r="GX2161" s="4"/>
      <c r="GY2161" s="4"/>
      <c r="GZ2161" s="4"/>
      <c r="HA2161" s="4"/>
      <c r="HB2161" s="4"/>
      <c r="HC2161" s="4"/>
      <c r="HD2161" s="4"/>
      <c r="HE2161" s="4"/>
    </row>
    <row r="2162">
      <c r="A2162" s="2" t="s">
        <v>10241</v>
      </c>
      <c r="B2162" s="2" t="s">
        <v>970</v>
      </c>
      <c r="C2162" s="2" t="s">
        <v>300</v>
      </c>
      <c r="D2162" s="2" t="s">
        <v>971</v>
      </c>
      <c r="E2162" s="2" t="s">
        <v>1940</v>
      </c>
      <c r="F2162" s="2" t="s">
        <v>10212</v>
      </c>
      <c r="G2162" s="2" t="s">
        <v>10213</v>
      </c>
      <c r="H2162" s="2" t="s">
        <v>5462</v>
      </c>
      <c r="I2162" s="2" t="s">
        <v>10214</v>
      </c>
      <c r="J2162" s="2" t="s">
        <v>1300</v>
      </c>
      <c r="K2162" s="2" t="s">
        <v>251</v>
      </c>
      <c r="L2162" s="3">
        <v>13.2</v>
      </c>
      <c r="M2162" s="3">
        <v>13.86</v>
      </c>
      <c r="N2162" s="3">
        <v>32.99</v>
      </c>
      <c r="O2162" s="2" t="s">
        <v>461</v>
      </c>
      <c r="P2162" s="2" t="s">
        <v>333</v>
      </c>
      <c r="Q2162" s="2" t="s">
        <v>234</v>
      </c>
      <c r="R2162" s="2" t="s">
        <v>228</v>
      </c>
      <c r="S2162" s="2" t="s">
        <v>10235</v>
      </c>
      <c r="T2162" s="2" t="s">
        <v>228</v>
      </c>
      <c r="U2162" s="2" t="s">
        <v>416</v>
      </c>
      <c r="V2162" s="2" t="s">
        <v>1156</v>
      </c>
      <c r="W2162" s="2" t="s">
        <v>463</v>
      </c>
      <c r="X2162" s="2" t="s">
        <v>417</v>
      </c>
      <c r="Y2162" s="2" t="s">
        <v>5396</v>
      </c>
      <c r="Z2162" s="4">
        <v>269</v>
      </c>
      <c r="AA2162" s="4">
        <f>=ROUNDDOWN(538,0)</f>
      </c>
      <c r="AB2162" s="5">
        <v>0.5</v>
      </c>
      <c r="AC2162" s="2" t="s">
        <v>228</v>
      </c>
      <c r="AD2162" s="4"/>
      <c r="AE2162" s="4"/>
      <c r="AF2162" s="6">
        <v>65</v>
      </c>
      <c r="AG2162" s="6"/>
      <c r="AH2162" s="7">
        <v>1</v>
      </c>
      <c r="AI2162" s="4"/>
      <c r="AJ2162" s="4">
        <f>=ROUNDDOWN({0},0)</f>
      </c>
      <c r="AK2162" s="5"/>
      <c r="AL2162" s="2" t="s">
        <v>228</v>
      </c>
      <c r="AM2162" s="4"/>
      <c r="AN2162" s="4"/>
      <c r="AO2162" s="7"/>
      <c r="AP2162" s="4"/>
      <c r="AQ2162" s="8"/>
      <c r="AR2162" s="4"/>
      <c r="AS2162" s="8"/>
      <c r="AT2162" s="7"/>
      <c r="AU2162" s="7"/>
      <c r="AV2162" s="4" t="s">
        <v>228</v>
      </c>
      <c r="AW2162" s="8" t="s">
        <v>228</v>
      </c>
      <c r="AX2162" s="4" t="s">
        <v>228</v>
      </c>
      <c r="AY2162" s="8" t="s">
        <v>228</v>
      </c>
      <c r="AZ2162" s="7" t="s">
        <v>228</v>
      </c>
      <c r="BA2162" s="7" t="s">
        <v>228</v>
      </c>
      <c r="BB2162" s="7" t="s">
        <v>228</v>
      </c>
      <c r="BC2162" s="4" t="s">
        <v>228</v>
      </c>
      <c r="BD2162" s="8" t="s">
        <v>228</v>
      </c>
      <c r="BE2162" s="4" t="s">
        <v>228</v>
      </c>
      <c r="BF2162" s="8" t="s">
        <v>228</v>
      </c>
      <c r="BG2162" s="7" t="s">
        <v>228</v>
      </c>
      <c r="BH2162" s="7" t="s">
        <v>228</v>
      </c>
      <c r="BI2162" s="7"/>
      <c r="BJ2162" s="4"/>
      <c r="BK2162" s="8"/>
      <c r="BL2162" s="2" t="s">
        <v>521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10242</v>
      </c>
      <c r="BV2162" s="2" t="s">
        <v>228</v>
      </c>
      <c r="BW2162" s="2" t="s">
        <v>228</v>
      </c>
      <c r="BX2162" s="2" t="s">
        <v>337</v>
      </c>
      <c r="BY2162" s="2" t="s">
        <v>274</v>
      </c>
      <c r="BZ2162" s="2" t="s">
        <v>240</v>
      </c>
      <c r="CA2162" s="2" t="s">
        <v>1458</v>
      </c>
      <c r="CB2162" s="2" t="s">
        <v>10243</v>
      </c>
      <c r="CC2162" s="2" t="s">
        <v>241</v>
      </c>
      <c r="CD2162" s="2" t="s">
        <v>228</v>
      </c>
      <c r="CE2162" s="4">
        <v>269</v>
      </c>
      <c r="CF2162" s="4"/>
      <c r="CG2162" s="4"/>
      <c r="CH2162" s="4"/>
      <c r="CI2162" s="4"/>
      <c r="CJ2162" s="4"/>
      <c r="CK2162" s="4"/>
      <c r="CL2162" s="4"/>
      <c r="CM2162" s="4"/>
      <c r="CN2162" s="4"/>
      <c r="CO2162" s="4"/>
      <c r="CP2162" s="4"/>
      <c r="CQ2162" s="4"/>
      <c r="CR2162" s="4"/>
      <c r="CS2162" s="4"/>
      <c r="CT2162" s="4"/>
      <c r="CU2162" s="4"/>
      <c r="CV2162" s="4"/>
      <c r="CW2162" s="4"/>
      <c r="CX2162" s="4"/>
      <c r="CY2162" s="4"/>
      <c r="CZ2162" s="4"/>
      <c r="DA2162" s="4"/>
      <c r="DB2162" s="4"/>
      <c r="DC2162" s="4"/>
      <c r="DD2162" s="4"/>
      <c r="DE2162" s="4"/>
      <c r="DF2162" s="4"/>
      <c r="DG2162" s="4"/>
      <c r="DH2162" s="4"/>
      <c r="DI2162" s="4"/>
      <c r="DJ2162" s="4"/>
      <c r="DK2162" s="4"/>
      <c r="DL2162" s="4"/>
      <c r="DM2162" s="4"/>
      <c r="DN2162" s="4"/>
      <c r="DO2162" s="4"/>
      <c r="DP2162" s="4"/>
      <c r="DQ2162" s="4"/>
      <c r="DR2162" s="4"/>
      <c r="DS2162" s="4"/>
      <c r="DT2162" s="4"/>
      <c r="DU2162" s="4"/>
      <c r="DV2162" s="4"/>
      <c r="DW2162" s="4"/>
      <c r="DX2162" s="4"/>
      <c r="DY2162" s="4"/>
      <c r="DZ2162" s="4"/>
      <c r="EA2162" s="4"/>
      <c r="EB2162" s="4"/>
      <c r="EC2162" s="4"/>
      <c r="ED2162" s="4"/>
      <c r="EE2162" s="4"/>
      <c r="EF2162" s="4"/>
      <c r="EG2162" s="4"/>
      <c r="EH2162" s="4"/>
      <c r="EI2162" s="4"/>
      <c r="EJ2162" s="4"/>
      <c r="EK2162" s="4"/>
      <c r="EL2162" s="4"/>
      <c r="EM2162" s="4"/>
      <c r="EN2162" s="4"/>
      <c r="EO2162" s="4"/>
      <c r="EP2162" s="4"/>
      <c r="EQ2162" s="4"/>
      <c r="ER2162" s="4"/>
      <c r="ES2162" s="4"/>
      <c r="ET2162" s="4"/>
      <c r="EU2162" s="4"/>
      <c r="EV2162" s="4"/>
      <c r="EW2162" s="4"/>
      <c r="EX2162" s="4"/>
      <c r="EY2162" s="4"/>
      <c r="EZ2162" s="4"/>
      <c r="FA2162" s="4"/>
      <c r="FB2162" s="4"/>
      <c r="FC2162" s="4"/>
      <c r="FD2162" s="4"/>
      <c r="FE2162" s="4"/>
      <c r="FF2162" s="4"/>
      <c r="FG2162" s="4"/>
      <c r="FH2162" s="4"/>
      <c r="FI2162" s="4"/>
      <c r="FJ2162" s="4"/>
      <c r="FK2162" s="4"/>
      <c r="FL2162" s="4"/>
      <c r="FM2162" s="4"/>
      <c r="FN2162" s="4"/>
      <c r="FO2162" s="4"/>
      <c r="FP2162" s="4"/>
      <c r="FQ2162" s="4"/>
      <c r="FR2162" s="4"/>
      <c r="FS2162" s="4"/>
      <c r="FT2162" s="4"/>
      <c r="FU2162" s="4"/>
      <c r="FV2162" s="4"/>
      <c r="FW2162" s="4"/>
      <c r="FX2162" s="4"/>
      <c r="FY2162" s="4"/>
      <c r="FZ2162" s="4"/>
      <c r="GA2162" s="4"/>
      <c r="GB2162" s="4"/>
      <c r="GC2162" s="4"/>
      <c r="GD2162" s="4"/>
      <c r="GE2162" s="4"/>
      <c r="GF2162" s="4"/>
      <c r="GG2162" s="4"/>
      <c r="GH2162" s="4"/>
      <c r="GI2162" s="4"/>
      <c r="GJ2162" s="4"/>
      <c r="GK2162" s="4"/>
      <c r="GL2162" s="4"/>
      <c r="GM2162" s="4"/>
      <c r="GN2162" s="4"/>
      <c r="GO2162" s="4"/>
      <c r="GP2162" s="4"/>
      <c r="GQ2162" s="4"/>
      <c r="GR2162" s="4"/>
      <c r="GS2162" s="4"/>
      <c r="GT2162" s="4"/>
      <c r="GU2162" s="4"/>
      <c r="GV2162" s="4"/>
      <c r="GW2162" s="4"/>
      <c r="GX2162" s="4"/>
      <c r="GY2162" s="4"/>
      <c r="GZ2162" s="4"/>
      <c r="HA2162" s="4"/>
      <c r="HB2162" s="4"/>
      <c r="HC2162" s="4"/>
      <c r="HD2162" s="4"/>
      <c r="HE2162" s="4"/>
    </row>
    <row r="2163">
      <c r="A2163" s="2" t="s">
        <v>10244</v>
      </c>
      <c r="B2163" s="2" t="s">
        <v>970</v>
      </c>
      <c r="C2163" s="2" t="s">
        <v>300</v>
      </c>
      <c r="D2163" s="2" t="s">
        <v>971</v>
      </c>
      <c r="E2163" s="2" t="s">
        <v>6052</v>
      </c>
      <c r="F2163" s="2" t="s">
        <v>10212</v>
      </c>
      <c r="G2163" s="2" t="s">
        <v>10213</v>
      </c>
      <c r="H2163" s="2" t="s">
        <v>5462</v>
      </c>
      <c r="I2163" s="2" t="s">
        <v>10245</v>
      </c>
      <c r="J2163" s="2" t="s">
        <v>6054</v>
      </c>
      <c r="K2163" s="2" t="s">
        <v>251</v>
      </c>
      <c r="L2163" s="3">
        <v>14.85</v>
      </c>
      <c r="M2163" s="3">
        <v>15.59</v>
      </c>
      <c r="N2163" s="3">
        <v>32.99</v>
      </c>
      <c r="O2163" s="2" t="s">
        <v>240</v>
      </c>
      <c r="P2163" s="2" t="s">
        <v>333</v>
      </c>
      <c r="Q2163" s="2" t="s">
        <v>234</v>
      </c>
      <c r="R2163" s="2" t="s">
        <v>228</v>
      </c>
      <c r="S2163" s="2" t="s">
        <v>10235</v>
      </c>
      <c r="T2163" s="2" t="s">
        <v>228</v>
      </c>
      <c r="U2163" s="2" t="s">
        <v>416</v>
      </c>
      <c r="V2163" s="2" t="s">
        <v>1156</v>
      </c>
      <c r="W2163" s="2" t="s">
        <v>463</v>
      </c>
      <c r="X2163" s="2" t="s">
        <v>417</v>
      </c>
      <c r="Y2163" s="2" t="s">
        <v>5396</v>
      </c>
      <c r="Z2163" s="4">
        <v>75</v>
      </c>
      <c r="AA2163" s="4">
        <f>=ROUNDDOWN(7.5,0)</f>
      </c>
      <c r="AB2163" s="5">
        <v>10</v>
      </c>
      <c r="AC2163" s="2" t="s">
        <v>228</v>
      </c>
      <c r="AD2163" s="4"/>
      <c r="AE2163" s="4"/>
      <c r="AF2163" s="6">
        <v>65</v>
      </c>
      <c r="AG2163" s="6"/>
      <c r="AH2163" s="7">
        <v>1</v>
      </c>
      <c r="AI2163" s="4"/>
      <c r="AJ2163" s="4">
        <f>=ROUNDDOWN({0},0)</f>
      </c>
      <c r="AK2163" s="5"/>
      <c r="AL2163" s="2" t="s">
        <v>228</v>
      </c>
      <c r="AM2163" s="4"/>
      <c r="AN2163" s="4"/>
      <c r="AO2163" s="7"/>
      <c r="AP2163" s="4"/>
      <c r="AQ2163" s="8"/>
      <c r="AR2163" s="4"/>
      <c r="AS2163" s="8"/>
      <c r="AT2163" s="7"/>
      <c r="AU2163" s="7"/>
      <c r="AV2163" s="4" t="s">
        <v>228</v>
      </c>
      <c r="AW2163" s="8" t="s">
        <v>228</v>
      </c>
      <c r="AX2163" s="4" t="s">
        <v>228</v>
      </c>
      <c r="AY2163" s="8" t="s">
        <v>228</v>
      </c>
      <c r="AZ2163" s="7" t="s">
        <v>228</v>
      </c>
      <c r="BA2163" s="7" t="s">
        <v>228</v>
      </c>
      <c r="BB2163" s="7"/>
      <c r="BC2163" s="4" t="s">
        <v>228</v>
      </c>
      <c r="BD2163" s="8" t="s">
        <v>228</v>
      </c>
      <c r="BE2163" s="4" t="s">
        <v>228</v>
      </c>
      <c r="BF2163" s="8" t="s">
        <v>228</v>
      </c>
      <c r="BG2163" s="7" t="s">
        <v>228</v>
      </c>
      <c r="BH2163" s="7" t="s">
        <v>228</v>
      </c>
      <c r="BI2163" s="7"/>
      <c r="BJ2163" s="4">
        <v>23</v>
      </c>
      <c r="BK2163" s="8">
        <v>333.36</v>
      </c>
      <c r="BL2163" s="2" t="s">
        <v>4440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10246</v>
      </c>
      <c r="BV2163" s="2" t="s">
        <v>228</v>
      </c>
      <c r="BW2163" s="2" t="s">
        <v>228</v>
      </c>
      <c r="BX2163" s="2" t="s">
        <v>337</v>
      </c>
      <c r="BY2163" s="2" t="s">
        <v>274</v>
      </c>
      <c r="BZ2163" s="2" t="s">
        <v>240</v>
      </c>
      <c r="CA2163" s="2" t="s">
        <v>1458</v>
      </c>
      <c r="CB2163" s="2" t="s">
        <v>10247</v>
      </c>
      <c r="CC2163" s="2" t="s">
        <v>241</v>
      </c>
      <c r="CD2163" s="2" t="s">
        <v>228</v>
      </c>
      <c r="CE2163" s="4">
        <v>75</v>
      </c>
      <c r="CF2163" s="4"/>
      <c r="CG2163" s="4"/>
      <c r="CH2163" s="4"/>
      <c r="CI2163" s="4"/>
      <c r="CJ2163" s="4"/>
      <c r="CK2163" s="4"/>
      <c r="CL2163" s="4"/>
      <c r="CM2163" s="4"/>
      <c r="CN2163" s="4"/>
      <c r="CO2163" s="4"/>
      <c r="CP2163" s="4"/>
      <c r="CQ2163" s="4"/>
      <c r="CR2163" s="4"/>
      <c r="CS2163" s="4"/>
      <c r="CT2163" s="4"/>
      <c r="CU2163" s="4"/>
      <c r="CV2163" s="4"/>
      <c r="CW2163" s="4"/>
      <c r="CX2163" s="4"/>
      <c r="CY2163" s="4"/>
      <c r="CZ2163" s="4"/>
      <c r="DA2163" s="4"/>
      <c r="DB2163" s="4"/>
      <c r="DC2163" s="4"/>
      <c r="DD2163" s="4"/>
      <c r="DE2163" s="4"/>
      <c r="DF2163" s="4"/>
      <c r="DG2163" s="4"/>
      <c r="DH2163" s="4"/>
      <c r="DI2163" s="4"/>
      <c r="DJ2163" s="4"/>
      <c r="DK2163" s="4"/>
      <c r="DL2163" s="4"/>
      <c r="DM2163" s="4"/>
      <c r="DN2163" s="4"/>
      <c r="DO2163" s="4"/>
      <c r="DP2163" s="4"/>
      <c r="DQ2163" s="4"/>
      <c r="DR2163" s="4"/>
      <c r="DS2163" s="4"/>
      <c r="DT2163" s="4"/>
      <c r="DU2163" s="4"/>
      <c r="DV2163" s="4"/>
      <c r="DW2163" s="4"/>
      <c r="DX2163" s="4"/>
      <c r="DY2163" s="4"/>
      <c r="DZ2163" s="4"/>
      <c r="EA2163" s="4"/>
      <c r="EB2163" s="4"/>
      <c r="EC2163" s="4"/>
      <c r="ED2163" s="4"/>
      <c r="EE2163" s="4"/>
      <c r="EF2163" s="4"/>
      <c r="EG2163" s="4"/>
      <c r="EH2163" s="4"/>
      <c r="EI2163" s="4"/>
      <c r="EJ2163" s="4"/>
      <c r="EK2163" s="4"/>
      <c r="EL2163" s="4"/>
      <c r="EM2163" s="4"/>
      <c r="EN2163" s="4"/>
      <c r="EO2163" s="4"/>
      <c r="EP2163" s="4"/>
      <c r="EQ2163" s="4"/>
      <c r="ER2163" s="4"/>
      <c r="ES2163" s="4"/>
      <c r="ET2163" s="4"/>
      <c r="EU2163" s="4"/>
      <c r="EV2163" s="4"/>
      <c r="EW2163" s="4"/>
      <c r="EX2163" s="4"/>
      <c r="EY2163" s="4"/>
      <c r="EZ2163" s="4"/>
      <c r="FA2163" s="4"/>
      <c r="FB2163" s="4"/>
      <c r="FC2163" s="4"/>
      <c r="FD2163" s="4"/>
      <c r="FE2163" s="4"/>
      <c r="FF2163" s="4"/>
      <c r="FG2163" s="4"/>
      <c r="FH2163" s="4"/>
      <c r="FI2163" s="4"/>
      <c r="FJ2163" s="4"/>
      <c r="FK2163" s="4"/>
      <c r="FL2163" s="4"/>
      <c r="FM2163" s="4"/>
      <c r="FN2163" s="4"/>
      <c r="FO2163" s="4"/>
      <c r="FP2163" s="4"/>
      <c r="FQ2163" s="4"/>
      <c r="FR2163" s="4"/>
      <c r="FS2163" s="4"/>
      <c r="FT2163" s="4"/>
      <c r="FU2163" s="4"/>
      <c r="FV2163" s="4"/>
      <c r="FW2163" s="4"/>
      <c r="FX2163" s="4"/>
      <c r="FY2163" s="4"/>
      <c r="FZ2163" s="4"/>
      <c r="GA2163" s="4"/>
      <c r="GB2163" s="4"/>
      <c r="GC2163" s="4"/>
      <c r="GD2163" s="4"/>
      <c r="GE2163" s="4"/>
      <c r="GF2163" s="4"/>
      <c r="GG2163" s="4"/>
      <c r="GH2163" s="4"/>
      <c r="GI2163" s="4"/>
      <c r="GJ2163" s="4"/>
      <c r="GK2163" s="4"/>
      <c r="GL2163" s="4"/>
      <c r="GM2163" s="4"/>
      <c r="GN2163" s="4"/>
      <c r="GO2163" s="4"/>
      <c r="GP2163" s="4"/>
      <c r="GQ2163" s="4"/>
      <c r="GR2163" s="4"/>
      <c r="GS2163" s="4"/>
      <c r="GT2163" s="4"/>
      <c r="GU2163" s="4"/>
      <c r="GV2163" s="4"/>
      <c r="GW2163" s="4"/>
      <c r="GX2163" s="4"/>
      <c r="GY2163" s="4"/>
      <c r="GZ2163" s="4"/>
      <c r="HA2163" s="4"/>
      <c r="HB2163" s="4"/>
      <c r="HC2163" s="4"/>
      <c r="HD2163" s="4"/>
      <c r="HE2163" s="4"/>
    </row>
    <row r="2164">
      <c r="A2164" s="2" t="s">
        <v>10248</v>
      </c>
      <c r="B2164" s="2" t="s">
        <v>970</v>
      </c>
      <c r="C2164" s="2" t="s">
        <v>300</v>
      </c>
      <c r="D2164" s="2" t="s">
        <v>971</v>
      </c>
      <c r="E2164" s="2" t="s">
        <v>1940</v>
      </c>
      <c r="F2164" s="2" t="s">
        <v>10212</v>
      </c>
      <c r="G2164" s="2" t="s">
        <v>10213</v>
      </c>
      <c r="H2164" s="2" t="s">
        <v>5462</v>
      </c>
      <c r="I2164" s="2" t="s">
        <v>10214</v>
      </c>
      <c r="J2164" s="2" t="s">
        <v>977</v>
      </c>
      <c r="K2164" s="2" t="s">
        <v>316</v>
      </c>
      <c r="L2164" s="3">
        <v>11.34</v>
      </c>
      <c r="M2164" s="3">
        <v>11.91</v>
      </c>
      <c r="N2164" s="3">
        <v>26.99</v>
      </c>
      <c r="O2164" s="2" t="s">
        <v>491</v>
      </c>
      <c r="P2164" s="2" t="s">
        <v>333</v>
      </c>
      <c r="Q2164" s="2" t="s">
        <v>234</v>
      </c>
      <c r="R2164" s="2" t="s">
        <v>228</v>
      </c>
      <c r="S2164" s="2" t="s">
        <v>10249</v>
      </c>
      <c r="T2164" s="2" t="s">
        <v>228</v>
      </c>
      <c r="U2164" s="2" t="s">
        <v>416</v>
      </c>
      <c r="V2164" s="2" t="s">
        <v>1156</v>
      </c>
      <c r="W2164" s="2" t="s">
        <v>463</v>
      </c>
      <c r="X2164" s="2" t="s">
        <v>417</v>
      </c>
      <c r="Y2164" s="2" t="s">
        <v>5396</v>
      </c>
      <c r="Z2164" s="4">
        <v>27</v>
      </c>
      <c r="AA2164" s="4">
        <f>=ROUNDDOWN(6.75,0)</f>
      </c>
      <c r="AB2164" s="5">
        <v>4</v>
      </c>
      <c r="AC2164" s="2" t="s">
        <v>228</v>
      </c>
      <c r="AD2164" s="4"/>
      <c r="AE2164" s="4"/>
      <c r="AF2164" s="6">
        <v>65</v>
      </c>
      <c r="AG2164" s="6"/>
      <c r="AH2164" s="7">
        <v>1</v>
      </c>
      <c r="AI2164" s="4"/>
      <c r="AJ2164" s="4">
        <f>=ROUNDDOWN({0},0)</f>
      </c>
      <c r="AK2164" s="5"/>
      <c r="AL2164" s="2" t="s">
        <v>228</v>
      </c>
      <c r="AM2164" s="4"/>
      <c r="AN2164" s="4"/>
      <c r="AO2164" s="7"/>
      <c r="AP2164" s="4"/>
      <c r="AQ2164" s="8"/>
      <c r="AR2164" s="4"/>
      <c r="AS2164" s="8"/>
      <c r="AT2164" s="7"/>
      <c r="AU2164" s="7"/>
      <c r="AV2164" s="4"/>
      <c r="AW2164" s="8"/>
      <c r="AX2164" s="4"/>
      <c r="AY2164" s="8"/>
      <c r="AZ2164" s="7"/>
      <c r="BA2164" s="7"/>
      <c r="BB2164" s="7"/>
      <c r="BC2164" s="4" t="s">
        <v>228</v>
      </c>
      <c r="BD2164" s="8" t="s">
        <v>228</v>
      </c>
      <c r="BE2164" s="4" t="s">
        <v>228</v>
      </c>
      <c r="BF2164" s="8" t="s">
        <v>228</v>
      </c>
      <c r="BG2164" s="7" t="s">
        <v>228</v>
      </c>
      <c r="BH2164" s="7" t="s">
        <v>228</v>
      </c>
      <c r="BI2164" s="7"/>
      <c r="BJ2164" s="4">
        <v>6</v>
      </c>
      <c r="BK2164" s="8">
        <v>52.14</v>
      </c>
      <c r="BL2164" s="2" t="s">
        <v>6190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10250</v>
      </c>
      <c r="BV2164" s="2" t="s">
        <v>228</v>
      </c>
      <c r="BW2164" s="2" t="s">
        <v>228</v>
      </c>
      <c r="BX2164" s="2" t="s">
        <v>337</v>
      </c>
      <c r="BY2164" s="2" t="s">
        <v>274</v>
      </c>
      <c r="BZ2164" s="2" t="s">
        <v>240</v>
      </c>
      <c r="CA2164" s="2" t="s">
        <v>1458</v>
      </c>
      <c r="CB2164" s="2" t="s">
        <v>10251</v>
      </c>
      <c r="CC2164" s="2" t="s">
        <v>241</v>
      </c>
      <c r="CD2164" s="2" t="s">
        <v>228</v>
      </c>
      <c r="CE2164" s="4">
        <v>27</v>
      </c>
      <c r="CF2164" s="4"/>
      <c r="CG2164" s="4"/>
      <c r="CH2164" s="4"/>
      <c r="CI2164" s="4"/>
      <c r="CJ2164" s="4"/>
      <c r="CK2164" s="4"/>
      <c r="CL2164" s="4"/>
      <c r="CM2164" s="4"/>
      <c r="CN2164" s="4"/>
      <c r="CO2164" s="4"/>
      <c r="CP2164" s="4"/>
      <c r="CQ2164" s="4"/>
      <c r="CR2164" s="4"/>
      <c r="CS2164" s="4"/>
      <c r="CT2164" s="4"/>
      <c r="CU2164" s="4"/>
      <c r="CV2164" s="4"/>
      <c r="CW2164" s="4"/>
      <c r="CX2164" s="4"/>
      <c r="CY2164" s="4"/>
      <c r="CZ2164" s="4"/>
      <c r="DA2164" s="4"/>
      <c r="DB2164" s="4"/>
      <c r="DC2164" s="4"/>
      <c r="DD2164" s="4"/>
      <c r="DE2164" s="4"/>
      <c r="DF2164" s="4"/>
      <c r="DG2164" s="4"/>
      <c r="DH2164" s="4"/>
      <c r="DI2164" s="4"/>
      <c r="DJ2164" s="4"/>
      <c r="DK2164" s="4"/>
      <c r="DL2164" s="4"/>
      <c r="DM2164" s="4"/>
      <c r="DN2164" s="4"/>
      <c r="DO2164" s="4"/>
      <c r="DP2164" s="4"/>
      <c r="DQ2164" s="4"/>
      <c r="DR2164" s="4"/>
      <c r="DS2164" s="4"/>
      <c r="DT2164" s="4"/>
      <c r="DU2164" s="4"/>
      <c r="DV2164" s="4"/>
      <c r="DW2164" s="4"/>
      <c r="DX2164" s="4"/>
      <c r="DY2164" s="4"/>
      <c r="DZ2164" s="4"/>
      <c r="EA2164" s="4"/>
      <c r="EB2164" s="4"/>
      <c r="EC2164" s="4"/>
      <c r="ED2164" s="4"/>
      <c r="EE2164" s="4"/>
      <c r="EF2164" s="4"/>
      <c r="EG2164" s="4"/>
      <c r="EH2164" s="4"/>
      <c r="EI2164" s="4"/>
      <c r="EJ2164" s="4"/>
      <c r="EK2164" s="4"/>
      <c r="EL2164" s="4"/>
      <c r="EM2164" s="4"/>
      <c r="EN2164" s="4"/>
      <c r="EO2164" s="4"/>
      <c r="EP2164" s="4"/>
      <c r="EQ2164" s="4"/>
      <c r="ER2164" s="4"/>
      <c r="ES2164" s="4"/>
      <c r="ET2164" s="4"/>
      <c r="EU2164" s="4"/>
      <c r="EV2164" s="4"/>
      <c r="EW2164" s="4"/>
      <c r="EX2164" s="4"/>
      <c r="EY2164" s="4"/>
      <c r="EZ2164" s="4"/>
      <c r="FA2164" s="4"/>
      <c r="FB2164" s="4"/>
      <c r="FC2164" s="4"/>
      <c r="FD2164" s="4"/>
      <c r="FE2164" s="4"/>
      <c r="FF2164" s="4"/>
      <c r="FG2164" s="4"/>
      <c r="FH2164" s="4"/>
      <c r="FI2164" s="4"/>
      <c r="FJ2164" s="4"/>
      <c r="FK2164" s="4"/>
      <c r="FL2164" s="4"/>
      <c r="FM2164" s="4"/>
      <c r="FN2164" s="4"/>
      <c r="FO2164" s="4"/>
      <c r="FP2164" s="4"/>
      <c r="FQ2164" s="4"/>
      <c r="FR2164" s="4"/>
      <c r="FS2164" s="4"/>
      <c r="FT2164" s="4"/>
      <c r="FU2164" s="4"/>
      <c r="FV2164" s="4"/>
      <c r="FW2164" s="4"/>
      <c r="FX2164" s="4"/>
      <c r="FY2164" s="4"/>
      <c r="FZ2164" s="4"/>
      <c r="GA2164" s="4"/>
      <c r="GB2164" s="4"/>
      <c r="GC2164" s="4"/>
      <c r="GD2164" s="4"/>
      <c r="GE2164" s="4"/>
      <c r="GF2164" s="4"/>
      <c r="GG2164" s="4"/>
      <c r="GH2164" s="4"/>
      <c r="GI2164" s="4"/>
      <c r="GJ2164" s="4"/>
      <c r="GK2164" s="4"/>
      <c r="GL2164" s="4"/>
      <c r="GM2164" s="4"/>
      <c r="GN2164" s="4"/>
      <c r="GO2164" s="4"/>
      <c r="GP2164" s="4"/>
      <c r="GQ2164" s="4"/>
      <c r="GR2164" s="4"/>
      <c r="GS2164" s="4"/>
      <c r="GT2164" s="4"/>
      <c r="GU2164" s="4"/>
      <c r="GV2164" s="4"/>
      <c r="GW2164" s="4"/>
      <c r="GX2164" s="4"/>
      <c r="GY2164" s="4"/>
      <c r="GZ2164" s="4"/>
      <c r="HA2164" s="4"/>
      <c r="HB2164" s="4"/>
      <c r="HC2164" s="4"/>
      <c r="HD2164" s="4"/>
      <c r="HE2164" s="4"/>
    </row>
    <row r="2165">
      <c r="A2165" s="2" t="s">
        <v>10252</v>
      </c>
      <c r="B2165" s="2" t="s">
        <v>958</v>
      </c>
      <c r="C2165" s="2" t="s">
        <v>835</v>
      </c>
      <c r="D2165" s="2" t="s">
        <v>2144</v>
      </c>
      <c r="E2165" s="2" t="s">
        <v>2145</v>
      </c>
      <c r="F2165" s="2" t="s">
        <v>8828</v>
      </c>
      <c r="G2165" s="2" t="s">
        <v>8828</v>
      </c>
      <c r="H2165" s="2" t="s">
        <v>8828</v>
      </c>
      <c r="I2165" s="2" t="s">
        <v>9198</v>
      </c>
      <c r="J2165" s="2" t="s">
        <v>840</v>
      </c>
      <c r="K2165" s="2" t="s">
        <v>1357</v>
      </c>
      <c r="L2165" s="3">
        <v>165</v>
      </c>
      <c r="M2165" s="3">
        <v>173.25</v>
      </c>
      <c r="N2165" s="3">
        <v>349</v>
      </c>
      <c r="O2165" s="2" t="s">
        <v>240</v>
      </c>
      <c r="P2165" s="2" t="s">
        <v>266</v>
      </c>
      <c r="Q2165" s="2" t="s">
        <v>234</v>
      </c>
      <c r="R2165" s="2" t="s">
        <v>228</v>
      </c>
      <c r="S2165" s="2" t="s">
        <v>228</v>
      </c>
      <c r="T2165" s="2" t="s">
        <v>228</v>
      </c>
      <c r="U2165" s="2" t="s">
        <v>416</v>
      </c>
      <c r="V2165" s="2" t="s">
        <v>842</v>
      </c>
      <c r="W2165" s="2" t="s">
        <v>417</v>
      </c>
      <c r="X2165" s="2" t="s">
        <v>269</v>
      </c>
      <c r="Y2165" s="2" t="s">
        <v>8726</v>
      </c>
      <c r="Z2165" s="4">
        <v>2</v>
      </c>
      <c r="AA2165" s="4">
        <f>=ROUNDDOWN(0.153846153846154,0)</f>
      </c>
      <c r="AB2165" s="5">
        <v>13</v>
      </c>
      <c r="AC2165" s="2" t="s">
        <v>155</v>
      </c>
      <c r="AD2165" s="4">
        <v>200</v>
      </c>
      <c r="AE2165" s="4">
        <v>300</v>
      </c>
      <c r="AF2165" s="6">
        <v>74</v>
      </c>
      <c r="AG2165" s="6"/>
      <c r="AH2165" s="7">
        <v>0</v>
      </c>
      <c r="AI2165" s="4"/>
      <c r="AJ2165" s="4">
        <f>=ROUNDDOWN({0},0)</f>
      </c>
      <c r="AK2165" s="5"/>
      <c r="AL2165" s="2" t="s">
        <v>228</v>
      </c>
      <c r="AM2165" s="4"/>
      <c r="AN2165" s="4"/>
      <c r="AO2165" s="7"/>
      <c r="AP2165" s="4"/>
      <c r="AQ2165" s="8"/>
      <c r="AR2165" s="4"/>
      <c r="AS2165" s="8"/>
      <c r="AT2165" s="7"/>
      <c r="AU2165" s="7"/>
      <c r="AV2165" s="4"/>
      <c r="AW2165" s="8"/>
      <c r="AX2165" s="4"/>
      <c r="AY2165" s="8"/>
      <c r="AZ2165" s="7"/>
      <c r="BA2165" s="7"/>
      <c r="BB2165" s="7"/>
      <c r="BC2165" s="4"/>
      <c r="BD2165" s="8"/>
      <c r="BE2165" s="4"/>
      <c r="BF2165" s="8"/>
      <c r="BG2165" s="7"/>
      <c r="BH2165" s="7"/>
      <c r="BI2165" s="7"/>
      <c r="BJ2165" s="4">
        <v>3</v>
      </c>
      <c r="BK2165" s="8">
        <v>524.95</v>
      </c>
      <c r="BL2165" s="2" t="s">
        <v>995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10253</v>
      </c>
      <c r="BV2165" s="2" t="s">
        <v>228</v>
      </c>
      <c r="BW2165" s="2" t="s">
        <v>228</v>
      </c>
      <c r="BX2165" s="2" t="s">
        <v>273</v>
      </c>
      <c r="BY2165" s="2" t="s">
        <v>274</v>
      </c>
      <c r="BZ2165" s="2" t="s">
        <v>240</v>
      </c>
      <c r="CA2165" s="2" t="s">
        <v>3133</v>
      </c>
      <c r="CB2165" s="2" t="s">
        <v>4600</v>
      </c>
      <c r="CC2165" s="2" t="s">
        <v>241</v>
      </c>
      <c r="CD2165" s="2" t="s">
        <v>228</v>
      </c>
      <c r="CE2165" s="4"/>
      <c r="CF2165" s="4">
        <v>2</v>
      </c>
      <c r="CG2165" s="4"/>
      <c r="CH2165" s="4"/>
      <c r="CI2165" s="4"/>
      <c r="CJ2165" s="4"/>
      <c r="CK2165" s="4"/>
      <c r="CL2165" s="4"/>
      <c r="CM2165" s="4"/>
      <c r="CN2165" s="4"/>
      <c r="CO2165" s="4"/>
      <c r="CP2165" s="4"/>
      <c r="CQ2165" s="4"/>
      <c r="CR2165" s="4"/>
      <c r="CS2165" s="4"/>
      <c r="CT2165" s="4"/>
      <c r="CU2165" s="4"/>
      <c r="CV2165" s="4"/>
      <c r="CW2165" s="4"/>
      <c r="CX2165" s="4"/>
      <c r="CY2165" s="4"/>
      <c r="CZ2165" s="4"/>
      <c r="DA2165" s="4"/>
      <c r="DB2165" s="4"/>
      <c r="DC2165" s="4"/>
      <c r="DD2165" s="4"/>
      <c r="DE2165" s="4"/>
      <c r="DF2165" s="4"/>
      <c r="DG2165" s="4"/>
      <c r="DH2165" s="4"/>
      <c r="DI2165" s="4"/>
      <c r="DJ2165" s="4"/>
      <c r="DK2165" s="4"/>
      <c r="DL2165" s="4"/>
      <c r="DM2165" s="4"/>
      <c r="DN2165" s="4"/>
      <c r="DO2165" s="4"/>
      <c r="DP2165" s="4"/>
      <c r="DQ2165" s="4"/>
      <c r="DR2165" s="4"/>
      <c r="DS2165" s="4"/>
      <c r="DT2165" s="4"/>
      <c r="DU2165" s="4"/>
      <c r="DV2165" s="4"/>
      <c r="DW2165" s="4"/>
      <c r="DX2165" s="4"/>
      <c r="DY2165" s="4"/>
      <c r="DZ2165" s="4"/>
      <c r="EA2165" s="4"/>
      <c r="EB2165" s="4"/>
      <c r="EC2165" s="4"/>
      <c r="ED2165" s="4"/>
      <c r="EE2165" s="4"/>
      <c r="EF2165" s="4"/>
      <c r="EG2165" s="4"/>
      <c r="EH2165" s="4"/>
      <c r="EI2165" s="4"/>
      <c r="EJ2165" s="4"/>
      <c r="EK2165" s="4"/>
      <c r="EL2165" s="4"/>
      <c r="EM2165" s="4"/>
      <c r="EN2165" s="4"/>
      <c r="EO2165" s="4"/>
      <c r="EP2165" s="4"/>
      <c r="EQ2165" s="4">
        <v>200</v>
      </c>
      <c r="ER2165" s="4"/>
      <c r="ES2165" s="4"/>
      <c r="ET2165" s="4"/>
      <c r="EU2165" s="4"/>
      <c r="EV2165" s="4"/>
      <c r="EW2165" s="4"/>
      <c r="EX2165" s="4"/>
      <c r="EY2165" s="4"/>
      <c r="EZ2165" s="4"/>
      <c r="FA2165" s="4"/>
      <c r="FB2165" s="4"/>
      <c r="FC2165" s="4"/>
      <c r="FD2165" s="4"/>
      <c r="FE2165" s="4"/>
      <c r="FF2165" s="4"/>
      <c r="FG2165" s="4"/>
      <c r="FH2165" s="4"/>
      <c r="FI2165" s="4"/>
      <c r="FJ2165" s="4"/>
      <c r="FK2165" s="4"/>
      <c r="FL2165" s="4"/>
      <c r="FM2165" s="4"/>
      <c r="FN2165" s="4"/>
      <c r="FO2165" s="4"/>
      <c r="FP2165" s="4"/>
      <c r="FQ2165" s="4"/>
      <c r="FR2165" s="4"/>
      <c r="FS2165" s="4"/>
      <c r="FT2165" s="4"/>
      <c r="FU2165" s="4"/>
      <c r="FV2165" s="4"/>
      <c r="FW2165" s="4"/>
      <c r="FX2165" s="4"/>
      <c r="FY2165" s="4"/>
      <c r="FZ2165" s="4"/>
      <c r="GA2165" s="4"/>
      <c r="GB2165" s="4"/>
      <c r="GC2165" s="4"/>
      <c r="GD2165" s="4"/>
      <c r="GE2165" s="4"/>
      <c r="GF2165" s="4"/>
      <c r="GG2165" s="4"/>
      <c r="GH2165" s="4"/>
      <c r="GI2165" s="4"/>
      <c r="GJ2165" s="4"/>
      <c r="GK2165" s="4"/>
      <c r="GL2165" s="4"/>
      <c r="GM2165" s="4"/>
      <c r="GN2165" s="4"/>
      <c r="GO2165" s="4"/>
      <c r="GP2165" s="4"/>
      <c r="GQ2165" s="4"/>
      <c r="GR2165" s="4"/>
      <c r="GS2165" s="4"/>
      <c r="GT2165" s="4"/>
      <c r="GU2165" s="4"/>
      <c r="GV2165" s="4"/>
      <c r="GW2165" s="4"/>
      <c r="GX2165" s="4"/>
      <c r="GY2165" s="4"/>
      <c r="GZ2165" s="4"/>
      <c r="HA2165" s="4">
        <v>100</v>
      </c>
      <c r="HB2165" s="4"/>
      <c r="HC2165" s="4"/>
      <c r="HD2165" s="4"/>
      <c r="HE2165" s="4"/>
    </row>
    <row r="2166">
      <c r="A2166" s="2" t="s">
        <v>10254</v>
      </c>
      <c r="B2166" s="2" t="s">
        <v>223</v>
      </c>
      <c r="C2166" s="2" t="s">
        <v>300</v>
      </c>
      <c r="D2166" s="2" t="s">
        <v>1112</v>
      </c>
      <c r="E2166" s="2" t="s">
        <v>1113</v>
      </c>
      <c r="F2166" s="2" t="s">
        <v>10255</v>
      </c>
      <c r="G2166" s="2" t="s">
        <v>10256</v>
      </c>
      <c r="H2166" s="2" t="s">
        <v>228</v>
      </c>
      <c r="I2166" s="2" t="s">
        <v>10257</v>
      </c>
      <c r="J2166" s="2" t="s">
        <v>1189</v>
      </c>
      <c r="K2166" s="2" t="s">
        <v>249</v>
      </c>
      <c r="L2166" s="3">
        <v>50.4</v>
      </c>
      <c r="M2166" s="3">
        <v>52.92</v>
      </c>
      <c r="N2166" s="3">
        <v>104.99</v>
      </c>
      <c r="O2166" s="2" t="s">
        <v>461</v>
      </c>
      <c r="P2166" s="2" t="s">
        <v>333</v>
      </c>
      <c r="Q2166" s="2" t="s">
        <v>234</v>
      </c>
      <c r="R2166" s="2" t="s">
        <v>228</v>
      </c>
      <c r="S2166" s="2" t="s">
        <v>10258</v>
      </c>
      <c r="T2166" s="2" t="s">
        <v>1608</v>
      </c>
      <c r="U2166" s="2" t="s">
        <v>228</v>
      </c>
      <c r="V2166" s="2" t="s">
        <v>980</v>
      </c>
      <c r="W2166" s="2" t="s">
        <v>269</v>
      </c>
      <c r="X2166" s="2" t="s">
        <v>1906</v>
      </c>
      <c r="Y2166" s="2" t="s">
        <v>270</v>
      </c>
      <c r="Z2166" s="4">
        <v>41</v>
      </c>
      <c r="AA2166" s="4">
        <f>=ROUNDDOWN(13.6666666666667,0)</f>
      </c>
      <c r="AB2166" s="5">
        <v>3</v>
      </c>
      <c r="AC2166" s="2" t="s">
        <v>228</v>
      </c>
      <c r="AD2166" s="4"/>
      <c r="AE2166" s="4"/>
      <c r="AF2166" s="6">
        <v>65</v>
      </c>
      <c r="AG2166" s="6"/>
      <c r="AH2166" s="7">
        <v>0.6452</v>
      </c>
      <c r="AI2166" s="4"/>
      <c r="AJ2166" s="4">
        <f>=ROUNDDOWN({0},0)</f>
      </c>
      <c r="AK2166" s="5"/>
      <c r="AL2166" s="2" t="s">
        <v>228</v>
      </c>
      <c r="AM2166" s="4"/>
      <c r="AN2166" s="4"/>
      <c r="AO2166" s="7"/>
      <c r="AP2166" s="4"/>
      <c r="AQ2166" s="8"/>
      <c r="AR2166" s="4"/>
      <c r="AS2166" s="8"/>
      <c r="AT2166" s="7"/>
      <c r="AU2166" s="7"/>
      <c r="AV2166" s="4" t="s">
        <v>228</v>
      </c>
      <c r="AW2166" s="8" t="s">
        <v>228</v>
      </c>
      <c r="AX2166" s="4" t="s">
        <v>228</v>
      </c>
      <c r="AY2166" s="8" t="s">
        <v>228</v>
      </c>
      <c r="AZ2166" s="7" t="s">
        <v>228</v>
      </c>
      <c r="BA2166" s="7" t="s">
        <v>228</v>
      </c>
      <c r="BB2166" s="7"/>
      <c r="BC2166" s="4" t="s">
        <v>228</v>
      </c>
      <c r="BD2166" s="8" t="s">
        <v>228</v>
      </c>
      <c r="BE2166" s="4" t="s">
        <v>228</v>
      </c>
      <c r="BF2166" s="8" t="s">
        <v>228</v>
      </c>
      <c r="BG2166" s="7" t="s">
        <v>228</v>
      </c>
      <c r="BH2166" s="7" t="s">
        <v>228</v>
      </c>
      <c r="BI2166" s="7"/>
      <c r="BJ2166" s="4">
        <v>1</v>
      </c>
      <c r="BK2166" s="8">
        <v>30.76</v>
      </c>
      <c r="BL2166" s="2" t="s">
        <v>10259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10260</v>
      </c>
      <c r="BV2166" s="2" t="s">
        <v>228</v>
      </c>
      <c r="BW2166" s="2" t="s">
        <v>228</v>
      </c>
      <c r="BX2166" s="2" t="s">
        <v>337</v>
      </c>
      <c r="BY2166" s="2" t="s">
        <v>274</v>
      </c>
      <c r="BZ2166" s="2" t="s">
        <v>240</v>
      </c>
      <c r="CA2166" s="2" t="s">
        <v>795</v>
      </c>
      <c r="CB2166" s="2" t="s">
        <v>7263</v>
      </c>
      <c r="CC2166" s="2" t="s">
        <v>241</v>
      </c>
      <c r="CD2166" s="2" t="s">
        <v>228</v>
      </c>
      <c r="CE2166" s="4">
        <v>41</v>
      </c>
      <c r="CF2166" s="4"/>
      <c r="CG2166" s="4"/>
      <c r="CH2166" s="4"/>
      <c r="CI2166" s="4"/>
      <c r="CJ2166" s="4"/>
      <c r="CK2166" s="4"/>
      <c r="CL2166" s="4"/>
      <c r="CM2166" s="4"/>
      <c r="CN2166" s="4"/>
      <c r="CO2166" s="4"/>
      <c r="CP2166" s="4"/>
      <c r="CQ2166" s="4"/>
      <c r="CR2166" s="4"/>
      <c r="CS2166" s="4"/>
      <c r="CT2166" s="4"/>
      <c r="CU2166" s="4"/>
      <c r="CV2166" s="4"/>
      <c r="CW2166" s="4"/>
      <c r="CX2166" s="4"/>
      <c r="CY2166" s="4"/>
      <c r="CZ2166" s="4"/>
      <c r="DA2166" s="4"/>
      <c r="DB2166" s="4"/>
      <c r="DC2166" s="4"/>
      <c r="DD2166" s="4"/>
      <c r="DE2166" s="4"/>
      <c r="DF2166" s="4"/>
      <c r="DG2166" s="4"/>
      <c r="DH2166" s="4"/>
      <c r="DI2166" s="4"/>
      <c r="DJ2166" s="4"/>
      <c r="DK2166" s="4"/>
      <c r="DL2166" s="4"/>
      <c r="DM2166" s="4"/>
      <c r="DN2166" s="4"/>
      <c r="DO2166" s="4"/>
      <c r="DP2166" s="4"/>
      <c r="DQ2166" s="4"/>
      <c r="DR2166" s="4"/>
      <c r="DS2166" s="4"/>
      <c r="DT2166" s="4"/>
      <c r="DU2166" s="4"/>
      <c r="DV2166" s="4"/>
      <c r="DW2166" s="4"/>
      <c r="DX2166" s="4"/>
      <c r="DY2166" s="4"/>
      <c r="DZ2166" s="4"/>
      <c r="EA2166" s="4"/>
      <c r="EB2166" s="4"/>
      <c r="EC2166" s="4"/>
      <c r="ED2166" s="4"/>
      <c r="EE2166" s="4"/>
      <c r="EF2166" s="4"/>
      <c r="EG2166" s="4"/>
      <c r="EH2166" s="4"/>
      <c r="EI2166" s="4"/>
      <c r="EJ2166" s="4"/>
      <c r="EK2166" s="4"/>
      <c r="EL2166" s="4"/>
      <c r="EM2166" s="4"/>
      <c r="EN2166" s="4"/>
      <c r="EO2166" s="4"/>
      <c r="EP2166" s="4"/>
      <c r="EQ2166" s="4"/>
      <c r="ER2166" s="4"/>
      <c r="ES2166" s="4"/>
      <c r="ET2166" s="4"/>
      <c r="EU2166" s="4"/>
      <c r="EV2166" s="4"/>
      <c r="EW2166" s="4"/>
      <c r="EX2166" s="4"/>
      <c r="EY2166" s="4"/>
      <c r="EZ2166" s="4"/>
      <c r="FA2166" s="4"/>
      <c r="FB2166" s="4"/>
      <c r="FC2166" s="4"/>
      <c r="FD2166" s="4"/>
      <c r="FE2166" s="4"/>
      <c r="FF2166" s="4"/>
      <c r="FG2166" s="4"/>
      <c r="FH2166" s="4"/>
      <c r="FI2166" s="4"/>
      <c r="FJ2166" s="4"/>
      <c r="FK2166" s="4"/>
      <c r="FL2166" s="4"/>
      <c r="FM2166" s="4"/>
      <c r="FN2166" s="4"/>
      <c r="FO2166" s="4"/>
      <c r="FP2166" s="4"/>
      <c r="FQ2166" s="4"/>
      <c r="FR2166" s="4"/>
      <c r="FS2166" s="4"/>
      <c r="FT2166" s="4"/>
      <c r="FU2166" s="4"/>
      <c r="FV2166" s="4"/>
      <c r="FW2166" s="4"/>
      <c r="FX2166" s="4"/>
      <c r="FY2166" s="4"/>
      <c r="FZ2166" s="4"/>
      <c r="GA2166" s="4"/>
      <c r="GB2166" s="4"/>
      <c r="GC2166" s="4"/>
      <c r="GD2166" s="4"/>
      <c r="GE2166" s="4"/>
      <c r="GF2166" s="4"/>
      <c r="GG2166" s="4"/>
      <c r="GH2166" s="4"/>
      <c r="GI2166" s="4"/>
      <c r="GJ2166" s="4"/>
      <c r="GK2166" s="4"/>
      <c r="GL2166" s="4"/>
      <c r="GM2166" s="4"/>
      <c r="GN2166" s="4"/>
      <c r="GO2166" s="4"/>
      <c r="GP2166" s="4"/>
      <c r="GQ2166" s="4"/>
      <c r="GR2166" s="4"/>
      <c r="GS2166" s="4"/>
      <c r="GT2166" s="4"/>
      <c r="GU2166" s="4"/>
      <c r="GV2166" s="4"/>
      <c r="GW2166" s="4"/>
      <c r="GX2166" s="4"/>
      <c r="GY2166" s="4"/>
      <c r="GZ2166" s="4"/>
      <c r="HA2166" s="4"/>
      <c r="HB2166" s="4"/>
      <c r="HC2166" s="4"/>
      <c r="HD2166" s="4"/>
      <c r="HE2166" s="4"/>
    </row>
    <row r="2167">
      <c r="A2167" s="2" t="s">
        <v>10261</v>
      </c>
      <c r="B2167" s="2" t="s">
        <v>223</v>
      </c>
      <c r="C2167" s="2" t="s">
        <v>300</v>
      </c>
      <c r="D2167" s="2" t="s">
        <v>1112</v>
      </c>
      <c r="E2167" s="2" t="s">
        <v>1113</v>
      </c>
      <c r="F2167" s="2" t="s">
        <v>10255</v>
      </c>
      <c r="G2167" s="2" t="s">
        <v>10256</v>
      </c>
      <c r="H2167" s="2" t="s">
        <v>228</v>
      </c>
      <c r="I2167" s="2" t="s">
        <v>10257</v>
      </c>
      <c r="J2167" s="2" t="s">
        <v>1043</v>
      </c>
      <c r="K2167" s="2" t="s">
        <v>249</v>
      </c>
      <c r="L2167" s="3">
        <v>60</v>
      </c>
      <c r="M2167" s="3">
        <v>63</v>
      </c>
      <c r="N2167" s="3">
        <v>124.99</v>
      </c>
      <c r="O2167" s="2" t="s">
        <v>491</v>
      </c>
      <c r="P2167" s="2" t="s">
        <v>333</v>
      </c>
      <c r="Q2167" s="2" t="s">
        <v>234</v>
      </c>
      <c r="R2167" s="2" t="s">
        <v>228</v>
      </c>
      <c r="S2167" s="2" t="s">
        <v>10258</v>
      </c>
      <c r="T2167" s="2" t="s">
        <v>1608</v>
      </c>
      <c r="U2167" s="2" t="s">
        <v>228</v>
      </c>
      <c r="V2167" s="2" t="s">
        <v>980</v>
      </c>
      <c r="W2167" s="2" t="s">
        <v>269</v>
      </c>
      <c r="X2167" s="2" t="s">
        <v>1906</v>
      </c>
      <c r="Y2167" s="2" t="s">
        <v>270</v>
      </c>
      <c r="Z2167" s="4">
        <v>4</v>
      </c>
      <c r="AA2167" s="4">
        <f>=ROUNDDOWN(1.33333333333333,0)</f>
      </c>
      <c r="AB2167" s="5">
        <v>3</v>
      </c>
      <c r="AC2167" s="2" t="s">
        <v>228</v>
      </c>
      <c r="AD2167" s="4"/>
      <c r="AE2167" s="4"/>
      <c r="AF2167" s="6">
        <v>65</v>
      </c>
      <c r="AG2167" s="6"/>
      <c r="AH2167" s="7">
        <v>0.6452</v>
      </c>
      <c r="AI2167" s="4"/>
      <c r="AJ2167" s="4">
        <f>=ROUNDDOWN({0},0)</f>
      </c>
      <c r="AK2167" s="5"/>
      <c r="AL2167" s="2" t="s">
        <v>228</v>
      </c>
      <c r="AM2167" s="4"/>
      <c r="AN2167" s="4"/>
      <c r="AO2167" s="7"/>
      <c r="AP2167" s="4"/>
      <c r="AQ2167" s="8"/>
      <c r="AR2167" s="4"/>
      <c r="AS2167" s="8"/>
      <c r="AT2167" s="7"/>
      <c r="AU2167" s="7"/>
      <c r="AV2167" s="4" t="s">
        <v>228</v>
      </c>
      <c r="AW2167" s="8" t="s">
        <v>228</v>
      </c>
      <c r="AX2167" s="4" t="s">
        <v>228</v>
      </c>
      <c r="AY2167" s="8" t="s">
        <v>228</v>
      </c>
      <c r="AZ2167" s="7" t="s">
        <v>228</v>
      </c>
      <c r="BA2167" s="7" t="s">
        <v>228</v>
      </c>
      <c r="BB2167" s="7"/>
      <c r="BC2167" s="4" t="s">
        <v>228</v>
      </c>
      <c r="BD2167" s="8" t="s">
        <v>228</v>
      </c>
      <c r="BE2167" s="4" t="s">
        <v>228</v>
      </c>
      <c r="BF2167" s="8" t="s">
        <v>228</v>
      </c>
      <c r="BG2167" s="7" t="s">
        <v>228</v>
      </c>
      <c r="BH2167" s="7" t="s">
        <v>228</v>
      </c>
      <c r="BI2167" s="7"/>
      <c r="BJ2167" s="4">
        <v>1</v>
      </c>
      <c r="BK2167" s="8">
        <v>66.15</v>
      </c>
      <c r="BL2167" s="2" t="s">
        <v>2193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10262</v>
      </c>
      <c r="BV2167" s="2" t="s">
        <v>228</v>
      </c>
      <c r="BW2167" s="2" t="s">
        <v>228</v>
      </c>
      <c r="BX2167" s="2" t="s">
        <v>337</v>
      </c>
      <c r="BY2167" s="2" t="s">
        <v>274</v>
      </c>
      <c r="BZ2167" s="2" t="s">
        <v>240</v>
      </c>
      <c r="CA2167" s="2" t="s">
        <v>795</v>
      </c>
      <c r="CB2167" s="2" t="s">
        <v>10263</v>
      </c>
      <c r="CC2167" s="2" t="s">
        <v>241</v>
      </c>
      <c r="CD2167" s="2" t="s">
        <v>228</v>
      </c>
      <c r="CE2167" s="4">
        <v>4</v>
      </c>
      <c r="CF2167" s="4"/>
      <c r="CG2167" s="4"/>
      <c r="CH2167" s="4"/>
      <c r="CI2167" s="4"/>
      <c r="CJ2167" s="4"/>
      <c r="CK2167" s="4"/>
      <c r="CL2167" s="4"/>
      <c r="CM2167" s="4"/>
      <c r="CN2167" s="4"/>
      <c r="CO2167" s="4"/>
      <c r="CP2167" s="4"/>
      <c r="CQ2167" s="4"/>
      <c r="CR2167" s="4"/>
      <c r="CS2167" s="4"/>
      <c r="CT2167" s="4"/>
      <c r="CU2167" s="4"/>
      <c r="CV2167" s="4"/>
      <c r="CW2167" s="4"/>
      <c r="CX2167" s="4"/>
      <c r="CY2167" s="4"/>
      <c r="CZ2167" s="4"/>
      <c r="DA2167" s="4"/>
      <c r="DB2167" s="4"/>
      <c r="DC2167" s="4"/>
      <c r="DD2167" s="4"/>
      <c r="DE2167" s="4"/>
      <c r="DF2167" s="4"/>
      <c r="DG2167" s="4"/>
      <c r="DH2167" s="4"/>
      <c r="DI2167" s="4"/>
      <c r="DJ2167" s="4"/>
      <c r="DK2167" s="4"/>
      <c r="DL2167" s="4"/>
      <c r="DM2167" s="4"/>
      <c r="DN2167" s="4"/>
      <c r="DO2167" s="4"/>
      <c r="DP2167" s="4"/>
      <c r="DQ2167" s="4"/>
      <c r="DR2167" s="4"/>
      <c r="DS2167" s="4"/>
      <c r="DT2167" s="4"/>
      <c r="DU2167" s="4"/>
      <c r="DV2167" s="4"/>
      <c r="DW2167" s="4"/>
      <c r="DX2167" s="4"/>
      <c r="DY2167" s="4"/>
      <c r="DZ2167" s="4"/>
      <c r="EA2167" s="4"/>
      <c r="EB2167" s="4"/>
      <c r="EC2167" s="4"/>
      <c r="ED2167" s="4"/>
      <c r="EE2167" s="4"/>
      <c r="EF2167" s="4"/>
      <c r="EG2167" s="4"/>
      <c r="EH2167" s="4"/>
      <c r="EI2167" s="4"/>
      <c r="EJ2167" s="4"/>
      <c r="EK2167" s="4"/>
      <c r="EL2167" s="4"/>
      <c r="EM2167" s="4"/>
      <c r="EN2167" s="4"/>
      <c r="EO2167" s="4"/>
      <c r="EP2167" s="4"/>
      <c r="EQ2167" s="4"/>
      <c r="ER2167" s="4"/>
      <c r="ES2167" s="4"/>
      <c r="ET2167" s="4"/>
      <c r="EU2167" s="4"/>
      <c r="EV2167" s="4"/>
      <c r="EW2167" s="4"/>
      <c r="EX2167" s="4"/>
      <c r="EY2167" s="4"/>
      <c r="EZ2167" s="4"/>
      <c r="FA2167" s="4"/>
      <c r="FB2167" s="4"/>
      <c r="FC2167" s="4"/>
      <c r="FD2167" s="4"/>
      <c r="FE2167" s="4"/>
      <c r="FF2167" s="4"/>
      <c r="FG2167" s="4"/>
      <c r="FH2167" s="4"/>
      <c r="FI2167" s="4"/>
      <c r="FJ2167" s="4"/>
      <c r="FK2167" s="4"/>
      <c r="FL2167" s="4"/>
      <c r="FM2167" s="4"/>
      <c r="FN2167" s="4"/>
      <c r="FO2167" s="4"/>
      <c r="FP2167" s="4"/>
      <c r="FQ2167" s="4"/>
      <c r="FR2167" s="4"/>
      <c r="FS2167" s="4"/>
      <c r="FT2167" s="4"/>
      <c r="FU2167" s="4"/>
      <c r="FV2167" s="4"/>
      <c r="FW2167" s="4"/>
      <c r="FX2167" s="4"/>
      <c r="FY2167" s="4"/>
      <c r="FZ2167" s="4"/>
      <c r="GA2167" s="4"/>
      <c r="GB2167" s="4"/>
      <c r="GC2167" s="4"/>
      <c r="GD2167" s="4"/>
      <c r="GE2167" s="4"/>
      <c r="GF2167" s="4"/>
      <c r="GG2167" s="4"/>
      <c r="GH2167" s="4"/>
      <c r="GI2167" s="4"/>
      <c r="GJ2167" s="4"/>
      <c r="GK2167" s="4"/>
      <c r="GL2167" s="4"/>
      <c r="GM2167" s="4"/>
      <c r="GN2167" s="4"/>
      <c r="GO2167" s="4"/>
      <c r="GP2167" s="4"/>
      <c r="GQ2167" s="4"/>
      <c r="GR2167" s="4"/>
      <c r="GS2167" s="4"/>
      <c r="GT2167" s="4"/>
      <c r="GU2167" s="4"/>
      <c r="GV2167" s="4"/>
      <c r="GW2167" s="4"/>
      <c r="GX2167" s="4"/>
      <c r="GY2167" s="4"/>
      <c r="GZ2167" s="4"/>
      <c r="HA2167" s="4"/>
      <c r="HB2167" s="4"/>
      <c r="HC2167" s="4"/>
      <c r="HD2167" s="4"/>
      <c r="HE2167" s="4"/>
    </row>
    <row r="2168">
      <c r="A2168" s="2" t="s">
        <v>10264</v>
      </c>
      <c r="B2168" s="2" t="s">
        <v>299</v>
      </c>
      <c r="C2168" s="2" t="s">
        <v>259</v>
      </c>
      <c r="D2168" s="2" t="s">
        <v>301</v>
      </c>
      <c r="E2168" s="2" t="s">
        <v>302</v>
      </c>
      <c r="F2168" s="2" t="s">
        <v>10265</v>
      </c>
      <c r="G2168" s="2" t="s">
        <v>10265</v>
      </c>
      <c r="H2168" s="2" t="s">
        <v>10265</v>
      </c>
      <c r="I2168" s="2" t="s">
        <v>347</v>
      </c>
      <c r="J2168" s="2" t="s">
        <v>264</v>
      </c>
      <c r="K2168" s="2" t="s">
        <v>978</v>
      </c>
      <c r="L2168" s="3">
        <v>16.5</v>
      </c>
      <c r="M2168" s="3">
        <v>17.32</v>
      </c>
      <c r="N2168" s="3">
        <v>32.99</v>
      </c>
      <c r="O2168" s="2" t="s">
        <v>240</v>
      </c>
      <c r="P2168" s="2" t="s">
        <v>266</v>
      </c>
      <c r="Q2168" s="2" t="s">
        <v>234</v>
      </c>
      <c r="R2168" s="2" t="s">
        <v>228</v>
      </c>
      <c r="S2168" s="2" t="s">
        <v>10266</v>
      </c>
      <c r="T2168" s="2" t="s">
        <v>10267</v>
      </c>
      <c r="U2168" s="2" t="s">
        <v>228</v>
      </c>
      <c r="V2168" s="2" t="s">
        <v>236</v>
      </c>
      <c r="W2168" s="2" t="s">
        <v>269</v>
      </c>
      <c r="X2168" s="2" t="s">
        <v>228</v>
      </c>
      <c r="Y2168" s="2" t="s">
        <v>10268</v>
      </c>
      <c r="Z2168" s="4">
        <v>39</v>
      </c>
      <c r="AA2168" s="4">
        <f>=ROUNDDOWN(10,0)</f>
      </c>
      <c r="AB2168" s="5">
        <v>3.9</v>
      </c>
      <c r="AC2168" s="2" t="s">
        <v>187</v>
      </c>
      <c r="AD2168" s="4">
        <v>120</v>
      </c>
      <c r="AE2168" s="4">
        <v>120</v>
      </c>
      <c r="AF2168" s="6">
        <v>66</v>
      </c>
      <c r="AG2168" s="6"/>
      <c r="AH2168" s="7">
        <v>1</v>
      </c>
      <c r="AI2168" s="4"/>
      <c r="AJ2168" s="4">
        <f>=ROUNDDOWN({0},0)</f>
      </c>
      <c r="AK2168" s="5"/>
      <c r="AL2168" s="2" t="s">
        <v>228</v>
      </c>
      <c r="AM2168" s="4"/>
      <c r="AN2168" s="4"/>
      <c r="AO2168" s="7"/>
      <c r="AP2168" s="4"/>
      <c r="AQ2168" s="8"/>
      <c r="AR2168" s="4"/>
      <c r="AS2168" s="8"/>
      <c r="AT2168" s="7"/>
      <c r="AU2168" s="7"/>
      <c r="AV2168" s="4" t="s">
        <v>228</v>
      </c>
      <c r="AW2168" s="8" t="s">
        <v>228</v>
      </c>
      <c r="AX2168" s="4" t="s">
        <v>228</v>
      </c>
      <c r="AY2168" s="8" t="s">
        <v>228</v>
      </c>
      <c r="AZ2168" s="7" t="s">
        <v>228</v>
      </c>
      <c r="BA2168" s="7" t="s">
        <v>228</v>
      </c>
      <c r="BB2168" s="7"/>
      <c r="BC2168" s="4" t="s">
        <v>228</v>
      </c>
      <c r="BD2168" s="8" t="s">
        <v>228</v>
      </c>
      <c r="BE2168" s="4" t="s">
        <v>228</v>
      </c>
      <c r="BF2168" s="8" t="s">
        <v>228</v>
      </c>
      <c r="BG2168" s="7" t="s">
        <v>228</v>
      </c>
      <c r="BH2168" s="7" t="s">
        <v>228</v>
      </c>
      <c r="BI2168" s="7"/>
      <c r="BJ2168" s="4">
        <v>15</v>
      </c>
      <c r="BK2168" s="8">
        <v>247.13</v>
      </c>
      <c r="BL2168" s="2" t="s">
        <v>10269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10270</v>
      </c>
      <c r="BV2168" s="2" t="s">
        <v>228</v>
      </c>
      <c r="BW2168" s="2" t="s">
        <v>228</v>
      </c>
      <c r="BX2168" s="2" t="s">
        <v>273</v>
      </c>
      <c r="BY2168" s="2" t="s">
        <v>274</v>
      </c>
      <c r="BZ2168" s="2" t="s">
        <v>240</v>
      </c>
      <c r="CA2168" s="2" t="s">
        <v>10034</v>
      </c>
      <c r="CB2168" s="2" t="s">
        <v>10271</v>
      </c>
      <c r="CC2168" s="2" t="s">
        <v>241</v>
      </c>
      <c r="CD2168" s="2" t="s">
        <v>228</v>
      </c>
      <c r="CE2168" s="4">
        <v>39</v>
      </c>
      <c r="CF2168" s="4"/>
      <c r="CG2168" s="4"/>
      <c r="CH2168" s="4"/>
      <c r="CI2168" s="4"/>
      <c r="CJ2168" s="4"/>
      <c r="CK2168" s="4"/>
      <c r="CL2168" s="4"/>
      <c r="CM2168" s="4"/>
      <c r="CN2168" s="4"/>
      <c r="CO2168" s="4"/>
      <c r="CP2168" s="4"/>
      <c r="CQ2168" s="4"/>
      <c r="CR2168" s="4"/>
      <c r="CS2168" s="4"/>
      <c r="CT2168" s="4"/>
      <c r="CU2168" s="4"/>
      <c r="CV2168" s="4"/>
      <c r="CW2168" s="4"/>
      <c r="CX2168" s="4"/>
      <c r="CY2168" s="4"/>
      <c r="CZ2168" s="4"/>
      <c r="DA2168" s="4"/>
      <c r="DB2168" s="4"/>
      <c r="DC2168" s="4"/>
      <c r="DD2168" s="4"/>
      <c r="DE2168" s="4"/>
      <c r="DF2168" s="4"/>
      <c r="DG2168" s="4"/>
      <c r="DH2168" s="4"/>
      <c r="DI2168" s="4"/>
      <c r="DJ2168" s="4"/>
      <c r="DK2168" s="4"/>
      <c r="DL2168" s="4"/>
      <c r="DM2168" s="4"/>
      <c r="DN2168" s="4"/>
      <c r="DO2168" s="4"/>
      <c r="DP2168" s="4"/>
      <c r="DQ2168" s="4"/>
      <c r="DR2168" s="4"/>
      <c r="DS2168" s="4"/>
      <c r="DT2168" s="4"/>
      <c r="DU2168" s="4"/>
      <c r="DV2168" s="4"/>
      <c r="DW2168" s="4"/>
      <c r="DX2168" s="4"/>
      <c r="DY2168" s="4"/>
      <c r="DZ2168" s="4"/>
      <c r="EA2168" s="4"/>
      <c r="EB2168" s="4"/>
      <c r="EC2168" s="4"/>
      <c r="ED2168" s="4"/>
      <c r="EE2168" s="4"/>
      <c r="EF2168" s="4"/>
      <c r="EG2168" s="4"/>
      <c r="EH2168" s="4"/>
      <c r="EI2168" s="4"/>
      <c r="EJ2168" s="4"/>
      <c r="EK2168" s="4"/>
      <c r="EL2168" s="4"/>
      <c r="EM2168" s="4"/>
      <c r="EN2168" s="4"/>
      <c r="EO2168" s="4"/>
      <c r="EP2168" s="4"/>
      <c r="EQ2168" s="4"/>
      <c r="ER2168" s="4"/>
      <c r="ES2168" s="4"/>
      <c r="ET2168" s="4"/>
      <c r="EU2168" s="4"/>
      <c r="EV2168" s="4"/>
      <c r="EW2168" s="4"/>
      <c r="EX2168" s="4"/>
      <c r="EY2168" s="4"/>
      <c r="EZ2168" s="4"/>
      <c r="FA2168" s="4"/>
      <c r="FB2168" s="4"/>
      <c r="FC2168" s="4"/>
      <c r="FD2168" s="4"/>
      <c r="FE2168" s="4"/>
      <c r="FF2168" s="4"/>
      <c r="FG2168" s="4"/>
      <c r="FH2168" s="4"/>
      <c r="FI2168" s="4"/>
      <c r="FJ2168" s="4"/>
      <c r="FK2168" s="4"/>
      <c r="FL2168" s="4"/>
      <c r="FM2168" s="4"/>
      <c r="FN2168" s="4"/>
      <c r="FO2168" s="4"/>
      <c r="FP2168" s="4"/>
      <c r="FQ2168" s="4"/>
      <c r="FR2168" s="4"/>
      <c r="FS2168" s="4"/>
      <c r="FT2168" s="4"/>
      <c r="FU2168" s="4"/>
      <c r="FV2168" s="4"/>
      <c r="FW2168" s="4">
        <v>120</v>
      </c>
      <c r="FX2168" s="4"/>
      <c r="FY2168" s="4"/>
      <c r="FZ2168" s="4"/>
      <c r="GA2168" s="4"/>
      <c r="GB2168" s="4"/>
      <c r="GC2168" s="4"/>
      <c r="GD2168" s="4"/>
      <c r="GE2168" s="4"/>
      <c r="GF2168" s="4"/>
      <c r="GG2168" s="4"/>
      <c r="GH2168" s="4"/>
      <c r="GI2168" s="4"/>
      <c r="GJ2168" s="4"/>
      <c r="GK2168" s="4"/>
      <c r="GL2168" s="4"/>
      <c r="GM2168" s="4"/>
      <c r="GN2168" s="4"/>
      <c r="GO2168" s="4"/>
      <c r="GP2168" s="4"/>
      <c r="GQ2168" s="4"/>
      <c r="GR2168" s="4"/>
      <c r="GS2168" s="4"/>
      <c r="GT2168" s="4"/>
      <c r="GU2168" s="4"/>
      <c r="GV2168" s="4"/>
      <c r="GW2168" s="4"/>
      <c r="GX2168" s="4"/>
      <c r="GY2168" s="4"/>
      <c r="GZ2168" s="4"/>
      <c r="HA2168" s="4"/>
      <c r="HB2168" s="4"/>
      <c r="HC2168" s="4"/>
      <c r="HD2168" s="4"/>
      <c r="HE2168" s="4"/>
    </row>
    <row r="2169">
      <c r="A2169" s="2" t="s">
        <v>10272</v>
      </c>
      <c r="B2169" s="2" t="s">
        <v>299</v>
      </c>
      <c r="C2169" s="2" t="s">
        <v>259</v>
      </c>
      <c r="D2169" s="2" t="s">
        <v>301</v>
      </c>
      <c r="E2169" s="2" t="s">
        <v>302</v>
      </c>
      <c r="F2169" s="2" t="s">
        <v>10265</v>
      </c>
      <c r="G2169" s="2" t="s">
        <v>10265</v>
      </c>
      <c r="H2169" s="2" t="s">
        <v>10265</v>
      </c>
      <c r="I2169" s="2" t="s">
        <v>347</v>
      </c>
      <c r="J2169" s="2" t="s">
        <v>284</v>
      </c>
      <c r="K2169" s="2" t="s">
        <v>978</v>
      </c>
      <c r="L2169" s="3">
        <v>16.5</v>
      </c>
      <c r="M2169" s="3">
        <v>17.32</v>
      </c>
      <c r="N2169" s="3">
        <v>32.99</v>
      </c>
      <c r="O2169" s="2" t="s">
        <v>240</v>
      </c>
      <c r="P2169" s="2" t="s">
        <v>1012</v>
      </c>
      <c r="Q2169" s="2" t="s">
        <v>234</v>
      </c>
      <c r="R2169" s="2" t="s">
        <v>228</v>
      </c>
      <c r="S2169" s="2" t="s">
        <v>10266</v>
      </c>
      <c r="T2169" s="2" t="s">
        <v>10267</v>
      </c>
      <c r="U2169" s="2" t="s">
        <v>228</v>
      </c>
      <c r="V2169" s="2" t="s">
        <v>236</v>
      </c>
      <c r="W2169" s="2" t="s">
        <v>269</v>
      </c>
      <c r="X2169" s="2" t="s">
        <v>228</v>
      </c>
      <c r="Y2169" s="2" t="s">
        <v>10268</v>
      </c>
      <c r="Z2169" s="4">
        <v>380</v>
      </c>
      <c r="AA2169" s="4">
        <f>=ROUNDDOWN(76,0)</f>
      </c>
      <c r="AB2169" s="5">
        <v>5</v>
      </c>
      <c r="AC2169" s="2" t="s">
        <v>228</v>
      </c>
      <c r="AD2169" s="4"/>
      <c r="AE2169" s="4"/>
      <c r="AF2169" s="6">
        <v>66</v>
      </c>
      <c r="AG2169" s="6"/>
      <c r="AH2169" s="7">
        <v>1</v>
      </c>
      <c r="AI2169" s="4"/>
      <c r="AJ2169" s="4">
        <f>=ROUNDDOWN({0},0)</f>
      </c>
      <c r="AK2169" s="5"/>
      <c r="AL2169" s="2" t="s">
        <v>228</v>
      </c>
      <c r="AM2169" s="4"/>
      <c r="AN2169" s="4"/>
      <c r="AO2169" s="7"/>
      <c r="AP2169" s="4"/>
      <c r="AQ2169" s="8"/>
      <c r="AR2169" s="4"/>
      <c r="AS2169" s="8"/>
      <c r="AT2169" s="7"/>
      <c r="AU2169" s="7"/>
      <c r="AV2169" s="4" t="s">
        <v>228</v>
      </c>
      <c r="AW2169" s="8" t="s">
        <v>228</v>
      </c>
      <c r="AX2169" s="4" t="s">
        <v>228</v>
      </c>
      <c r="AY2169" s="8" t="s">
        <v>228</v>
      </c>
      <c r="AZ2169" s="7" t="s">
        <v>228</v>
      </c>
      <c r="BA2169" s="7" t="s">
        <v>228</v>
      </c>
      <c r="BB2169" s="7"/>
      <c r="BC2169" s="4" t="s">
        <v>228</v>
      </c>
      <c r="BD2169" s="8" t="s">
        <v>228</v>
      </c>
      <c r="BE2169" s="4" t="s">
        <v>228</v>
      </c>
      <c r="BF2169" s="8" t="s">
        <v>228</v>
      </c>
      <c r="BG2169" s="7" t="s">
        <v>228</v>
      </c>
      <c r="BH2169" s="7" t="s">
        <v>228</v>
      </c>
      <c r="BI2169" s="7"/>
      <c r="BJ2169" s="4">
        <v>13</v>
      </c>
      <c r="BK2169" s="8">
        <v>217.15</v>
      </c>
      <c r="BL2169" s="2" t="s">
        <v>9112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10273</v>
      </c>
      <c r="BV2169" s="2" t="s">
        <v>228</v>
      </c>
      <c r="BW2169" s="2" t="s">
        <v>228</v>
      </c>
      <c r="BX2169" s="2" t="s">
        <v>273</v>
      </c>
      <c r="BY2169" s="2" t="s">
        <v>274</v>
      </c>
      <c r="BZ2169" s="2" t="s">
        <v>240</v>
      </c>
      <c r="CA2169" s="2" t="s">
        <v>10034</v>
      </c>
      <c r="CB2169" s="2" t="s">
        <v>10274</v>
      </c>
      <c r="CC2169" s="2" t="s">
        <v>241</v>
      </c>
      <c r="CD2169" s="2" t="s">
        <v>228</v>
      </c>
      <c r="CE2169" s="4">
        <v>380</v>
      </c>
      <c r="CF2169" s="4"/>
      <c r="CG2169" s="4"/>
      <c r="CH2169" s="4"/>
      <c r="CI2169" s="4"/>
      <c r="CJ2169" s="4"/>
      <c r="CK2169" s="4"/>
      <c r="CL2169" s="4"/>
      <c r="CM2169" s="4"/>
      <c r="CN2169" s="4"/>
      <c r="CO2169" s="4"/>
      <c r="CP2169" s="4"/>
      <c r="CQ2169" s="4"/>
      <c r="CR2169" s="4"/>
      <c r="CS2169" s="4"/>
      <c r="CT2169" s="4"/>
      <c r="CU2169" s="4"/>
      <c r="CV2169" s="4"/>
      <c r="CW2169" s="4"/>
      <c r="CX2169" s="4"/>
      <c r="CY2169" s="4"/>
      <c r="CZ2169" s="4"/>
      <c r="DA2169" s="4"/>
      <c r="DB2169" s="4"/>
      <c r="DC2169" s="4"/>
      <c r="DD2169" s="4"/>
      <c r="DE2169" s="4"/>
      <c r="DF2169" s="4"/>
      <c r="DG2169" s="4"/>
      <c r="DH2169" s="4"/>
      <c r="DI2169" s="4"/>
      <c r="DJ2169" s="4"/>
      <c r="DK2169" s="4"/>
      <c r="DL2169" s="4"/>
      <c r="DM2169" s="4"/>
      <c r="DN2169" s="4"/>
      <c r="DO2169" s="4"/>
      <c r="DP2169" s="4"/>
      <c r="DQ2169" s="4"/>
      <c r="DR2169" s="4"/>
      <c r="DS2169" s="4"/>
      <c r="DT2169" s="4"/>
      <c r="DU2169" s="4"/>
      <c r="DV2169" s="4"/>
      <c r="DW2169" s="4"/>
      <c r="DX2169" s="4"/>
      <c r="DY2169" s="4"/>
      <c r="DZ2169" s="4"/>
      <c r="EA2169" s="4"/>
      <c r="EB2169" s="4"/>
      <c r="EC2169" s="4"/>
      <c r="ED2169" s="4"/>
      <c r="EE2169" s="4"/>
      <c r="EF2169" s="4"/>
      <c r="EG2169" s="4"/>
      <c r="EH2169" s="4"/>
      <c r="EI2169" s="4"/>
      <c r="EJ2169" s="4"/>
      <c r="EK2169" s="4"/>
      <c r="EL2169" s="4"/>
      <c r="EM2169" s="4"/>
      <c r="EN2169" s="4"/>
      <c r="EO2169" s="4"/>
      <c r="EP2169" s="4"/>
      <c r="EQ2169" s="4"/>
      <c r="ER2169" s="4"/>
      <c r="ES2169" s="4"/>
      <c r="ET2169" s="4"/>
      <c r="EU2169" s="4"/>
      <c r="EV2169" s="4"/>
      <c r="EW2169" s="4"/>
      <c r="EX2169" s="4"/>
      <c r="EY2169" s="4"/>
      <c r="EZ2169" s="4"/>
      <c r="FA2169" s="4"/>
      <c r="FB2169" s="4"/>
      <c r="FC2169" s="4"/>
      <c r="FD2169" s="4"/>
      <c r="FE2169" s="4"/>
      <c r="FF2169" s="4"/>
      <c r="FG2169" s="4"/>
      <c r="FH2169" s="4"/>
      <c r="FI2169" s="4"/>
      <c r="FJ2169" s="4"/>
      <c r="FK2169" s="4"/>
      <c r="FL2169" s="4"/>
      <c r="FM2169" s="4"/>
      <c r="FN2169" s="4"/>
      <c r="FO2169" s="4"/>
      <c r="FP2169" s="4"/>
      <c r="FQ2169" s="4"/>
      <c r="FR2169" s="4"/>
      <c r="FS2169" s="4"/>
      <c r="FT2169" s="4"/>
      <c r="FU2169" s="4"/>
      <c r="FV2169" s="4"/>
      <c r="FW2169" s="4"/>
      <c r="FX2169" s="4"/>
      <c r="FY2169" s="4"/>
      <c r="FZ2169" s="4"/>
      <c r="GA2169" s="4"/>
      <c r="GB2169" s="4"/>
      <c r="GC2169" s="4"/>
      <c r="GD2169" s="4"/>
      <c r="GE2169" s="4"/>
      <c r="GF2169" s="4"/>
      <c r="GG2169" s="4"/>
      <c r="GH2169" s="4"/>
      <c r="GI2169" s="4"/>
      <c r="GJ2169" s="4"/>
      <c r="GK2169" s="4"/>
      <c r="GL2169" s="4"/>
      <c r="GM2169" s="4"/>
      <c r="GN2169" s="4"/>
      <c r="GO2169" s="4"/>
      <c r="GP2169" s="4"/>
      <c r="GQ2169" s="4"/>
      <c r="GR2169" s="4"/>
      <c r="GS2169" s="4"/>
      <c r="GT2169" s="4"/>
      <c r="GU2169" s="4"/>
      <c r="GV2169" s="4"/>
      <c r="GW2169" s="4"/>
      <c r="GX2169" s="4"/>
      <c r="GY2169" s="4"/>
      <c r="GZ2169" s="4"/>
      <c r="HA2169" s="4"/>
      <c r="HB2169" s="4"/>
      <c r="HC2169" s="4"/>
      <c r="HD2169" s="4"/>
      <c r="HE2169" s="4"/>
    </row>
    <row r="2170">
      <c r="A2170" s="2" t="s">
        <v>10275</v>
      </c>
      <c r="B2170" s="2" t="s">
        <v>299</v>
      </c>
      <c r="C2170" s="2" t="s">
        <v>259</v>
      </c>
      <c r="D2170" s="2" t="s">
        <v>301</v>
      </c>
      <c r="E2170" s="2" t="s">
        <v>302</v>
      </c>
      <c r="F2170" s="2" t="s">
        <v>10265</v>
      </c>
      <c r="G2170" s="2" t="s">
        <v>10265</v>
      </c>
      <c r="H2170" s="2" t="s">
        <v>10265</v>
      </c>
      <c r="I2170" s="2" t="s">
        <v>347</v>
      </c>
      <c r="J2170" s="2" t="s">
        <v>312</v>
      </c>
      <c r="K2170" s="2" t="s">
        <v>978</v>
      </c>
      <c r="L2170" s="3">
        <v>21.5</v>
      </c>
      <c r="M2170" s="3">
        <v>22.58</v>
      </c>
      <c r="N2170" s="3">
        <v>42.99</v>
      </c>
      <c r="O2170" s="2" t="s">
        <v>240</v>
      </c>
      <c r="P2170" s="2" t="s">
        <v>333</v>
      </c>
      <c r="Q2170" s="2" t="s">
        <v>234</v>
      </c>
      <c r="R2170" s="2" t="s">
        <v>228</v>
      </c>
      <c r="S2170" s="2" t="s">
        <v>10266</v>
      </c>
      <c r="T2170" s="2" t="s">
        <v>10267</v>
      </c>
      <c r="U2170" s="2" t="s">
        <v>228</v>
      </c>
      <c r="V2170" s="2" t="s">
        <v>236</v>
      </c>
      <c r="W2170" s="2" t="s">
        <v>269</v>
      </c>
      <c r="X2170" s="2" t="s">
        <v>228</v>
      </c>
      <c r="Y2170" s="2" t="s">
        <v>10268</v>
      </c>
      <c r="Z2170" s="4">
        <v>97</v>
      </c>
      <c r="AA2170" s="4">
        <f>=ROUNDDOWN(80.8333333333333,0)</f>
      </c>
      <c r="AB2170" s="5">
        <v>1.2</v>
      </c>
      <c r="AC2170" s="2" t="s">
        <v>228</v>
      </c>
      <c r="AD2170" s="4"/>
      <c r="AE2170" s="4"/>
      <c r="AF2170" s="6">
        <v>66</v>
      </c>
      <c r="AG2170" s="6"/>
      <c r="AH2170" s="7">
        <v>1</v>
      </c>
      <c r="AI2170" s="4"/>
      <c r="AJ2170" s="4">
        <f>=ROUNDDOWN({0},0)</f>
      </c>
      <c r="AK2170" s="5"/>
      <c r="AL2170" s="2" t="s">
        <v>228</v>
      </c>
      <c r="AM2170" s="4"/>
      <c r="AN2170" s="4"/>
      <c r="AO2170" s="7"/>
      <c r="AP2170" s="4"/>
      <c r="AQ2170" s="8"/>
      <c r="AR2170" s="4"/>
      <c r="AS2170" s="8"/>
      <c r="AT2170" s="7"/>
      <c r="AU2170" s="7"/>
      <c r="AV2170" s="4" t="s">
        <v>228</v>
      </c>
      <c r="AW2170" s="8" t="s">
        <v>228</v>
      </c>
      <c r="AX2170" s="4" t="s">
        <v>228</v>
      </c>
      <c r="AY2170" s="8" t="s">
        <v>228</v>
      </c>
      <c r="AZ2170" s="7" t="s">
        <v>228</v>
      </c>
      <c r="BA2170" s="7" t="s">
        <v>228</v>
      </c>
      <c r="BB2170" s="7"/>
      <c r="BC2170" s="4" t="s">
        <v>228</v>
      </c>
      <c r="BD2170" s="8" t="s">
        <v>228</v>
      </c>
      <c r="BE2170" s="4" t="s">
        <v>228</v>
      </c>
      <c r="BF2170" s="8" t="s">
        <v>228</v>
      </c>
      <c r="BG2170" s="7" t="s">
        <v>228</v>
      </c>
      <c r="BH2170" s="7" t="s">
        <v>228</v>
      </c>
      <c r="BI2170" s="7"/>
      <c r="BJ2170" s="4">
        <v>6</v>
      </c>
      <c r="BK2170" s="8">
        <v>133.06</v>
      </c>
      <c r="BL2170" s="2" t="s">
        <v>3646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10276</v>
      </c>
      <c r="BV2170" s="2" t="s">
        <v>228</v>
      </c>
      <c r="BW2170" s="2" t="s">
        <v>228</v>
      </c>
      <c r="BX2170" s="2" t="s">
        <v>337</v>
      </c>
      <c r="BY2170" s="2" t="s">
        <v>274</v>
      </c>
      <c r="BZ2170" s="2" t="s">
        <v>240</v>
      </c>
      <c r="CA2170" s="2" t="s">
        <v>10034</v>
      </c>
      <c r="CB2170" s="2" t="s">
        <v>2633</v>
      </c>
      <c r="CC2170" s="2" t="s">
        <v>241</v>
      </c>
      <c r="CD2170" s="2" t="s">
        <v>228</v>
      </c>
      <c r="CE2170" s="4">
        <v>97</v>
      </c>
      <c r="CF2170" s="4"/>
      <c r="CG2170" s="4"/>
      <c r="CH2170" s="4"/>
      <c r="CI2170" s="4"/>
      <c r="CJ2170" s="4"/>
      <c r="CK2170" s="4"/>
      <c r="CL2170" s="4"/>
      <c r="CM2170" s="4"/>
      <c r="CN2170" s="4"/>
      <c r="CO2170" s="4"/>
      <c r="CP2170" s="4"/>
      <c r="CQ2170" s="4"/>
      <c r="CR2170" s="4"/>
      <c r="CS2170" s="4"/>
      <c r="CT2170" s="4"/>
      <c r="CU2170" s="4"/>
      <c r="CV2170" s="4"/>
      <c r="CW2170" s="4"/>
      <c r="CX2170" s="4"/>
      <c r="CY2170" s="4"/>
      <c r="CZ2170" s="4"/>
      <c r="DA2170" s="4"/>
      <c r="DB2170" s="4"/>
      <c r="DC2170" s="4"/>
      <c r="DD2170" s="4"/>
      <c r="DE2170" s="4"/>
      <c r="DF2170" s="4"/>
      <c r="DG2170" s="4"/>
      <c r="DH2170" s="4"/>
      <c r="DI2170" s="4"/>
      <c r="DJ2170" s="4"/>
      <c r="DK2170" s="4"/>
      <c r="DL2170" s="4"/>
      <c r="DM2170" s="4"/>
      <c r="DN2170" s="4"/>
      <c r="DO2170" s="4"/>
      <c r="DP2170" s="4"/>
      <c r="DQ2170" s="4"/>
      <c r="DR2170" s="4"/>
      <c r="DS2170" s="4"/>
      <c r="DT2170" s="4"/>
      <c r="DU2170" s="4"/>
      <c r="DV2170" s="4"/>
      <c r="DW2170" s="4"/>
      <c r="DX2170" s="4"/>
      <c r="DY2170" s="4"/>
      <c r="DZ2170" s="4"/>
      <c r="EA2170" s="4"/>
      <c r="EB2170" s="4"/>
      <c r="EC2170" s="4"/>
      <c r="ED2170" s="4"/>
      <c r="EE2170" s="4"/>
      <c r="EF2170" s="4"/>
      <c r="EG2170" s="4"/>
      <c r="EH2170" s="4"/>
      <c r="EI2170" s="4"/>
      <c r="EJ2170" s="4"/>
      <c r="EK2170" s="4"/>
      <c r="EL2170" s="4"/>
      <c r="EM2170" s="4"/>
      <c r="EN2170" s="4"/>
      <c r="EO2170" s="4"/>
      <c r="EP2170" s="4"/>
      <c r="EQ2170" s="4"/>
      <c r="ER2170" s="4"/>
      <c r="ES2170" s="4"/>
      <c r="ET2170" s="4"/>
      <c r="EU2170" s="4"/>
      <c r="EV2170" s="4"/>
      <c r="EW2170" s="4"/>
      <c r="EX2170" s="4"/>
      <c r="EY2170" s="4"/>
      <c r="EZ2170" s="4"/>
      <c r="FA2170" s="4"/>
      <c r="FB2170" s="4"/>
      <c r="FC2170" s="4"/>
      <c r="FD2170" s="4"/>
      <c r="FE2170" s="4"/>
      <c r="FF2170" s="4"/>
      <c r="FG2170" s="4"/>
      <c r="FH2170" s="4"/>
      <c r="FI2170" s="4"/>
      <c r="FJ2170" s="4"/>
      <c r="FK2170" s="4"/>
      <c r="FL2170" s="4"/>
      <c r="FM2170" s="4"/>
      <c r="FN2170" s="4"/>
      <c r="FO2170" s="4"/>
      <c r="FP2170" s="4"/>
      <c r="FQ2170" s="4"/>
      <c r="FR2170" s="4"/>
      <c r="FS2170" s="4"/>
      <c r="FT2170" s="4"/>
      <c r="FU2170" s="4"/>
      <c r="FV2170" s="4"/>
      <c r="FW2170" s="4"/>
      <c r="FX2170" s="4"/>
      <c r="FY2170" s="4"/>
      <c r="FZ2170" s="4"/>
      <c r="GA2170" s="4"/>
      <c r="GB2170" s="4"/>
      <c r="GC2170" s="4"/>
      <c r="GD2170" s="4"/>
      <c r="GE2170" s="4"/>
      <c r="GF2170" s="4"/>
      <c r="GG2170" s="4"/>
      <c r="GH2170" s="4"/>
      <c r="GI2170" s="4"/>
      <c r="GJ2170" s="4"/>
      <c r="GK2170" s="4"/>
      <c r="GL2170" s="4"/>
      <c r="GM2170" s="4"/>
      <c r="GN2170" s="4"/>
      <c r="GO2170" s="4"/>
      <c r="GP2170" s="4"/>
      <c r="GQ2170" s="4"/>
      <c r="GR2170" s="4"/>
      <c r="GS2170" s="4"/>
      <c r="GT2170" s="4"/>
      <c r="GU2170" s="4"/>
      <c r="GV2170" s="4"/>
      <c r="GW2170" s="4"/>
      <c r="GX2170" s="4"/>
      <c r="GY2170" s="4"/>
      <c r="GZ2170" s="4"/>
      <c r="HA2170" s="4"/>
      <c r="HB2170" s="4"/>
      <c r="HC2170" s="4"/>
      <c r="HD2170" s="4"/>
      <c r="HE2170" s="4"/>
    </row>
    <row r="2171">
      <c r="A2171" s="2" t="s">
        <v>10277</v>
      </c>
      <c r="B2171" s="2" t="s">
        <v>299</v>
      </c>
      <c r="C2171" s="2" t="s">
        <v>259</v>
      </c>
      <c r="D2171" s="2" t="s">
        <v>301</v>
      </c>
      <c r="E2171" s="2" t="s">
        <v>302</v>
      </c>
      <c r="F2171" s="2" t="s">
        <v>10265</v>
      </c>
      <c r="G2171" s="2" t="s">
        <v>10265</v>
      </c>
      <c r="H2171" s="2" t="s">
        <v>10265</v>
      </c>
      <c r="I2171" s="2" t="s">
        <v>347</v>
      </c>
      <c r="J2171" s="2" t="s">
        <v>312</v>
      </c>
      <c r="K2171" s="2" t="s">
        <v>265</v>
      </c>
      <c r="L2171" s="3">
        <v>21.5</v>
      </c>
      <c r="M2171" s="3">
        <v>22.58</v>
      </c>
      <c r="N2171" s="3">
        <v>42.99</v>
      </c>
      <c r="O2171" s="2" t="s">
        <v>240</v>
      </c>
      <c r="P2171" s="2" t="s">
        <v>333</v>
      </c>
      <c r="Q2171" s="2" t="s">
        <v>234</v>
      </c>
      <c r="R2171" s="2" t="s">
        <v>228</v>
      </c>
      <c r="S2171" s="2" t="s">
        <v>10278</v>
      </c>
      <c r="T2171" s="2" t="s">
        <v>10267</v>
      </c>
      <c r="U2171" s="2" t="s">
        <v>308</v>
      </c>
      <c r="V2171" s="2" t="s">
        <v>236</v>
      </c>
      <c r="W2171" s="2" t="s">
        <v>269</v>
      </c>
      <c r="X2171" s="2" t="s">
        <v>417</v>
      </c>
      <c r="Y2171" s="2" t="s">
        <v>10279</v>
      </c>
      <c r="Z2171" s="4">
        <v>15</v>
      </c>
      <c r="AA2171" s="4">
        <f>=ROUNDDOWN(7.89473684210526,0)</f>
      </c>
      <c r="AB2171" s="5">
        <v>1.9</v>
      </c>
      <c r="AC2171" s="2" t="s">
        <v>228</v>
      </c>
      <c r="AD2171" s="4"/>
      <c r="AE2171" s="4"/>
      <c r="AF2171" s="6">
        <v>66</v>
      </c>
      <c r="AG2171" s="6"/>
      <c r="AH2171" s="7">
        <v>1</v>
      </c>
      <c r="AI2171" s="4"/>
      <c r="AJ2171" s="4">
        <f>=ROUNDDOWN({0},0)</f>
      </c>
      <c r="AK2171" s="5"/>
      <c r="AL2171" s="2" t="s">
        <v>228</v>
      </c>
      <c r="AM2171" s="4"/>
      <c r="AN2171" s="4"/>
      <c r="AO2171" s="7"/>
      <c r="AP2171" s="4"/>
      <c r="AQ2171" s="8"/>
      <c r="AR2171" s="4"/>
      <c r="AS2171" s="8"/>
      <c r="AT2171" s="7"/>
      <c r="AU2171" s="7"/>
      <c r="AV2171" s="4"/>
      <c r="AW2171" s="8"/>
      <c r="AX2171" s="4"/>
      <c r="AY2171" s="8"/>
      <c r="AZ2171" s="7"/>
      <c r="BA2171" s="7"/>
      <c r="BB2171" s="7"/>
      <c r="BC2171" s="4" t="s">
        <v>228</v>
      </c>
      <c r="BD2171" s="8" t="s">
        <v>228</v>
      </c>
      <c r="BE2171" s="4" t="s">
        <v>228</v>
      </c>
      <c r="BF2171" s="8" t="s">
        <v>228</v>
      </c>
      <c r="BG2171" s="7" t="s">
        <v>228</v>
      </c>
      <c r="BH2171" s="7" t="s">
        <v>228</v>
      </c>
      <c r="BI2171" s="7"/>
      <c r="BJ2171" s="4">
        <v>9</v>
      </c>
      <c r="BK2171" s="8">
        <v>268.31</v>
      </c>
      <c r="BL2171" s="2" t="s">
        <v>10280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10281</v>
      </c>
      <c r="BV2171" s="2" t="s">
        <v>228</v>
      </c>
      <c r="BW2171" s="2" t="s">
        <v>228</v>
      </c>
      <c r="BX2171" s="2" t="s">
        <v>337</v>
      </c>
      <c r="BY2171" s="2" t="s">
        <v>274</v>
      </c>
      <c r="BZ2171" s="2" t="s">
        <v>240</v>
      </c>
      <c r="CA2171" s="2" t="s">
        <v>10279</v>
      </c>
      <c r="CB2171" s="2" t="s">
        <v>7650</v>
      </c>
      <c r="CC2171" s="2" t="s">
        <v>241</v>
      </c>
      <c r="CD2171" s="2" t="s">
        <v>228</v>
      </c>
      <c r="CE2171" s="4">
        <v>15</v>
      </c>
      <c r="CF2171" s="4"/>
      <c r="CG2171" s="4"/>
      <c r="CH2171" s="4"/>
      <c r="CI2171" s="4"/>
      <c r="CJ2171" s="4"/>
      <c r="CK2171" s="4"/>
      <c r="CL2171" s="4"/>
      <c r="CM2171" s="4"/>
      <c r="CN2171" s="4"/>
      <c r="CO2171" s="4"/>
      <c r="CP2171" s="4"/>
      <c r="CQ2171" s="4"/>
      <c r="CR2171" s="4"/>
      <c r="CS2171" s="4"/>
      <c r="CT2171" s="4"/>
      <c r="CU2171" s="4"/>
      <c r="CV2171" s="4"/>
      <c r="CW2171" s="4"/>
      <c r="CX2171" s="4"/>
      <c r="CY2171" s="4"/>
      <c r="CZ2171" s="4"/>
      <c r="DA2171" s="4"/>
      <c r="DB2171" s="4"/>
      <c r="DC2171" s="4"/>
      <c r="DD2171" s="4"/>
      <c r="DE2171" s="4"/>
      <c r="DF2171" s="4"/>
      <c r="DG2171" s="4"/>
      <c r="DH2171" s="4"/>
      <c r="DI2171" s="4"/>
      <c r="DJ2171" s="4"/>
      <c r="DK2171" s="4"/>
      <c r="DL2171" s="4"/>
      <c r="DM2171" s="4"/>
      <c r="DN2171" s="4"/>
      <c r="DO2171" s="4"/>
      <c r="DP2171" s="4"/>
      <c r="DQ2171" s="4"/>
      <c r="DR2171" s="4"/>
      <c r="DS2171" s="4"/>
      <c r="DT2171" s="4"/>
      <c r="DU2171" s="4"/>
      <c r="DV2171" s="4"/>
      <c r="DW2171" s="4"/>
      <c r="DX2171" s="4"/>
      <c r="DY2171" s="4"/>
      <c r="DZ2171" s="4"/>
      <c r="EA2171" s="4"/>
      <c r="EB2171" s="4"/>
      <c r="EC2171" s="4"/>
      <c r="ED2171" s="4"/>
      <c r="EE2171" s="4"/>
      <c r="EF2171" s="4"/>
      <c r="EG2171" s="4"/>
      <c r="EH2171" s="4"/>
      <c r="EI2171" s="4"/>
      <c r="EJ2171" s="4"/>
      <c r="EK2171" s="4"/>
      <c r="EL2171" s="4"/>
      <c r="EM2171" s="4"/>
      <c r="EN2171" s="4"/>
      <c r="EO2171" s="4"/>
      <c r="EP2171" s="4"/>
      <c r="EQ2171" s="4"/>
      <c r="ER2171" s="4"/>
      <c r="ES2171" s="4"/>
      <c r="ET2171" s="4"/>
      <c r="EU2171" s="4"/>
      <c r="EV2171" s="4"/>
      <c r="EW2171" s="4"/>
      <c r="EX2171" s="4"/>
      <c r="EY2171" s="4"/>
      <c r="EZ2171" s="4"/>
      <c r="FA2171" s="4"/>
      <c r="FB2171" s="4"/>
      <c r="FC2171" s="4"/>
      <c r="FD2171" s="4"/>
      <c r="FE2171" s="4"/>
      <c r="FF2171" s="4"/>
      <c r="FG2171" s="4"/>
      <c r="FH2171" s="4"/>
      <c r="FI2171" s="4"/>
      <c r="FJ2171" s="4"/>
      <c r="FK2171" s="4"/>
      <c r="FL2171" s="4"/>
      <c r="FM2171" s="4"/>
      <c r="FN2171" s="4"/>
      <c r="FO2171" s="4"/>
      <c r="FP2171" s="4"/>
      <c r="FQ2171" s="4"/>
      <c r="FR2171" s="4"/>
      <c r="FS2171" s="4"/>
      <c r="FT2171" s="4"/>
      <c r="FU2171" s="4"/>
      <c r="FV2171" s="4"/>
      <c r="FW2171" s="4"/>
      <c r="FX2171" s="4"/>
      <c r="FY2171" s="4"/>
      <c r="FZ2171" s="4"/>
      <c r="GA2171" s="4"/>
      <c r="GB2171" s="4"/>
      <c r="GC2171" s="4"/>
      <c r="GD2171" s="4"/>
      <c r="GE2171" s="4"/>
      <c r="GF2171" s="4"/>
      <c r="GG2171" s="4"/>
      <c r="GH2171" s="4"/>
      <c r="GI2171" s="4"/>
      <c r="GJ2171" s="4"/>
      <c r="GK2171" s="4"/>
      <c r="GL2171" s="4"/>
      <c r="GM2171" s="4"/>
      <c r="GN2171" s="4"/>
      <c r="GO2171" s="4"/>
      <c r="GP2171" s="4"/>
      <c r="GQ2171" s="4"/>
      <c r="GR2171" s="4"/>
      <c r="GS2171" s="4"/>
      <c r="GT2171" s="4"/>
      <c r="GU2171" s="4"/>
      <c r="GV2171" s="4"/>
      <c r="GW2171" s="4"/>
      <c r="GX2171" s="4"/>
      <c r="GY2171" s="4"/>
      <c r="GZ2171" s="4"/>
      <c r="HA2171" s="4"/>
      <c r="HB2171" s="4"/>
      <c r="HC2171" s="4"/>
      <c r="HD2171" s="4"/>
      <c r="HE2171" s="4"/>
    </row>
    <row r="2172">
      <c r="A2172" s="2" t="s">
        <v>10282</v>
      </c>
      <c r="B2172" s="2" t="s">
        <v>299</v>
      </c>
      <c r="C2172" s="2" t="s">
        <v>259</v>
      </c>
      <c r="D2172" s="2" t="s">
        <v>301</v>
      </c>
      <c r="E2172" s="2" t="s">
        <v>302</v>
      </c>
      <c r="F2172" s="2" t="s">
        <v>10265</v>
      </c>
      <c r="G2172" s="2" t="s">
        <v>10265</v>
      </c>
      <c r="H2172" s="2" t="s">
        <v>10265</v>
      </c>
      <c r="I2172" s="2" t="s">
        <v>347</v>
      </c>
      <c r="J2172" s="2" t="s">
        <v>264</v>
      </c>
      <c r="K2172" s="2" t="s">
        <v>249</v>
      </c>
      <c r="L2172" s="3">
        <v>16.5</v>
      </c>
      <c r="M2172" s="3">
        <v>17.32</v>
      </c>
      <c r="N2172" s="3">
        <v>32.99</v>
      </c>
      <c r="O2172" s="2" t="s">
        <v>240</v>
      </c>
      <c r="P2172" s="2" t="s">
        <v>266</v>
      </c>
      <c r="Q2172" s="2" t="s">
        <v>234</v>
      </c>
      <c r="R2172" s="2" t="s">
        <v>228</v>
      </c>
      <c r="S2172" s="2" t="s">
        <v>10283</v>
      </c>
      <c r="T2172" s="2" t="s">
        <v>10267</v>
      </c>
      <c r="U2172" s="2" t="s">
        <v>228</v>
      </c>
      <c r="V2172" s="2" t="s">
        <v>236</v>
      </c>
      <c r="W2172" s="2" t="s">
        <v>269</v>
      </c>
      <c r="X2172" s="2" t="s">
        <v>228</v>
      </c>
      <c r="Y2172" s="2" t="s">
        <v>270</v>
      </c>
      <c r="Z2172" s="4">
        <v>148</v>
      </c>
      <c r="AA2172" s="4">
        <f>=ROUNDDOWN(12.3333333333333,0)</f>
      </c>
      <c r="AB2172" s="5">
        <v>12</v>
      </c>
      <c r="AC2172" s="2" t="s">
        <v>160</v>
      </c>
      <c r="AD2172" s="4">
        <v>80</v>
      </c>
      <c r="AE2172" s="4">
        <v>260</v>
      </c>
      <c r="AF2172" s="6">
        <v>66</v>
      </c>
      <c r="AG2172" s="6"/>
      <c r="AH2172" s="7">
        <v>0.2903</v>
      </c>
      <c r="AI2172" s="4"/>
      <c r="AJ2172" s="4">
        <f>=ROUNDDOWN({0},0)</f>
      </c>
      <c r="AK2172" s="5"/>
      <c r="AL2172" s="2" t="s">
        <v>228</v>
      </c>
      <c r="AM2172" s="4"/>
      <c r="AN2172" s="4"/>
      <c r="AO2172" s="7"/>
      <c r="AP2172" s="4"/>
      <c r="AQ2172" s="8"/>
      <c r="AR2172" s="4"/>
      <c r="AS2172" s="8"/>
      <c r="AT2172" s="7"/>
      <c r="AU2172" s="7"/>
      <c r="AV2172" s="4" t="s">
        <v>228</v>
      </c>
      <c r="AW2172" s="8" t="s">
        <v>228</v>
      </c>
      <c r="AX2172" s="4" t="s">
        <v>228</v>
      </c>
      <c r="AY2172" s="8" t="s">
        <v>228</v>
      </c>
      <c r="AZ2172" s="7" t="s">
        <v>228</v>
      </c>
      <c r="BA2172" s="7" t="s">
        <v>228</v>
      </c>
      <c r="BB2172" s="7"/>
      <c r="BC2172" s="4" t="s">
        <v>228</v>
      </c>
      <c r="BD2172" s="8" t="s">
        <v>228</v>
      </c>
      <c r="BE2172" s="4" t="s">
        <v>228</v>
      </c>
      <c r="BF2172" s="8" t="s">
        <v>228</v>
      </c>
      <c r="BG2172" s="7" t="s">
        <v>228</v>
      </c>
      <c r="BH2172" s="7" t="s">
        <v>228</v>
      </c>
      <c r="BI2172" s="7"/>
      <c r="BJ2172" s="4"/>
      <c r="BK2172" s="8"/>
      <c r="BL2172" s="2" t="s">
        <v>10284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10285</v>
      </c>
      <c r="BV2172" s="2" t="s">
        <v>228</v>
      </c>
      <c r="BW2172" s="2" t="s">
        <v>228</v>
      </c>
      <c r="BX2172" s="2" t="s">
        <v>273</v>
      </c>
      <c r="BY2172" s="2" t="s">
        <v>274</v>
      </c>
      <c r="BZ2172" s="2" t="s">
        <v>240</v>
      </c>
      <c r="CA2172" s="2" t="s">
        <v>10034</v>
      </c>
      <c r="CB2172" s="2" t="s">
        <v>3888</v>
      </c>
      <c r="CC2172" s="2" t="s">
        <v>241</v>
      </c>
      <c r="CD2172" s="2" t="s">
        <v>228</v>
      </c>
      <c r="CE2172" s="4">
        <v>48</v>
      </c>
      <c r="CF2172" s="4"/>
      <c r="CG2172" s="4"/>
      <c r="CH2172" s="4"/>
      <c r="CI2172" s="4"/>
      <c r="CJ2172" s="4"/>
      <c r="CK2172" s="4">
        <v>100</v>
      </c>
      <c r="CL2172" s="4"/>
      <c r="CM2172" s="4"/>
      <c r="CN2172" s="4"/>
      <c r="CO2172" s="4"/>
      <c r="CP2172" s="4"/>
      <c r="CQ2172" s="4"/>
      <c r="CR2172" s="4"/>
      <c r="CS2172" s="4"/>
      <c r="CT2172" s="4"/>
      <c r="CU2172" s="4"/>
      <c r="CV2172" s="4"/>
      <c r="CW2172" s="4"/>
      <c r="CX2172" s="4"/>
      <c r="CY2172" s="4"/>
      <c r="CZ2172" s="4"/>
      <c r="DA2172" s="4"/>
      <c r="DB2172" s="4"/>
      <c r="DC2172" s="4"/>
      <c r="DD2172" s="4"/>
      <c r="DE2172" s="4"/>
      <c r="DF2172" s="4"/>
      <c r="DG2172" s="4"/>
      <c r="DH2172" s="4"/>
      <c r="DI2172" s="4"/>
      <c r="DJ2172" s="4"/>
      <c r="DK2172" s="4"/>
      <c r="DL2172" s="4"/>
      <c r="DM2172" s="4"/>
      <c r="DN2172" s="4"/>
      <c r="DO2172" s="4"/>
      <c r="DP2172" s="4"/>
      <c r="DQ2172" s="4"/>
      <c r="DR2172" s="4"/>
      <c r="DS2172" s="4"/>
      <c r="DT2172" s="4"/>
      <c r="DU2172" s="4"/>
      <c r="DV2172" s="4"/>
      <c r="DW2172" s="4"/>
      <c r="DX2172" s="4"/>
      <c r="DY2172" s="4"/>
      <c r="DZ2172" s="4"/>
      <c r="EA2172" s="4"/>
      <c r="EB2172" s="4"/>
      <c r="EC2172" s="4"/>
      <c r="ED2172" s="4"/>
      <c r="EE2172" s="4"/>
      <c r="EF2172" s="4"/>
      <c r="EG2172" s="4"/>
      <c r="EH2172" s="4"/>
      <c r="EI2172" s="4"/>
      <c r="EJ2172" s="4"/>
      <c r="EK2172" s="4"/>
      <c r="EL2172" s="4"/>
      <c r="EM2172" s="4"/>
      <c r="EN2172" s="4"/>
      <c r="EO2172" s="4"/>
      <c r="EP2172" s="4"/>
      <c r="EQ2172" s="4"/>
      <c r="ER2172" s="4"/>
      <c r="ES2172" s="4"/>
      <c r="ET2172" s="4"/>
      <c r="EU2172" s="4"/>
      <c r="EV2172" s="4">
        <v>80</v>
      </c>
      <c r="EW2172" s="4"/>
      <c r="EX2172" s="4"/>
      <c r="EY2172" s="4"/>
      <c r="EZ2172" s="4"/>
      <c r="FA2172" s="4"/>
      <c r="FB2172" s="4"/>
      <c r="FC2172" s="4"/>
      <c r="FD2172" s="4"/>
      <c r="FE2172" s="4"/>
      <c r="FF2172" s="4"/>
      <c r="FG2172" s="4"/>
      <c r="FH2172" s="4"/>
      <c r="FI2172" s="4"/>
      <c r="FJ2172" s="4"/>
      <c r="FK2172" s="4"/>
      <c r="FL2172" s="4"/>
      <c r="FM2172" s="4"/>
      <c r="FN2172" s="4"/>
      <c r="FO2172" s="4"/>
      <c r="FP2172" s="4"/>
      <c r="FQ2172" s="4"/>
      <c r="FR2172" s="4"/>
      <c r="FS2172" s="4"/>
      <c r="FT2172" s="4"/>
      <c r="FU2172" s="4"/>
      <c r="FV2172" s="4"/>
      <c r="FW2172" s="4"/>
      <c r="FX2172" s="4"/>
      <c r="FY2172" s="4"/>
      <c r="FZ2172" s="4"/>
      <c r="GA2172" s="4"/>
      <c r="GB2172" s="4"/>
      <c r="GC2172" s="4"/>
      <c r="GD2172" s="4"/>
      <c r="GE2172" s="4"/>
      <c r="GF2172" s="4"/>
      <c r="GG2172" s="4">
        <v>180</v>
      </c>
      <c r="GH2172" s="4"/>
      <c r="GI2172" s="4"/>
      <c r="GJ2172" s="4"/>
      <c r="GK2172" s="4"/>
      <c r="GL2172" s="4"/>
      <c r="GM2172" s="4"/>
      <c r="GN2172" s="4"/>
      <c r="GO2172" s="4"/>
      <c r="GP2172" s="4"/>
      <c r="GQ2172" s="4"/>
      <c r="GR2172" s="4"/>
      <c r="GS2172" s="4"/>
      <c r="GT2172" s="4"/>
      <c r="GU2172" s="4"/>
      <c r="GV2172" s="4"/>
      <c r="GW2172" s="4"/>
      <c r="GX2172" s="4"/>
      <c r="GY2172" s="4"/>
      <c r="GZ2172" s="4"/>
      <c r="HA2172" s="4"/>
      <c r="HB2172" s="4"/>
      <c r="HC2172" s="4"/>
      <c r="HD2172" s="4"/>
      <c r="HE2172" s="4"/>
    </row>
    <row r="2173">
      <c r="A2173" s="2" t="s">
        <v>10286</v>
      </c>
      <c r="B2173" s="2" t="s">
        <v>299</v>
      </c>
      <c r="C2173" s="2" t="s">
        <v>259</v>
      </c>
      <c r="D2173" s="2" t="s">
        <v>301</v>
      </c>
      <c r="E2173" s="2" t="s">
        <v>302</v>
      </c>
      <c r="F2173" s="2" t="s">
        <v>10265</v>
      </c>
      <c r="G2173" s="2" t="s">
        <v>10265</v>
      </c>
      <c r="H2173" s="2" t="s">
        <v>10265</v>
      </c>
      <c r="I2173" s="2" t="s">
        <v>347</v>
      </c>
      <c r="J2173" s="2" t="s">
        <v>284</v>
      </c>
      <c r="K2173" s="2" t="s">
        <v>249</v>
      </c>
      <c r="L2173" s="3">
        <v>16.5</v>
      </c>
      <c r="M2173" s="3">
        <v>17.32</v>
      </c>
      <c r="N2173" s="3">
        <v>32.99</v>
      </c>
      <c r="O2173" s="2" t="s">
        <v>240</v>
      </c>
      <c r="P2173" s="2" t="s">
        <v>266</v>
      </c>
      <c r="Q2173" s="2" t="s">
        <v>234</v>
      </c>
      <c r="R2173" s="2" t="s">
        <v>228</v>
      </c>
      <c r="S2173" s="2" t="s">
        <v>10283</v>
      </c>
      <c r="T2173" s="2" t="s">
        <v>10267</v>
      </c>
      <c r="U2173" s="2" t="s">
        <v>228</v>
      </c>
      <c r="V2173" s="2" t="s">
        <v>236</v>
      </c>
      <c r="W2173" s="2" t="s">
        <v>269</v>
      </c>
      <c r="X2173" s="2" t="s">
        <v>228</v>
      </c>
      <c r="Y2173" s="2" t="s">
        <v>10268</v>
      </c>
      <c r="Z2173" s="4">
        <v>332</v>
      </c>
      <c r="AA2173" s="4">
        <f>=ROUNDDOWN(23.7142857142857,0)</f>
      </c>
      <c r="AB2173" s="5">
        <v>14</v>
      </c>
      <c r="AC2173" s="2" t="s">
        <v>160</v>
      </c>
      <c r="AD2173" s="4">
        <v>100</v>
      </c>
      <c r="AE2173" s="4">
        <v>290</v>
      </c>
      <c r="AF2173" s="6">
        <v>66</v>
      </c>
      <c r="AG2173" s="6"/>
      <c r="AH2173" s="7">
        <v>1</v>
      </c>
      <c r="AI2173" s="4"/>
      <c r="AJ2173" s="4">
        <f>=ROUNDDOWN({0},0)</f>
      </c>
      <c r="AK2173" s="5"/>
      <c r="AL2173" s="2" t="s">
        <v>228</v>
      </c>
      <c r="AM2173" s="4"/>
      <c r="AN2173" s="4"/>
      <c r="AO2173" s="7"/>
      <c r="AP2173" s="4"/>
      <c r="AQ2173" s="8"/>
      <c r="AR2173" s="4"/>
      <c r="AS2173" s="8"/>
      <c r="AT2173" s="7"/>
      <c r="AU2173" s="7"/>
      <c r="AV2173" s="4" t="s">
        <v>228</v>
      </c>
      <c r="AW2173" s="8" t="s">
        <v>228</v>
      </c>
      <c r="AX2173" s="4" t="s">
        <v>228</v>
      </c>
      <c r="AY2173" s="8" t="s">
        <v>228</v>
      </c>
      <c r="AZ2173" s="7" t="s">
        <v>228</v>
      </c>
      <c r="BA2173" s="7" t="s">
        <v>228</v>
      </c>
      <c r="BB2173" s="7"/>
      <c r="BC2173" s="4" t="s">
        <v>228</v>
      </c>
      <c r="BD2173" s="8" t="s">
        <v>228</v>
      </c>
      <c r="BE2173" s="4" t="s">
        <v>228</v>
      </c>
      <c r="BF2173" s="8" t="s">
        <v>228</v>
      </c>
      <c r="BG2173" s="7" t="s">
        <v>228</v>
      </c>
      <c r="BH2173" s="7" t="s">
        <v>228</v>
      </c>
      <c r="BI2173" s="7"/>
      <c r="BJ2173" s="4">
        <v>45</v>
      </c>
      <c r="BK2173" s="8">
        <v>798.89</v>
      </c>
      <c r="BL2173" s="2" t="s">
        <v>10287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10288</v>
      </c>
      <c r="BV2173" s="2" t="s">
        <v>228</v>
      </c>
      <c r="BW2173" s="2" t="s">
        <v>228</v>
      </c>
      <c r="BX2173" s="2" t="s">
        <v>273</v>
      </c>
      <c r="BY2173" s="2" t="s">
        <v>274</v>
      </c>
      <c r="BZ2173" s="2" t="s">
        <v>240</v>
      </c>
      <c r="CA2173" s="2" t="s">
        <v>10034</v>
      </c>
      <c r="CB2173" s="2" t="s">
        <v>1612</v>
      </c>
      <c r="CC2173" s="2" t="s">
        <v>241</v>
      </c>
      <c r="CD2173" s="2" t="s">
        <v>228</v>
      </c>
      <c r="CE2173" s="4">
        <v>232</v>
      </c>
      <c r="CF2173" s="4"/>
      <c r="CG2173" s="4"/>
      <c r="CH2173" s="4"/>
      <c r="CI2173" s="4"/>
      <c r="CJ2173" s="4"/>
      <c r="CK2173" s="4">
        <v>100</v>
      </c>
      <c r="CL2173" s="4"/>
      <c r="CM2173" s="4"/>
      <c r="CN2173" s="4"/>
      <c r="CO2173" s="4"/>
      <c r="CP2173" s="4"/>
      <c r="CQ2173" s="4"/>
      <c r="CR2173" s="4"/>
      <c r="CS2173" s="4"/>
      <c r="CT2173" s="4"/>
      <c r="CU2173" s="4"/>
      <c r="CV2173" s="4"/>
      <c r="CW2173" s="4"/>
      <c r="CX2173" s="4"/>
      <c r="CY2173" s="4"/>
      <c r="CZ2173" s="4"/>
      <c r="DA2173" s="4"/>
      <c r="DB2173" s="4"/>
      <c r="DC2173" s="4"/>
      <c r="DD2173" s="4"/>
      <c r="DE2173" s="4"/>
      <c r="DF2173" s="4"/>
      <c r="DG2173" s="4"/>
      <c r="DH2173" s="4"/>
      <c r="DI2173" s="4"/>
      <c r="DJ2173" s="4"/>
      <c r="DK2173" s="4"/>
      <c r="DL2173" s="4"/>
      <c r="DM2173" s="4"/>
      <c r="DN2173" s="4"/>
      <c r="DO2173" s="4"/>
      <c r="DP2173" s="4"/>
      <c r="DQ2173" s="4"/>
      <c r="DR2173" s="4"/>
      <c r="DS2173" s="4"/>
      <c r="DT2173" s="4"/>
      <c r="DU2173" s="4"/>
      <c r="DV2173" s="4"/>
      <c r="DW2173" s="4"/>
      <c r="DX2173" s="4"/>
      <c r="DY2173" s="4"/>
      <c r="DZ2173" s="4"/>
      <c r="EA2173" s="4"/>
      <c r="EB2173" s="4"/>
      <c r="EC2173" s="4"/>
      <c r="ED2173" s="4"/>
      <c r="EE2173" s="4"/>
      <c r="EF2173" s="4"/>
      <c r="EG2173" s="4"/>
      <c r="EH2173" s="4"/>
      <c r="EI2173" s="4"/>
      <c r="EJ2173" s="4"/>
      <c r="EK2173" s="4"/>
      <c r="EL2173" s="4"/>
      <c r="EM2173" s="4"/>
      <c r="EN2173" s="4"/>
      <c r="EO2173" s="4"/>
      <c r="EP2173" s="4"/>
      <c r="EQ2173" s="4"/>
      <c r="ER2173" s="4"/>
      <c r="ES2173" s="4"/>
      <c r="ET2173" s="4"/>
      <c r="EU2173" s="4"/>
      <c r="EV2173" s="4">
        <v>100</v>
      </c>
      <c r="EW2173" s="4"/>
      <c r="EX2173" s="4"/>
      <c r="EY2173" s="4"/>
      <c r="EZ2173" s="4"/>
      <c r="FA2173" s="4"/>
      <c r="FB2173" s="4"/>
      <c r="FC2173" s="4"/>
      <c r="FD2173" s="4"/>
      <c r="FE2173" s="4"/>
      <c r="FF2173" s="4"/>
      <c r="FG2173" s="4"/>
      <c r="FH2173" s="4"/>
      <c r="FI2173" s="4"/>
      <c r="FJ2173" s="4"/>
      <c r="FK2173" s="4"/>
      <c r="FL2173" s="4"/>
      <c r="FM2173" s="4"/>
      <c r="FN2173" s="4"/>
      <c r="FO2173" s="4"/>
      <c r="FP2173" s="4"/>
      <c r="FQ2173" s="4"/>
      <c r="FR2173" s="4"/>
      <c r="FS2173" s="4"/>
      <c r="FT2173" s="4"/>
      <c r="FU2173" s="4"/>
      <c r="FV2173" s="4"/>
      <c r="FW2173" s="4"/>
      <c r="FX2173" s="4"/>
      <c r="FY2173" s="4"/>
      <c r="FZ2173" s="4"/>
      <c r="GA2173" s="4"/>
      <c r="GB2173" s="4"/>
      <c r="GC2173" s="4"/>
      <c r="GD2173" s="4"/>
      <c r="GE2173" s="4"/>
      <c r="GF2173" s="4"/>
      <c r="GG2173" s="4">
        <v>190</v>
      </c>
      <c r="GH2173" s="4"/>
      <c r="GI2173" s="4"/>
      <c r="GJ2173" s="4"/>
      <c r="GK2173" s="4"/>
      <c r="GL2173" s="4"/>
      <c r="GM2173" s="4"/>
      <c r="GN2173" s="4"/>
      <c r="GO2173" s="4"/>
      <c r="GP2173" s="4"/>
      <c r="GQ2173" s="4"/>
      <c r="GR2173" s="4"/>
      <c r="GS2173" s="4"/>
      <c r="GT2173" s="4"/>
      <c r="GU2173" s="4"/>
      <c r="GV2173" s="4"/>
      <c r="GW2173" s="4"/>
      <c r="GX2173" s="4"/>
      <c r="GY2173" s="4"/>
      <c r="GZ2173" s="4"/>
      <c r="HA2173" s="4"/>
      <c r="HB2173" s="4"/>
      <c r="HC2173" s="4"/>
      <c r="HD2173" s="4"/>
      <c r="HE2173" s="4"/>
    </row>
    <row r="2174">
      <c r="A2174" s="2" t="s">
        <v>10289</v>
      </c>
      <c r="B2174" s="2" t="s">
        <v>299</v>
      </c>
      <c r="C2174" s="2" t="s">
        <v>259</v>
      </c>
      <c r="D2174" s="2" t="s">
        <v>301</v>
      </c>
      <c r="E2174" s="2" t="s">
        <v>302</v>
      </c>
      <c r="F2174" s="2" t="s">
        <v>10265</v>
      </c>
      <c r="G2174" s="2" t="s">
        <v>10265</v>
      </c>
      <c r="H2174" s="2" t="s">
        <v>10265</v>
      </c>
      <c r="I2174" s="2" t="s">
        <v>347</v>
      </c>
      <c r="J2174" s="2" t="s">
        <v>289</v>
      </c>
      <c r="K2174" s="2" t="s">
        <v>249</v>
      </c>
      <c r="L2174" s="3">
        <v>19</v>
      </c>
      <c r="M2174" s="3">
        <v>19.95</v>
      </c>
      <c r="N2174" s="3">
        <v>37.99</v>
      </c>
      <c r="O2174" s="2" t="s">
        <v>240</v>
      </c>
      <c r="P2174" s="2" t="s">
        <v>266</v>
      </c>
      <c r="Q2174" s="2" t="s">
        <v>234</v>
      </c>
      <c r="R2174" s="2" t="s">
        <v>228</v>
      </c>
      <c r="S2174" s="2" t="s">
        <v>10283</v>
      </c>
      <c r="T2174" s="2" t="s">
        <v>10267</v>
      </c>
      <c r="U2174" s="2" t="s">
        <v>228</v>
      </c>
      <c r="V2174" s="2" t="s">
        <v>236</v>
      </c>
      <c r="W2174" s="2" t="s">
        <v>269</v>
      </c>
      <c r="X2174" s="2" t="s">
        <v>228</v>
      </c>
      <c r="Y2174" s="2" t="s">
        <v>10268</v>
      </c>
      <c r="Z2174" s="4">
        <v>427</v>
      </c>
      <c r="AA2174" s="4">
        <f>=ROUNDDOWN(19.4090909090909,0)</f>
      </c>
      <c r="AB2174" s="5">
        <v>22</v>
      </c>
      <c r="AC2174" s="2" t="s">
        <v>160</v>
      </c>
      <c r="AD2174" s="4">
        <v>220</v>
      </c>
      <c r="AE2174" s="4">
        <v>220</v>
      </c>
      <c r="AF2174" s="6">
        <v>66</v>
      </c>
      <c r="AG2174" s="6"/>
      <c r="AH2174" s="7">
        <v>1</v>
      </c>
      <c r="AI2174" s="4"/>
      <c r="AJ2174" s="4">
        <f>=ROUNDDOWN({0},0)</f>
      </c>
      <c r="AK2174" s="5"/>
      <c r="AL2174" s="2" t="s">
        <v>228</v>
      </c>
      <c r="AM2174" s="4"/>
      <c r="AN2174" s="4"/>
      <c r="AO2174" s="7"/>
      <c r="AP2174" s="4"/>
      <c r="AQ2174" s="8"/>
      <c r="AR2174" s="4"/>
      <c r="AS2174" s="8"/>
      <c r="AT2174" s="7"/>
      <c r="AU2174" s="7"/>
      <c r="AV2174" s="4" t="s">
        <v>228</v>
      </c>
      <c r="AW2174" s="8" t="s">
        <v>228</v>
      </c>
      <c r="AX2174" s="4" t="s">
        <v>228</v>
      </c>
      <c r="AY2174" s="8" t="s">
        <v>228</v>
      </c>
      <c r="AZ2174" s="7" t="s">
        <v>228</v>
      </c>
      <c r="BA2174" s="7" t="s">
        <v>228</v>
      </c>
      <c r="BB2174" s="7"/>
      <c r="BC2174" s="4" t="s">
        <v>228</v>
      </c>
      <c r="BD2174" s="8" t="s">
        <v>228</v>
      </c>
      <c r="BE2174" s="4" t="s">
        <v>228</v>
      </c>
      <c r="BF2174" s="8" t="s">
        <v>228</v>
      </c>
      <c r="BG2174" s="7" t="s">
        <v>228</v>
      </c>
      <c r="BH2174" s="7" t="s">
        <v>228</v>
      </c>
      <c r="BI2174" s="7"/>
      <c r="BJ2174" s="4">
        <v>92</v>
      </c>
      <c r="BK2174" s="8">
        <v>1950.51</v>
      </c>
      <c r="BL2174" s="2" t="s">
        <v>10290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10291</v>
      </c>
      <c r="BV2174" s="2" t="s">
        <v>228</v>
      </c>
      <c r="BW2174" s="2" t="s">
        <v>228</v>
      </c>
      <c r="BX2174" s="2" t="s">
        <v>273</v>
      </c>
      <c r="BY2174" s="2" t="s">
        <v>274</v>
      </c>
      <c r="BZ2174" s="2" t="s">
        <v>240</v>
      </c>
      <c r="CA2174" s="2" t="s">
        <v>10034</v>
      </c>
      <c r="CB2174" s="2" t="s">
        <v>437</v>
      </c>
      <c r="CC2174" s="2" t="s">
        <v>241</v>
      </c>
      <c r="CD2174" s="2" t="s">
        <v>228</v>
      </c>
      <c r="CE2174" s="4">
        <v>227</v>
      </c>
      <c r="CF2174" s="4"/>
      <c r="CG2174" s="4"/>
      <c r="CH2174" s="4"/>
      <c r="CI2174" s="4"/>
      <c r="CJ2174" s="4"/>
      <c r="CK2174" s="4">
        <v>200</v>
      </c>
      <c r="CL2174" s="4"/>
      <c r="CM2174" s="4"/>
      <c r="CN2174" s="4"/>
      <c r="CO2174" s="4"/>
      <c r="CP2174" s="4"/>
      <c r="CQ2174" s="4"/>
      <c r="CR2174" s="4"/>
      <c r="CS2174" s="4"/>
      <c r="CT2174" s="4"/>
      <c r="CU2174" s="4"/>
      <c r="CV2174" s="4"/>
      <c r="CW2174" s="4"/>
      <c r="CX2174" s="4"/>
      <c r="CY2174" s="4"/>
      <c r="CZ2174" s="4"/>
      <c r="DA2174" s="4"/>
      <c r="DB2174" s="4"/>
      <c r="DC2174" s="4"/>
      <c r="DD2174" s="4"/>
      <c r="DE2174" s="4"/>
      <c r="DF2174" s="4"/>
      <c r="DG2174" s="4"/>
      <c r="DH2174" s="4"/>
      <c r="DI2174" s="4"/>
      <c r="DJ2174" s="4"/>
      <c r="DK2174" s="4"/>
      <c r="DL2174" s="4"/>
      <c r="DM2174" s="4"/>
      <c r="DN2174" s="4"/>
      <c r="DO2174" s="4"/>
      <c r="DP2174" s="4"/>
      <c r="DQ2174" s="4"/>
      <c r="DR2174" s="4"/>
      <c r="DS2174" s="4"/>
      <c r="DT2174" s="4"/>
      <c r="DU2174" s="4"/>
      <c r="DV2174" s="4"/>
      <c r="DW2174" s="4"/>
      <c r="DX2174" s="4"/>
      <c r="DY2174" s="4"/>
      <c r="DZ2174" s="4"/>
      <c r="EA2174" s="4"/>
      <c r="EB2174" s="4"/>
      <c r="EC2174" s="4"/>
      <c r="ED2174" s="4"/>
      <c r="EE2174" s="4"/>
      <c r="EF2174" s="4"/>
      <c r="EG2174" s="4"/>
      <c r="EH2174" s="4"/>
      <c r="EI2174" s="4"/>
      <c r="EJ2174" s="4"/>
      <c r="EK2174" s="4"/>
      <c r="EL2174" s="4"/>
      <c r="EM2174" s="4"/>
      <c r="EN2174" s="4"/>
      <c r="EO2174" s="4"/>
      <c r="EP2174" s="4"/>
      <c r="EQ2174" s="4"/>
      <c r="ER2174" s="4"/>
      <c r="ES2174" s="4"/>
      <c r="ET2174" s="4"/>
      <c r="EU2174" s="4"/>
      <c r="EV2174" s="4">
        <v>220</v>
      </c>
      <c r="EW2174" s="4"/>
      <c r="EX2174" s="4"/>
      <c r="EY2174" s="4"/>
      <c r="EZ2174" s="4"/>
      <c r="FA2174" s="4"/>
      <c r="FB2174" s="4"/>
      <c r="FC2174" s="4"/>
      <c r="FD2174" s="4"/>
      <c r="FE2174" s="4"/>
      <c r="FF2174" s="4"/>
      <c r="FG2174" s="4"/>
      <c r="FH2174" s="4"/>
      <c r="FI2174" s="4"/>
      <c r="FJ2174" s="4"/>
      <c r="FK2174" s="4"/>
      <c r="FL2174" s="4"/>
      <c r="FM2174" s="4"/>
      <c r="FN2174" s="4"/>
      <c r="FO2174" s="4"/>
      <c r="FP2174" s="4"/>
      <c r="FQ2174" s="4"/>
      <c r="FR2174" s="4"/>
      <c r="FS2174" s="4"/>
      <c r="FT2174" s="4"/>
      <c r="FU2174" s="4"/>
      <c r="FV2174" s="4"/>
      <c r="FW2174" s="4"/>
      <c r="FX2174" s="4"/>
      <c r="FY2174" s="4"/>
      <c r="FZ2174" s="4"/>
      <c r="GA2174" s="4"/>
      <c r="GB2174" s="4"/>
      <c r="GC2174" s="4"/>
      <c r="GD2174" s="4"/>
      <c r="GE2174" s="4"/>
      <c r="GF2174" s="4"/>
      <c r="GG2174" s="4"/>
      <c r="GH2174" s="4"/>
      <c r="GI2174" s="4"/>
      <c r="GJ2174" s="4"/>
      <c r="GK2174" s="4"/>
      <c r="GL2174" s="4"/>
      <c r="GM2174" s="4"/>
      <c r="GN2174" s="4"/>
      <c r="GO2174" s="4"/>
      <c r="GP2174" s="4"/>
      <c r="GQ2174" s="4"/>
      <c r="GR2174" s="4"/>
      <c r="GS2174" s="4"/>
      <c r="GT2174" s="4"/>
      <c r="GU2174" s="4"/>
      <c r="GV2174" s="4"/>
      <c r="GW2174" s="4"/>
      <c r="GX2174" s="4"/>
      <c r="GY2174" s="4"/>
      <c r="GZ2174" s="4"/>
      <c r="HA2174" s="4"/>
      <c r="HB2174" s="4"/>
      <c r="HC2174" s="4"/>
      <c r="HD2174" s="4"/>
      <c r="HE2174" s="4"/>
    </row>
    <row r="2175">
      <c r="A2175" s="2" t="s">
        <v>10292</v>
      </c>
      <c r="B2175" s="2" t="s">
        <v>299</v>
      </c>
      <c r="C2175" s="2" t="s">
        <v>259</v>
      </c>
      <c r="D2175" s="2" t="s">
        <v>301</v>
      </c>
      <c r="E2175" s="2" t="s">
        <v>302</v>
      </c>
      <c r="F2175" s="2" t="s">
        <v>10265</v>
      </c>
      <c r="G2175" s="2" t="s">
        <v>10265</v>
      </c>
      <c r="H2175" s="2" t="s">
        <v>10265</v>
      </c>
      <c r="I2175" s="2" t="s">
        <v>347</v>
      </c>
      <c r="J2175" s="2" t="s">
        <v>284</v>
      </c>
      <c r="K2175" s="2" t="s">
        <v>480</v>
      </c>
      <c r="L2175" s="3">
        <v>16.5</v>
      </c>
      <c r="M2175" s="3">
        <v>17.32</v>
      </c>
      <c r="N2175" s="3">
        <v>32.99</v>
      </c>
      <c r="O2175" s="2" t="s">
        <v>240</v>
      </c>
      <c r="P2175" s="2" t="s">
        <v>266</v>
      </c>
      <c r="Q2175" s="2" t="s">
        <v>234</v>
      </c>
      <c r="R2175" s="2" t="s">
        <v>228</v>
      </c>
      <c r="S2175" s="2" t="s">
        <v>10293</v>
      </c>
      <c r="T2175" s="2" t="s">
        <v>10267</v>
      </c>
      <c r="U2175" s="2" t="s">
        <v>228</v>
      </c>
      <c r="V2175" s="2" t="s">
        <v>236</v>
      </c>
      <c r="W2175" s="2" t="s">
        <v>269</v>
      </c>
      <c r="X2175" s="2" t="s">
        <v>228</v>
      </c>
      <c r="Y2175" s="2" t="s">
        <v>270</v>
      </c>
      <c r="Z2175" s="4">
        <v>230</v>
      </c>
      <c r="AA2175" s="4">
        <f>=ROUNDDOWN(71.875,0)</f>
      </c>
      <c r="AB2175" s="5">
        <v>3.2</v>
      </c>
      <c r="AC2175" s="2" t="s">
        <v>228</v>
      </c>
      <c r="AD2175" s="4"/>
      <c r="AE2175" s="4"/>
      <c r="AF2175" s="6">
        <v>66</v>
      </c>
      <c r="AG2175" s="6"/>
      <c r="AH2175" s="7">
        <v>1</v>
      </c>
      <c r="AI2175" s="4"/>
      <c r="AJ2175" s="4">
        <f>=ROUNDDOWN({0},0)</f>
      </c>
      <c r="AK2175" s="5"/>
      <c r="AL2175" s="2" t="s">
        <v>228</v>
      </c>
      <c r="AM2175" s="4"/>
      <c r="AN2175" s="4"/>
      <c r="AO2175" s="7"/>
      <c r="AP2175" s="4"/>
      <c r="AQ2175" s="8"/>
      <c r="AR2175" s="4"/>
      <c r="AS2175" s="8"/>
      <c r="AT2175" s="7"/>
      <c r="AU2175" s="7"/>
      <c r="AV2175" s="4" t="s">
        <v>228</v>
      </c>
      <c r="AW2175" s="8" t="s">
        <v>228</v>
      </c>
      <c r="AX2175" s="4" t="s">
        <v>228</v>
      </c>
      <c r="AY2175" s="8" t="s">
        <v>228</v>
      </c>
      <c r="AZ2175" s="7" t="s">
        <v>228</v>
      </c>
      <c r="BA2175" s="7" t="s">
        <v>228</v>
      </c>
      <c r="BB2175" s="7"/>
      <c r="BC2175" s="4" t="s">
        <v>228</v>
      </c>
      <c r="BD2175" s="8" t="s">
        <v>228</v>
      </c>
      <c r="BE2175" s="4" t="s">
        <v>228</v>
      </c>
      <c r="BF2175" s="8" t="s">
        <v>228</v>
      </c>
      <c r="BG2175" s="7" t="s">
        <v>228</v>
      </c>
      <c r="BH2175" s="7" t="s">
        <v>228</v>
      </c>
      <c r="BI2175" s="7"/>
      <c r="BJ2175" s="4">
        <v>20</v>
      </c>
      <c r="BK2175" s="8">
        <v>347.59</v>
      </c>
      <c r="BL2175" s="2" t="s">
        <v>404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10294</v>
      </c>
      <c r="BV2175" s="2" t="s">
        <v>228</v>
      </c>
      <c r="BW2175" s="2" t="s">
        <v>228</v>
      </c>
      <c r="BX2175" s="2" t="s">
        <v>273</v>
      </c>
      <c r="BY2175" s="2" t="s">
        <v>274</v>
      </c>
      <c r="BZ2175" s="2" t="s">
        <v>240</v>
      </c>
      <c r="CA2175" s="2" t="s">
        <v>10034</v>
      </c>
      <c r="CB2175" s="2" t="s">
        <v>10295</v>
      </c>
      <c r="CC2175" s="2" t="s">
        <v>241</v>
      </c>
      <c r="CD2175" s="2" t="s">
        <v>228</v>
      </c>
      <c r="CE2175" s="4">
        <v>230</v>
      </c>
      <c r="CF2175" s="4"/>
      <c r="CG2175" s="4"/>
      <c r="CH2175" s="4"/>
      <c r="CI2175" s="4"/>
      <c r="CJ2175" s="4"/>
      <c r="CK2175" s="4"/>
      <c r="CL2175" s="4"/>
      <c r="CM2175" s="4"/>
      <c r="CN2175" s="4"/>
      <c r="CO2175" s="4"/>
      <c r="CP2175" s="4"/>
      <c r="CQ2175" s="4"/>
      <c r="CR2175" s="4"/>
      <c r="CS2175" s="4"/>
      <c r="CT2175" s="4"/>
      <c r="CU2175" s="4"/>
      <c r="CV2175" s="4"/>
      <c r="CW2175" s="4"/>
      <c r="CX2175" s="4"/>
      <c r="CY2175" s="4"/>
      <c r="CZ2175" s="4"/>
      <c r="DA2175" s="4"/>
      <c r="DB2175" s="4"/>
      <c r="DC2175" s="4"/>
      <c r="DD2175" s="4"/>
      <c r="DE2175" s="4"/>
      <c r="DF2175" s="4"/>
      <c r="DG2175" s="4"/>
      <c r="DH2175" s="4"/>
      <c r="DI2175" s="4"/>
      <c r="DJ2175" s="4"/>
      <c r="DK2175" s="4"/>
      <c r="DL2175" s="4"/>
      <c r="DM2175" s="4"/>
      <c r="DN2175" s="4"/>
      <c r="DO2175" s="4"/>
      <c r="DP2175" s="4"/>
      <c r="DQ2175" s="4"/>
      <c r="DR2175" s="4"/>
      <c r="DS2175" s="4"/>
      <c r="DT2175" s="4"/>
      <c r="DU2175" s="4"/>
      <c r="DV2175" s="4"/>
      <c r="DW2175" s="4"/>
      <c r="DX2175" s="4"/>
      <c r="DY2175" s="4"/>
      <c r="DZ2175" s="4"/>
      <c r="EA2175" s="4"/>
      <c r="EB2175" s="4"/>
      <c r="EC2175" s="4"/>
      <c r="ED2175" s="4"/>
      <c r="EE2175" s="4"/>
      <c r="EF2175" s="4"/>
      <c r="EG2175" s="4"/>
      <c r="EH2175" s="4"/>
      <c r="EI2175" s="4"/>
      <c r="EJ2175" s="4"/>
      <c r="EK2175" s="4"/>
      <c r="EL2175" s="4"/>
      <c r="EM2175" s="4"/>
      <c r="EN2175" s="4"/>
      <c r="EO2175" s="4"/>
      <c r="EP2175" s="4"/>
      <c r="EQ2175" s="4"/>
      <c r="ER2175" s="4"/>
      <c r="ES2175" s="4"/>
      <c r="ET2175" s="4"/>
      <c r="EU2175" s="4"/>
      <c r="EV2175" s="4"/>
      <c r="EW2175" s="4"/>
      <c r="EX2175" s="4"/>
      <c r="EY2175" s="4"/>
      <c r="EZ2175" s="4"/>
      <c r="FA2175" s="4"/>
      <c r="FB2175" s="4"/>
      <c r="FC2175" s="4"/>
      <c r="FD2175" s="4"/>
      <c r="FE2175" s="4"/>
      <c r="FF2175" s="4"/>
      <c r="FG2175" s="4"/>
      <c r="FH2175" s="4"/>
      <c r="FI2175" s="4"/>
      <c r="FJ2175" s="4"/>
      <c r="FK2175" s="4"/>
      <c r="FL2175" s="4"/>
      <c r="FM2175" s="4"/>
      <c r="FN2175" s="4"/>
      <c r="FO2175" s="4"/>
      <c r="FP2175" s="4"/>
      <c r="FQ2175" s="4"/>
      <c r="FR2175" s="4"/>
      <c r="FS2175" s="4"/>
      <c r="FT2175" s="4"/>
      <c r="FU2175" s="4"/>
      <c r="FV2175" s="4"/>
      <c r="FW2175" s="4"/>
      <c r="FX2175" s="4"/>
      <c r="FY2175" s="4"/>
      <c r="FZ2175" s="4"/>
      <c r="GA2175" s="4"/>
      <c r="GB2175" s="4"/>
      <c r="GC2175" s="4"/>
      <c r="GD2175" s="4"/>
      <c r="GE2175" s="4"/>
      <c r="GF2175" s="4"/>
      <c r="GG2175" s="4"/>
      <c r="GH2175" s="4"/>
      <c r="GI2175" s="4"/>
      <c r="GJ2175" s="4"/>
      <c r="GK2175" s="4"/>
      <c r="GL2175" s="4"/>
      <c r="GM2175" s="4"/>
      <c r="GN2175" s="4"/>
      <c r="GO2175" s="4"/>
      <c r="GP2175" s="4"/>
      <c r="GQ2175" s="4"/>
      <c r="GR2175" s="4"/>
      <c r="GS2175" s="4"/>
      <c r="GT2175" s="4"/>
      <c r="GU2175" s="4"/>
      <c r="GV2175" s="4"/>
      <c r="GW2175" s="4"/>
      <c r="GX2175" s="4"/>
      <c r="GY2175" s="4"/>
      <c r="GZ2175" s="4"/>
      <c r="HA2175" s="4"/>
      <c r="HB2175" s="4"/>
      <c r="HC2175" s="4"/>
      <c r="HD2175" s="4"/>
      <c r="HE2175" s="4"/>
    </row>
    <row r="2176">
      <c r="A2176" s="2" t="s">
        <v>10296</v>
      </c>
      <c r="B2176" s="2" t="s">
        <v>299</v>
      </c>
      <c r="C2176" s="2" t="s">
        <v>259</v>
      </c>
      <c r="D2176" s="2" t="s">
        <v>301</v>
      </c>
      <c r="E2176" s="2" t="s">
        <v>302</v>
      </c>
      <c r="F2176" s="2" t="s">
        <v>10265</v>
      </c>
      <c r="G2176" s="2" t="s">
        <v>10265</v>
      </c>
      <c r="H2176" s="2" t="s">
        <v>10265</v>
      </c>
      <c r="I2176" s="2" t="s">
        <v>347</v>
      </c>
      <c r="J2176" s="2" t="s">
        <v>312</v>
      </c>
      <c r="K2176" s="2" t="s">
        <v>480</v>
      </c>
      <c r="L2176" s="3">
        <v>21.5</v>
      </c>
      <c r="M2176" s="3">
        <v>22.58</v>
      </c>
      <c r="N2176" s="3">
        <v>42.99</v>
      </c>
      <c r="O2176" s="2" t="s">
        <v>240</v>
      </c>
      <c r="P2176" s="2" t="s">
        <v>333</v>
      </c>
      <c r="Q2176" s="2" t="s">
        <v>234</v>
      </c>
      <c r="R2176" s="2" t="s">
        <v>228</v>
      </c>
      <c r="S2176" s="2" t="s">
        <v>10293</v>
      </c>
      <c r="T2176" s="2" t="s">
        <v>10267</v>
      </c>
      <c r="U2176" s="2" t="s">
        <v>228</v>
      </c>
      <c r="V2176" s="2" t="s">
        <v>236</v>
      </c>
      <c r="W2176" s="2" t="s">
        <v>269</v>
      </c>
      <c r="X2176" s="2" t="s">
        <v>228</v>
      </c>
      <c r="Y2176" s="2" t="s">
        <v>7177</v>
      </c>
      <c r="Z2176" s="4">
        <v>35</v>
      </c>
      <c r="AA2176" s="4">
        <f>=ROUNDDOWN(38.8888888888889,0)</f>
      </c>
      <c r="AB2176" s="5">
        <v>0.9</v>
      </c>
      <c r="AC2176" s="2" t="s">
        <v>228</v>
      </c>
      <c r="AD2176" s="4"/>
      <c r="AE2176" s="4"/>
      <c r="AF2176" s="6">
        <v>66</v>
      </c>
      <c r="AG2176" s="6"/>
      <c r="AH2176" s="7">
        <v>1</v>
      </c>
      <c r="AI2176" s="4"/>
      <c r="AJ2176" s="4">
        <f>=ROUNDDOWN({0},0)</f>
      </c>
      <c r="AK2176" s="5"/>
      <c r="AL2176" s="2" t="s">
        <v>228</v>
      </c>
      <c r="AM2176" s="4"/>
      <c r="AN2176" s="4"/>
      <c r="AO2176" s="7"/>
      <c r="AP2176" s="4"/>
      <c r="AQ2176" s="8"/>
      <c r="AR2176" s="4"/>
      <c r="AS2176" s="8"/>
      <c r="AT2176" s="7"/>
      <c r="AU2176" s="7"/>
      <c r="AV2176" s="4" t="s">
        <v>228</v>
      </c>
      <c r="AW2176" s="8" t="s">
        <v>228</v>
      </c>
      <c r="AX2176" s="4" t="s">
        <v>228</v>
      </c>
      <c r="AY2176" s="8" t="s">
        <v>228</v>
      </c>
      <c r="AZ2176" s="7" t="s">
        <v>228</v>
      </c>
      <c r="BA2176" s="7" t="s">
        <v>228</v>
      </c>
      <c r="BB2176" s="7"/>
      <c r="BC2176" s="4" t="s">
        <v>228</v>
      </c>
      <c r="BD2176" s="8" t="s">
        <v>228</v>
      </c>
      <c r="BE2176" s="4" t="s">
        <v>228</v>
      </c>
      <c r="BF2176" s="8" t="s">
        <v>228</v>
      </c>
      <c r="BG2176" s="7" t="s">
        <v>228</v>
      </c>
      <c r="BH2176" s="7" t="s">
        <v>228</v>
      </c>
      <c r="BI2176" s="7"/>
      <c r="BJ2176" s="4">
        <v>4</v>
      </c>
      <c r="BK2176" s="8">
        <v>87.92</v>
      </c>
      <c r="BL2176" s="2" t="s">
        <v>10134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10297</v>
      </c>
      <c r="BV2176" s="2" t="s">
        <v>228</v>
      </c>
      <c r="BW2176" s="2" t="s">
        <v>228</v>
      </c>
      <c r="BX2176" s="2" t="s">
        <v>337</v>
      </c>
      <c r="BY2176" s="2" t="s">
        <v>274</v>
      </c>
      <c r="BZ2176" s="2" t="s">
        <v>240</v>
      </c>
      <c r="CA2176" s="2" t="s">
        <v>10034</v>
      </c>
      <c r="CB2176" s="2" t="s">
        <v>9264</v>
      </c>
      <c r="CC2176" s="2" t="s">
        <v>241</v>
      </c>
      <c r="CD2176" s="2" t="s">
        <v>228</v>
      </c>
      <c r="CE2176" s="4">
        <v>35</v>
      </c>
      <c r="CF2176" s="4"/>
      <c r="CG2176" s="4"/>
      <c r="CH2176" s="4"/>
      <c r="CI2176" s="4"/>
      <c r="CJ2176" s="4"/>
      <c r="CK2176" s="4"/>
      <c r="CL2176" s="4"/>
      <c r="CM2176" s="4"/>
      <c r="CN2176" s="4"/>
      <c r="CO2176" s="4"/>
      <c r="CP2176" s="4"/>
      <c r="CQ2176" s="4"/>
      <c r="CR2176" s="4"/>
      <c r="CS2176" s="4"/>
      <c r="CT2176" s="4"/>
      <c r="CU2176" s="4"/>
      <c r="CV2176" s="4"/>
      <c r="CW2176" s="4"/>
      <c r="CX2176" s="4"/>
      <c r="CY2176" s="4"/>
      <c r="CZ2176" s="4"/>
      <c r="DA2176" s="4"/>
      <c r="DB2176" s="4"/>
      <c r="DC2176" s="4"/>
      <c r="DD2176" s="4"/>
      <c r="DE2176" s="4"/>
      <c r="DF2176" s="4"/>
      <c r="DG2176" s="4"/>
      <c r="DH2176" s="4"/>
      <c r="DI2176" s="4"/>
      <c r="DJ2176" s="4"/>
      <c r="DK2176" s="4"/>
      <c r="DL2176" s="4"/>
      <c r="DM2176" s="4"/>
      <c r="DN2176" s="4"/>
      <c r="DO2176" s="4"/>
      <c r="DP2176" s="4"/>
      <c r="DQ2176" s="4"/>
      <c r="DR2176" s="4"/>
      <c r="DS2176" s="4"/>
      <c r="DT2176" s="4"/>
      <c r="DU2176" s="4"/>
      <c r="DV2176" s="4"/>
      <c r="DW2176" s="4"/>
      <c r="DX2176" s="4"/>
      <c r="DY2176" s="4"/>
      <c r="DZ2176" s="4"/>
      <c r="EA2176" s="4"/>
      <c r="EB2176" s="4"/>
      <c r="EC2176" s="4"/>
      <c r="ED2176" s="4"/>
      <c r="EE2176" s="4"/>
      <c r="EF2176" s="4"/>
      <c r="EG2176" s="4"/>
      <c r="EH2176" s="4"/>
      <c r="EI2176" s="4"/>
      <c r="EJ2176" s="4"/>
      <c r="EK2176" s="4"/>
      <c r="EL2176" s="4"/>
      <c r="EM2176" s="4"/>
      <c r="EN2176" s="4"/>
      <c r="EO2176" s="4"/>
      <c r="EP2176" s="4"/>
      <c r="EQ2176" s="4"/>
      <c r="ER2176" s="4"/>
      <c r="ES2176" s="4"/>
      <c r="ET2176" s="4"/>
      <c r="EU2176" s="4"/>
      <c r="EV2176" s="4"/>
      <c r="EW2176" s="4"/>
      <c r="EX2176" s="4"/>
      <c r="EY2176" s="4"/>
      <c r="EZ2176" s="4"/>
      <c r="FA2176" s="4"/>
      <c r="FB2176" s="4"/>
      <c r="FC2176" s="4"/>
      <c r="FD2176" s="4"/>
      <c r="FE2176" s="4"/>
      <c r="FF2176" s="4"/>
      <c r="FG2176" s="4"/>
      <c r="FH2176" s="4"/>
      <c r="FI2176" s="4"/>
      <c r="FJ2176" s="4"/>
      <c r="FK2176" s="4"/>
      <c r="FL2176" s="4"/>
      <c r="FM2176" s="4"/>
      <c r="FN2176" s="4"/>
      <c r="FO2176" s="4"/>
      <c r="FP2176" s="4"/>
      <c r="FQ2176" s="4"/>
      <c r="FR2176" s="4"/>
      <c r="FS2176" s="4"/>
      <c r="FT2176" s="4"/>
      <c r="FU2176" s="4"/>
      <c r="FV2176" s="4"/>
      <c r="FW2176" s="4"/>
      <c r="FX2176" s="4"/>
      <c r="FY2176" s="4"/>
      <c r="FZ2176" s="4"/>
      <c r="GA2176" s="4"/>
      <c r="GB2176" s="4"/>
      <c r="GC2176" s="4"/>
      <c r="GD2176" s="4"/>
      <c r="GE2176" s="4"/>
      <c r="GF2176" s="4"/>
      <c r="GG2176" s="4"/>
      <c r="GH2176" s="4"/>
      <c r="GI2176" s="4"/>
      <c r="GJ2176" s="4"/>
      <c r="GK2176" s="4"/>
      <c r="GL2176" s="4"/>
      <c r="GM2176" s="4"/>
      <c r="GN2176" s="4"/>
      <c r="GO2176" s="4"/>
      <c r="GP2176" s="4"/>
      <c r="GQ2176" s="4"/>
      <c r="GR2176" s="4"/>
      <c r="GS2176" s="4"/>
      <c r="GT2176" s="4"/>
      <c r="GU2176" s="4"/>
      <c r="GV2176" s="4"/>
      <c r="GW2176" s="4"/>
      <c r="GX2176" s="4"/>
      <c r="GY2176" s="4"/>
      <c r="GZ2176" s="4"/>
      <c r="HA2176" s="4"/>
      <c r="HB2176" s="4"/>
      <c r="HC2176" s="4"/>
      <c r="HD2176" s="4"/>
      <c r="HE2176" s="4"/>
    </row>
    <row r="2177">
      <c r="A2177" s="2" t="s">
        <v>10298</v>
      </c>
      <c r="B2177" s="2" t="s">
        <v>299</v>
      </c>
      <c r="C2177" s="2" t="s">
        <v>259</v>
      </c>
      <c r="D2177" s="2" t="s">
        <v>301</v>
      </c>
      <c r="E2177" s="2" t="s">
        <v>302</v>
      </c>
      <c r="F2177" s="2" t="s">
        <v>10265</v>
      </c>
      <c r="G2177" s="2" t="s">
        <v>10265</v>
      </c>
      <c r="H2177" s="2" t="s">
        <v>10265</v>
      </c>
      <c r="I2177" s="2" t="s">
        <v>347</v>
      </c>
      <c r="J2177" s="2" t="s">
        <v>264</v>
      </c>
      <c r="K2177" s="2" t="s">
        <v>316</v>
      </c>
      <c r="L2177" s="3">
        <v>16.5</v>
      </c>
      <c r="M2177" s="3">
        <v>17.32</v>
      </c>
      <c r="N2177" s="3">
        <v>32.99</v>
      </c>
      <c r="O2177" s="2" t="s">
        <v>240</v>
      </c>
      <c r="P2177" s="2" t="s">
        <v>266</v>
      </c>
      <c r="Q2177" s="2" t="s">
        <v>234</v>
      </c>
      <c r="R2177" s="2" t="s">
        <v>228</v>
      </c>
      <c r="S2177" s="2" t="s">
        <v>10299</v>
      </c>
      <c r="T2177" s="2" t="s">
        <v>10267</v>
      </c>
      <c r="U2177" s="2" t="s">
        <v>228</v>
      </c>
      <c r="V2177" s="2" t="s">
        <v>236</v>
      </c>
      <c r="W2177" s="2" t="s">
        <v>269</v>
      </c>
      <c r="X2177" s="2" t="s">
        <v>228</v>
      </c>
      <c r="Y2177" s="2" t="s">
        <v>10268</v>
      </c>
      <c r="Z2177" s="4">
        <v>67</v>
      </c>
      <c r="AA2177" s="4">
        <f>=ROUNDDOWN(20.3030303030303,0)</f>
      </c>
      <c r="AB2177" s="5">
        <v>3.3</v>
      </c>
      <c r="AC2177" s="2" t="s">
        <v>160</v>
      </c>
      <c r="AD2177" s="4">
        <v>140</v>
      </c>
      <c r="AE2177" s="4">
        <v>160</v>
      </c>
      <c r="AF2177" s="6">
        <v>66</v>
      </c>
      <c r="AG2177" s="6"/>
      <c r="AH2177" s="7">
        <v>1</v>
      </c>
      <c r="AI2177" s="4"/>
      <c r="AJ2177" s="4">
        <f>=ROUNDDOWN({0},0)</f>
      </c>
      <c r="AK2177" s="5"/>
      <c r="AL2177" s="2" t="s">
        <v>228</v>
      </c>
      <c r="AM2177" s="4"/>
      <c r="AN2177" s="4"/>
      <c r="AO2177" s="7"/>
      <c r="AP2177" s="4"/>
      <c r="AQ2177" s="8"/>
      <c r="AR2177" s="4"/>
      <c r="AS2177" s="8"/>
      <c r="AT2177" s="7"/>
      <c r="AU2177" s="7"/>
      <c r="AV2177" s="4" t="s">
        <v>228</v>
      </c>
      <c r="AW2177" s="8" t="s">
        <v>228</v>
      </c>
      <c r="AX2177" s="4" t="s">
        <v>228</v>
      </c>
      <c r="AY2177" s="8" t="s">
        <v>228</v>
      </c>
      <c r="AZ2177" s="7" t="s">
        <v>228</v>
      </c>
      <c r="BA2177" s="7" t="s">
        <v>228</v>
      </c>
      <c r="BB2177" s="7"/>
      <c r="BC2177" s="4" t="s">
        <v>228</v>
      </c>
      <c r="BD2177" s="8" t="s">
        <v>228</v>
      </c>
      <c r="BE2177" s="4" t="s">
        <v>228</v>
      </c>
      <c r="BF2177" s="8" t="s">
        <v>228</v>
      </c>
      <c r="BG2177" s="7" t="s">
        <v>228</v>
      </c>
      <c r="BH2177" s="7" t="s">
        <v>228</v>
      </c>
      <c r="BI2177" s="7"/>
      <c r="BJ2177" s="4">
        <v>17</v>
      </c>
      <c r="BK2177" s="8">
        <v>262.09</v>
      </c>
      <c r="BL2177" s="2" t="s">
        <v>10300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10301</v>
      </c>
      <c r="BV2177" s="2" t="s">
        <v>228</v>
      </c>
      <c r="BW2177" s="2" t="s">
        <v>228</v>
      </c>
      <c r="BX2177" s="2" t="s">
        <v>273</v>
      </c>
      <c r="BY2177" s="2" t="s">
        <v>274</v>
      </c>
      <c r="BZ2177" s="2" t="s">
        <v>240</v>
      </c>
      <c r="CA2177" s="2" t="s">
        <v>10034</v>
      </c>
      <c r="CB2177" s="2" t="s">
        <v>1951</v>
      </c>
      <c r="CC2177" s="2" t="s">
        <v>241</v>
      </c>
      <c r="CD2177" s="2" t="s">
        <v>228</v>
      </c>
      <c r="CE2177" s="4">
        <v>67</v>
      </c>
      <c r="CF2177" s="4"/>
      <c r="CG2177" s="4"/>
      <c r="CH2177" s="4"/>
      <c r="CI2177" s="4"/>
      <c r="CJ2177" s="4"/>
      <c r="CK2177" s="4"/>
      <c r="CL2177" s="4"/>
      <c r="CM2177" s="4"/>
      <c r="CN2177" s="4"/>
      <c r="CO2177" s="4"/>
      <c r="CP2177" s="4"/>
      <c r="CQ2177" s="4"/>
      <c r="CR2177" s="4"/>
      <c r="CS2177" s="4"/>
      <c r="CT2177" s="4"/>
      <c r="CU2177" s="4"/>
      <c r="CV2177" s="4"/>
      <c r="CW2177" s="4"/>
      <c r="CX2177" s="4"/>
      <c r="CY2177" s="4"/>
      <c r="CZ2177" s="4"/>
      <c r="DA2177" s="4"/>
      <c r="DB2177" s="4"/>
      <c r="DC2177" s="4"/>
      <c r="DD2177" s="4"/>
      <c r="DE2177" s="4"/>
      <c r="DF2177" s="4"/>
      <c r="DG2177" s="4"/>
      <c r="DH2177" s="4"/>
      <c r="DI2177" s="4"/>
      <c r="DJ2177" s="4"/>
      <c r="DK2177" s="4"/>
      <c r="DL2177" s="4"/>
      <c r="DM2177" s="4"/>
      <c r="DN2177" s="4"/>
      <c r="DO2177" s="4"/>
      <c r="DP2177" s="4"/>
      <c r="DQ2177" s="4"/>
      <c r="DR2177" s="4"/>
      <c r="DS2177" s="4"/>
      <c r="DT2177" s="4"/>
      <c r="DU2177" s="4"/>
      <c r="DV2177" s="4"/>
      <c r="DW2177" s="4"/>
      <c r="DX2177" s="4"/>
      <c r="DY2177" s="4"/>
      <c r="DZ2177" s="4"/>
      <c r="EA2177" s="4"/>
      <c r="EB2177" s="4"/>
      <c r="EC2177" s="4"/>
      <c r="ED2177" s="4"/>
      <c r="EE2177" s="4"/>
      <c r="EF2177" s="4"/>
      <c r="EG2177" s="4"/>
      <c r="EH2177" s="4"/>
      <c r="EI2177" s="4"/>
      <c r="EJ2177" s="4"/>
      <c r="EK2177" s="4"/>
      <c r="EL2177" s="4"/>
      <c r="EM2177" s="4"/>
      <c r="EN2177" s="4"/>
      <c r="EO2177" s="4"/>
      <c r="EP2177" s="4"/>
      <c r="EQ2177" s="4"/>
      <c r="ER2177" s="4"/>
      <c r="ES2177" s="4"/>
      <c r="ET2177" s="4"/>
      <c r="EU2177" s="4"/>
      <c r="EV2177" s="4">
        <v>140</v>
      </c>
      <c r="EW2177" s="4"/>
      <c r="EX2177" s="4"/>
      <c r="EY2177" s="4"/>
      <c r="EZ2177" s="4"/>
      <c r="FA2177" s="4"/>
      <c r="FB2177" s="4"/>
      <c r="FC2177" s="4"/>
      <c r="FD2177" s="4"/>
      <c r="FE2177" s="4"/>
      <c r="FF2177" s="4"/>
      <c r="FG2177" s="4"/>
      <c r="FH2177" s="4"/>
      <c r="FI2177" s="4"/>
      <c r="FJ2177" s="4"/>
      <c r="FK2177" s="4"/>
      <c r="FL2177" s="4"/>
      <c r="FM2177" s="4"/>
      <c r="FN2177" s="4"/>
      <c r="FO2177" s="4"/>
      <c r="FP2177" s="4"/>
      <c r="FQ2177" s="4"/>
      <c r="FR2177" s="4"/>
      <c r="FS2177" s="4"/>
      <c r="FT2177" s="4"/>
      <c r="FU2177" s="4"/>
      <c r="FV2177" s="4"/>
      <c r="FW2177" s="4"/>
      <c r="FX2177" s="4"/>
      <c r="FY2177" s="4"/>
      <c r="FZ2177" s="4"/>
      <c r="GA2177" s="4"/>
      <c r="GB2177" s="4"/>
      <c r="GC2177" s="4"/>
      <c r="GD2177" s="4"/>
      <c r="GE2177" s="4"/>
      <c r="GF2177" s="4"/>
      <c r="GG2177" s="4">
        <v>20</v>
      </c>
      <c r="GH2177" s="4"/>
      <c r="GI2177" s="4"/>
      <c r="GJ2177" s="4"/>
      <c r="GK2177" s="4"/>
      <c r="GL2177" s="4"/>
      <c r="GM2177" s="4"/>
      <c r="GN2177" s="4"/>
      <c r="GO2177" s="4"/>
      <c r="GP2177" s="4"/>
      <c r="GQ2177" s="4"/>
      <c r="GR2177" s="4"/>
      <c r="GS2177" s="4"/>
      <c r="GT2177" s="4"/>
      <c r="GU2177" s="4"/>
      <c r="GV2177" s="4"/>
      <c r="GW2177" s="4"/>
      <c r="GX2177" s="4"/>
      <c r="GY2177" s="4"/>
      <c r="GZ2177" s="4"/>
      <c r="HA2177" s="4"/>
      <c r="HB2177" s="4"/>
      <c r="HC2177" s="4"/>
      <c r="HD2177" s="4"/>
      <c r="HE2177" s="4"/>
    </row>
    <row r="2178">
      <c r="A2178" s="2" t="s">
        <v>10302</v>
      </c>
      <c r="B2178" s="2" t="s">
        <v>299</v>
      </c>
      <c r="C2178" s="2" t="s">
        <v>259</v>
      </c>
      <c r="D2178" s="2" t="s">
        <v>301</v>
      </c>
      <c r="E2178" s="2" t="s">
        <v>302</v>
      </c>
      <c r="F2178" s="2" t="s">
        <v>10265</v>
      </c>
      <c r="G2178" s="2" t="s">
        <v>10265</v>
      </c>
      <c r="H2178" s="2" t="s">
        <v>10265</v>
      </c>
      <c r="I2178" s="2" t="s">
        <v>347</v>
      </c>
      <c r="J2178" s="2" t="s">
        <v>312</v>
      </c>
      <c r="K2178" s="2" t="s">
        <v>316</v>
      </c>
      <c r="L2178" s="3">
        <v>21.5</v>
      </c>
      <c r="M2178" s="3">
        <v>22.58</v>
      </c>
      <c r="N2178" s="3">
        <v>42.99</v>
      </c>
      <c r="O2178" s="2" t="s">
        <v>240</v>
      </c>
      <c r="P2178" s="2" t="s">
        <v>333</v>
      </c>
      <c r="Q2178" s="2" t="s">
        <v>234</v>
      </c>
      <c r="R2178" s="2" t="s">
        <v>228</v>
      </c>
      <c r="S2178" s="2" t="s">
        <v>10299</v>
      </c>
      <c r="T2178" s="2" t="s">
        <v>10267</v>
      </c>
      <c r="U2178" s="2" t="s">
        <v>228</v>
      </c>
      <c r="V2178" s="2" t="s">
        <v>236</v>
      </c>
      <c r="W2178" s="2" t="s">
        <v>269</v>
      </c>
      <c r="X2178" s="2" t="s">
        <v>228</v>
      </c>
      <c r="Y2178" s="2" t="s">
        <v>10268</v>
      </c>
      <c r="Z2178" s="4">
        <v>61</v>
      </c>
      <c r="AA2178" s="4">
        <f>=ROUNDDOWN(33.8888888888889,0)</f>
      </c>
      <c r="AB2178" s="5">
        <v>1.8</v>
      </c>
      <c r="AC2178" s="2" t="s">
        <v>228</v>
      </c>
      <c r="AD2178" s="4"/>
      <c r="AE2178" s="4"/>
      <c r="AF2178" s="6">
        <v>66</v>
      </c>
      <c r="AG2178" s="6"/>
      <c r="AH2178" s="7">
        <v>1</v>
      </c>
      <c r="AI2178" s="4"/>
      <c r="AJ2178" s="4">
        <f>=ROUNDDOWN({0},0)</f>
      </c>
      <c r="AK2178" s="5"/>
      <c r="AL2178" s="2" t="s">
        <v>228</v>
      </c>
      <c r="AM2178" s="4"/>
      <c r="AN2178" s="4"/>
      <c r="AO2178" s="7"/>
      <c r="AP2178" s="4"/>
      <c r="AQ2178" s="8"/>
      <c r="AR2178" s="4"/>
      <c r="AS2178" s="8"/>
      <c r="AT2178" s="7"/>
      <c r="AU2178" s="7"/>
      <c r="AV2178" s="4" t="s">
        <v>228</v>
      </c>
      <c r="AW2178" s="8" t="s">
        <v>228</v>
      </c>
      <c r="AX2178" s="4" t="s">
        <v>228</v>
      </c>
      <c r="AY2178" s="8" t="s">
        <v>228</v>
      </c>
      <c r="AZ2178" s="7" t="s">
        <v>228</v>
      </c>
      <c r="BA2178" s="7" t="s">
        <v>228</v>
      </c>
      <c r="BB2178" s="7"/>
      <c r="BC2178" s="4" t="s">
        <v>228</v>
      </c>
      <c r="BD2178" s="8" t="s">
        <v>228</v>
      </c>
      <c r="BE2178" s="4" t="s">
        <v>228</v>
      </c>
      <c r="BF2178" s="8" t="s">
        <v>228</v>
      </c>
      <c r="BG2178" s="7" t="s">
        <v>228</v>
      </c>
      <c r="BH2178" s="7" t="s">
        <v>228</v>
      </c>
      <c r="BI2178" s="7"/>
      <c r="BJ2178" s="4">
        <v>8</v>
      </c>
      <c r="BK2178" s="8">
        <v>221.01</v>
      </c>
      <c r="BL2178" s="2" t="s">
        <v>10303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10304</v>
      </c>
      <c r="BV2178" s="2" t="s">
        <v>228</v>
      </c>
      <c r="BW2178" s="2" t="s">
        <v>228</v>
      </c>
      <c r="BX2178" s="2" t="s">
        <v>337</v>
      </c>
      <c r="BY2178" s="2" t="s">
        <v>274</v>
      </c>
      <c r="BZ2178" s="2" t="s">
        <v>240</v>
      </c>
      <c r="CA2178" s="2" t="s">
        <v>10034</v>
      </c>
      <c r="CB2178" s="2" t="s">
        <v>10305</v>
      </c>
      <c r="CC2178" s="2" t="s">
        <v>241</v>
      </c>
      <c r="CD2178" s="2" t="s">
        <v>228</v>
      </c>
      <c r="CE2178" s="4">
        <v>61</v>
      </c>
      <c r="CF2178" s="4"/>
      <c r="CG2178" s="4"/>
      <c r="CH2178" s="4"/>
      <c r="CI2178" s="4"/>
      <c r="CJ2178" s="4"/>
      <c r="CK2178" s="4"/>
      <c r="CL2178" s="4"/>
      <c r="CM2178" s="4"/>
      <c r="CN2178" s="4"/>
      <c r="CO2178" s="4"/>
      <c r="CP2178" s="4"/>
      <c r="CQ2178" s="4"/>
      <c r="CR2178" s="4"/>
      <c r="CS2178" s="4"/>
      <c r="CT2178" s="4"/>
      <c r="CU2178" s="4"/>
      <c r="CV2178" s="4"/>
      <c r="CW2178" s="4"/>
      <c r="CX2178" s="4"/>
      <c r="CY2178" s="4"/>
      <c r="CZ2178" s="4"/>
      <c r="DA2178" s="4"/>
      <c r="DB2178" s="4"/>
      <c r="DC2178" s="4"/>
      <c r="DD2178" s="4"/>
      <c r="DE2178" s="4"/>
      <c r="DF2178" s="4"/>
      <c r="DG2178" s="4"/>
      <c r="DH2178" s="4"/>
      <c r="DI2178" s="4"/>
      <c r="DJ2178" s="4"/>
      <c r="DK2178" s="4"/>
      <c r="DL2178" s="4"/>
      <c r="DM2178" s="4"/>
      <c r="DN2178" s="4"/>
      <c r="DO2178" s="4"/>
      <c r="DP2178" s="4"/>
      <c r="DQ2178" s="4"/>
      <c r="DR2178" s="4"/>
      <c r="DS2178" s="4"/>
      <c r="DT2178" s="4"/>
      <c r="DU2178" s="4"/>
      <c r="DV2178" s="4"/>
      <c r="DW2178" s="4"/>
      <c r="DX2178" s="4"/>
      <c r="DY2178" s="4"/>
      <c r="DZ2178" s="4"/>
      <c r="EA2178" s="4"/>
      <c r="EB2178" s="4"/>
      <c r="EC2178" s="4"/>
      <c r="ED2178" s="4"/>
      <c r="EE2178" s="4"/>
      <c r="EF2178" s="4"/>
      <c r="EG2178" s="4"/>
      <c r="EH2178" s="4"/>
      <c r="EI2178" s="4"/>
      <c r="EJ2178" s="4"/>
      <c r="EK2178" s="4"/>
      <c r="EL2178" s="4"/>
      <c r="EM2178" s="4"/>
      <c r="EN2178" s="4"/>
      <c r="EO2178" s="4"/>
      <c r="EP2178" s="4"/>
      <c r="EQ2178" s="4"/>
      <c r="ER2178" s="4"/>
      <c r="ES2178" s="4"/>
      <c r="ET2178" s="4"/>
      <c r="EU2178" s="4"/>
      <c r="EV2178" s="4"/>
      <c r="EW2178" s="4"/>
      <c r="EX2178" s="4"/>
      <c r="EY2178" s="4"/>
      <c r="EZ2178" s="4"/>
      <c r="FA2178" s="4"/>
      <c r="FB2178" s="4"/>
      <c r="FC2178" s="4"/>
      <c r="FD2178" s="4"/>
      <c r="FE2178" s="4"/>
      <c r="FF2178" s="4"/>
      <c r="FG2178" s="4"/>
      <c r="FH2178" s="4"/>
      <c r="FI2178" s="4"/>
      <c r="FJ2178" s="4"/>
      <c r="FK2178" s="4"/>
      <c r="FL2178" s="4"/>
      <c r="FM2178" s="4"/>
      <c r="FN2178" s="4"/>
      <c r="FO2178" s="4"/>
      <c r="FP2178" s="4"/>
      <c r="FQ2178" s="4"/>
      <c r="FR2178" s="4"/>
      <c r="FS2178" s="4"/>
      <c r="FT2178" s="4"/>
      <c r="FU2178" s="4"/>
      <c r="FV2178" s="4"/>
      <c r="FW2178" s="4"/>
      <c r="FX2178" s="4"/>
      <c r="FY2178" s="4"/>
      <c r="FZ2178" s="4"/>
      <c r="GA2178" s="4"/>
      <c r="GB2178" s="4"/>
      <c r="GC2178" s="4"/>
      <c r="GD2178" s="4"/>
      <c r="GE2178" s="4"/>
      <c r="GF2178" s="4"/>
      <c r="GG2178" s="4"/>
      <c r="GH2178" s="4"/>
      <c r="GI2178" s="4"/>
      <c r="GJ2178" s="4"/>
      <c r="GK2178" s="4"/>
      <c r="GL2178" s="4"/>
      <c r="GM2178" s="4"/>
      <c r="GN2178" s="4"/>
      <c r="GO2178" s="4"/>
      <c r="GP2178" s="4"/>
      <c r="GQ2178" s="4"/>
      <c r="GR2178" s="4"/>
      <c r="GS2178" s="4"/>
      <c r="GT2178" s="4"/>
      <c r="GU2178" s="4"/>
      <c r="GV2178" s="4"/>
      <c r="GW2178" s="4"/>
      <c r="GX2178" s="4"/>
      <c r="GY2178" s="4"/>
      <c r="GZ2178" s="4"/>
      <c r="HA2178" s="4"/>
      <c r="HB2178" s="4"/>
      <c r="HC2178" s="4"/>
      <c r="HD2178" s="4"/>
      <c r="HE2178" s="4"/>
    </row>
    <row r="2179">
      <c r="A2179" s="2" t="s">
        <v>10306</v>
      </c>
      <c r="B2179" s="2" t="s">
        <v>866</v>
      </c>
      <c r="C2179" s="2" t="s">
        <v>300</v>
      </c>
      <c r="D2179" s="2" t="s">
        <v>1880</v>
      </c>
      <c r="E2179" s="2" t="s">
        <v>7265</v>
      </c>
      <c r="F2179" s="2" t="s">
        <v>10307</v>
      </c>
      <c r="G2179" s="2" t="s">
        <v>10307</v>
      </c>
      <c r="H2179" s="2" t="s">
        <v>10307</v>
      </c>
      <c r="I2179" s="2" t="s">
        <v>10308</v>
      </c>
      <c r="J2179" s="2" t="s">
        <v>840</v>
      </c>
      <c r="K2179" s="2" t="s">
        <v>7127</v>
      </c>
      <c r="L2179" s="3">
        <v>61.9</v>
      </c>
      <c r="M2179" s="3">
        <v>65</v>
      </c>
      <c r="N2179" s="3">
        <v>129.9</v>
      </c>
      <c r="O2179" s="2" t="s">
        <v>240</v>
      </c>
      <c r="P2179" s="2" t="s">
        <v>233</v>
      </c>
      <c r="Q2179" s="2" t="s">
        <v>234</v>
      </c>
      <c r="R2179" s="2" t="s">
        <v>228</v>
      </c>
      <c r="S2179" s="2" t="s">
        <v>228</v>
      </c>
      <c r="T2179" s="2" t="s">
        <v>228</v>
      </c>
      <c r="U2179" s="2" t="s">
        <v>416</v>
      </c>
      <c r="V2179" s="2" t="s">
        <v>351</v>
      </c>
      <c r="W2179" s="2" t="s">
        <v>351</v>
      </c>
      <c r="X2179" s="2" t="s">
        <v>269</v>
      </c>
      <c r="Y2179" s="2" t="s">
        <v>5922</v>
      </c>
      <c r="Z2179" s="4">
        <v>64</v>
      </c>
      <c r="AA2179" s="4">
        <f>=ROUNDDOWN(16,0)</f>
      </c>
      <c r="AB2179" s="5">
        <v>4</v>
      </c>
      <c r="AC2179" s="2" t="s">
        <v>4983</v>
      </c>
      <c r="AD2179" s="4">
        <v>100</v>
      </c>
      <c r="AE2179" s="4">
        <v>100</v>
      </c>
      <c r="AF2179" s="6">
        <v>65</v>
      </c>
      <c r="AG2179" s="6"/>
      <c r="AH2179" s="7">
        <v>1</v>
      </c>
      <c r="AI2179" s="4"/>
      <c r="AJ2179" s="4">
        <f>=ROUNDDOWN({0},0)</f>
      </c>
      <c r="AK2179" s="5"/>
      <c r="AL2179" s="2" t="s">
        <v>228</v>
      </c>
      <c r="AM2179" s="4"/>
      <c r="AN2179" s="4"/>
      <c r="AO2179" s="7"/>
      <c r="AP2179" s="4"/>
      <c r="AQ2179" s="8"/>
      <c r="AR2179" s="4"/>
      <c r="AS2179" s="8"/>
      <c r="AT2179" s="7"/>
      <c r="AU2179" s="7"/>
      <c r="AV2179" s="4"/>
      <c r="AW2179" s="8"/>
      <c r="AX2179" s="4"/>
      <c r="AY2179" s="8"/>
      <c r="AZ2179" s="7"/>
      <c r="BA2179" s="7"/>
      <c r="BB2179" s="7"/>
      <c r="BC2179" s="4"/>
      <c r="BD2179" s="8"/>
      <c r="BE2179" s="4"/>
      <c r="BF2179" s="8"/>
      <c r="BG2179" s="7"/>
      <c r="BH2179" s="7"/>
      <c r="BI2179" s="7"/>
      <c r="BJ2179" s="4">
        <v>7</v>
      </c>
      <c r="BK2179" s="8">
        <v>480.3</v>
      </c>
      <c r="BL2179" s="2" t="s">
        <v>10309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10310</v>
      </c>
      <c r="BV2179" s="2" t="s">
        <v>228</v>
      </c>
      <c r="BW2179" s="2" t="s">
        <v>228</v>
      </c>
      <c r="BX2179" s="2" t="s">
        <v>273</v>
      </c>
      <c r="BY2179" s="2" t="s">
        <v>274</v>
      </c>
      <c r="BZ2179" s="2" t="s">
        <v>240</v>
      </c>
      <c r="CA2179" s="2" t="s">
        <v>4691</v>
      </c>
      <c r="CB2179" s="2" t="s">
        <v>228</v>
      </c>
      <c r="CC2179" s="2" t="s">
        <v>241</v>
      </c>
      <c r="CD2179" s="2" t="s">
        <v>228</v>
      </c>
      <c r="CE2179" s="4"/>
      <c r="CF2179" s="4">
        <v>64</v>
      </c>
      <c r="CG2179" s="4"/>
      <c r="CH2179" s="4"/>
      <c r="CI2179" s="4"/>
      <c r="CJ2179" s="4"/>
      <c r="CK2179" s="4"/>
      <c r="CL2179" s="4"/>
      <c r="CM2179" s="4"/>
      <c r="CN2179" s="4"/>
      <c r="CO2179" s="4"/>
      <c r="CP2179" s="4"/>
      <c r="CQ2179" s="4"/>
      <c r="CR2179" s="4"/>
      <c r="CS2179" s="4"/>
      <c r="CT2179" s="4"/>
      <c r="CU2179" s="4"/>
      <c r="CV2179" s="4"/>
      <c r="CW2179" s="4"/>
      <c r="CX2179" s="4"/>
      <c r="CY2179" s="4"/>
      <c r="CZ2179" s="4"/>
      <c r="DA2179" s="4"/>
      <c r="DB2179" s="4"/>
      <c r="DC2179" s="4"/>
      <c r="DD2179" s="4"/>
      <c r="DE2179" s="4"/>
      <c r="DF2179" s="4"/>
      <c r="DG2179" s="4"/>
      <c r="DH2179" s="4"/>
      <c r="DI2179" s="4"/>
      <c r="DJ2179" s="4"/>
      <c r="DK2179" s="4"/>
      <c r="DL2179" s="4"/>
      <c r="DM2179" s="4"/>
      <c r="DN2179" s="4"/>
      <c r="DO2179" s="4"/>
      <c r="DP2179" s="4"/>
      <c r="DQ2179" s="4"/>
      <c r="DR2179" s="4"/>
      <c r="DS2179" s="4"/>
      <c r="DT2179" s="4"/>
      <c r="DU2179" s="4"/>
      <c r="DV2179" s="4"/>
      <c r="DW2179" s="4"/>
      <c r="DX2179" s="4"/>
      <c r="DY2179" s="4"/>
      <c r="DZ2179" s="4"/>
      <c r="EA2179" s="4"/>
      <c r="EB2179" s="4"/>
      <c r="EC2179" s="4"/>
      <c r="ED2179" s="4"/>
      <c r="EE2179" s="4"/>
      <c r="EF2179" s="4"/>
      <c r="EG2179" s="4"/>
      <c r="EH2179" s="4"/>
      <c r="EI2179" s="4"/>
      <c r="EJ2179" s="4"/>
      <c r="EK2179" s="4"/>
      <c r="EL2179" s="4"/>
      <c r="EM2179" s="4"/>
      <c r="EN2179" s="4">
        <v>100</v>
      </c>
      <c r="EO2179" s="4"/>
      <c r="EP2179" s="4"/>
      <c r="EQ2179" s="4"/>
      <c r="ER2179" s="4"/>
      <c r="ES2179" s="4"/>
      <c r="ET2179" s="4"/>
      <c r="EU2179" s="4"/>
      <c r="EV2179" s="4"/>
      <c r="EW2179" s="4"/>
      <c r="EX2179" s="4"/>
      <c r="EY2179" s="4"/>
      <c r="EZ2179" s="4"/>
      <c r="FA2179" s="4"/>
      <c r="FB2179" s="4"/>
      <c r="FC2179" s="4"/>
      <c r="FD2179" s="4"/>
      <c r="FE2179" s="4"/>
      <c r="FF2179" s="4"/>
      <c r="FG2179" s="4"/>
      <c r="FH2179" s="4"/>
      <c r="FI2179" s="4"/>
      <c r="FJ2179" s="4"/>
      <c r="FK2179" s="4"/>
      <c r="FL2179" s="4"/>
      <c r="FM2179" s="4"/>
      <c r="FN2179" s="4"/>
      <c r="FO2179" s="4"/>
      <c r="FP2179" s="4"/>
      <c r="FQ2179" s="4"/>
      <c r="FR2179" s="4"/>
      <c r="FS2179" s="4"/>
      <c r="FT2179" s="4"/>
      <c r="FU2179" s="4"/>
      <c r="FV2179" s="4"/>
      <c r="FW2179" s="4"/>
      <c r="FX2179" s="4"/>
      <c r="FY2179" s="4"/>
      <c r="FZ2179" s="4"/>
      <c r="GA2179" s="4"/>
      <c r="GB2179" s="4"/>
      <c r="GC2179" s="4"/>
      <c r="GD2179" s="4"/>
      <c r="GE2179" s="4"/>
      <c r="GF2179" s="4"/>
      <c r="GG2179" s="4"/>
      <c r="GH2179" s="4"/>
      <c r="GI2179" s="4"/>
      <c r="GJ2179" s="4"/>
      <c r="GK2179" s="4"/>
      <c r="GL2179" s="4"/>
      <c r="GM2179" s="4"/>
      <c r="GN2179" s="4"/>
      <c r="GO2179" s="4"/>
      <c r="GP2179" s="4"/>
      <c r="GQ2179" s="4"/>
      <c r="GR2179" s="4"/>
      <c r="GS2179" s="4"/>
      <c r="GT2179" s="4"/>
      <c r="GU2179" s="4"/>
      <c r="GV2179" s="4"/>
      <c r="GW2179" s="4"/>
      <c r="GX2179" s="4"/>
      <c r="GY2179" s="4"/>
      <c r="GZ2179" s="4"/>
      <c r="HA2179" s="4"/>
      <c r="HB2179" s="4"/>
      <c r="HC2179" s="4"/>
      <c r="HD2179" s="4"/>
      <c r="HE2179" s="4"/>
    </row>
    <row r="2180">
      <c r="A2180" s="2" t="s">
        <v>10311</v>
      </c>
      <c r="B2180" s="2" t="s">
        <v>970</v>
      </c>
      <c r="C2180" s="2" t="s">
        <v>1111</v>
      </c>
      <c r="D2180" s="2" t="s">
        <v>971</v>
      </c>
      <c r="E2180" s="2" t="s">
        <v>972</v>
      </c>
      <c r="F2180" s="2" t="s">
        <v>10312</v>
      </c>
      <c r="G2180" s="2" t="s">
        <v>10312</v>
      </c>
      <c r="H2180" s="2" t="s">
        <v>10312</v>
      </c>
      <c r="I2180" s="2" t="s">
        <v>10312</v>
      </c>
      <c r="J2180" s="2" t="s">
        <v>6030</v>
      </c>
      <c r="K2180" s="2" t="s">
        <v>2480</v>
      </c>
      <c r="L2180" s="3">
        <v>14.49</v>
      </c>
      <c r="M2180" s="3">
        <v>15.21</v>
      </c>
      <c r="N2180" s="3">
        <v>24.99</v>
      </c>
      <c r="O2180" s="2" t="s">
        <v>461</v>
      </c>
      <c r="P2180" s="2" t="s">
        <v>1116</v>
      </c>
      <c r="Q2180" s="2" t="s">
        <v>234</v>
      </c>
      <c r="R2180" s="2" t="s">
        <v>727</v>
      </c>
      <c r="S2180" s="2" t="s">
        <v>228</v>
      </c>
      <c r="T2180" s="2" t="s">
        <v>415</v>
      </c>
      <c r="U2180" s="2" t="s">
        <v>520</v>
      </c>
      <c r="V2180" s="2" t="s">
        <v>236</v>
      </c>
      <c r="W2180" s="2" t="s">
        <v>228</v>
      </c>
      <c r="X2180" s="2" t="s">
        <v>228</v>
      </c>
      <c r="Y2180" s="2" t="s">
        <v>10313</v>
      </c>
      <c r="Z2180" s="4">
        <v>107</v>
      </c>
      <c r="AA2180" s="4">
        <f>=ROUNDDOWN(53.5,0)</f>
      </c>
      <c r="AB2180" s="5">
        <v>2</v>
      </c>
      <c r="AC2180" s="2" t="s">
        <v>228</v>
      </c>
      <c r="AD2180" s="4"/>
      <c r="AE2180" s="4"/>
      <c r="AF2180" s="6">
        <v>64</v>
      </c>
      <c r="AG2180" s="6"/>
      <c r="AH2180" s="7">
        <v>1</v>
      </c>
      <c r="AI2180" s="4"/>
      <c r="AJ2180" s="4">
        <f>=ROUNDDOWN({0},0)</f>
      </c>
      <c r="AK2180" s="5"/>
      <c r="AL2180" s="2" t="s">
        <v>228</v>
      </c>
      <c r="AM2180" s="4"/>
      <c r="AN2180" s="4"/>
      <c r="AO2180" s="7"/>
      <c r="AP2180" s="4"/>
      <c r="AQ2180" s="8"/>
      <c r="AR2180" s="4"/>
      <c r="AS2180" s="8"/>
      <c r="AT2180" s="7"/>
      <c r="AU2180" s="7"/>
      <c r="AV2180" s="4"/>
      <c r="AW2180" s="8"/>
      <c r="AX2180" s="4"/>
      <c r="AY2180" s="8"/>
      <c r="AZ2180" s="7"/>
      <c r="BA2180" s="7"/>
      <c r="BB2180" s="7"/>
      <c r="BC2180" s="4"/>
      <c r="BD2180" s="8"/>
      <c r="BE2180" s="4"/>
      <c r="BF2180" s="8"/>
      <c r="BG2180" s="7"/>
      <c r="BH2180" s="7"/>
      <c r="BI2180" s="7"/>
      <c r="BJ2180" s="4">
        <v>1</v>
      </c>
      <c r="BK2180" s="8">
        <v>14.49</v>
      </c>
      <c r="BL2180" s="2" t="s">
        <v>10314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10315</v>
      </c>
      <c r="BV2180" s="2" t="s">
        <v>228</v>
      </c>
      <c r="BW2180" s="2" t="s">
        <v>228</v>
      </c>
      <c r="BX2180" s="2" t="s">
        <v>273</v>
      </c>
      <c r="BY2180" s="2" t="s">
        <v>274</v>
      </c>
      <c r="BZ2180" s="2" t="s">
        <v>240</v>
      </c>
      <c r="CA2180" s="2" t="s">
        <v>3720</v>
      </c>
      <c r="CB2180" s="2" t="s">
        <v>228</v>
      </c>
      <c r="CC2180" s="2" t="s">
        <v>241</v>
      </c>
      <c r="CD2180" s="2" t="s">
        <v>228</v>
      </c>
      <c r="CE2180" s="4">
        <v>107</v>
      </c>
      <c r="CF2180" s="4"/>
      <c r="CG2180" s="4"/>
      <c r="CH2180" s="4"/>
      <c r="CI2180" s="4"/>
      <c r="CJ2180" s="4"/>
      <c r="CK2180" s="4"/>
      <c r="CL2180" s="4"/>
      <c r="CM2180" s="4"/>
      <c r="CN2180" s="4"/>
      <c r="CO2180" s="4"/>
      <c r="CP2180" s="4"/>
      <c r="CQ2180" s="4"/>
      <c r="CR2180" s="4"/>
      <c r="CS2180" s="4"/>
      <c r="CT2180" s="4"/>
      <c r="CU2180" s="4"/>
      <c r="CV2180" s="4"/>
      <c r="CW2180" s="4"/>
      <c r="CX2180" s="4"/>
      <c r="CY2180" s="4"/>
      <c r="CZ2180" s="4"/>
      <c r="DA2180" s="4"/>
      <c r="DB2180" s="4"/>
      <c r="DC2180" s="4"/>
      <c r="DD2180" s="4"/>
      <c r="DE2180" s="4"/>
      <c r="DF2180" s="4"/>
      <c r="DG2180" s="4"/>
      <c r="DH2180" s="4"/>
      <c r="DI2180" s="4"/>
      <c r="DJ2180" s="4"/>
      <c r="DK2180" s="4"/>
      <c r="DL2180" s="4"/>
      <c r="DM2180" s="4"/>
      <c r="DN2180" s="4"/>
      <c r="DO2180" s="4"/>
      <c r="DP2180" s="4"/>
      <c r="DQ2180" s="4"/>
      <c r="DR2180" s="4"/>
      <c r="DS2180" s="4"/>
      <c r="DT2180" s="4"/>
      <c r="DU2180" s="4"/>
      <c r="DV2180" s="4"/>
      <c r="DW2180" s="4"/>
      <c r="DX2180" s="4"/>
      <c r="DY2180" s="4"/>
      <c r="DZ2180" s="4"/>
      <c r="EA2180" s="4"/>
      <c r="EB2180" s="4"/>
      <c r="EC2180" s="4"/>
      <c r="ED2180" s="4"/>
      <c r="EE2180" s="4"/>
      <c r="EF2180" s="4"/>
      <c r="EG2180" s="4"/>
      <c r="EH2180" s="4"/>
      <c r="EI2180" s="4"/>
      <c r="EJ2180" s="4"/>
      <c r="EK2180" s="4"/>
      <c r="EL2180" s="4"/>
      <c r="EM2180" s="4"/>
      <c r="EN2180" s="4"/>
      <c r="EO2180" s="4"/>
      <c r="EP2180" s="4"/>
      <c r="EQ2180" s="4"/>
      <c r="ER2180" s="4"/>
      <c r="ES2180" s="4"/>
      <c r="ET2180" s="4"/>
      <c r="EU2180" s="4"/>
      <c r="EV2180" s="4"/>
      <c r="EW2180" s="4"/>
      <c r="EX2180" s="4"/>
      <c r="EY2180" s="4"/>
      <c r="EZ2180" s="4"/>
      <c r="FA2180" s="4"/>
      <c r="FB2180" s="4"/>
      <c r="FC2180" s="4"/>
      <c r="FD2180" s="4"/>
      <c r="FE2180" s="4"/>
      <c r="FF2180" s="4"/>
      <c r="FG2180" s="4"/>
      <c r="FH2180" s="4"/>
      <c r="FI2180" s="4"/>
      <c r="FJ2180" s="4"/>
      <c r="FK2180" s="4"/>
      <c r="FL2180" s="4"/>
      <c r="FM2180" s="4"/>
      <c r="FN2180" s="4"/>
      <c r="FO2180" s="4"/>
      <c r="FP2180" s="4"/>
      <c r="FQ2180" s="4"/>
      <c r="FR2180" s="4"/>
      <c r="FS2180" s="4"/>
      <c r="FT2180" s="4"/>
      <c r="FU2180" s="4"/>
      <c r="FV2180" s="4"/>
      <c r="FW2180" s="4"/>
      <c r="FX2180" s="4"/>
      <c r="FY2180" s="4"/>
      <c r="FZ2180" s="4"/>
      <c r="GA2180" s="4"/>
      <c r="GB2180" s="4"/>
      <c r="GC2180" s="4"/>
      <c r="GD2180" s="4"/>
      <c r="GE2180" s="4"/>
      <c r="GF2180" s="4"/>
      <c r="GG2180" s="4"/>
      <c r="GH2180" s="4"/>
      <c r="GI2180" s="4"/>
      <c r="GJ2180" s="4"/>
      <c r="GK2180" s="4"/>
      <c r="GL2180" s="4"/>
      <c r="GM2180" s="4"/>
      <c r="GN2180" s="4"/>
      <c r="GO2180" s="4"/>
      <c r="GP2180" s="4"/>
      <c r="GQ2180" s="4"/>
      <c r="GR2180" s="4"/>
      <c r="GS2180" s="4"/>
      <c r="GT2180" s="4"/>
      <c r="GU2180" s="4"/>
      <c r="GV2180" s="4"/>
      <c r="GW2180" s="4"/>
      <c r="GX2180" s="4"/>
      <c r="GY2180" s="4"/>
      <c r="GZ2180" s="4"/>
      <c r="HA2180" s="4"/>
      <c r="HB2180" s="4"/>
      <c r="HC2180" s="4"/>
      <c r="HD2180" s="4"/>
      <c r="HE2180" s="4"/>
    </row>
    <row r="2181">
      <c r="A2181" s="2" t="s">
        <v>10316</v>
      </c>
      <c r="B2181" s="2" t="s">
        <v>299</v>
      </c>
      <c r="C2181" s="2" t="s">
        <v>4000</v>
      </c>
      <c r="D2181" s="2" t="s">
        <v>301</v>
      </c>
      <c r="E2181" s="2" t="s">
        <v>302</v>
      </c>
      <c r="F2181" s="2" t="s">
        <v>10317</v>
      </c>
      <c r="G2181" s="2" t="s">
        <v>10317</v>
      </c>
      <c r="H2181" s="2" t="s">
        <v>10317</v>
      </c>
      <c r="I2181" s="2" t="s">
        <v>10318</v>
      </c>
      <c r="J2181" s="2" t="s">
        <v>294</v>
      </c>
      <c r="K2181" s="2" t="s">
        <v>978</v>
      </c>
      <c r="L2181" s="3">
        <v>34.5</v>
      </c>
      <c r="M2181" s="3">
        <v>36.22</v>
      </c>
      <c r="N2181" s="3">
        <v>74.99</v>
      </c>
      <c r="O2181" s="2" t="s">
        <v>240</v>
      </c>
      <c r="P2181" s="2" t="s">
        <v>266</v>
      </c>
      <c r="Q2181" s="2" t="s">
        <v>234</v>
      </c>
      <c r="R2181" s="2" t="s">
        <v>228</v>
      </c>
      <c r="S2181" s="2" t="s">
        <v>10319</v>
      </c>
      <c r="T2181" s="2" t="s">
        <v>3112</v>
      </c>
      <c r="U2181" s="2" t="s">
        <v>308</v>
      </c>
      <c r="V2181" s="2" t="s">
        <v>236</v>
      </c>
      <c r="W2181" s="2" t="s">
        <v>269</v>
      </c>
      <c r="X2181" s="2" t="s">
        <v>228</v>
      </c>
      <c r="Y2181" s="2" t="s">
        <v>270</v>
      </c>
      <c r="Z2181" s="4">
        <v>92</v>
      </c>
      <c r="AA2181" s="4">
        <f>=ROUNDDOWN(2.96774193548387,0)</f>
      </c>
      <c r="AB2181" s="5">
        <v>31</v>
      </c>
      <c r="AC2181" s="2" t="s">
        <v>1415</v>
      </c>
      <c r="AD2181" s="4">
        <v>152</v>
      </c>
      <c r="AE2181" s="4">
        <v>810</v>
      </c>
      <c r="AF2181" s="6">
        <v>65</v>
      </c>
      <c r="AG2181" s="6"/>
      <c r="AH2181" s="7">
        <v>1</v>
      </c>
      <c r="AI2181" s="4"/>
      <c r="AJ2181" s="4">
        <f>=ROUNDDOWN({0},0)</f>
      </c>
      <c r="AK2181" s="5"/>
      <c r="AL2181" s="2" t="s">
        <v>228</v>
      </c>
      <c r="AM2181" s="4"/>
      <c r="AN2181" s="4"/>
      <c r="AO2181" s="7"/>
      <c r="AP2181" s="4"/>
      <c r="AQ2181" s="8"/>
      <c r="AR2181" s="4"/>
      <c r="AS2181" s="8"/>
      <c r="AT2181" s="7"/>
      <c r="AU2181" s="7"/>
      <c r="AV2181" s="4"/>
      <c r="AW2181" s="8"/>
      <c r="AX2181" s="4"/>
      <c r="AY2181" s="8"/>
      <c r="AZ2181" s="7"/>
      <c r="BA2181" s="7"/>
      <c r="BB2181" s="7"/>
      <c r="BC2181" s="4" t="s">
        <v>228</v>
      </c>
      <c r="BD2181" s="8" t="s">
        <v>228</v>
      </c>
      <c r="BE2181" s="4" t="s">
        <v>228</v>
      </c>
      <c r="BF2181" s="8" t="s">
        <v>228</v>
      </c>
      <c r="BG2181" s="7" t="s">
        <v>228</v>
      </c>
      <c r="BH2181" s="7" t="s">
        <v>228</v>
      </c>
      <c r="BI2181" s="7"/>
      <c r="BJ2181" s="4">
        <v>63</v>
      </c>
      <c r="BK2181" s="8">
        <v>2345.03</v>
      </c>
      <c r="BL2181" s="2" t="s">
        <v>3920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10320</v>
      </c>
      <c r="BV2181" s="2" t="s">
        <v>228</v>
      </c>
      <c r="BW2181" s="2" t="s">
        <v>228</v>
      </c>
      <c r="BX2181" s="2" t="s">
        <v>273</v>
      </c>
      <c r="BY2181" s="2" t="s">
        <v>274</v>
      </c>
      <c r="BZ2181" s="2" t="s">
        <v>240</v>
      </c>
      <c r="CA2181" s="2" t="s">
        <v>275</v>
      </c>
      <c r="CB2181" s="2" t="s">
        <v>10321</v>
      </c>
      <c r="CC2181" s="2" t="s">
        <v>241</v>
      </c>
      <c r="CD2181" s="2" t="s">
        <v>228</v>
      </c>
      <c r="CE2181" s="4">
        <v>92</v>
      </c>
      <c r="CF2181" s="4"/>
      <c r="CG2181" s="4"/>
      <c r="CH2181" s="4"/>
      <c r="CI2181" s="4"/>
      <c r="CJ2181" s="4"/>
      <c r="CK2181" s="4"/>
      <c r="CL2181" s="4"/>
      <c r="CM2181" s="4"/>
      <c r="CN2181" s="4"/>
      <c r="CO2181" s="4"/>
      <c r="CP2181" s="4"/>
      <c r="CQ2181" s="4"/>
      <c r="CR2181" s="4"/>
      <c r="CS2181" s="4"/>
      <c r="CT2181" s="4"/>
      <c r="CU2181" s="4"/>
      <c r="CV2181" s="4"/>
      <c r="CW2181" s="4">
        <v>152</v>
      </c>
      <c r="CX2181" s="4"/>
      <c r="CY2181" s="4"/>
      <c r="CZ2181" s="4"/>
      <c r="DA2181" s="4"/>
      <c r="DB2181" s="4"/>
      <c r="DC2181" s="4"/>
      <c r="DD2181" s="4"/>
      <c r="DE2181" s="4"/>
      <c r="DF2181" s="4">
        <v>154</v>
      </c>
      <c r="DG2181" s="4"/>
      <c r="DH2181" s="4"/>
      <c r="DI2181" s="4"/>
      <c r="DJ2181" s="4"/>
      <c r="DK2181" s="4"/>
      <c r="DL2181" s="4"/>
      <c r="DM2181" s="4"/>
      <c r="DN2181" s="4"/>
      <c r="DO2181" s="4"/>
      <c r="DP2181" s="4">
        <v>154</v>
      </c>
      <c r="DQ2181" s="4"/>
      <c r="DR2181" s="4"/>
      <c r="DS2181" s="4"/>
      <c r="DT2181" s="4"/>
      <c r="DU2181" s="4"/>
      <c r="DV2181" s="4"/>
      <c r="DW2181" s="4"/>
      <c r="DX2181" s="4"/>
      <c r="DY2181" s="4"/>
      <c r="DZ2181" s="4">
        <v>60</v>
      </c>
      <c r="EA2181" s="4"/>
      <c r="EB2181" s="4"/>
      <c r="EC2181" s="4"/>
      <c r="ED2181" s="4"/>
      <c r="EE2181" s="4"/>
      <c r="EF2181" s="4"/>
      <c r="EG2181" s="4">
        <v>70</v>
      </c>
      <c r="EH2181" s="4">
        <v>50</v>
      </c>
      <c r="EI2181" s="4"/>
      <c r="EJ2181" s="4"/>
      <c r="EK2181" s="4"/>
      <c r="EL2181" s="4"/>
      <c r="EM2181" s="4"/>
      <c r="EN2181" s="4"/>
      <c r="EO2181" s="4"/>
      <c r="EP2181" s="4"/>
      <c r="EQ2181" s="4"/>
      <c r="ER2181" s="4"/>
      <c r="ES2181" s="4"/>
      <c r="ET2181" s="4">
        <v>70</v>
      </c>
      <c r="EU2181" s="4"/>
      <c r="EV2181" s="4"/>
      <c r="EW2181" s="4"/>
      <c r="EX2181" s="4"/>
      <c r="EY2181" s="4"/>
      <c r="EZ2181" s="4"/>
      <c r="FA2181" s="4"/>
      <c r="FB2181" s="4"/>
      <c r="FC2181" s="4"/>
      <c r="FD2181" s="4"/>
      <c r="FE2181" s="4"/>
      <c r="FF2181" s="4">
        <v>100</v>
      </c>
      <c r="FG2181" s="4"/>
      <c r="FH2181" s="4"/>
      <c r="FI2181" s="4"/>
      <c r="FJ2181" s="4"/>
      <c r="FK2181" s="4"/>
      <c r="FL2181" s="4"/>
      <c r="FM2181" s="4"/>
      <c r="FN2181" s="4"/>
      <c r="FO2181" s="4"/>
      <c r="FP2181" s="4"/>
      <c r="FQ2181" s="4"/>
      <c r="FR2181" s="4"/>
      <c r="FS2181" s="4"/>
      <c r="FT2181" s="4"/>
      <c r="FU2181" s="4"/>
      <c r="FV2181" s="4"/>
      <c r="FW2181" s="4"/>
      <c r="FX2181" s="4"/>
      <c r="FY2181" s="4"/>
      <c r="FZ2181" s="4"/>
      <c r="GA2181" s="4"/>
      <c r="GB2181" s="4"/>
      <c r="GC2181" s="4"/>
      <c r="GD2181" s="4"/>
      <c r="GE2181" s="4"/>
      <c r="GF2181" s="4"/>
      <c r="GG2181" s="4"/>
      <c r="GH2181" s="4"/>
      <c r="GI2181" s="4"/>
      <c r="GJ2181" s="4"/>
      <c r="GK2181" s="4"/>
      <c r="GL2181" s="4"/>
      <c r="GM2181" s="4"/>
      <c r="GN2181" s="4"/>
      <c r="GO2181" s="4"/>
      <c r="GP2181" s="4"/>
      <c r="GQ2181" s="4"/>
      <c r="GR2181" s="4"/>
      <c r="GS2181" s="4"/>
      <c r="GT2181" s="4"/>
      <c r="GU2181" s="4"/>
      <c r="GV2181" s="4"/>
      <c r="GW2181" s="4"/>
      <c r="GX2181" s="4"/>
      <c r="GY2181" s="4"/>
      <c r="GZ2181" s="4"/>
      <c r="HA2181" s="4"/>
      <c r="HB2181" s="4"/>
      <c r="HC2181" s="4"/>
      <c r="HD2181" s="4"/>
      <c r="HE2181" s="4"/>
    </row>
    <row r="2182">
      <c r="A2182" s="2" t="s">
        <v>10322</v>
      </c>
      <c r="B2182" s="2" t="s">
        <v>299</v>
      </c>
      <c r="C2182" s="2" t="s">
        <v>4000</v>
      </c>
      <c r="D2182" s="2" t="s">
        <v>301</v>
      </c>
      <c r="E2182" s="2" t="s">
        <v>302</v>
      </c>
      <c r="F2182" s="2" t="s">
        <v>10317</v>
      </c>
      <c r="G2182" s="2" t="s">
        <v>10317</v>
      </c>
      <c r="H2182" s="2" t="s">
        <v>10317</v>
      </c>
      <c r="I2182" s="2" t="s">
        <v>10318</v>
      </c>
      <c r="J2182" s="2" t="s">
        <v>264</v>
      </c>
      <c r="K2182" s="2" t="s">
        <v>265</v>
      </c>
      <c r="L2182" s="3">
        <v>19.78</v>
      </c>
      <c r="M2182" s="3">
        <v>20.77</v>
      </c>
      <c r="N2182" s="3">
        <v>42.99</v>
      </c>
      <c r="O2182" s="2" t="s">
        <v>240</v>
      </c>
      <c r="P2182" s="2" t="s">
        <v>889</v>
      </c>
      <c r="Q2182" s="2" t="s">
        <v>234</v>
      </c>
      <c r="R2182" s="2" t="s">
        <v>228</v>
      </c>
      <c r="S2182" s="2" t="s">
        <v>10323</v>
      </c>
      <c r="T2182" s="2" t="s">
        <v>3112</v>
      </c>
      <c r="U2182" s="2" t="s">
        <v>500</v>
      </c>
      <c r="V2182" s="2" t="s">
        <v>236</v>
      </c>
      <c r="W2182" s="2" t="s">
        <v>269</v>
      </c>
      <c r="X2182" s="2" t="s">
        <v>228</v>
      </c>
      <c r="Y2182" s="2" t="s">
        <v>270</v>
      </c>
      <c r="Z2182" s="4">
        <v>233</v>
      </c>
      <c r="AA2182" s="4">
        <f>=ROUNDDOWN(7.06060606060606,0)</f>
      </c>
      <c r="AB2182" s="5">
        <v>33</v>
      </c>
      <c r="AC2182" s="2" t="s">
        <v>1415</v>
      </c>
      <c r="AD2182" s="4">
        <v>173</v>
      </c>
      <c r="AE2182" s="4">
        <v>970</v>
      </c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228</v>
      </c>
      <c r="AM2182" s="4"/>
      <c r="AN2182" s="4"/>
      <c r="AO2182" s="7"/>
      <c r="AP2182" s="4"/>
      <c r="AQ2182" s="8"/>
      <c r="AR2182" s="4"/>
      <c r="AS2182" s="8"/>
      <c r="AT2182" s="7"/>
      <c r="AU2182" s="7"/>
      <c r="AV2182" s="4" t="s">
        <v>228</v>
      </c>
      <c r="AW2182" s="8" t="s">
        <v>228</v>
      </c>
      <c r="AX2182" s="4" t="s">
        <v>228</v>
      </c>
      <c r="AY2182" s="8" t="s">
        <v>228</v>
      </c>
      <c r="AZ2182" s="7" t="s">
        <v>228</v>
      </c>
      <c r="BA2182" s="7" t="s">
        <v>228</v>
      </c>
      <c r="BB2182" s="7"/>
      <c r="BC2182" s="4" t="s">
        <v>228</v>
      </c>
      <c r="BD2182" s="8" t="s">
        <v>228</v>
      </c>
      <c r="BE2182" s="4" t="s">
        <v>228</v>
      </c>
      <c r="BF2182" s="8" t="s">
        <v>228</v>
      </c>
      <c r="BG2182" s="7" t="s">
        <v>228</v>
      </c>
      <c r="BH2182" s="7" t="s">
        <v>228</v>
      </c>
      <c r="BI2182" s="7"/>
      <c r="BJ2182" s="4">
        <v>26</v>
      </c>
      <c r="BK2182" s="8">
        <v>562.68</v>
      </c>
      <c r="BL2182" s="2" t="s">
        <v>7356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10324</v>
      </c>
      <c r="BV2182" s="2" t="s">
        <v>228</v>
      </c>
      <c r="BW2182" s="2" t="s">
        <v>228</v>
      </c>
      <c r="BX2182" s="2" t="s">
        <v>273</v>
      </c>
      <c r="BY2182" s="2" t="s">
        <v>274</v>
      </c>
      <c r="BZ2182" s="2" t="s">
        <v>240</v>
      </c>
      <c r="CA2182" s="2" t="s">
        <v>2655</v>
      </c>
      <c r="CB2182" s="2" t="s">
        <v>609</v>
      </c>
      <c r="CC2182" s="2" t="s">
        <v>241</v>
      </c>
      <c r="CD2182" s="2" t="s">
        <v>228</v>
      </c>
      <c r="CE2182" s="4">
        <v>233</v>
      </c>
      <c r="CF2182" s="4"/>
      <c r="CG2182" s="4"/>
      <c r="CH2182" s="4"/>
      <c r="CI2182" s="4"/>
      <c r="CJ2182" s="4"/>
      <c r="CK2182" s="4"/>
      <c r="CL2182" s="4"/>
      <c r="CM2182" s="4"/>
      <c r="CN2182" s="4"/>
      <c r="CO2182" s="4"/>
      <c r="CP2182" s="4"/>
      <c r="CQ2182" s="4"/>
      <c r="CR2182" s="4"/>
      <c r="CS2182" s="4"/>
      <c r="CT2182" s="4"/>
      <c r="CU2182" s="4"/>
      <c r="CV2182" s="4"/>
      <c r="CW2182" s="4">
        <v>173</v>
      </c>
      <c r="CX2182" s="4"/>
      <c r="CY2182" s="4"/>
      <c r="CZ2182" s="4"/>
      <c r="DA2182" s="4"/>
      <c r="DB2182" s="4"/>
      <c r="DC2182" s="4"/>
      <c r="DD2182" s="4"/>
      <c r="DE2182" s="4"/>
      <c r="DF2182" s="4">
        <v>209</v>
      </c>
      <c r="DG2182" s="4"/>
      <c r="DH2182" s="4"/>
      <c r="DI2182" s="4"/>
      <c r="DJ2182" s="4"/>
      <c r="DK2182" s="4"/>
      <c r="DL2182" s="4"/>
      <c r="DM2182" s="4"/>
      <c r="DN2182" s="4"/>
      <c r="DO2182" s="4"/>
      <c r="DP2182" s="4">
        <v>108</v>
      </c>
      <c r="DQ2182" s="4"/>
      <c r="DR2182" s="4"/>
      <c r="DS2182" s="4"/>
      <c r="DT2182" s="4"/>
      <c r="DU2182" s="4"/>
      <c r="DV2182" s="4"/>
      <c r="DW2182" s="4"/>
      <c r="DX2182" s="4"/>
      <c r="DY2182" s="4"/>
      <c r="DZ2182" s="4">
        <v>160</v>
      </c>
      <c r="EA2182" s="4"/>
      <c r="EB2182" s="4"/>
      <c r="EC2182" s="4"/>
      <c r="ED2182" s="4"/>
      <c r="EE2182" s="4"/>
      <c r="EF2182" s="4"/>
      <c r="EG2182" s="4">
        <v>80</v>
      </c>
      <c r="EH2182" s="4">
        <v>50</v>
      </c>
      <c r="EI2182" s="4"/>
      <c r="EJ2182" s="4"/>
      <c r="EK2182" s="4"/>
      <c r="EL2182" s="4"/>
      <c r="EM2182" s="4"/>
      <c r="EN2182" s="4"/>
      <c r="EO2182" s="4"/>
      <c r="EP2182" s="4"/>
      <c r="EQ2182" s="4"/>
      <c r="ER2182" s="4"/>
      <c r="ES2182" s="4"/>
      <c r="ET2182" s="4">
        <v>70</v>
      </c>
      <c r="EU2182" s="4"/>
      <c r="EV2182" s="4"/>
      <c r="EW2182" s="4"/>
      <c r="EX2182" s="4"/>
      <c r="EY2182" s="4"/>
      <c r="EZ2182" s="4"/>
      <c r="FA2182" s="4"/>
      <c r="FB2182" s="4"/>
      <c r="FC2182" s="4"/>
      <c r="FD2182" s="4"/>
      <c r="FE2182" s="4"/>
      <c r="FF2182" s="4">
        <v>120</v>
      </c>
      <c r="FG2182" s="4"/>
      <c r="FH2182" s="4"/>
      <c r="FI2182" s="4"/>
      <c r="FJ2182" s="4"/>
      <c r="FK2182" s="4"/>
      <c r="FL2182" s="4"/>
      <c r="FM2182" s="4"/>
      <c r="FN2182" s="4"/>
      <c r="FO2182" s="4"/>
      <c r="FP2182" s="4"/>
      <c r="FQ2182" s="4"/>
      <c r="FR2182" s="4"/>
      <c r="FS2182" s="4"/>
      <c r="FT2182" s="4"/>
      <c r="FU2182" s="4"/>
      <c r="FV2182" s="4"/>
      <c r="FW2182" s="4"/>
      <c r="FX2182" s="4"/>
      <c r="FY2182" s="4"/>
      <c r="FZ2182" s="4"/>
      <c r="GA2182" s="4"/>
      <c r="GB2182" s="4"/>
      <c r="GC2182" s="4"/>
      <c r="GD2182" s="4"/>
      <c r="GE2182" s="4"/>
      <c r="GF2182" s="4"/>
      <c r="GG2182" s="4"/>
      <c r="GH2182" s="4"/>
      <c r="GI2182" s="4"/>
      <c r="GJ2182" s="4"/>
      <c r="GK2182" s="4"/>
      <c r="GL2182" s="4"/>
      <c r="GM2182" s="4"/>
      <c r="GN2182" s="4"/>
      <c r="GO2182" s="4"/>
      <c r="GP2182" s="4"/>
      <c r="GQ2182" s="4"/>
      <c r="GR2182" s="4"/>
      <c r="GS2182" s="4"/>
      <c r="GT2182" s="4"/>
      <c r="GU2182" s="4"/>
      <c r="GV2182" s="4"/>
      <c r="GW2182" s="4"/>
      <c r="GX2182" s="4"/>
      <c r="GY2182" s="4"/>
      <c r="GZ2182" s="4"/>
      <c r="HA2182" s="4"/>
      <c r="HB2182" s="4"/>
      <c r="HC2182" s="4"/>
      <c r="HD2182" s="4"/>
      <c r="HE2182" s="4"/>
    </row>
    <row r="2183">
      <c r="A2183" s="2" t="s">
        <v>10325</v>
      </c>
      <c r="B2183" s="2" t="s">
        <v>299</v>
      </c>
      <c r="C2183" s="2" t="s">
        <v>4000</v>
      </c>
      <c r="D2183" s="2" t="s">
        <v>301</v>
      </c>
      <c r="E2183" s="2" t="s">
        <v>302</v>
      </c>
      <c r="F2183" s="2" t="s">
        <v>10317</v>
      </c>
      <c r="G2183" s="2" t="s">
        <v>10317</v>
      </c>
      <c r="H2183" s="2" t="s">
        <v>10317</v>
      </c>
      <c r="I2183" s="2" t="s">
        <v>10318</v>
      </c>
      <c r="J2183" s="2" t="s">
        <v>294</v>
      </c>
      <c r="K2183" s="2" t="s">
        <v>265</v>
      </c>
      <c r="L2183" s="3">
        <v>34.5</v>
      </c>
      <c r="M2183" s="3">
        <v>36.22</v>
      </c>
      <c r="N2183" s="3">
        <v>74.99</v>
      </c>
      <c r="O2183" s="2" t="s">
        <v>240</v>
      </c>
      <c r="P2183" s="2" t="s">
        <v>815</v>
      </c>
      <c r="Q2183" s="2" t="s">
        <v>234</v>
      </c>
      <c r="R2183" s="2" t="s">
        <v>228</v>
      </c>
      <c r="S2183" s="2" t="s">
        <v>10323</v>
      </c>
      <c r="T2183" s="2" t="s">
        <v>3112</v>
      </c>
      <c r="U2183" s="2" t="s">
        <v>308</v>
      </c>
      <c r="V2183" s="2" t="s">
        <v>236</v>
      </c>
      <c r="W2183" s="2" t="s">
        <v>269</v>
      </c>
      <c r="X2183" s="2" t="s">
        <v>228</v>
      </c>
      <c r="Y2183" s="2" t="s">
        <v>270</v>
      </c>
      <c r="Z2183" s="4">
        <v>79</v>
      </c>
      <c r="AA2183" s="4">
        <f>=ROUNDDOWN(2.39393939393939,0)</f>
      </c>
      <c r="AB2183" s="5">
        <v>33</v>
      </c>
      <c r="AC2183" s="2" t="s">
        <v>1415</v>
      </c>
      <c r="AD2183" s="4">
        <v>186</v>
      </c>
      <c r="AE2183" s="4">
        <v>950</v>
      </c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228</v>
      </c>
      <c r="AM2183" s="4"/>
      <c r="AN2183" s="4"/>
      <c r="AO2183" s="7"/>
      <c r="AP2183" s="4"/>
      <c r="AQ2183" s="8"/>
      <c r="AR2183" s="4"/>
      <c r="AS2183" s="8"/>
      <c r="AT2183" s="7"/>
      <c r="AU2183" s="7"/>
      <c r="AV2183" s="4" t="s">
        <v>228</v>
      </c>
      <c r="AW2183" s="8" t="s">
        <v>228</v>
      </c>
      <c r="AX2183" s="4" t="s">
        <v>228</v>
      </c>
      <c r="AY2183" s="8" t="s">
        <v>228</v>
      </c>
      <c r="AZ2183" s="7" t="s">
        <v>228</v>
      </c>
      <c r="BA2183" s="7" t="s">
        <v>228</v>
      </c>
      <c r="BB2183" s="7"/>
      <c r="BC2183" s="4" t="s">
        <v>228</v>
      </c>
      <c r="BD2183" s="8" t="s">
        <v>228</v>
      </c>
      <c r="BE2183" s="4" t="s">
        <v>228</v>
      </c>
      <c r="BF2183" s="8" t="s">
        <v>228</v>
      </c>
      <c r="BG2183" s="7" t="s">
        <v>228</v>
      </c>
      <c r="BH2183" s="7" t="s">
        <v>228</v>
      </c>
      <c r="BI2183" s="7"/>
      <c r="BJ2183" s="4">
        <v>105</v>
      </c>
      <c r="BK2183" s="8">
        <v>4099.52</v>
      </c>
      <c r="BL2183" s="2" t="s">
        <v>10326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10327</v>
      </c>
      <c r="BV2183" s="2" t="s">
        <v>228</v>
      </c>
      <c r="BW2183" s="2" t="s">
        <v>228</v>
      </c>
      <c r="BX2183" s="2" t="s">
        <v>273</v>
      </c>
      <c r="BY2183" s="2" t="s">
        <v>274</v>
      </c>
      <c r="BZ2183" s="2" t="s">
        <v>240</v>
      </c>
      <c r="CA2183" s="2" t="s">
        <v>2655</v>
      </c>
      <c r="CB2183" s="2" t="s">
        <v>609</v>
      </c>
      <c r="CC2183" s="2" t="s">
        <v>241</v>
      </c>
      <c r="CD2183" s="2" t="s">
        <v>228</v>
      </c>
      <c r="CE2183" s="4">
        <v>79</v>
      </c>
      <c r="CF2183" s="4"/>
      <c r="CG2183" s="4"/>
      <c r="CH2183" s="4"/>
      <c r="CI2183" s="4"/>
      <c r="CJ2183" s="4"/>
      <c r="CK2183" s="4"/>
      <c r="CL2183" s="4"/>
      <c r="CM2183" s="4"/>
      <c r="CN2183" s="4"/>
      <c r="CO2183" s="4"/>
      <c r="CP2183" s="4"/>
      <c r="CQ2183" s="4"/>
      <c r="CR2183" s="4"/>
      <c r="CS2183" s="4"/>
      <c r="CT2183" s="4"/>
      <c r="CU2183" s="4"/>
      <c r="CV2183" s="4"/>
      <c r="CW2183" s="4">
        <v>186</v>
      </c>
      <c r="CX2183" s="4"/>
      <c r="CY2183" s="4"/>
      <c r="CZ2183" s="4"/>
      <c r="DA2183" s="4"/>
      <c r="DB2183" s="4"/>
      <c r="DC2183" s="4"/>
      <c r="DD2183" s="4"/>
      <c r="DE2183" s="4"/>
      <c r="DF2183" s="4"/>
      <c r="DG2183" s="4"/>
      <c r="DH2183" s="4"/>
      <c r="DI2183" s="4">
        <v>157</v>
      </c>
      <c r="DJ2183" s="4"/>
      <c r="DK2183" s="4"/>
      <c r="DL2183" s="4"/>
      <c r="DM2183" s="4"/>
      <c r="DN2183" s="4"/>
      <c r="DO2183" s="4"/>
      <c r="DP2183" s="4"/>
      <c r="DQ2183" s="4"/>
      <c r="DR2183" s="4"/>
      <c r="DS2183" s="4"/>
      <c r="DT2183" s="4"/>
      <c r="DU2183" s="4"/>
      <c r="DV2183" s="4"/>
      <c r="DW2183" s="4"/>
      <c r="DX2183" s="4"/>
      <c r="DY2183" s="4"/>
      <c r="DZ2183" s="4">
        <v>237</v>
      </c>
      <c r="EA2183" s="4"/>
      <c r="EB2183" s="4"/>
      <c r="EC2183" s="4"/>
      <c r="ED2183" s="4"/>
      <c r="EE2183" s="4"/>
      <c r="EF2183" s="4"/>
      <c r="EG2183" s="4">
        <v>90</v>
      </c>
      <c r="EH2183" s="4">
        <v>60</v>
      </c>
      <c r="EI2183" s="4"/>
      <c r="EJ2183" s="4"/>
      <c r="EK2183" s="4"/>
      <c r="EL2183" s="4"/>
      <c r="EM2183" s="4"/>
      <c r="EN2183" s="4"/>
      <c r="EO2183" s="4">
        <v>130</v>
      </c>
      <c r="EP2183" s="4"/>
      <c r="EQ2183" s="4"/>
      <c r="ER2183" s="4"/>
      <c r="ES2183" s="4"/>
      <c r="ET2183" s="4">
        <v>90</v>
      </c>
      <c r="EU2183" s="4"/>
      <c r="EV2183" s="4"/>
      <c r="EW2183" s="4"/>
      <c r="EX2183" s="4"/>
      <c r="EY2183" s="4"/>
      <c r="EZ2183" s="4"/>
      <c r="FA2183" s="4"/>
      <c r="FB2183" s="4"/>
      <c r="FC2183" s="4"/>
      <c r="FD2183" s="4"/>
      <c r="FE2183" s="4"/>
      <c r="FF2183" s="4"/>
      <c r="FG2183" s="4"/>
      <c r="FH2183" s="4"/>
      <c r="FI2183" s="4"/>
      <c r="FJ2183" s="4"/>
      <c r="FK2183" s="4"/>
      <c r="FL2183" s="4"/>
      <c r="FM2183" s="4"/>
      <c r="FN2183" s="4"/>
      <c r="FO2183" s="4"/>
      <c r="FP2183" s="4"/>
      <c r="FQ2183" s="4"/>
      <c r="FR2183" s="4"/>
      <c r="FS2183" s="4"/>
      <c r="FT2183" s="4"/>
      <c r="FU2183" s="4"/>
      <c r="FV2183" s="4"/>
      <c r="FW2183" s="4"/>
      <c r="FX2183" s="4"/>
      <c r="FY2183" s="4"/>
      <c r="FZ2183" s="4"/>
      <c r="GA2183" s="4"/>
      <c r="GB2183" s="4"/>
      <c r="GC2183" s="4"/>
      <c r="GD2183" s="4"/>
      <c r="GE2183" s="4"/>
      <c r="GF2183" s="4"/>
      <c r="GG2183" s="4"/>
      <c r="GH2183" s="4"/>
      <c r="GI2183" s="4"/>
      <c r="GJ2183" s="4"/>
      <c r="GK2183" s="4"/>
      <c r="GL2183" s="4"/>
      <c r="GM2183" s="4"/>
      <c r="GN2183" s="4"/>
      <c r="GO2183" s="4"/>
      <c r="GP2183" s="4"/>
      <c r="GQ2183" s="4"/>
      <c r="GR2183" s="4"/>
      <c r="GS2183" s="4"/>
      <c r="GT2183" s="4"/>
      <c r="GU2183" s="4"/>
      <c r="GV2183" s="4"/>
      <c r="GW2183" s="4"/>
      <c r="GX2183" s="4"/>
      <c r="GY2183" s="4"/>
      <c r="GZ2183" s="4"/>
      <c r="HA2183" s="4"/>
      <c r="HB2183" s="4"/>
      <c r="HC2183" s="4"/>
      <c r="HD2183" s="4"/>
      <c r="HE2183" s="4"/>
    </row>
    <row r="2184">
      <c r="A2184" s="2" t="s">
        <v>10328</v>
      </c>
      <c r="B2184" s="2" t="s">
        <v>299</v>
      </c>
      <c r="C2184" s="2" t="s">
        <v>4000</v>
      </c>
      <c r="D2184" s="2" t="s">
        <v>301</v>
      </c>
      <c r="E2184" s="2" t="s">
        <v>302</v>
      </c>
      <c r="F2184" s="2" t="s">
        <v>10317</v>
      </c>
      <c r="G2184" s="2" t="s">
        <v>10317</v>
      </c>
      <c r="H2184" s="2" t="s">
        <v>10317</v>
      </c>
      <c r="I2184" s="2" t="s">
        <v>10318</v>
      </c>
      <c r="J2184" s="2" t="s">
        <v>289</v>
      </c>
      <c r="K2184" s="2" t="s">
        <v>1421</v>
      </c>
      <c r="L2184" s="3">
        <v>28.35</v>
      </c>
      <c r="M2184" s="3">
        <v>29.77</v>
      </c>
      <c r="N2184" s="3">
        <v>62.99</v>
      </c>
      <c r="O2184" s="2" t="s">
        <v>240</v>
      </c>
      <c r="P2184" s="2" t="s">
        <v>3731</v>
      </c>
      <c r="Q2184" s="2" t="s">
        <v>234</v>
      </c>
      <c r="R2184" s="2" t="s">
        <v>228</v>
      </c>
      <c r="S2184" s="2" t="s">
        <v>10329</v>
      </c>
      <c r="T2184" s="2" t="s">
        <v>3112</v>
      </c>
      <c r="U2184" s="2" t="s">
        <v>308</v>
      </c>
      <c r="V2184" s="2" t="s">
        <v>236</v>
      </c>
      <c r="W2184" s="2" t="s">
        <v>269</v>
      </c>
      <c r="X2184" s="2" t="s">
        <v>228</v>
      </c>
      <c r="Y2184" s="2" t="s">
        <v>10330</v>
      </c>
      <c r="Z2184" s="4">
        <v>143</v>
      </c>
      <c r="AA2184" s="4">
        <f>=ROUNDDOWN(2.86,0)</f>
      </c>
      <c r="AB2184" s="5">
        <v>50</v>
      </c>
      <c r="AC2184" s="2" t="s">
        <v>10331</v>
      </c>
      <c r="AD2184" s="4">
        <v>338</v>
      </c>
      <c r="AE2184" s="4">
        <v>1690</v>
      </c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228</v>
      </c>
      <c r="AM2184" s="4"/>
      <c r="AN2184" s="4"/>
      <c r="AO2184" s="7"/>
      <c r="AP2184" s="4"/>
      <c r="AQ2184" s="8"/>
      <c r="AR2184" s="4"/>
      <c r="AS2184" s="8"/>
      <c r="AT2184" s="7"/>
      <c r="AU2184" s="7"/>
      <c r="AV2184" s="4"/>
      <c r="AW2184" s="8"/>
      <c r="AX2184" s="4"/>
      <c r="AY2184" s="8"/>
      <c r="AZ2184" s="7"/>
      <c r="BA2184" s="7"/>
      <c r="BB2184" s="7"/>
      <c r="BC2184" s="4" t="s">
        <v>228</v>
      </c>
      <c r="BD2184" s="8" t="s">
        <v>228</v>
      </c>
      <c r="BE2184" s="4" t="s">
        <v>228</v>
      </c>
      <c r="BF2184" s="8" t="s">
        <v>228</v>
      </c>
      <c r="BG2184" s="7" t="s">
        <v>228</v>
      </c>
      <c r="BH2184" s="7" t="s">
        <v>228</v>
      </c>
      <c r="BI2184" s="7"/>
      <c r="BJ2184" s="4">
        <v>94</v>
      </c>
      <c r="BK2184" s="8">
        <v>3045.43</v>
      </c>
      <c r="BL2184" s="2" t="s">
        <v>10332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10333</v>
      </c>
      <c r="BV2184" s="2" t="s">
        <v>228</v>
      </c>
      <c r="BW2184" s="2" t="s">
        <v>228</v>
      </c>
      <c r="BX2184" s="2" t="s">
        <v>273</v>
      </c>
      <c r="BY2184" s="2" t="s">
        <v>274</v>
      </c>
      <c r="BZ2184" s="2" t="s">
        <v>240</v>
      </c>
      <c r="CA2184" s="2" t="s">
        <v>2655</v>
      </c>
      <c r="CB2184" s="2" t="s">
        <v>10334</v>
      </c>
      <c r="CC2184" s="2" t="s">
        <v>241</v>
      </c>
      <c r="CD2184" s="2" t="s">
        <v>228</v>
      </c>
      <c r="CE2184" s="4">
        <v>143</v>
      </c>
      <c r="CF2184" s="4"/>
      <c r="CG2184" s="4"/>
      <c r="CH2184" s="4"/>
      <c r="CI2184" s="4"/>
      <c r="CJ2184" s="4"/>
      <c r="CK2184" s="4"/>
      <c r="CL2184" s="4"/>
      <c r="CM2184" s="4"/>
      <c r="CN2184" s="4"/>
      <c r="CO2184" s="4"/>
      <c r="CP2184" s="4"/>
      <c r="CQ2184" s="4"/>
      <c r="CR2184" s="4"/>
      <c r="CS2184" s="4"/>
      <c r="CT2184" s="4"/>
      <c r="CU2184" s="4"/>
      <c r="CV2184" s="4"/>
      <c r="CW2184" s="4"/>
      <c r="CX2184" s="4"/>
      <c r="CY2184" s="4"/>
      <c r="CZ2184" s="4"/>
      <c r="DA2184" s="4"/>
      <c r="DB2184" s="4">
        <v>338</v>
      </c>
      <c r="DC2184" s="4"/>
      <c r="DD2184" s="4"/>
      <c r="DE2184" s="4"/>
      <c r="DF2184" s="4">
        <v>290</v>
      </c>
      <c r="DG2184" s="4"/>
      <c r="DH2184" s="4"/>
      <c r="DI2184" s="4"/>
      <c r="DJ2184" s="4"/>
      <c r="DK2184" s="4"/>
      <c r="DL2184" s="4"/>
      <c r="DM2184" s="4"/>
      <c r="DN2184" s="4"/>
      <c r="DO2184" s="4"/>
      <c r="DP2184" s="4">
        <v>102</v>
      </c>
      <c r="DQ2184" s="4"/>
      <c r="DR2184" s="4"/>
      <c r="DS2184" s="4"/>
      <c r="DT2184" s="4"/>
      <c r="DU2184" s="4"/>
      <c r="DV2184" s="4"/>
      <c r="DW2184" s="4"/>
      <c r="DX2184" s="4"/>
      <c r="DY2184" s="4"/>
      <c r="DZ2184" s="4">
        <v>320</v>
      </c>
      <c r="EA2184" s="4"/>
      <c r="EB2184" s="4"/>
      <c r="EC2184" s="4"/>
      <c r="ED2184" s="4"/>
      <c r="EE2184" s="4"/>
      <c r="EF2184" s="4"/>
      <c r="EG2184" s="4">
        <v>160</v>
      </c>
      <c r="EH2184" s="4">
        <v>100</v>
      </c>
      <c r="EI2184" s="4"/>
      <c r="EJ2184" s="4"/>
      <c r="EK2184" s="4"/>
      <c r="EL2184" s="4"/>
      <c r="EM2184" s="4"/>
      <c r="EN2184" s="4"/>
      <c r="EO2184" s="4"/>
      <c r="EP2184" s="4"/>
      <c r="EQ2184" s="4"/>
      <c r="ER2184" s="4"/>
      <c r="ES2184" s="4"/>
      <c r="ET2184" s="4">
        <v>150</v>
      </c>
      <c r="EU2184" s="4"/>
      <c r="EV2184" s="4"/>
      <c r="EW2184" s="4"/>
      <c r="EX2184" s="4"/>
      <c r="EY2184" s="4"/>
      <c r="EZ2184" s="4"/>
      <c r="FA2184" s="4"/>
      <c r="FB2184" s="4"/>
      <c r="FC2184" s="4"/>
      <c r="FD2184" s="4"/>
      <c r="FE2184" s="4"/>
      <c r="FF2184" s="4">
        <v>230</v>
      </c>
      <c r="FG2184" s="4"/>
      <c r="FH2184" s="4"/>
      <c r="FI2184" s="4"/>
      <c r="FJ2184" s="4"/>
      <c r="FK2184" s="4"/>
      <c r="FL2184" s="4"/>
      <c r="FM2184" s="4"/>
      <c r="FN2184" s="4"/>
      <c r="FO2184" s="4"/>
      <c r="FP2184" s="4"/>
      <c r="FQ2184" s="4"/>
      <c r="FR2184" s="4"/>
      <c r="FS2184" s="4"/>
      <c r="FT2184" s="4"/>
      <c r="FU2184" s="4"/>
      <c r="FV2184" s="4"/>
      <c r="FW2184" s="4"/>
      <c r="FX2184" s="4"/>
      <c r="FY2184" s="4"/>
      <c r="FZ2184" s="4"/>
      <c r="GA2184" s="4"/>
      <c r="GB2184" s="4"/>
      <c r="GC2184" s="4"/>
      <c r="GD2184" s="4"/>
      <c r="GE2184" s="4"/>
      <c r="GF2184" s="4"/>
      <c r="GG2184" s="4"/>
      <c r="GH2184" s="4"/>
      <c r="GI2184" s="4"/>
      <c r="GJ2184" s="4"/>
      <c r="GK2184" s="4"/>
      <c r="GL2184" s="4"/>
      <c r="GM2184" s="4"/>
      <c r="GN2184" s="4"/>
      <c r="GO2184" s="4"/>
      <c r="GP2184" s="4"/>
      <c r="GQ2184" s="4"/>
      <c r="GR2184" s="4"/>
      <c r="GS2184" s="4"/>
      <c r="GT2184" s="4"/>
      <c r="GU2184" s="4"/>
      <c r="GV2184" s="4"/>
      <c r="GW2184" s="4"/>
      <c r="GX2184" s="4"/>
      <c r="GY2184" s="4"/>
      <c r="GZ2184" s="4"/>
      <c r="HA2184" s="4"/>
      <c r="HB2184" s="4"/>
      <c r="HC2184" s="4"/>
      <c r="HD2184" s="4"/>
      <c r="HE2184" s="4"/>
    </row>
    <row r="2185">
      <c r="A2185" s="2" t="s">
        <v>10335</v>
      </c>
      <c r="B2185" s="2" t="s">
        <v>299</v>
      </c>
      <c r="C2185" s="2" t="s">
        <v>4000</v>
      </c>
      <c r="D2185" s="2" t="s">
        <v>301</v>
      </c>
      <c r="E2185" s="2" t="s">
        <v>302</v>
      </c>
      <c r="F2185" s="2" t="s">
        <v>10317</v>
      </c>
      <c r="G2185" s="2" t="s">
        <v>10317</v>
      </c>
      <c r="H2185" s="2" t="s">
        <v>10317</v>
      </c>
      <c r="I2185" s="2" t="s">
        <v>10318</v>
      </c>
      <c r="J2185" s="2" t="s">
        <v>264</v>
      </c>
      <c r="K2185" s="2" t="s">
        <v>1960</v>
      </c>
      <c r="L2185" s="3">
        <v>19.78</v>
      </c>
      <c r="M2185" s="3">
        <v>20.77</v>
      </c>
      <c r="N2185" s="3">
        <v>42.99</v>
      </c>
      <c r="O2185" s="2" t="s">
        <v>240</v>
      </c>
      <c r="P2185" s="2" t="s">
        <v>233</v>
      </c>
      <c r="Q2185" s="2" t="s">
        <v>234</v>
      </c>
      <c r="R2185" s="2" t="s">
        <v>228</v>
      </c>
      <c r="S2185" s="2" t="s">
        <v>10336</v>
      </c>
      <c r="T2185" s="2" t="s">
        <v>3112</v>
      </c>
      <c r="U2185" s="2" t="s">
        <v>500</v>
      </c>
      <c r="V2185" s="2" t="s">
        <v>236</v>
      </c>
      <c r="W2185" s="2" t="s">
        <v>269</v>
      </c>
      <c r="X2185" s="2" t="s">
        <v>228</v>
      </c>
      <c r="Y2185" s="2" t="s">
        <v>1439</v>
      </c>
      <c r="Z2185" s="4"/>
      <c r="AA2185" s="4">
        <f>=ROUNDDOWN({0},0)</f>
      </c>
      <c r="AB2185" s="5"/>
      <c r="AC2185" s="2" t="s">
        <v>1014</v>
      </c>
      <c r="AD2185" s="4">
        <v>340</v>
      </c>
      <c r="AE2185" s="4">
        <v>1280</v>
      </c>
      <c r="AF2185" s="6">
        <v>65</v>
      </c>
      <c r="AG2185" s="6"/>
      <c r="AH2185" s="7"/>
      <c r="AI2185" s="4"/>
      <c r="AJ2185" s="4">
        <f>=ROUNDDOWN({0},0)</f>
      </c>
      <c r="AK2185" s="5"/>
      <c r="AL2185" s="2" t="s">
        <v>228</v>
      </c>
      <c r="AM2185" s="4"/>
      <c r="AN2185" s="4"/>
      <c r="AO2185" s="7"/>
      <c r="AP2185" s="4"/>
      <c r="AQ2185" s="8"/>
      <c r="AR2185" s="4"/>
      <c r="AS2185" s="8"/>
      <c r="AT2185" s="7"/>
      <c r="AU2185" s="7"/>
      <c r="AV2185" s="4" t="s">
        <v>228</v>
      </c>
      <c r="AW2185" s="8" t="s">
        <v>228</v>
      </c>
      <c r="AX2185" s="4" t="s">
        <v>228</v>
      </c>
      <c r="AY2185" s="8" t="s">
        <v>228</v>
      </c>
      <c r="AZ2185" s="7" t="s">
        <v>228</v>
      </c>
      <c r="BA2185" s="7" t="s">
        <v>228</v>
      </c>
      <c r="BB2185" s="7"/>
      <c r="BC2185" s="4" t="s">
        <v>228</v>
      </c>
      <c r="BD2185" s="8" t="s">
        <v>228</v>
      </c>
      <c r="BE2185" s="4" t="s">
        <v>228</v>
      </c>
      <c r="BF2185" s="8" t="s">
        <v>228</v>
      </c>
      <c r="BG2185" s="7" t="s">
        <v>228</v>
      </c>
      <c r="BH2185" s="7" t="s">
        <v>228</v>
      </c>
      <c r="BI2185" s="7"/>
      <c r="BJ2185" s="4"/>
      <c r="BK2185" s="8"/>
      <c r="BL2185" s="2" t="s">
        <v>228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238</v>
      </c>
      <c r="BV2185" s="2" t="s">
        <v>228</v>
      </c>
      <c r="BW2185" s="2" t="s">
        <v>228</v>
      </c>
      <c r="BX2185" s="2" t="s">
        <v>238</v>
      </c>
      <c r="BY2185" s="2" t="s">
        <v>239</v>
      </c>
      <c r="BZ2185" s="2" t="s">
        <v>240</v>
      </c>
      <c r="CA2185" s="2" t="s">
        <v>228</v>
      </c>
      <c r="CB2185" s="2" t="s">
        <v>228</v>
      </c>
      <c r="CC2185" s="2" t="s">
        <v>241</v>
      </c>
      <c r="CD2185" s="2" t="s">
        <v>228</v>
      </c>
      <c r="CE2185" s="4"/>
      <c r="CF2185" s="4"/>
      <c r="CG2185" s="4"/>
      <c r="CH2185" s="4"/>
      <c r="CI2185" s="4"/>
      <c r="CJ2185" s="4"/>
      <c r="CK2185" s="4"/>
      <c r="CL2185" s="4"/>
      <c r="CM2185" s="4"/>
      <c r="CN2185" s="4"/>
      <c r="CO2185" s="4"/>
      <c r="CP2185" s="4"/>
      <c r="CQ2185" s="4"/>
      <c r="CR2185" s="4"/>
      <c r="CS2185" s="4"/>
      <c r="CT2185" s="4"/>
      <c r="CU2185" s="4"/>
      <c r="CV2185" s="4"/>
      <c r="CW2185" s="4"/>
      <c r="CX2185" s="4"/>
      <c r="CY2185" s="4"/>
      <c r="CZ2185" s="4"/>
      <c r="DA2185" s="4"/>
      <c r="DB2185" s="4"/>
      <c r="DC2185" s="4"/>
      <c r="DD2185" s="4"/>
      <c r="DE2185" s="4"/>
      <c r="DF2185" s="4"/>
      <c r="DG2185" s="4"/>
      <c r="DH2185" s="4"/>
      <c r="DI2185" s="4"/>
      <c r="DJ2185" s="4"/>
      <c r="DK2185" s="4"/>
      <c r="DL2185" s="4"/>
      <c r="DM2185" s="4"/>
      <c r="DN2185" s="4"/>
      <c r="DO2185" s="4"/>
      <c r="DP2185" s="4">
        <v>340</v>
      </c>
      <c r="DQ2185" s="4"/>
      <c r="DR2185" s="4"/>
      <c r="DS2185" s="4"/>
      <c r="DT2185" s="4"/>
      <c r="DU2185" s="4"/>
      <c r="DV2185" s="4"/>
      <c r="DW2185" s="4"/>
      <c r="DX2185" s="4"/>
      <c r="DY2185" s="4"/>
      <c r="DZ2185" s="4"/>
      <c r="EA2185" s="4"/>
      <c r="EB2185" s="4"/>
      <c r="EC2185" s="4"/>
      <c r="ED2185" s="4"/>
      <c r="EE2185" s="4"/>
      <c r="EF2185" s="4"/>
      <c r="EG2185" s="4"/>
      <c r="EH2185" s="4">
        <v>300</v>
      </c>
      <c r="EI2185" s="4"/>
      <c r="EJ2185" s="4"/>
      <c r="EK2185" s="4"/>
      <c r="EL2185" s="4"/>
      <c r="EM2185" s="4"/>
      <c r="EN2185" s="4"/>
      <c r="EO2185" s="4"/>
      <c r="EP2185" s="4"/>
      <c r="EQ2185" s="4"/>
      <c r="ER2185" s="4"/>
      <c r="ES2185" s="4"/>
      <c r="ET2185" s="4"/>
      <c r="EU2185" s="4"/>
      <c r="EV2185" s="4"/>
      <c r="EW2185" s="4"/>
      <c r="EX2185" s="4"/>
      <c r="EY2185" s="4"/>
      <c r="EZ2185" s="4"/>
      <c r="FA2185" s="4"/>
      <c r="FB2185" s="4">
        <v>70</v>
      </c>
      <c r="FC2185" s="4"/>
      <c r="FD2185" s="4"/>
      <c r="FE2185" s="4"/>
      <c r="FF2185" s="4">
        <v>320</v>
      </c>
      <c r="FG2185" s="4"/>
      <c r="FH2185" s="4"/>
      <c r="FI2185" s="4"/>
      <c r="FJ2185" s="4"/>
      <c r="FK2185" s="4"/>
      <c r="FL2185" s="4"/>
      <c r="FM2185" s="4"/>
      <c r="FN2185" s="4"/>
      <c r="FO2185" s="4"/>
      <c r="FP2185" s="4"/>
      <c r="FQ2185" s="4"/>
      <c r="FR2185" s="4"/>
      <c r="FS2185" s="4"/>
      <c r="FT2185" s="4">
        <v>250</v>
      </c>
      <c r="FU2185" s="4"/>
      <c r="FV2185" s="4"/>
      <c r="FW2185" s="4"/>
      <c r="FX2185" s="4"/>
      <c r="FY2185" s="4"/>
      <c r="FZ2185" s="4"/>
      <c r="GA2185" s="4"/>
      <c r="GB2185" s="4"/>
      <c r="GC2185" s="4"/>
      <c r="GD2185" s="4"/>
      <c r="GE2185" s="4"/>
      <c r="GF2185" s="4"/>
      <c r="GG2185" s="4"/>
      <c r="GH2185" s="4"/>
      <c r="GI2185" s="4"/>
      <c r="GJ2185" s="4"/>
      <c r="GK2185" s="4"/>
      <c r="GL2185" s="4"/>
      <c r="GM2185" s="4"/>
      <c r="GN2185" s="4"/>
      <c r="GO2185" s="4"/>
      <c r="GP2185" s="4"/>
      <c r="GQ2185" s="4"/>
      <c r="GR2185" s="4"/>
      <c r="GS2185" s="4"/>
      <c r="GT2185" s="4"/>
      <c r="GU2185" s="4"/>
      <c r="GV2185" s="4"/>
      <c r="GW2185" s="4"/>
      <c r="GX2185" s="4"/>
      <c r="GY2185" s="4"/>
      <c r="GZ2185" s="4"/>
      <c r="HA2185" s="4"/>
      <c r="HB2185" s="4"/>
      <c r="HC2185" s="4"/>
      <c r="HD2185" s="4"/>
      <c r="HE2185" s="4"/>
    </row>
    <row r="2186">
      <c r="A2186" s="2" t="s">
        <v>10337</v>
      </c>
      <c r="B2186" s="2" t="s">
        <v>299</v>
      </c>
      <c r="C2186" s="2" t="s">
        <v>4000</v>
      </c>
      <c r="D2186" s="2" t="s">
        <v>301</v>
      </c>
      <c r="E2186" s="2" t="s">
        <v>302</v>
      </c>
      <c r="F2186" s="2" t="s">
        <v>10317</v>
      </c>
      <c r="G2186" s="2" t="s">
        <v>10317</v>
      </c>
      <c r="H2186" s="2" t="s">
        <v>10317</v>
      </c>
      <c r="I2186" s="2" t="s">
        <v>10318</v>
      </c>
      <c r="J2186" s="2" t="s">
        <v>284</v>
      </c>
      <c r="K2186" s="2" t="s">
        <v>1960</v>
      </c>
      <c r="L2186" s="3">
        <v>25.3</v>
      </c>
      <c r="M2186" s="3">
        <v>26.57</v>
      </c>
      <c r="N2186" s="3">
        <v>54.99</v>
      </c>
      <c r="O2186" s="2" t="s">
        <v>240</v>
      </c>
      <c r="P2186" s="2" t="s">
        <v>233</v>
      </c>
      <c r="Q2186" s="2" t="s">
        <v>234</v>
      </c>
      <c r="R2186" s="2" t="s">
        <v>228</v>
      </c>
      <c r="S2186" s="2" t="s">
        <v>10336</v>
      </c>
      <c r="T2186" s="2" t="s">
        <v>3112</v>
      </c>
      <c r="U2186" s="2" t="s">
        <v>308</v>
      </c>
      <c r="V2186" s="2" t="s">
        <v>236</v>
      </c>
      <c r="W2186" s="2" t="s">
        <v>269</v>
      </c>
      <c r="X2186" s="2" t="s">
        <v>228</v>
      </c>
      <c r="Y2186" s="2" t="s">
        <v>1439</v>
      </c>
      <c r="Z2186" s="4"/>
      <c r="AA2186" s="4">
        <f>=ROUNDDOWN({0},0)</f>
      </c>
      <c r="AB2186" s="5"/>
      <c r="AC2186" s="2" t="s">
        <v>1014</v>
      </c>
      <c r="AD2186" s="4">
        <v>190</v>
      </c>
      <c r="AE2186" s="4">
        <v>660</v>
      </c>
      <c r="AF2186" s="6">
        <v>65</v>
      </c>
      <c r="AG2186" s="6"/>
      <c r="AH2186" s="7"/>
      <c r="AI2186" s="4"/>
      <c r="AJ2186" s="4">
        <f>=ROUNDDOWN({0},0)</f>
      </c>
      <c r="AK2186" s="5"/>
      <c r="AL2186" s="2" t="s">
        <v>228</v>
      </c>
      <c r="AM2186" s="4"/>
      <c r="AN2186" s="4"/>
      <c r="AO2186" s="7"/>
      <c r="AP2186" s="4"/>
      <c r="AQ2186" s="8"/>
      <c r="AR2186" s="4"/>
      <c r="AS2186" s="8"/>
      <c r="AT2186" s="7"/>
      <c r="AU2186" s="7"/>
      <c r="AV2186" s="4" t="s">
        <v>228</v>
      </c>
      <c r="AW2186" s="8" t="s">
        <v>228</v>
      </c>
      <c r="AX2186" s="4" t="s">
        <v>228</v>
      </c>
      <c r="AY2186" s="8" t="s">
        <v>228</v>
      </c>
      <c r="AZ2186" s="7" t="s">
        <v>228</v>
      </c>
      <c r="BA2186" s="7" t="s">
        <v>228</v>
      </c>
      <c r="BB2186" s="7"/>
      <c r="BC2186" s="4" t="s">
        <v>228</v>
      </c>
      <c r="BD2186" s="8" t="s">
        <v>228</v>
      </c>
      <c r="BE2186" s="4" t="s">
        <v>228</v>
      </c>
      <c r="BF2186" s="8" t="s">
        <v>228</v>
      </c>
      <c r="BG2186" s="7" t="s">
        <v>228</v>
      </c>
      <c r="BH2186" s="7" t="s">
        <v>228</v>
      </c>
      <c r="BI2186" s="7"/>
      <c r="BJ2186" s="4"/>
      <c r="BK2186" s="8"/>
      <c r="BL2186" s="2" t="s">
        <v>228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238</v>
      </c>
      <c r="BV2186" s="2" t="s">
        <v>228</v>
      </c>
      <c r="BW2186" s="2" t="s">
        <v>228</v>
      </c>
      <c r="BX2186" s="2" t="s">
        <v>238</v>
      </c>
      <c r="BY2186" s="2" t="s">
        <v>239</v>
      </c>
      <c r="BZ2186" s="2" t="s">
        <v>240</v>
      </c>
      <c r="CA2186" s="2" t="s">
        <v>228</v>
      </c>
      <c r="CB2186" s="2" t="s">
        <v>228</v>
      </c>
      <c r="CC2186" s="2" t="s">
        <v>241</v>
      </c>
      <c r="CD2186" s="2" t="s">
        <v>228</v>
      </c>
      <c r="CE2186" s="4"/>
      <c r="CF2186" s="4"/>
      <c r="CG2186" s="4"/>
      <c r="CH2186" s="4"/>
      <c r="CI2186" s="4"/>
      <c r="CJ2186" s="4"/>
      <c r="CK2186" s="4"/>
      <c r="CL2186" s="4"/>
      <c r="CM2186" s="4"/>
      <c r="CN2186" s="4"/>
      <c r="CO2186" s="4"/>
      <c r="CP2186" s="4"/>
      <c r="CQ2186" s="4"/>
      <c r="CR2186" s="4"/>
      <c r="CS2186" s="4"/>
      <c r="CT2186" s="4"/>
      <c r="CU2186" s="4"/>
      <c r="CV2186" s="4"/>
      <c r="CW2186" s="4"/>
      <c r="CX2186" s="4"/>
      <c r="CY2186" s="4"/>
      <c r="CZ2186" s="4"/>
      <c r="DA2186" s="4"/>
      <c r="DB2186" s="4"/>
      <c r="DC2186" s="4"/>
      <c r="DD2186" s="4"/>
      <c r="DE2186" s="4"/>
      <c r="DF2186" s="4"/>
      <c r="DG2186" s="4"/>
      <c r="DH2186" s="4"/>
      <c r="DI2186" s="4"/>
      <c r="DJ2186" s="4"/>
      <c r="DK2186" s="4"/>
      <c r="DL2186" s="4"/>
      <c r="DM2186" s="4"/>
      <c r="DN2186" s="4"/>
      <c r="DO2186" s="4"/>
      <c r="DP2186" s="4">
        <v>190</v>
      </c>
      <c r="DQ2186" s="4"/>
      <c r="DR2186" s="4"/>
      <c r="DS2186" s="4"/>
      <c r="DT2186" s="4"/>
      <c r="DU2186" s="4"/>
      <c r="DV2186" s="4"/>
      <c r="DW2186" s="4"/>
      <c r="DX2186" s="4"/>
      <c r="DY2186" s="4"/>
      <c r="DZ2186" s="4"/>
      <c r="EA2186" s="4"/>
      <c r="EB2186" s="4"/>
      <c r="EC2186" s="4"/>
      <c r="ED2186" s="4"/>
      <c r="EE2186" s="4"/>
      <c r="EF2186" s="4"/>
      <c r="EG2186" s="4"/>
      <c r="EH2186" s="4">
        <v>140</v>
      </c>
      <c r="EI2186" s="4"/>
      <c r="EJ2186" s="4"/>
      <c r="EK2186" s="4"/>
      <c r="EL2186" s="4"/>
      <c r="EM2186" s="4"/>
      <c r="EN2186" s="4"/>
      <c r="EO2186" s="4"/>
      <c r="EP2186" s="4"/>
      <c r="EQ2186" s="4"/>
      <c r="ER2186" s="4"/>
      <c r="ES2186" s="4"/>
      <c r="ET2186" s="4"/>
      <c r="EU2186" s="4"/>
      <c r="EV2186" s="4"/>
      <c r="EW2186" s="4"/>
      <c r="EX2186" s="4"/>
      <c r="EY2186" s="4"/>
      <c r="EZ2186" s="4"/>
      <c r="FA2186" s="4"/>
      <c r="FB2186" s="4">
        <v>40</v>
      </c>
      <c r="FC2186" s="4"/>
      <c r="FD2186" s="4"/>
      <c r="FE2186" s="4"/>
      <c r="FF2186" s="4">
        <v>160</v>
      </c>
      <c r="FG2186" s="4"/>
      <c r="FH2186" s="4"/>
      <c r="FI2186" s="4"/>
      <c r="FJ2186" s="4"/>
      <c r="FK2186" s="4"/>
      <c r="FL2186" s="4"/>
      <c r="FM2186" s="4"/>
      <c r="FN2186" s="4"/>
      <c r="FO2186" s="4"/>
      <c r="FP2186" s="4"/>
      <c r="FQ2186" s="4"/>
      <c r="FR2186" s="4"/>
      <c r="FS2186" s="4"/>
      <c r="FT2186" s="4">
        <v>130</v>
      </c>
      <c r="FU2186" s="4"/>
      <c r="FV2186" s="4"/>
      <c r="FW2186" s="4"/>
      <c r="FX2186" s="4"/>
      <c r="FY2186" s="4"/>
      <c r="FZ2186" s="4"/>
      <c r="GA2186" s="4"/>
      <c r="GB2186" s="4"/>
      <c r="GC2186" s="4"/>
      <c r="GD2186" s="4"/>
      <c r="GE2186" s="4"/>
      <c r="GF2186" s="4"/>
      <c r="GG2186" s="4"/>
      <c r="GH2186" s="4"/>
      <c r="GI2186" s="4"/>
      <c r="GJ2186" s="4"/>
      <c r="GK2186" s="4"/>
      <c r="GL2186" s="4"/>
      <c r="GM2186" s="4"/>
      <c r="GN2186" s="4"/>
      <c r="GO2186" s="4"/>
      <c r="GP2186" s="4"/>
      <c r="GQ2186" s="4"/>
      <c r="GR2186" s="4"/>
      <c r="GS2186" s="4"/>
      <c r="GT2186" s="4"/>
      <c r="GU2186" s="4"/>
      <c r="GV2186" s="4"/>
      <c r="GW2186" s="4"/>
      <c r="GX2186" s="4"/>
      <c r="GY2186" s="4"/>
      <c r="GZ2186" s="4"/>
      <c r="HA2186" s="4"/>
      <c r="HB2186" s="4"/>
      <c r="HC2186" s="4"/>
      <c r="HD2186" s="4"/>
      <c r="HE2186" s="4"/>
    </row>
    <row r="2187">
      <c r="A2187" s="2" t="s">
        <v>10338</v>
      </c>
      <c r="B2187" s="2" t="s">
        <v>299</v>
      </c>
      <c r="C2187" s="2" t="s">
        <v>4000</v>
      </c>
      <c r="D2187" s="2" t="s">
        <v>301</v>
      </c>
      <c r="E2187" s="2" t="s">
        <v>302</v>
      </c>
      <c r="F2187" s="2" t="s">
        <v>10317</v>
      </c>
      <c r="G2187" s="2" t="s">
        <v>10317</v>
      </c>
      <c r="H2187" s="2" t="s">
        <v>10317</v>
      </c>
      <c r="I2187" s="2" t="s">
        <v>10318</v>
      </c>
      <c r="J2187" s="2" t="s">
        <v>289</v>
      </c>
      <c r="K2187" s="2" t="s">
        <v>1960</v>
      </c>
      <c r="L2187" s="3">
        <v>28.35</v>
      </c>
      <c r="M2187" s="3">
        <v>29.77</v>
      </c>
      <c r="N2187" s="3">
        <v>62.99</v>
      </c>
      <c r="O2187" s="2" t="s">
        <v>240</v>
      </c>
      <c r="P2187" s="2" t="s">
        <v>233</v>
      </c>
      <c r="Q2187" s="2" t="s">
        <v>234</v>
      </c>
      <c r="R2187" s="2" t="s">
        <v>228</v>
      </c>
      <c r="S2187" s="2" t="s">
        <v>10336</v>
      </c>
      <c r="T2187" s="2" t="s">
        <v>3112</v>
      </c>
      <c r="U2187" s="2" t="s">
        <v>308</v>
      </c>
      <c r="V2187" s="2" t="s">
        <v>236</v>
      </c>
      <c r="W2187" s="2" t="s">
        <v>269</v>
      </c>
      <c r="X2187" s="2" t="s">
        <v>228</v>
      </c>
      <c r="Y2187" s="2" t="s">
        <v>1439</v>
      </c>
      <c r="Z2187" s="4"/>
      <c r="AA2187" s="4">
        <f>=ROUNDDOWN({0},0)</f>
      </c>
      <c r="AB2187" s="5"/>
      <c r="AC2187" s="2" t="s">
        <v>1014</v>
      </c>
      <c r="AD2187" s="4">
        <v>540</v>
      </c>
      <c r="AE2187" s="4">
        <v>2020</v>
      </c>
      <c r="AF2187" s="6">
        <v>65</v>
      </c>
      <c r="AG2187" s="6"/>
      <c r="AH2187" s="7"/>
      <c r="AI2187" s="4"/>
      <c r="AJ2187" s="4">
        <f>=ROUNDDOWN({0},0)</f>
      </c>
      <c r="AK2187" s="5"/>
      <c r="AL2187" s="2" t="s">
        <v>228</v>
      </c>
      <c r="AM2187" s="4"/>
      <c r="AN2187" s="4"/>
      <c r="AO2187" s="7"/>
      <c r="AP2187" s="4"/>
      <c r="AQ2187" s="8"/>
      <c r="AR2187" s="4"/>
      <c r="AS2187" s="8"/>
      <c r="AT2187" s="7"/>
      <c r="AU2187" s="7"/>
      <c r="AV2187" s="4" t="s">
        <v>228</v>
      </c>
      <c r="AW2187" s="8" t="s">
        <v>228</v>
      </c>
      <c r="AX2187" s="4" t="s">
        <v>228</v>
      </c>
      <c r="AY2187" s="8" t="s">
        <v>228</v>
      </c>
      <c r="AZ2187" s="7" t="s">
        <v>228</v>
      </c>
      <c r="BA2187" s="7" t="s">
        <v>228</v>
      </c>
      <c r="BB2187" s="7"/>
      <c r="BC2187" s="4" t="s">
        <v>228</v>
      </c>
      <c r="BD2187" s="8" t="s">
        <v>228</v>
      </c>
      <c r="BE2187" s="4" t="s">
        <v>228</v>
      </c>
      <c r="BF2187" s="8" t="s">
        <v>228</v>
      </c>
      <c r="BG2187" s="7" t="s">
        <v>228</v>
      </c>
      <c r="BH2187" s="7" t="s">
        <v>228</v>
      </c>
      <c r="BI2187" s="7"/>
      <c r="BJ2187" s="4"/>
      <c r="BK2187" s="8"/>
      <c r="BL2187" s="2" t="s">
        <v>228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238</v>
      </c>
      <c r="BV2187" s="2" t="s">
        <v>228</v>
      </c>
      <c r="BW2187" s="2" t="s">
        <v>228</v>
      </c>
      <c r="BX2187" s="2" t="s">
        <v>238</v>
      </c>
      <c r="BY2187" s="2" t="s">
        <v>239</v>
      </c>
      <c r="BZ2187" s="2" t="s">
        <v>240</v>
      </c>
      <c r="CA2187" s="2" t="s">
        <v>228</v>
      </c>
      <c r="CB2187" s="2" t="s">
        <v>228</v>
      </c>
      <c r="CC2187" s="2" t="s">
        <v>241</v>
      </c>
      <c r="CD2187" s="2" t="s">
        <v>228</v>
      </c>
      <c r="CE2187" s="4"/>
      <c r="CF2187" s="4"/>
      <c r="CG2187" s="4"/>
      <c r="CH2187" s="4"/>
      <c r="CI2187" s="4"/>
      <c r="CJ2187" s="4"/>
      <c r="CK2187" s="4"/>
      <c r="CL2187" s="4"/>
      <c r="CM2187" s="4"/>
      <c r="CN2187" s="4"/>
      <c r="CO2187" s="4"/>
      <c r="CP2187" s="4"/>
      <c r="CQ2187" s="4"/>
      <c r="CR2187" s="4"/>
      <c r="CS2187" s="4"/>
      <c r="CT2187" s="4"/>
      <c r="CU2187" s="4"/>
      <c r="CV2187" s="4"/>
      <c r="CW2187" s="4"/>
      <c r="CX2187" s="4"/>
      <c r="CY2187" s="4"/>
      <c r="CZ2187" s="4"/>
      <c r="DA2187" s="4"/>
      <c r="DB2187" s="4"/>
      <c r="DC2187" s="4"/>
      <c r="DD2187" s="4"/>
      <c r="DE2187" s="4"/>
      <c r="DF2187" s="4"/>
      <c r="DG2187" s="4"/>
      <c r="DH2187" s="4"/>
      <c r="DI2187" s="4"/>
      <c r="DJ2187" s="4"/>
      <c r="DK2187" s="4"/>
      <c r="DL2187" s="4"/>
      <c r="DM2187" s="4"/>
      <c r="DN2187" s="4"/>
      <c r="DO2187" s="4"/>
      <c r="DP2187" s="4">
        <v>540</v>
      </c>
      <c r="DQ2187" s="4"/>
      <c r="DR2187" s="4"/>
      <c r="DS2187" s="4"/>
      <c r="DT2187" s="4"/>
      <c r="DU2187" s="4"/>
      <c r="DV2187" s="4"/>
      <c r="DW2187" s="4"/>
      <c r="DX2187" s="4"/>
      <c r="DY2187" s="4"/>
      <c r="DZ2187" s="4"/>
      <c r="EA2187" s="4"/>
      <c r="EB2187" s="4"/>
      <c r="EC2187" s="4"/>
      <c r="ED2187" s="4"/>
      <c r="EE2187" s="4"/>
      <c r="EF2187" s="4"/>
      <c r="EG2187" s="4"/>
      <c r="EH2187" s="4">
        <v>470</v>
      </c>
      <c r="EI2187" s="4"/>
      <c r="EJ2187" s="4"/>
      <c r="EK2187" s="4"/>
      <c r="EL2187" s="4"/>
      <c r="EM2187" s="4"/>
      <c r="EN2187" s="4"/>
      <c r="EO2187" s="4"/>
      <c r="EP2187" s="4"/>
      <c r="EQ2187" s="4"/>
      <c r="ER2187" s="4"/>
      <c r="ES2187" s="4"/>
      <c r="ET2187" s="4"/>
      <c r="EU2187" s="4"/>
      <c r="EV2187" s="4"/>
      <c r="EW2187" s="4"/>
      <c r="EX2187" s="4"/>
      <c r="EY2187" s="4"/>
      <c r="EZ2187" s="4"/>
      <c r="FA2187" s="4"/>
      <c r="FB2187" s="4">
        <v>110</v>
      </c>
      <c r="FC2187" s="4"/>
      <c r="FD2187" s="4"/>
      <c r="FE2187" s="4"/>
      <c r="FF2187" s="4">
        <v>500</v>
      </c>
      <c r="FG2187" s="4"/>
      <c r="FH2187" s="4"/>
      <c r="FI2187" s="4"/>
      <c r="FJ2187" s="4"/>
      <c r="FK2187" s="4"/>
      <c r="FL2187" s="4"/>
      <c r="FM2187" s="4"/>
      <c r="FN2187" s="4"/>
      <c r="FO2187" s="4"/>
      <c r="FP2187" s="4"/>
      <c r="FQ2187" s="4"/>
      <c r="FR2187" s="4"/>
      <c r="FS2187" s="4"/>
      <c r="FT2187" s="4">
        <v>400</v>
      </c>
      <c r="FU2187" s="4"/>
      <c r="FV2187" s="4"/>
      <c r="FW2187" s="4"/>
      <c r="FX2187" s="4"/>
      <c r="FY2187" s="4"/>
      <c r="FZ2187" s="4"/>
      <c r="GA2187" s="4"/>
      <c r="GB2187" s="4"/>
      <c r="GC2187" s="4"/>
      <c r="GD2187" s="4"/>
      <c r="GE2187" s="4"/>
      <c r="GF2187" s="4"/>
      <c r="GG2187" s="4"/>
      <c r="GH2187" s="4"/>
      <c r="GI2187" s="4"/>
      <c r="GJ2187" s="4"/>
      <c r="GK2187" s="4"/>
      <c r="GL2187" s="4"/>
      <c r="GM2187" s="4"/>
      <c r="GN2187" s="4"/>
      <c r="GO2187" s="4"/>
      <c r="GP2187" s="4"/>
      <c r="GQ2187" s="4"/>
      <c r="GR2187" s="4"/>
      <c r="GS2187" s="4"/>
      <c r="GT2187" s="4"/>
      <c r="GU2187" s="4"/>
      <c r="GV2187" s="4"/>
      <c r="GW2187" s="4"/>
      <c r="GX2187" s="4"/>
      <c r="GY2187" s="4"/>
      <c r="GZ2187" s="4"/>
      <c r="HA2187" s="4"/>
      <c r="HB2187" s="4"/>
      <c r="HC2187" s="4"/>
      <c r="HD2187" s="4"/>
      <c r="HE2187" s="4"/>
    </row>
    <row r="2188">
      <c r="A2188" s="2" t="s">
        <v>10339</v>
      </c>
      <c r="B2188" s="2" t="s">
        <v>299</v>
      </c>
      <c r="C2188" s="2" t="s">
        <v>4000</v>
      </c>
      <c r="D2188" s="2" t="s">
        <v>301</v>
      </c>
      <c r="E2188" s="2" t="s">
        <v>302</v>
      </c>
      <c r="F2188" s="2" t="s">
        <v>10317</v>
      </c>
      <c r="G2188" s="2" t="s">
        <v>10317</v>
      </c>
      <c r="H2188" s="2" t="s">
        <v>10317</v>
      </c>
      <c r="I2188" s="2" t="s">
        <v>10318</v>
      </c>
      <c r="J2188" s="2" t="s">
        <v>294</v>
      </c>
      <c r="K2188" s="2" t="s">
        <v>1960</v>
      </c>
      <c r="L2188" s="3">
        <v>34.5</v>
      </c>
      <c r="M2188" s="3">
        <v>36.23</v>
      </c>
      <c r="N2188" s="3">
        <v>74.99</v>
      </c>
      <c r="O2188" s="2" t="s">
        <v>240</v>
      </c>
      <c r="P2188" s="2" t="s">
        <v>233</v>
      </c>
      <c r="Q2188" s="2" t="s">
        <v>234</v>
      </c>
      <c r="R2188" s="2" t="s">
        <v>228</v>
      </c>
      <c r="S2188" s="2" t="s">
        <v>10336</v>
      </c>
      <c r="T2188" s="2" t="s">
        <v>3112</v>
      </c>
      <c r="U2188" s="2" t="s">
        <v>308</v>
      </c>
      <c r="V2188" s="2" t="s">
        <v>236</v>
      </c>
      <c r="W2188" s="2" t="s">
        <v>269</v>
      </c>
      <c r="X2188" s="2" t="s">
        <v>228</v>
      </c>
      <c r="Y2188" s="2" t="s">
        <v>1439</v>
      </c>
      <c r="Z2188" s="4"/>
      <c r="AA2188" s="4">
        <f>=ROUNDDOWN({0},0)</f>
      </c>
      <c r="AB2188" s="5"/>
      <c r="AC2188" s="2" t="s">
        <v>1014</v>
      </c>
      <c r="AD2188" s="4">
        <v>260</v>
      </c>
      <c r="AE2188" s="4">
        <v>1000</v>
      </c>
      <c r="AF2188" s="6">
        <v>65</v>
      </c>
      <c r="AG2188" s="6"/>
      <c r="AH2188" s="7"/>
      <c r="AI2188" s="4"/>
      <c r="AJ2188" s="4">
        <f>=ROUNDDOWN({0},0)</f>
      </c>
      <c r="AK2188" s="5"/>
      <c r="AL2188" s="2" t="s">
        <v>228</v>
      </c>
      <c r="AM2188" s="4"/>
      <c r="AN2188" s="4"/>
      <c r="AO2188" s="7"/>
      <c r="AP2188" s="4"/>
      <c r="AQ2188" s="8"/>
      <c r="AR2188" s="4"/>
      <c r="AS2188" s="8"/>
      <c r="AT2188" s="7"/>
      <c r="AU2188" s="7"/>
      <c r="AV2188" s="4" t="s">
        <v>228</v>
      </c>
      <c r="AW2188" s="8" t="s">
        <v>228</v>
      </c>
      <c r="AX2188" s="4" t="s">
        <v>228</v>
      </c>
      <c r="AY2188" s="8" t="s">
        <v>228</v>
      </c>
      <c r="AZ2188" s="7" t="s">
        <v>228</v>
      </c>
      <c r="BA2188" s="7" t="s">
        <v>228</v>
      </c>
      <c r="BB2188" s="7"/>
      <c r="BC2188" s="4" t="s">
        <v>228</v>
      </c>
      <c r="BD2188" s="8" t="s">
        <v>228</v>
      </c>
      <c r="BE2188" s="4" t="s">
        <v>228</v>
      </c>
      <c r="BF2188" s="8" t="s">
        <v>228</v>
      </c>
      <c r="BG2188" s="7" t="s">
        <v>228</v>
      </c>
      <c r="BH2188" s="7" t="s">
        <v>228</v>
      </c>
      <c r="BI2188" s="7"/>
      <c r="BJ2188" s="4"/>
      <c r="BK2188" s="8"/>
      <c r="BL2188" s="2" t="s">
        <v>228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238</v>
      </c>
      <c r="BV2188" s="2" t="s">
        <v>228</v>
      </c>
      <c r="BW2188" s="2" t="s">
        <v>228</v>
      </c>
      <c r="BX2188" s="2" t="s">
        <v>238</v>
      </c>
      <c r="BY2188" s="2" t="s">
        <v>239</v>
      </c>
      <c r="BZ2188" s="2" t="s">
        <v>240</v>
      </c>
      <c r="CA2188" s="2" t="s">
        <v>228</v>
      </c>
      <c r="CB2188" s="2" t="s">
        <v>228</v>
      </c>
      <c r="CC2188" s="2" t="s">
        <v>241</v>
      </c>
      <c r="CD2188" s="2" t="s">
        <v>228</v>
      </c>
      <c r="CE2188" s="4"/>
      <c r="CF2188" s="4"/>
      <c r="CG2188" s="4"/>
      <c r="CH2188" s="4"/>
      <c r="CI2188" s="4"/>
      <c r="CJ2188" s="4"/>
      <c r="CK2188" s="4"/>
      <c r="CL2188" s="4"/>
      <c r="CM2188" s="4"/>
      <c r="CN2188" s="4"/>
      <c r="CO2188" s="4"/>
      <c r="CP2188" s="4"/>
      <c r="CQ2188" s="4"/>
      <c r="CR2188" s="4"/>
      <c r="CS2188" s="4"/>
      <c r="CT2188" s="4"/>
      <c r="CU2188" s="4"/>
      <c r="CV2188" s="4"/>
      <c r="CW2188" s="4"/>
      <c r="CX2188" s="4"/>
      <c r="CY2188" s="4"/>
      <c r="CZ2188" s="4"/>
      <c r="DA2188" s="4"/>
      <c r="DB2188" s="4"/>
      <c r="DC2188" s="4"/>
      <c r="DD2188" s="4"/>
      <c r="DE2188" s="4"/>
      <c r="DF2188" s="4"/>
      <c r="DG2188" s="4"/>
      <c r="DH2188" s="4"/>
      <c r="DI2188" s="4"/>
      <c r="DJ2188" s="4"/>
      <c r="DK2188" s="4"/>
      <c r="DL2188" s="4"/>
      <c r="DM2188" s="4"/>
      <c r="DN2188" s="4"/>
      <c r="DO2188" s="4"/>
      <c r="DP2188" s="4">
        <v>260</v>
      </c>
      <c r="DQ2188" s="4"/>
      <c r="DR2188" s="4"/>
      <c r="DS2188" s="4"/>
      <c r="DT2188" s="4"/>
      <c r="DU2188" s="4"/>
      <c r="DV2188" s="4"/>
      <c r="DW2188" s="4"/>
      <c r="DX2188" s="4"/>
      <c r="DY2188" s="4"/>
      <c r="DZ2188" s="4"/>
      <c r="EA2188" s="4"/>
      <c r="EB2188" s="4"/>
      <c r="EC2188" s="4"/>
      <c r="ED2188" s="4"/>
      <c r="EE2188" s="4"/>
      <c r="EF2188" s="4"/>
      <c r="EG2188" s="4"/>
      <c r="EH2188" s="4">
        <v>240</v>
      </c>
      <c r="EI2188" s="4"/>
      <c r="EJ2188" s="4"/>
      <c r="EK2188" s="4"/>
      <c r="EL2188" s="4"/>
      <c r="EM2188" s="4"/>
      <c r="EN2188" s="4"/>
      <c r="EO2188" s="4"/>
      <c r="EP2188" s="4"/>
      <c r="EQ2188" s="4"/>
      <c r="ER2188" s="4"/>
      <c r="ES2188" s="4"/>
      <c r="ET2188" s="4"/>
      <c r="EU2188" s="4"/>
      <c r="EV2188" s="4"/>
      <c r="EW2188" s="4"/>
      <c r="EX2188" s="4"/>
      <c r="EY2188" s="4"/>
      <c r="EZ2188" s="4"/>
      <c r="FA2188" s="4"/>
      <c r="FB2188" s="4">
        <v>55</v>
      </c>
      <c r="FC2188" s="4"/>
      <c r="FD2188" s="4"/>
      <c r="FE2188" s="4"/>
      <c r="FF2188" s="4">
        <v>245</v>
      </c>
      <c r="FG2188" s="4"/>
      <c r="FH2188" s="4"/>
      <c r="FI2188" s="4"/>
      <c r="FJ2188" s="4"/>
      <c r="FK2188" s="4"/>
      <c r="FL2188" s="4"/>
      <c r="FM2188" s="4"/>
      <c r="FN2188" s="4"/>
      <c r="FO2188" s="4"/>
      <c r="FP2188" s="4"/>
      <c r="FQ2188" s="4"/>
      <c r="FR2188" s="4"/>
      <c r="FS2188" s="4"/>
      <c r="FT2188" s="4">
        <v>200</v>
      </c>
      <c r="FU2188" s="4"/>
      <c r="FV2188" s="4"/>
      <c r="FW2188" s="4"/>
      <c r="FX2188" s="4"/>
      <c r="FY2188" s="4"/>
      <c r="FZ2188" s="4"/>
      <c r="GA2188" s="4"/>
      <c r="GB2188" s="4"/>
      <c r="GC2188" s="4"/>
      <c r="GD2188" s="4"/>
      <c r="GE2188" s="4"/>
      <c r="GF2188" s="4"/>
      <c r="GG2188" s="4"/>
      <c r="GH2188" s="4"/>
      <c r="GI2188" s="4"/>
      <c r="GJ2188" s="4"/>
      <c r="GK2188" s="4"/>
      <c r="GL2188" s="4"/>
      <c r="GM2188" s="4"/>
      <c r="GN2188" s="4"/>
      <c r="GO2188" s="4"/>
      <c r="GP2188" s="4"/>
      <c r="GQ2188" s="4"/>
      <c r="GR2188" s="4"/>
      <c r="GS2188" s="4"/>
      <c r="GT2188" s="4"/>
      <c r="GU2188" s="4"/>
      <c r="GV2188" s="4"/>
      <c r="GW2188" s="4"/>
      <c r="GX2188" s="4"/>
      <c r="GY2188" s="4"/>
      <c r="GZ2188" s="4"/>
      <c r="HA2188" s="4"/>
      <c r="HB2188" s="4"/>
      <c r="HC2188" s="4"/>
      <c r="HD2188" s="4"/>
      <c r="HE2188" s="4"/>
    </row>
    <row r="2189">
      <c r="A2189" s="2" t="s">
        <v>10340</v>
      </c>
      <c r="B2189" s="2" t="s">
        <v>299</v>
      </c>
      <c r="C2189" s="2" t="s">
        <v>4000</v>
      </c>
      <c r="D2189" s="2" t="s">
        <v>301</v>
      </c>
      <c r="E2189" s="2" t="s">
        <v>302</v>
      </c>
      <c r="F2189" s="2" t="s">
        <v>10317</v>
      </c>
      <c r="G2189" s="2" t="s">
        <v>10317</v>
      </c>
      <c r="H2189" s="2" t="s">
        <v>10317</v>
      </c>
      <c r="I2189" s="2" t="s">
        <v>10318</v>
      </c>
      <c r="J2189" s="2" t="s">
        <v>284</v>
      </c>
      <c r="K2189" s="2" t="s">
        <v>249</v>
      </c>
      <c r="L2189" s="3">
        <v>25.3</v>
      </c>
      <c r="M2189" s="3">
        <v>26.56</v>
      </c>
      <c r="N2189" s="3">
        <v>54.99</v>
      </c>
      <c r="O2189" s="2" t="s">
        <v>240</v>
      </c>
      <c r="P2189" s="2" t="s">
        <v>815</v>
      </c>
      <c r="Q2189" s="2" t="s">
        <v>234</v>
      </c>
      <c r="R2189" s="2" t="s">
        <v>228</v>
      </c>
      <c r="S2189" s="2" t="s">
        <v>10341</v>
      </c>
      <c r="T2189" s="2" t="s">
        <v>3112</v>
      </c>
      <c r="U2189" s="2" t="s">
        <v>308</v>
      </c>
      <c r="V2189" s="2" t="s">
        <v>236</v>
      </c>
      <c r="W2189" s="2" t="s">
        <v>269</v>
      </c>
      <c r="X2189" s="2" t="s">
        <v>228</v>
      </c>
      <c r="Y2189" s="2" t="s">
        <v>270</v>
      </c>
      <c r="Z2189" s="4">
        <v>219</v>
      </c>
      <c r="AA2189" s="4">
        <f>=ROUNDDOWN(4.97727272727273,0)</f>
      </c>
      <c r="AB2189" s="5">
        <v>44</v>
      </c>
      <c r="AC2189" s="2" t="s">
        <v>1415</v>
      </c>
      <c r="AD2189" s="4">
        <v>282</v>
      </c>
      <c r="AE2189" s="4">
        <v>1270</v>
      </c>
      <c r="AF2189" s="6">
        <v>65</v>
      </c>
      <c r="AG2189" s="6"/>
      <c r="AH2189" s="7">
        <v>1</v>
      </c>
      <c r="AI2189" s="4"/>
      <c r="AJ2189" s="4">
        <f>=ROUNDDOWN({0},0)</f>
      </c>
      <c r="AK2189" s="5"/>
      <c r="AL2189" s="2" t="s">
        <v>228</v>
      </c>
      <c r="AM2189" s="4"/>
      <c r="AN2189" s="4"/>
      <c r="AO2189" s="7"/>
      <c r="AP2189" s="4"/>
      <c r="AQ2189" s="8"/>
      <c r="AR2189" s="4"/>
      <c r="AS2189" s="8"/>
      <c r="AT2189" s="7"/>
      <c r="AU2189" s="7"/>
      <c r="AV2189" s="4"/>
      <c r="AW2189" s="8"/>
      <c r="AX2189" s="4"/>
      <c r="AY2189" s="8"/>
      <c r="AZ2189" s="7"/>
      <c r="BA2189" s="7"/>
      <c r="BB2189" s="7"/>
      <c r="BC2189" s="4" t="s">
        <v>228</v>
      </c>
      <c r="BD2189" s="8" t="s">
        <v>228</v>
      </c>
      <c r="BE2189" s="4" t="s">
        <v>228</v>
      </c>
      <c r="BF2189" s="8" t="s">
        <v>228</v>
      </c>
      <c r="BG2189" s="7" t="s">
        <v>228</v>
      </c>
      <c r="BH2189" s="7" t="s">
        <v>228</v>
      </c>
      <c r="BI2189" s="7"/>
      <c r="BJ2189" s="4">
        <v>64</v>
      </c>
      <c r="BK2189" s="8">
        <v>1778</v>
      </c>
      <c r="BL2189" s="2" t="s">
        <v>681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10342</v>
      </c>
      <c r="BV2189" s="2" t="s">
        <v>228</v>
      </c>
      <c r="BW2189" s="2" t="s">
        <v>228</v>
      </c>
      <c r="BX2189" s="2" t="s">
        <v>273</v>
      </c>
      <c r="BY2189" s="2" t="s">
        <v>274</v>
      </c>
      <c r="BZ2189" s="2" t="s">
        <v>240</v>
      </c>
      <c r="CA2189" s="2" t="s">
        <v>984</v>
      </c>
      <c r="CB2189" s="2" t="s">
        <v>10343</v>
      </c>
      <c r="CC2189" s="2" t="s">
        <v>241</v>
      </c>
      <c r="CD2189" s="2" t="s">
        <v>228</v>
      </c>
      <c r="CE2189" s="4">
        <v>219</v>
      </c>
      <c r="CF2189" s="4"/>
      <c r="CG2189" s="4"/>
      <c r="CH2189" s="4"/>
      <c r="CI2189" s="4"/>
      <c r="CJ2189" s="4"/>
      <c r="CK2189" s="4"/>
      <c r="CL2189" s="4"/>
      <c r="CM2189" s="4"/>
      <c r="CN2189" s="4"/>
      <c r="CO2189" s="4"/>
      <c r="CP2189" s="4"/>
      <c r="CQ2189" s="4"/>
      <c r="CR2189" s="4"/>
      <c r="CS2189" s="4"/>
      <c r="CT2189" s="4"/>
      <c r="CU2189" s="4"/>
      <c r="CV2189" s="4"/>
      <c r="CW2189" s="4">
        <v>282</v>
      </c>
      <c r="CX2189" s="4"/>
      <c r="CY2189" s="4"/>
      <c r="CZ2189" s="4"/>
      <c r="DA2189" s="4"/>
      <c r="DB2189" s="4"/>
      <c r="DC2189" s="4"/>
      <c r="DD2189" s="4"/>
      <c r="DE2189" s="4"/>
      <c r="DF2189" s="4">
        <v>50</v>
      </c>
      <c r="DG2189" s="4"/>
      <c r="DH2189" s="4"/>
      <c r="DI2189" s="4"/>
      <c r="DJ2189" s="4"/>
      <c r="DK2189" s="4"/>
      <c r="DL2189" s="4"/>
      <c r="DM2189" s="4"/>
      <c r="DN2189" s="4"/>
      <c r="DO2189" s="4"/>
      <c r="DP2189" s="4">
        <v>216</v>
      </c>
      <c r="DQ2189" s="4"/>
      <c r="DR2189" s="4"/>
      <c r="DS2189" s="4"/>
      <c r="DT2189" s="4"/>
      <c r="DU2189" s="4"/>
      <c r="DV2189" s="4"/>
      <c r="DW2189" s="4"/>
      <c r="DX2189" s="4"/>
      <c r="DY2189" s="4"/>
      <c r="DZ2189" s="4">
        <v>272</v>
      </c>
      <c r="EA2189" s="4"/>
      <c r="EB2189" s="4"/>
      <c r="EC2189" s="4"/>
      <c r="ED2189" s="4"/>
      <c r="EE2189" s="4"/>
      <c r="EF2189" s="4"/>
      <c r="EG2189" s="4"/>
      <c r="EH2189" s="4">
        <v>80</v>
      </c>
      <c r="EI2189" s="4"/>
      <c r="EJ2189" s="4"/>
      <c r="EK2189" s="4"/>
      <c r="EL2189" s="4"/>
      <c r="EM2189" s="4">
        <v>120</v>
      </c>
      <c r="EN2189" s="4"/>
      <c r="EO2189" s="4">
        <v>150</v>
      </c>
      <c r="EP2189" s="4"/>
      <c r="EQ2189" s="4"/>
      <c r="ER2189" s="4"/>
      <c r="ES2189" s="4"/>
      <c r="ET2189" s="4">
        <v>100</v>
      </c>
      <c r="EU2189" s="4"/>
      <c r="EV2189" s="4"/>
      <c r="EW2189" s="4"/>
      <c r="EX2189" s="4"/>
      <c r="EY2189" s="4"/>
      <c r="EZ2189" s="4"/>
      <c r="FA2189" s="4"/>
      <c r="FB2189" s="4"/>
      <c r="FC2189" s="4"/>
      <c r="FD2189" s="4"/>
      <c r="FE2189" s="4"/>
      <c r="FF2189" s="4"/>
      <c r="FG2189" s="4"/>
      <c r="FH2189" s="4"/>
      <c r="FI2189" s="4"/>
      <c r="FJ2189" s="4"/>
      <c r="FK2189" s="4"/>
      <c r="FL2189" s="4"/>
      <c r="FM2189" s="4"/>
      <c r="FN2189" s="4"/>
      <c r="FO2189" s="4"/>
      <c r="FP2189" s="4"/>
      <c r="FQ2189" s="4"/>
      <c r="FR2189" s="4"/>
      <c r="FS2189" s="4"/>
      <c r="FT2189" s="4"/>
      <c r="FU2189" s="4"/>
      <c r="FV2189" s="4"/>
      <c r="FW2189" s="4"/>
      <c r="FX2189" s="4"/>
      <c r="FY2189" s="4"/>
      <c r="FZ2189" s="4"/>
      <c r="GA2189" s="4"/>
      <c r="GB2189" s="4"/>
      <c r="GC2189" s="4"/>
      <c r="GD2189" s="4"/>
      <c r="GE2189" s="4"/>
      <c r="GF2189" s="4"/>
      <c r="GG2189" s="4"/>
      <c r="GH2189" s="4"/>
      <c r="GI2189" s="4"/>
      <c r="GJ2189" s="4"/>
      <c r="GK2189" s="4"/>
      <c r="GL2189" s="4"/>
      <c r="GM2189" s="4"/>
      <c r="GN2189" s="4"/>
      <c r="GO2189" s="4"/>
      <c r="GP2189" s="4"/>
      <c r="GQ2189" s="4"/>
      <c r="GR2189" s="4"/>
      <c r="GS2189" s="4"/>
      <c r="GT2189" s="4"/>
      <c r="GU2189" s="4"/>
      <c r="GV2189" s="4"/>
      <c r="GW2189" s="4"/>
      <c r="GX2189" s="4"/>
      <c r="GY2189" s="4"/>
      <c r="GZ2189" s="4"/>
      <c r="HA2189" s="4"/>
      <c r="HB2189" s="4"/>
      <c r="HC2189" s="4"/>
      <c r="HD2189" s="4"/>
      <c r="HE2189" s="4"/>
    </row>
    <row r="2190">
      <c r="A2190" s="2" t="s">
        <v>10344</v>
      </c>
      <c r="B2190" s="2" t="s">
        <v>299</v>
      </c>
      <c r="C2190" s="2" t="s">
        <v>4000</v>
      </c>
      <c r="D2190" s="2" t="s">
        <v>301</v>
      </c>
      <c r="E2190" s="2" t="s">
        <v>302</v>
      </c>
      <c r="F2190" s="2" t="s">
        <v>10317</v>
      </c>
      <c r="G2190" s="2" t="s">
        <v>10317</v>
      </c>
      <c r="H2190" s="2" t="s">
        <v>10317</v>
      </c>
      <c r="I2190" s="2" t="s">
        <v>10318</v>
      </c>
      <c r="J2190" s="2" t="s">
        <v>264</v>
      </c>
      <c r="K2190" s="2" t="s">
        <v>480</v>
      </c>
      <c r="L2190" s="3">
        <v>19.78</v>
      </c>
      <c r="M2190" s="3">
        <v>20.77</v>
      </c>
      <c r="N2190" s="3">
        <v>42.99</v>
      </c>
      <c r="O2190" s="2" t="s">
        <v>240</v>
      </c>
      <c r="P2190" s="2" t="s">
        <v>715</v>
      </c>
      <c r="Q2190" s="2" t="s">
        <v>234</v>
      </c>
      <c r="R2190" s="2" t="s">
        <v>228</v>
      </c>
      <c r="S2190" s="2" t="s">
        <v>10345</v>
      </c>
      <c r="T2190" s="2" t="s">
        <v>3112</v>
      </c>
      <c r="U2190" s="2" t="s">
        <v>500</v>
      </c>
      <c r="V2190" s="2" t="s">
        <v>236</v>
      </c>
      <c r="W2190" s="2" t="s">
        <v>269</v>
      </c>
      <c r="X2190" s="2" t="s">
        <v>228</v>
      </c>
      <c r="Y2190" s="2" t="s">
        <v>270</v>
      </c>
      <c r="Z2190" s="4">
        <v>159</v>
      </c>
      <c r="AA2190" s="4">
        <f>=ROUNDDOWN(6.11538461538461,0)</f>
      </c>
      <c r="AB2190" s="5">
        <v>26</v>
      </c>
      <c r="AC2190" s="2" t="s">
        <v>10331</v>
      </c>
      <c r="AD2190" s="4">
        <v>141</v>
      </c>
      <c r="AE2190" s="4">
        <v>800</v>
      </c>
      <c r="AF2190" s="6">
        <v>65</v>
      </c>
      <c r="AG2190" s="6"/>
      <c r="AH2190" s="7">
        <v>1</v>
      </c>
      <c r="AI2190" s="4"/>
      <c r="AJ2190" s="4">
        <f>=ROUNDDOWN({0},0)</f>
      </c>
      <c r="AK2190" s="5"/>
      <c r="AL2190" s="2" t="s">
        <v>228</v>
      </c>
      <c r="AM2190" s="4"/>
      <c r="AN2190" s="4"/>
      <c r="AO2190" s="7"/>
      <c r="AP2190" s="4"/>
      <c r="AQ2190" s="8"/>
      <c r="AR2190" s="4"/>
      <c r="AS2190" s="8"/>
      <c r="AT2190" s="7"/>
      <c r="AU2190" s="7"/>
      <c r="AV2190" s="4"/>
      <c r="AW2190" s="8"/>
      <c r="AX2190" s="4"/>
      <c r="AY2190" s="8"/>
      <c r="AZ2190" s="7"/>
      <c r="BA2190" s="7"/>
      <c r="BB2190" s="7"/>
      <c r="BC2190" s="4" t="s">
        <v>228</v>
      </c>
      <c r="BD2190" s="8" t="s">
        <v>228</v>
      </c>
      <c r="BE2190" s="4" t="s">
        <v>228</v>
      </c>
      <c r="BF2190" s="8" t="s">
        <v>228</v>
      </c>
      <c r="BG2190" s="7" t="s">
        <v>228</v>
      </c>
      <c r="BH2190" s="7" t="s">
        <v>228</v>
      </c>
      <c r="BI2190" s="7"/>
      <c r="BJ2190" s="4">
        <v>36</v>
      </c>
      <c r="BK2190" s="8">
        <v>792.4</v>
      </c>
      <c r="BL2190" s="2" t="s">
        <v>4390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10346</v>
      </c>
      <c r="BV2190" s="2" t="s">
        <v>228</v>
      </c>
      <c r="BW2190" s="2" t="s">
        <v>228</v>
      </c>
      <c r="BX2190" s="2" t="s">
        <v>273</v>
      </c>
      <c r="BY2190" s="2" t="s">
        <v>274</v>
      </c>
      <c r="BZ2190" s="2" t="s">
        <v>240</v>
      </c>
      <c r="CA2190" s="2" t="s">
        <v>2655</v>
      </c>
      <c r="CB2190" s="2" t="s">
        <v>609</v>
      </c>
      <c r="CC2190" s="2" t="s">
        <v>241</v>
      </c>
      <c r="CD2190" s="2" t="s">
        <v>228</v>
      </c>
      <c r="CE2190" s="4">
        <v>159</v>
      </c>
      <c r="CF2190" s="4"/>
      <c r="CG2190" s="4"/>
      <c r="CH2190" s="4"/>
      <c r="CI2190" s="4"/>
      <c r="CJ2190" s="4"/>
      <c r="CK2190" s="4"/>
      <c r="CL2190" s="4"/>
      <c r="CM2190" s="4"/>
      <c r="CN2190" s="4"/>
      <c r="CO2190" s="4"/>
      <c r="CP2190" s="4"/>
      <c r="CQ2190" s="4"/>
      <c r="CR2190" s="4"/>
      <c r="CS2190" s="4"/>
      <c r="CT2190" s="4"/>
      <c r="CU2190" s="4"/>
      <c r="CV2190" s="4"/>
      <c r="CW2190" s="4"/>
      <c r="CX2190" s="4"/>
      <c r="CY2190" s="4"/>
      <c r="CZ2190" s="4"/>
      <c r="DA2190" s="4"/>
      <c r="DB2190" s="4">
        <v>141</v>
      </c>
      <c r="DC2190" s="4"/>
      <c r="DD2190" s="4"/>
      <c r="DE2190" s="4"/>
      <c r="DF2190" s="4">
        <v>180</v>
      </c>
      <c r="DG2190" s="4"/>
      <c r="DH2190" s="4"/>
      <c r="DI2190" s="4"/>
      <c r="DJ2190" s="4"/>
      <c r="DK2190" s="4"/>
      <c r="DL2190" s="4"/>
      <c r="DM2190" s="4"/>
      <c r="DN2190" s="4"/>
      <c r="DO2190" s="4"/>
      <c r="DP2190" s="4">
        <v>69</v>
      </c>
      <c r="DQ2190" s="4"/>
      <c r="DR2190" s="4"/>
      <c r="DS2190" s="4"/>
      <c r="DT2190" s="4"/>
      <c r="DU2190" s="4"/>
      <c r="DV2190" s="4"/>
      <c r="DW2190" s="4"/>
      <c r="DX2190" s="4"/>
      <c r="DY2190" s="4"/>
      <c r="DZ2190" s="4">
        <v>160</v>
      </c>
      <c r="EA2190" s="4"/>
      <c r="EB2190" s="4"/>
      <c r="EC2190" s="4"/>
      <c r="ED2190" s="4"/>
      <c r="EE2190" s="4"/>
      <c r="EF2190" s="4"/>
      <c r="EG2190" s="4">
        <v>60</v>
      </c>
      <c r="EH2190" s="4">
        <v>40</v>
      </c>
      <c r="EI2190" s="4"/>
      <c r="EJ2190" s="4"/>
      <c r="EK2190" s="4"/>
      <c r="EL2190" s="4"/>
      <c r="EM2190" s="4"/>
      <c r="EN2190" s="4"/>
      <c r="EO2190" s="4"/>
      <c r="EP2190" s="4"/>
      <c r="EQ2190" s="4"/>
      <c r="ER2190" s="4"/>
      <c r="ES2190" s="4"/>
      <c r="ET2190" s="4">
        <v>60</v>
      </c>
      <c r="EU2190" s="4"/>
      <c r="EV2190" s="4"/>
      <c r="EW2190" s="4"/>
      <c r="EX2190" s="4"/>
      <c r="EY2190" s="4"/>
      <c r="EZ2190" s="4"/>
      <c r="FA2190" s="4"/>
      <c r="FB2190" s="4"/>
      <c r="FC2190" s="4"/>
      <c r="FD2190" s="4"/>
      <c r="FE2190" s="4"/>
      <c r="FF2190" s="4">
        <v>90</v>
      </c>
      <c r="FG2190" s="4"/>
      <c r="FH2190" s="4"/>
      <c r="FI2190" s="4"/>
      <c r="FJ2190" s="4"/>
      <c r="FK2190" s="4"/>
      <c r="FL2190" s="4"/>
      <c r="FM2190" s="4"/>
      <c r="FN2190" s="4"/>
      <c r="FO2190" s="4"/>
      <c r="FP2190" s="4"/>
      <c r="FQ2190" s="4"/>
      <c r="FR2190" s="4"/>
      <c r="FS2190" s="4"/>
      <c r="FT2190" s="4"/>
      <c r="FU2190" s="4"/>
      <c r="FV2190" s="4"/>
      <c r="FW2190" s="4"/>
      <c r="FX2190" s="4"/>
      <c r="FY2190" s="4"/>
      <c r="FZ2190" s="4"/>
      <c r="GA2190" s="4"/>
      <c r="GB2190" s="4"/>
      <c r="GC2190" s="4"/>
      <c r="GD2190" s="4"/>
      <c r="GE2190" s="4"/>
      <c r="GF2190" s="4"/>
      <c r="GG2190" s="4"/>
      <c r="GH2190" s="4"/>
      <c r="GI2190" s="4"/>
      <c r="GJ2190" s="4"/>
      <c r="GK2190" s="4"/>
      <c r="GL2190" s="4"/>
      <c r="GM2190" s="4"/>
      <c r="GN2190" s="4"/>
      <c r="GO2190" s="4"/>
      <c r="GP2190" s="4"/>
      <c r="GQ2190" s="4"/>
      <c r="GR2190" s="4"/>
      <c r="GS2190" s="4"/>
      <c r="GT2190" s="4"/>
      <c r="GU2190" s="4"/>
      <c r="GV2190" s="4"/>
      <c r="GW2190" s="4"/>
      <c r="GX2190" s="4"/>
      <c r="GY2190" s="4"/>
      <c r="GZ2190" s="4"/>
      <c r="HA2190" s="4"/>
      <c r="HB2190" s="4"/>
      <c r="HC2190" s="4"/>
      <c r="HD2190" s="4"/>
      <c r="HE2190" s="4"/>
    </row>
    <row r="2191">
      <c r="A2191" s="2" t="s">
        <v>10347</v>
      </c>
      <c r="B2191" s="2" t="s">
        <v>299</v>
      </c>
      <c r="C2191" s="2" t="s">
        <v>4000</v>
      </c>
      <c r="D2191" s="2" t="s">
        <v>301</v>
      </c>
      <c r="E2191" s="2" t="s">
        <v>302</v>
      </c>
      <c r="F2191" s="2" t="s">
        <v>10317</v>
      </c>
      <c r="G2191" s="2" t="s">
        <v>10317</v>
      </c>
      <c r="H2191" s="2" t="s">
        <v>10317</v>
      </c>
      <c r="I2191" s="2" t="s">
        <v>10318</v>
      </c>
      <c r="J2191" s="2" t="s">
        <v>264</v>
      </c>
      <c r="K2191" s="2" t="s">
        <v>829</v>
      </c>
      <c r="L2191" s="3">
        <v>19.78</v>
      </c>
      <c r="M2191" s="3">
        <v>20.77</v>
      </c>
      <c r="N2191" s="3">
        <v>42.99</v>
      </c>
      <c r="O2191" s="2" t="s">
        <v>240</v>
      </c>
      <c r="P2191" s="2" t="s">
        <v>233</v>
      </c>
      <c r="Q2191" s="2" t="s">
        <v>234</v>
      </c>
      <c r="R2191" s="2" t="s">
        <v>228</v>
      </c>
      <c r="S2191" s="2" t="s">
        <v>10348</v>
      </c>
      <c r="T2191" s="2" t="s">
        <v>3112</v>
      </c>
      <c r="U2191" s="2" t="s">
        <v>500</v>
      </c>
      <c r="V2191" s="2" t="s">
        <v>236</v>
      </c>
      <c r="W2191" s="2" t="s">
        <v>269</v>
      </c>
      <c r="X2191" s="2" t="s">
        <v>228</v>
      </c>
      <c r="Y2191" s="2" t="s">
        <v>1439</v>
      </c>
      <c r="Z2191" s="4"/>
      <c r="AA2191" s="4">
        <f>=ROUNDDOWN({0},0)</f>
      </c>
      <c r="AB2191" s="5"/>
      <c r="AC2191" s="2" t="s">
        <v>1014</v>
      </c>
      <c r="AD2191" s="4">
        <v>90</v>
      </c>
      <c r="AE2191" s="4">
        <v>300</v>
      </c>
      <c r="AF2191" s="6">
        <v>65</v>
      </c>
      <c r="AG2191" s="6"/>
      <c r="AH2191" s="7"/>
      <c r="AI2191" s="4"/>
      <c r="AJ2191" s="4">
        <f>=ROUNDDOWN({0},0)</f>
      </c>
      <c r="AK2191" s="5"/>
      <c r="AL2191" s="2" t="s">
        <v>228</v>
      </c>
      <c r="AM2191" s="4"/>
      <c r="AN2191" s="4"/>
      <c r="AO2191" s="7"/>
      <c r="AP2191" s="4"/>
      <c r="AQ2191" s="8"/>
      <c r="AR2191" s="4"/>
      <c r="AS2191" s="8"/>
      <c r="AT2191" s="7"/>
      <c r="AU2191" s="7"/>
      <c r="AV2191" s="4" t="s">
        <v>228</v>
      </c>
      <c r="AW2191" s="8" t="s">
        <v>228</v>
      </c>
      <c r="AX2191" s="4" t="s">
        <v>228</v>
      </c>
      <c r="AY2191" s="8" t="s">
        <v>228</v>
      </c>
      <c r="AZ2191" s="7" t="s">
        <v>228</v>
      </c>
      <c r="BA2191" s="7" t="s">
        <v>228</v>
      </c>
      <c r="BB2191" s="7"/>
      <c r="BC2191" s="4" t="s">
        <v>228</v>
      </c>
      <c r="BD2191" s="8" t="s">
        <v>228</v>
      </c>
      <c r="BE2191" s="4" t="s">
        <v>228</v>
      </c>
      <c r="BF2191" s="8" t="s">
        <v>228</v>
      </c>
      <c r="BG2191" s="7" t="s">
        <v>228</v>
      </c>
      <c r="BH2191" s="7" t="s">
        <v>228</v>
      </c>
      <c r="BI2191" s="7"/>
      <c r="BJ2191" s="4"/>
      <c r="BK2191" s="8"/>
      <c r="BL2191" s="2" t="s">
        <v>228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238</v>
      </c>
      <c r="BV2191" s="2" t="s">
        <v>228</v>
      </c>
      <c r="BW2191" s="2" t="s">
        <v>228</v>
      </c>
      <c r="BX2191" s="2" t="s">
        <v>238</v>
      </c>
      <c r="BY2191" s="2" t="s">
        <v>239</v>
      </c>
      <c r="BZ2191" s="2" t="s">
        <v>240</v>
      </c>
      <c r="CA2191" s="2" t="s">
        <v>228</v>
      </c>
      <c r="CB2191" s="2" t="s">
        <v>228</v>
      </c>
      <c r="CC2191" s="2" t="s">
        <v>241</v>
      </c>
      <c r="CD2191" s="2" t="s">
        <v>228</v>
      </c>
      <c r="CE2191" s="4"/>
      <c r="CF2191" s="4"/>
      <c r="CG2191" s="4"/>
      <c r="CH2191" s="4"/>
      <c r="CI2191" s="4"/>
      <c r="CJ2191" s="4"/>
      <c r="CK2191" s="4"/>
      <c r="CL2191" s="4"/>
      <c r="CM2191" s="4"/>
      <c r="CN2191" s="4"/>
      <c r="CO2191" s="4"/>
      <c r="CP2191" s="4"/>
      <c r="CQ2191" s="4"/>
      <c r="CR2191" s="4"/>
      <c r="CS2191" s="4"/>
      <c r="CT2191" s="4"/>
      <c r="CU2191" s="4"/>
      <c r="CV2191" s="4"/>
      <c r="CW2191" s="4"/>
      <c r="CX2191" s="4"/>
      <c r="CY2191" s="4"/>
      <c r="CZ2191" s="4"/>
      <c r="DA2191" s="4"/>
      <c r="DB2191" s="4"/>
      <c r="DC2191" s="4"/>
      <c r="DD2191" s="4"/>
      <c r="DE2191" s="4"/>
      <c r="DF2191" s="4"/>
      <c r="DG2191" s="4"/>
      <c r="DH2191" s="4"/>
      <c r="DI2191" s="4"/>
      <c r="DJ2191" s="4"/>
      <c r="DK2191" s="4"/>
      <c r="DL2191" s="4"/>
      <c r="DM2191" s="4"/>
      <c r="DN2191" s="4"/>
      <c r="DO2191" s="4"/>
      <c r="DP2191" s="4">
        <v>90</v>
      </c>
      <c r="DQ2191" s="4"/>
      <c r="DR2191" s="4"/>
      <c r="DS2191" s="4"/>
      <c r="DT2191" s="4"/>
      <c r="DU2191" s="4"/>
      <c r="DV2191" s="4"/>
      <c r="DW2191" s="4"/>
      <c r="DX2191" s="4"/>
      <c r="DY2191" s="4"/>
      <c r="DZ2191" s="4"/>
      <c r="EA2191" s="4"/>
      <c r="EB2191" s="4"/>
      <c r="EC2191" s="4"/>
      <c r="ED2191" s="4"/>
      <c r="EE2191" s="4"/>
      <c r="EF2191" s="4"/>
      <c r="EG2191" s="4"/>
      <c r="EH2191" s="4">
        <v>60</v>
      </c>
      <c r="EI2191" s="4"/>
      <c r="EJ2191" s="4"/>
      <c r="EK2191" s="4"/>
      <c r="EL2191" s="4"/>
      <c r="EM2191" s="4"/>
      <c r="EN2191" s="4"/>
      <c r="EO2191" s="4">
        <v>20</v>
      </c>
      <c r="EP2191" s="4"/>
      <c r="EQ2191" s="4"/>
      <c r="ER2191" s="4"/>
      <c r="ES2191" s="4"/>
      <c r="ET2191" s="4"/>
      <c r="EU2191" s="4"/>
      <c r="EV2191" s="4"/>
      <c r="EW2191" s="4"/>
      <c r="EX2191" s="4"/>
      <c r="EY2191" s="4"/>
      <c r="EZ2191" s="4"/>
      <c r="FA2191" s="4"/>
      <c r="FB2191" s="4"/>
      <c r="FC2191" s="4"/>
      <c r="FD2191" s="4"/>
      <c r="FE2191" s="4"/>
      <c r="FF2191" s="4">
        <v>70</v>
      </c>
      <c r="FG2191" s="4"/>
      <c r="FH2191" s="4"/>
      <c r="FI2191" s="4"/>
      <c r="FJ2191" s="4"/>
      <c r="FK2191" s="4"/>
      <c r="FL2191" s="4"/>
      <c r="FM2191" s="4"/>
      <c r="FN2191" s="4"/>
      <c r="FO2191" s="4"/>
      <c r="FP2191" s="4"/>
      <c r="FQ2191" s="4"/>
      <c r="FR2191" s="4"/>
      <c r="FS2191" s="4"/>
      <c r="FT2191" s="4">
        <v>60</v>
      </c>
      <c r="FU2191" s="4"/>
      <c r="FV2191" s="4"/>
      <c r="FW2191" s="4"/>
      <c r="FX2191" s="4"/>
      <c r="FY2191" s="4"/>
      <c r="FZ2191" s="4"/>
      <c r="GA2191" s="4"/>
      <c r="GB2191" s="4"/>
      <c r="GC2191" s="4"/>
      <c r="GD2191" s="4"/>
      <c r="GE2191" s="4"/>
      <c r="GF2191" s="4"/>
      <c r="GG2191" s="4"/>
      <c r="GH2191" s="4"/>
      <c r="GI2191" s="4"/>
      <c r="GJ2191" s="4"/>
      <c r="GK2191" s="4"/>
      <c r="GL2191" s="4"/>
      <c r="GM2191" s="4"/>
      <c r="GN2191" s="4"/>
      <c r="GO2191" s="4"/>
      <c r="GP2191" s="4"/>
      <c r="GQ2191" s="4"/>
      <c r="GR2191" s="4"/>
      <c r="GS2191" s="4"/>
      <c r="GT2191" s="4"/>
      <c r="GU2191" s="4"/>
      <c r="GV2191" s="4"/>
      <c r="GW2191" s="4"/>
      <c r="GX2191" s="4"/>
      <c r="GY2191" s="4"/>
      <c r="GZ2191" s="4"/>
      <c r="HA2191" s="4"/>
      <c r="HB2191" s="4"/>
      <c r="HC2191" s="4"/>
      <c r="HD2191" s="4"/>
      <c r="HE2191" s="4"/>
    </row>
    <row r="2192">
      <c r="A2192" s="2" t="s">
        <v>10349</v>
      </c>
      <c r="B2192" s="2" t="s">
        <v>299</v>
      </c>
      <c r="C2192" s="2" t="s">
        <v>4000</v>
      </c>
      <c r="D2192" s="2" t="s">
        <v>301</v>
      </c>
      <c r="E2192" s="2" t="s">
        <v>302</v>
      </c>
      <c r="F2192" s="2" t="s">
        <v>10317</v>
      </c>
      <c r="G2192" s="2" t="s">
        <v>10317</v>
      </c>
      <c r="H2192" s="2" t="s">
        <v>10317</v>
      </c>
      <c r="I2192" s="2" t="s">
        <v>10318</v>
      </c>
      <c r="J2192" s="2" t="s">
        <v>284</v>
      </c>
      <c r="K2192" s="2" t="s">
        <v>829</v>
      </c>
      <c r="L2192" s="3">
        <v>25.3</v>
      </c>
      <c r="M2192" s="3">
        <v>26.57</v>
      </c>
      <c r="N2192" s="3">
        <v>54.99</v>
      </c>
      <c r="O2192" s="2" t="s">
        <v>240</v>
      </c>
      <c r="P2192" s="2" t="s">
        <v>233</v>
      </c>
      <c r="Q2192" s="2" t="s">
        <v>234</v>
      </c>
      <c r="R2192" s="2" t="s">
        <v>228</v>
      </c>
      <c r="S2192" s="2" t="s">
        <v>10348</v>
      </c>
      <c r="T2192" s="2" t="s">
        <v>3112</v>
      </c>
      <c r="U2192" s="2" t="s">
        <v>308</v>
      </c>
      <c r="V2192" s="2" t="s">
        <v>236</v>
      </c>
      <c r="W2192" s="2" t="s">
        <v>269</v>
      </c>
      <c r="X2192" s="2" t="s">
        <v>228</v>
      </c>
      <c r="Y2192" s="2" t="s">
        <v>1439</v>
      </c>
      <c r="Z2192" s="4"/>
      <c r="AA2192" s="4">
        <f>=ROUNDDOWN({0},0)</f>
      </c>
      <c r="AB2192" s="5"/>
      <c r="AC2192" s="2" t="s">
        <v>1014</v>
      </c>
      <c r="AD2192" s="4">
        <v>120</v>
      </c>
      <c r="AE2192" s="4">
        <v>380</v>
      </c>
      <c r="AF2192" s="6">
        <v>65</v>
      </c>
      <c r="AG2192" s="6"/>
      <c r="AH2192" s="7"/>
      <c r="AI2192" s="4"/>
      <c r="AJ2192" s="4">
        <f>=ROUNDDOWN({0},0)</f>
      </c>
      <c r="AK2192" s="5"/>
      <c r="AL2192" s="2" t="s">
        <v>228</v>
      </c>
      <c r="AM2192" s="4"/>
      <c r="AN2192" s="4"/>
      <c r="AO2192" s="7"/>
      <c r="AP2192" s="4"/>
      <c r="AQ2192" s="8"/>
      <c r="AR2192" s="4"/>
      <c r="AS2192" s="8"/>
      <c r="AT2192" s="7"/>
      <c r="AU2192" s="7"/>
      <c r="AV2192" s="4" t="s">
        <v>228</v>
      </c>
      <c r="AW2192" s="8" t="s">
        <v>228</v>
      </c>
      <c r="AX2192" s="4" t="s">
        <v>228</v>
      </c>
      <c r="AY2192" s="8" t="s">
        <v>228</v>
      </c>
      <c r="AZ2192" s="7" t="s">
        <v>228</v>
      </c>
      <c r="BA2192" s="7" t="s">
        <v>228</v>
      </c>
      <c r="BB2192" s="7"/>
      <c r="BC2192" s="4" t="s">
        <v>228</v>
      </c>
      <c r="BD2192" s="8" t="s">
        <v>228</v>
      </c>
      <c r="BE2192" s="4" t="s">
        <v>228</v>
      </c>
      <c r="BF2192" s="8" t="s">
        <v>228</v>
      </c>
      <c r="BG2192" s="7" t="s">
        <v>228</v>
      </c>
      <c r="BH2192" s="7" t="s">
        <v>228</v>
      </c>
      <c r="BI2192" s="7"/>
      <c r="BJ2192" s="4"/>
      <c r="BK2192" s="8"/>
      <c r="BL2192" s="2" t="s">
        <v>228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238</v>
      </c>
      <c r="BV2192" s="2" t="s">
        <v>228</v>
      </c>
      <c r="BW2192" s="2" t="s">
        <v>228</v>
      </c>
      <c r="BX2192" s="2" t="s">
        <v>238</v>
      </c>
      <c r="BY2192" s="2" t="s">
        <v>239</v>
      </c>
      <c r="BZ2192" s="2" t="s">
        <v>240</v>
      </c>
      <c r="CA2192" s="2" t="s">
        <v>228</v>
      </c>
      <c r="CB2192" s="2" t="s">
        <v>228</v>
      </c>
      <c r="CC2192" s="2" t="s">
        <v>241</v>
      </c>
      <c r="CD2192" s="2" t="s">
        <v>228</v>
      </c>
      <c r="CE2192" s="4"/>
      <c r="CF2192" s="4"/>
      <c r="CG2192" s="4"/>
      <c r="CH2192" s="4"/>
      <c r="CI2192" s="4"/>
      <c r="CJ2192" s="4"/>
      <c r="CK2192" s="4"/>
      <c r="CL2192" s="4"/>
      <c r="CM2192" s="4"/>
      <c r="CN2192" s="4"/>
      <c r="CO2192" s="4"/>
      <c r="CP2192" s="4"/>
      <c r="CQ2192" s="4"/>
      <c r="CR2192" s="4"/>
      <c r="CS2192" s="4"/>
      <c r="CT2192" s="4"/>
      <c r="CU2192" s="4"/>
      <c r="CV2192" s="4"/>
      <c r="CW2192" s="4"/>
      <c r="CX2192" s="4"/>
      <c r="CY2192" s="4"/>
      <c r="CZ2192" s="4"/>
      <c r="DA2192" s="4"/>
      <c r="DB2192" s="4"/>
      <c r="DC2192" s="4"/>
      <c r="DD2192" s="4"/>
      <c r="DE2192" s="4"/>
      <c r="DF2192" s="4"/>
      <c r="DG2192" s="4"/>
      <c r="DH2192" s="4"/>
      <c r="DI2192" s="4"/>
      <c r="DJ2192" s="4"/>
      <c r="DK2192" s="4"/>
      <c r="DL2192" s="4"/>
      <c r="DM2192" s="4"/>
      <c r="DN2192" s="4"/>
      <c r="DO2192" s="4"/>
      <c r="DP2192" s="4">
        <v>120</v>
      </c>
      <c r="DQ2192" s="4"/>
      <c r="DR2192" s="4"/>
      <c r="DS2192" s="4"/>
      <c r="DT2192" s="4"/>
      <c r="DU2192" s="4"/>
      <c r="DV2192" s="4"/>
      <c r="DW2192" s="4"/>
      <c r="DX2192" s="4"/>
      <c r="DY2192" s="4"/>
      <c r="DZ2192" s="4"/>
      <c r="EA2192" s="4"/>
      <c r="EB2192" s="4"/>
      <c r="EC2192" s="4"/>
      <c r="ED2192" s="4"/>
      <c r="EE2192" s="4"/>
      <c r="EF2192" s="4"/>
      <c r="EG2192" s="4"/>
      <c r="EH2192" s="4">
        <v>70</v>
      </c>
      <c r="EI2192" s="4"/>
      <c r="EJ2192" s="4"/>
      <c r="EK2192" s="4"/>
      <c r="EL2192" s="4"/>
      <c r="EM2192" s="4"/>
      <c r="EN2192" s="4"/>
      <c r="EO2192" s="4">
        <v>20</v>
      </c>
      <c r="EP2192" s="4"/>
      <c r="EQ2192" s="4"/>
      <c r="ER2192" s="4"/>
      <c r="ES2192" s="4"/>
      <c r="ET2192" s="4"/>
      <c r="EU2192" s="4"/>
      <c r="EV2192" s="4"/>
      <c r="EW2192" s="4"/>
      <c r="EX2192" s="4"/>
      <c r="EY2192" s="4"/>
      <c r="EZ2192" s="4"/>
      <c r="FA2192" s="4"/>
      <c r="FB2192" s="4"/>
      <c r="FC2192" s="4"/>
      <c r="FD2192" s="4"/>
      <c r="FE2192" s="4"/>
      <c r="FF2192" s="4">
        <v>100</v>
      </c>
      <c r="FG2192" s="4"/>
      <c r="FH2192" s="4"/>
      <c r="FI2192" s="4"/>
      <c r="FJ2192" s="4"/>
      <c r="FK2192" s="4"/>
      <c r="FL2192" s="4"/>
      <c r="FM2192" s="4"/>
      <c r="FN2192" s="4"/>
      <c r="FO2192" s="4"/>
      <c r="FP2192" s="4"/>
      <c r="FQ2192" s="4"/>
      <c r="FR2192" s="4"/>
      <c r="FS2192" s="4"/>
      <c r="FT2192" s="4">
        <v>70</v>
      </c>
      <c r="FU2192" s="4"/>
      <c r="FV2192" s="4"/>
      <c r="FW2192" s="4"/>
      <c r="FX2192" s="4"/>
      <c r="FY2192" s="4"/>
      <c r="FZ2192" s="4"/>
      <c r="GA2192" s="4"/>
      <c r="GB2192" s="4"/>
      <c r="GC2192" s="4"/>
      <c r="GD2192" s="4"/>
      <c r="GE2192" s="4"/>
      <c r="GF2192" s="4"/>
      <c r="GG2192" s="4"/>
      <c r="GH2192" s="4"/>
      <c r="GI2192" s="4"/>
      <c r="GJ2192" s="4"/>
      <c r="GK2192" s="4"/>
      <c r="GL2192" s="4"/>
      <c r="GM2192" s="4"/>
      <c r="GN2192" s="4"/>
      <c r="GO2192" s="4"/>
      <c r="GP2192" s="4"/>
      <c r="GQ2192" s="4"/>
      <c r="GR2192" s="4"/>
      <c r="GS2192" s="4"/>
      <c r="GT2192" s="4"/>
      <c r="GU2192" s="4"/>
      <c r="GV2192" s="4"/>
      <c r="GW2192" s="4"/>
      <c r="GX2192" s="4"/>
      <c r="GY2192" s="4"/>
      <c r="GZ2192" s="4"/>
      <c r="HA2192" s="4"/>
      <c r="HB2192" s="4"/>
      <c r="HC2192" s="4"/>
      <c r="HD2192" s="4"/>
      <c r="HE2192" s="4"/>
    </row>
    <row r="2193">
      <c r="A2193" s="2" t="s">
        <v>10350</v>
      </c>
      <c r="B2193" s="2" t="s">
        <v>299</v>
      </c>
      <c r="C2193" s="2" t="s">
        <v>4000</v>
      </c>
      <c r="D2193" s="2" t="s">
        <v>301</v>
      </c>
      <c r="E2193" s="2" t="s">
        <v>302</v>
      </c>
      <c r="F2193" s="2" t="s">
        <v>10317</v>
      </c>
      <c r="G2193" s="2" t="s">
        <v>10317</v>
      </c>
      <c r="H2193" s="2" t="s">
        <v>10317</v>
      </c>
      <c r="I2193" s="2" t="s">
        <v>10318</v>
      </c>
      <c r="J2193" s="2" t="s">
        <v>289</v>
      </c>
      <c r="K2193" s="2" t="s">
        <v>829</v>
      </c>
      <c r="L2193" s="3">
        <v>28.35</v>
      </c>
      <c r="M2193" s="3">
        <v>29.77</v>
      </c>
      <c r="N2193" s="3">
        <v>62.99</v>
      </c>
      <c r="O2193" s="2" t="s">
        <v>240</v>
      </c>
      <c r="P2193" s="2" t="s">
        <v>233</v>
      </c>
      <c r="Q2193" s="2" t="s">
        <v>234</v>
      </c>
      <c r="R2193" s="2" t="s">
        <v>228</v>
      </c>
      <c r="S2193" s="2" t="s">
        <v>10348</v>
      </c>
      <c r="T2193" s="2" t="s">
        <v>3112</v>
      </c>
      <c r="U2193" s="2" t="s">
        <v>308</v>
      </c>
      <c r="V2193" s="2" t="s">
        <v>236</v>
      </c>
      <c r="W2193" s="2" t="s">
        <v>269</v>
      </c>
      <c r="X2193" s="2" t="s">
        <v>228</v>
      </c>
      <c r="Y2193" s="2" t="s">
        <v>1439</v>
      </c>
      <c r="Z2193" s="4"/>
      <c r="AA2193" s="4">
        <f>=ROUNDDOWN({0},0)</f>
      </c>
      <c r="AB2193" s="5"/>
      <c r="AC2193" s="2" t="s">
        <v>1014</v>
      </c>
      <c r="AD2193" s="4">
        <v>480</v>
      </c>
      <c r="AE2193" s="4">
        <v>1820</v>
      </c>
      <c r="AF2193" s="6">
        <v>65</v>
      </c>
      <c r="AG2193" s="6"/>
      <c r="AH2193" s="7"/>
      <c r="AI2193" s="4"/>
      <c r="AJ2193" s="4">
        <f>=ROUNDDOWN({0},0)</f>
      </c>
      <c r="AK2193" s="5"/>
      <c r="AL2193" s="2" t="s">
        <v>228</v>
      </c>
      <c r="AM2193" s="4"/>
      <c r="AN2193" s="4"/>
      <c r="AO2193" s="7"/>
      <c r="AP2193" s="4"/>
      <c r="AQ2193" s="8"/>
      <c r="AR2193" s="4"/>
      <c r="AS2193" s="8"/>
      <c r="AT2193" s="7"/>
      <c r="AU2193" s="7"/>
      <c r="AV2193" s="4" t="s">
        <v>228</v>
      </c>
      <c r="AW2193" s="8" t="s">
        <v>228</v>
      </c>
      <c r="AX2193" s="4" t="s">
        <v>228</v>
      </c>
      <c r="AY2193" s="8" t="s">
        <v>228</v>
      </c>
      <c r="AZ2193" s="7" t="s">
        <v>228</v>
      </c>
      <c r="BA2193" s="7" t="s">
        <v>228</v>
      </c>
      <c r="BB2193" s="7"/>
      <c r="BC2193" s="4" t="s">
        <v>228</v>
      </c>
      <c r="BD2193" s="8" t="s">
        <v>228</v>
      </c>
      <c r="BE2193" s="4" t="s">
        <v>228</v>
      </c>
      <c r="BF2193" s="8" t="s">
        <v>228</v>
      </c>
      <c r="BG2193" s="7" t="s">
        <v>228</v>
      </c>
      <c r="BH2193" s="7" t="s">
        <v>228</v>
      </c>
      <c r="BI2193" s="7"/>
      <c r="BJ2193" s="4"/>
      <c r="BK2193" s="8"/>
      <c r="BL2193" s="2" t="s">
        <v>228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238</v>
      </c>
      <c r="BV2193" s="2" t="s">
        <v>228</v>
      </c>
      <c r="BW2193" s="2" t="s">
        <v>228</v>
      </c>
      <c r="BX2193" s="2" t="s">
        <v>238</v>
      </c>
      <c r="BY2193" s="2" t="s">
        <v>239</v>
      </c>
      <c r="BZ2193" s="2" t="s">
        <v>240</v>
      </c>
      <c r="CA2193" s="2" t="s">
        <v>228</v>
      </c>
      <c r="CB2193" s="2" t="s">
        <v>228</v>
      </c>
      <c r="CC2193" s="2" t="s">
        <v>241</v>
      </c>
      <c r="CD2193" s="2" t="s">
        <v>228</v>
      </c>
      <c r="CE2193" s="4"/>
      <c r="CF2193" s="4"/>
      <c r="CG2193" s="4"/>
      <c r="CH2193" s="4"/>
      <c r="CI2193" s="4"/>
      <c r="CJ2193" s="4"/>
      <c r="CK2193" s="4"/>
      <c r="CL2193" s="4"/>
      <c r="CM2193" s="4"/>
      <c r="CN2193" s="4"/>
      <c r="CO2193" s="4"/>
      <c r="CP2193" s="4"/>
      <c r="CQ2193" s="4"/>
      <c r="CR2193" s="4"/>
      <c r="CS2193" s="4"/>
      <c r="CT2193" s="4"/>
      <c r="CU2193" s="4"/>
      <c r="CV2193" s="4"/>
      <c r="CW2193" s="4"/>
      <c r="CX2193" s="4"/>
      <c r="CY2193" s="4"/>
      <c r="CZ2193" s="4"/>
      <c r="DA2193" s="4"/>
      <c r="DB2193" s="4"/>
      <c r="DC2193" s="4"/>
      <c r="DD2193" s="4"/>
      <c r="DE2193" s="4"/>
      <c r="DF2193" s="4"/>
      <c r="DG2193" s="4"/>
      <c r="DH2193" s="4"/>
      <c r="DI2193" s="4"/>
      <c r="DJ2193" s="4"/>
      <c r="DK2193" s="4"/>
      <c r="DL2193" s="4"/>
      <c r="DM2193" s="4"/>
      <c r="DN2193" s="4"/>
      <c r="DO2193" s="4"/>
      <c r="DP2193" s="4">
        <v>480</v>
      </c>
      <c r="DQ2193" s="4"/>
      <c r="DR2193" s="4"/>
      <c r="DS2193" s="4"/>
      <c r="DT2193" s="4"/>
      <c r="DU2193" s="4"/>
      <c r="DV2193" s="4"/>
      <c r="DW2193" s="4"/>
      <c r="DX2193" s="4"/>
      <c r="DY2193" s="4"/>
      <c r="DZ2193" s="4"/>
      <c r="EA2193" s="4"/>
      <c r="EB2193" s="4"/>
      <c r="EC2193" s="4"/>
      <c r="ED2193" s="4"/>
      <c r="EE2193" s="4"/>
      <c r="EF2193" s="4"/>
      <c r="EG2193" s="4"/>
      <c r="EH2193" s="4">
        <v>430</v>
      </c>
      <c r="EI2193" s="4"/>
      <c r="EJ2193" s="4"/>
      <c r="EK2193" s="4"/>
      <c r="EL2193" s="4"/>
      <c r="EM2193" s="4"/>
      <c r="EN2193" s="4"/>
      <c r="EO2193" s="4">
        <v>100</v>
      </c>
      <c r="EP2193" s="4"/>
      <c r="EQ2193" s="4"/>
      <c r="ER2193" s="4"/>
      <c r="ES2193" s="4"/>
      <c r="ET2193" s="4"/>
      <c r="EU2193" s="4"/>
      <c r="EV2193" s="4"/>
      <c r="EW2193" s="4"/>
      <c r="EX2193" s="4"/>
      <c r="EY2193" s="4"/>
      <c r="EZ2193" s="4"/>
      <c r="FA2193" s="4"/>
      <c r="FB2193" s="4"/>
      <c r="FC2193" s="4"/>
      <c r="FD2193" s="4"/>
      <c r="FE2193" s="4"/>
      <c r="FF2193" s="4">
        <v>450</v>
      </c>
      <c r="FG2193" s="4"/>
      <c r="FH2193" s="4"/>
      <c r="FI2193" s="4"/>
      <c r="FJ2193" s="4"/>
      <c r="FK2193" s="4"/>
      <c r="FL2193" s="4"/>
      <c r="FM2193" s="4"/>
      <c r="FN2193" s="4"/>
      <c r="FO2193" s="4"/>
      <c r="FP2193" s="4"/>
      <c r="FQ2193" s="4"/>
      <c r="FR2193" s="4"/>
      <c r="FS2193" s="4"/>
      <c r="FT2193" s="4">
        <v>360</v>
      </c>
      <c r="FU2193" s="4"/>
      <c r="FV2193" s="4"/>
      <c r="FW2193" s="4"/>
      <c r="FX2193" s="4"/>
      <c r="FY2193" s="4"/>
      <c r="FZ2193" s="4"/>
      <c r="GA2193" s="4"/>
      <c r="GB2193" s="4"/>
      <c r="GC2193" s="4"/>
      <c r="GD2193" s="4"/>
      <c r="GE2193" s="4"/>
      <c r="GF2193" s="4"/>
      <c r="GG2193" s="4"/>
      <c r="GH2193" s="4"/>
      <c r="GI2193" s="4"/>
      <c r="GJ2193" s="4"/>
      <c r="GK2193" s="4"/>
      <c r="GL2193" s="4"/>
      <c r="GM2193" s="4"/>
      <c r="GN2193" s="4"/>
      <c r="GO2193" s="4"/>
      <c r="GP2193" s="4"/>
      <c r="GQ2193" s="4"/>
      <c r="GR2193" s="4"/>
      <c r="GS2193" s="4"/>
      <c r="GT2193" s="4"/>
      <c r="GU2193" s="4"/>
      <c r="GV2193" s="4"/>
      <c r="GW2193" s="4"/>
      <c r="GX2193" s="4"/>
      <c r="GY2193" s="4"/>
      <c r="GZ2193" s="4"/>
      <c r="HA2193" s="4"/>
      <c r="HB2193" s="4"/>
      <c r="HC2193" s="4"/>
      <c r="HD2193" s="4"/>
      <c r="HE2193" s="4"/>
    </row>
    <row r="2194">
      <c r="A2194" s="2" t="s">
        <v>10351</v>
      </c>
      <c r="B2194" s="2" t="s">
        <v>299</v>
      </c>
      <c r="C2194" s="2" t="s">
        <v>4000</v>
      </c>
      <c r="D2194" s="2" t="s">
        <v>301</v>
      </c>
      <c r="E2194" s="2" t="s">
        <v>302</v>
      </c>
      <c r="F2194" s="2" t="s">
        <v>10317</v>
      </c>
      <c r="G2194" s="2" t="s">
        <v>10317</v>
      </c>
      <c r="H2194" s="2" t="s">
        <v>10317</v>
      </c>
      <c r="I2194" s="2" t="s">
        <v>10318</v>
      </c>
      <c r="J2194" s="2" t="s">
        <v>294</v>
      </c>
      <c r="K2194" s="2" t="s">
        <v>829</v>
      </c>
      <c r="L2194" s="3">
        <v>34.5</v>
      </c>
      <c r="M2194" s="3">
        <v>36.23</v>
      </c>
      <c r="N2194" s="3">
        <v>74.99</v>
      </c>
      <c r="O2194" s="2" t="s">
        <v>240</v>
      </c>
      <c r="P2194" s="2" t="s">
        <v>233</v>
      </c>
      <c r="Q2194" s="2" t="s">
        <v>234</v>
      </c>
      <c r="R2194" s="2" t="s">
        <v>228</v>
      </c>
      <c r="S2194" s="2" t="s">
        <v>10348</v>
      </c>
      <c r="T2194" s="2" t="s">
        <v>3112</v>
      </c>
      <c r="U2194" s="2" t="s">
        <v>308</v>
      </c>
      <c r="V2194" s="2" t="s">
        <v>236</v>
      </c>
      <c r="W2194" s="2" t="s">
        <v>269</v>
      </c>
      <c r="X2194" s="2" t="s">
        <v>228</v>
      </c>
      <c r="Y2194" s="2" t="s">
        <v>1439</v>
      </c>
      <c r="Z2194" s="4"/>
      <c r="AA2194" s="4">
        <f>=ROUNDDOWN({0},0)</f>
      </c>
      <c r="AB2194" s="5"/>
      <c r="AC2194" s="2" t="s">
        <v>1014</v>
      </c>
      <c r="AD2194" s="4">
        <v>220</v>
      </c>
      <c r="AE2194" s="4">
        <v>830</v>
      </c>
      <c r="AF2194" s="6">
        <v>65</v>
      </c>
      <c r="AG2194" s="6"/>
      <c r="AH2194" s="7"/>
      <c r="AI2194" s="4"/>
      <c r="AJ2194" s="4">
        <f>=ROUNDDOWN({0},0)</f>
      </c>
      <c r="AK2194" s="5"/>
      <c r="AL2194" s="2" t="s">
        <v>228</v>
      </c>
      <c r="AM2194" s="4"/>
      <c r="AN2194" s="4"/>
      <c r="AO2194" s="7"/>
      <c r="AP2194" s="4"/>
      <c r="AQ2194" s="8"/>
      <c r="AR2194" s="4"/>
      <c r="AS2194" s="8"/>
      <c r="AT2194" s="7"/>
      <c r="AU2194" s="7"/>
      <c r="AV2194" s="4" t="s">
        <v>228</v>
      </c>
      <c r="AW2194" s="8" t="s">
        <v>228</v>
      </c>
      <c r="AX2194" s="4" t="s">
        <v>228</v>
      </c>
      <c r="AY2194" s="8" t="s">
        <v>228</v>
      </c>
      <c r="AZ2194" s="7" t="s">
        <v>228</v>
      </c>
      <c r="BA2194" s="7" t="s">
        <v>228</v>
      </c>
      <c r="BB2194" s="7"/>
      <c r="BC2194" s="4" t="s">
        <v>228</v>
      </c>
      <c r="BD2194" s="8" t="s">
        <v>228</v>
      </c>
      <c r="BE2194" s="4" t="s">
        <v>228</v>
      </c>
      <c r="BF2194" s="8" t="s">
        <v>228</v>
      </c>
      <c r="BG2194" s="7" t="s">
        <v>228</v>
      </c>
      <c r="BH2194" s="7" t="s">
        <v>228</v>
      </c>
      <c r="BI2194" s="7"/>
      <c r="BJ2194" s="4"/>
      <c r="BK2194" s="8"/>
      <c r="BL2194" s="2" t="s">
        <v>228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238</v>
      </c>
      <c r="BV2194" s="2" t="s">
        <v>228</v>
      </c>
      <c r="BW2194" s="2" t="s">
        <v>228</v>
      </c>
      <c r="BX2194" s="2" t="s">
        <v>238</v>
      </c>
      <c r="BY2194" s="2" t="s">
        <v>239</v>
      </c>
      <c r="BZ2194" s="2" t="s">
        <v>240</v>
      </c>
      <c r="CA2194" s="2" t="s">
        <v>228</v>
      </c>
      <c r="CB2194" s="2" t="s">
        <v>228</v>
      </c>
      <c r="CC2194" s="2" t="s">
        <v>241</v>
      </c>
      <c r="CD2194" s="2" t="s">
        <v>228</v>
      </c>
      <c r="CE2194" s="4"/>
      <c r="CF2194" s="4"/>
      <c r="CG2194" s="4"/>
      <c r="CH2194" s="4"/>
      <c r="CI2194" s="4"/>
      <c r="CJ2194" s="4"/>
      <c r="CK2194" s="4"/>
      <c r="CL2194" s="4"/>
      <c r="CM2194" s="4"/>
      <c r="CN2194" s="4"/>
      <c r="CO2194" s="4"/>
      <c r="CP2194" s="4"/>
      <c r="CQ2194" s="4"/>
      <c r="CR2194" s="4"/>
      <c r="CS2194" s="4"/>
      <c r="CT2194" s="4"/>
      <c r="CU2194" s="4"/>
      <c r="CV2194" s="4"/>
      <c r="CW2194" s="4"/>
      <c r="CX2194" s="4"/>
      <c r="CY2194" s="4"/>
      <c r="CZ2194" s="4"/>
      <c r="DA2194" s="4"/>
      <c r="DB2194" s="4"/>
      <c r="DC2194" s="4"/>
      <c r="DD2194" s="4"/>
      <c r="DE2194" s="4"/>
      <c r="DF2194" s="4"/>
      <c r="DG2194" s="4"/>
      <c r="DH2194" s="4"/>
      <c r="DI2194" s="4"/>
      <c r="DJ2194" s="4"/>
      <c r="DK2194" s="4"/>
      <c r="DL2194" s="4"/>
      <c r="DM2194" s="4"/>
      <c r="DN2194" s="4"/>
      <c r="DO2194" s="4"/>
      <c r="DP2194" s="4">
        <v>220</v>
      </c>
      <c r="DQ2194" s="4"/>
      <c r="DR2194" s="4"/>
      <c r="DS2194" s="4"/>
      <c r="DT2194" s="4"/>
      <c r="DU2194" s="4"/>
      <c r="DV2194" s="4"/>
      <c r="DW2194" s="4"/>
      <c r="DX2194" s="4"/>
      <c r="DY2194" s="4"/>
      <c r="DZ2194" s="4"/>
      <c r="EA2194" s="4"/>
      <c r="EB2194" s="4"/>
      <c r="EC2194" s="4"/>
      <c r="ED2194" s="4"/>
      <c r="EE2194" s="4"/>
      <c r="EF2194" s="4"/>
      <c r="EG2194" s="4"/>
      <c r="EH2194" s="4">
        <v>200</v>
      </c>
      <c r="EI2194" s="4"/>
      <c r="EJ2194" s="4"/>
      <c r="EK2194" s="4"/>
      <c r="EL2194" s="4"/>
      <c r="EM2194" s="4"/>
      <c r="EN2194" s="4"/>
      <c r="EO2194" s="4">
        <v>50</v>
      </c>
      <c r="EP2194" s="4"/>
      <c r="EQ2194" s="4"/>
      <c r="ER2194" s="4"/>
      <c r="ES2194" s="4"/>
      <c r="ET2194" s="4"/>
      <c r="EU2194" s="4"/>
      <c r="EV2194" s="4"/>
      <c r="EW2194" s="4"/>
      <c r="EX2194" s="4"/>
      <c r="EY2194" s="4"/>
      <c r="EZ2194" s="4"/>
      <c r="FA2194" s="4"/>
      <c r="FB2194" s="4"/>
      <c r="FC2194" s="4"/>
      <c r="FD2194" s="4"/>
      <c r="FE2194" s="4"/>
      <c r="FF2194" s="4">
        <v>200</v>
      </c>
      <c r="FG2194" s="4"/>
      <c r="FH2194" s="4"/>
      <c r="FI2194" s="4"/>
      <c r="FJ2194" s="4"/>
      <c r="FK2194" s="4"/>
      <c r="FL2194" s="4"/>
      <c r="FM2194" s="4"/>
      <c r="FN2194" s="4"/>
      <c r="FO2194" s="4"/>
      <c r="FP2194" s="4"/>
      <c r="FQ2194" s="4"/>
      <c r="FR2194" s="4"/>
      <c r="FS2194" s="4"/>
      <c r="FT2194" s="4">
        <v>160</v>
      </c>
      <c r="FU2194" s="4"/>
      <c r="FV2194" s="4"/>
      <c r="FW2194" s="4"/>
      <c r="FX2194" s="4"/>
      <c r="FY2194" s="4"/>
      <c r="FZ2194" s="4"/>
      <c r="GA2194" s="4"/>
      <c r="GB2194" s="4"/>
      <c r="GC2194" s="4"/>
      <c r="GD2194" s="4"/>
      <c r="GE2194" s="4"/>
      <c r="GF2194" s="4"/>
      <c r="GG2194" s="4"/>
      <c r="GH2194" s="4"/>
      <c r="GI2194" s="4"/>
      <c r="GJ2194" s="4"/>
      <c r="GK2194" s="4"/>
      <c r="GL2194" s="4"/>
      <c r="GM2194" s="4"/>
      <c r="GN2194" s="4"/>
      <c r="GO2194" s="4"/>
      <c r="GP2194" s="4"/>
      <c r="GQ2194" s="4"/>
      <c r="GR2194" s="4"/>
      <c r="GS2194" s="4"/>
      <c r="GT2194" s="4"/>
      <c r="GU2194" s="4"/>
      <c r="GV2194" s="4"/>
      <c r="GW2194" s="4"/>
      <c r="GX2194" s="4"/>
      <c r="GY2194" s="4"/>
      <c r="GZ2194" s="4"/>
      <c r="HA2194" s="4"/>
      <c r="HB2194" s="4"/>
      <c r="HC2194" s="4"/>
      <c r="HD2194" s="4"/>
      <c r="HE2194" s="4"/>
    </row>
    <row r="2195">
      <c r="A2195" s="2" t="s">
        <v>10352</v>
      </c>
      <c r="B2195" s="2" t="s">
        <v>958</v>
      </c>
      <c r="C2195" s="2" t="s">
        <v>835</v>
      </c>
      <c r="D2195" s="2" t="s">
        <v>959</v>
      </c>
      <c r="E2195" s="2" t="s">
        <v>960</v>
      </c>
      <c r="F2195" s="2" t="s">
        <v>10353</v>
      </c>
      <c r="G2195" s="2" t="s">
        <v>10353</v>
      </c>
      <c r="H2195" s="2" t="s">
        <v>10353</v>
      </c>
      <c r="I2195" s="2" t="s">
        <v>2560</v>
      </c>
      <c r="J2195" s="2" t="s">
        <v>840</v>
      </c>
      <c r="K2195" s="2" t="s">
        <v>10354</v>
      </c>
      <c r="L2195" s="3">
        <v>263.5</v>
      </c>
      <c r="M2195" s="3">
        <v>276.68</v>
      </c>
      <c r="N2195" s="3">
        <v>549</v>
      </c>
      <c r="O2195" s="2" t="s">
        <v>240</v>
      </c>
      <c r="P2195" s="2" t="s">
        <v>266</v>
      </c>
      <c r="Q2195" s="2" t="s">
        <v>234</v>
      </c>
      <c r="R2195" s="2" t="s">
        <v>228</v>
      </c>
      <c r="S2195" s="2" t="s">
        <v>228</v>
      </c>
      <c r="T2195" s="2" t="s">
        <v>228</v>
      </c>
      <c r="U2195" s="2" t="s">
        <v>228</v>
      </c>
      <c r="V2195" s="2" t="s">
        <v>236</v>
      </c>
      <c r="W2195" s="2" t="s">
        <v>843</v>
      </c>
      <c r="X2195" s="2" t="s">
        <v>228</v>
      </c>
      <c r="Y2195" s="2" t="s">
        <v>7843</v>
      </c>
      <c r="Z2195" s="4">
        <v>67</v>
      </c>
      <c r="AA2195" s="4">
        <f>=ROUNDDOWN(9.57142857142857,0)</f>
      </c>
      <c r="AB2195" s="5">
        <v>7</v>
      </c>
      <c r="AC2195" s="2" t="s">
        <v>3106</v>
      </c>
      <c r="AD2195" s="4">
        <v>12</v>
      </c>
      <c r="AE2195" s="4">
        <v>100</v>
      </c>
      <c r="AF2195" s="6">
        <v>66</v>
      </c>
      <c r="AG2195" s="6"/>
      <c r="AH2195" s="7">
        <v>1</v>
      </c>
      <c r="AI2195" s="4"/>
      <c r="AJ2195" s="4">
        <f>=ROUNDDOWN({0},0)</f>
      </c>
      <c r="AK2195" s="5"/>
      <c r="AL2195" s="2" t="s">
        <v>228</v>
      </c>
      <c r="AM2195" s="4"/>
      <c r="AN2195" s="4"/>
      <c r="AO2195" s="7">
        <v>0.5484</v>
      </c>
      <c r="AP2195" s="4"/>
      <c r="AQ2195" s="8"/>
      <c r="AR2195" s="4"/>
      <c r="AS2195" s="8"/>
      <c r="AT2195" s="7"/>
      <c r="AU2195" s="7"/>
      <c r="AV2195" s="4"/>
      <c r="AW2195" s="8"/>
      <c r="AX2195" s="4"/>
      <c r="AY2195" s="8"/>
      <c r="AZ2195" s="7"/>
      <c r="BA2195" s="7"/>
      <c r="BB2195" s="7"/>
      <c r="BC2195" s="4"/>
      <c r="BD2195" s="8"/>
      <c r="BE2195" s="4"/>
      <c r="BF2195" s="8"/>
      <c r="BG2195" s="7"/>
      <c r="BH2195" s="7"/>
      <c r="BI2195" s="7"/>
      <c r="BJ2195" s="4">
        <v>26</v>
      </c>
      <c r="BK2195" s="8">
        <v>6777.36</v>
      </c>
      <c r="BL2195" s="2" t="s">
        <v>10355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10356</v>
      </c>
      <c r="BV2195" s="2" t="s">
        <v>228</v>
      </c>
      <c r="BW2195" s="2" t="s">
        <v>228</v>
      </c>
      <c r="BX2195" s="2" t="s">
        <v>273</v>
      </c>
      <c r="BY2195" s="2" t="s">
        <v>274</v>
      </c>
      <c r="BZ2195" s="2" t="s">
        <v>240</v>
      </c>
      <c r="CA2195" s="2" t="s">
        <v>8899</v>
      </c>
      <c r="CB2195" s="2" t="s">
        <v>4313</v>
      </c>
      <c r="CC2195" s="2" t="s">
        <v>241</v>
      </c>
      <c r="CD2195" s="2" t="s">
        <v>228</v>
      </c>
      <c r="CE2195" s="4"/>
      <c r="CF2195" s="4">
        <v>67</v>
      </c>
      <c r="CG2195" s="4"/>
      <c r="CH2195" s="4"/>
      <c r="CI2195" s="4"/>
      <c r="CJ2195" s="4"/>
      <c r="CK2195" s="4"/>
      <c r="CL2195" s="4"/>
      <c r="CM2195" s="4"/>
      <c r="CN2195" s="4"/>
      <c r="CO2195" s="4"/>
      <c r="CP2195" s="4"/>
      <c r="CQ2195" s="4"/>
      <c r="CR2195" s="4"/>
      <c r="CS2195" s="4"/>
      <c r="CT2195" s="4"/>
      <c r="CU2195" s="4"/>
      <c r="CV2195" s="4"/>
      <c r="CW2195" s="4"/>
      <c r="CX2195" s="4"/>
      <c r="CY2195" s="4"/>
      <c r="CZ2195" s="4"/>
      <c r="DA2195" s="4"/>
      <c r="DB2195" s="4"/>
      <c r="DC2195" s="4"/>
      <c r="DD2195" s="4"/>
      <c r="DE2195" s="4"/>
      <c r="DF2195" s="4"/>
      <c r="DG2195" s="4"/>
      <c r="DH2195" s="4"/>
      <c r="DI2195" s="4"/>
      <c r="DJ2195" s="4"/>
      <c r="DK2195" s="4"/>
      <c r="DL2195" s="4"/>
      <c r="DM2195" s="4"/>
      <c r="DN2195" s="4"/>
      <c r="DO2195" s="4"/>
      <c r="DP2195" s="4"/>
      <c r="DQ2195" s="4"/>
      <c r="DR2195" s="4"/>
      <c r="DS2195" s="4"/>
      <c r="DT2195" s="4"/>
      <c r="DU2195" s="4"/>
      <c r="DV2195" s="4"/>
      <c r="DW2195" s="4"/>
      <c r="DX2195" s="4"/>
      <c r="DY2195" s="4"/>
      <c r="DZ2195" s="4"/>
      <c r="EA2195" s="4">
        <v>12</v>
      </c>
      <c r="EB2195" s="4"/>
      <c r="EC2195" s="4"/>
      <c r="ED2195" s="4">
        <v>88</v>
      </c>
      <c r="EE2195" s="4"/>
      <c r="EF2195" s="4"/>
      <c r="EG2195" s="4"/>
      <c r="EH2195" s="4"/>
      <c r="EI2195" s="4"/>
      <c r="EJ2195" s="4"/>
      <c r="EK2195" s="4"/>
      <c r="EL2195" s="4"/>
      <c r="EM2195" s="4"/>
      <c r="EN2195" s="4"/>
      <c r="EO2195" s="4"/>
      <c r="EP2195" s="4"/>
      <c r="EQ2195" s="4"/>
      <c r="ER2195" s="4"/>
      <c r="ES2195" s="4"/>
      <c r="ET2195" s="4"/>
      <c r="EU2195" s="4"/>
      <c r="EV2195" s="4"/>
      <c r="EW2195" s="4"/>
      <c r="EX2195" s="4"/>
      <c r="EY2195" s="4"/>
      <c r="EZ2195" s="4"/>
      <c r="FA2195" s="4"/>
      <c r="FB2195" s="4"/>
      <c r="FC2195" s="4"/>
      <c r="FD2195" s="4"/>
      <c r="FE2195" s="4"/>
      <c r="FF2195" s="4"/>
      <c r="FG2195" s="4"/>
      <c r="FH2195" s="4"/>
      <c r="FI2195" s="4"/>
      <c r="FJ2195" s="4"/>
      <c r="FK2195" s="4"/>
      <c r="FL2195" s="4"/>
      <c r="FM2195" s="4"/>
      <c r="FN2195" s="4"/>
      <c r="FO2195" s="4"/>
      <c r="FP2195" s="4"/>
      <c r="FQ2195" s="4"/>
      <c r="FR2195" s="4"/>
      <c r="FS2195" s="4"/>
      <c r="FT2195" s="4"/>
      <c r="FU2195" s="4"/>
      <c r="FV2195" s="4"/>
      <c r="FW2195" s="4"/>
      <c r="FX2195" s="4"/>
      <c r="FY2195" s="4"/>
      <c r="FZ2195" s="4"/>
      <c r="GA2195" s="4"/>
      <c r="GB2195" s="4"/>
      <c r="GC2195" s="4"/>
      <c r="GD2195" s="4"/>
      <c r="GE2195" s="4"/>
      <c r="GF2195" s="4"/>
      <c r="GG2195" s="4"/>
      <c r="GH2195" s="4"/>
      <c r="GI2195" s="4"/>
      <c r="GJ2195" s="4"/>
      <c r="GK2195" s="4"/>
      <c r="GL2195" s="4"/>
      <c r="GM2195" s="4"/>
      <c r="GN2195" s="4"/>
      <c r="GO2195" s="4"/>
      <c r="GP2195" s="4"/>
      <c r="GQ2195" s="4"/>
      <c r="GR2195" s="4"/>
      <c r="GS2195" s="4"/>
      <c r="GT2195" s="4"/>
      <c r="GU2195" s="4"/>
      <c r="GV2195" s="4"/>
      <c r="GW2195" s="4"/>
      <c r="GX2195" s="4"/>
      <c r="GY2195" s="4"/>
      <c r="GZ2195" s="4"/>
      <c r="HA2195" s="4"/>
      <c r="HB2195" s="4"/>
      <c r="HC2195" s="4"/>
      <c r="HD2195" s="4"/>
      <c r="HE2195" s="4"/>
    </row>
    <row r="2196">
      <c r="A2196" s="2" t="s">
        <v>10357</v>
      </c>
      <c r="B2196" s="2" t="s">
        <v>958</v>
      </c>
      <c r="C2196" s="2" t="s">
        <v>835</v>
      </c>
      <c r="D2196" s="2" t="s">
        <v>1795</v>
      </c>
      <c r="E2196" s="2" t="s">
        <v>10358</v>
      </c>
      <c r="F2196" s="2" t="s">
        <v>10359</v>
      </c>
      <c r="G2196" s="2" t="s">
        <v>10359</v>
      </c>
      <c r="H2196" s="2" t="s">
        <v>10359</v>
      </c>
      <c r="I2196" s="2" t="s">
        <v>10360</v>
      </c>
      <c r="J2196" s="2" t="s">
        <v>840</v>
      </c>
      <c r="K2196" s="2" t="s">
        <v>1357</v>
      </c>
      <c r="L2196" s="3">
        <v>730.65</v>
      </c>
      <c r="M2196" s="3">
        <v>767.18</v>
      </c>
      <c r="N2196" s="3">
        <v>1549</v>
      </c>
      <c r="O2196" s="2" t="s">
        <v>240</v>
      </c>
      <c r="P2196" s="2" t="s">
        <v>1022</v>
      </c>
      <c r="Q2196" s="2" t="s">
        <v>234</v>
      </c>
      <c r="R2196" s="2" t="s">
        <v>16</v>
      </c>
      <c r="S2196" s="2" t="s">
        <v>228</v>
      </c>
      <c r="T2196" s="2" t="s">
        <v>228</v>
      </c>
      <c r="U2196" s="2" t="s">
        <v>1054</v>
      </c>
      <c r="V2196" s="2" t="s">
        <v>236</v>
      </c>
      <c r="W2196" s="2" t="s">
        <v>3057</v>
      </c>
      <c r="X2196" s="2" t="s">
        <v>228</v>
      </c>
      <c r="Y2196" s="2" t="s">
        <v>10361</v>
      </c>
      <c r="Z2196" s="4">
        <v>32</v>
      </c>
      <c r="AA2196" s="4">
        <f>=ROUNDDOWN({0},0)</f>
      </c>
      <c r="AB2196" s="5"/>
      <c r="AC2196" s="2" t="s">
        <v>228</v>
      </c>
      <c r="AD2196" s="4"/>
      <c r="AE2196" s="4"/>
      <c r="AF2196" s="6"/>
      <c r="AG2196" s="6"/>
      <c r="AH2196" s="7">
        <v>1</v>
      </c>
      <c r="AI2196" s="4"/>
      <c r="AJ2196" s="4">
        <f>=ROUNDDOWN({0},0)</f>
      </c>
      <c r="AK2196" s="5"/>
      <c r="AL2196" s="2" t="s">
        <v>228</v>
      </c>
      <c r="AM2196" s="4"/>
      <c r="AN2196" s="4"/>
      <c r="AO2196" s="7"/>
      <c r="AP2196" s="4"/>
      <c r="AQ2196" s="8"/>
      <c r="AR2196" s="4"/>
      <c r="AS2196" s="8"/>
      <c r="AT2196" s="7"/>
      <c r="AU2196" s="7"/>
      <c r="AV2196" s="4" t="s">
        <v>228</v>
      </c>
      <c r="AW2196" s="8" t="s">
        <v>228</v>
      </c>
      <c r="AX2196" s="4" t="s">
        <v>228</v>
      </c>
      <c r="AY2196" s="8" t="s">
        <v>228</v>
      </c>
      <c r="AZ2196" s="7" t="s">
        <v>228</v>
      </c>
      <c r="BA2196" s="7" t="s">
        <v>228</v>
      </c>
      <c r="BB2196" s="7" t="s">
        <v>228</v>
      </c>
      <c r="BC2196" s="4" t="s">
        <v>228</v>
      </c>
      <c r="BD2196" s="8" t="s">
        <v>228</v>
      </c>
      <c r="BE2196" s="4" t="s">
        <v>228</v>
      </c>
      <c r="BF2196" s="8" t="s">
        <v>228</v>
      </c>
      <c r="BG2196" s="7" t="s">
        <v>228</v>
      </c>
      <c r="BH2196" s="7" t="s">
        <v>228</v>
      </c>
      <c r="BI2196" s="7"/>
      <c r="BJ2196" s="4"/>
      <c r="BK2196" s="8"/>
      <c r="BL2196" s="2" t="s">
        <v>228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10362</v>
      </c>
      <c r="BV2196" s="2" t="s">
        <v>228</v>
      </c>
      <c r="BW2196" s="2" t="s">
        <v>228</v>
      </c>
      <c r="BX2196" s="2" t="s">
        <v>273</v>
      </c>
      <c r="BY2196" s="2" t="s">
        <v>274</v>
      </c>
      <c r="BZ2196" s="2" t="s">
        <v>240</v>
      </c>
      <c r="CA2196" s="2" t="s">
        <v>1203</v>
      </c>
      <c r="CB2196" s="2" t="s">
        <v>400</v>
      </c>
      <c r="CC2196" s="2" t="s">
        <v>241</v>
      </c>
      <c r="CD2196" s="2" t="s">
        <v>228</v>
      </c>
      <c r="CE2196" s="4"/>
      <c r="CF2196" s="4">
        <v>32</v>
      </c>
      <c r="CG2196" s="4"/>
      <c r="CH2196" s="4"/>
      <c r="CI2196" s="4"/>
      <c r="CJ2196" s="4"/>
      <c r="CK2196" s="4"/>
      <c r="CL2196" s="4"/>
      <c r="CM2196" s="4"/>
      <c r="CN2196" s="4"/>
      <c r="CO2196" s="4"/>
      <c r="CP2196" s="4"/>
      <c r="CQ2196" s="4"/>
      <c r="CR2196" s="4"/>
      <c r="CS2196" s="4"/>
      <c r="CT2196" s="4"/>
      <c r="CU2196" s="4"/>
      <c r="CV2196" s="4"/>
      <c r="CW2196" s="4"/>
      <c r="CX2196" s="4"/>
      <c r="CY2196" s="4"/>
      <c r="CZ2196" s="4"/>
      <c r="DA2196" s="4"/>
      <c r="DB2196" s="4"/>
      <c r="DC2196" s="4"/>
      <c r="DD2196" s="4"/>
      <c r="DE2196" s="4"/>
      <c r="DF2196" s="4"/>
      <c r="DG2196" s="4"/>
      <c r="DH2196" s="4"/>
      <c r="DI2196" s="4"/>
      <c r="DJ2196" s="4"/>
      <c r="DK2196" s="4"/>
      <c r="DL2196" s="4"/>
      <c r="DM2196" s="4"/>
      <c r="DN2196" s="4"/>
      <c r="DO2196" s="4"/>
      <c r="DP2196" s="4"/>
      <c r="DQ2196" s="4"/>
      <c r="DR2196" s="4"/>
      <c r="DS2196" s="4"/>
      <c r="DT2196" s="4"/>
      <c r="DU2196" s="4"/>
      <c r="DV2196" s="4"/>
      <c r="DW2196" s="4"/>
      <c r="DX2196" s="4"/>
      <c r="DY2196" s="4"/>
      <c r="DZ2196" s="4"/>
      <c r="EA2196" s="4"/>
      <c r="EB2196" s="4"/>
      <c r="EC2196" s="4"/>
      <c r="ED2196" s="4"/>
      <c r="EE2196" s="4"/>
      <c r="EF2196" s="4"/>
      <c r="EG2196" s="4"/>
      <c r="EH2196" s="4"/>
      <c r="EI2196" s="4"/>
      <c r="EJ2196" s="4"/>
      <c r="EK2196" s="4"/>
      <c r="EL2196" s="4"/>
      <c r="EM2196" s="4"/>
      <c r="EN2196" s="4"/>
      <c r="EO2196" s="4"/>
      <c r="EP2196" s="4"/>
      <c r="EQ2196" s="4"/>
      <c r="ER2196" s="4"/>
      <c r="ES2196" s="4"/>
      <c r="ET2196" s="4"/>
      <c r="EU2196" s="4"/>
      <c r="EV2196" s="4"/>
      <c r="EW2196" s="4"/>
      <c r="EX2196" s="4"/>
      <c r="EY2196" s="4"/>
      <c r="EZ2196" s="4"/>
      <c r="FA2196" s="4"/>
      <c r="FB2196" s="4"/>
      <c r="FC2196" s="4"/>
      <c r="FD2196" s="4"/>
      <c r="FE2196" s="4"/>
      <c r="FF2196" s="4"/>
      <c r="FG2196" s="4"/>
      <c r="FH2196" s="4"/>
      <c r="FI2196" s="4"/>
      <c r="FJ2196" s="4"/>
      <c r="FK2196" s="4"/>
      <c r="FL2196" s="4"/>
      <c r="FM2196" s="4"/>
      <c r="FN2196" s="4"/>
      <c r="FO2196" s="4"/>
      <c r="FP2196" s="4"/>
      <c r="FQ2196" s="4"/>
      <c r="FR2196" s="4"/>
      <c r="FS2196" s="4"/>
      <c r="FT2196" s="4"/>
      <c r="FU2196" s="4"/>
      <c r="FV2196" s="4"/>
      <c r="FW2196" s="4"/>
      <c r="FX2196" s="4"/>
      <c r="FY2196" s="4"/>
      <c r="FZ2196" s="4"/>
      <c r="GA2196" s="4"/>
      <c r="GB2196" s="4"/>
      <c r="GC2196" s="4"/>
      <c r="GD2196" s="4"/>
      <c r="GE2196" s="4"/>
      <c r="GF2196" s="4"/>
      <c r="GG2196" s="4"/>
      <c r="GH2196" s="4"/>
      <c r="GI2196" s="4"/>
      <c r="GJ2196" s="4"/>
      <c r="GK2196" s="4"/>
      <c r="GL2196" s="4"/>
      <c r="GM2196" s="4"/>
      <c r="GN2196" s="4"/>
      <c r="GO2196" s="4"/>
      <c r="GP2196" s="4"/>
      <c r="GQ2196" s="4"/>
      <c r="GR2196" s="4"/>
      <c r="GS2196" s="4"/>
      <c r="GT2196" s="4"/>
      <c r="GU2196" s="4"/>
      <c r="GV2196" s="4"/>
      <c r="GW2196" s="4"/>
      <c r="GX2196" s="4"/>
      <c r="GY2196" s="4"/>
      <c r="GZ2196" s="4"/>
      <c r="HA2196" s="4"/>
      <c r="HB2196" s="4"/>
      <c r="HC2196" s="4"/>
      <c r="HD2196" s="4"/>
      <c r="HE2196" s="4"/>
    </row>
    <row r="2197">
      <c r="A2197" s="2" t="s">
        <v>10363</v>
      </c>
      <c r="B2197" s="2" t="s">
        <v>958</v>
      </c>
      <c r="C2197" s="2" t="s">
        <v>835</v>
      </c>
      <c r="D2197" s="2" t="s">
        <v>1795</v>
      </c>
      <c r="E2197" s="2" t="s">
        <v>2165</v>
      </c>
      <c r="F2197" s="2" t="s">
        <v>10359</v>
      </c>
      <c r="G2197" s="2" t="s">
        <v>10359</v>
      </c>
      <c r="H2197" s="2" t="s">
        <v>10359</v>
      </c>
      <c r="I2197" s="2" t="s">
        <v>10364</v>
      </c>
      <c r="J2197" s="2" t="s">
        <v>840</v>
      </c>
      <c r="K2197" s="2" t="s">
        <v>1357</v>
      </c>
      <c r="L2197" s="3">
        <v>759.5</v>
      </c>
      <c r="M2197" s="3">
        <v>797.48</v>
      </c>
      <c r="N2197" s="3">
        <v>1599</v>
      </c>
      <c r="O2197" s="2" t="s">
        <v>240</v>
      </c>
      <c r="P2197" s="2" t="s">
        <v>1022</v>
      </c>
      <c r="Q2197" s="2" t="s">
        <v>234</v>
      </c>
      <c r="R2197" s="2" t="s">
        <v>16</v>
      </c>
      <c r="S2197" s="2" t="s">
        <v>228</v>
      </c>
      <c r="T2197" s="2" t="s">
        <v>228</v>
      </c>
      <c r="U2197" s="2" t="s">
        <v>1331</v>
      </c>
      <c r="V2197" s="2" t="s">
        <v>236</v>
      </c>
      <c r="W2197" s="2" t="s">
        <v>3057</v>
      </c>
      <c r="X2197" s="2" t="s">
        <v>228</v>
      </c>
      <c r="Y2197" s="2" t="s">
        <v>10361</v>
      </c>
      <c r="Z2197" s="4">
        <v>21</v>
      </c>
      <c r="AA2197" s="4">
        <f>=ROUNDDOWN({0},0)</f>
      </c>
      <c r="AB2197" s="5"/>
      <c r="AC2197" s="2" t="s">
        <v>228</v>
      </c>
      <c r="AD2197" s="4"/>
      <c r="AE2197" s="4"/>
      <c r="AF2197" s="6"/>
      <c r="AG2197" s="6"/>
      <c r="AH2197" s="7">
        <v>1</v>
      </c>
      <c r="AI2197" s="4"/>
      <c r="AJ2197" s="4">
        <f>=ROUNDDOWN({0},0)</f>
      </c>
      <c r="AK2197" s="5"/>
      <c r="AL2197" s="2" t="s">
        <v>228</v>
      </c>
      <c r="AM2197" s="4"/>
      <c r="AN2197" s="4"/>
      <c r="AO2197" s="7"/>
      <c r="AP2197" s="4"/>
      <c r="AQ2197" s="8"/>
      <c r="AR2197" s="4"/>
      <c r="AS2197" s="8"/>
      <c r="AT2197" s="7"/>
      <c r="AU2197" s="7"/>
      <c r="AV2197" s="4" t="s">
        <v>228</v>
      </c>
      <c r="AW2197" s="8" t="s">
        <v>228</v>
      </c>
      <c r="AX2197" s="4" t="s">
        <v>228</v>
      </c>
      <c r="AY2197" s="8" t="s">
        <v>228</v>
      </c>
      <c r="AZ2197" s="7" t="s">
        <v>228</v>
      </c>
      <c r="BA2197" s="7" t="s">
        <v>228</v>
      </c>
      <c r="BB2197" s="7" t="s">
        <v>228</v>
      </c>
      <c r="BC2197" s="4" t="s">
        <v>228</v>
      </c>
      <c r="BD2197" s="8" t="s">
        <v>228</v>
      </c>
      <c r="BE2197" s="4" t="s">
        <v>228</v>
      </c>
      <c r="BF2197" s="8" t="s">
        <v>228</v>
      </c>
      <c r="BG2197" s="7" t="s">
        <v>228</v>
      </c>
      <c r="BH2197" s="7" t="s">
        <v>228</v>
      </c>
      <c r="BI2197" s="7"/>
      <c r="BJ2197" s="4"/>
      <c r="BK2197" s="8"/>
      <c r="BL2197" s="2" t="s">
        <v>228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10365</v>
      </c>
      <c r="BV2197" s="2" t="s">
        <v>228</v>
      </c>
      <c r="BW2197" s="2" t="s">
        <v>228</v>
      </c>
      <c r="BX2197" s="2" t="s">
        <v>273</v>
      </c>
      <c r="BY2197" s="2" t="s">
        <v>274</v>
      </c>
      <c r="BZ2197" s="2" t="s">
        <v>240</v>
      </c>
      <c r="CA2197" s="2" t="s">
        <v>1203</v>
      </c>
      <c r="CB2197" s="2" t="s">
        <v>228</v>
      </c>
      <c r="CC2197" s="2" t="s">
        <v>241</v>
      </c>
      <c r="CD2197" s="2" t="s">
        <v>228</v>
      </c>
      <c r="CE2197" s="4"/>
      <c r="CF2197" s="4">
        <v>21</v>
      </c>
      <c r="CG2197" s="4"/>
      <c r="CH2197" s="4"/>
      <c r="CI2197" s="4"/>
      <c r="CJ2197" s="4"/>
      <c r="CK2197" s="4"/>
      <c r="CL2197" s="4"/>
      <c r="CM2197" s="4"/>
      <c r="CN2197" s="4"/>
      <c r="CO2197" s="4"/>
      <c r="CP2197" s="4"/>
      <c r="CQ2197" s="4"/>
      <c r="CR2197" s="4"/>
      <c r="CS2197" s="4"/>
      <c r="CT2197" s="4"/>
      <c r="CU2197" s="4"/>
      <c r="CV2197" s="4"/>
      <c r="CW2197" s="4"/>
      <c r="CX2197" s="4"/>
      <c r="CY2197" s="4"/>
      <c r="CZ2197" s="4"/>
      <c r="DA2197" s="4"/>
      <c r="DB2197" s="4"/>
      <c r="DC2197" s="4"/>
      <c r="DD2197" s="4"/>
      <c r="DE2197" s="4"/>
      <c r="DF2197" s="4"/>
      <c r="DG2197" s="4"/>
      <c r="DH2197" s="4"/>
      <c r="DI2197" s="4"/>
      <c r="DJ2197" s="4"/>
      <c r="DK2197" s="4"/>
      <c r="DL2197" s="4"/>
      <c r="DM2197" s="4"/>
      <c r="DN2197" s="4"/>
      <c r="DO2197" s="4"/>
      <c r="DP2197" s="4"/>
      <c r="DQ2197" s="4"/>
      <c r="DR2197" s="4"/>
      <c r="DS2197" s="4"/>
      <c r="DT2197" s="4"/>
      <c r="DU2197" s="4"/>
      <c r="DV2197" s="4"/>
      <c r="DW2197" s="4"/>
      <c r="DX2197" s="4"/>
      <c r="DY2197" s="4"/>
      <c r="DZ2197" s="4"/>
      <c r="EA2197" s="4"/>
      <c r="EB2197" s="4"/>
      <c r="EC2197" s="4"/>
      <c r="ED2197" s="4"/>
      <c r="EE2197" s="4"/>
      <c r="EF2197" s="4"/>
      <c r="EG2197" s="4"/>
      <c r="EH2197" s="4"/>
      <c r="EI2197" s="4"/>
      <c r="EJ2197" s="4"/>
      <c r="EK2197" s="4"/>
      <c r="EL2197" s="4"/>
      <c r="EM2197" s="4"/>
      <c r="EN2197" s="4"/>
      <c r="EO2197" s="4"/>
      <c r="EP2197" s="4"/>
      <c r="EQ2197" s="4"/>
      <c r="ER2197" s="4"/>
      <c r="ES2197" s="4"/>
      <c r="ET2197" s="4"/>
      <c r="EU2197" s="4"/>
      <c r="EV2197" s="4"/>
      <c r="EW2197" s="4"/>
      <c r="EX2197" s="4"/>
      <c r="EY2197" s="4"/>
      <c r="EZ2197" s="4"/>
      <c r="FA2197" s="4"/>
      <c r="FB2197" s="4"/>
      <c r="FC2197" s="4"/>
      <c r="FD2197" s="4"/>
      <c r="FE2197" s="4"/>
      <c r="FF2197" s="4"/>
      <c r="FG2197" s="4"/>
      <c r="FH2197" s="4"/>
      <c r="FI2197" s="4"/>
      <c r="FJ2197" s="4"/>
      <c r="FK2197" s="4"/>
      <c r="FL2197" s="4"/>
      <c r="FM2197" s="4"/>
      <c r="FN2197" s="4"/>
      <c r="FO2197" s="4"/>
      <c r="FP2197" s="4"/>
      <c r="FQ2197" s="4"/>
      <c r="FR2197" s="4"/>
      <c r="FS2197" s="4"/>
      <c r="FT2197" s="4"/>
      <c r="FU2197" s="4"/>
      <c r="FV2197" s="4"/>
      <c r="FW2197" s="4"/>
      <c r="FX2197" s="4"/>
      <c r="FY2197" s="4"/>
      <c r="FZ2197" s="4"/>
      <c r="GA2197" s="4"/>
      <c r="GB2197" s="4"/>
      <c r="GC2197" s="4"/>
      <c r="GD2197" s="4"/>
      <c r="GE2197" s="4"/>
      <c r="GF2197" s="4"/>
      <c r="GG2197" s="4"/>
      <c r="GH2197" s="4"/>
      <c r="GI2197" s="4"/>
      <c r="GJ2197" s="4"/>
      <c r="GK2197" s="4"/>
      <c r="GL2197" s="4"/>
      <c r="GM2197" s="4"/>
      <c r="GN2197" s="4"/>
      <c r="GO2197" s="4"/>
      <c r="GP2197" s="4"/>
      <c r="GQ2197" s="4"/>
      <c r="GR2197" s="4"/>
      <c r="GS2197" s="4"/>
      <c r="GT2197" s="4"/>
      <c r="GU2197" s="4"/>
      <c r="GV2197" s="4"/>
      <c r="GW2197" s="4"/>
      <c r="GX2197" s="4"/>
      <c r="GY2197" s="4"/>
      <c r="GZ2197" s="4"/>
      <c r="HA2197" s="4"/>
      <c r="HB2197" s="4"/>
      <c r="HC2197" s="4"/>
      <c r="HD2197" s="4"/>
      <c r="HE2197" s="4"/>
    </row>
    <row r="2198">
      <c r="A2198" s="2" t="s">
        <v>10366</v>
      </c>
      <c r="B2198" s="2" t="s">
        <v>958</v>
      </c>
      <c r="C2198" s="2" t="s">
        <v>835</v>
      </c>
      <c r="D2198" s="2" t="s">
        <v>2164</v>
      </c>
      <c r="E2198" s="2" t="s">
        <v>2165</v>
      </c>
      <c r="F2198" s="2" t="s">
        <v>10359</v>
      </c>
      <c r="G2198" s="2" t="s">
        <v>10359</v>
      </c>
      <c r="H2198" s="2" t="s">
        <v>10359</v>
      </c>
      <c r="I2198" s="2" t="s">
        <v>10367</v>
      </c>
      <c r="J2198" s="2" t="s">
        <v>840</v>
      </c>
      <c r="K2198" s="2" t="s">
        <v>1357</v>
      </c>
      <c r="L2198" s="3">
        <v>285.2</v>
      </c>
      <c r="M2198" s="3">
        <v>299.46</v>
      </c>
      <c r="N2198" s="3">
        <v>599</v>
      </c>
      <c r="O2198" s="2" t="s">
        <v>240</v>
      </c>
      <c r="P2198" s="2" t="s">
        <v>266</v>
      </c>
      <c r="Q2198" s="2" t="s">
        <v>234</v>
      </c>
      <c r="R2198" s="2" t="s">
        <v>228</v>
      </c>
      <c r="S2198" s="2" t="s">
        <v>228</v>
      </c>
      <c r="T2198" s="2" t="s">
        <v>228</v>
      </c>
      <c r="U2198" s="2" t="s">
        <v>228</v>
      </c>
      <c r="V2198" s="2" t="s">
        <v>236</v>
      </c>
      <c r="W2198" s="2" t="s">
        <v>3057</v>
      </c>
      <c r="X2198" s="2" t="s">
        <v>228</v>
      </c>
      <c r="Y2198" s="2" t="s">
        <v>10099</v>
      </c>
      <c r="Z2198" s="4">
        <v>101</v>
      </c>
      <c r="AA2198" s="4">
        <f>=ROUNDDOWN(36.0714285714286,0)</f>
      </c>
      <c r="AB2198" s="5">
        <v>2.8</v>
      </c>
      <c r="AC2198" s="2" t="s">
        <v>782</v>
      </c>
      <c r="AD2198" s="4">
        <v>80</v>
      </c>
      <c r="AE2198" s="4">
        <v>130</v>
      </c>
      <c r="AF2198" s="6">
        <v>74</v>
      </c>
      <c r="AG2198" s="6">
        <v>60</v>
      </c>
      <c r="AH2198" s="7">
        <v>1</v>
      </c>
      <c r="AI2198" s="4"/>
      <c r="AJ2198" s="4">
        <f>=ROUNDDOWN({0},0)</f>
      </c>
      <c r="AK2198" s="5">
        <v>10.3</v>
      </c>
      <c r="AL2198" s="2" t="s">
        <v>228</v>
      </c>
      <c r="AM2198" s="4"/>
      <c r="AN2198" s="4"/>
      <c r="AO2198" s="7">
        <v>0.5484</v>
      </c>
      <c r="AP2198" s="4"/>
      <c r="AQ2198" s="8"/>
      <c r="AR2198" s="4"/>
      <c r="AS2198" s="8"/>
      <c r="AT2198" s="7"/>
      <c r="AU2198" s="7"/>
      <c r="AV2198" s="4" t="s">
        <v>228</v>
      </c>
      <c r="AW2198" s="8" t="s">
        <v>228</v>
      </c>
      <c r="AX2198" s="4" t="s">
        <v>228</v>
      </c>
      <c r="AY2198" s="8" t="s">
        <v>228</v>
      </c>
      <c r="AZ2198" s="7" t="s">
        <v>228</v>
      </c>
      <c r="BA2198" s="7" t="s">
        <v>228</v>
      </c>
      <c r="BB2198" s="7" t="s">
        <v>228</v>
      </c>
      <c r="BC2198" s="4" t="s">
        <v>228</v>
      </c>
      <c r="BD2198" s="8" t="s">
        <v>228</v>
      </c>
      <c r="BE2198" s="4" t="s">
        <v>228</v>
      </c>
      <c r="BF2198" s="8" t="s">
        <v>228</v>
      </c>
      <c r="BG2198" s="7" t="s">
        <v>228</v>
      </c>
      <c r="BH2198" s="7" t="s">
        <v>228</v>
      </c>
      <c r="BI2198" s="7"/>
      <c r="BJ2198" s="4">
        <v>42</v>
      </c>
      <c r="BK2198" s="8">
        <v>11516.57</v>
      </c>
      <c r="BL2198" s="2" t="s">
        <v>10368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10369</v>
      </c>
      <c r="BV2198" s="2" t="s">
        <v>228</v>
      </c>
      <c r="BW2198" s="2" t="s">
        <v>228</v>
      </c>
      <c r="BX2198" s="2" t="s">
        <v>273</v>
      </c>
      <c r="BY2198" s="2" t="s">
        <v>274</v>
      </c>
      <c r="BZ2198" s="2" t="s">
        <v>240</v>
      </c>
      <c r="CA2198" s="2" t="s">
        <v>3795</v>
      </c>
      <c r="CB2198" s="2" t="s">
        <v>10370</v>
      </c>
      <c r="CC2198" s="2" t="s">
        <v>241</v>
      </c>
      <c r="CD2198" s="2" t="s">
        <v>228</v>
      </c>
      <c r="CE2198" s="4"/>
      <c r="CF2198" s="4">
        <v>101</v>
      </c>
      <c r="CG2198" s="4"/>
      <c r="CH2198" s="4"/>
      <c r="CI2198" s="4"/>
      <c r="CJ2198" s="4"/>
      <c r="CK2198" s="4"/>
      <c r="CL2198" s="4"/>
      <c r="CM2198" s="4"/>
      <c r="CN2198" s="4"/>
      <c r="CO2198" s="4"/>
      <c r="CP2198" s="4"/>
      <c r="CQ2198" s="4"/>
      <c r="CR2198" s="4"/>
      <c r="CS2198" s="4"/>
      <c r="CT2198" s="4"/>
      <c r="CU2198" s="4"/>
      <c r="CV2198" s="4"/>
      <c r="CW2198" s="4"/>
      <c r="CX2198" s="4"/>
      <c r="CY2198" s="4"/>
      <c r="CZ2198" s="4"/>
      <c r="DA2198" s="4"/>
      <c r="DB2198" s="4"/>
      <c r="DC2198" s="4"/>
      <c r="DD2198" s="4"/>
      <c r="DE2198" s="4"/>
      <c r="DF2198" s="4"/>
      <c r="DG2198" s="4"/>
      <c r="DH2198" s="4"/>
      <c r="DI2198" s="4"/>
      <c r="DJ2198" s="4"/>
      <c r="DK2198" s="4"/>
      <c r="DL2198" s="4"/>
      <c r="DM2198" s="4"/>
      <c r="DN2198" s="4"/>
      <c r="DO2198" s="4"/>
      <c r="DP2198" s="4"/>
      <c r="DQ2198" s="4"/>
      <c r="DR2198" s="4"/>
      <c r="DS2198" s="4"/>
      <c r="DT2198" s="4"/>
      <c r="DU2198" s="4"/>
      <c r="DV2198" s="4"/>
      <c r="DW2198" s="4"/>
      <c r="DX2198" s="4"/>
      <c r="DY2198" s="4"/>
      <c r="DZ2198" s="4"/>
      <c r="EA2198" s="4"/>
      <c r="EB2198" s="4"/>
      <c r="EC2198" s="4"/>
      <c r="ED2198" s="4"/>
      <c r="EE2198" s="4"/>
      <c r="EF2198" s="4"/>
      <c r="EG2198" s="4"/>
      <c r="EH2198" s="4"/>
      <c r="EI2198" s="4"/>
      <c r="EJ2198" s="4"/>
      <c r="EK2198" s="4"/>
      <c r="EL2198" s="4"/>
      <c r="EM2198" s="4"/>
      <c r="EN2198" s="4"/>
      <c r="EO2198" s="4"/>
      <c r="EP2198" s="4"/>
      <c r="EQ2198" s="4"/>
      <c r="ER2198" s="4"/>
      <c r="ES2198" s="4"/>
      <c r="ET2198" s="4"/>
      <c r="EU2198" s="4"/>
      <c r="EV2198" s="4"/>
      <c r="EW2198" s="4"/>
      <c r="EX2198" s="4"/>
      <c r="EY2198" s="4"/>
      <c r="EZ2198" s="4"/>
      <c r="FA2198" s="4"/>
      <c r="FB2198" s="4"/>
      <c r="FC2198" s="4"/>
      <c r="FD2198" s="4"/>
      <c r="FE2198" s="4"/>
      <c r="FF2198" s="4"/>
      <c r="FG2198" s="4"/>
      <c r="FH2198" s="4"/>
      <c r="FI2198" s="4"/>
      <c r="FJ2198" s="4"/>
      <c r="FK2198" s="4"/>
      <c r="FL2198" s="4"/>
      <c r="FM2198" s="4"/>
      <c r="FN2198" s="4"/>
      <c r="FO2198" s="4"/>
      <c r="FP2198" s="4"/>
      <c r="FQ2198" s="4"/>
      <c r="FR2198" s="4"/>
      <c r="FS2198" s="4"/>
      <c r="FT2198" s="4"/>
      <c r="FU2198" s="4"/>
      <c r="FV2198" s="4"/>
      <c r="FW2198" s="4"/>
      <c r="FX2198" s="4"/>
      <c r="FY2198" s="4"/>
      <c r="FZ2198" s="4"/>
      <c r="GA2198" s="4"/>
      <c r="GB2198" s="4"/>
      <c r="GC2198" s="4"/>
      <c r="GD2198" s="4"/>
      <c r="GE2198" s="4"/>
      <c r="GF2198" s="4"/>
      <c r="GG2198" s="4"/>
      <c r="GH2198" s="4"/>
      <c r="GI2198" s="4"/>
      <c r="GJ2198" s="4"/>
      <c r="GK2198" s="4"/>
      <c r="GL2198" s="4"/>
      <c r="GM2198" s="4"/>
      <c r="GN2198" s="4">
        <v>80</v>
      </c>
      <c r="GO2198" s="4"/>
      <c r="GP2198" s="4"/>
      <c r="GQ2198" s="4"/>
      <c r="GR2198" s="4"/>
      <c r="GS2198" s="4">
        <v>50</v>
      </c>
      <c r="GT2198" s="4"/>
      <c r="GU2198" s="4"/>
      <c r="GV2198" s="4"/>
      <c r="GW2198" s="4"/>
      <c r="GX2198" s="4"/>
      <c r="GY2198" s="4"/>
      <c r="GZ2198" s="4"/>
      <c r="HA2198" s="4"/>
      <c r="HB2198" s="4"/>
      <c r="HC2198" s="4"/>
      <c r="HD2198" s="4"/>
      <c r="HE2198" s="4"/>
    </row>
    <row r="2199">
      <c r="A2199" s="2" t="s">
        <v>10371</v>
      </c>
      <c r="B2199" s="2" t="s">
        <v>958</v>
      </c>
      <c r="C2199" s="2" t="s">
        <v>835</v>
      </c>
      <c r="D2199" s="2" t="s">
        <v>1795</v>
      </c>
      <c r="E2199" s="2" t="s">
        <v>2165</v>
      </c>
      <c r="F2199" s="2" t="s">
        <v>10359</v>
      </c>
      <c r="G2199" s="2" t="s">
        <v>10359</v>
      </c>
      <c r="H2199" s="2" t="s">
        <v>10359</v>
      </c>
      <c r="I2199" s="2" t="s">
        <v>10372</v>
      </c>
      <c r="J2199" s="2" t="s">
        <v>840</v>
      </c>
      <c r="K2199" s="2" t="s">
        <v>9441</v>
      </c>
      <c r="L2199" s="3">
        <v>759.5</v>
      </c>
      <c r="M2199" s="3">
        <v>797.48</v>
      </c>
      <c r="N2199" s="3">
        <v>1599</v>
      </c>
      <c r="O2199" s="2" t="s">
        <v>240</v>
      </c>
      <c r="P2199" s="2" t="s">
        <v>1022</v>
      </c>
      <c r="Q2199" s="2" t="s">
        <v>234</v>
      </c>
      <c r="R2199" s="2" t="s">
        <v>16</v>
      </c>
      <c r="S2199" s="2" t="s">
        <v>228</v>
      </c>
      <c r="T2199" s="2" t="s">
        <v>228</v>
      </c>
      <c r="U2199" s="2" t="s">
        <v>1331</v>
      </c>
      <c r="V2199" s="2" t="s">
        <v>236</v>
      </c>
      <c r="W2199" s="2" t="s">
        <v>3057</v>
      </c>
      <c r="X2199" s="2" t="s">
        <v>417</v>
      </c>
      <c r="Y2199" s="2" t="s">
        <v>10373</v>
      </c>
      <c r="Z2199" s="4">
        <v>48</v>
      </c>
      <c r="AA2199" s="4">
        <f>=ROUNDDOWN({0},0)</f>
      </c>
      <c r="AB2199" s="5"/>
      <c r="AC2199" s="2" t="s">
        <v>228</v>
      </c>
      <c r="AD2199" s="4"/>
      <c r="AE2199" s="4"/>
      <c r="AF2199" s="6"/>
      <c r="AG2199" s="6"/>
      <c r="AH2199" s="7">
        <v>1</v>
      </c>
      <c r="AI2199" s="4"/>
      <c r="AJ2199" s="4">
        <f>=ROUNDDOWN({0},0)</f>
      </c>
      <c r="AK2199" s="5"/>
      <c r="AL2199" s="2" t="s">
        <v>228</v>
      </c>
      <c r="AM2199" s="4"/>
      <c r="AN2199" s="4"/>
      <c r="AO2199" s="7"/>
      <c r="AP2199" s="4"/>
      <c r="AQ2199" s="8"/>
      <c r="AR2199" s="4"/>
      <c r="AS2199" s="8"/>
      <c r="AT2199" s="7"/>
      <c r="AU2199" s="7"/>
      <c r="AV2199" s="4" t="s">
        <v>228</v>
      </c>
      <c r="AW2199" s="8" t="s">
        <v>228</v>
      </c>
      <c r="AX2199" s="4" t="s">
        <v>228</v>
      </c>
      <c r="AY2199" s="8" t="s">
        <v>228</v>
      </c>
      <c r="AZ2199" s="7" t="s">
        <v>228</v>
      </c>
      <c r="BA2199" s="7" t="s">
        <v>228</v>
      </c>
      <c r="BB2199" s="7" t="s">
        <v>228</v>
      </c>
      <c r="BC2199" s="4" t="s">
        <v>228</v>
      </c>
      <c r="BD2199" s="8" t="s">
        <v>228</v>
      </c>
      <c r="BE2199" s="4" t="s">
        <v>228</v>
      </c>
      <c r="BF2199" s="8" t="s">
        <v>228</v>
      </c>
      <c r="BG2199" s="7" t="s">
        <v>228</v>
      </c>
      <c r="BH2199" s="7" t="s">
        <v>228</v>
      </c>
      <c r="BI2199" s="7"/>
      <c r="BJ2199" s="4"/>
      <c r="BK2199" s="8"/>
      <c r="BL2199" s="2" t="s">
        <v>228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10374</v>
      </c>
      <c r="BV2199" s="2" t="s">
        <v>228</v>
      </c>
      <c r="BW2199" s="2" t="s">
        <v>228</v>
      </c>
      <c r="BX2199" s="2" t="s">
        <v>273</v>
      </c>
      <c r="BY2199" s="2" t="s">
        <v>274</v>
      </c>
      <c r="BZ2199" s="2" t="s">
        <v>240</v>
      </c>
      <c r="CA2199" s="2" t="s">
        <v>1203</v>
      </c>
      <c r="CB2199" s="2" t="s">
        <v>228</v>
      </c>
      <c r="CC2199" s="2" t="s">
        <v>241</v>
      </c>
      <c r="CD2199" s="2" t="s">
        <v>228</v>
      </c>
      <c r="CE2199" s="4"/>
      <c r="CF2199" s="4">
        <v>48</v>
      </c>
      <c r="CG2199" s="4"/>
      <c r="CH2199" s="4"/>
      <c r="CI2199" s="4"/>
      <c r="CJ2199" s="4"/>
      <c r="CK2199" s="4"/>
      <c r="CL2199" s="4"/>
      <c r="CM2199" s="4"/>
      <c r="CN2199" s="4"/>
      <c r="CO2199" s="4"/>
      <c r="CP2199" s="4"/>
      <c r="CQ2199" s="4"/>
      <c r="CR2199" s="4"/>
      <c r="CS2199" s="4"/>
      <c r="CT2199" s="4"/>
      <c r="CU2199" s="4"/>
      <c r="CV2199" s="4"/>
      <c r="CW2199" s="4"/>
      <c r="CX2199" s="4"/>
      <c r="CY2199" s="4"/>
      <c r="CZ2199" s="4"/>
      <c r="DA2199" s="4"/>
      <c r="DB2199" s="4"/>
      <c r="DC2199" s="4"/>
      <c r="DD2199" s="4"/>
      <c r="DE2199" s="4"/>
      <c r="DF2199" s="4"/>
      <c r="DG2199" s="4"/>
      <c r="DH2199" s="4"/>
      <c r="DI2199" s="4"/>
      <c r="DJ2199" s="4"/>
      <c r="DK2199" s="4"/>
      <c r="DL2199" s="4"/>
      <c r="DM2199" s="4"/>
      <c r="DN2199" s="4"/>
      <c r="DO2199" s="4"/>
      <c r="DP2199" s="4"/>
      <c r="DQ2199" s="4"/>
      <c r="DR2199" s="4"/>
      <c r="DS2199" s="4"/>
      <c r="DT2199" s="4"/>
      <c r="DU2199" s="4"/>
      <c r="DV2199" s="4"/>
      <c r="DW2199" s="4"/>
      <c r="DX2199" s="4"/>
      <c r="DY2199" s="4"/>
      <c r="DZ2199" s="4"/>
      <c r="EA2199" s="4"/>
      <c r="EB2199" s="4"/>
      <c r="EC2199" s="4"/>
      <c r="ED2199" s="4"/>
      <c r="EE2199" s="4"/>
      <c r="EF2199" s="4"/>
      <c r="EG2199" s="4"/>
      <c r="EH2199" s="4"/>
      <c r="EI2199" s="4"/>
      <c r="EJ2199" s="4"/>
      <c r="EK2199" s="4"/>
      <c r="EL2199" s="4"/>
      <c r="EM2199" s="4"/>
      <c r="EN2199" s="4"/>
      <c r="EO2199" s="4"/>
      <c r="EP2199" s="4"/>
      <c r="EQ2199" s="4"/>
      <c r="ER2199" s="4"/>
      <c r="ES2199" s="4"/>
      <c r="ET2199" s="4"/>
      <c r="EU2199" s="4"/>
      <c r="EV2199" s="4"/>
      <c r="EW2199" s="4"/>
      <c r="EX2199" s="4"/>
      <c r="EY2199" s="4"/>
      <c r="EZ2199" s="4"/>
      <c r="FA2199" s="4"/>
      <c r="FB2199" s="4"/>
      <c r="FC2199" s="4"/>
      <c r="FD2199" s="4"/>
      <c r="FE2199" s="4"/>
      <c r="FF2199" s="4"/>
      <c r="FG2199" s="4"/>
      <c r="FH2199" s="4"/>
      <c r="FI2199" s="4"/>
      <c r="FJ2199" s="4"/>
      <c r="FK2199" s="4"/>
      <c r="FL2199" s="4"/>
      <c r="FM2199" s="4"/>
      <c r="FN2199" s="4"/>
      <c r="FO2199" s="4"/>
      <c r="FP2199" s="4"/>
      <c r="FQ2199" s="4"/>
      <c r="FR2199" s="4"/>
      <c r="FS2199" s="4"/>
      <c r="FT2199" s="4"/>
      <c r="FU2199" s="4"/>
      <c r="FV2199" s="4"/>
      <c r="FW2199" s="4"/>
      <c r="FX2199" s="4"/>
      <c r="FY2199" s="4"/>
      <c r="FZ2199" s="4"/>
      <c r="GA2199" s="4"/>
      <c r="GB2199" s="4"/>
      <c r="GC2199" s="4"/>
      <c r="GD2199" s="4"/>
      <c r="GE2199" s="4"/>
      <c r="GF2199" s="4"/>
      <c r="GG2199" s="4"/>
      <c r="GH2199" s="4"/>
      <c r="GI2199" s="4"/>
      <c r="GJ2199" s="4"/>
      <c r="GK2199" s="4"/>
      <c r="GL2199" s="4"/>
      <c r="GM2199" s="4"/>
      <c r="GN2199" s="4"/>
      <c r="GO2199" s="4"/>
      <c r="GP2199" s="4"/>
      <c r="GQ2199" s="4"/>
      <c r="GR2199" s="4"/>
      <c r="GS2199" s="4"/>
      <c r="GT2199" s="4"/>
      <c r="GU2199" s="4"/>
      <c r="GV2199" s="4"/>
      <c r="GW2199" s="4"/>
      <c r="GX2199" s="4"/>
      <c r="GY2199" s="4"/>
      <c r="GZ2199" s="4"/>
      <c r="HA2199" s="4"/>
      <c r="HB2199" s="4"/>
      <c r="HC2199" s="4"/>
      <c r="HD2199" s="4"/>
      <c r="HE2199" s="4"/>
    </row>
    <row r="2200">
      <c r="A2200" s="2" t="s">
        <v>10375</v>
      </c>
      <c r="B2200" s="2" t="s">
        <v>958</v>
      </c>
      <c r="C2200" s="2" t="s">
        <v>835</v>
      </c>
      <c r="D2200" s="2" t="s">
        <v>2164</v>
      </c>
      <c r="E2200" s="2" t="s">
        <v>2165</v>
      </c>
      <c r="F2200" s="2" t="s">
        <v>10359</v>
      </c>
      <c r="G2200" s="2" t="s">
        <v>10359</v>
      </c>
      <c r="H2200" s="2" t="s">
        <v>10359</v>
      </c>
      <c r="I2200" s="2" t="s">
        <v>10367</v>
      </c>
      <c r="J2200" s="2" t="s">
        <v>840</v>
      </c>
      <c r="K2200" s="2" t="s">
        <v>9441</v>
      </c>
      <c r="L2200" s="3">
        <v>285.2</v>
      </c>
      <c r="M2200" s="3">
        <v>299.46</v>
      </c>
      <c r="N2200" s="3">
        <v>599</v>
      </c>
      <c r="O2200" s="2" t="s">
        <v>240</v>
      </c>
      <c r="P2200" s="2" t="s">
        <v>333</v>
      </c>
      <c r="Q2200" s="2" t="s">
        <v>234</v>
      </c>
      <c r="R2200" s="2" t="s">
        <v>228</v>
      </c>
      <c r="S2200" s="2" t="s">
        <v>228</v>
      </c>
      <c r="T2200" s="2" t="s">
        <v>228</v>
      </c>
      <c r="U2200" s="2" t="s">
        <v>416</v>
      </c>
      <c r="V2200" s="2" t="s">
        <v>236</v>
      </c>
      <c r="W2200" s="2" t="s">
        <v>3057</v>
      </c>
      <c r="X2200" s="2" t="s">
        <v>417</v>
      </c>
      <c r="Y2200" s="2" t="s">
        <v>10376</v>
      </c>
      <c r="Z2200" s="4">
        <v>150</v>
      </c>
      <c r="AA2200" s="4">
        <f>=ROUNDDOWN(71.4285714285714,0)</f>
      </c>
      <c r="AB2200" s="5">
        <v>2.1</v>
      </c>
      <c r="AC2200" s="2" t="s">
        <v>228</v>
      </c>
      <c r="AD2200" s="4"/>
      <c r="AE2200" s="4"/>
      <c r="AF2200" s="6">
        <v>74</v>
      </c>
      <c r="AG2200" s="6"/>
      <c r="AH2200" s="7">
        <v>1</v>
      </c>
      <c r="AI2200" s="4"/>
      <c r="AJ2200" s="4">
        <f>=ROUNDDOWN({0},0)</f>
      </c>
      <c r="AK2200" s="5"/>
      <c r="AL2200" s="2" t="s">
        <v>228</v>
      </c>
      <c r="AM2200" s="4"/>
      <c r="AN2200" s="4"/>
      <c r="AO2200" s="7"/>
      <c r="AP2200" s="4"/>
      <c r="AQ2200" s="8"/>
      <c r="AR2200" s="4"/>
      <c r="AS2200" s="8"/>
      <c r="AT2200" s="7"/>
      <c r="AU2200" s="7"/>
      <c r="AV2200" s="4" t="s">
        <v>228</v>
      </c>
      <c r="AW2200" s="8" t="s">
        <v>228</v>
      </c>
      <c r="AX2200" s="4" t="s">
        <v>228</v>
      </c>
      <c r="AY2200" s="8" t="s">
        <v>228</v>
      </c>
      <c r="AZ2200" s="7" t="s">
        <v>228</v>
      </c>
      <c r="BA2200" s="7" t="s">
        <v>228</v>
      </c>
      <c r="BB2200" s="7" t="s">
        <v>228</v>
      </c>
      <c r="BC2200" s="4" t="s">
        <v>228</v>
      </c>
      <c r="BD2200" s="8" t="s">
        <v>228</v>
      </c>
      <c r="BE2200" s="4" t="s">
        <v>228</v>
      </c>
      <c r="BF2200" s="8" t="s">
        <v>228</v>
      </c>
      <c r="BG2200" s="7" t="s">
        <v>228</v>
      </c>
      <c r="BH2200" s="7" t="s">
        <v>228</v>
      </c>
      <c r="BI2200" s="7"/>
      <c r="BJ2200" s="4">
        <v>13</v>
      </c>
      <c r="BK2200" s="8">
        <v>2469</v>
      </c>
      <c r="BL2200" s="2" t="s">
        <v>10377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10378</v>
      </c>
      <c r="BV2200" s="2" t="s">
        <v>228</v>
      </c>
      <c r="BW2200" s="2" t="s">
        <v>228</v>
      </c>
      <c r="BX2200" s="2" t="s">
        <v>337</v>
      </c>
      <c r="BY2200" s="2" t="s">
        <v>274</v>
      </c>
      <c r="BZ2200" s="2" t="s">
        <v>240</v>
      </c>
      <c r="CA2200" s="2" t="s">
        <v>10376</v>
      </c>
      <c r="CB2200" s="2" t="s">
        <v>5173</v>
      </c>
      <c r="CC2200" s="2" t="s">
        <v>241</v>
      </c>
      <c r="CD2200" s="2" t="s">
        <v>228</v>
      </c>
      <c r="CE2200" s="4"/>
      <c r="CF2200" s="4">
        <v>150</v>
      </c>
      <c r="CG2200" s="4"/>
      <c r="CH2200" s="4"/>
      <c r="CI2200" s="4"/>
      <c r="CJ2200" s="4"/>
      <c r="CK2200" s="4"/>
      <c r="CL2200" s="4"/>
      <c r="CM2200" s="4"/>
      <c r="CN2200" s="4"/>
      <c r="CO2200" s="4"/>
      <c r="CP2200" s="4"/>
      <c r="CQ2200" s="4"/>
      <c r="CR2200" s="4"/>
      <c r="CS2200" s="4"/>
      <c r="CT2200" s="4"/>
      <c r="CU2200" s="4"/>
      <c r="CV2200" s="4"/>
      <c r="CW2200" s="4"/>
      <c r="CX2200" s="4"/>
      <c r="CY2200" s="4"/>
      <c r="CZ2200" s="4"/>
      <c r="DA2200" s="4"/>
      <c r="DB2200" s="4"/>
      <c r="DC2200" s="4"/>
      <c r="DD2200" s="4"/>
      <c r="DE2200" s="4"/>
      <c r="DF2200" s="4"/>
      <c r="DG2200" s="4"/>
      <c r="DH2200" s="4"/>
      <c r="DI2200" s="4"/>
      <c r="DJ2200" s="4"/>
      <c r="DK2200" s="4"/>
      <c r="DL2200" s="4"/>
      <c r="DM2200" s="4"/>
      <c r="DN2200" s="4"/>
      <c r="DO2200" s="4"/>
      <c r="DP2200" s="4"/>
      <c r="DQ2200" s="4"/>
      <c r="DR2200" s="4"/>
      <c r="DS2200" s="4"/>
      <c r="DT2200" s="4"/>
      <c r="DU2200" s="4"/>
      <c r="DV2200" s="4"/>
      <c r="DW2200" s="4"/>
      <c r="DX2200" s="4"/>
      <c r="DY2200" s="4"/>
      <c r="DZ2200" s="4"/>
      <c r="EA2200" s="4"/>
      <c r="EB2200" s="4"/>
      <c r="EC2200" s="4"/>
      <c r="ED2200" s="4"/>
      <c r="EE2200" s="4"/>
      <c r="EF2200" s="4"/>
      <c r="EG2200" s="4"/>
      <c r="EH2200" s="4"/>
      <c r="EI2200" s="4"/>
      <c r="EJ2200" s="4"/>
      <c r="EK2200" s="4"/>
      <c r="EL2200" s="4"/>
      <c r="EM2200" s="4"/>
      <c r="EN2200" s="4"/>
      <c r="EO2200" s="4"/>
      <c r="EP2200" s="4"/>
      <c r="EQ2200" s="4"/>
      <c r="ER2200" s="4"/>
      <c r="ES2200" s="4"/>
      <c r="ET2200" s="4"/>
      <c r="EU2200" s="4"/>
      <c r="EV2200" s="4"/>
      <c r="EW2200" s="4"/>
      <c r="EX2200" s="4"/>
      <c r="EY2200" s="4"/>
      <c r="EZ2200" s="4"/>
      <c r="FA2200" s="4"/>
      <c r="FB2200" s="4"/>
      <c r="FC2200" s="4"/>
      <c r="FD2200" s="4"/>
      <c r="FE2200" s="4"/>
      <c r="FF2200" s="4"/>
      <c r="FG2200" s="4"/>
      <c r="FH2200" s="4"/>
      <c r="FI2200" s="4"/>
      <c r="FJ2200" s="4"/>
      <c r="FK2200" s="4"/>
      <c r="FL2200" s="4"/>
      <c r="FM2200" s="4"/>
      <c r="FN2200" s="4"/>
      <c r="FO2200" s="4"/>
      <c r="FP2200" s="4"/>
      <c r="FQ2200" s="4"/>
      <c r="FR2200" s="4"/>
      <c r="FS2200" s="4"/>
      <c r="FT2200" s="4"/>
      <c r="FU2200" s="4"/>
      <c r="FV2200" s="4"/>
      <c r="FW2200" s="4"/>
      <c r="FX2200" s="4"/>
      <c r="FY2200" s="4"/>
      <c r="FZ2200" s="4"/>
      <c r="GA2200" s="4"/>
      <c r="GB2200" s="4"/>
      <c r="GC2200" s="4"/>
      <c r="GD2200" s="4"/>
      <c r="GE2200" s="4"/>
      <c r="GF2200" s="4"/>
      <c r="GG2200" s="4"/>
      <c r="GH2200" s="4"/>
      <c r="GI2200" s="4"/>
      <c r="GJ2200" s="4"/>
      <c r="GK2200" s="4"/>
      <c r="GL2200" s="4"/>
      <c r="GM2200" s="4"/>
      <c r="GN2200" s="4"/>
      <c r="GO2200" s="4"/>
      <c r="GP2200" s="4"/>
      <c r="GQ2200" s="4"/>
      <c r="GR2200" s="4"/>
      <c r="GS2200" s="4"/>
      <c r="GT2200" s="4"/>
      <c r="GU2200" s="4"/>
      <c r="GV2200" s="4"/>
      <c r="GW2200" s="4"/>
      <c r="GX2200" s="4"/>
      <c r="GY2200" s="4"/>
      <c r="GZ2200" s="4"/>
      <c r="HA2200" s="4"/>
      <c r="HB2200" s="4"/>
      <c r="HC2200" s="4"/>
      <c r="HD2200" s="4"/>
      <c r="HE2200" s="4"/>
    </row>
    <row r="2201">
      <c r="A2201" s="2" t="s">
        <v>10379</v>
      </c>
      <c r="B2201" s="2" t="s">
        <v>958</v>
      </c>
      <c r="C2201" s="2" t="s">
        <v>835</v>
      </c>
      <c r="D2201" s="2" t="s">
        <v>5518</v>
      </c>
      <c r="E2201" s="2" t="s">
        <v>5519</v>
      </c>
      <c r="F2201" s="2" t="s">
        <v>10359</v>
      </c>
      <c r="G2201" s="2" t="s">
        <v>10359</v>
      </c>
      <c r="H2201" s="2" t="s">
        <v>10359</v>
      </c>
      <c r="I2201" s="2" t="s">
        <v>5519</v>
      </c>
      <c r="J2201" s="2" t="s">
        <v>840</v>
      </c>
      <c r="K2201" s="2" t="s">
        <v>7110</v>
      </c>
      <c r="L2201" s="3">
        <v>121.5</v>
      </c>
      <c r="M2201" s="3">
        <v>127.58</v>
      </c>
      <c r="N2201" s="3">
        <v>259</v>
      </c>
      <c r="O2201" s="2" t="s">
        <v>240</v>
      </c>
      <c r="P2201" s="2" t="s">
        <v>1012</v>
      </c>
      <c r="Q2201" s="2" t="s">
        <v>234</v>
      </c>
      <c r="R2201" s="2" t="s">
        <v>228</v>
      </c>
      <c r="S2201" s="2" t="s">
        <v>228</v>
      </c>
      <c r="T2201" s="2" t="s">
        <v>228</v>
      </c>
      <c r="U2201" s="2" t="s">
        <v>416</v>
      </c>
      <c r="V2201" s="2" t="s">
        <v>236</v>
      </c>
      <c r="W2201" s="2" t="s">
        <v>3057</v>
      </c>
      <c r="X2201" s="2" t="s">
        <v>417</v>
      </c>
      <c r="Y2201" s="2" t="s">
        <v>6064</v>
      </c>
      <c r="Z2201" s="4">
        <v>92</v>
      </c>
      <c r="AA2201" s="4">
        <f>=ROUNDDOWN(57.5,0)</f>
      </c>
      <c r="AB2201" s="5">
        <v>1.6</v>
      </c>
      <c r="AC2201" s="2" t="s">
        <v>1570</v>
      </c>
      <c r="AD2201" s="4">
        <v>60</v>
      </c>
      <c r="AE2201" s="4">
        <v>60</v>
      </c>
      <c r="AF2201" s="6">
        <v>74</v>
      </c>
      <c r="AG2201" s="6">
        <v>60</v>
      </c>
      <c r="AH2201" s="7">
        <v>1</v>
      </c>
      <c r="AI2201" s="4"/>
      <c r="AJ2201" s="4">
        <f>=ROUNDDOWN({0},0)</f>
      </c>
      <c r="AK2201" s="5"/>
      <c r="AL2201" s="2" t="s">
        <v>228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 t="s">
        <v>228</v>
      </c>
      <c r="AW2201" s="8" t="s">
        <v>228</v>
      </c>
      <c r="AX2201" s="4" t="s">
        <v>228</v>
      </c>
      <c r="AY2201" s="8" t="s">
        <v>228</v>
      </c>
      <c r="AZ2201" s="7" t="s">
        <v>228</v>
      </c>
      <c r="BA2201" s="7" t="s">
        <v>228</v>
      </c>
      <c r="BB2201" s="7" t="s">
        <v>228</v>
      </c>
      <c r="BC2201" s="4" t="s">
        <v>228</v>
      </c>
      <c r="BD2201" s="8" t="s">
        <v>228</v>
      </c>
      <c r="BE2201" s="4" t="s">
        <v>228</v>
      </c>
      <c r="BF2201" s="8" t="s">
        <v>228</v>
      </c>
      <c r="BG2201" s="7" t="s">
        <v>228</v>
      </c>
      <c r="BH2201" s="7" t="s">
        <v>228</v>
      </c>
      <c r="BI2201" s="7"/>
      <c r="BJ2201" s="4">
        <v>4</v>
      </c>
      <c r="BK2201" s="8">
        <v>446.76</v>
      </c>
      <c r="BL2201" s="2" t="s">
        <v>6435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10380</v>
      </c>
      <c r="BV2201" s="2" t="s">
        <v>228</v>
      </c>
      <c r="BW2201" s="2" t="s">
        <v>228</v>
      </c>
      <c r="BX2201" s="2" t="s">
        <v>273</v>
      </c>
      <c r="BY2201" s="2" t="s">
        <v>274</v>
      </c>
      <c r="BZ2201" s="2" t="s">
        <v>240</v>
      </c>
      <c r="CA2201" s="2" t="s">
        <v>8101</v>
      </c>
      <c r="CB2201" s="2" t="s">
        <v>3534</v>
      </c>
      <c r="CC2201" s="2" t="s">
        <v>241</v>
      </c>
      <c r="CD2201" s="2" t="s">
        <v>228</v>
      </c>
      <c r="CE2201" s="4"/>
      <c r="CF2201" s="4">
        <v>92</v>
      </c>
      <c r="CG2201" s="4"/>
      <c r="CH2201" s="4"/>
      <c r="CI2201" s="4"/>
      <c r="CJ2201" s="4"/>
      <c r="CK2201" s="4"/>
      <c r="CL2201" s="4"/>
      <c r="CM2201" s="4"/>
      <c r="CN2201" s="4"/>
      <c r="CO2201" s="4"/>
      <c r="CP2201" s="4"/>
      <c r="CQ2201" s="4"/>
      <c r="CR2201" s="4"/>
      <c r="CS2201" s="4"/>
      <c r="CT2201" s="4"/>
      <c r="CU2201" s="4"/>
      <c r="CV2201" s="4"/>
      <c r="CW2201" s="4"/>
      <c r="CX2201" s="4"/>
      <c r="CY2201" s="4"/>
      <c r="CZ2201" s="4"/>
      <c r="DA2201" s="4"/>
      <c r="DB2201" s="4"/>
      <c r="DC2201" s="4"/>
      <c r="DD2201" s="4"/>
      <c r="DE2201" s="4"/>
      <c r="DF2201" s="4"/>
      <c r="DG2201" s="4"/>
      <c r="DH2201" s="4"/>
      <c r="DI2201" s="4"/>
      <c r="DJ2201" s="4"/>
      <c r="DK2201" s="4"/>
      <c r="DL2201" s="4"/>
      <c r="DM2201" s="4"/>
      <c r="DN2201" s="4"/>
      <c r="DO2201" s="4"/>
      <c r="DP2201" s="4"/>
      <c r="DQ2201" s="4"/>
      <c r="DR2201" s="4"/>
      <c r="DS2201" s="4"/>
      <c r="DT2201" s="4"/>
      <c r="DU2201" s="4"/>
      <c r="DV2201" s="4"/>
      <c r="DW2201" s="4"/>
      <c r="DX2201" s="4"/>
      <c r="DY2201" s="4"/>
      <c r="DZ2201" s="4"/>
      <c r="EA2201" s="4"/>
      <c r="EB2201" s="4"/>
      <c r="EC2201" s="4"/>
      <c r="ED2201" s="4"/>
      <c r="EE2201" s="4"/>
      <c r="EF2201" s="4"/>
      <c r="EG2201" s="4"/>
      <c r="EH2201" s="4"/>
      <c r="EI2201" s="4"/>
      <c r="EJ2201" s="4"/>
      <c r="EK2201" s="4"/>
      <c r="EL2201" s="4"/>
      <c r="EM2201" s="4"/>
      <c r="EN2201" s="4"/>
      <c r="EO2201" s="4"/>
      <c r="EP2201" s="4"/>
      <c r="EQ2201" s="4"/>
      <c r="ER2201" s="4"/>
      <c r="ES2201" s="4"/>
      <c r="ET2201" s="4"/>
      <c r="EU2201" s="4"/>
      <c r="EV2201" s="4"/>
      <c r="EW2201" s="4"/>
      <c r="EX2201" s="4"/>
      <c r="EY2201" s="4"/>
      <c r="EZ2201" s="4"/>
      <c r="FA2201" s="4"/>
      <c r="FB2201" s="4"/>
      <c r="FC2201" s="4"/>
      <c r="FD2201" s="4"/>
      <c r="FE2201" s="4"/>
      <c r="FF2201" s="4"/>
      <c r="FG2201" s="4"/>
      <c r="FH2201" s="4"/>
      <c r="FI2201" s="4"/>
      <c r="FJ2201" s="4"/>
      <c r="FK2201" s="4"/>
      <c r="FL2201" s="4"/>
      <c r="FM2201" s="4"/>
      <c r="FN2201" s="4"/>
      <c r="FO2201" s="4"/>
      <c r="FP2201" s="4"/>
      <c r="FQ2201" s="4"/>
      <c r="FR2201" s="4"/>
      <c r="FS2201" s="4"/>
      <c r="FT2201" s="4"/>
      <c r="FU2201" s="4"/>
      <c r="FV2201" s="4"/>
      <c r="FW2201" s="4"/>
      <c r="FX2201" s="4"/>
      <c r="FY2201" s="4"/>
      <c r="FZ2201" s="4"/>
      <c r="GA2201" s="4"/>
      <c r="GB2201" s="4"/>
      <c r="GC2201" s="4"/>
      <c r="GD2201" s="4"/>
      <c r="GE2201" s="4"/>
      <c r="GF2201" s="4"/>
      <c r="GG2201" s="4"/>
      <c r="GH2201" s="4"/>
      <c r="GI2201" s="4"/>
      <c r="GJ2201" s="4"/>
      <c r="GK2201" s="4"/>
      <c r="GL2201" s="4">
        <v>60</v>
      </c>
      <c r="GM2201" s="4"/>
      <c r="GN2201" s="4"/>
      <c r="GO2201" s="4"/>
      <c r="GP2201" s="4"/>
      <c r="GQ2201" s="4"/>
      <c r="GR2201" s="4"/>
      <c r="GS2201" s="4"/>
      <c r="GT2201" s="4"/>
      <c r="GU2201" s="4"/>
      <c r="GV2201" s="4"/>
      <c r="GW2201" s="4"/>
      <c r="GX2201" s="4"/>
      <c r="GY2201" s="4"/>
      <c r="GZ2201" s="4"/>
      <c r="HA2201" s="4"/>
      <c r="HB2201" s="4"/>
      <c r="HC2201" s="4"/>
      <c r="HD2201" s="4"/>
      <c r="HE2201" s="4"/>
    </row>
    <row r="2202">
      <c r="A2202" s="2" t="s">
        <v>10381</v>
      </c>
      <c r="B2202" s="2" t="s">
        <v>958</v>
      </c>
      <c r="C2202" s="2" t="s">
        <v>835</v>
      </c>
      <c r="D2202" s="2" t="s">
        <v>1795</v>
      </c>
      <c r="E2202" s="2" t="s">
        <v>10358</v>
      </c>
      <c r="F2202" s="2" t="s">
        <v>10359</v>
      </c>
      <c r="G2202" s="2" t="s">
        <v>10359</v>
      </c>
      <c r="H2202" s="2" t="s">
        <v>10359</v>
      </c>
      <c r="I2202" s="2" t="s">
        <v>10382</v>
      </c>
      <c r="J2202" s="2" t="s">
        <v>840</v>
      </c>
      <c r="K2202" s="2" t="s">
        <v>7110</v>
      </c>
      <c r="L2202" s="3">
        <v>730.65</v>
      </c>
      <c r="M2202" s="3">
        <v>767.18</v>
      </c>
      <c r="N2202" s="3">
        <v>1549</v>
      </c>
      <c r="O2202" s="2" t="s">
        <v>240</v>
      </c>
      <c r="P2202" s="2" t="s">
        <v>1022</v>
      </c>
      <c r="Q2202" s="2" t="s">
        <v>234</v>
      </c>
      <c r="R2202" s="2" t="s">
        <v>16</v>
      </c>
      <c r="S2202" s="2" t="s">
        <v>228</v>
      </c>
      <c r="T2202" s="2" t="s">
        <v>228</v>
      </c>
      <c r="U2202" s="2" t="s">
        <v>1054</v>
      </c>
      <c r="V2202" s="2" t="s">
        <v>236</v>
      </c>
      <c r="W2202" s="2" t="s">
        <v>3057</v>
      </c>
      <c r="X2202" s="2" t="s">
        <v>417</v>
      </c>
      <c r="Y2202" s="2" t="s">
        <v>770</v>
      </c>
      <c r="Z2202" s="4">
        <v>47</v>
      </c>
      <c r="AA2202" s="4">
        <f>=ROUNDDOWN({0},0)</f>
      </c>
      <c r="AB2202" s="5"/>
      <c r="AC2202" s="2" t="s">
        <v>228</v>
      </c>
      <c r="AD2202" s="4"/>
      <c r="AE2202" s="4"/>
      <c r="AF2202" s="6"/>
      <c r="AG2202" s="6"/>
      <c r="AH2202" s="7">
        <v>1</v>
      </c>
      <c r="AI2202" s="4"/>
      <c r="AJ2202" s="4">
        <f>=ROUNDDOWN({0},0)</f>
      </c>
      <c r="AK2202" s="5"/>
      <c r="AL2202" s="2" t="s">
        <v>228</v>
      </c>
      <c r="AM2202" s="4"/>
      <c r="AN2202" s="4"/>
      <c r="AO2202" s="7"/>
      <c r="AP2202" s="4"/>
      <c r="AQ2202" s="8"/>
      <c r="AR2202" s="4"/>
      <c r="AS2202" s="8"/>
      <c r="AT2202" s="7"/>
      <c r="AU2202" s="7"/>
      <c r="AV2202" s="4" t="s">
        <v>228</v>
      </c>
      <c r="AW2202" s="8" t="s">
        <v>228</v>
      </c>
      <c r="AX2202" s="4" t="s">
        <v>228</v>
      </c>
      <c r="AY2202" s="8" t="s">
        <v>228</v>
      </c>
      <c r="AZ2202" s="7" t="s">
        <v>228</v>
      </c>
      <c r="BA2202" s="7" t="s">
        <v>228</v>
      </c>
      <c r="BB2202" s="7" t="s">
        <v>228</v>
      </c>
      <c r="BC2202" s="4" t="s">
        <v>228</v>
      </c>
      <c r="BD2202" s="8" t="s">
        <v>228</v>
      </c>
      <c r="BE2202" s="4" t="s">
        <v>228</v>
      </c>
      <c r="BF2202" s="8" t="s">
        <v>228</v>
      </c>
      <c r="BG2202" s="7" t="s">
        <v>228</v>
      </c>
      <c r="BH2202" s="7" t="s">
        <v>228</v>
      </c>
      <c r="BI2202" s="7"/>
      <c r="BJ2202" s="4"/>
      <c r="BK2202" s="8"/>
      <c r="BL2202" s="2" t="s">
        <v>228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10383</v>
      </c>
      <c r="BV2202" s="2" t="s">
        <v>228</v>
      </c>
      <c r="BW2202" s="2" t="s">
        <v>228</v>
      </c>
      <c r="BX2202" s="2" t="s">
        <v>273</v>
      </c>
      <c r="BY2202" s="2" t="s">
        <v>274</v>
      </c>
      <c r="BZ2202" s="2" t="s">
        <v>240</v>
      </c>
      <c r="CA2202" s="2" t="s">
        <v>1203</v>
      </c>
      <c r="CB2202" s="2" t="s">
        <v>228</v>
      </c>
      <c r="CC2202" s="2" t="s">
        <v>241</v>
      </c>
      <c r="CD2202" s="2" t="s">
        <v>228</v>
      </c>
      <c r="CE2202" s="4"/>
      <c r="CF2202" s="4">
        <v>47</v>
      </c>
      <c r="CG2202" s="4"/>
      <c r="CH2202" s="4"/>
      <c r="CI2202" s="4"/>
      <c r="CJ2202" s="4"/>
      <c r="CK2202" s="4"/>
      <c r="CL2202" s="4"/>
      <c r="CM2202" s="4"/>
      <c r="CN2202" s="4"/>
      <c r="CO2202" s="4"/>
      <c r="CP2202" s="4"/>
      <c r="CQ2202" s="4"/>
      <c r="CR2202" s="4"/>
      <c r="CS2202" s="4"/>
      <c r="CT2202" s="4"/>
      <c r="CU2202" s="4"/>
      <c r="CV2202" s="4"/>
      <c r="CW2202" s="4"/>
      <c r="CX2202" s="4"/>
      <c r="CY2202" s="4"/>
      <c r="CZ2202" s="4"/>
      <c r="DA2202" s="4"/>
      <c r="DB2202" s="4"/>
      <c r="DC2202" s="4"/>
      <c r="DD2202" s="4"/>
      <c r="DE2202" s="4"/>
      <c r="DF2202" s="4"/>
      <c r="DG2202" s="4"/>
      <c r="DH2202" s="4"/>
      <c r="DI2202" s="4"/>
      <c r="DJ2202" s="4"/>
      <c r="DK2202" s="4"/>
      <c r="DL2202" s="4"/>
      <c r="DM2202" s="4"/>
      <c r="DN2202" s="4"/>
      <c r="DO2202" s="4"/>
      <c r="DP2202" s="4"/>
      <c r="DQ2202" s="4"/>
      <c r="DR2202" s="4"/>
      <c r="DS2202" s="4"/>
      <c r="DT2202" s="4"/>
      <c r="DU2202" s="4"/>
      <c r="DV2202" s="4"/>
      <c r="DW2202" s="4"/>
      <c r="DX2202" s="4"/>
      <c r="DY2202" s="4"/>
      <c r="DZ2202" s="4"/>
      <c r="EA2202" s="4"/>
      <c r="EB2202" s="4"/>
      <c r="EC2202" s="4"/>
      <c r="ED2202" s="4"/>
      <c r="EE2202" s="4"/>
      <c r="EF2202" s="4"/>
      <c r="EG2202" s="4"/>
      <c r="EH2202" s="4"/>
      <c r="EI2202" s="4"/>
      <c r="EJ2202" s="4"/>
      <c r="EK2202" s="4"/>
      <c r="EL2202" s="4"/>
      <c r="EM2202" s="4"/>
      <c r="EN2202" s="4"/>
      <c r="EO2202" s="4"/>
      <c r="EP2202" s="4"/>
      <c r="EQ2202" s="4"/>
      <c r="ER2202" s="4"/>
      <c r="ES2202" s="4"/>
      <c r="ET2202" s="4"/>
      <c r="EU2202" s="4"/>
      <c r="EV2202" s="4"/>
      <c r="EW2202" s="4"/>
      <c r="EX2202" s="4"/>
      <c r="EY2202" s="4"/>
      <c r="EZ2202" s="4"/>
      <c r="FA2202" s="4"/>
      <c r="FB2202" s="4"/>
      <c r="FC2202" s="4"/>
      <c r="FD2202" s="4"/>
      <c r="FE2202" s="4"/>
      <c r="FF2202" s="4"/>
      <c r="FG2202" s="4"/>
      <c r="FH2202" s="4"/>
      <c r="FI2202" s="4"/>
      <c r="FJ2202" s="4"/>
      <c r="FK2202" s="4"/>
      <c r="FL2202" s="4"/>
      <c r="FM2202" s="4"/>
      <c r="FN2202" s="4"/>
      <c r="FO2202" s="4"/>
      <c r="FP2202" s="4"/>
      <c r="FQ2202" s="4"/>
      <c r="FR2202" s="4"/>
      <c r="FS2202" s="4"/>
      <c r="FT2202" s="4"/>
      <c r="FU2202" s="4"/>
      <c r="FV2202" s="4"/>
      <c r="FW2202" s="4"/>
      <c r="FX2202" s="4"/>
      <c r="FY2202" s="4"/>
      <c r="FZ2202" s="4"/>
      <c r="GA2202" s="4"/>
      <c r="GB2202" s="4"/>
      <c r="GC2202" s="4"/>
      <c r="GD2202" s="4"/>
      <c r="GE2202" s="4"/>
      <c r="GF2202" s="4"/>
      <c r="GG2202" s="4"/>
      <c r="GH2202" s="4"/>
      <c r="GI2202" s="4"/>
      <c r="GJ2202" s="4"/>
      <c r="GK2202" s="4"/>
      <c r="GL2202" s="4"/>
      <c r="GM2202" s="4"/>
      <c r="GN2202" s="4"/>
      <c r="GO2202" s="4"/>
      <c r="GP2202" s="4"/>
      <c r="GQ2202" s="4"/>
      <c r="GR2202" s="4"/>
      <c r="GS2202" s="4"/>
      <c r="GT2202" s="4"/>
      <c r="GU2202" s="4"/>
      <c r="GV2202" s="4"/>
      <c r="GW2202" s="4"/>
      <c r="GX2202" s="4"/>
      <c r="GY2202" s="4"/>
      <c r="GZ2202" s="4"/>
      <c r="HA2202" s="4"/>
      <c r="HB2202" s="4"/>
      <c r="HC2202" s="4"/>
      <c r="HD2202" s="4"/>
      <c r="HE2202" s="4"/>
    </row>
    <row r="2203">
      <c r="A2203" s="2" t="s">
        <v>10384</v>
      </c>
      <c r="B2203" s="2" t="s">
        <v>958</v>
      </c>
      <c r="C2203" s="2" t="s">
        <v>835</v>
      </c>
      <c r="D2203" s="2" t="s">
        <v>1795</v>
      </c>
      <c r="E2203" s="2" t="s">
        <v>1796</v>
      </c>
      <c r="F2203" s="2" t="s">
        <v>10359</v>
      </c>
      <c r="G2203" s="2" t="s">
        <v>10359</v>
      </c>
      <c r="H2203" s="2" t="s">
        <v>10359</v>
      </c>
      <c r="I2203" s="2" t="s">
        <v>10385</v>
      </c>
      <c r="J2203" s="2" t="s">
        <v>840</v>
      </c>
      <c r="K2203" s="2" t="s">
        <v>7110</v>
      </c>
      <c r="L2203" s="3">
        <v>164.59</v>
      </c>
      <c r="M2203" s="3">
        <v>172.82</v>
      </c>
      <c r="N2203" s="3">
        <v>349</v>
      </c>
      <c r="O2203" s="2" t="s">
        <v>240</v>
      </c>
      <c r="P2203" s="2" t="s">
        <v>1012</v>
      </c>
      <c r="Q2203" s="2" t="s">
        <v>234</v>
      </c>
      <c r="R2203" s="2" t="s">
        <v>228</v>
      </c>
      <c r="S2203" s="2" t="s">
        <v>228</v>
      </c>
      <c r="T2203" s="2" t="s">
        <v>228</v>
      </c>
      <c r="U2203" s="2" t="s">
        <v>228</v>
      </c>
      <c r="V2203" s="2" t="s">
        <v>236</v>
      </c>
      <c r="W2203" s="2" t="s">
        <v>3057</v>
      </c>
      <c r="X2203" s="2" t="s">
        <v>417</v>
      </c>
      <c r="Y2203" s="2" t="s">
        <v>10376</v>
      </c>
      <c r="Z2203" s="4">
        <v>95</v>
      </c>
      <c r="AA2203" s="4">
        <f>=ROUNDDOWN(19,0)</f>
      </c>
      <c r="AB2203" s="5">
        <v>5</v>
      </c>
      <c r="AC2203" s="2" t="s">
        <v>1570</v>
      </c>
      <c r="AD2203" s="4">
        <v>70</v>
      </c>
      <c r="AE2203" s="4">
        <v>70</v>
      </c>
      <c r="AF2203" s="6">
        <v>74</v>
      </c>
      <c r="AG2203" s="6">
        <v>60</v>
      </c>
      <c r="AH2203" s="7">
        <v>1</v>
      </c>
      <c r="AI2203" s="4"/>
      <c r="AJ2203" s="4">
        <f>=ROUNDDOWN({0},0)</f>
      </c>
      <c r="AK2203" s="5"/>
      <c r="AL2203" s="2" t="s">
        <v>228</v>
      </c>
      <c r="AM2203" s="4"/>
      <c r="AN2203" s="4"/>
      <c r="AO2203" s="7"/>
      <c r="AP2203" s="4"/>
      <c r="AQ2203" s="8"/>
      <c r="AR2203" s="4"/>
      <c r="AS2203" s="8"/>
      <c r="AT2203" s="7"/>
      <c r="AU2203" s="7"/>
      <c r="AV2203" s="4" t="s">
        <v>228</v>
      </c>
      <c r="AW2203" s="8" t="s">
        <v>228</v>
      </c>
      <c r="AX2203" s="4" t="s">
        <v>228</v>
      </c>
      <c r="AY2203" s="8" t="s">
        <v>228</v>
      </c>
      <c r="AZ2203" s="7" t="s">
        <v>228</v>
      </c>
      <c r="BA2203" s="7" t="s">
        <v>228</v>
      </c>
      <c r="BB2203" s="7" t="s">
        <v>228</v>
      </c>
      <c r="BC2203" s="4" t="s">
        <v>228</v>
      </c>
      <c r="BD2203" s="8" t="s">
        <v>228</v>
      </c>
      <c r="BE2203" s="4" t="s">
        <v>228</v>
      </c>
      <c r="BF2203" s="8" t="s">
        <v>228</v>
      </c>
      <c r="BG2203" s="7" t="s">
        <v>228</v>
      </c>
      <c r="BH2203" s="7" t="s">
        <v>228</v>
      </c>
      <c r="BI2203" s="7"/>
      <c r="BJ2203" s="4">
        <v>10</v>
      </c>
      <c r="BK2203" s="8">
        <v>1651.32</v>
      </c>
      <c r="BL2203" s="2" t="s">
        <v>5355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10386</v>
      </c>
      <c r="BV2203" s="2" t="s">
        <v>228</v>
      </c>
      <c r="BW2203" s="2" t="s">
        <v>228</v>
      </c>
      <c r="BX2203" s="2" t="s">
        <v>273</v>
      </c>
      <c r="BY2203" s="2" t="s">
        <v>274</v>
      </c>
      <c r="BZ2203" s="2" t="s">
        <v>240</v>
      </c>
      <c r="CA2203" s="2" t="s">
        <v>10376</v>
      </c>
      <c r="CB2203" s="2" t="s">
        <v>10373</v>
      </c>
      <c r="CC2203" s="2" t="s">
        <v>241</v>
      </c>
      <c r="CD2203" s="2" t="s">
        <v>228</v>
      </c>
      <c r="CE2203" s="4"/>
      <c r="CF2203" s="4">
        <v>92</v>
      </c>
      <c r="CG2203" s="4"/>
      <c r="CH2203" s="4">
        <v>3</v>
      </c>
      <c r="CI2203" s="4"/>
      <c r="CJ2203" s="4"/>
      <c r="CK2203" s="4"/>
      <c r="CL2203" s="4"/>
      <c r="CM2203" s="4"/>
      <c r="CN2203" s="4"/>
      <c r="CO2203" s="4"/>
      <c r="CP2203" s="4"/>
      <c r="CQ2203" s="4"/>
      <c r="CR2203" s="4"/>
      <c r="CS2203" s="4"/>
      <c r="CT2203" s="4"/>
      <c r="CU2203" s="4"/>
      <c r="CV2203" s="4"/>
      <c r="CW2203" s="4"/>
      <c r="CX2203" s="4"/>
      <c r="CY2203" s="4"/>
      <c r="CZ2203" s="4"/>
      <c r="DA2203" s="4"/>
      <c r="DB2203" s="4"/>
      <c r="DC2203" s="4"/>
      <c r="DD2203" s="4"/>
      <c r="DE2203" s="4"/>
      <c r="DF2203" s="4"/>
      <c r="DG2203" s="4"/>
      <c r="DH2203" s="4"/>
      <c r="DI2203" s="4"/>
      <c r="DJ2203" s="4"/>
      <c r="DK2203" s="4"/>
      <c r="DL2203" s="4"/>
      <c r="DM2203" s="4"/>
      <c r="DN2203" s="4"/>
      <c r="DO2203" s="4"/>
      <c r="DP2203" s="4"/>
      <c r="DQ2203" s="4"/>
      <c r="DR2203" s="4"/>
      <c r="DS2203" s="4"/>
      <c r="DT2203" s="4"/>
      <c r="DU2203" s="4"/>
      <c r="DV2203" s="4"/>
      <c r="DW2203" s="4"/>
      <c r="DX2203" s="4"/>
      <c r="DY2203" s="4"/>
      <c r="DZ2203" s="4"/>
      <c r="EA2203" s="4"/>
      <c r="EB2203" s="4"/>
      <c r="EC2203" s="4"/>
      <c r="ED2203" s="4"/>
      <c r="EE2203" s="4"/>
      <c r="EF2203" s="4"/>
      <c r="EG2203" s="4"/>
      <c r="EH2203" s="4"/>
      <c r="EI2203" s="4"/>
      <c r="EJ2203" s="4"/>
      <c r="EK2203" s="4"/>
      <c r="EL2203" s="4"/>
      <c r="EM2203" s="4"/>
      <c r="EN2203" s="4"/>
      <c r="EO2203" s="4"/>
      <c r="EP2203" s="4"/>
      <c r="EQ2203" s="4"/>
      <c r="ER2203" s="4"/>
      <c r="ES2203" s="4"/>
      <c r="ET2203" s="4"/>
      <c r="EU2203" s="4"/>
      <c r="EV2203" s="4"/>
      <c r="EW2203" s="4"/>
      <c r="EX2203" s="4"/>
      <c r="EY2203" s="4"/>
      <c r="EZ2203" s="4"/>
      <c r="FA2203" s="4"/>
      <c r="FB2203" s="4"/>
      <c r="FC2203" s="4"/>
      <c r="FD2203" s="4"/>
      <c r="FE2203" s="4"/>
      <c r="FF2203" s="4"/>
      <c r="FG2203" s="4"/>
      <c r="FH2203" s="4"/>
      <c r="FI2203" s="4"/>
      <c r="FJ2203" s="4"/>
      <c r="FK2203" s="4"/>
      <c r="FL2203" s="4"/>
      <c r="FM2203" s="4"/>
      <c r="FN2203" s="4"/>
      <c r="FO2203" s="4"/>
      <c r="FP2203" s="4"/>
      <c r="FQ2203" s="4"/>
      <c r="FR2203" s="4"/>
      <c r="FS2203" s="4"/>
      <c r="FT2203" s="4"/>
      <c r="FU2203" s="4"/>
      <c r="FV2203" s="4"/>
      <c r="FW2203" s="4"/>
      <c r="FX2203" s="4"/>
      <c r="FY2203" s="4"/>
      <c r="FZ2203" s="4"/>
      <c r="GA2203" s="4"/>
      <c r="GB2203" s="4"/>
      <c r="GC2203" s="4"/>
      <c r="GD2203" s="4"/>
      <c r="GE2203" s="4"/>
      <c r="GF2203" s="4"/>
      <c r="GG2203" s="4"/>
      <c r="GH2203" s="4"/>
      <c r="GI2203" s="4"/>
      <c r="GJ2203" s="4"/>
      <c r="GK2203" s="4"/>
      <c r="GL2203" s="4">
        <v>70</v>
      </c>
      <c r="GM2203" s="4"/>
      <c r="GN2203" s="4"/>
      <c r="GO2203" s="4"/>
      <c r="GP2203" s="4"/>
      <c r="GQ2203" s="4"/>
      <c r="GR2203" s="4"/>
      <c r="GS2203" s="4"/>
      <c r="GT2203" s="4"/>
      <c r="GU2203" s="4"/>
      <c r="GV2203" s="4"/>
      <c r="GW2203" s="4"/>
      <c r="GX2203" s="4"/>
      <c r="GY2203" s="4"/>
      <c r="GZ2203" s="4"/>
      <c r="HA2203" s="4"/>
      <c r="HB2203" s="4"/>
      <c r="HC2203" s="4"/>
      <c r="HD2203" s="4"/>
      <c r="HE2203" s="4"/>
    </row>
    <row r="2204">
      <c r="A2204" s="2" t="s">
        <v>10387</v>
      </c>
      <c r="B2204" s="2" t="s">
        <v>958</v>
      </c>
      <c r="C2204" s="2" t="s">
        <v>835</v>
      </c>
      <c r="D2204" s="2" t="s">
        <v>1795</v>
      </c>
      <c r="E2204" s="2" t="s">
        <v>2165</v>
      </c>
      <c r="F2204" s="2" t="s">
        <v>10359</v>
      </c>
      <c r="G2204" s="2" t="s">
        <v>10359</v>
      </c>
      <c r="H2204" s="2" t="s">
        <v>10359</v>
      </c>
      <c r="I2204" s="2" t="s">
        <v>10388</v>
      </c>
      <c r="J2204" s="2" t="s">
        <v>840</v>
      </c>
      <c r="K2204" s="2" t="s">
        <v>7110</v>
      </c>
      <c r="L2204" s="3">
        <v>759.5</v>
      </c>
      <c r="M2204" s="3">
        <v>797.48</v>
      </c>
      <c r="N2204" s="3">
        <v>1599</v>
      </c>
      <c r="O2204" s="2" t="s">
        <v>240</v>
      </c>
      <c r="P2204" s="2" t="s">
        <v>1022</v>
      </c>
      <c r="Q2204" s="2" t="s">
        <v>234</v>
      </c>
      <c r="R2204" s="2" t="s">
        <v>16</v>
      </c>
      <c r="S2204" s="2" t="s">
        <v>228</v>
      </c>
      <c r="T2204" s="2" t="s">
        <v>228</v>
      </c>
      <c r="U2204" s="2" t="s">
        <v>1331</v>
      </c>
      <c r="V2204" s="2" t="s">
        <v>236</v>
      </c>
      <c r="W2204" s="2" t="s">
        <v>3057</v>
      </c>
      <c r="X2204" s="2" t="s">
        <v>417</v>
      </c>
      <c r="Y2204" s="2" t="s">
        <v>770</v>
      </c>
      <c r="Z2204" s="4">
        <v>31</v>
      </c>
      <c r="AA2204" s="4">
        <f>=ROUNDDOWN({0},0)</f>
      </c>
      <c r="AB2204" s="5"/>
      <c r="AC2204" s="2" t="s">
        <v>228</v>
      </c>
      <c r="AD2204" s="4"/>
      <c r="AE2204" s="4"/>
      <c r="AF2204" s="6"/>
      <c r="AG2204" s="6"/>
      <c r="AH2204" s="7">
        <v>1</v>
      </c>
      <c r="AI2204" s="4"/>
      <c r="AJ2204" s="4">
        <f>=ROUNDDOWN({0},0)</f>
      </c>
      <c r="AK2204" s="5"/>
      <c r="AL2204" s="2" t="s">
        <v>228</v>
      </c>
      <c r="AM2204" s="4"/>
      <c r="AN2204" s="4"/>
      <c r="AO2204" s="7"/>
      <c r="AP2204" s="4"/>
      <c r="AQ2204" s="8"/>
      <c r="AR2204" s="4"/>
      <c r="AS2204" s="8"/>
      <c r="AT2204" s="7"/>
      <c r="AU2204" s="7"/>
      <c r="AV2204" s="4" t="s">
        <v>228</v>
      </c>
      <c r="AW2204" s="8" t="s">
        <v>228</v>
      </c>
      <c r="AX2204" s="4" t="s">
        <v>228</v>
      </c>
      <c r="AY2204" s="8" t="s">
        <v>228</v>
      </c>
      <c r="AZ2204" s="7" t="s">
        <v>228</v>
      </c>
      <c r="BA2204" s="7" t="s">
        <v>228</v>
      </c>
      <c r="BB2204" s="7" t="s">
        <v>228</v>
      </c>
      <c r="BC2204" s="4" t="s">
        <v>228</v>
      </c>
      <c r="BD2204" s="8" t="s">
        <v>228</v>
      </c>
      <c r="BE2204" s="4" t="s">
        <v>228</v>
      </c>
      <c r="BF2204" s="8" t="s">
        <v>228</v>
      </c>
      <c r="BG2204" s="7" t="s">
        <v>228</v>
      </c>
      <c r="BH2204" s="7" t="s">
        <v>228</v>
      </c>
      <c r="BI2204" s="7"/>
      <c r="BJ2204" s="4"/>
      <c r="BK2204" s="8"/>
      <c r="BL2204" s="2" t="s">
        <v>228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10389</v>
      </c>
      <c r="BV2204" s="2" t="s">
        <v>228</v>
      </c>
      <c r="BW2204" s="2" t="s">
        <v>228</v>
      </c>
      <c r="BX2204" s="2" t="s">
        <v>273</v>
      </c>
      <c r="BY2204" s="2" t="s">
        <v>274</v>
      </c>
      <c r="BZ2204" s="2" t="s">
        <v>240</v>
      </c>
      <c r="CA2204" s="2" t="s">
        <v>1203</v>
      </c>
      <c r="CB2204" s="2" t="s">
        <v>228</v>
      </c>
      <c r="CC2204" s="2" t="s">
        <v>241</v>
      </c>
      <c r="CD2204" s="2" t="s">
        <v>228</v>
      </c>
      <c r="CE2204" s="4"/>
      <c r="CF2204" s="4">
        <v>31</v>
      </c>
      <c r="CG2204" s="4"/>
      <c r="CH2204" s="4"/>
      <c r="CI2204" s="4"/>
      <c r="CJ2204" s="4"/>
      <c r="CK2204" s="4"/>
      <c r="CL2204" s="4"/>
      <c r="CM2204" s="4"/>
      <c r="CN2204" s="4"/>
      <c r="CO2204" s="4"/>
      <c r="CP2204" s="4"/>
      <c r="CQ2204" s="4"/>
      <c r="CR2204" s="4"/>
      <c r="CS2204" s="4"/>
      <c r="CT2204" s="4"/>
      <c r="CU2204" s="4"/>
      <c r="CV2204" s="4"/>
      <c r="CW2204" s="4"/>
      <c r="CX2204" s="4"/>
      <c r="CY2204" s="4"/>
      <c r="CZ2204" s="4"/>
      <c r="DA2204" s="4"/>
      <c r="DB2204" s="4"/>
      <c r="DC2204" s="4"/>
      <c r="DD2204" s="4"/>
      <c r="DE2204" s="4"/>
      <c r="DF2204" s="4"/>
      <c r="DG2204" s="4"/>
      <c r="DH2204" s="4"/>
      <c r="DI2204" s="4"/>
      <c r="DJ2204" s="4"/>
      <c r="DK2204" s="4"/>
      <c r="DL2204" s="4"/>
      <c r="DM2204" s="4"/>
      <c r="DN2204" s="4"/>
      <c r="DO2204" s="4"/>
      <c r="DP2204" s="4"/>
      <c r="DQ2204" s="4"/>
      <c r="DR2204" s="4"/>
      <c r="DS2204" s="4"/>
      <c r="DT2204" s="4"/>
      <c r="DU2204" s="4"/>
      <c r="DV2204" s="4"/>
      <c r="DW2204" s="4"/>
      <c r="DX2204" s="4"/>
      <c r="DY2204" s="4"/>
      <c r="DZ2204" s="4"/>
      <c r="EA2204" s="4"/>
      <c r="EB2204" s="4"/>
      <c r="EC2204" s="4"/>
      <c r="ED2204" s="4"/>
      <c r="EE2204" s="4"/>
      <c r="EF2204" s="4"/>
      <c r="EG2204" s="4"/>
      <c r="EH2204" s="4"/>
      <c r="EI2204" s="4"/>
      <c r="EJ2204" s="4"/>
      <c r="EK2204" s="4"/>
      <c r="EL2204" s="4"/>
      <c r="EM2204" s="4"/>
      <c r="EN2204" s="4"/>
      <c r="EO2204" s="4"/>
      <c r="EP2204" s="4"/>
      <c r="EQ2204" s="4"/>
      <c r="ER2204" s="4"/>
      <c r="ES2204" s="4"/>
      <c r="ET2204" s="4"/>
      <c r="EU2204" s="4"/>
      <c r="EV2204" s="4"/>
      <c r="EW2204" s="4"/>
      <c r="EX2204" s="4"/>
      <c r="EY2204" s="4"/>
      <c r="EZ2204" s="4"/>
      <c r="FA2204" s="4"/>
      <c r="FB2204" s="4"/>
      <c r="FC2204" s="4"/>
      <c r="FD2204" s="4"/>
      <c r="FE2204" s="4"/>
      <c r="FF2204" s="4"/>
      <c r="FG2204" s="4"/>
      <c r="FH2204" s="4"/>
      <c r="FI2204" s="4"/>
      <c r="FJ2204" s="4"/>
      <c r="FK2204" s="4"/>
      <c r="FL2204" s="4"/>
      <c r="FM2204" s="4"/>
      <c r="FN2204" s="4"/>
      <c r="FO2204" s="4"/>
      <c r="FP2204" s="4"/>
      <c r="FQ2204" s="4"/>
      <c r="FR2204" s="4"/>
      <c r="FS2204" s="4"/>
      <c r="FT2204" s="4"/>
      <c r="FU2204" s="4"/>
      <c r="FV2204" s="4"/>
      <c r="FW2204" s="4"/>
      <c r="FX2204" s="4"/>
      <c r="FY2204" s="4"/>
      <c r="FZ2204" s="4"/>
      <c r="GA2204" s="4"/>
      <c r="GB2204" s="4"/>
      <c r="GC2204" s="4"/>
      <c r="GD2204" s="4"/>
      <c r="GE2204" s="4"/>
      <c r="GF2204" s="4"/>
      <c r="GG2204" s="4"/>
      <c r="GH2204" s="4"/>
      <c r="GI2204" s="4"/>
      <c r="GJ2204" s="4"/>
      <c r="GK2204" s="4"/>
      <c r="GL2204" s="4"/>
      <c r="GM2204" s="4"/>
      <c r="GN2204" s="4"/>
      <c r="GO2204" s="4"/>
      <c r="GP2204" s="4"/>
      <c r="GQ2204" s="4"/>
      <c r="GR2204" s="4"/>
      <c r="GS2204" s="4"/>
      <c r="GT2204" s="4"/>
      <c r="GU2204" s="4"/>
      <c r="GV2204" s="4"/>
      <c r="GW2204" s="4"/>
      <c r="GX2204" s="4"/>
      <c r="GY2204" s="4"/>
      <c r="GZ2204" s="4"/>
      <c r="HA2204" s="4"/>
      <c r="HB2204" s="4"/>
      <c r="HC2204" s="4"/>
      <c r="HD2204" s="4"/>
      <c r="HE2204" s="4"/>
    </row>
    <row r="2205">
      <c r="A2205" s="2" t="s">
        <v>10390</v>
      </c>
      <c r="B2205" s="2" t="s">
        <v>1276</v>
      </c>
      <c r="C2205" s="2" t="s">
        <v>300</v>
      </c>
      <c r="D2205" s="2" t="s">
        <v>1276</v>
      </c>
      <c r="E2205" s="2" t="s">
        <v>1276</v>
      </c>
      <c r="F2205" s="2" t="s">
        <v>10391</v>
      </c>
      <c r="G2205" s="2" t="s">
        <v>10391</v>
      </c>
      <c r="H2205" s="2" t="s">
        <v>10391</v>
      </c>
      <c r="I2205" s="2" t="s">
        <v>10392</v>
      </c>
      <c r="J2205" s="2" t="s">
        <v>1937</v>
      </c>
      <c r="K2205" s="2" t="s">
        <v>1105</v>
      </c>
      <c r="L2205" s="3">
        <v>211.98</v>
      </c>
      <c r="M2205" s="3">
        <v>222.58</v>
      </c>
      <c r="N2205" s="3">
        <v>474.99</v>
      </c>
      <c r="O2205" s="2" t="s">
        <v>461</v>
      </c>
      <c r="P2205" s="2" t="s">
        <v>333</v>
      </c>
      <c r="Q2205" s="2" t="s">
        <v>234</v>
      </c>
      <c r="R2205" s="2" t="s">
        <v>228</v>
      </c>
      <c r="S2205" s="2" t="s">
        <v>228</v>
      </c>
      <c r="T2205" s="2" t="s">
        <v>228</v>
      </c>
      <c r="U2205" s="2" t="s">
        <v>416</v>
      </c>
      <c r="V2205" s="2" t="s">
        <v>236</v>
      </c>
      <c r="W2205" s="2" t="s">
        <v>463</v>
      </c>
      <c r="X2205" s="2" t="s">
        <v>228</v>
      </c>
      <c r="Y2205" s="2" t="s">
        <v>8767</v>
      </c>
      <c r="Z2205" s="4">
        <v>89</v>
      </c>
      <c r="AA2205" s="4">
        <f>=ROUNDDOWN(445,0)</f>
      </c>
      <c r="AB2205" s="5">
        <v>0.2</v>
      </c>
      <c r="AC2205" s="2" t="s">
        <v>228</v>
      </c>
      <c r="AD2205" s="4"/>
      <c r="AE2205" s="4"/>
      <c r="AF2205" s="6">
        <v>63</v>
      </c>
      <c r="AG2205" s="6"/>
      <c r="AH2205" s="7">
        <v>1</v>
      </c>
      <c r="AI2205" s="4"/>
      <c r="AJ2205" s="4">
        <f>=ROUNDDOWN({0},0)</f>
      </c>
      <c r="AK2205" s="5"/>
      <c r="AL2205" s="2" t="s">
        <v>228</v>
      </c>
      <c r="AM2205" s="4"/>
      <c r="AN2205" s="4"/>
      <c r="AO2205" s="7"/>
      <c r="AP2205" s="4"/>
      <c r="AQ2205" s="8"/>
      <c r="AR2205" s="4"/>
      <c r="AS2205" s="8"/>
      <c r="AT2205" s="7"/>
      <c r="AU2205" s="7"/>
      <c r="AV2205" s="4"/>
      <c r="AW2205" s="8"/>
      <c r="AX2205" s="4"/>
      <c r="AY2205" s="8"/>
      <c r="AZ2205" s="7"/>
      <c r="BA2205" s="7"/>
      <c r="BB2205" s="7"/>
      <c r="BC2205" s="4"/>
      <c r="BD2205" s="8"/>
      <c r="BE2205" s="4"/>
      <c r="BF2205" s="8"/>
      <c r="BG2205" s="7"/>
      <c r="BH2205" s="7"/>
      <c r="BI2205" s="7"/>
      <c r="BJ2205" s="4">
        <v>1</v>
      </c>
      <c r="BK2205" s="8">
        <v>222.58</v>
      </c>
      <c r="BL2205" s="2" t="s">
        <v>995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10393</v>
      </c>
      <c r="BV2205" s="2" t="s">
        <v>228</v>
      </c>
      <c r="BW2205" s="2" t="s">
        <v>228</v>
      </c>
      <c r="BX2205" s="2" t="s">
        <v>337</v>
      </c>
      <c r="BY2205" s="2" t="s">
        <v>274</v>
      </c>
      <c r="BZ2205" s="2" t="s">
        <v>240</v>
      </c>
      <c r="CA2205" s="2" t="s">
        <v>4317</v>
      </c>
      <c r="CB2205" s="2" t="s">
        <v>6332</v>
      </c>
      <c r="CC2205" s="2" t="s">
        <v>241</v>
      </c>
      <c r="CD2205" s="2" t="s">
        <v>228</v>
      </c>
      <c r="CE2205" s="4"/>
      <c r="CF2205" s="4">
        <v>89</v>
      </c>
      <c r="CG2205" s="4"/>
      <c r="CH2205" s="4"/>
      <c r="CI2205" s="4"/>
      <c r="CJ2205" s="4"/>
      <c r="CK2205" s="4"/>
      <c r="CL2205" s="4"/>
      <c r="CM2205" s="4"/>
      <c r="CN2205" s="4"/>
      <c r="CO2205" s="4"/>
      <c r="CP2205" s="4"/>
      <c r="CQ2205" s="4"/>
      <c r="CR2205" s="4"/>
      <c r="CS2205" s="4"/>
      <c r="CT2205" s="4"/>
      <c r="CU2205" s="4"/>
      <c r="CV2205" s="4"/>
      <c r="CW2205" s="4"/>
      <c r="CX2205" s="4"/>
      <c r="CY2205" s="4"/>
      <c r="CZ2205" s="4"/>
      <c r="DA2205" s="4"/>
      <c r="DB2205" s="4"/>
      <c r="DC2205" s="4"/>
      <c r="DD2205" s="4"/>
      <c r="DE2205" s="4"/>
      <c r="DF2205" s="4"/>
      <c r="DG2205" s="4"/>
      <c r="DH2205" s="4"/>
      <c r="DI2205" s="4"/>
      <c r="DJ2205" s="4"/>
      <c r="DK2205" s="4"/>
      <c r="DL2205" s="4"/>
      <c r="DM2205" s="4"/>
      <c r="DN2205" s="4"/>
      <c r="DO2205" s="4"/>
      <c r="DP2205" s="4"/>
      <c r="DQ2205" s="4"/>
      <c r="DR2205" s="4"/>
      <c r="DS2205" s="4"/>
      <c r="DT2205" s="4"/>
      <c r="DU2205" s="4"/>
      <c r="DV2205" s="4"/>
      <c r="DW2205" s="4"/>
      <c r="DX2205" s="4"/>
      <c r="DY2205" s="4"/>
      <c r="DZ2205" s="4"/>
      <c r="EA2205" s="4"/>
      <c r="EB2205" s="4"/>
      <c r="EC2205" s="4"/>
      <c r="ED2205" s="4"/>
      <c r="EE2205" s="4"/>
      <c r="EF2205" s="4"/>
      <c r="EG2205" s="4"/>
      <c r="EH2205" s="4"/>
      <c r="EI2205" s="4"/>
      <c r="EJ2205" s="4"/>
      <c r="EK2205" s="4"/>
      <c r="EL2205" s="4"/>
      <c r="EM2205" s="4"/>
      <c r="EN2205" s="4"/>
      <c r="EO2205" s="4"/>
      <c r="EP2205" s="4"/>
      <c r="EQ2205" s="4"/>
      <c r="ER2205" s="4"/>
      <c r="ES2205" s="4"/>
      <c r="ET2205" s="4"/>
      <c r="EU2205" s="4"/>
      <c r="EV2205" s="4"/>
      <c r="EW2205" s="4"/>
      <c r="EX2205" s="4"/>
      <c r="EY2205" s="4"/>
      <c r="EZ2205" s="4"/>
      <c r="FA2205" s="4"/>
      <c r="FB2205" s="4"/>
      <c r="FC2205" s="4"/>
      <c r="FD2205" s="4"/>
      <c r="FE2205" s="4"/>
      <c r="FF2205" s="4"/>
      <c r="FG2205" s="4"/>
      <c r="FH2205" s="4"/>
      <c r="FI2205" s="4"/>
      <c r="FJ2205" s="4"/>
      <c r="FK2205" s="4"/>
      <c r="FL2205" s="4"/>
      <c r="FM2205" s="4"/>
      <c r="FN2205" s="4"/>
      <c r="FO2205" s="4"/>
      <c r="FP2205" s="4"/>
      <c r="FQ2205" s="4"/>
      <c r="FR2205" s="4"/>
      <c r="FS2205" s="4"/>
      <c r="FT2205" s="4"/>
      <c r="FU2205" s="4"/>
      <c r="FV2205" s="4"/>
      <c r="FW2205" s="4"/>
      <c r="FX2205" s="4"/>
      <c r="FY2205" s="4"/>
      <c r="FZ2205" s="4"/>
      <c r="GA2205" s="4"/>
      <c r="GB2205" s="4"/>
      <c r="GC2205" s="4"/>
      <c r="GD2205" s="4"/>
      <c r="GE2205" s="4"/>
      <c r="GF2205" s="4"/>
      <c r="GG2205" s="4"/>
      <c r="GH2205" s="4"/>
      <c r="GI2205" s="4"/>
      <c r="GJ2205" s="4"/>
      <c r="GK2205" s="4"/>
      <c r="GL2205" s="4"/>
      <c r="GM2205" s="4"/>
      <c r="GN2205" s="4"/>
      <c r="GO2205" s="4"/>
      <c r="GP2205" s="4"/>
      <c r="GQ2205" s="4"/>
      <c r="GR2205" s="4"/>
      <c r="GS2205" s="4"/>
      <c r="GT2205" s="4"/>
      <c r="GU2205" s="4"/>
      <c r="GV2205" s="4"/>
      <c r="GW2205" s="4"/>
      <c r="GX2205" s="4"/>
      <c r="GY2205" s="4"/>
      <c r="GZ2205" s="4"/>
      <c r="HA2205" s="4"/>
      <c r="HB2205" s="4"/>
      <c r="HC2205" s="4"/>
      <c r="HD2205" s="4"/>
      <c r="HE2205" s="4"/>
    </row>
    <row r="2206">
      <c r="A2206" s="2" t="s">
        <v>10394</v>
      </c>
      <c r="B2206" s="2" t="s">
        <v>970</v>
      </c>
      <c r="C2206" s="2" t="s">
        <v>849</v>
      </c>
      <c r="D2206" s="2" t="s">
        <v>971</v>
      </c>
      <c r="E2206" s="2" t="s">
        <v>972</v>
      </c>
      <c r="F2206" s="2" t="s">
        <v>3621</v>
      </c>
      <c r="G2206" s="2" t="s">
        <v>7175</v>
      </c>
      <c r="H2206" s="2" t="s">
        <v>1707</v>
      </c>
      <c r="I2206" s="2" t="s">
        <v>10395</v>
      </c>
      <c r="J2206" s="2" t="s">
        <v>1525</v>
      </c>
      <c r="K2206" s="2" t="s">
        <v>305</v>
      </c>
      <c r="L2206" s="3">
        <v>12.3</v>
      </c>
      <c r="M2206" s="3">
        <v>12.92</v>
      </c>
      <c r="N2206" s="3">
        <v>29.99</v>
      </c>
      <c r="O2206" s="2" t="s">
        <v>240</v>
      </c>
      <c r="P2206" s="2" t="s">
        <v>266</v>
      </c>
      <c r="Q2206" s="2" t="s">
        <v>234</v>
      </c>
      <c r="R2206" s="2" t="s">
        <v>228</v>
      </c>
      <c r="S2206" s="2" t="s">
        <v>10396</v>
      </c>
      <c r="T2206" s="2" t="s">
        <v>228</v>
      </c>
      <c r="U2206" s="2" t="s">
        <v>416</v>
      </c>
      <c r="V2206" s="2" t="s">
        <v>3625</v>
      </c>
      <c r="W2206" s="2" t="s">
        <v>269</v>
      </c>
      <c r="X2206" s="2" t="s">
        <v>1345</v>
      </c>
      <c r="Y2206" s="2" t="s">
        <v>10397</v>
      </c>
      <c r="Z2206" s="4">
        <v>21</v>
      </c>
      <c r="AA2206" s="4">
        <f>=ROUNDDOWN(1.10526315789474,0)</f>
      </c>
      <c r="AB2206" s="5">
        <v>19</v>
      </c>
      <c r="AC2206" s="2" t="s">
        <v>187</v>
      </c>
      <c r="AD2206" s="4">
        <v>192</v>
      </c>
      <c r="AE2206" s="4">
        <v>476</v>
      </c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228</v>
      </c>
      <c r="AM2206" s="4"/>
      <c r="AN2206" s="4"/>
      <c r="AO2206" s="7"/>
      <c r="AP2206" s="4"/>
      <c r="AQ2206" s="8"/>
      <c r="AR2206" s="4"/>
      <c r="AS2206" s="8"/>
      <c r="AT2206" s="7"/>
      <c r="AU2206" s="7"/>
      <c r="AV2206" s="4" t="s">
        <v>228</v>
      </c>
      <c r="AW2206" s="8" t="s">
        <v>228</v>
      </c>
      <c r="AX2206" s="4" t="s">
        <v>228</v>
      </c>
      <c r="AY2206" s="8" t="s">
        <v>228</v>
      </c>
      <c r="AZ2206" s="7" t="s">
        <v>228</v>
      </c>
      <c r="BA2206" s="7" t="s">
        <v>228</v>
      </c>
      <c r="BB2206" s="7"/>
      <c r="BC2206" s="4" t="s">
        <v>228</v>
      </c>
      <c r="BD2206" s="8" t="s">
        <v>228</v>
      </c>
      <c r="BE2206" s="4" t="s">
        <v>228</v>
      </c>
      <c r="BF2206" s="8" t="s">
        <v>228</v>
      </c>
      <c r="BG2206" s="7" t="s">
        <v>228</v>
      </c>
      <c r="BH2206" s="7" t="s">
        <v>228</v>
      </c>
      <c r="BI2206" s="7"/>
      <c r="BJ2206" s="4">
        <v>52</v>
      </c>
      <c r="BK2206" s="8">
        <v>704.52</v>
      </c>
      <c r="BL2206" s="2" t="s">
        <v>10398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10399</v>
      </c>
      <c r="BV2206" s="2" t="s">
        <v>228</v>
      </c>
      <c r="BW2206" s="2" t="s">
        <v>228</v>
      </c>
      <c r="BX2206" s="2" t="s">
        <v>273</v>
      </c>
      <c r="BY2206" s="2" t="s">
        <v>274</v>
      </c>
      <c r="BZ2206" s="2" t="s">
        <v>240</v>
      </c>
      <c r="CA2206" s="2" t="s">
        <v>5645</v>
      </c>
      <c r="CB2206" s="2" t="s">
        <v>10400</v>
      </c>
      <c r="CC2206" s="2" t="s">
        <v>241</v>
      </c>
      <c r="CD2206" s="2" t="s">
        <v>228</v>
      </c>
      <c r="CE2206" s="4">
        <v>21</v>
      </c>
      <c r="CF2206" s="4"/>
      <c r="CG2206" s="4"/>
      <c r="CH2206" s="4"/>
      <c r="CI2206" s="4"/>
      <c r="CJ2206" s="4"/>
      <c r="CK2206" s="4"/>
      <c r="CL2206" s="4"/>
      <c r="CM2206" s="4"/>
      <c r="CN2206" s="4"/>
      <c r="CO2206" s="4"/>
      <c r="CP2206" s="4"/>
      <c r="CQ2206" s="4"/>
      <c r="CR2206" s="4"/>
      <c r="CS2206" s="4"/>
      <c r="CT2206" s="4"/>
      <c r="CU2206" s="4"/>
      <c r="CV2206" s="4"/>
      <c r="CW2206" s="4"/>
      <c r="CX2206" s="4"/>
      <c r="CY2206" s="4"/>
      <c r="CZ2206" s="4"/>
      <c r="DA2206" s="4"/>
      <c r="DB2206" s="4"/>
      <c r="DC2206" s="4"/>
      <c r="DD2206" s="4"/>
      <c r="DE2206" s="4"/>
      <c r="DF2206" s="4"/>
      <c r="DG2206" s="4"/>
      <c r="DH2206" s="4"/>
      <c r="DI2206" s="4"/>
      <c r="DJ2206" s="4"/>
      <c r="DK2206" s="4"/>
      <c r="DL2206" s="4"/>
      <c r="DM2206" s="4"/>
      <c r="DN2206" s="4"/>
      <c r="DO2206" s="4"/>
      <c r="DP2206" s="4"/>
      <c r="DQ2206" s="4"/>
      <c r="DR2206" s="4"/>
      <c r="DS2206" s="4"/>
      <c r="DT2206" s="4"/>
      <c r="DU2206" s="4"/>
      <c r="DV2206" s="4"/>
      <c r="DW2206" s="4"/>
      <c r="DX2206" s="4"/>
      <c r="DY2206" s="4"/>
      <c r="DZ2206" s="4"/>
      <c r="EA2206" s="4"/>
      <c r="EB2206" s="4"/>
      <c r="EC2206" s="4"/>
      <c r="ED2206" s="4"/>
      <c r="EE2206" s="4"/>
      <c r="EF2206" s="4"/>
      <c r="EG2206" s="4"/>
      <c r="EH2206" s="4"/>
      <c r="EI2206" s="4"/>
      <c r="EJ2206" s="4"/>
      <c r="EK2206" s="4"/>
      <c r="EL2206" s="4"/>
      <c r="EM2206" s="4"/>
      <c r="EN2206" s="4"/>
      <c r="EO2206" s="4"/>
      <c r="EP2206" s="4"/>
      <c r="EQ2206" s="4"/>
      <c r="ER2206" s="4"/>
      <c r="ES2206" s="4"/>
      <c r="ET2206" s="4"/>
      <c r="EU2206" s="4"/>
      <c r="EV2206" s="4"/>
      <c r="EW2206" s="4"/>
      <c r="EX2206" s="4"/>
      <c r="EY2206" s="4"/>
      <c r="EZ2206" s="4"/>
      <c r="FA2206" s="4"/>
      <c r="FB2206" s="4"/>
      <c r="FC2206" s="4"/>
      <c r="FD2206" s="4"/>
      <c r="FE2206" s="4"/>
      <c r="FF2206" s="4"/>
      <c r="FG2206" s="4"/>
      <c r="FH2206" s="4"/>
      <c r="FI2206" s="4"/>
      <c r="FJ2206" s="4"/>
      <c r="FK2206" s="4"/>
      <c r="FL2206" s="4"/>
      <c r="FM2206" s="4"/>
      <c r="FN2206" s="4"/>
      <c r="FO2206" s="4"/>
      <c r="FP2206" s="4"/>
      <c r="FQ2206" s="4"/>
      <c r="FR2206" s="4"/>
      <c r="FS2206" s="4"/>
      <c r="FT2206" s="4"/>
      <c r="FU2206" s="4"/>
      <c r="FV2206" s="4"/>
      <c r="FW2206" s="4">
        <v>192</v>
      </c>
      <c r="FX2206" s="4"/>
      <c r="FY2206" s="4"/>
      <c r="FZ2206" s="4"/>
      <c r="GA2206" s="4"/>
      <c r="GB2206" s="4">
        <v>124</v>
      </c>
      <c r="GC2206" s="4"/>
      <c r="GD2206" s="4"/>
      <c r="GE2206" s="4"/>
      <c r="GF2206" s="4"/>
      <c r="GG2206" s="4"/>
      <c r="GH2206" s="4"/>
      <c r="GI2206" s="4"/>
      <c r="GJ2206" s="4"/>
      <c r="GK2206" s="4"/>
      <c r="GL2206" s="4"/>
      <c r="GM2206" s="4"/>
      <c r="GN2206" s="4"/>
      <c r="GO2206" s="4"/>
      <c r="GP2206" s="4"/>
      <c r="GQ2206" s="4"/>
      <c r="GR2206" s="4"/>
      <c r="GS2206" s="4"/>
      <c r="GT2206" s="4"/>
      <c r="GU2206" s="4"/>
      <c r="GV2206" s="4"/>
      <c r="GW2206" s="4"/>
      <c r="GX2206" s="4"/>
      <c r="GY2206" s="4"/>
      <c r="GZ2206" s="4">
        <v>160</v>
      </c>
      <c r="HA2206" s="4"/>
      <c r="HB2206" s="4"/>
      <c r="HC2206" s="4"/>
      <c r="HD2206" s="4"/>
      <c r="HE2206" s="4"/>
    </row>
    <row r="2207">
      <c r="A2207" s="2" t="s">
        <v>10401</v>
      </c>
      <c r="B2207" s="2" t="s">
        <v>970</v>
      </c>
      <c r="C2207" s="2" t="s">
        <v>849</v>
      </c>
      <c r="D2207" s="2" t="s">
        <v>971</v>
      </c>
      <c r="E2207" s="2" t="s">
        <v>972</v>
      </c>
      <c r="F2207" s="2" t="s">
        <v>3621</v>
      </c>
      <c r="G2207" s="2" t="s">
        <v>7175</v>
      </c>
      <c r="H2207" s="2" t="s">
        <v>1707</v>
      </c>
      <c r="I2207" s="2" t="s">
        <v>10395</v>
      </c>
      <c r="J2207" s="2" t="s">
        <v>977</v>
      </c>
      <c r="K2207" s="2" t="s">
        <v>305</v>
      </c>
      <c r="L2207" s="3">
        <v>14</v>
      </c>
      <c r="M2207" s="3">
        <v>14.7</v>
      </c>
      <c r="N2207" s="3">
        <v>34.99</v>
      </c>
      <c r="O2207" s="2" t="s">
        <v>240</v>
      </c>
      <c r="P2207" s="2" t="s">
        <v>266</v>
      </c>
      <c r="Q2207" s="2" t="s">
        <v>234</v>
      </c>
      <c r="R2207" s="2" t="s">
        <v>228</v>
      </c>
      <c r="S2207" s="2" t="s">
        <v>10396</v>
      </c>
      <c r="T2207" s="2" t="s">
        <v>228</v>
      </c>
      <c r="U2207" s="2" t="s">
        <v>416</v>
      </c>
      <c r="V2207" s="2" t="s">
        <v>3625</v>
      </c>
      <c r="W2207" s="2" t="s">
        <v>269</v>
      </c>
      <c r="X2207" s="2" t="s">
        <v>1345</v>
      </c>
      <c r="Y2207" s="2" t="s">
        <v>10397</v>
      </c>
      <c r="Z2207" s="4">
        <v>293</v>
      </c>
      <c r="AA2207" s="4">
        <f>=ROUNDDOWN(9.45161290322581,0)</f>
      </c>
      <c r="AB2207" s="5">
        <v>31</v>
      </c>
      <c r="AC2207" s="2" t="s">
        <v>187</v>
      </c>
      <c r="AD2207" s="4">
        <v>40</v>
      </c>
      <c r="AE2207" s="4">
        <v>748</v>
      </c>
      <c r="AF2207" s="6">
        <v>65</v>
      </c>
      <c r="AG2207" s="6"/>
      <c r="AH2207" s="7">
        <v>1</v>
      </c>
      <c r="AI2207" s="4"/>
      <c r="AJ2207" s="4">
        <f>=ROUNDDOWN({0},0)</f>
      </c>
      <c r="AK2207" s="5"/>
      <c r="AL2207" s="2" t="s">
        <v>228</v>
      </c>
      <c r="AM2207" s="4"/>
      <c r="AN2207" s="4"/>
      <c r="AO2207" s="7"/>
      <c r="AP2207" s="4"/>
      <c r="AQ2207" s="8"/>
      <c r="AR2207" s="4"/>
      <c r="AS2207" s="8"/>
      <c r="AT2207" s="7"/>
      <c r="AU2207" s="7"/>
      <c r="AV2207" s="4" t="s">
        <v>228</v>
      </c>
      <c r="AW2207" s="8" t="s">
        <v>228</v>
      </c>
      <c r="AX2207" s="4" t="s">
        <v>228</v>
      </c>
      <c r="AY2207" s="8" t="s">
        <v>228</v>
      </c>
      <c r="AZ2207" s="7" t="s">
        <v>228</v>
      </c>
      <c r="BA2207" s="7" t="s">
        <v>228</v>
      </c>
      <c r="BB2207" s="7"/>
      <c r="BC2207" s="4" t="s">
        <v>228</v>
      </c>
      <c r="BD2207" s="8" t="s">
        <v>228</v>
      </c>
      <c r="BE2207" s="4" t="s">
        <v>228</v>
      </c>
      <c r="BF2207" s="8" t="s">
        <v>228</v>
      </c>
      <c r="BG2207" s="7" t="s">
        <v>228</v>
      </c>
      <c r="BH2207" s="7" t="s">
        <v>228</v>
      </c>
      <c r="BI2207" s="7"/>
      <c r="BJ2207" s="4">
        <v>185</v>
      </c>
      <c r="BK2207" s="8">
        <v>2839.44</v>
      </c>
      <c r="BL2207" s="2" t="s">
        <v>10402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10403</v>
      </c>
      <c r="BV2207" s="2" t="s">
        <v>228</v>
      </c>
      <c r="BW2207" s="2" t="s">
        <v>228</v>
      </c>
      <c r="BX2207" s="2" t="s">
        <v>273</v>
      </c>
      <c r="BY2207" s="2" t="s">
        <v>274</v>
      </c>
      <c r="BZ2207" s="2" t="s">
        <v>240</v>
      </c>
      <c r="CA2207" s="2" t="s">
        <v>5645</v>
      </c>
      <c r="CB2207" s="2" t="s">
        <v>2212</v>
      </c>
      <c r="CC2207" s="2" t="s">
        <v>241</v>
      </c>
      <c r="CD2207" s="2" t="s">
        <v>228</v>
      </c>
      <c r="CE2207" s="4">
        <v>293</v>
      </c>
      <c r="CF2207" s="4"/>
      <c r="CG2207" s="4"/>
      <c r="CH2207" s="4"/>
      <c r="CI2207" s="4"/>
      <c r="CJ2207" s="4"/>
      <c r="CK2207" s="4"/>
      <c r="CL2207" s="4"/>
      <c r="CM2207" s="4"/>
      <c r="CN2207" s="4"/>
      <c r="CO2207" s="4"/>
      <c r="CP2207" s="4"/>
      <c r="CQ2207" s="4"/>
      <c r="CR2207" s="4"/>
      <c r="CS2207" s="4"/>
      <c r="CT2207" s="4"/>
      <c r="CU2207" s="4"/>
      <c r="CV2207" s="4"/>
      <c r="CW2207" s="4"/>
      <c r="CX2207" s="4"/>
      <c r="CY2207" s="4"/>
      <c r="CZ2207" s="4"/>
      <c r="DA2207" s="4"/>
      <c r="DB2207" s="4"/>
      <c r="DC2207" s="4"/>
      <c r="DD2207" s="4"/>
      <c r="DE2207" s="4"/>
      <c r="DF2207" s="4"/>
      <c r="DG2207" s="4"/>
      <c r="DH2207" s="4"/>
      <c r="DI2207" s="4"/>
      <c r="DJ2207" s="4"/>
      <c r="DK2207" s="4"/>
      <c r="DL2207" s="4"/>
      <c r="DM2207" s="4"/>
      <c r="DN2207" s="4"/>
      <c r="DO2207" s="4"/>
      <c r="DP2207" s="4"/>
      <c r="DQ2207" s="4"/>
      <c r="DR2207" s="4"/>
      <c r="DS2207" s="4"/>
      <c r="DT2207" s="4"/>
      <c r="DU2207" s="4"/>
      <c r="DV2207" s="4"/>
      <c r="DW2207" s="4"/>
      <c r="DX2207" s="4"/>
      <c r="DY2207" s="4"/>
      <c r="DZ2207" s="4"/>
      <c r="EA2207" s="4"/>
      <c r="EB2207" s="4"/>
      <c r="EC2207" s="4"/>
      <c r="ED2207" s="4"/>
      <c r="EE2207" s="4"/>
      <c r="EF2207" s="4"/>
      <c r="EG2207" s="4"/>
      <c r="EH2207" s="4"/>
      <c r="EI2207" s="4"/>
      <c r="EJ2207" s="4"/>
      <c r="EK2207" s="4"/>
      <c r="EL2207" s="4"/>
      <c r="EM2207" s="4"/>
      <c r="EN2207" s="4"/>
      <c r="EO2207" s="4"/>
      <c r="EP2207" s="4"/>
      <c r="EQ2207" s="4"/>
      <c r="ER2207" s="4"/>
      <c r="ES2207" s="4"/>
      <c r="ET2207" s="4"/>
      <c r="EU2207" s="4"/>
      <c r="EV2207" s="4"/>
      <c r="EW2207" s="4"/>
      <c r="EX2207" s="4"/>
      <c r="EY2207" s="4"/>
      <c r="EZ2207" s="4"/>
      <c r="FA2207" s="4"/>
      <c r="FB2207" s="4"/>
      <c r="FC2207" s="4"/>
      <c r="FD2207" s="4"/>
      <c r="FE2207" s="4"/>
      <c r="FF2207" s="4"/>
      <c r="FG2207" s="4"/>
      <c r="FH2207" s="4"/>
      <c r="FI2207" s="4"/>
      <c r="FJ2207" s="4"/>
      <c r="FK2207" s="4"/>
      <c r="FL2207" s="4"/>
      <c r="FM2207" s="4"/>
      <c r="FN2207" s="4"/>
      <c r="FO2207" s="4"/>
      <c r="FP2207" s="4"/>
      <c r="FQ2207" s="4"/>
      <c r="FR2207" s="4"/>
      <c r="FS2207" s="4"/>
      <c r="FT2207" s="4"/>
      <c r="FU2207" s="4"/>
      <c r="FV2207" s="4"/>
      <c r="FW2207" s="4">
        <v>40</v>
      </c>
      <c r="FX2207" s="4"/>
      <c r="FY2207" s="4"/>
      <c r="FZ2207" s="4"/>
      <c r="GA2207" s="4"/>
      <c r="GB2207" s="4">
        <v>448</v>
      </c>
      <c r="GC2207" s="4"/>
      <c r="GD2207" s="4"/>
      <c r="GE2207" s="4"/>
      <c r="GF2207" s="4"/>
      <c r="GG2207" s="4"/>
      <c r="GH2207" s="4"/>
      <c r="GI2207" s="4"/>
      <c r="GJ2207" s="4"/>
      <c r="GK2207" s="4"/>
      <c r="GL2207" s="4"/>
      <c r="GM2207" s="4"/>
      <c r="GN2207" s="4"/>
      <c r="GO2207" s="4"/>
      <c r="GP2207" s="4"/>
      <c r="GQ2207" s="4"/>
      <c r="GR2207" s="4"/>
      <c r="GS2207" s="4"/>
      <c r="GT2207" s="4"/>
      <c r="GU2207" s="4"/>
      <c r="GV2207" s="4"/>
      <c r="GW2207" s="4"/>
      <c r="GX2207" s="4"/>
      <c r="GY2207" s="4"/>
      <c r="GZ2207" s="4">
        <v>260</v>
      </c>
      <c r="HA2207" s="4"/>
      <c r="HB2207" s="4"/>
      <c r="HC2207" s="4"/>
      <c r="HD2207" s="4"/>
      <c r="HE2207" s="4"/>
    </row>
    <row r="2208">
      <c r="A2208" s="2" t="s">
        <v>10404</v>
      </c>
      <c r="B2208" s="2" t="s">
        <v>1276</v>
      </c>
      <c r="C2208" s="2" t="s">
        <v>300</v>
      </c>
      <c r="D2208" s="2" t="s">
        <v>1276</v>
      </c>
      <c r="E2208" s="2" t="s">
        <v>1276</v>
      </c>
      <c r="F2208" s="2" t="s">
        <v>3621</v>
      </c>
      <c r="G2208" s="2" t="s">
        <v>3621</v>
      </c>
      <c r="H2208" s="2" t="s">
        <v>3621</v>
      </c>
      <c r="I2208" s="2" t="s">
        <v>10392</v>
      </c>
      <c r="J2208" s="2" t="s">
        <v>6709</v>
      </c>
      <c r="K2208" s="2" t="s">
        <v>1105</v>
      </c>
      <c r="L2208" s="3">
        <v>29</v>
      </c>
      <c r="M2208" s="3">
        <v>30.45</v>
      </c>
      <c r="N2208" s="3">
        <v>59.99</v>
      </c>
      <c r="O2208" s="2" t="s">
        <v>461</v>
      </c>
      <c r="P2208" s="2" t="s">
        <v>333</v>
      </c>
      <c r="Q2208" s="2" t="s">
        <v>234</v>
      </c>
      <c r="R2208" s="2" t="s">
        <v>228</v>
      </c>
      <c r="S2208" s="2" t="s">
        <v>10405</v>
      </c>
      <c r="T2208" s="2" t="s">
        <v>228</v>
      </c>
      <c r="U2208" s="2" t="s">
        <v>416</v>
      </c>
      <c r="V2208" s="2" t="s">
        <v>980</v>
      </c>
      <c r="W2208" s="2" t="s">
        <v>463</v>
      </c>
      <c r="X2208" s="2" t="s">
        <v>228</v>
      </c>
      <c r="Y2208" s="2" t="s">
        <v>1932</v>
      </c>
      <c r="Z2208" s="4">
        <v>48</v>
      </c>
      <c r="AA2208" s="4">
        <f>=ROUNDDOWN(21.8181818181818,0)</f>
      </c>
      <c r="AB2208" s="5">
        <v>2.2</v>
      </c>
      <c r="AC2208" s="2" t="s">
        <v>228</v>
      </c>
      <c r="AD2208" s="4"/>
      <c r="AE2208" s="4"/>
      <c r="AF2208" s="6">
        <v>63</v>
      </c>
      <c r="AG2208" s="6"/>
      <c r="AH2208" s="7">
        <v>1</v>
      </c>
      <c r="AI2208" s="4"/>
      <c r="AJ2208" s="4">
        <f>=ROUNDDOWN({0},0)</f>
      </c>
      <c r="AK2208" s="5"/>
      <c r="AL2208" s="2" t="s">
        <v>228</v>
      </c>
      <c r="AM2208" s="4"/>
      <c r="AN2208" s="4"/>
      <c r="AO2208" s="7"/>
      <c r="AP2208" s="4"/>
      <c r="AQ2208" s="8"/>
      <c r="AR2208" s="4"/>
      <c r="AS2208" s="8"/>
      <c r="AT2208" s="7"/>
      <c r="AU2208" s="7"/>
      <c r="AV2208" s="4" t="s">
        <v>228</v>
      </c>
      <c r="AW2208" s="8" t="s">
        <v>228</v>
      </c>
      <c r="AX2208" s="4" t="s">
        <v>228</v>
      </c>
      <c r="AY2208" s="8" t="s">
        <v>228</v>
      </c>
      <c r="AZ2208" s="7" t="s">
        <v>228</v>
      </c>
      <c r="BA2208" s="7" t="s">
        <v>228</v>
      </c>
      <c r="BB2208" s="7"/>
      <c r="BC2208" s="4" t="s">
        <v>228</v>
      </c>
      <c r="BD2208" s="8" t="s">
        <v>228</v>
      </c>
      <c r="BE2208" s="4" t="s">
        <v>228</v>
      </c>
      <c r="BF2208" s="8" t="s">
        <v>228</v>
      </c>
      <c r="BG2208" s="7" t="s">
        <v>228</v>
      </c>
      <c r="BH2208" s="7" t="s">
        <v>228</v>
      </c>
      <c r="BI2208" s="7"/>
      <c r="BJ2208" s="4">
        <v>7</v>
      </c>
      <c r="BK2208" s="8">
        <v>213.15</v>
      </c>
      <c r="BL2208" s="2" t="s">
        <v>521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10406</v>
      </c>
      <c r="BV2208" s="2" t="s">
        <v>228</v>
      </c>
      <c r="BW2208" s="2" t="s">
        <v>228</v>
      </c>
      <c r="BX2208" s="2" t="s">
        <v>337</v>
      </c>
      <c r="BY2208" s="2" t="s">
        <v>274</v>
      </c>
      <c r="BZ2208" s="2" t="s">
        <v>240</v>
      </c>
      <c r="CA2208" s="2" t="s">
        <v>5351</v>
      </c>
      <c r="CB2208" s="2" t="s">
        <v>228</v>
      </c>
      <c r="CC2208" s="2" t="s">
        <v>241</v>
      </c>
      <c r="CD2208" s="2" t="s">
        <v>228</v>
      </c>
      <c r="CE2208" s="4"/>
      <c r="CF2208" s="4">
        <v>48</v>
      </c>
      <c r="CG2208" s="4"/>
      <c r="CH2208" s="4"/>
      <c r="CI2208" s="4"/>
      <c r="CJ2208" s="4"/>
      <c r="CK2208" s="4"/>
      <c r="CL2208" s="4"/>
      <c r="CM2208" s="4"/>
      <c r="CN2208" s="4"/>
      <c r="CO2208" s="4"/>
      <c r="CP2208" s="4"/>
      <c r="CQ2208" s="4"/>
      <c r="CR2208" s="4"/>
      <c r="CS2208" s="4"/>
      <c r="CT2208" s="4"/>
      <c r="CU2208" s="4"/>
      <c r="CV2208" s="4"/>
      <c r="CW2208" s="4"/>
      <c r="CX2208" s="4"/>
      <c r="CY2208" s="4"/>
      <c r="CZ2208" s="4"/>
      <c r="DA2208" s="4"/>
      <c r="DB2208" s="4"/>
      <c r="DC2208" s="4"/>
      <c r="DD2208" s="4"/>
      <c r="DE2208" s="4"/>
      <c r="DF2208" s="4"/>
      <c r="DG2208" s="4"/>
      <c r="DH2208" s="4"/>
      <c r="DI2208" s="4"/>
      <c r="DJ2208" s="4"/>
      <c r="DK2208" s="4"/>
      <c r="DL2208" s="4"/>
      <c r="DM2208" s="4"/>
      <c r="DN2208" s="4"/>
      <c r="DO2208" s="4"/>
      <c r="DP2208" s="4"/>
      <c r="DQ2208" s="4"/>
      <c r="DR2208" s="4"/>
      <c r="DS2208" s="4"/>
      <c r="DT2208" s="4"/>
      <c r="DU2208" s="4"/>
      <c r="DV2208" s="4"/>
      <c r="DW2208" s="4"/>
      <c r="DX2208" s="4"/>
      <c r="DY2208" s="4"/>
      <c r="DZ2208" s="4"/>
      <c r="EA2208" s="4"/>
      <c r="EB2208" s="4"/>
      <c r="EC2208" s="4"/>
      <c r="ED2208" s="4"/>
      <c r="EE2208" s="4"/>
      <c r="EF2208" s="4"/>
      <c r="EG2208" s="4"/>
      <c r="EH2208" s="4"/>
      <c r="EI2208" s="4"/>
      <c r="EJ2208" s="4"/>
      <c r="EK2208" s="4"/>
      <c r="EL2208" s="4"/>
      <c r="EM2208" s="4"/>
      <c r="EN2208" s="4"/>
      <c r="EO2208" s="4"/>
      <c r="EP2208" s="4"/>
      <c r="EQ2208" s="4"/>
      <c r="ER2208" s="4"/>
      <c r="ES2208" s="4"/>
      <c r="ET2208" s="4"/>
      <c r="EU2208" s="4"/>
      <c r="EV2208" s="4"/>
      <c r="EW2208" s="4"/>
      <c r="EX2208" s="4"/>
      <c r="EY2208" s="4"/>
      <c r="EZ2208" s="4"/>
      <c r="FA2208" s="4"/>
      <c r="FB2208" s="4"/>
      <c r="FC2208" s="4"/>
      <c r="FD2208" s="4"/>
      <c r="FE2208" s="4"/>
      <c r="FF2208" s="4"/>
      <c r="FG2208" s="4"/>
      <c r="FH2208" s="4"/>
      <c r="FI2208" s="4"/>
      <c r="FJ2208" s="4"/>
      <c r="FK2208" s="4"/>
      <c r="FL2208" s="4"/>
      <c r="FM2208" s="4"/>
      <c r="FN2208" s="4"/>
      <c r="FO2208" s="4"/>
      <c r="FP2208" s="4"/>
      <c r="FQ2208" s="4"/>
      <c r="FR2208" s="4"/>
      <c r="FS2208" s="4"/>
      <c r="FT2208" s="4"/>
      <c r="FU2208" s="4"/>
      <c r="FV2208" s="4"/>
      <c r="FW2208" s="4"/>
      <c r="FX2208" s="4"/>
      <c r="FY2208" s="4"/>
      <c r="FZ2208" s="4"/>
      <c r="GA2208" s="4"/>
      <c r="GB2208" s="4"/>
      <c r="GC2208" s="4"/>
      <c r="GD2208" s="4"/>
      <c r="GE2208" s="4"/>
      <c r="GF2208" s="4"/>
      <c r="GG2208" s="4"/>
      <c r="GH2208" s="4"/>
      <c r="GI2208" s="4"/>
      <c r="GJ2208" s="4"/>
      <c r="GK2208" s="4"/>
      <c r="GL2208" s="4"/>
      <c r="GM2208" s="4"/>
      <c r="GN2208" s="4"/>
      <c r="GO2208" s="4"/>
      <c r="GP2208" s="4"/>
      <c r="GQ2208" s="4"/>
      <c r="GR2208" s="4"/>
      <c r="GS2208" s="4"/>
      <c r="GT2208" s="4"/>
      <c r="GU2208" s="4"/>
      <c r="GV2208" s="4"/>
      <c r="GW2208" s="4"/>
      <c r="GX2208" s="4"/>
      <c r="GY2208" s="4"/>
      <c r="GZ2208" s="4"/>
      <c r="HA2208" s="4"/>
      <c r="HB2208" s="4"/>
      <c r="HC2208" s="4"/>
      <c r="HD2208" s="4"/>
      <c r="HE2208" s="4"/>
    </row>
    <row r="2209">
      <c r="A2209" s="2" t="s">
        <v>10407</v>
      </c>
      <c r="B2209" s="2" t="s">
        <v>1276</v>
      </c>
      <c r="C2209" s="2" t="s">
        <v>300</v>
      </c>
      <c r="D2209" s="2" t="s">
        <v>1276</v>
      </c>
      <c r="E2209" s="2" t="s">
        <v>1276</v>
      </c>
      <c r="F2209" s="2" t="s">
        <v>3621</v>
      </c>
      <c r="G2209" s="2" t="s">
        <v>3621</v>
      </c>
      <c r="H2209" s="2" t="s">
        <v>3621</v>
      </c>
      <c r="I2209" s="2" t="s">
        <v>10392</v>
      </c>
      <c r="J2209" s="2" t="s">
        <v>1280</v>
      </c>
      <c r="K2209" s="2" t="s">
        <v>1105</v>
      </c>
      <c r="L2209" s="3">
        <v>134.55</v>
      </c>
      <c r="M2209" s="3">
        <v>141.28</v>
      </c>
      <c r="N2209" s="3">
        <v>280.49</v>
      </c>
      <c r="O2209" s="2" t="s">
        <v>461</v>
      </c>
      <c r="P2209" s="2" t="s">
        <v>333</v>
      </c>
      <c r="Q2209" s="2" t="s">
        <v>234</v>
      </c>
      <c r="R2209" s="2" t="s">
        <v>228</v>
      </c>
      <c r="S2209" s="2" t="s">
        <v>10405</v>
      </c>
      <c r="T2209" s="2" t="s">
        <v>228</v>
      </c>
      <c r="U2209" s="2" t="s">
        <v>416</v>
      </c>
      <c r="V2209" s="2" t="s">
        <v>980</v>
      </c>
      <c r="W2209" s="2" t="s">
        <v>463</v>
      </c>
      <c r="X2209" s="2" t="s">
        <v>228</v>
      </c>
      <c r="Y2209" s="2" t="s">
        <v>1932</v>
      </c>
      <c r="Z2209" s="4">
        <v>34</v>
      </c>
      <c r="AA2209" s="4">
        <f>=ROUNDDOWN(30.9090909090909,0)</f>
      </c>
      <c r="AB2209" s="5">
        <v>1.1</v>
      </c>
      <c r="AC2209" s="2" t="s">
        <v>228</v>
      </c>
      <c r="AD2209" s="4"/>
      <c r="AE2209" s="4"/>
      <c r="AF2209" s="6">
        <v>63</v>
      </c>
      <c r="AG2209" s="6"/>
      <c r="AH2209" s="7">
        <v>1</v>
      </c>
      <c r="AI2209" s="4"/>
      <c r="AJ2209" s="4">
        <f>=ROUNDDOWN({0},0)</f>
      </c>
      <c r="AK2209" s="5"/>
      <c r="AL2209" s="2" t="s">
        <v>228</v>
      </c>
      <c r="AM2209" s="4"/>
      <c r="AN2209" s="4"/>
      <c r="AO2209" s="7"/>
      <c r="AP2209" s="4"/>
      <c r="AQ2209" s="8"/>
      <c r="AR2209" s="4"/>
      <c r="AS2209" s="8"/>
      <c r="AT2209" s="7"/>
      <c r="AU2209" s="7"/>
      <c r="AV2209" s="4" t="s">
        <v>228</v>
      </c>
      <c r="AW2209" s="8" t="s">
        <v>228</v>
      </c>
      <c r="AX2209" s="4" t="s">
        <v>228</v>
      </c>
      <c r="AY2209" s="8" t="s">
        <v>228</v>
      </c>
      <c r="AZ2209" s="7" t="s">
        <v>228</v>
      </c>
      <c r="BA2209" s="7" t="s">
        <v>228</v>
      </c>
      <c r="BB2209" s="7"/>
      <c r="BC2209" s="4" t="s">
        <v>228</v>
      </c>
      <c r="BD2209" s="8" t="s">
        <v>228</v>
      </c>
      <c r="BE2209" s="4" t="s">
        <v>228</v>
      </c>
      <c r="BF2209" s="8" t="s">
        <v>228</v>
      </c>
      <c r="BG2209" s="7" t="s">
        <v>228</v>
      </c>
      <c r="BH2209" s="7" t="s">
        <v>228</v>
      </c>
      <c r="BI2209" s="7"/>
      <c r="BJ2209" s="4">
        <v>5</v>
      </c>
      <c r="BK2209" s="8">
        <v>724.76</v>
      </c>
      <c r="BL2209" s="2" t="s">
        <v>995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10408</v>
      </c>
      <c r="BV2209" s="2" t="s">
        <v>228</v>
      </c>
      <c r="BW2209" s="2" t="s">
        <v>228</v>
      </c>
      <c r="BX2209" s="2" t="s">
        <v>337</v>
      </c>
      <c r="BY2209" s="2" t="s">
        <v>274</v>
      </c>
      <c r="BZ2209" s="2" t="s">
        <v>240</v>
      </c>
      <c r="CA2209" s="2" t="s">
        <v>5351</v>
      </c>
      <c r="CB2209" s="2" t="s">
        <v>6970</v>
      </c>
      <c r="CC2209" s="2" t="s">
        <v>241</v>
      </c>
      <c r="CD2209" s="2" t="s">
        <v>228</v>
      </c>
      <c r="CE2209" s="4"/>
      <c r="CF2209" s="4">
        <v>34</v>
      </c>
      <c r="CG2209" s="4"/>
      <c r="CH2209" s="4"/>
      <c r="CI2209" s="4"/>
      <c r="CJ2209" s="4"/>
      <c r="CK2209" s="4"/>
      <c r="CL2209" s="4"/>
      <c r="CM2209" s="4"/>
      <c r="CN2209" s="4"/>
      <c r="CO2209" s="4"/>
      <c r="CP2209" s="4"/>
      <c r="CQ2209" s="4"/>
      <c r="CR2209" s="4"/>
      <c r="CS2209" s="4"/>
      <c r="CT2209" s="4"/>
      <c r="CU2209" s="4"/>
      <c r="CV2209" s="4"/>
      <c r="CW2209" s="4"/>
      <c r="CX2209" s="4"/>
      <c r="CY2209" s="4"/>
      <c r="CZ2209" s="4"/>
      <c r="DA2209" s="4"/>
      <c r="DB2209" s="4"/>
      <c r="DC2209" s="4"/>
      <c r="DD2209" s="4"/>
      <c r="DE2209" s="4"/>
      <c r="DF2209" s="4"/>
      <c r="DG2209" s="4"/>
      <c r="DH2209" s="4"/>
      <c r="DI2209" s="4"/>
      <c r="DJ2209" s="4"/>
      <c r="DK2209" s="4"/>
      <c r="DL2209" s="4"/>
      <c r="DM2209" s="4"/>
      <c r="DN2209" s="4"/>
      <c r="DO2209" s="4"/>
      <c r="DP2209" s="4"/>
      <c r="DQ2209" s="4"/>
      <c r="DR2209" s="4"/>
      <c r="DS2209" s="4"/>
      <c r="DT2209" s="4"/>
      <c r="DU2209" s="4"/>
      <c r="DV2209" s="4"/>
      <c r="DW2209" s="4"/>
      <c r="DX2209" s="4"/>
      <c r="DY2209" s="4"/>
      <c r="DZ2209" s="4"/>
      <c r="EA2209" s="4"/>
      <c r="EB2209" s="4"/>
      <c r="EC2209" s="4"/>
      <c r="ED2209" s="4"/>
      <c r="EE2209" s="4"/>
      <c r="EF2209" s="4"/>
      <c r="EG2209" s="4"/>
      <c r="EH2209" s="4"/>
      <c r="EI2209" s="4"/>
      <c r="EJ2209" s="4"/>
      <c r="EK2209" s="4"/>
      <c r="EL2209" s="4"/>
      <c r="EM2209" s="4"/>
      <c r="EN2209" s="4"/>
      <c r="EO2209" s="4"/>
      <c r="EP2209" s="4"/>
      <c r="EQ2209" s="4"/>
      <c r="ER2209" s="4"/>
      <c r="ES2209" s="4"/>
      <c r="ET2209" s="4"/>
      <c r="EU2209" s="4"/>
      <c r="EV2209" s="4"/>
      <c r="EW2209" s="4"/>
      <c r="EX2209" s="4"/>
      <c r="EY2209" s="4"/>
      <c r="EZ2209" s="4"/>
      <c r="FA2209" s="4"/>
      <c r="FB2209" s="4"/>
      <c r="FC2209" s="4"/>
      <c r="FD2209" s="4"/>
      <c r="FE2209" s="4"/>
      <c r="FF2209" s="4"/>
      <c r="FG2209" s="4"/>
      <c r="FH2209" s="4"/>
      <c r="FI2209" s="4"/>
      <c r="FJ2209" s="4"/>
      <c r="FK2209" s="4"/>
      <c r="FL2209" s="4"/>
      <c r="FM2209" s="4"/>
      <c r="FN2209" s="4"/>
      <c r="FO2209" s="4"/>
      <c r="FP2209" s="4"/>
      <c r="FQ2209" s="4"/>
      <c r="FR2209" s="4"/>
      <c r="FS2209" s="4"/>
      <c r="FT2209" s="4"/>
      <c r="FU2209" s="4"/>
      <c r="FV2209" s="4"/>
      <c r="FW2209" s="4"/>
      <c r="FX2209" s="4"/>
      <c r="FY2209" s="4"/>
      <c r="FZ2209" s="4"/>
      <c r="GA2209" s="4"/>
      <c r="GB2209" s="4"/>
      <c r="GC2209" s="4"/>
      <c r="GD2209" s="4"/>
      <c r="GE2209" s="4"/>
      <c r="GF2209" s="4"/>
      <c r="GG2209" s="4"/>
      <c r="GH2209" s="4"/>
      <c r="GI2209" s="4"/>
      <c r="GJ2209" s="4"/>
      <c r="GK2209" s="4"/>
      <c r="GL2209" s="4"/>
      <c r="GM2209" s="4"/>
      <c r="GN2209" s="4"/>
      <c r="GO2209" s="4"/>
      <c r="GP2209" s="4"/>
      <c r="GQ2209" s="4"/>
      <c r="GR2209" s="4"/>
      <c r="GS2209" s="4"/>
      <c r="GT2209" s="4"/>
      <c r="GU2209" s="4"/>
      <c r="GV2209" s="4"/>
      <c r="GW2209" s="4"/>
      <c r="GX2209" s="4"/>
      <c r="GY2209" s="4"/>
      <c r="GZ2209" s="4"/>
      <c r="HA2209" s="4"/>
      <c r="HB2209" s="4"/>
      <c r="HC2209" s="4"/>
      <c r="HD2209" s="4"/>
      <c r="HE2209" s="4"/>
    </row>
    <row r="2210">
      <c r="A2210" s="2" t="s">
        <v>10409</v>
      </c>
      <c r="B2210" s="2" t="s">
        <v>1276</v>
      </c>
      <c r="C2210" s="2" t="s">
        <v>300</v>
      </c>
      <c r="D2210" s="2" t="s">
        <v>1276</v>
      </c>
      <c r="E2210" s="2" t="s">
        <v>1276</v>
      </c>
      <c r="F2210" s="2" t="s">
        <v>3621</v>
      </c>
      <c r="G2210" s="2" t="s">
        <v>3621</v>
      </c>
      <c r="H2210" s="2" t="s">
        <v>3621</v>
      </c>
      <c r="I2210" s="2" t="s">
        <v>10410</v>
      </c>
      <c r="J2210" s="2" t="s">
        <v>6709</v>
      </c>
      <c r="K2210" s="2" t="s">
        <v>5944</v>
      </c>
      <c r="L2210" s="3">
        <v>29</v>
      </c>
      <c r="M2210" s="3">
        <v>30.45</v>
      </c>
      <c r="N2210" s="3">
        <v>59.99</v>
      </c>
      <c r="O2210" s="2" t="s">
        <v>491</v>
      </c>
      <c r="P2210" s="2" t="s">
        <v>333</v>
      </c>
      <c r="Q2210" s="2" t="s">
        <v>234</v>
      </c>
      <c r="R2210" s="2" t="s">
        <v>228</v>
      </c>
      <c r="S2210" s="2" t="s">
        <v>10411</v>
      </c>
      <c r="T2210" s="2" t="s">
        <v>228</v>
      </c>
      <c r="U2210" s="2" t="s">
        <v>416</v>
      </c>
      <c r="V2210" s="2" t="s">
        <v>980</v>
      </c>
      <c r="W2210" s="2" t="s">
        <v>463</v>
      </c>
      <c r="X2210" s="2" t="s">
        <v>228</v>
      </c>
      <c r="Y2210" s="2" t="s">
        <v>1932</v>
      </c>
      <c r="Z2210" s="4">
        <v>23</v>
      </c>
      <c r="AA2210" s="4">
        <f>=ROUNDDOWN(76.6666666666667,0)</f>
      </c>
      <c r="AB2210" s="5">
        <v>0.3</v>
      </c>
      <c r="AC2210" s="2" t="s">
        <v>228</v>
      </c>
      <c r="AD2210" s="4"/>
      <c r="AE2210" s="4"/>
      <c r="AF2210" s="6">
        <v>63</v>
      </c>
      <c r="AG2210" s="6"/>
      <c r="AH2210" s="7">
        <v>0.9355</v>
      </c>
      <c r="AI2210" s="4"/>
      <c r="AJ2210" s="4">
        <f>=ROUNDDOWN({0},0)</f>
      </c>
      <c r="AK2210" s="5"/>
      <c r="AL2210" s="2" t="s">
        <v>228</v>
      </c>
      <c r="AM2210" s="4"/>
      <c r="AN2210" s="4"/>
      <c r="AO2210" s="7"/>
      <c r="AP2210" s="4"/>
      <c r="AQ2210" s="8"/>
      <c r="AR2210" s="4"/>
      <c r="AS2210" s="8"/>
      <c r="AT2210" s="7"/>
      <c r="AU2210" s="7"/>
      <c r="AV2210" s="4" t="s">
        <v>228</v>
      </c>
      <c r="AW2210" s="8" t="s">
        <v>228</v>
      </c>
      <c r="AX2210" s="4" t="s">
        <v>228</v>
      </c>
      <c r="AY2210" s="8" t="s">
        <v>228</v>
      </c>
      <c r="AZ2210" s="7" t="s">
        <v>228</v>
      </c>
      <c r="BA2210" s="7" t="s">
        <v>228</v>
      </c>
      <c r="BB2210" s="7"/>
      <c r="BC2210" s="4" t="s">
        <v>228</v>
      </c>
      <c r="BD2210" s="8" t="s">
        <v>228</v>
      </c>
      <c r="BE2210" s="4" t="s">
        <v>228</v>
      </c>
      <c r="BF2210" s="8" t="s">
        <v>228</v>
      </c>
      <c r="BG2210" s="7" t="s">
        <v>228</v>
      </c>
      <c r="BH2210" s="7" t="s">
        <v>228</v>
      </c>
      <c r="BI2210" s="7"/>
      <c r="BJ2210" s="4">
        <v>2</v>
      </c>
      <c r="BK2210" s="8">
        <v>64.86</v>
      </c>
      <c r="BL2210" s="2" t="s">
        <v>5827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10412</v>
      </c>
      <c r="BV2210" s="2" t="s">
        <v>228</v>
      </c>
      <c r="BW2210" s="2" t="s">
        <v>228</v>
      </c>
      <c r="BX2210" s="2" t="s">
        <v>337</v>
      </c>
      <c r="BY2210" s="2" t="s">
        <v>274</v>
      </c>
      <c r="BZ2210" s="2" t="s">
        <v>240</v>
      </c>
      <c r="CA2210" s="2" t="s">
        <v>5351</v>
      </c>
      <c r="CB2210" s="2" t="s">
        <v>228</v>
      </c>
      <c r="CC2210" s="2" t="s">
        <v>241</v>
      </c>
      <c r="CD2210" s="2" t="s">
        <v>228</v>
      </c>
      <c r="CE2210" s="4"/>
      <c r="CF2210" s="4">
        <v>23</v>
      </c>
      <c r="CG2210" s="4"/>
      <c r="CH2210" s="4"/>
      <c r="CI2210" s="4"/>
      <c r="CJ2210" s="4"/>
      <c r="CK2210" s="4"/>
      <c r="CL2210" s="4"/>
      <c r="CM2210" s="4"/>
      <c r="CN2210" s="4"/>
      <c r="CO2210" s="4"/>
      <c r="CP2210" s="4"/>
      <c r="CQ2210" s="4"/>
      <c r="CR2210" s="4"/>
      <c r="CS2210" s="4"/>
      <c r="CT2210" s="4"/>
      <c r="CU2210" s="4"/>
      <c r="CV2210" s="4"/>
      <c r="CW2210" s="4"/>
      <c r="CX2210" s="4"/>
      <c r="CY2210" s="4"/>
      <c r="CZ2210" s="4"/>
      <c r="DA2210" s="4"/>
      <c r="DB2210" s="4"/>
      <c r="DC2210" s="4"/>
      <c r="DD2210" s="4"/>
      <c r="DE2210" s="4"/>
      <c r="DF2210" s="4"/>
      <c r="DG2210" s="4"/>
      <c r="DH2210" s="4"/>
      <c r="DI2210" s="4"/>
      <c r="DJ2210" s="4"/>
      <c r="DK2210" s="4"/>
      <c r="DL2210" s="4"/>
      <c r="DM2210" s="4"/>
      <c r="DN2210" s="4"/>
      <c r="DO2210" s="4"/>
      <c r="DP2210" s="4"/>
      <c r="DQ2210" s="4"/>
      <c r="DR2210" s="4"/>
      <c r="DS2210" s="4"/>
      <c r="DT2210" s="4"/>
      <c r="DU2210" s="4"/>
      <c r="DV2210" s="4"/>
      <c r="DW2210" s="4"/>
      <c r="DX2210" s="4"/>
      <c r="DY2210" s="4"/>
      <c r="DZ2210" s="4"/>
      <c r="EA2210" s="4"/>
      <c r="EB2210" s="4"/>
      <c r="EC2210" s="4"/>
      <c r="ED2210" s="4"/>
      <c r="EE2210" s="4"/>
      <c r="EF2210" s="4"/>
      <c r="EG2210" s="4"/>
      <c r="EH2210" s="4"/>
      <c r="EI2210" s="4"/>
      <c r="EJ2210" s="4"/>
      <c r="EK2210" s="4"/>
      <c r="EL2210" s="4"/>
      <c r="EM2210" s="4"/>
      <c r="EN2210" s="4"/>
      <c r="EO2210" s="4"/>
      <c r="EP2210" s="4"/>
      <c r="EQ2210" s="4"/>
      <c r="ER2210" s="4"/>
      <c r="ES2210" s="4"/>
      <c r="ET2210" s="4"/>
      <c r="EU2210" s="4"/>
      <c r="EV2210" s="4"/>
      <c r="EW2210" s="4"/>
      <c r="EX2210" s="4"/>
      <c r="EY2210" s="4"/>
      <c r="EZ2210" s="4"/>
      <c r="FA2210" s="4"/>
      <c r="FB2210" s="4"/>
      <c r="FC2210" s="4"/>
      <c r="FD2210" s="4"/>
      <c r="FE2210" s="4"/>
      <c r="FF2210" s="4"/>
      <c r="FG2210" s="4"/>
      <c r="FH2210" s="4"/>
      <c r="FI2210" s="4"/>
      <c r="FJ2210" s="4"/>
      <c r="FK2210" s="4"/>
      <c r="FL2210" s="4"/>
      <c r="FM2210" s="4"/>
      <c r="FN2210" s="4"/>
      <c r="FO2210" s="4"/>
      <c r="FP2210" s="4"/>
      <c r="FQ2210" s="4"/>
      <c r="FR2210" s="4"/>
      <c r="FS2210" s="4"/>
      <c r="FT2210" s="4"/>
      <c r="FU2210" s="4"/>
      <c r="FV2210" s="4"/>
      <c r="FW2210" s="4"/>
      <c r="FX2210" s="4"/>
      <c r="FY2210" s="4"/>
      <c r="FZ2210" s="4"/>
      <c r="GA2210" s="4"/>
      <c r="GB2210" s="4"/>
      <c r="GC2210" s="4"/>
      <c r="GD2210" s="4"/>
      <c r="GE2210" s="4"/>
      <c r="GF2210" s="4"/>
      <c r="GG2210" s="4"/>
      <c r="GH2210" s="4"/>
      <c r="GI2210" s="4"/>
      <c r="GJ2210" s="4"/>
      <c r="GK2210" s="4"/>
      <c r="GL2210" s="4"/>
      <c r="GM2210" s="4"/>
      <c r="GN2210" s="4"/>
      <c r="GO2210" s="4"/>
      <c r="GP2210" s="4"/>
      <c r="GQ2210" s="4"/>
      <c r="GR2210" s="4"/>
      <c r="GS2210" s="4"/>
      <c r="GT2210" s="4"/>
      <c r="GU2210" s="4"/>
      <c r="GV2210" s="4"/>
      <c r="GW2210" s="4"/>
      <c r="GX2210" s="4"/>
      <c r="GY2210" s="4"/>
      <c r="GZ2210" s="4"/>
      <c r="HA2210" s="4"/>
      <c r="HB2210" s="4"/>
      <c r="HC2210" s="4"/>
      <c r="HD2210" s="4"/>
      <c r="HE2210" s="4"/>
    </row>
    <row r="2211">
      <c r="A2211" s="2" t="s">
        <v>10413</v>
      </c>
      <c r="B2211" s="2" t="s">
        <v>1276</v>
      </c>
      <c r="C2211" s="2" t="s">
        <v>300</v>
      </c>
      <c r="D2211" s="2" t="s">
        <v>1276</v>
      </c>
      <c r="E2211" s="2" t="s">
        <v>1276</v>
      </c>
      <c r="F2211" s="2" t="s">
        <v>3621</v>
      </c>
      <c r="G2211" s="2" t="s">
        <v>3621</v>
      </c>
      <c r="H2211" s="2" t="s">
        <v>3621</v>
      </c>
      <c r="I2211" s="2" t="s">
        <v>10410</v>
      </c>
      <c r="J2211" s="2" t="s">
        <v>1711</v>
      </c>
      <c r="K2211" s="2" t="s">
        <v>5944</v>
      </c>
      <c r="L2211" s="3">
        <v>89.7</v>
      </c>
      <c r="M2211" s="3">
        <v>94.19</v>
      </c>
      <c r="N2211" s="3">
        <v>199.99</v>
      </c>
      <c r="O2211" s="2" t="s">
        <v>461</v>
      </c>
      <c r="P2211" s="2" t="s">
        <v>333</v>
      </c>
      <c r="Q2211" s="2" t="s">
        <v>234</v>
      </c>
      <c r="R2211" s="2" t="s">
        <v>228</v>
      </c>
      <c r="S2211" s="2" t="s">
        <v>10411</v>
      </c>
      <c r="T2211" s="2" t="s">
        <v>228</v>
      </c>
      <c r="U2211" s="2" t="s">
        <v>416</v>
      </c>
      <c r="V2211" s="2" t="s">
        <v>980</v>
      </c>
      <c r="W2211" s="2" t="s">
        <v>463</v>
      </c>
      <c r="X2211" s="2" t="s">
        <v>228</v>
      </c>
      <c r="Y2211" s="2" t="s">
        <v>1932</v>
      </c>
      <c r="Z2211" s="4">
        <v>122</v>
      </c>
      <c r="AA2211" s="4">
        <f>=ROUNDDOWN(244,0)</f>
      </c>
      <c r="AB2211" s="5">
        <v>0.5</v>
      </c>
      <c r="AC2211" s="2" t="s">
        <v>228</v>
      </c>
      <c r="AD2211" s="4"/>
      <c r="AE2211" s="4"/>
      <c r="AF2211" s="6">
        <v>63</v>
      </c>
      <c r="AG2211" s="6"/>
      <c r="AH2211" s="7">
        <v>1</v>
      </c>
      <c r="AI2211" s="4"/>
      <c r="AJ2211" s="4">
        <f>=ROUNDDOWN({0},0)</f>
      </c>
      <c r="AK2211" s="5"/>
      <c r="AL2211" s="2" t="s">
        <v>228</v>
      </c>
      <c r="AM2211" s="4"/>
      <c r="AN2211" s="4"/>
      <c r="AO2211" s="7"/>
      <c r="AP2211" s="4"/>
      <c r="AQ2211" s="8"/>
      <c r="AR2211" s="4"/>
      <c r="AS2211" s="8"/>
      <c r="AT2211" s="7"/>
      <c r="AU2211" s="7"/>
      <c r="AV2211" s="4" t="s">
        <v>228</v>
      </c>
      <c r="AW2211" s="8" t="s">
        <v>228</v>
      </c>
      <c r="AX2211" s="4" t="s">
        <v>228</v>
      </c>
      <c r="AY2211" s="8" t="s">
        <v>228</v>
      </c>
      <c r="AZ2211" s="7" t="s">
        <v>228</v>
      </c>
      <c r="BA2211" s="7" t="s">
        <v>228</v>
      </c>
      <c r="BB2211" s="7"/>
      <c r="BC2211" s="4" t="s">
        <v>228</v>
      </c>
      <c r="BD2211" s="8" t="s">
        <v>228</v>
      </c>
      <c r="BE2211" s="4" t="s">
        <v>228</v>
      </c>
      <c r="BF2211" s="8" t="s">
        <v>228</v>
      </c>
      <c r="BG2211" s="7" t="s">
        <v>228</v>
      </c>
      <c r="BH2211" s="7" t="s">
        <v>228</v>
      </c>
      <c r="BI2211" s="7"/>
      <c r="BJ2211" s="4">
        <v>2</v>
      </c>
      <c r="BK2211" s="8">
        <v>188.36</v>
      </c>
      <c r="BL2211" s="2" t="s">
        <v>1933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10414</v>
      </c>
      <c r="BV2211" s="2" t="s">
        <v>228</v>
      </c>
      <c r="BW2211" s="2" t="s">
        <v>228</v>
      </c>
      <c r="BX2211" s="2" t="s">
        <v>337</v>
      </c>
      <c r="BY2211" s="2" t="s">
        <v>274</v>
      </c>
      <c r="BZ2211" s="2" t="s">
        <v>240</v>
      </c>
      <c r="CA2211" s="2" t="s">
        <v>5351</v>
      </c>
      <c r="CB2211" s="2" t="s">
        <v>3143</v>
      </c>
      <c r="CC2211" s="2" t="s">
        <v>241</v>
      </c>
      <c r="CD2211" s="2" t="s">
        <v>228</v>
      </c>
      <c r="CE2211" s="4"/>
      <c r="CF2211" s="4">
        <v>122</v>
      </c>
      <c r="CG2211" s="4"/>
      <c r="CH2211" s="4"/>
      <c r="CI2211" s="4"/>
      <c r="CJ2211" s="4"/>
      <c r="CK2211" s="4"/>
      <c r="CL2211" s="4"/>
      <c r="CM2211" s="4"/>
      <c r="CN2211" s="4"/>
      <c r="CO2211" s="4"/>
      <c r="CP2211" s="4"/>
      <c r="CQ2211" s="4"/>
      <c r="CR2211" s="4"/>
      <c r="CS2211" s="4"/>
      <c r="CT2211" s="4"/>
      <c r="CU2211" s="4"/>
      <c r="CV2211" s="4"/>
      <c r="CW2211" s="4"/>
      <c r="CX2211" s="4"/>
      <c r="CY2211" s="4"/>
      <c r="CZ2211" s="4"/>
      <c r="DA2211" s="4"/>
      <c r="DB2211" s="4"/>
      <c r="DC2211" s="4"/>
      <c r="DD2211" s="4"/>
      <c r="DE2211" s="4"/>
      <c r="DF2211" s="4"/>
      <c r="DG2211" s="4"/>
      <c r="DH2211" s="4"/>
      <c r="DI2211" s="4"/>
      <c r="DJ2211" s="4"/>
      <c r="DK2211" s="4"/>
      <c r="DL2211" s="4"/>
      <c r="DM2211" s="4"/>
      <c r="DN2211" s="4"/>
      <c r="DO2211" s="4"/>
      <c r="DP2211" s="4"/>
      <c r="DQ2211" s="4"/>
      <c r="DR2211" s="4"/>
      <c r="DS2211" s="4"/>
      <c r="DT2211" s="4"/>
      <c r="DU2211" s="4"/>
      <c r="DV2211" s="4"/>
      <c r="DW2211" s="4"/>
      <c r="DX2211" s="4"/>
      <c r="DY2211" s="4"/>
      <c r="DZ2211" s="4"/>
      <c r="EA2211" s="4"/>
      <c r="EB2211" s="4"/>
      <c r="EC2211" s="4"/>
      <c r="ED2211" s="4"/>
      <c r="EE2211" s="4"/>
      <c r="EF2211" s="4"/>
      <c r="EG2211" s="4"/>
      <c r="EH2211" s="4"/>
      <c r="EI2211" s="4"/>
      <c r="EJ2211" s="4"/>
      <c r="EK2211" s="4"/>
      <c r="EL2211" s="4"/>
      <c r="EM2211" s="4"/>
      <c r="EN2211" s="4"/>
      <c r="EO2211" s="4"/>
      <c r="EP2211" s="4"/>
      <c r="EQ2211" s="4"/>
      <c r="ER2211" s="4"/>
      <c r="ES2211" s="4"/>
      <c r="ET2211" s="4"/>
      <c r="EU2211" s="4"/>
      <c r="EV2211" s="4"/>
      <c r="EW2211" s="4"/>
      <c r="EX2211" s="4"/>
      <c r="EY2211" s="4"/>
      <c r="EZ2211" s="4"/>
      <c r="FA2211" s="4"/>
      <c r="FB2211" s="4"/>
      <c r="FC2211" s="4"/>
      <c r="FD2211" s="4"/>
      <c r="FE2211" s="4"/>
      <c r="FF2211" s="4"/>
      <c r="FG2211" s="4"/>
      <c r="FH2211" s="4"/>
      <c r="FI2211" s="4"/>
      <c r="FJ2211" s="4"/>
      <c r="FK2211" s="4"/>
      <c r="FL2211" s="4"/>
      <c r="FM2211" s="4"/>
      <c r="FN2211" s="4"/>
      <c r="FO2211" s="4"/>
      <c r="FP2211" s="4"/>
      <c r="FQ2211" s="4"/>
      <c r="FR2211" s="4"/>
      <c r="FS2211" s="4"/>
      <c r="FT2211" s="4"/>
      <c r="FU2211" s="4"/>
      <c r="FV2211" s="4"/>
      <c r="FW2211" s="4"/>
      <c r="FX2211" s="4"/>
      <c r="FY2211" s="4"/>
      <c r="FZ2211" s="4"/>
      <c r="GA2211" s="4"/>
      <c r="GB2211" s="4"/>
      <c r="GC2211" s="4"/>
      <c r="GD2211" s="4"/>
      <c r="GE2211" s="4"/>
      <c r="GF2211" s="4"/>
      <c r="GG2211" s="4"/>
      <c r="GH2211" s="4"/>
      <c r="GI2211" s="4"/>
      <c r="GJ2211" s="4"/>
      <c r="GK2211" s="4"/>
      <c r="GL2211" s="4"/>
      <c r="GM2211" s="4"/>
      <c r="GN2211" s="4"/>
      <c r="GO2211" s="4"/>
      <c r="GP2211" s="4"/>
      <c r="GQ2211" s="4"/>
      <c r="GR2211" s="4"/>
      <c r="GS2211" s="4"/>
      <c r="GT2211" s="4"/>
      <c r="GU2211" s="4"/>
      <c r="GV2211" s="4"/>
      <c r="GW2211" s="4"/>
      <c r="GX2211" s="4"/>
      <c r="GY2211" s="4"/>
      <c r="GZ2211" s="4"/>
      <c r="HA2211" s="4"/>
      <c r="HB2211" s="4"/>
      <c r="HC2211" s="4"/>
      <c r="HD2211" s="4"/>
      <c r="HE2211" s="4"/>
    </row>
    <row r="2212">
      <c r="A2212" s="2" t="s">
        <v>10415</v>
      </c>
      <c r="B2212" s="2" t="s">
        <v>1276</v>
      </c>
      <c r="C2212" s="2" t="s">
        <v>300</v>
      </c>
      <c r="D2212" s="2" t="s">
        <v>1276</v>
      </c>
      <c r="E2212" s="2" t="s">
        <v>1276</v>
      </c>
      <c r="F2212" s="2" t="s">
        <v>3621</v>
      </c>
      <c r="G2212" s="2" t="s">
        <v>3621</v>
      </c>
      <c r="H2212" s="2" t="s">
        <v>3621</v>
      </c>
      <c r="I2212" s="2" t="s">
        <v>10410</v>
      </c>
      <c r="J2212" s="2" t="s">
        <v>1280</v>
      </c>
      <c r="K2212" s="2" t="s">
        <v>5944</v>
      </c>
      <c r="L2212" s="3">
        <v>134.55</v>
      </c>
      <c r="M2212" s="3">
        <v>141.28</v>
      </c>
      <c r="N2212" s="3">
        <v>280.49</v>
      </c>
      <c r="O2212" s="2" t="s">
        <v>461</v>
      </c>
      <c r="P2212" s="2" t="s">
        <v>333</v>
      </c>
      <c r="Q2212" s="2" t="s">
        <v>234</v>
      </c>
      <c r="R2212" s="2" t="s">
        <v>228</v>
      </c>
      <c r="S2212" s="2" t="s">
        <v>10411</v>
      </c>
      <c r="T2212" s="2" t="s">
        <v>228</v>
      </c>
      <c r="U2212" s="2" t="s">
        <v>416</v>
      </c>
      <c r="V2212" s="2" t="s">
        <v>980</v>
      </c>
      <c r="W2212" s="2" t="s">
        <v>463</v>
      </c>
      <c r="X2212" s="2" t="s">
        <v>228</v>
      </c>
      <c r="Y2212" s="2" t="s">
        <v>1932</v>
      </c>
      <c r="Z2212" s="4">
        <v>37</v>
      </c>
      <c r="AA2212" s="4">
        <f>=ROUNDDOWN(19.4736842105263,0)</f>
      </c>
      <c r="AB2212" s="5">
        <v>1.9</v>
      </c>
      <c r="AC2212" s="2" t="s">
        <v>228</v>
      </c>
      <c r="AD2212" s="4"/>
      <c r="AE2212" s="4"/>
      <c r="AF2212" s="6">
        <v>63</v>
      </c>
      <c r="AG2212" s="6"/>
      <c r="AH2212" s="7">
        <v>1</v>
      </c>
      <c r="AI2212" s="4"/>
      <c r="AJ2212" s="4">
        <f>=ROUNDDOWN({0},0)</f>
      </c>
      <c r="AK2212" s="5"/>
      <c r="AL2212" s="2" t="s">
        <v>228</v>
      </c>
      <c r="AM2212" s="4"/>
      <c r="AN2212" s="4"/>
      <c r="AO2212" s="7"/>
      <c r="AP2212" s="4"/>
      <c r="AQ2212" s="8"/>
      <c r="AR2212" s="4"/>
      <c r="AS2212" s="8"/>
      <c r="AT2212" s="7"/>
      <c r="AU2212" s="7"/>
      <c r="AV2212" s="4" t="s">
        <v>228</v>
      </c>
      <c r="AW2212" s="8" t="s">
        <v>228</v>
      </c>
      <c r="AX2212" s="4" t="s">
        <v>228</v>
      </c>
      <c r="AY2212" s="8" t="s">
        <v>228</v>
      </c>
      <c r="AZ2212" s="7" t="s">
        <v>228</v>
      </c>
      <c r="BA2212" s="7" t="s">
        <v>228</v>
      </c>
      <c r="BB2212" s="7"/>
      <c r="BC2212" s="4" t="s">
        <v>228</v>
      </c>
      <c r="BD2212" s="8" t="s">
        <v>228</v>
      </c>
      <c r="BE2212" s="4" t="s">
        <v>228</v>
      </c>
      <c r="BF2212" s="8" t="s">
        <v>228</v>
      </c>
      <c r="BG2212" s="7" t="s">
        <v>228</v>
      </c>
      <c r="BH2212" s="7" t="s">
        <v>228</v>
      </c>
      <c r="BI2212" s="7"/>
      <c r="BJ2212" s="4">
        <v>5</v>
      </c>
      <c r="BK2212" s="8">
        <v>724.76</v>
      </c>
      <c r="BL2212" s="2" t="s">
        <v>995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10416</v>
      </c>
      <c r="BV2212" s="2" t="s">
        <v>228</v>
      </c>
      <c r="BW2212" s="2" t="s">
        <v>228</v>
      </c>
      <c r="BX2212" s="2" t="s">
        <v>337</v>
      </c>
      <c r="BY2212" s="2" t="s">
        <v>274</v>
      </c>
      <c r="BZ2212" s="2" t="s">
        <v>240</v>
      </c>
      <c r="CA2212" s="2" t="s">
        <v>5351</v>
      </c>
      <c r="CB2212" s="2" t="s">
        <v>1004</v>
      </c>
      <c r="CC2212" s="2" t="s">
        <v>241</v>
      </c>
      <c r="CD2212" s="2" t="s">
        <v>228</v>
      </c>
      <c r="CE2212" s="4"/>
      <c r="CF2212" s="4">
        <v>37</v>
      </c>
      <c r="CG2212" s="4"/>
      <c r="CH2212" s="4"/>
      <c r="CI2212" s="4"/>
      <c r="CJ2212" s="4"/>
      <c r="CK2212" s="4"/>
      <c r="CL2212" s="4"/>
      <c r="CM2212" s="4"/>
      <c r="CN2212" s="4"/>
      <c r="CO2212" s="4"/>
      <c r="CP2212" s="4"/>
      <c r="CQ2212" s="4"/>
      <c r="CR2212" s="4"/>
      <c r="CS2212" s="4"/>
      <c r="CT2212" s="4"/>
      <c r="CU2212" s="4"/>
      <c r="CV2212" s="4"/>
      <c r="CW2212" s="4"/>
      <c r="CX2212" s="4"/>
      <c r="CY2212" s="4"/>
      <c r="CZ2212" s="4"/>
      <c r="DA2212" s="4"/>
      <c r="DB2212" s="4"/>
      <c r="DC2212" s="4"/>
      <c r="DD2212" s="4"/>
      <c r="DE2212" s="4"/>
      <c r="DF2212" s="4"/>
      <c r="DG2212" s="4"/>
      <c r="DH2212" s="4"/>
      <c r="DI2212" s="4"/>
      <c r="DJ2212" s="4"/>
      <c r="DK2212" s="4"/>
      <c r="DL2212" s="4"/>
      <c r="DM2212" s="4"/>
      <c r="DN2212" s="4"/>
      <c r="DO2212" s="4"/>
      <c r="DP2212" s="4"/>
      <c r="DQ2212" s="4"/>
      <c r="DR2212" s="4"/>
      <c r="DS2212" s="4"/>
      <c r="DT2212" s="4"/>
      <c r="DU2212" s="4"/>
      <c r="DV2212" s="4"/>
      <c r="DW2212" s="4"/>
      <c r="DX2212" s="4"/>
      <c r="DY2212" s="4"/>
      <c r="DZ2212" s="4"/>
      <c r="EA2212" s="4"/>
      <c r="EB2212" s="4"/>
      <c r="EC2212" s="4"/>
      <c r="ED2212" s="4"/>
      <c r="EE2212" s="4"/>
      <c r="EF2212" s="4"/>
      <c r="EG2212" s="4"/>
      <c r="EH2212" s="4"/>
      <c r="EI2212" s="4"/>
      <c r="EJ2212" s="4"/>
      <c r="EK2212" s="4"/>
      <c r="EL2212" s="4"/>
      <c r="EM2212" s="4"/>
      <c r="EN2212" s="4"/>
      <c r="EO2212" s="4"/>
      <c r="EP2212" s="4"/>
      <c r="EQ2212" s="4"/>
      <c r="ER2212" s="4"/>
      <c r="ES2212" s="4"/>
      <c r="ET2212" s="4"/>
      <c r="EU2212" s="4"/>
      <c r="EV2212" s="4"/>
      <c r="EW2212" s="4"/>
      <c r="EX2212" s="4"/>
      <c r="EY2212" s="4"/>
      <c r="EZ2212" s="4"/>
      <c r="FA2212" s="4"/>
      <c r="FB2212" s="4"/>
      <c r="FC2212" s="4"/>
      <c r="FD2212" s="4"/>
      <c r="FE2212" s="4"/>
      <c r="FF2212" s="4"/>
      <c r="FG2212" s="4"/>
      <c r="FH2212" s="4"/>
      <c r="FI2212" s="4"/>
      <c r="FJ2212" s="4"/>
      <c r="FK2212" s="4"/>
      <c r="FL2212" s="4"/>
      <c r="FM2212" s="4"/>
      <c r="FN2212" s="4"/>
      <c r="FO2212" s="4"/>
      <c r="FP2212" s="4"/>
      <c r="FQ2212" s="4"/>
      <c r="FR2212" s="4"/>
      <c r="FS2212" s="4"/>
      <c r="FT2212" s="4"/>
      <c r="FU2212" s="4"/>
      <c r="FV2212" s="4"/>
      <c r="FW2212" s="4"/>
      <c r="FX2212" s="4"/>
      <c r="FY2212" s="4"/>
      <c r="FZ2212" s="4"/>
      <c r="GA2212" s="4"/>
      <c r="GB2212" s="4"/>
      <c r="GC2212" s="4"/>
      <c r="GD2212" s="4"/>
      <c r="GE2212" s="4"/>
      <c r="GF2212" s="4"/>
      <c r="GG2212" s="4"/>
      <c r="GH2212" s="4"/>
      <c r="GI2212" s="4"/>
      <c r="GJ2212" s="4"/>
      <c r="GK2212" s="4"/>
      <c r="GL2212" s="4"/>
      <c r="GM2212" s="4"/>
      <c r="GN2212" s="4"/>
      <c r="GO2212" s="4"/>
      <c r="GP2212" s="4"/>
      <c r="GQ2212" s="4"/>
      <c r="GR2212" s="4"/>
      <c r="GS2212" s="4"/>
      <c r="GT2212" s="4"/>
      <c r="GU2212" s="4"/>
      <c r="GV2212" s="4"/>
      <c r="GW2212" s="4"/>
      <c r="GX2212" s="4"/>
      <c r="GY2212" s="4"/>
      <c r="GZ2212" s="4"/>
      <c r="HA2212" s="4"/>
      <c r="HB2212" s="4"/>
      <c r="HC2212" s="4"/>
      <c r="HD2212" s="4"/>
      <c r="HE2212" s="4"/>
    </row>
    <row r="2213">
      <c r="A2213" s="2" t="s">
        <v>10417</v>
      </c>
      <c r="B2213" s="2" t="s">
        <v>1276</v>
      </c>
      <c r="C2213" s="2" t="s">
        <v>300</v>
      </c>
      <c r="D2213" s="2" t="s">
        <v>1276</v>
      </c>
      <c r="E2213" s="2" t="s">
        <v>1276</v>
      </c>
      <c r="F2213" s="2" t="s">
        <v>3621</v>
      </c>
      <c r="G2213" s="2" t="s">
        <v>3621</v>
      </c>
      <c r="H2213" s="2" t="s">
        <v>3621</v>
      </c>
      <c r="I2213" s="2" t="s">
        <v>10410</v>
      </c>
      <c r="J2213" s="2" t="s">
        <v>1937</v>
      </c>
      <c r="K2213" s="2" t="s">
        <v>5944</v>
      </c>
      <c r="L2213" s="3">
        <v>211.98</v>
      </c>
      <c r="M2213" s="3">
        <v>222.58</v>
      </c>
      <c r="N2213" s="3">
        <v>474.99</v>
      </c>
      <c r="O2213" s="2" t="s">
        <v>461</v>
      </c>
      <c r="P2213" s="2" t="s">
        <v>333</v>
      </c>
      <c r="Q2213" s="2" t="s">
        <v>234</v>
      </c>
      <c r="R2213" s="2" t="s">
        <v>228</v>
      </c>
      <c r="S2213" s="2" t="s">
        <v>10411</v>
      </c>
      <c r="T2213" s="2" t="s">
        <v>228</v>
      </c>
      <c r="U2213" s="2" t="s">
        <v>416</v>
      </c>
      <c r="V2213" s="2" t="s">
        <v>980</v>
      </c>
      <c r="W2213" s="2" t="s">
        <v>463</v>
      </c>
      <c r="X2213" s="2" t="s">
        <v>228</v>
      </c>
      <c r="Y2213" s="2" t="s">
        <v>1932</v>
      </c>
      <c r="Z2213" s="4">
        <v>100</v>
      </c>
      <c r="AA2213" s="4">
        <f>=ROUNDDOWN(166.666666666667,0)</f>
      </c>
      <c r="AB2213" s="5">
        <v>0.6</v>
      </c>
      <c r="AC2213" s="2" t="s">
        <v>228</v>
      </c>
      <c r="AD2213" s="4"/>
      <c r="AE2213" s="4"/>
      <c r="AF2213" s="6">
        <v>63</v>
      </c>
      <c r="AG2213" s="6"/>
      <c r="AH2213" s="7">
        <v>1</v>
      </c>
      <c r="AI2213" s="4"/>
      <c r="AJ2213" s="4">
        <f>=ROUNDDOWN({0},0)</f>
      </c>
      <c r="AK2213" s="5"/>
      <c r="AL2213" s="2" t="s">
        <v>228</v>
      </c>
      <c r="AM2213" s="4"/>
      <c r="AN2213" s="4"/>
      <c r="AO2213" s="7"/>
      <c r="AP2213" s="4"/>
      <c r="AQ2213" s="8"/>
      <c r="AR2213" s="4"/>
      <c r="AS2213" s="8"/>
      <c r="AT2213" s="7"/>
      <c r="AU2213" s="7"/>
      <c r="AV2213" s="4" t="s">
        <v>228</v>
      </c>
      <c r="AW2213" s="8" t="s">
        <v>228</v>
      </c>
      <c r="AX2213" s="4" t="s">
        <v>228</v>
      </c>
      <c r="AY2213" s="8" t="s">
        <v>228</v>
      </c>
      <c r="AZ2213" s="7" t="s">
        <v>228</v>
      </c>
      <c r="BA2213" s="7" t="s">
        <v>228</v>
      </c>
      <c r="BB2213" s="7"/>
      <c r="BC2213" s="4" t="s">
        <v>228</v>
      </c>
      <c r="BD2213" s="8" t="s">
        <v>228</v>
      </c>
      <c r="BE2213" s="4" t="s">
        <v>228</v>
      </c>
      <c r="BF2213" s="8" t="s">
        <v>228</v>
      </c>
      <c r="BG2213" s="7" t="s">
        <v>228</v>
      </c>
      <c r="BH2213" s="7" t="s">
        <v>228</v>
      </c>
      <c r="BI2213" s="7"/>
      <c r="BJ2213" s="4">
        <v>4</v>
      </c>
      <c r="BK2213" s="8">
        <v>923.71</v>
      </c>
      <c r="BL2213" s="2" t="s">
        <v>2978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10418</v>
      </c>
      <c r="BV2213" s="2" t="s">
        <v>228</v>
      </c>
      <c r="BW2213" s="2" t="s">
        <v>228</v>
      </c>
      <c r="BX2213" s="2" t="s">
        <v>337</v>
      </c>
      <c r="BY2213" s="2" t="s">
        <v>274</v>
      </c>
      <c r="BZ2213" s="2" t="s">
        <v>240</v>
      </c>
      <c r="CA2213" s="2" t="s">
        <v>5351</v>
      </c>
      <c r="CB2213" s="2" t="s">
        <v>228</v>
      </c>
      <c r="CC2213" s="2" t="s">
        <v>241</v>
      </c>
      <c r="CD2213" s="2" t="s">
        <v>228</v>
      </c>
      <c r="CE2213" s="4"/>
      <c r="CF2213" s="4">
        <v>100</v>
      </c>
      <c r="CG2213" s="4"/>
      <c r="CH2213" s="4"/>
      <c r="CI2213" s="4"/>
      <c r="CJ2213" s="4"/>
      <c r="CK2213" s="4"/>
      <c r="CL2213" s="4"/>
      <c r="CM2213" s="4"/>
      <c r="CN2213" s="4"/>
      <c r="CO2213" s="4"/>
      <c r="CP2213" s="4"/>
      <c r="CQ2213" s="4"/>
      <c r="CR2213" s="4"/>
      <c r="CS2213" s="4"/>
      <c r="CT2213" s="4"/>
      <c r="CU2213" s="4"/>
      <c r="CV2213" s="4"/>
      <c r="CW2213" s="4"/>
      <c r="CX2213" s="4"/>
      <c r="CY2213" s="4"/>
      <c r="CZ2213" s="4"/>
      <c r="DA2213" s="4"/>
      <c r="DB2213" s="4"/>
      <c r="DC2213" s="4"/>
      <c r="DD2213" s="4"/>
      <c r="DE2213" s="4"/>
      <c r="DF2213" s="4"/>
      <c r="DG2213" s="4"/>
      <c r="DH2213" s="4"/>
      <c r="DI2213" s="4"/>
      <c r="DJ2213" s="4"/>
      <c r="DK2213" s="4"/>
      <c r="DL2213" s="4"/>
      <c r="DM2213" s="4"/>
      <c r="DN2213" s="4"/>
      <c r="DO2213" s="4"/>
      <c r="DP2213" s="4"/>
      <c r="DQ2213" s="4"/>
      <c r="DR2213" s="4"/>
      <c r="DS2213" s="4"/>
      <c r="DT2213" s="4"/>
      <c r="DU2213" s="4"/>
      <c r="DV2213" s="4"/>
      <c r="DW2213" s="4"/>
      <c r="DX2213" s="4"/>
      <c r="DY2213" s="4"/>
      <c r="DZ2213" s="4"/>
      <c r="EA2213" s="4"/>
      <c r="EB2213" s="4"/>
      <c r="EC2213" s="4"/>
      <c r="ED2213" s="4"/>
      <c r="EE2213" s="4"/>
      <c r="EF2213" s="4"/>
      <c r="EG2213" s="4"/>
      <c r="EH2213" s="4"/>
      <c r="EI2213" s="4"/>
      <c r="EJ2213" s="4"/>
      <c r="EK2213" s="4"/>
      <c r="EL2213" s="4"/>
      <c r="EM2213" s="4"/>
      <c r="EN2213" s="4"/>
      <c r="EO2213" s="4"/>
      <c r="EP2213" s="4"/>
      <c r="EQ2213" s="4"/>
      <c r="ER2213" s="4"/>
      <c r="ES2213" s="4"/>
      <c r="ET2213" s="4"/>
      <c r="EU2213" s="4"/>
      <c r="EV2213" s="4"/>
      <c r="EW2213" s="4"/>
      <c r="EX2213" s="4"/>
      <c r="EY2213" s="4"/>
      <c r="EZ2213" s="4"/>
      <c r="FA2213" s="4"/>
      <c r="FB2213" s="4"/>
      <c r="FC2213" s="4"/>
      <c r="FD2213" s="4"/>
      <c r="FE2213" s="4"/>
      <c r="FF2213" s="4"/>
      <c r="FG2213" s="4"/>
      <c r="FH2213" s="4"/>
      <c r="FI2213" s="4"/>
      <c r="FJ2213" s="4"/>
      <c r="FK2213" s="4"/>
      <c r="FL2213" s="4"/>
      <c r="FM2213" s="4"/>
      <c r="FN2213" s="4"/>
      <c r="FO2213" s="4"/>
      <c r="FP2213" s="4"/>
      <c r="FQ2213" s="4"/>
      <c r="FR2213" s="4"/>
      <c r="FS2213" s="4"/>
      <c r="FT2213" s="4"/>
      <c r="FU2213" s="4"/>
      <c r="FV2213" s="4"/>
      <c r="FW2213" s="4"/>
      <c r="FX2213" s="4"/>
      <c r="FY2213" s="4"/>
      <c r="FZ2213" s="4"/>
      <c r="GA2213" s="4"/>
      <c r="GB2213" s="4"/>
      <c r="GC2213" s="4"/>
      <c r="GD2213" s="4"/>
      <c r="GE2213" s="4"/>
      <c r="GF2213" s="4"/>
      <c r="GG2213" s="4"/>
      <c r="GH2213" s="4"/>
      <c r="GI2213" s="4"/>
      <c r="GJ2213" s="4"/>
      <c r="GK2213" s="4"/>
      <c r="GL2213" s="4"/>
      <c r="GM2213" s="4"/>
      <c r="GN2213" s="4"/>
      <c r="GO2213" s="4"/>
      <c r="GP2213" s="4"/>
      <c r="GQ2213" s="4"/>
      <c r="GR2213" s="4"/>
      <c r="GS2213" s="4"/>
      <c r="GT2213" s="4"/>
      <c r="GU2213" s="4"/>
      <c r="GV2213" s="4"/>
      <c r="GW2213" s="4"/>
      <c r="GX2213" s="4"/>
      <c r="GY2213" s="4"/>
      <c r="GZ2213" s="4"/>
      <c r="HA2213" s="4"/>
      <c r="HB2213" s="4"/>
      <c r="HC2213" s="4"/>
      <c r="HD2213" s="4"/>
      <c r="HE2213" s="4"/>
    </row>
    <row r="2214">
      <c r="A2214" s="2" t="s">
        <v>10419</v>
      </c>
      <c r="B2214" s="2" t="s">
        <v>1374</v>
      </c>
      <c r="C2214" s="2" t="s">
        <v>300</v>
      </c>
      <c r="D2214" s="2" t="s">
        <v>1375</v>
      </c>
      <c r="E2214" s="2" t="s">
        <v>1376</v>
      </c>
      <c r="F2214" s="2" t="s">
        <v>10420</v>
      </c>
      <c r="G2214" s="2" t="s">
        <v>10420</v>
      </c>
      <c r="H2214" s="2" t="s">
        <v>10420</v>
      </c>
      <c r="I2214" s="2" t="s">
        <v>10421</v>
      </c>
      <c r="J2214" s="2" t="s">
        <v>10422</v>
      </c>
      <c r="K2214" s="2" t="s">
        <v>829</v>
      </c>
      <c r="L2214" s="3">
        <v>24</v>
      </c>
      <c r="M2214" s="3">
        <v>25.2</v>
      </c>
      <c r="N2214" s="3">
        <v>49.99</v>
      </c>
      <c r="O2214" s="2" t="s">
        <v>240</v>
      </c>
      <c r="P2214" s="2" t="s">
        <v>889</v>
      </c>
      <c r="Q2214" s="2" t="s">
        <v>234</v>
      </c>
      <c r="R2214" s="2" t="s">
        <v>228</v>
      </c>
      <c r="S2214" s="2" t="s">
        <v>10423</v>
      </c>
      <c r="T2214" s="2" t="s">
        <v>228</v>
      </c>
      <c r="U2214" s="2" t="s">
        <v>228</v>
      </c>
      <c r="V2214" s="2" t="s">
        <v>374</v>
      </c>
      <c r="W2214" s="2" t="s">
        <v>269</v>
      </c>
      <c r="X2214" s="2" t="s">
        <v>228</v>
      </c>
      <c r="Y2214" s="2" t="s">
        <v>270</v>
      </c>
      <c r="Z2214" s="4">
        <v>295</v>
      </c>
      <c r="AA2214" s="4">
        <f>=ROUNDDOWN(21.0714285714286,0)</f>
      </c>
      <c r="AB2214" s="5">
        <v>14</v>
      </c>
      <c r="AC2214" s="2" t="s">
        <v>1381</v>
      </c>
      <c r="AD2214" s="4">
        <v>100</v>
      </c>
      <c r="AE2214" s="4">
        <v>240</v>
      </c>
      <c r="AF2214" s="6">
        <v>67</v>
      </c>
      <c r="AG2214" s="6"/>
      <c r="AH2214" s="7">
        <v>1</v>
      </c>
      <c r="AI2214" s="4"/>
      <c r="AJ2214" s="4">
        <f>=ROUNDDOWN({0},0)</f>
      </c>
      <c r="AK2214" s="5"/>
      <c r="AL2214" s="2" t="s">
        <v>228</v>
      </c>
      <c r="AM2214" s="4"/>
      <c r="AN2214" s="4"/>
      <c r="AO2214" s="7"/>
      <c r="AP2214" s="4"/>
      <c r="AQ2214" s="8"/>
      <c r="AR2214" s="4"/>
      <c r="AS2214" s="8"/>
      <c r="AT2214" s="7"/>
      <c r="AU2214" s="7"/>
      <c r="AV2214" s="4"/>
      <c r="AW2214" s="8"/>
      <c r="AX2214" s="4"/>
      <c r="AY2214" s="8"/>
      <c r="AZ2214" s="7"/>
      <c r="BA2214" s="7"/>
      <c r="BB2214" s="7"/>
      <c r="BC2214" s="4"/>
      <c r="BD2214" s="8"/>
      <c r="BE2214" s="4"/>
      <c r="BF2214" s="8"/>
      <c r="BG2214" s="7"/>
      <c r="BH2214" s="7"/>
      <c r="BI2214" s="7"/>
      <c r="BJ2214" s="4">
        <v>77</v>
      </c>
      <c r="BK2214" s="8">
        <v>2072.61</v>
      </c>
      <c r="BL2214" s="2" t="s">
        <v>10424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10425</v>
      </c>
      <c r="BV2214" s="2" t="s">
        <v>228</v>
      </c>
      <c r="BW2214" s="2" t="s">
        <v>228</v>
      </c>
      <c r="BX2214" s="2" t="s">
        <v>273</v>
      </c>
      <c r="BY2214" s="2" t="s">
        <v>274</v>
      </c>
      <c r="BZ2214" s="2" t="s">
        <v>240</v>
      </c>
      <c r="CA2214" s="2" t="s">
        <v>1950</v>
      </c>
      <c r="CB2214" s="2" t="s">
        <v>10426</v>
      </c>
      <c r="CC2214" s="2" t="s">
        <v>241</v>
      </c>
      <c r="CD2214" s="2" t="s">
        <v>228</v>
      </c>
      <c r="CE2214" s="4">
        <v>295</v>
      </c>
      <c r="CF2214" s="4"/>
      <c r="CG2214" s="4"/>
      <c r="CH2214" s="4"/>
      <c r="CI2214" s="4"/>
      <c r="CJ2214" s="4"/>
      <c r="CK2214" s="4"/>
      <c r="CL2214" s="4"/>
      <c r="CM2214" s="4"/>
      <c r="CN2214" s="4"/>
      <c r="CO2214" s="4"/>
      <c r="CP2214" s="4"/>
      <c r="CQ2214" s="4"/>
      <c r="CR2214" s="4"/>
      <c r="CS2214" s="4"/>
      <c r="CT2214" s="4"/>
      <c r="CU2214" s="4"/>
      <c r="CV2214" s="4"/>
      <c r="CW2214" s="4"/>
      <c r="CX2214" s="4"/>
      <c r="CY2214" s="4"/>
      <c r="CZ2214" s="4"/>
      <c r="DA2214" s="4"/>
      <c r="DB2214" s="4"/>
      <c r="DC2214" s="4"/>
      <c r="DD2214" s="4"/>
      <c r="DE2214" s="4"/>
      <c r="DF2214" s="4"/>
      <c r="DG2214" s="4"/>
      <c r="DH2214" s="4"/>
      <c r="DI2214" s="4"/>
      <c r="DJ2214" s="4"/>
      <c r="DK2214" s="4"/>
      <c r="DL2214" s="4"/>
      <c r="DM2214" s="4"/>
      <c r="DN2214" s="4"/>
      <c r="DO2214" s="4"/>
      <c r="DP2214" s="4"/>
      <c r="DQ2214" s="4"/>
      <c r="DR2214" s="4"/>
      <c r="DS2214" s="4"/>
      <c r="DT2214" s="4"/>
      <c r="DU2214" s="4"/>
      <c r="DV2214" s="4"/>
      <c r="DW2214" s="4"/>
      <c r="DX2214" s="4">
        <v>100</v>
      </c>
      <c r="DY2214" s="4"/>
      <c r="DZ2214" s="4"/>
      <c r="EA2214" s="4"/>
      <c r="EB2214" s="4"/>
      <c r="EC2214" s="4"/>
      <c r="ED2214" s="4"/>
      <c r="EE2214" s="4"/>
      <c r="EF2214" s="4"/>
      <c r="EG2214" s="4"/>
      <c r="EH2214" s="4"/>
      <c r="EI2214" s="4"/>
      <c r="EJ2214" s="4"/>
      <c r="EK2214" s="4"/>
      <c r="EL2214" s="4"/>
      <c r="EM2214" s="4"/>
      <c r="EN2214" s="4"/>
      <c r="EO2214" s="4"/>
      <c r="EP2214" s="4"/>
      <c r="EQ2214" s="4"/>
      <c r="ER2214" s="4"/>
      <c r="ES2214" s="4"/>
      <c r="ET2214" s="4"/>
      <c r="EU2214" s="4"/>
      <c r="EV2214" s="4"/>
      <c r="EW2214" s="4"/>
      <c r="EX2214" s="4"/>
      <c r="EY2214" s="4"/>
      <c r="EZ2214" s="4"/>
      <c r="FA2214" s="4"/>
      <c r="FB2214" s="4"/>
      <c r="FC2214" s="4"/>
      <c r="FD2214" s="4"/>
      <c r="FE2214" s="4"/>
      <c r="FF2214" s="4"/>
      <c r="FG2214" s="4"/>
      <c r="FH2214" s="4"/>
      <c r="FI2214" s="4"/>
      <c r="FJ2214" s="4"/>
      <c r="FK2214" s="4"/>
      <c r="FL2214" s="4"/>
      <c r="FM2214" s="4"/>
      <c r="FN2214" s="4"/>
      <c r="FO2214" s="4"/>
      <c r="FP2214" s="4"/>
      <c r="FQ2214" s="4"/>
      <c r="FR2214" s="4"/>
      <c r="FS2214" s="4"/>
      <c r="FT2214" s="4"/>
      <c r="FU2214" s="4"/>
      <c r="FV2214" s="4"/>
      <c r="FW2214" s="4"/>
      <c r="FX2214" s="4"/>
      <c r="FY2214" s="4"/>
      <c r="FZ2214" s="4"/>
      <c r="GA2214" s="4"/>
      <c r="GB2214" s="4"/>
      <c r="GC2214" s="4"/>
      <c r="GD2214" s="4"/>
      <c r="GE2214" s="4"/>
      <c r="GF2214" s="4"/>
      <c r="GG2214" s="4"/>
      <c r="GH2214" s="4"/>
      <c r="GI2214" s="4"/>
      <c r="GJ2214" s="4"/>
      <c r="GK2214" s="4"/>
      <c r="GL2214" s="4"/>
      <c r="GM2214" s="4"/>
      <c r="GN2214" s="4"/>
      <c r="GO2214" s="4"/>
      <c r="GP2214" s="4"/>
      <c r="GQ2214" s="4"/>
      <c r="GR2214" s="4"/>
      <c r="GS2214" s="4"/>
      <c r="GT2214" s="4"/>
      <c r="GU2214" s="4"/>
      <c r="GV2214" s="4"/>
      <c r="GW2214" s="4"/>
      <c r="GX2214" s="4"/>
      <c r="GY2214" s="4"/>
      <c r="GZ2214" s="4"/>
      <c r="HA2214" s="4"/>
      <c r="HB2214" s="4">
        <v>140</v>
      </c>
      <c r="HC2214" s="4"/>
      <c r="HD2214" s="4"/>
      <c r="HE2214" s="4"/>
    </row>
    <row r="2215">
      <c r="A2215" s="2" t="s">
        <v>10427</v>
      </c>
      <c r="B2215" s="2" t="s">
        <v>772</v>
      </c>
      <c r="C2215" s="2" t="s">
        <v>300</v>
      </c>
      <c r="D2215" s="2" t="s">
        <v>774</v>
      </c>
      <c r="E2215" s="2" t="s">
        <v>775</v>
      </c>
      <c r="F2215" s="2" t="s">
        <v>10428</v>
      </c>
      <c r="G2215" s="2" t="s">
        <v>10428</v>
      </c>
      <c r="H2215" s="2" t="s">
        <v>10428</v>
      </c>
      <c r="I2215" s="2" t="s">
        <v>10429</v>
      </c>
      <c r="J2215" s="2" t="s">
        <v>1053</v>
      </c>
      <c r="K2215" s="2" t="s">
        <v>1466</v>
      </c>
      <c r="L2215" s="3">
        <v>24</v>
      </c>
      <c r="M2215" s="3">
        <v>25.2</v>
      </c>
      <c r="N2215" s="3">
        <v>49.99</v>
      </c>
      <c r="O2215" s="2" t="s">
        <v>240</v>
      </c>
      <c r="P2215" s="2" t="s">
        <v>266</v>
      </c>
      <c r="Q2215" s="2" t="s">
        <v>234</v>
      </c>
      <c r="R2215" s="2" t="s">
        <v>228</v>
      </c>
      <c r="S2215" s="2" t="s">
        <v>10430</v>
      </c>
      <c r="T2215" s="2" t="s">
        <v>350</v>
      </c>
      <c r="U2215" s="2" t="s">
        <v>1054</v>
      </c>
      <c r="V2215" s="2" t="s">
        <v>236</v>
      </c>
      <c r="W2215" s="2" t="s">
        <v>417</v>
      </c>
      <c r="X2215" s="2" t="s">
        <v>228</v>
      </c>
      <c r="Y2215" s="2" t="s">
        <v>10431</v>
      </c>
      <c r="Z2215" s="4"/>
      <c r="AA2215" s="4">
        <f>=ROUNDDOWN({0},0)</f>
      </c>
      <c r="AB2215" s="5">
        <v>80</v>
      </c>
      <c r="AC2215" s="2" t="s">
        <v>483</v>
      </c>
      <c r="AD2215" s="4">
        <v>840</v>
      </c>
      <c r="AE2215" s="4">
        <v>2320</v>
      </c>
      <c r="AF2215" s="6">
        <v>73</v>
      </c>
      <c r="AG2215" s="6"/>
      <c r="AH2215" s="7">
        <v>0.5161</v>
      </c>
      <c r="AI2215" s="4"/>
      <c r="AJ2215" s="4">
        <f>=ROUNDDOWN({0},0)</f>
      </c>
      <c r="AK2215" s="5"/>
      <c r="AL2215" s="2" t="s">
        <v>228</v>
      </c>
      <c r="AM2215" s="4"/>
      <c r="AN2215" s="4"/>
      <c r="AO2215" s="7"/>
      <c r="AP2215" s="4"/>
      <c r="AQ2215" s="8"/>
      <c r="AR2215" s="4"/>
      <c r="AS2215" s="8"/>
      <c r="AT2215" s="7"/>
      <c r="AU2215" s="7"/>
      <c r="AV2215" s="4"/>
      <c r="AW2215" s="8"/>
      <c r="AX2215" s="4"/>
      <c r="AY2215" s="8"/>
      <c r="AZ2215" s="7"/>
      <c r="BA2215" s="7"/>
      <c r="BB2215" s="7"/>
      <c r="BC2215" s="4" t="s">
        <v>228</v>
      </c>
      <c r="BD2215" s="8" t="s">
        <v>228</v>
      </c>
      <c r="BE2215" s="4" t="s">
        <v>228</v>
      </c>
      <c r="BF2215" s="8" t="s">
        <v>228</v>
      </c>
      <c r="BG2215" s="7" t="s">
        <v>228</v>
      </c>
      <c r="BH2215" s="7" t="s">
        <v>228</v>
      </c>
      <c r="BI2215" s="7"/>
      <c r="BJ2215" s="4">
        <v>233</v>
      </c>
      <c r="BK2215" s="8">
        <v>5923.51</v>
      </c>
      <c r="BL2215" s="2" t="s">
        <v>10432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10433</v>
      </c>
      <c r="BV2215" s="2" t="s">
        <v>228</v>
      </c>
      <c r="BW2215" s="2" t="s">
        <v>228</v>
      </c>
      <c r="BX2215" s="2" t="s">
        <v>735</v>
      </c>
      <c r="BY2215" s="2" t="s">
        <v>274</v>
      </c>
      <c r="BZ2215" s="2" t="s">
        <v>240</v>
      </c>
      <c r="CA2215" s="2" t="s">
        <v>10431</v>
      </c>
      <c r="CB2215" s="2" t="s">
        <v>10434</v>
      </c>
      <c r="CC2215" s="2" t="s">
        <v>241</v>
      </c>
      <c r="CD2215" s="2" t="s">
        <v>228</v>
      </c>
      <c r="CE2215" s="4"/>
      <c r="CF2215" s="4"/>
      <c r="CG2215" s="4"/>
      <c r="CH2215" s="4"/>
      <c r="CI2215" s="4"/>
      <c r="CJ2215" s="4"/>
      <c r="CK2215" s="4"/>
      <c r="CL2215" s="4"/>
      <c r="CM2215" s="4"/>
      <c r="CN2215" s="4"/>
      <c r="CO2215" s="4"/>
      <c r="CP2215" s="4"/>
      <c r="CQ2215" s="4"/>
      <c r="CR2215" s="4"/>
      <c r="CS2215" s="4"/>
      <c r="CT2215" s="4"/>
      <c r="CU2215" s="4"/>
      <c r="CV2215" s="4"/>
      <c r="CW2215" s="4"/>
      <c r="CX2215" s="4"/>
      <c r="CY2215" s="4"/>
      <c r="CZ2215" s="4"/>
      <c r="DA2215" s="4"/>
      <c r="DB2215" s="4"/>
      <c r="DC2215" s="4"/>
      <c r="DD2215" s="4"/>
      <c r="DE2215" s="4"/>
      <c r="DF2215" s="4"/>
      <c r="DG2215" s="4"/>
      <c r="DH2215" s="4"/>
      <c r="DI2215" s="4"/>
      <c r="DJ2215" s="4"/>
      <c r="DK2215" s="4"/>
      <c r="DL2215" s="4"/>
      <c r="DM2215" s="4"/>
      <c r="DN2215" s="4"/>
      <c r="DO2215" s="4"/>
      <c r="DP2215" s="4"/>
      <c r="DQ2215" s="4"/>
      <c r="DR2215" s="4"/>
      <c r="DS2215" s="4"/>
      <c r="DT2215" s="4"/>
      <c r="DU2215" s="4"/>
      <c r="DV2215" s="4"/>
      <c r="DW2215" s="4"/>
      <c r="DX2215" s="4"/>
      <c r="DY2215" s="4"/>
      <c r="DZ2215" s="4"/>
      <c r="EA2215" s="4"/>
      <c r="EB2215" s="4"/>
      <c r="EC2215" s="4"/>
      <c r="ED2215" s="4"/>
      <c r="EE2215" s="4"/>
      <c r="EF2215" s="4"/>
      <c r="EG2215" s="4"/>
      <c r="EH2215" s="4"/>
      <c r="EI2215" s="4"/>
      <c r="EJ2215" s="4"/>
      <c r="EK2215" s="4"/>
      <c r="EL2215" s="4"/>
      <c r="EM2215" s="4"/>
      <c r="EN2215" s="4"/>
      <c r="EO2215" s="4"/>
      <c r="EP2215" s="4"/>
      <c r="EQ2215" s="4"/>
      <c r="ER2215" s="4"/>
      <c r="ES2215" s="4"/>
      <c r="ET2215" s="4"/>
      <c r="EU2215" s="4"/>
      <c r="EV2215" s="4"/>
      <c r="EW2215" s="4"/>
      <c r="EX2215" s="4"/>
      <c r="EY2215" s="4"/>
      <c r="EZ2215" s="4"/>
      <c r="FA2215" s="4"/>
      <c r="FB2215" s="4"/>
      <c r="FC2215" s="4"/>
      <c r="FD2215" s="4"/>
      <c r="FE2215" s="4"/>
      <c r="FF2215" s="4"/>
      <c r="FG2215" s="4"/>
      <c r="FH2215" s="4"/>
      <c r="FI2215" s="4"/>
      <c r="FJ2215" s="4"/>
      <c r="FK2215" s="4"/>
      <c r="FL2215" s="4"/>
      <c r="FM2215" s="4"/>
      <c r="FN2215" s="4">
        <v>840</v>
      </c>
      <c r="FO2215" s="4"/>
      <c r="FP2215" s="4"/>
      <c r="FQ2215" s="4"/>
      <c r="FR2215" s="4"/>
      <c r="FS2215" s="4"/>
      <c r="FT2215" s="4"/>
      <c r="FU2215" s="4">
        <v>420</v>
      </c>
      <c r="FV2215" s="4"/>
      <c r="FW2215" s="4"/>
      <c r="FX2215" s="4"/>
      <c r="FY2215" s="4"/>
      <c r="FZ2215" s="4"/>
      <c r="GA2215" s="4"/>
      <c r="GB2215" s="4"/>
      <c r="GC2215" s="4"/>
      <c r="GD2215" s="4"/>
      <c r="GE2215" s="4"/>
      <c r="GF2215" s="4">
        <v>420</v>
      </c>
      <c r="GG2215" s="4"/>
      <c r="GH2215" s="4"/>
      <c r="GI2215" s="4"/>
      <c r="GJ2215" s="4"/>
      <c r="GK2215" s="4"/>
      <c r="GL2215" s="4"/>
      <c r="GM2215" s="4"/>
      <c r="GN2215" s="4"/>
      <c r="GO2215" s="4"/>
      <c r="GP2215" s="4"/>
      <c r="GQ2215" s="4"/>
      <c r="GR2215" s="4"/>
      <c r="GS2215" s="4"/>
      <c r="GT2215" s="4"/>
      <c r="GU2215" s="4"/>
      <c r="GV2215" s="4"/>
      <c r="GW2215" s="4"/>
      <c r="GX2215" s="4"/>
      <c r="GY2215" s="4"/>
      <c r="GZ2215" s="4"/>
      <c r="HA2215" s="4"/>
      <c r="HB2215" s="4">
        <v>640</v>
      </c>
      <c r="HC2215" s="4"/>
      <c r="HD2215" s="4"/>
      <c r="HE2215" s="4"/>
    </row>
    <row r="2216">
      <c r="A2216" s="2" t="s">
        <v>10435</v>
      </c>
      <c r="B2216" s="2" t="s">
        <v>772</v>
      </c>
      <c r="C2216" s="2" t="s">
        <v>300</v>
      </c>
      <c r="D2216" s="2" t="s">
        <v>774</v>
      </c>
      <c r="E2216" s="2" t="s">
        <v>775</v>
      </c>
      <c r="F2216" s="2" t="s">
        <v>10428</v>
      </c>
      <c r="G2216" s="2" t="s">
        <v>10428</v>
      </c>
      <c r="H2216" s="2" t="s">
        <v>10428</v>
      </c>
      <c r="I2216" s="2" t="s">
        <v>10429</v>
      </c>
      <c r="J2216" s="2" t="s">
        <v>1053</v>
      </c>
      <c r="K2216" s="2" t="s">
        <v>249</v>
      </c>
      <c r="L2216" s="3">
        <v>24</v>
      </c>
      <c r="M2216" s="3">
        <v>25.2</v>
      </c>
      <c r="N2216" s="3">
        <v>49.99</v>
      </c>
      <c r="O2216" s="2" t="s">
        <v>240</v>
      </c>
      <c r="P2216" s="2" t="s">
        <v>715</v>
      </c>
      <c r="Q2216" s="2" t="s">
        <v>234</v>
      </c>
      <c r="R2216" s="2" t="s">
        <v>228</v>
      </c>
      <c r="S2216" s="2" t="s">
        <v>10430</v>
      </c>
      <c r="T2216" s="2" t="s">
        <v>228</v>
      </c>
      <c r="U2216" s="2" t="s">
        <v>1054</v>
      </c>
      <c r="V2216" s="2" t="s">
        <v>236</v>
      </c>
      <c r="W2216" s="2" t="s">
        <v>417</v>
      </c>
      <c r="X2216" s="2" t="s">
        <v>228</v>
      </c>
      <c r="Y2216" s="2" t="s">
        <v>7078</v>
      </c>
      <c r="Z2216" s="4">
        <v>878</v>
      </c>
      <c r="AA2216" s="4">
        <f>=ROUNDDOWN(23.1052631578947,0)</f>
      </c>
      <c r="AB2216" s="5">
        <v>38</v>
      </c>
      <c r="AC2216" s="2" t="s">
        <v>483</v>
      </c>
      <c r="AD2216" s="4">
        <v>420</v>
      </c>
      <c r="AE2216" s="4">
        <v>1050</v>
      </c>
      <c r="AF2216" s="6">
        <v>73</v>
      </c>
      <c r="AG2216" s="6"/>
      <c r="AH2216" s="7">
        <v>1</v>
      </c>
      <c r="AI2216" s="4"/>
      <c r="AJ2216" s="4">
        <f>=ROUNDDOWN({0},0)</f>
      </c>
      <c r="AK2216" s="5"/>
      <c r="AL2216" s="2" t="s">
        <v>228</v>
      </c>
      <c r="AM2216" s="4"/>
      <c r="AN2216" s="4"/>
      <c r="AO2216" s="7"/>
      <c r="AP2216" s="4"/>
      <c r="AQ2216" s="8"/>
      <c r="AR2216" s="4"/>
      <c r="AS2216" s="8"/>
      <c r="AT2216" s="7"/>
      <c r="AU2216" s="7"/>
      <c r="AV2216" s="4"/>
      <c r="AW2216" s="8"/>
      <c r="AX2216" s="4"/>
      <c r="AY2216" s="8"/>
      <c r="AZ2216" s="7"/>
      <c r="BA2216" s="7"/>
      <c r="BB2216" s="7"/>
      <c r="BC2216" s="4" t="s">
        <v>228</v>
      </c>
      <c r="BD2216" s="8" t="s">
        <v>228</v>
      </c>
      <c r="BE2216" s="4" t="s">
        <v>228</v>
      </c>
      <c r="BF2216" s="8" t="s">
        <v>228</v>
      </c>
      <c r="BG2216" s="7" t="s">
        <v>228</v>
      </c>
      <c r="BH2216" s="7" t="s">
        <v>228</v>
      </c>
      <c r="BI2216" s="7"/>
      <c r="BJ2216" s="4">
        <v>185</v>
      </c>
      <c r="BK2216" s="8">
        <v>4574.59</v>
      </c>
      <c r="BL2216" s="2" t="s">
        <v>10436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10437</v>
      </c>
      <c r="BV2216" s="2" t="s">
        <v>228</v>
      </c>
      <c r="BW2216" s="2" t="s">
        <v>228</v>
      </c>
      <c r="BX2216" s="2" t="s">
        <v>735</v>
      </c>
      <c r="BY2216" s="2" t="s">
        <v>274</v>
      </c>
      <c r="BZ2216" s="2" t="s">
        <v>240</v>
      </c>
      <c r="CA2216" s="2" t="s">
        <v>2029</v>
      </c>
      <c r="CB2216" s="2" t="s">
        <v>4007</v>
      </c>
      <c r="CC2216" s="2" t="s">
        <v>241</v>
      </c>
      <c r="CD2216" s="2" t="s">
        <v>228</v>
      </c>
      <c r="CE2216" s="4">
        <v>878</v>
      </c>
      <c r="CF2216" s="4"/>
      <c r="CG2216" s="4"/>
      <c r="CH2216" s="4"/>
      <c r="CI2216" s="4"/>
      <c r="CJ2216" s="4"/>
      <c r="CK2216" s="4"/>
      <c r="CL2216" s="4"/>
      <c r="CM2216" s="4"/>
      <c r="CN2216" s="4"/>
      <c r="CO2216" s="4"/>
      <c r="CP2216" s="4"/>
      <c r="CQ2216" s="4"/>
      <c r="CR2216" s="4"/>
      <c r="CS2216" s="4"/>
      <c r="CT2216" s="4"/>
      <c r="CU2216" s="4"/>
      <c r="CV2216" s="4"/>
      <c r="CW2216" s="4"/>
      <c r="CX2216" s="4"/>
      <c r="CY2216" s="4"/>
      <c r="CZ2216" s="4"/>
      <c r="DA2216" s="4"/>
      <c r="DB2216" s="4"/>
      <c r="DC2216" s="4"/>
      <c r="DD2216" s="4"/>
      <c r="DE2216" s="4"/>
      <c r="DF2216" s="4"/>
      <c r="DG2216" s="4"/>
      <c r="DH2216" s="4"/>
      <c r="DI2216" s="4"/>
      <c r="DJ2216" s="4"/>
      <c r="DK2216" s="4"/>
      <c r="DL2216" s="4"/>
      <c r="DM2216" s="4"/>
      <c r="DN2216" s="4"/>
      <c r="DO2216" s="4"/>
      <c r="DP2216" s="4"/>
      <c r="DQ2216" s="4"/>
      <c r="DR2216" s="4"/>
      <c r="DS2216" s="4"/>
      <c r="DT2216" s="4"/>
      <c r="DU2216" s="4"/>
      <c r="DV2216" s="4"/>
      <c r="DW2216" s="4"/>
      <c r="DX2216" s="4"/>
      <c r="DY2216" s="4"/>
      <c r="DZ2216" s="4"/>
      <c r="EA2216" s="4"/>
      <c r="EB2216" s="4"/>
      <c r="EC2216" s="4"/>
      <c r="ED2216" s="4"/>
      <c r="EE2216" s="4"/>
      <c r="EF2216" s="4"/>
      <c r="EG2216" s="4"/>
      <c r="EH2216" s="4"/>
      <c r="EI2216" s="4"/>
      <c r="EJ2216" s="4"/>
      <c r="EK2216" s="4"/>
      <c r="EL2216" s="4"/>
      <c r="EM2216" s="4"/>
      <c r="EN2216" s="4"/>
      <c r="EO2216" s="4"/>
      <c r="EP2216" s="4"/>
      <c r="EQ2216" s="4"/>
      <c r="ER2216" s="4"/>
      <c r="ES2216" s="4"/>
      <c r="ET2216" s="4"/>
      <c r="EU2216" s="4"/>
      <c r="EV2216" s="4"/>
      <c r="EW2216" s="4"/>
      <c r="EX2216" s="4"/>
      <c r="EY2216" s="4"/>
      <c r="EZ2216" s="4"/>
      <c r="FA2216" s="4"/>
      <c r="FB2216" s="4"/>
      <c r="FC2216" s="4"/>
      <c r="FD2216" s="4"/>
      <c r="FE2216" s="4"/>
      <c r="FF2216" s="4"/>
      <c r="FG2216" s="4"/>
      <c r="FH2216" s="4"/>
      <c r="FI2216" s="4"/>
      <c r="FJ2216" s="4"/>
      <c r="FK2216" s="4"/>
      <c r="FL2216" s="4"/>
      <c r="FM2216" s="4"/>
      <c r="FN2216" s="4">
        <v>420</v>
      </c>
      <c r="FO2216" s="4"/>
      <c r="FP2216" s="4"/>
      <c r="FQ2216" s="4"/>
      <c r="FR2216" s="4"/>
      <c r="FS2216" s="4"/>
      <c r="FT2216" s="4"/>
      <c r="FU2216" s="4"/>
      <c r="FV2216" s="4"/>
      <c r="FW2216" s="4"/>
      <c r="FX2216" s="4"/>
      <c r="FY2216" s="4"/>
      <c r="FZ2216" s="4"/>
      <c r="GA2216" s="4"/>
      <c r="GB2216" s="4"/>
      <c r="GC2216" s="4"/>
      <c r="GD2216" s="4"/>
      <c r="GE2216" s="4"/>
      <c r="GF2216" s="4">
        <v>210</v>
      </c>
      <c r="GG2216" s="4"/>
      <c r="GH2216" s="4"/>
      <c r="GI2216" s="4"/>
      <c r="GJ2216" s="4"/>
      <c r="GK2216" s="4"/>
      <c r="GL2216" s="4"/>
      <c r="GM2216" s="4"/>
      <c r="GN2216" s="4"/>
      <c r="GO2216" s="4"/>
      <c r="GP2216" s="4"/>
      <c r="GQ2216" s="4"/>
      <c r="GR2216" s="4"/>
      <c r="GS2216" s="4"/>
      <c r="GT2216" s="4"/>
      <c r="GU2216" s="4"/>
      <c r="GV2216" s="4"/>
      <c r="GW2216" s="4"/>
      <c r="GX2216" s="4"/>
      <c r="GY2216" s="4"/>
      <c r="GZ2216" s="4"/>
      <c r="HA2216" s="4"/>
      <c r="HB2216" s="4">
        <v>420</v>
      </c>
      <c r="HC2216" s="4"/>
      <c r="HD2216" s="4"/>
      <c r="HE2216" s="4"/>
    </row>
    <row r="2217">
      <c r="A2217" s="2" t="s">
        <v>10438</v>
      </c>
      <c r="B2217" s="2" t="s">
        <v>772</v>
      </c>
      <c r="C2217" s="2" t="s">
        <v>300</v>
      </c>
      <c r="D2217" s="2" t="s">
        <v>774</v>
      </c>
      <c r="E2217" s="2" t="s">
        <v>775</v>
      </c>
      <c r="F2217" s="2" t="s">
        <v>10428</v>
      </c>
      <c r="G2217" s="2" t="s">
        <v>10428</v>
      </c>
      <c r="H2217" s="2" t="s">
        <v>10428</v>
      </c>
      <c r="I2217" s="2" t="s">
        <v>10429</v>
      </c>
      <c r="J2217" s="2" t="s">
        <v>1053</v>
      </c>
      <c r="K2217" s="2" t="s">
        <v>2780</v>
      </c>
      <c r="L2217" s="3">
        <v>24</v>
      </c>
      <c r="M2217" s="3">
        <v>25.2</v>
      </c>
      <c r="N2217" s="3">
        <v>49.99</v>
      </c>
      <c r="O2217" s="2" t="s">
        <v>240</v>
      </c>
      <c r="P2217" s="2" t="s">
        <v>266</v>
      </c>
      <c r="Q2217" s="2" t="s">
        <v>234</v>
      </c>
      <c r="R2217" s="2" t="s">
        <v>228</v>
      </c>
      <c r="S2217" s="2" t="s">
        <v>10430</v>
      </c>
      <c r="T2217" s="2" t="s">
        <v>350</v>
      </c>
      <c r="U2217" s="2" t="s">
        <v>1054</v>
      </c>
      <c r="V2217" s="2" t="s">
        <v>236</v>
      </c>
      <c r="W2217" s="2" t="s">
        <v>417</v>
      </c>
      <c r="X2217" s="2" t="s">
        <v>269</v>
      </c>
      <c r="Y2217" s="2" t="s">
        <v>8848</v>
      </c>
      <c r="Z2217" s="4"/>
      <c r="AA2217" s="4">
        <f>=ROUNDDOWN({0},0)</f>
      </c>
      <c r="AB2217" s="5">
        <v>54</v>
      </c>
      <c r="AC2217" s="2" t="s">
        <v>1672</v>
      </c>
      <c r="AD2217" s="4">
        <v>420</v>
      </c>
      <c r="AE2217" s="4">
        <v>1890</v>
      </c>
      <c r="AF2217" s="6">
        <v>73</v>
      </c>
      <c r="AG2217" s="6"/>
      <c r="AH2217" s="7">
        <v>0.4194</v>
      </c>
      <c r="AI2217" s="4"/>
      <c r="AJ2217" s="4">
        <f>=ROUNDDOWN({0},0)</f>
      </c>
      <c r="AK2217" s="5"/>
      <c r="AL2217" s="2" t="s">
        <v>228</v>
      </c>
      <c r="AM2217" s="4"/>
      <c r="AN2217" s="4"/>
      <c r="AO2217" s="7"/>
      <c r="AP2217" s="4"/>
      <c r="AQ2217" s="8"/>
      <c r="AR2217" s="4"/>
      <c r="AS2217" s="8"/>
      <c r="AT2217" s="7"/>
      <c r="AU2217" s="7"/>
      <c r="AV2217" s="4"/>
      <c r="AW2217" s="8"/>
      <c r="AX2217" s="4"/>
      <c r="AY2217" s="8"/>
      <c r="AZ2217" s="7"/>
      <c r="BA2217" s="7"/>
      <c r="BB2217" s="7"/>
      <c r="BC2217" s="4" t="s">
        <v>228</v>
      </c>
      <c r="BD2217" s="8" t="s">
        <v>228</v>
      </c>
      <c r="BE2217" s="4" t="s">
        <v>228</v>
      </c>
      <c r="BF2217" s="8" t="s">
        <v>228</v>
      </c>
      <c r="BG2217" s="7" t="s">
        <v>228</v>
      </c>
      <c r="BH2217" s="7" t="s">
        <v>228</v>
      </c>
      <c r="BI2217" s="7"/>
      <c r="BJ2217" s="4">
        <v>129</v>
      </c>
      <c r="BK2217" s="8">
        <v>3185.58</v>
      </c>
      <c r="BL2217" s="2" t="s">
        <v>10439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10440</v>
      </c>
      <c r="BV2217" s="2" t="s">
        <v>228</v>
      </c>
      <c r="BW2217" s="2" t="s">
        <v>228</v>
      </c>
      <c r="BX2217" s="2" t="s">
        <v>735</v>
      </c>
      <c r="BY2217" s="2" t="s">
        <v>274</v>
      </c>
      <c r="BZ2217" s="2" t="s">
        <v>240</v>
      </c>
      <c r="CA2217" s="2" t="s">
        <v>10441</v>
      </c>
      <c r="CB2217" s="2" t="s">
        <v>3195</v>
      </c>
      <c r="CC2217" s="2" t="s">
        <v>241</v>
      </c>
      <c r="CD2217" s="2" t="s">
        <v>228</v>
      </c>
      <c r="CE2217" s="4"/>
      <c r="CF2217" s="4"/>
      <c r="CG2217" s="4"/>
      <c r="CH2217" s="4"/>
      <c r="CI2217" s="4"/>
      <c r="CJ2217" s="4"/>
      <c r="CK2217" s="4"/>
      <c r="CL2217" s="4"/>
      <c r="CM2217" s="4"/>
      <c r="CN2217" s="4"/>
      <c r="CO2217" s="4"/>
      <c r="CP2217" s="4"/>
      <c r="CQ2217" s="4"/>
      <c r="CR2217" s="4"/>
      <c r="CS2217" s="4"/>
      <c r="CT2217" s="4"/>
      <c r="CU2217" s="4"/>
      <c r="CV2217" s="4"/>
      <c r="CW2217" s="4"/>
      <c r="CX2217" s="4"/>
      <c r="CY2217" s="4"/>
      <c r="CZ2217" s="4"/>
      <c r="DA2217" s="4"/>
      <c r="DB2217" s="4"/>
      <c r="DC2217" s="4"/>
      <c r="DD2217" s="4"/>
      <c r="DE2217" s="4"/>
      <c r="DF2217" s="4"/>
      <c r="DG2217" s="4"/>
      <c r="DH2217" s="4"/>
      <c r="DI2217" s="4"/>
      <c r="DJ2217" s="4"/>
      <c r="DK2217" s="4"/>
      <c r="DL2217" s="4"/>
      <c r="DM2217" s="4"/>
      <c r="DN2217" s="4"/>
      <c r="DO2217" s="4"/>
      <c r="DP2217" s="4"/>
      <c r="DQ2217" s="4"/>
      <c r="DR2217" s="4"/>
      <c r="DS2217" s="4"/>
      <c r="DT2217" s="4"/>
      <c r="DU2217" s="4"/>
      <c r="DV2217" s="4"/>
      <c r="DW2217" s="4"/>
      <c r="DX2217" s="4"/>
      <c r="DY2217" s="4">
        <v>420</v>
      </c>
      <c r="DZ2217" s="4"/>
      <c r="EA2217" s="4"/>
      <c r="EB2217" s="4"/>
      <c r="EC2217" s="4"/>
      <c r="ED2217" s="4"/>
      <c r="EE2217" s="4"/>
      <c r="EF2217" s="4"/>
      <c r="EG2217" s="4"/>
      <c r="EH2217" s="4"/>
      <c r="EI2217" s="4"/>
      <c r="EJ2217" s="4"/>
      <c r="EK2217" s="4"/>
      <c r="EL2217" s="4"/>
      <c r="EM2217" s="4"/>
      <c r="EN2217" s="4"/>
      <c r="EO2217" s="4"/>
      <c r="EP2217" s="4"/>
      <c r="EQ2217" s="4"/>
      <c r="ER2217" s="4"/>
      <c r="ES2217" s="4"/>
      <c r="ET2217" s="4"/>
      <c r="EU2217" s="4"/>
      <c r="EV2217" s="4"/>
      <c r="EW2217" s="4"/>
      <c r="EX2217" s="4"/>
      <c r="EY2217" s="4"/>
      <c r="EZ2217" s="4"/>
      <c r="FA2217" s="4"/>
      <c r="FB2217" s="4"/>
      <c r="FC2217" s="4"/>
      <c r="FD2217" s="4"/>
      <c r="FE2217" s="4"/>
      <c r="FF2217" s="4"/>
      <c r="FG2217" s="4"/>
      <c r="FH2217" s="4"/>
      <c r="FI2217" s="4"/>
      <c r="FJ2217" s="4"/>
      <c r="FK2217" s="4"/>
      <c r="FL2217" s="4"/>
      <c r="FM2217" s="4"/>
      <c r="FN2217" s="4">
        <v>840</v>
      </c>
      <c r="FO2217" s="4"/>
      <c r="FP2217" s="4"/>
      <c r="FQ2217" s="4"/>
      <c r="FR2217" s="4"/>
      <c r="FS2217" s="4"/>
      <c r="FT2217" s="4"/>
      <c r="FU2217" s="4"/>
      <c r="FV2217" s="4"/>
      <c r="FW2217" s="4"/>
      <c r="FX2217" s="4"/>
      <c r="FY2217" s="4"/>
      <c r="FZ2217" s="4"/>
      <c r="GA2217" s="4"/>
      <c r="GB2217" s="4"/>
      <c r="GC2217" s="4"/>
      <c r="GD2217" s="4"/>
      <c r="GE2217" s="4"/>
      <c r="GF2217" s="4">
        <v>420</v>
      </c>
      <c r="GG2217" s="4"/>
      <c r="GH2217" s="4"/>
      <c r="GI2217" s="4"/>
      <c r="GJ2217" s="4"/>
      <c r="GK2217" s="4"/>
      <c r="GL2217" s="4"/>
      <c r="GM2217" s="4"/>
      <c r="GN2217" s="4"/>
      <c r="GO2217" s="4"/>
      <c r="GP2217" s="4"/>
      <c r="GQ2217" s="4"/>
      <c r="GR2217" s="4"/>
      <c r="GS2217" s="4"/>
      <c r="GT2217" s="4"/>
      <c r="GU2217" s="4"/>
      <c r="GV2217" s="4"/>
      <c r="GW2217" s="4"/>
      <c r="GX2217" s="4"/>
      <c r="GY2217" s="4"/>
      <c r="GZ2217" s="4"/>
      <c r="HA2217" s="4"/>
      <c r="HB2217" s="4">
        <v>210</v>
      </c>
      <c r="HC2217" s="4"/>
      <c r="HD2217" s="4"/>
      <c r="HE2217" s="4"/>
    </row>
    <row r="2218">
      <c r="A2218" s="2" t="s">
        <v>10442</v>
      </c>
      <c r="B2218" s="2" t="s">
        <v>772</v>
      </c>
      <c r="C2218" s="2" t="s">
        <v>300</v>
      </c>
      <c r="D2218" s="2" t="s">
        <v>774</v>
      </c>
      <c r="E2218" s="2" t="s">
        <v>775</v>
      </c>
      <c r="F2218" s="2" t="s">
        <v>10428</v>
      </c>
      <c r="G2218" s="2" t="s">
        <v>10428</v>
      </c>
      <c r="H2218" s="2" t="s">
        <v>10428</v>
      </c>
      <c r="I2218" s="2" t="s">
        <v>10429</v>
      </c>
      <c r="J2218" s="2" t="s">
        <v>1053</v>
      </c>
      <c r="K2218" s="2" t="s">
        <v>525</v>
      </c>
      <c r="L2218" s="3">
        <v>24</v>
      </c>
      <c r="M2218" s="3">
        <v>25.2</v>
      </c>
      <c r="N2218" s="3">
        <v>49.99</v>
      </c>
      <c r="O2218" s="2" t="s">
        <v>240</v>
      </c>
      <c r="P2218" s="2" t="s">
        <v>266</v>
      </c>
      <c r="Q2218" s="2" t="s">
        <v>234</v>
      </c>
      <c r="R2218" s="2" t="s">
        <v>228</v>
      </c>
      <c r="S2218" s="2" t="s">
        <v>10430</v>
      </c>
      <c r="T2218" s="2" t="s">
        <v>228</v>
      </c>
      <c r="U2218" s="2" t="s">
        <v>1054</v>
      </c>
      <c r="V2218" s="2" t="s">
        <v>236</v>
      </c>
      <c r="W2218" s="2" t="s">
        <v>417</v>
      </c>
      <c r="X2218" s="2" t="s">
        <v>228</v>
      </c>
      <c r="Y2218" s="2" t="s">
        <v>7078</v>
      </c>
      <c r="Z2218" s="4">
        <v>218</v>
      </c>
      <c r="AA2218" s="4">
        <f>=ROUNDDOWN(3.57377049180328,0)</f>
      </c>
      <c r="AB2218" s="5">
        <v>61</v>
      </c>
      <c r="AC2218" s="2" t="s">
        <v>1672</v>
      </c>
      <c r="AD2218" s="4">
        <v>361</v>
      </c>
      <c r="AE2218" s="4">
        <v>1621</v>
      </c>
      <c r="AF2218" s="6">
        <v>73</v>
      </c>
      <c r="AG2218" s="6"/>
      <c r="AH2218" s="7">
        <v>1</v>
      </c>
      <c r="AI2218" s="4"/>
      <c r="AJ2218" s="4">
        <f>=ROUNDDOWN({0},0)</f>
      </c>
      <c r="AK2218" s="5"/>
      <c r="AL2218" s="2" t="s">
        <v>228</v>
      </c>
      <c r="AM2218" s="4"/>
      <c r="AN2218" s="4"/>
      <c r="AO2218" s="7"/>
      <c r="AP2218" s="4"/>
      <c r="AQ2218" s="8"/>
      <c r="AR2218" s="4"/>
      <c r="AS2218" s="8"/>
      <c r="AT2218" s="7"/>
      <c r="AU2218" s="7"/>
      <c r="AV2218" s="4"/>
      <c r="AW2218" s="8"/>
      <c r="AX2218" s="4"/>
      <c r="AY2218" s="8"/>
      <c r="AZ2218" s="7"/>
      <c r="BA2218" s="7"/>
      <c r="BB2218" s="7"/>
      <c r="BC2218" s="4" t="s">
        <v>228</v>
      </c>
      <c r="BD2218" s="8" t="s">
        <v>228</v>
      </c>
      <c r="BE2218" s="4" t="s">
        <v>228</v>
      </c>
      <c r="BF2218" s="8" t="s">
        <v>228</v>
      </c>
      <c r="BG2218" s="7" t="s">
        <v>228</v>
      </c>
      <c r="BH2218" s="7" t="s">
        <v>228</v>
      </c>
      <c r="BI2218" s="7"/>
      <c r="BJ2218" s="4">
        <v>283</v>
      </c>
      <c r="BK2218" s="8">
        <v>7275.99</v>
      </c>
      <c r="BL2218" s="2" t="s">
        <v>8845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10443</v>
      </c>
      <c r="BV2218" s="2" t="s">
        <v>228</v>
      </c>
      <c r="BW2218" s="2" t="s">
        <v>228</v>
      </c>
      <c r="BX2218" s="2" t="s">
        <v>735</v>
      </c>
      <c r="BY2218" s="2" t="s">
        <v>274</v>
      </c>
      <c r="BZ2218" s="2" t="s">
        <v>240</v>
      </c>
      <c r="CA2218" s="2" t="s">
        <v>2029</v>
      </c>
      <c r="CB2218" s="2" t="s">
        <v>4155</v>
      </c>
      <c r="CC2218" s="2" t="s">
        <v>241</v>
      </c>
      <c r="CD2218" s="2" t="s">
        <v>228</v>
      </c>
      <c r="CE2218" s="4">
        <v>218</v>
      </c>
      <c r="CF2218" s="4"/>
      <c r="CG2218" s="4"/>
      <c r="CH2218" s="4"/>
      <c r="CI2218" s="4"/>
      <c r="CJ2218" s="4"/>
      <c r="CK2218" s="4"/>
      <c r="CL2218" s="4"/>
      <c r="CM2218" s="4"/>
      <c r="CN2218" s="4"/>
      <c r="CO2218" s="4"/>
      <c r="CP2218" s="4"/>
      <c r="CQ2218" s="4"/>
      <c r="CR2218" s="4"/>
      <c r="CS2218" s="4"/>
      <c r="CT2218" s="4"/>
      <c r="CU2218" s="4"/>
      <c r="CV2218" s="4"/>
      <c r="CW2218" s="4"/>
      <c r="CX2218" s="4"/>
      <c r="CY2218" s="4"/>
      <c r="CZ2218" s="4"/>
      <c r="DA2218" s="4"/>
      <c r="DB2218" s="4"/>
      <c r="DC2218" s="4"/>
      <c r="DD2218" s="4"/>
      <c r="DE2218" s="4"/>
      <c r="DF2218" s="4"/>
      <c r="DG2218" s="4"/>
      <c r="DH2218" s="4"/>
      <c r="DI2218" s="4"/>
      <c r="DJ2218" s="4"/>
      <c r="DK2218" s="4"/>
      <c r="DL2218" s="4"/>
      <c r="DM2218" s="4"/>
      <c r="DN2218" s="4"/>
      <c r="DO2218" s="4"/>
      <c r="DP2218" s="4"/>
      <c r="DQ2218" s="4"/>
      <c r="DR2218" s="4"/>
      <c r="DS2218" s="4"/>
      <c r="DT2218" s="4"/>
      <c r="DU2218" s="4"/>
      <c r="DV2218" s="4"/>
      <c r="DW2218" s="4"/>
      <c r="DX2218" s="4"/>
      <c r="DY2218" s="4">
        <v>361</v>
      </c>
      <c r="DZ2218" s="4"/>
      <c r="EA2218" s="4"/>
      <c r="EB2218" s="4"/>
      <c r="EC2218" s="4"/>
      <c r="ED2218" s="4"/>
      <c r="EE2218" s="4"/>
      <c r="EF2218" s="4"/>
      <c r="EG2218" s="4"/>
      <c r="EH2218" s="4"/>
      <c r="EI2218" s="4"/>
      <c r="EJ2218" s="4"/>
      <c r="EK2218" s="4"/>
      <c r="EL2218" s="4"/>
      <c r="EM2218" s="4"/>
      <c r="EN2218" s="4"/>
      <c r="EO2218" s="4"/>
      <c r="EP2218" s="4"/>
      <c r="EQ2218" s="4"/>
      <c r="ER2218" s="4"/>
      <c r="ES2218" s="4"/>
      <c r="ET2218" s="4"/>
      <c r="EU2218" s="4"/>
      <c r="EV2218" s="4"/>
      <c r="EW2218" s="4"/>
      <c r="EX2218" s="4"/>
      <c r="EY2218" s="4"/>
      <c r="EZ2218" s="4"/>
      <c r="FA2218" s="4"/>
      <c r="FB2218" s="4"/>
      <c r="FC2218" s="4"/>
      <c r="FD2218" s="4"/>
      <c r="FE2218" s="4"/>
      <c r="FF2218" s="4"/>
      <c r="FG2218" s="4"/>
      <c r="FH2218" s="4"/>
      <c r="FI2218" s="4"/>
      <c r="FJ2218" s="4"/>
      <c r="FK2218" s="4"/>
      <c r="FL2218" s="4"/>
      <c r="FM2218" s="4"/>
      <c r="FN2218" s="4">
        <v>840</v>
      </c>
      <c r="FO2218" s="4"/>
      <c r="FP2218" s="4"/>
      <c r="FQ2218" s="4"/>
      <c r="FR2218" s="4"/>
      <c r="FS2218" s="4"/>
      <c r="FT2218" s="4"/>
      <c r="FU2218" s="4"/>
      <c r="FV2218" s="4"/>
      <c r="FW2218" s="4"/>
      <c r="FX2218" s="4"/>
      <c r="FY2218" s="4"/>
      <c r="FZ2218" s="4"/>
      <c r="GA2218" s="4"/>
      <c r="GB2218" s="4"/>
      <c r="GC2218" s="4"/>
      <c r="GD2218" s="4"/>
      <c r="GE2218" s="4"/>
      <c r="GF2218" s="4"/>
      <c r="GG2218" s="4"/>
      <c r="GH2218" s="4"/>
      <c r="GI2218" s="4"/>
      <c r="GJ2218" s="4"/>
      <c r="GK2218" s="4"/>
      <c r="GL2218" s="4"/>
      <c r="GM2218" s="4"/>
      <c r="GN2218" s="4"/>
      <c r="GO2218" s="4"/>
      <c r="GP2218" s="4"/>
      <c r="GQ2218" s="4"/>
      <c r="GR2218" s="4"/>
      <c r="GS2218" s="4"/>
      <c r="GT2218" s="4"/>
      <c r="GU2218" s="4"/>
      <c r="GV2218" s="4"/>
      <c r="GW2218" s="4"/>
      <c r="GX2218" s="4"/>
      <c r="GY2218" s="4"/>
      <c r="GZ2218" s="4"/>
      <c r="HA2218" s="4"/>
      <c r="HB2218" s="4">
        <v>420</v>
      </c>
      <c r="HC2218" s="4"/>
      <c r="HD2218" s="4"/>
      <c r="HE2218" s="4"/>
    </row>
    <row r="2219">
      <c r="A2219" s="2" t="s">
        <v>10444</v>
      </c>
      <c r="B2219" s="2" t="s">
        <v>772</v>
      </c>
      <c r="C2219" s="2" t="s">
        <v>300</v>
      </c>
      <c r="D2219" s="2" t="s">
        <v>774</v>
      </c>
      <c r="E2219" s="2" t="s">
        <v>775</v>
      </c>
      <c r="F2219" s="2" t="s">
        <v>10428</v>
      </c>
      <c r="G2219" s="2" t="s">
        <v>10428</v>
      </c>
      <c r="H2219" s="2" t="s">
        <v>10428</v>
      </c>
      <c r="I2219" s="2" t="s">
        <v>10429</v>
      </c>
      <c r="J2219" s="2" t="s">
        <v>1053</v>
      </c>
      <c r="K2219" s="2" t="s">
        <v>316</v>
      </c>
      <c r="L2219" s="3">
        <v>24</v>
      </c>
      <c r="M2219" s="3">
        <v>25.2</v>
      </c>
      <c r="N2219" s="3">
        <v>49.99</v>
      </c>
      <c r="O2219" s="2" t="s">
        <v>240</v>
      </c>
      <c r="P2219" s="2" t="s">
        <v>715</v>
      </c>
      <c r="Q2219" s="2" t="s">
        <v>234</v>
      </c>
      <c r="R2219" s="2" t="s">
        <v>228</v>
      </c>
      <c r="S2219" s="2" t="s">
        <v>10430</v>
      </c>
      <c r="T2219" s="2" t="s">
        <v>228</v>
      </c>
      <c r="U2219" s="2" t="s">
        <v>1054</v>
      </c>
      <c r="V2219" s="2" t="s">
        <v>236</v>
      </c>
      <c r="W2219" s="2" t="s">
        <v>417</v>
      </c>
      <c r="X2219" s="2" t="s">
        <v>228</v>
      </c>
      <c r="Y2219" s="2" t="s">
        <v>7078</v>
      </c>
      <c r="Z2219" s="4">
        <v>28</v>
      </c>
      <c r="AA2219" s="4">
        <f>=ROUNDDOWN(0.373333333333333,0)</f>
      </c>
      <c r="AB2219" s="5">
        <v>75</v>
      </c>
      <c r="AC2219" s="2" t="s">
        <v>483</v>
      </c>
      <c r="AD2219" s="4">
        <v>840</v>
      </c>
      <c r="AE2219" s="4">
        <v>2110</v>
      </c>
      <c r="AF2219" s="6">
        <v>73</v>
      </c>
      <c r="AG2219" s="6"/>
      <c r="AH2219" s="7">
        <v>0.9677</v>
      </c>
      <c r="AI2219" s="4"/>
      <c r="AJ2219" s="4">
        <f>=ROUNDDOWN({0},0)</f>
      </c>
      <c r="AK2219" s="5"/>
      <c r="AL2219" s="2" t="s">
        <v>228</v>
      </c>
      <c r="AM2219" s="4"/>
      <c r="AN2219" s="4"/>
      <c r="AO2219" s="7"/>
      <c r="AP2219" s="4"/>
      <c r="AQ2219" s="8"/>
      <c r="AR2219" s="4"/>
      <c r="AS2219" s="8"/>
      <c r="AT2219" s="7"/>
      <c r="AU2219" s="7"/>
      <c r="AV2219" s="4"/>
      <c r="AW2219" s="8"/>
      <c r="AX2219" s="4"/>
      <c r="AY2219" s="8"/>
      <c r="AZ2219" s="7"/>
      <c r="BA2219" s="7"/>
      <c r="BB2219" s="7"/>
      <c r="BC2219" s="4" t="s">
        <v>228</v>
      </c>
      <c r="BD2219" s="8" t="s">
        <v>228</v>
      </c>
      <c r="BE2219" s="4" t="s">
        <v>228</v>
      </c>
      <c r="BF2219" s="8" t="s">
        <v>228</v>
      </c>
      <c r="BG2219" s="7" t="s">
        <v>228</v>
      </c>
      <c r="BH2219" s="7" t="s">
        <v>228</v>
      </c>
      <c r="BI2219" s="7"/>
      <c r="BJ2219" s="4">
        <v>454</v>
      </c>
      <c r="BK2219" s="8">
        <v>11505.12</v>
      </c>
      <c r="BL2219" s="2" t="s">
        <v>10445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10446</v>
      </c>
      <c r="BV2219" s="2" t="s">
        <v>228</v>
      </c>
      <c r="BW2219" s="2" t="s">
        <v>228</v>
      </c>
      <c r="BX2219" s="2" t="s">
        <v>735</v>
      </c>
      <c r="BY2219" s="2" t="s">
        <v>274</v>
      </c>
      <c r="BZ2219" s="2" t="s">
        <v>240</v>
      </c>
      <c r="CA2219" s="2" t="s">
        <v>2029</v>
      </c>
      <c r="CB2219" s="2" t="s">
        <v>10447</v>
      </c>
      <c r="CC2219" s="2" t="s">
        <v>241</v>
      </c>
      <c r="CD2219" s="2" t="s">
        <v>228</v>
      </c>
      <c r="CE2219" s="4">
        <v>28</v>
      </c>
      <c r="CF2219" s="4"/>
      <c r="CG2219" s="4"/>
      <c r="CH2219" s="4"/>
      <c r="CI2219" s="4"/>
      <c r="CJ2219" s="4"/>
      <c r="CK2219" s="4"/>
      <c r="CL2219" s="4"/>
      <c r="CM2219" s="4"/>
      <c r="CN2219" s="4"/>
      <c r="CO2219" s="4"/>
      <c r="CP2219" s="4"/>
      <c r="CQ2219" s="4"/>
      <c r="CR2219" s="4"/>
      <c r="CS2219" s="4"/>
      <c r="CT2219" s="4"/>
      <c r="CU2219" s="4"/>
      <c r="CV2219" s="4"/>
      <c r="CW2219" s="4"/>
      <c r="CX2219" s="4"/>
      <c r="CY2219" s="4"/>
      <c r="CZ2219" s="4"/>
      <c r="DA2219" s="4"/>
      <c r="DB2219" s="4"/>
      <c r="DC2219" s="4"/>
      <c r="DD2219" s="4"/>
      <c r="DE2219" s="4"/>
      <c r="DF2219" s="4"/>
      <c r="DG2219" s="4"/>
      <c r="DH2219" s="4"/>
      <c r="DI2219" s="4"/>
      <c r="DJ2219" s="4"/>
      <c r="DK2219" s="4"/>
      <c r="DL2219" s="4"/>
      <c r="DM2219" s="4"/>
      <c r="DN2219" s="4"/>
      <c r="DO2219" s="4"/>
      <c r="DP2219" s="4"/>
      <c r="DQ2219" s="4"/>
      <c r="DR2219" s="4"/>
      <c r="DS2219" s="4"/>
      <c r="DT2219" s="4"/>
      <c r="DU2219" s="4"/>
      <c r="DV2219" s="4"/>
      <c r="DW2219" s="4"/>
      <c r="DX2219" s="4"/>
      <c r="DY2219" s="4"/>
      <c r="DZ2219" s="4"/>
      <c r="EA2219" s="4"/>
      <c r="EB2219" s="4"/>
      <c r="EC2219" s="4"/>
      <c r="ED2219" s="4"/>
      <c r="EE2219" s="4"/>
      <c r="EF2219" s="4"/>
      <c r="EG2219" s="4"/>
      <c r="EH2219" s="4"/>
      <c r="EI2219" s="4"/>
      <c r="EJ2219" s="4"/>
      <c r="EK2219" s="4"/>
      <c r="EL2219" s="4"/>
      <c r="EM2219" s="4"/>
      <c r="EN2219" s="4"/>
      <c r="EO2219" s="4"/>
      <c r="EP2219" s="4"/>
      <c r="EQ2219" s="4"/>
      <c r="ER2219" s="4"/>
      <c r="ES2219" s="4"/>
      <c r="ET2219" s="4"/>
      <c r="EU2219" s="4"/>
      <c r="EV2219" s="4"/>
      <c r="EW2219" s="4"/>
      <c r="EX2219" s="4"/>
      <c r="EY2219" s="4"/>
      <c r="EZ2219" s="4"/>
      <c r="FA2219" s="4"/>
      <c r="FB2219" s="4"/>
      <c r="FC2219" s="4"/>
      <c r="FD2219" s="4"/>
      <c r="FE2219" s="4"/>
      <c r="FF2219" s="4"/>
      <c r="FG2219" s="4"/>
      <c r="FH2219" s="4"/>
      <c r="FI2219" s="4"/>
      <c r="FJ2219" s="4"/>
      <c r="FK2219" s="4"/>
      <c r="FL2219" s="4"/>
      <c r="FM2219" s="4"/>
      <c r="FN2219" s="4">
        <v>840</v>
      </c>
      <c r="FO2219" s="4"/>
      <c r="FP2219" s="4"/>
      <c r="FQ2219" s="4"/>
      <c r="FR2219" s="4"/>
      <c r="FS2219" s="4"/>
      <c r="FT2219" s="4"/>
      <c r="FU2219" s="4">
        <v>640</v>
      </c>
      <c r="FV2219" s="4"/>
      <c r="FW2219" s="4"/>
      <c r="FX2219" s="4"/>
      <c r="FY2219" s="4"/>
      <c r="FZ2219" s="4"/>
      <c r="GA2219" s="4"/>
      <c r="GB2219" s="4"/>
      <c r="GC2219" s="4"/>
      <c r="GD2219" s="4"/>
      <c r="GE2219" s="4"/>
      <c r="GF2219" s="4">
        <v>420</v>
      </c>
      <c r="GG2219" s="4"/>
      <c r="GH2219" s="4"/>
      <c r="GI2219" s="4"/>
      <c r="GJ2219" s="4"/>
      <c r="GK2219" s="4"/>
      <c r="GL2219" s="4"/>
      <c r="GM2219" s="4"/>
      <c r="GN2219" s="4"/>
      <c r="GO2219" s="4"/>
      <c r="GP2219" s="4"/>
      <c r="GQ2219" s="4"/>
      <c r="GR2219" s="4"/>
      <c r="GS2219" s="4"/>
      <c r="GT2219" s="4"/>
      <c r="GU2219" s="4"/>
      <c r="GV2219" s="4"/>
      <c r="GW2219" s="4"/>
      <c r="GX2219" s="4"/>
      <c r="GY2219" s="4"/>
      <c r="GZ2219" s="4"/>
      <c r="HA2219" s="4"/>
      <c r="HB2219" s="4">
        <v>210</v>
      </c>
      <c r="HC2219" s="4"/>
      <c r="HD2219" s="4"/>
      <c r="HE2219" s="4"/>
    </row>
    <row r="2220">
      <c r="A2220" s="2" t="s">
        <v>10448</v>
      </c>
      <c r="B2220" s="2" t="s">
        <v>866</v>
      </c>
      <c r="C2220" s="2" t="s">
        <v>300</v>
      </c>
      <c r="D2220" s="2" t="s">
        <v>867</v>
      </c>
      <c r="E2220" s="2" t="s">
        <v>877</v>
      </c>
      <c r="F2220" s="2" t="s">
        <v>10449</v>
      </c>
      <c r="G2220" s="2" t="s">
        <v>10449</v>
      </c>
      <c r="H2220" s="2" t="s">
        <v>10449</v>
      </c>
      <c r="I2220" s="2" t="s">
        <v>10450</v>
      </c>
      <c r="J2220" s="2" t="s">
        <v>840</v>
      </c>
      <c r="K2220" s="2" t="s">
        <v>265</v>
      </c>
      <c r="L2220" s="3">
        <v>36.42</v>
      </c>
      <c r="M2220" s="3">
        <v>38.24</v>
      </c>
      <c r="N2220" s="3">
        <v>76.49</v>
      </c>
      <c r="O2220" s="2" t="s">
        <v>240</v>
      </c>
      <c r="P2220" s="2" t="s">
        <v>1012</v>
      </c>
      <c r="Q2220" s="2" t="s">
        <v>234</v>
      </c>
      <c r="R2220" s="2" t="s">
        <v>228</v>
      </c>
      <c r="S2220" s="2" t="s">
        <v>228</v>
      </c>
      <c r="T2220" s="2" t="s">
        <v>228</v>
      </c>
      <c r="U2220" s="2" t="s">
        <v>416</v>
      </c>
      <c r="V2220" s="2" t="s">
        <v>351</v>
      </c>
      <c r="W2220" s="2" t="s">
        <v>351</v>
      </c>
      <c r="X2220" s="2" t="s">
        <v>463</v>
      </c>
      <c r="Y2220" s="2" t="s">
        <v>1443</v>
      </c>
      <c r="Z2220" s="4">
        <v>96</v>
      </c>
      <c r="AA2220" s="4">
        <f>=ROUNDDOWN(48,0)</f>
      </c>
      <c r="AB2220" s="5">
        <v>2</v>
      </c>
      <c r="AC2220" s="2" t="s">
        <v>228</v>
      </c>
      <c r="AD2220" s="4"/>
      <c r="AE2220" s="4"/>
      <c r="AF2220" s="6">
        <v>63</v>
      </c>
      <c r="AG2220" s="6"/>
      <c r="AH2220" s="7">
        <v>1</v>
      </c>
      <c r="AI2220" s="4"/>
      <c r="AJ2220" s="4">
        <f>=ROUNDDOWN({0},0)</f>
      </c>
      <c r="AK2220" s="5"/>
      <c r="AL2220" s="2" t="s">
        <v>228</v>
      </c>
      <c r="AM2220" s="4"/>
      <c r="AN2220" s="4"/>
      <c r="AO2220" s="7"/>
      <c r="AP2220" s="4"/>
      <c r="AQ2220" s="8"/>
      <c r="AR2220" s="4"/>
      <c r="AS2220" s="8"/>
      <c r="AT2220" s="7"/>
      <c r="AU2220" s="7"/>
      <c r="AV2220" s="4"/>
      <c r="AW2220" s="8"/>
      <c r="AX2220" s="4"/>
      <c r="AY2220" s="8"/>
      <c r="AZ2220" s="7"/>
      <c r="BA2220" s="7"/>
      <c r="BB2220" s="7"/>
      <c r="BC2220" s="4"/>
      <c r="BD2220" s="8"/>
      <c r="BE2220" s="4"/>
      <c r="BF2220" s="8"/>
      <c r="BG2220" s="7"/>
      <c r="BH2220" s="7"/>
      <c r="BI2220" s="7"/>
      <c r="BJ2220" s="4">
        <v>13</v>
      </c>
      <c r="BK2220" s="8">
        <v>541.62</v>
      </c>
      <c r="BL2220" s="2" t="s">
        <v>5045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10451</v>
      </c>
      <c r="BV2220" s="2" t="s">
        <v>228</v>
      </c>
      <c r="BW2220" s="2" t="s">
        <v>228</v>
      </c>
      <c r="BX2220" s="2" t="s">
        <v>273</v>
      </c>
      <c r="BY2220" s="2" t="s">
        <v>274</v>
      </c>
      <c r="BZ2220" s="2" t="s">
        <v>240</v>
      </c>
      <c r="CA2220" s="2" t="s">
        <v>2222</v>
      </c>
      <c r="CB2220" s="2" t="s">
        <v>1160</v>
      </c>
      <c r="CC2220" s="2" t="s">
        <v>241</v>
      </c>
      <c r="CD2220" s="2" t="s">
        <v>228</v>
      </c>
      <c r="CE2220" s="4">
        <v>96</v>
      </c>
      <c r="CF2220" s="4"/>
      <c r="CG2220" s="4"/>
      <c r="CH2220" s="4"/>
      <c r="CI2220" s="4"/>
      <c r="CJ2220" s="4"/>
      <c r="CK2220" s="4"/>
      <c r="CL2220" s="4"/>
      <c r="CM2220" s="4"/>
      <c r="CN2220" s="4"/>
      <c r="CO2220" s="4"/>
      <c r="CP2220" s="4"/>
      <c r="CQ2220" s="4"/>
      <c r="CR2220" s="4"/>
      <c r="CS2220" s="4"/>
      <c r="CT2220" s="4"/>
      <c r="CU2220" s="4"/>
      <c r="CV2220" s="4"/>
      <c r="CW2220" s="4"/>
      <c r="CX2220" s="4"/>
      <c r="CY2220" s="4"/>
      <c r="CZ2220" s="4"/>
      <c r="DA2220" s="4"/>
      <c r="DB2220" s="4"/>
      <c r="DC2220" s="4"/>
      <c r="DD2220" s="4"/>
      <c r="DE2220" s="4"/>
      <c r="DF2220" s="4"/>
      <c r="DG2220" s="4"/>
      <c r="DH2220" s="4"/>
      <c r="DI2220" s="4"/>
      <c r="DJ2220" s="4"/>
      <c r="DK2220" s="4"/>
      <c r="DL2220" s="4"/>
      <c r="DM2220" s="4"/>
      <c r="DN2220" s="4"/>
      <c r="DO2220" s="4"/>
      <c r="DP2220" s="4"/>
      <c r="DQ2220" s="4"/>
      <c r="DR2220" s="4"/>
      <c r="DS2220" s="4"/>
      <c r="DT2220" s="4"/>
      <c r="DU2220" s="4"/>
      <c r="DV2220" s="4"/>
      <c r="DW2220" s="4"/>
      <c r="DX2220" s="4"/>
      <c r="DY2220" s="4"/>
      <c r="DZ2220" s="4"/>
      <c r="EA2220" s="4"/>
      <c r="EB2220" s="4"/>
      <c r="EC2220" s="4"/>
      <c r="ED2220" s="4"/>
      <c r="EE2220" s="4"/>
      <c r="EF2220" s="4"/>
      <c r="EG2220" s="4"/>
      <c r="EH2220" s="4"/>
      <c r="EI2220" s="4"/>
      <c r="EJ2220" s="4"/>
      <c r="EK2220" s="4"/>
      <c r="EL2220" s="4"/>
      <c r="EM2220" s="4"/>
      <c r="EN2220" s="4"/>
      <c r="EO2220" s="4"/>
      <c r="EP2220" s="4"/>
      <c r="EQ2220" s="4"/>
      <c r="ER2220" s="4"/>
      <c r="ES2220" s="4"/>
      <c r="ET2220" s="4"/>
      <c r="EU2220" s="4"/>
      <c r="EV2220" s="4"/>
      <c r="EW2220" s="4"/>
      <c r="EX2220" s="4"/>
      <c r="EY2220" s="4"/>
      <c r="EZ2220" s="4"/>
      <c r="FA2220" s="4"/>
      <c r="FB2220" s="4"/>
      <c r="FC2220" s="4"/>
      <c r="FD2220" s="4"/>
      <c r="FE2220" s="4"/>
      <c r="FF2220" s="4"/>
      <c r="FG2220" s="4"/>
      <c r="FH2220" s="4"/>
      <c r="FI2220" s="4"/>
      <c r="FJ2220" s="4"/>
      <c r="FK2220" s="4"/>
      <c r="FL2220" s="4"/>
      <c r="FM2220" s="4"/>
      <c r="FN2220" s="4"/>
      <c r="FO2220" s="4"/>
      <c r="FP2220" s="4"/>
      <c r="FQ2220" s="4"/>
      <c r="FR2220" s="4"/>
      <c r="FS2220" s="4"/>
      <c r="FT2220" s="4"/>
      <c r="FU2220" s="4"/>
      <c r="FV2220" s="4"/>
      <c r="FW2220" s="4"/>
      <c r="FX2220" s="4"/>
      <c r="FY2220" s="4"/>
      <c r="FZ2220" s="4"/>
      <c r="GA2220" s="4"/>
      <c r="GB2220" s="4"/>
      <c r="GC2220" s="4"/>
      <c r="GD2220" s="4"/>
      <c r="GE2220" s="4"/>
      <c r="GF2220" s="4"/>
      <c r="GG2220" s="4"/>
      <c r="GH2220" s="4"/>
      <c r="GI2220" s="4"/>
      <c r="GJ2220" s="4"/>
      <c r="GK2220" s="4"/>
      <c r="GL2220" s="4"/>
      <c r="GM2220" s="4"/>
      <c r="GN2220" s="4"/>
      <c r="GO2220" s="4"/>
      <c r="GP2220" s="4"/>
      <c r="GQ2220" s="4"/>
      <c r="GR2220" s="4"/>
      <c r="GS2220" s="4"/>
      <c r="GT2220" s="4"/>
      <c r="GU2220" s="4"/>
      <c r="GV2220" s="4"/>
      <c r="GW2220" s="4"/>
      <c r="GX2220" s="4"/>
      <c r="GY2220" s="4"/>
      <c r="GZ2220" s="4"/>
      <c r="HA2220" s="4"/>
      <c r="HB2220" s="4"/>
      <c r="HC2220" s="4"/>
      <c r="HD2220" s="4"/>
      <c r="HE2220" s="4"/>
    </row>
    <row r="2221">
      <c r="A2221" s="2" t="s">
        <v>10452</v>
      </c>
      <c r="B2221" s="2" t="s">
        <v>866</v>
      </c>
      <c r="C2221" s="2" t="s">
        <v>885</v>
      </c>
      <c r="D2221" s="2" t="s">
        <v>1880</v>
      </c>
      <c r="E2221" s="2" t="s">
        <v>868</v>
      </c>
      <c r="F2221" s="2" t="s">
        <v>10453</v>
      </c>
      <c r="G2221" s="2" t="s">
        <v>10453</v>
      </c>
      <c r="H2221" s="2" t="s">
        <v>10453</v>
      </c>
      <c r="I2221" s="2" t="s">
        <v>10454</v>
      </c>
      <c r="J2221" s="2" t="s">
        <v>840</v>
      </c>
      <c r="K2221" s="2" t="s">
        <v>265</v>
      </c>
      <c r="L2221" s="3">
        <v>32</v>
      </c>
      <c r="M2221" s="3">
        <v>33.6</v>
      </c>
      <c r="N2221" s="3">
        <v>69.99</v>
      </c>
      <c r="O2221" s="2" t="s">
        <v>240</v>
      </c>
      <c r="P2221" s="2" t="s">
        <v>233</v>
      </c>
      <c r="Q2221" s="2" t="s">
        <v>234</v>
      </c>
      <c r="R2221" s="2" t="s">
        <v>228</v>
      </c>
      <c r="S2221" s="2" t="s">
        <v>228</v>
      </c>
      <c r="T2221" s="2" t="s">
        <v>228</v>
      </c>
      <c r="U2221" s="2" t="s">
        <v>416</v>
      </c>
      <c r="V2221" s="2" t="s">
        <v>859</v>
      </c>
      <c r="W2221" s="2" t="s">
        <v>4981</v>
      </c>
      <c r="X2221" s="2" t="s">
        <v>417</v>
      </c>
      <c r="Y2221" s="2" t="s">
        <v>5922</v>
      </c>
      <c r="Z2221" s="4">
        <v>81</v>
      </c>
      <c r="AA2221" s="4">
        <f>=ROUNDDOWN(90,0)</f>
      </c>
      <c r="AB2221" s="5">
        <v>0.9</v>
      </c>
      <c r="AC2221" s="2" t="s">
        <v>228</v>
      </c>
      <c r="AD2221" s="4"/>
      <c r="AE2221" s="4"/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228</v>
      </c>
      <c r="AM2221" s="4"/>
      <c r="AN2221" s="4"/>
      <c r="AO2221" s="7"/>
      <c r="AP2221" s="4"/>
      <c r="AQ2221" s="8"/>
      <c r="AR2221" s="4"/>
      <c r="AS2221" s="8"/>
      <c r="AT2221" s="7"/>
      <c r="AU2221" s="7"/>
      <c r="AV2221" s="4"/>
      <c r="AW2221" s="8"/>
      <c r="AX2221" s="4"/>
      <c r="AY2221" s="8"/>
      <c r="AZ2221" s="7"/>
      <c r="BA2221" s="7"/>
      <c r="BB2221" s="7"/>
      <c r="BC2221" s="4" t="s">
        <v>228</v>
      </c>
      <c r="BD2221" s="8" t="s">
        <v>228</v>
      </c>
      <c r="BE2221" s="4" t="s">
        <v>228</v>
      </c>
      <c r="BF2221" s="8" t="s">
        <v>228</v>
      </c>
      <c r="BG2221" s="7" t="s">
        <v>228</v>
      </c>
      <c r="BH2221" s="7" t="s">
        <v>228</v>
      </c>
      <c r="BI2221" s="7"/>
      <c r="BJ2221" s="4">
        <v>3</v>
      </c>
      <c r="BK2221" s="8">
        <v>104.83</v>
      </c>
      <c r="BL2221" s="2" t="s">
        <v>2800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10455</v>
      </c>
      <c r="BV2221" s="2" t="s">
        <v>228</v>
      </c>
      <c r="BW2221" s="2" t="s">
        <v>228</v>
      </c>
      <c r="BX2221" s="2" t="s">
        <v>273</v>
      </c>
      <c r="BY2221" s="2" t="s">
        <v>274</v>
      </c>
      <c r="BZ2221" s="2" t="s">
        <v>240</v>
      </c>
      <c r="CA2221" s="2" t="s">
        <v>6970</v>
      </c>
      <c r="CB2221" s="2" t="s">
        <v>228</v>
      </c>
      <c r="CC2221" s="2" t="s">
        <v>241</v>
      </c>
      <c r="CD2221" s="2" t="s">
        <v>228</v>
      </c>
      <c r="CE2221" s="4"/>
      <c r="CF2221" s="4">
        <v>81</v>
      </c>
      <c r="CG2221" s="4"/>
      <c r="CH2221" s="4"/>
      <c r="CI2221" s="4"/>
      <c r="CJ2221" s="4"/>
      <c r="CK2221" s="4"/>
      <c r="CL2221" s="4"/>
      <c r="CM2221" s="4"/>
      <c r="CN2221" s="4"/>
      <c r="CO2221" s="4"/>
      <c r="CP2221" s="4"/>
      <c r="CQ2221" s="4"/>
      <c r="CR2221" s="4"/>
      <c r="CS2221" s="4"/>
      <c r="CT2221" s="4"/>
      <c r="CU2221" s="4"/>
      <c r="CV2221" s="4"/>
      <c r="CW2221" s="4"/>
      <c r="CX2221" s="4"/>
      <c r="CY2221" s="4"/>
      <c r="CZ2221" s="4"/>
      <c r="DA2221" s="4"/>
      <c r="DB2221" s="4"/>
      <c r="DC2221" s="4"/>
      <c r="DD2221" s="4"/>
      <c r="DE2221" s="4"/>
      <c r="DF2221" s="4"/>
      <c r="DG2221" s="4"/>
      <c r="DH2221" s="4"/>
      <c r="DI2221" s="4"/>
      <c r="DJ2221" s="4"/>
      <c r="DK2221" s="4"/>
      <c r="DL2221" s="4"/>
      <c r="DM2221" s="4"/>
      <c r="DN2221" s="4"/>
      <c r="DO2221" s="4"/>
      <c r="DP2221" s="4"/>
      <c r="DQ2221" s="4"/>
      <c r="DR2221" s="4"/>
      <c r="DS2221" s="4"/>
      <c r="DT2221" s="4"/>
      <c r="DU2221" s="4"/>
      <c r="DV2221" s="4"/>
      <c r="DW2221" s="4"/>
      <c r="DX2221" s="4"/>
      <c r="DY2221" s="4"/>
      <c r="DZ2221" s="4"/>
      <c r="EA2221" s="4"/>
      <c r="EB2221" s="4"/>
      <c r="EC2221" s="4"/>
      <c r="ED2221" s="4"/>
      <c r="EE2221" s="4"/>
      <c r="EF2221" s="4"/>
      <c r="EG2221" s="4"/>
      <c r="EH2221" s="4"/>
      <c r="EI2221" s="4"/>
      <c r="EJ2221" s="4"/>
      <c r="EK2221" s="4"/>
      <c r="EL2221" s="4"/>
      <c r="EM2221" s="4"/>
      <c r="EN2221" s="4"/>
      <c r="EO2221" s="4"/>
      <c r="EP2221" s="4"/>
      <c r="EQ2221" s="4"/>
      <c r="ER2221" s="4"/>
      <c r="ES2221" s="4"/>
      <c r="ET2221" s="4"/>
      <c r="EU2221" s="4"/>
      <c r="EV2221" s="4"/>
      <c r="EW2221" s="4"/>
      <c r="EX2221" s="4"/>
      <c r="EY2221" s="4"/>
      <c r="EZ2221" s="4"/>
      <c r="FA2221" s="4"/>
      <c r="FB2221" s="4"/>
      <c r="FC2221" s="4"/>
      <c r="FD2221" s="4"/>
      <c r="FE2221" s="4"/>
      <c r="FF2221" s="4"/>
      <c r="FG2221" s="4"/>
      <c r="FH2221" s="4"/>
      <c r="FI2221" s="4"/>
      <c r="FJ2221" s="4"/>
      <c r="FK2221" s="4"/>
      <c r="FL2221" s="4"/>
      <c r="FM2221" s="4"/>
      <c r="FN2221" s="4"/>
      <c r="FO2221" s="4"/>
      <c r="FP2221" s="4"/>
      <c r="FQ2221" s="4"/>
      <c r="FR2221" s="4"/>
      <c r="FS2221" s="4"/>
      <c r="FT2221" s="4"/>
      <c r="FU2221" s="4"/>
      <c r="FV2221" s="4"/>
      <c r="FW2221" s="4"/>
      <c r="FX2221" s="4"/>
      <c r="FY2221" s="4"/>
      <c r="FZ2221" s="4"/>
      <c r="GA2221" s="4"/>
      <c r="GB2221" s="4"/>
      <c r="GC2221" s="4"/>
      <c r="GD2221" s="4"/>
      <c r="GE2221" s="4"/>
      <c r="GF2221" s="4"/>
      <c r="GG2221" s="4"/>
      <c r="GH2221" s="4"/>
      <c r="GI2221" s="4"/>
      <c r="GJ2221" s="4"/>
      <c r="GK2221" s="4"/>
      <c r="GL2221" s="4"/>
      <c r="GM2221" s="4"/>
      <c r="GN2221" s="4"/>
      <c r="GO2221" s="4"/>
      <c r="GP2221" s="4"/>
      <c r="GQ2221" s="4"/>
      <c r="GR2221" s="4"/>
      <c r="GS2221" s="4"/>
      <c r="GT2221" s="4"/>
      <c r="GU2221" s="4"/>
      <c r="GV2221" s="4"/>
      <c r="GW2221" s="4"/>
      <c r="GX2221" s="4"/>
      <c r="GY2221" s="4"/>
      <c r="GZ2221" s="4"/>
      <c r="HA2221" s="4"/>
      <c r="HB2221" s="4"/>
      <c r="HC2221" s="4"/>
      <c r="HD2221" s="4"/>
      <c r="HE2221" s="4"/>
    </row>
    <row r="2222">
      <c r="A2222" s="2" t="s">
        <v>10456</v>
      </c>
      <c r="B2222" s="2" t="s">
        <v>866</v>
      </c>
      <c r="C2222" s="2" t="s">
        <v>885</v>
      </c>
      <c r="D2222" s="2" t="s">
        <v>1880</v>
      </c>
      <c r="E2222" s="2" t="s">
        <v>868</v>
      </c>
      <c r="F2222" s="2" t="s">
        <v>10453</v>
      </c>
      <c r="G2222" s="2" t="s">
        <v>10453</v>
      </c>
      <c r="H2222" s="2" t="s">
        <v>10453</v>
      </c>
      <c r="I2222" s="2" t="s">
        <v>10457</v>
      </c>
      <c r="J2222" s="2" t="s">
        <v>840</v>
      </c>
      <c r="K2222" s="2" t="s">
        <v>7127</v>
      </c>
      <c r="L2222" s="3">
        <v>32</v>
      </c>
      <c r="M2222" s="3">
        <v>33.6</v>
      </c>
      <c r="N2222" s="3">
        <v>69.99</v>
      </c>
      <c r="O2222" s="2" t="s">
        <v>240</v>
      </c>
      <c r="P2222" s="2" t="s">
        <v>233</v>
      </c>
      <c r="Q2222" s="2" t="s">
        <v>234</v>
      </c>
      <c r="R2222" s="2" t="s">
        <v>228</v>
      </c>
      <c r="S2222" s="2" t="s">
        <v>228</v>
      </c>
      <c r="T2222" s="2" t="s">
        <v>228</v>
      </c>
      <c r="U2222" s="2" t="s">
        <v>416</v>
      </c>
      <c r="V2222" s="2" t="s">
        <v>859</v>
      </c>
      <c r="W2222" s="2" t="s">
        <v>4981</v>
      </c>
      <c r="X2222" s="2" t="s">
        <v>417</v>
      </c>
      <c r="Y2222" s="2" t="s">
        <v>5922</v>
      </c>
      <c r="Z2222" s="4">
        <v>61</v>
      </c>
      <c r="AA2222" s="4">
        <f>=ROUNDDOWN(15.25,0)</f>
      </c>
      <c r="AB2222" s="5">
        <v>4</v>
      </c>
      <c r="AC2222" s="2" t="s">
        <v>4983</v>
      </c>
      <c r="AD2222" s="4">
        <v>100</v>
      </c>
      <c r="AE2222" s="4">
        <v>100</v>
      </c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228</v>
      </c>
      <c r="AM2222" s="4"/>
      <c r="AN2222" s="4"/>
      <c r="AO2222" s="7"/>
      <c r="AP2222" s="4"/>
      <c r="AQ2222" s="8"/>
      <c r="AR2222" s="4"/>
      <c r="AS2222" s="8"/>
      <c r="AT2222" s="7"/>
      <c r="AU2222" s="7"/>
      <c r="AV2222" s="4"/>
      <c r="AW2222" s="8"/>
      <c r="AX2222" s="4"/>
      <c r="AY2222" s="8"/>
      <c r="AZ2222" s="7"/>
      <c r="BA2222" s="7"/>
      <c r="BB2222" s="7"/>
      <c r="BC2222" s="4" t="s">
        <v>228</v>
      </c>
      <c r="BD2222" s="8" t="s">
        <v>228</v>
      </c>
      <c r="BE2222" s="4" t="s">
        <v>228</v>
      </c>
      <c r="BF2222" s="8" t="s">
        <v>228</v>
      </c>
      <c r="BG2222" s="7" t="s">
        <v>228</v>
      </c>
      <c r="BH2222" s="7" t="s">
        <v>228</v>
      </c>
      <c r="BI2222" s="7"/>
      <c r="BJ2222" s="4">
        <v>15</v>
      </c>
      <c r="BK2222" s="8">
        <v>492.57</v>
      </c>
      <c r="BL2222" s="2" t="s">
        <v>2800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10458</v>
      </c>
      <c r="BV2222" s="2" t="s">
        <v>228</v>
      </c>
      <c r="BW2222" s="2" t="s">
        <v>228</v>
      </c>
      <c r="BX2222" s="2" t="s">
        <v>273</v>
      </c>
      <c r="BY2222" s="2" t="s">
        <v>274</v>
      </c>
      <c r="BZ2222" s="2" t="s">
        <v>240</v>
      </c>
      <c r="CA2222" s="2" t="s">
        <v>6970</v>
      </c>
      <c r="CB2222" s="2" t="s">
        <v>228</v>
      </c>
      <c r="CC2222" s="2" t="s">
        <v>241</v>
      </c>
      <c r="CD2222" s="2" t="s">
        <v>228</v>
      </c>
      <c r="CE2222" s="4"/>
      <c r="CF2222" s="4">
        <v>61</v>
      </c>
      <c r="CG2222" s="4"/>
      <c r="CH2222" s="4"/>
      <c r="CI2222" s="4"/>
      <c r="CJ2222" s="4"/>
      <c r="CK2222" s="4"/>
      <c r="CL2222" s="4"/>
      <c r="CM2222" s="4"/>
      <c r="CN2222" s="4"/>
      <c r="CO2222" s="4"/>
      <c r="CP2222" s="4"/>
      <c r="CQ2222" s="4"/>
      <c r="CR2222" s="4"/>
      <c r="CS2222" s="4"/>
      <c r="CT2222" s="4"/>
      <c r="CU2222" s="4"/>
      <c r="CV2222" s="4"/>
      <c r="CW2222" s="4"/>
      <c r="CX2222" s="4"/>
      <c r="CY2222" s="4"/>
      <c r="CZ2222" s="4"/>
      <c r="DA2222" s="4"/>
      <c r="DB2222" s="4"/>
      <c r="DC2222" s="4"/>
      <c r="DD2222" s="4"/>
      <c r="DE2222" s="4"/>
      <c r="DF2222" s="4"/>
      <c r="DG2222" s="4"/>
      <c r="DH2222" s="4"/>
      <c r="DI2222" s="4"/>
      <c r="DJ2222" s="4"/>
      <c r="DK2222" s="4"/>
      <c r="DL2222" s="4"/>
      <c r="DM2222" s="4"/>
      <c r="DN2222" s="4"/>
      <c r="DO2222" s="4"/>
      <c r="DP2222" s="4"/>
      <c r="DQ2222" s="4"/>
      <c r="DR2222" s="4"/>
      <c r="DS2222" s="4"/>
      <c r="DT2222" s="4"/>
      <c r="DU2222" s="4"/>
      <c r="DV2222" s="4"/>
      <c r="DW2222" s="4"/>
      <c r="DX2222" s="4"/>
      <c r="DY2222" s="4"/>
      <c r="DZ2222" s="4"/>
      <c r="EA2222" s="4"/>
      <c r="EB2222" s="4"/>
      <c r="EC2222" s="4"/>
      <c r="ED2222" s="4"/>
      <c r="EE2222" s="4"/>
      <c r="EF2222" s="4"/>
      <c r="EG2222" s="4"/>
      <c r="EH2222" s="4"/>
      <c r="EI2222" s="4"/>
      <c r="EJ2222" s="4"/>
      <c r="EK2222" s="4"/>
      <c r="EL2222" s="4"/>
      <c r="EM2222" s="4"/>
      <c r="EN2222" s="4">
        <v>100</v>
      </c>
      <c r="EO2222" s="4"/>
      <c r="EP2222" s="4"/>
      <c r="EQ2222" s="4"/>
      <c r="ER2222" s="4"/>
      <c r="ES2222" s="4"/>
      <c r="ET2222" s="4"/>
      <c r="EU2222" s="4"/>
      <c r="EV2222" s="4"/>
      <c r="EW2222" s="4"/>
      <c r="EX2222" s="4"/>
      <c r="EY2222" s="4"/>
      <c r="EZ2222" s="4"/>
      <c r="FA2222" s="4"/>
      <c r="FB2222" s="4"/>
      <c r="FC2222" s="4"/>
      <c r="FD2222" s="4"/>
      <c r="FE2222" s="4"/>
      <c r="FF2222" s="4"/>
      <c r="FG2222" s="4"/>
      <c r="FH2222" s="4"/>
      <c r="FI2222" s="4"/>
      <c r="FJ2222" s="4"/>
      <c r="FK2222" s="4"/>
      <c r="FL2222" s="4"/>
      <c r="FM2222" s="4"/>
      <c r="FN2222" s="4"/>
      <c r="FO2222" s="4"/>
      <c r="FP2222" s="4"/>
      <c r="FQ2222" s="4"/>
      <c r="FR2222" s="4"/>
      <c r="FS2222" s="4"/>
      <c r="FT2222" s="4"/>
      <c r="FU2222" s="4"/>
      <c r="FV2222" s="4"/>
      <c r="FW2222" s="4"/>
      <c r="FX2222" s="4"/>
      <c r="FY2222" s="4"/>
      <c r="FZ2222" s="4"/>
      <c r="GA2222" s="4"/>
      <c r="GB2222" s="4"/>
      <c r="GC2222" s="4"/>
      <c r="GD2222" s="4"/>
      <c r="GE2222" s="4"/>
      <c r="GF2222" s="4"/>
      <c r="GG2222" s="4"/>
      <c r="GH2222" s="4"/>
      <c r="GI2222" s="4"/>
      <c r="GJ2222" s="4"/>
      <c r="GK2222" s="4"/>
      <c r="GL2222" s="4"/>
      <c r="GM2222" s="4"/>
      <c r="GN2222" s="4"/>
      <c r="GO2222" s="4"/>
      <c r="GP2222" s="4"/>
      <c r="GQ2222" s="4"/>
      <c r="GR2222" s="4"/>
      <c r="GS2222" s="4"/>
      <c r="GT2222" s="4"/>
      <c r="GU2222" s="4"/>
      <c r="GV2222" s="4"/>
      <c r="GW2222" s="4"/>
      <c r="GX2222" s="4"/>
      <c r="GY2222" s="4"/>
      <c r="GZ2222" s="4"/>
      <c r="HA2222" s="4"/>
      <c r="HB2222" s="4"/>
      <c r="HC2222" s="4"/>
      <c r="HD2222" s="4"/>
      <c r="HE2222" s="4"/>
    </row>
    <row r="2223">
      <c r="A2223" s="2" t="s">
        <v>10459</v>
      </c>
      <c r="B2223" s="2" t="s">
        <v>258</v>
      </c>
      <c r="C2223" s="2" t="s">
        <v>300</v>
      </c>
      <c r="D2223" s="2" t="s">
        <v>516</v>
      </c>
      <c r="E2223" s="2" t="s">
        <v>9546</v>
      </c>
      <c r="F2223" s="2" t="s">
        <v>10460</v>
      </c>
      <c r="G2223" s="2" t="s">
        <v>10460</v>
      </c>
      <c r="H2223" s="2" t="s">
        <v>10460</v>
      </c>
      <c r="I2223" s="2" t="s">
        <v>10461</v>
      </c>
      <c r="J2223" s="2" t="s">
        <v>294</v>
      </c>
      <c r="K2223" s="2" t="s">
        <v>1478</v>
      </c>
      <c r="L2223" s="3">
        <v>15</v>
      </c>
      <c r="M2223" s="3">
        <v>15.75</v>
      </c>
      <c r="N2223" s="3">
        <v>34.99</v>
      </c>
      <c r="O2223" s="2" t="s">
        <v>240</v>
      </c>
      <c r="P2223" s="2" t="s">
        <v>233</v>
      </c>
      <c r="Q2223" s="2" t="s">
        <v>234</v>
      </c>
      <c r="R2223" s="2" t="s">
        <v>228</v>
      </c>
      <c r="S2223" s="2" t="s">
        <v>10462</v>
      </c>
      <c r="T2223" s="2" t="s">
        <v>415</v>
      </c>
      <c r="U2223" s="2" t="s">
        <v>416</v>
      </c>
      <c r="V2223" s="2" t="s">
        <v>236</v>
      </c>
      <c r="W2223" s="2" t="s">
        <v>269</v>
      </c>
      <c r="X2223" s="2" t="s">
        <v>309</v>
      </c>
      <c r="Y2223" s="2" t="s">
        <v>2159</v>
      </c>
      <c r="Z2223" s="4">
        <v>163</v>
      </c>
      <c r="AA2223" s="4">
        <f>=ROUNDDOWN(32.6,0)</f>
      </c>
      <c r="AB2223" s="5">
        <v>5</v>
      </c>
      <c r="AC2223" s="2" t="s">
        <v>228</v>
      </c>
      <c r="AD2223" s="4"/>
      <c r="AE2223" s="4"/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228</v>
      </c>
      <c r="AM2223" s="4"/>
      <c r="AN2223" s="4"/>
      <c r="AO2223" s="7"/>
      <c r="AP2223" s="4"/>
      <c r="AQ2223" s="8"/>
      <c r="AR2223" s="4"/>
      <c r="AS2223" s="8"/>
      <c r="AT2223" s="7"/>
      <c r="AU2223" s="7"/>
      <c r="AV2223" s="4" t="s">
        <v>228</v>
      </c>
      <c r="AW2223" s="8" t="s">
        <v>228</v>
      </c>
      <c r="AX2223" s="4" t="s">
        <v>228</v>
      </c>
      <c r="AY2223" s="8" t="s">
        <v>228</v>
      </c>
      <c r="AZ2223" s="7" t="s">
        <v>228</v>
      </c>
      <c r="BA2223" s="7" t="s">
        <v>228</v>
      </c>
      <c r="BB2223" s="7"/>
      <c r="BC2223" s="4" t="s">
        <v>228</v>
      </c>
      <c r="BD2223" s="8" t="s">
        <v>228</v>
      </c>
      <c r="BE2223" s="4" t="s">
        <v>228</v>
      </c>
      <c r="BF2223" s="8" t="s">
        <v>228</v>
      </c>
      <c r="BG2223" s="7" t="s">
        <v>228</v>
      </c>
      <c r="BH2223" s="7" t="s">
        <v>228</v>
      </c>
      <c r="BI2223" s="7"/>
      <c r="BJ2223" s="4">
        <v>5</v>
      </c>
      <c r="BK2223" s="8">
        <v>82.7</v>
      </c>
      <c r="BL2223" s="2" t="s">
        <v>708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10463</v>
      </c>
      <c r="BV2223" s="2" t="s">
        <v>228</v>
      </c>
      <c r="BW2223" s="2" t="s">
        <v>228</v>
      </c>
      <c r="BX2223" s="2" t="s">
        <v>273</v>
      </c>
      <c r="BY2223" s="2" t="s">
        <v>274</v>
      </c>
      <c r="BZ2223" s="2" t="s">
        <v>240</v>
      </c>
      <c r="CA2223" s="2" t="s">
        <v>3438</v>
      </c>
      <c r="CB2223" s="2" t="s">
        <v>228</v>
      </c>
      <c r="CC2223" s="2" t="s">
        <v>241</v>
      </c>
      <c r="CD2223" s="2" t="s">
        <v>228</v>
      </c>
      <c r="CE2223" s="4">
        <v>163</v>
      </c>
      <c r="CF2223" s="4"/>
      <c r="CG2223" s="4"/>
      <c r="CH2223" s="4"/>
      <c r="CI2223" s="4"/>
      <c r="CJ2223" s="4"/>
      <c r="CK2223" s="4"/>
      <c r="CL2223" s="4"/>
      <c r="CM2223" s="4"/>
      <c r="CN2223" s="4"/>
      <c r="CO2223" s="4"/>
      <c r="CP2223" s="4"/>
      <c r="CQ2223" s="4"/>
      <c r="CR2223" s="4"/>
      <c r="CS2223" s="4"/>
      <c r="CT2223" s="4"/>
      <c r="CU2223" s="4"/>
      <c r="CV2223" s="4"/>
      <c r="CW2223" s="4"/>
      <c r="CX2223" s="4"/>
      <c r="CY2223" s="4"/>
      <c r="CZ2223" s="4"/>
      <c r="DA2223" s="4"/>
      <c r="DB2223" s="4"/>
      <c r="DC2223" s="4"/>
      <c r="DD2223" s="4"/>
      <c r="DE2223" s="4"/>
      <c r="DF2223" s="4"/>
      <c r="DG2223" s="4"/>
      <c r="DH2223" s="4"/>
      <c r="DI2223" s="4"/>
      <c r="DJ2223" s="4"/>
      <c r="DK2223" s="4"/>
      <c r="DL2223" s="4"/>
      <c r="DM2223" s="4"/>
      <c r="DN2223" s="4"/>
      <c r="DO2223" s="4"/>
      <c r="DP2223" s="4"/>
      <c r="DQ2223" s="4"/>
      <c r="DR2223" s="4"/>
      <c r="DS2223" s="4"/>
      <c r="DT2223" s="4"/>
      <c r="DU2223" s="4"/>
      <c r="DV2223" s="4"/>
      <c r="DW2223" s="4"/>
      <c r="DX2223" s="4"/>
      <c r="DY2223" s="4"/>
      <c r="DZ2223" s="4"/>
      <c r="EA2223" s="4"/>
      <c r="EB2223" s="4"/>
      <c r="EC2223" s="4"/>
      <c r="ED2223" s="4"/>
      <c r="EE2223" s="4"/>
      <c r="EF2223" s="4"/>
      <c r="EG2223" s="4"/>
      <c r="EH2223" s="4"/>
      <c r="EI2223" s="4"/>
      <c r="EJ2223" s="4"/>
      <c r="EK2223" s="4"/>
      <c r="EL2223" s="4"/>
      <c r="EM2223" s="4"/>
      <c r="EN2223" s="4"/>
      <c r="EO2223" s="4"/>
      <c r="EP2223" s="4"/>
      <c r="EQ2223" s="4"/>
      <c r="ER2223" s="4"/>
      <c r="ES2223" s="4"/>
      <c r="ET2223" s="4"/>
      <c r="EU2223" s="4"/>
      <c r="EV2223" s="4"/>
      <c r="EW2223" s="4"/>
      <c r="EX2223" s="4"/>
      <c r="EY2223" s="4"/>
      <c r="EZ2223" s="4"/>
      <c r="FA2223" s="4"/>
      <c r="FB2223" s="4"/>
      <c r="FC2223" s="4"/>
      <c r="FD2223" s="4"/>
      <c r="FE2223" s="4"/>
      <c r="FF2223" s="4"/>
      <c r="FG2223" s="4"/>
      <c r="FH2223" s="4"/>
      <c r="FI2223" s="4"/>
      <c r="FJ2223" s="4"/>
      <c r="FK2223" s="4"/>
      <c r="FL2223" s="4"/>
      <c r="FM2223" s="4"/>
      <c r="FN2223" s="4"/>
      <c r="FO2223" s="4"/>
      <c r="FP2223" s="4"/>
      <c r="FQ2223" s="4"/>
      <c r="FR2223" s="4"/>
      <c r="FS2223" s="4"/>
      <c r="FT2223" s="4"/>
      <c r="FU2223" s="4"/>
      <c r="FV2223" s="4"/>
      <c r="FW2223" s="4"/>
      <c r="FX2223" s="4"/>
      <c r="FY2223" s="4"/>
      <c r="FZ2223" s="4"/>
      <c r="GA2223" s="4"/>
      <c r="GB2223" s="4"/>
      <c r="GC2223" s="4"/>
      <c r="GD2223" s="4"/>
      <c r="GE2223" s="4"/>
      <c r="GF2223" s="4"/>
      <c r="GG2223" s="4"/>
      <c r="GH2223" s="4"/>
      <c r="GI2223" s="4"/>
      <c r="GJ2223" s="4"/>
      <c r="GK2223" s="4"/>
      <c r="GL2223" s="4"/>
      <c r="GM2223" s="4"/>
      <c r="GN2223" s="4"/>
      <c r="GO2223" s="4"/>
      <c r="GP2223" s="4"/>
      <c r="GQ2223" s="4"/>
      <c r="GR2223" s="4"/>
      <c r="GS2223" s="4"/>
      <c r="GT2223" s="4"/>
      <c r="GU2223" s="4"/>
      <c r="GV2223" s="4"/>
      <c r="GW2223" s="4"/>
      <c r="GX2223" s="4"/>
      <c r="GY2223" s="4"/>
      <c r="GZ2223" s="4"/>
      <c r="HA2223" s="4"/>
      <c r="HB2223" s="4"/>
      <c r="HC2223" s="4"/>
      <c r="HD2223" s="4"/>
      <c r="HE2223" s="4"/>
    </row>
    <row r="2224">
      <c r="A2224" s="2" t="s">
        <v>10464</v>
      </c>
      <c r="B2224" s="2" t="s">
        <v>258</v>
      </c>
      <c r="C2224" s="2" t="s">
        <v>300</v>
      </c>
      <c r="D2224" s="2" t="s">
        <v>516</v>
      </c>
      <c r="E2224" s="2" t="s">
        <v>9546</v>
      </c>
      <c r="F2224" s="2" t="s">
        <v>10460</v>
      </c>
      <c r="G2224" s="2" t="s">
        <v>10460</v>
      </c>
      <c r="H2224" s="2" t="s">
        <v>10460</v>
      </c>
      <c r="I2224" s="2" t="s">
        <v>10461</v>
      </c>
      <c r="J2224" s="2" t="s">
        <v>7551</v>
      </c>
      <c r="K2224" s="2" t="s">
        <v>1478</v>
      </c>
      <c r="L2224" s="3">
        <v>13.71</v>
      </c>
      <c r="M2224" s="3">
        <v>14.4</v>
      </c>
      <c r="N2224" s="3">
        <v>31.99</v>
      </c>
      <c r="O2224" s="2" t="s">
        <v>240</v>
      </c>
      <c r="P2224" s="2" t="s">
        <v>233</v>
      </c>
      <c r="Q2224" s="2" t="s">
        <v>234</v>
      </c>
      <c r="R2224" s="2" t="s">
        <v>228</v>
      </c>
      <c r="S2224" s="2" t="s">
        <v>10462</v>
      </c>
      <c r="T2224" s="2" t="s">
        <v>415</v>
      </c>
      <c r="U2224" s="2" t="s">
        <v>416</v>
      </c>
      <c r="V2224" s="2" t="s">
        <v>236</v>
      </c>
      <c r="W2224" s="2" t="s">
        <v>269</v>
      </c>
      <c r="X2224" s="2" t="s">
        <v>309</v>
      </c>
      <c r="Y2224" s="2" t="s">
        <v>2159</v>
      </c>
      <c r="Z2224" s="4">
        <v>157</v>
      </c>
      <c r="AA2224" s="4">
        <f>=ROUNDDOWN(39.25,0)</f>
      </c>
      <c r="AB2224" s="5">
        <v>4</v>
      </c>
      <c r="AC2224" s="2" t="s">
        <v>228</v>
      </c>
      <c r="AD2224" s="4"/>
      <c r="AE2224" s="4"/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228</v>
      </c>
      <c r="AM2224" s="4"/>
      <c r="AN2224" s="4"/>
      <c r="AO2224" s="7"/>
      <c r="AP2224" s="4"/>
      <c r="AQ2224" s="8"/>
      <c r="AR2224" s="4"/>
      <c r="AS2224" s="8"/>
      <c r="AT2224" s="7"/>
      <c r="AU2224" s="7"/>
      <c r="AV2224" s="4" t="s">
        <v>228</v>
      </c>
      <c r="AW2224" s="8" t="s">
        <v>228</v>
      </c>
      <c r="AX2224" s="4" t="s">
        <v>228</v>
      </c>
      <c r="AY2224" s="8" t="s">
        <v>228</v>
      </c>
      <c r="AZ2224" s="7" t="s">
        <v>228</v>
      </c>
      <c r="BA2224" s="7" t="s">
        <v>228</v>
      </c>
      <c r="BB2224" s="7"/>
      <c r="BC2224" s="4" t="s">
        <v>228</v>
      </c>
      <c r="BD2224" s="8" t="s">
        <v>228</v>
      </c>
      <c r="BE2224" s="4" t="s">
        <v>228</v>
      </c>
      <c r="BF2224" s="8" t="s">
        <v>228</v>
      </c>
      <c r="BG2224" s="7" t="s">
        <v>228</v>
      </c>
      <c r="BH2224" s="7" t="s">
        <v>228</v>
      </c>
      <c r="BI2224" s="7"/>
      <c r="BJ2224" s="4">
        <v>8</v>
      </c>
      <c r="BK2224" s="8">
        <v>118.94</v>
      </c>
      <c r="BL2224" s="2" t="s">
        <v>10147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10465</v>
      </c>
      <c r="BV2224" s="2" t="s">
        <v>228</v>
      </c>
      <c r="BW2224" s="2" t="s">
        <v>228</v>
      </c>
      <c r="BX2224" s="2" t="s">
        <v>273</v>
      </c>
      <c r="BY2224" s="2" t="s">
        <v>274</v>
      </c>
      <c r="BZ2224" s="2" t="s">
        <v>240</v>
      </c>
      <c r="CA2224" s="2" t="s">
        <v>3438</v>
      </c>
      <c r="CB2224" s="2" t="s">
        <v>10122</v>
      </c>
      <c r="CC2224" s="2" t="s">
        <v>241</v>
      </c>
      <c r="CD2224" s="2" t="s">
        <v>228</v>
      </c>
      <c r="CE2224" s="4">
        <v>157</v>
      </c>
      <c r="CF2224" s="4"/>
      <c r="CG2224" s="4"/>
      <c r="CH2224" s="4"/>
      <c r="CI2224" s="4"/>
      <c r="CJ2224" s="4"/>
      <c r="CK2224" s="4"/>
      <c r="CL2224" s="4"/>
      <c r="CM2224" s="4"/>
      <c r="CN2224" s="4"/>
      <c r="CO2224" s="4"/>
      <c r="CP2224" s="4"/>
      <c r="CQ2224" s="4"/>
      <c r="CR2224" s="4"/>
      <c r="CS2224" s="4"/>
      <c r="CT2224" s="4"/>
      <c r="CU2224" s="4"/>
      <c r="CV2224" s="4"/>
      <c r="CW2224" s="4"/>
      <c r="CX2224" s="4"/>
      <c r="CY2224" s="4"/>
      <c r="CZ2224" s="4"/>
      <c r="DA2224" s="4"/>
      <c r="DB2224" s="4"/>
      <c r="DC2224" s="4"/>
      <c r="DD2224" s="4"/>
      <c r="DE2224" s="4"/>
      <c r="DF2224" s="4"/>
      <c r="DG2224" s="4"/>
      <c r="DH2224" s="4"/>
      <c r="DI2224" s="4"/>
      <c r="DJ2224" s="4"/>
      <c r="DK2224" s="4"/>
      <c r="DL2224" s="4"/>
      <c r="DM2224" s="4"/>
      <c r="DN2224" s="4"/>
      <c r="DO2224" s="4"/>
      <c r="DP2224" s="4"/>
      <c r="DQ2224" s="4"/>
      <c r="DR2224" s="4"/>
      <c r="DS2224" s="4"/>
      <c r="DT2224" s="4"/>
      <c r="DU2224" s="4"/>
      <c r="DV2224" s="4"/>
      <c r="DW2224" s="4"/>
      <c r="DX2224" s="4"/>
      <c r="DY2224" s="4"/>
      <c r="DZ2224" s="4"/>
      <c r="EA2224" s="4"/>
      <c r="EB2224" s="4"/>
      <c r="EC2224" s="4"/>
      <c r="ED2224" s="4"/>
      <c r="EE2224" s="4"/>
      <c r="EF2224" s="4"/>
      <c r="EG2224" s="4"/>
      <c r="EH2224" s="4"/>
      <c r="EI2224" s="4"/>
      <c r="EJ2224" s="4"/>
      <c r="EK2224" s="4"/>
      <c r="EL2224" s="4"/>
      <c r="EM2224" s="4"/>
      <c r="EN2224" s="4"/>
      <c r="EO2224" s="4"/>
      <c r="EP2224" s="4"/>
      <c r="EQ2224" s="4"/>
      <c r="ER2224" s="4"/>
      <c r="ES2224" s="4"/>
      <c r="ET2224" s="4"/>
      <c r="EU2224" s="4"/>
      <c r="EV2224" s="4"/>
      <c r="EW2224" s="4"/>
      <c r="EX2224" s="4"/>
      <c r="EY2224" s="4"/>
      <c r="EZ2224" s="4"/>
      <c r="FA2224" s="4"/>
      <c r="FB2224" s="4"/>
      <c r="FC2224" s="4"/>
      <c r="FD2224" s="4"/>
      <c r="FE2224" s="4"/>
      <c r="FF2224" s="4"/>
      <c r="FG2224" s="4"/>
      <c r="FH2224" s="4"/>
      <c r="FI2224" s="4"/>
      <c r="FJ2224" s="4"/>
      <c r="FK2224" s="4"/>
      <c r="FL2224" s="4"/>
      <c r="FM2224" s="4"/>
      <c r="FN2224" s="4"/>
      <c r="FO2224" s="4"/>
      <c r="FP2224" s="4"/>
      <c r="FQ2224" s="4"/>
      <c r="FR2224" s="4"/>
      <c r="FS2224" s="4"/>
      <c r="FT2224" s="4"/>
      <c r="FU2224" s="4"/>
      <c r="FV2224" s="4"/>
      <c r="FW2224" s="4"/>
      <c r="FX2224" s="4"/>
      <c r="FY2224" s="4"/>
      <c r="FZ2224" s="4"/>
      <c r="GA2224" s="4"/>
      <c r="GB2224" s="4"/>
      <c r="GC2224" s="4"/>
      <c r="GD2224" s="4"/>
      <c r="GE2224" s="4"/>
      <c r="GF2224" s="4"/>
      <c r="GG2224" s="4"/>
      <c r="GH2224" s="4"/>
      <c r="GI2224" s="4"/>
      <c r="GJ2224" s="4"/>
      <c r="GK2224" s="4"/>
      <c r="GL2224" s="4"/>
      <c r="GM2224" s="4"/>
      <c r="GN2224" s="4"/>
      <c r="GO2224" s="4"/>
      <c r="GP2224" s="4"/>
      <c r="GQ2224" s="4"/>
      <c r="GR2224" s="4"/>
      <c r="GS2224" s="4"/>
      <c r="GT2224" s="4"/>
      <c r="GU2224" s="4"/>
      <c r="GV2224" s="4"/>
      <c r="GW2224" s="4"/>
      <c r="GX2224" s="4"/>
      <c r="GY2224" s="4"/>
      <c r="GZ2224" s="4"/>
      <c r="HA2224" s="4"/>
      <c r="HB2224" s="4"/>
      <c r="HC2224" s="4"/>
      <c r="HD2224" s="4"/>
      <c r="HE2224" s="4"/>
    </row>
    <row r="2225">
      <c r="A2225" s="2" t="s">
        <v>10466</v>
      </c>
      <c r="B2225" s="2" t="s">
        <v>258</v>
      </c>
      <c r="C2225" s="2" t="s">
        <v>300</v>
      </c>
      <c r="D2225" s="2" t="s">
        <v>516</v>
      </c>
      <c r="E2225" s="2" t="s">
        <v>9546</v>
      </c>
      <c r="F2225" s="2" t="s">
        <v>10460</v>
      </c>
      <c r="G2225" s="2" t="s">
        <v>10460</v>
      </c>
      <c r="H2225" s="2" t="s">
        <v>10460</v>
      </c>
      <c r="I2225" s="2" t="s">
        <v>10461</v>
      </c>
      <c r="J2225" s="2" t="s">
        <v>294</v>
      </c>
      <c r="K2225" s="2" t="s">
        <v>316</v>
      </c>
      <c r="L2225" s="3">
        <v>15</v>
      </c>
      <c r="M2225" s="3">
        <v>15.75</v>
      </c>
      <c r="N2225" s="3">
        <v>34.99</v>
      </c>
      <c r="O2225" s="2" t="s">
        <v>240</v>
      </c>
      <c r="P2225" s="2" t="s">
        <v>266</v>
      </c>
      <c r="Q2225" s="2" t="s">
        <v>234</v>
      </c>
      <c r="R2225" s="2" t="s">
        <v>228</v>
      </c>
      <c r="S2225" s="2" t="s">
        <v>10467</v>
      </c>
      <c r="T2225" s="2" t="s">
        <v>415</v>
      </c>
      <c r="U2225" s="2" t="s">
        <v>416</v>
      </c>
      <c r="V2225" s="2" t="s">
        <v>236</v>
      </c>
      <c r="W2225" s="2" t="s">
        <v>269</v>
      </c>
      <c r="X2225" s="2" t="s">
        <v>309</v>
      </c>
      <c r="Y2225" s="2" t="s">
        <v>3414</v>
      </c>
      <c r="Z2225" s="4">
        <v>172</v>
      </c>
      <c r="AA2225" s="4">
        <f>=ROUNDDOWN(13.2307692307692,0)</f>
      </c>
      <c r="AB2225" s="5">
        <v>13</v>
      </c>
      <c r="AC2225" s="2" t="s">
        <v>156</v>
      </c>
      <c r="AD2225" s="4">
        <v>100</v>
      </c>
      <c r="AE2225" s="4">
        <v>200</v>
      </c>
      <c r="AF2225" s="6">
        <v>65</v>
      </c>
      <c r="AG2225" s="6"/>
      <c r="AH2225" s="7">
        <v>1</v>
      </c>
      <c r="AI2225" s="4"/>
      <c r="AJ2225" s="4">
        <f>=ROUNDDOWN({0},0)</f>
      </c>
      <c r="AK2225" s="5"/>
      <c r="AL2225" s="2" t="s">
        <v>228</v>
      </c>
      <c r="AM2225" s="4"/>
      <c r="AN2225" s="4"/>
      <c r="AO2225" s="7"/>
      <c r="AP2225" s="4"/>
      <c r="AQ2225" s="8"/>
      <c r="AR2225" s="4"/>
      <c r="AS2225" s="8"/>
      <c r="AT2225" s="7"/>
      <c r="AU2225" s="7"/>
      <c r="AV2225" s="4" t="s">
        <v>228</v>
      </c>
      <c r="AW2225" s="8" t="s">
        <v>228</v>
      </c>
      <c r="AX2225" s="4" t="s">
        <v>228</v>
      </c>
      <c r="AY2225" s="8" t="s">
        <v>228</v>
      </c>
      <c r="AZ2225" s="7" t="s">
        <v>228</v>
      </c>
      <c r="BA2225" s="7" t="s">
        <v>228</v>
      </c>
      <c r="BB2225" s="7"/>
      <c r="BC2225" s="4" t="s">
        <v>228</v>
      </c>
      <c r="BD2225" s="8" t="s">
        <v>228</v>
      </c>
      <c r="BE2225" s="4" t="s">
        <v>228</v>
      </c>
      <c r="BF2225" s="8" t="s">
        <v>228</v>
      </c>
      <c r="BG2225" s="7" t="s">
        <v>228</v>
      </c>
      <c r="BH2225" s="7" t="s">
        <v>228</v>
      </c>
      <c r="BI2225" s="7"/>
      <c r="BJ2225" s="4">
        <v>29</v>
      </c>
      <c r="BK2225" s="8">
        <v>489.82</v>
      </c>
      <c r="BL2225" s="2" t="s">
        <v>681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10468</v>
      </c>
      <c r="BV2225" s="2" t="s">
        <v>228</v>
      </c>
      <c r="BW2225" s="2" t="s">
        <v>228</v>
      </c>
      <c r="BX2225" s="2" t="s">
        <v>273</v>
      </c>
      <c r="BY2225" s="2" t="s">
        <v>274</v>
      </c>
      <c r="BZ2225" s="2" t="s">
        <v>240</v>
      </c>
      <c r="CA2225" s="2" t="s">
        <v>421</v>
      </c>
      <c r="CB2225" s="2" t="s">
        <v>2240</v>
      </c>
      <c r="CC2225" s="2" t="s">
        <v>241</v>
      </c>
      <c r="CD2225" s="2" t="s">
        <v>228</v>
      </c>
      <c r="CE2225" s="4">
        <v>172</v>
      </c>
      <c r="CF2225" s="4"/>
      <c r="CG2225" s="4"/>
      <c r="CH2225" s="4"/>
      <c r="CI2225" s="4"/>
      <c r="CJ2225" s="4"/>
      <c r="CK2225" s="4"/>
      <c r="CL2225" s="4"/>
      <c r="CM2225" s="4"/>
      <c r="CN2225" s="4"/>
      <c r="CO2225" s="4"/>
      <c r="CP2225" s="4"/>
      <c r="CQ2225" s="4"/>
      <c r="CR2225" s="4"/>
      <c r="CS2225" s="4"/>
      <c r="CT2225" s="4"/>
      <c r="CU2225" s="4"/>
      <c r="CV2225" s="4"/>
      <c r="CW2225" s="4"/>
      <c r="CX2225" s="4"/>
      <c r="CY2225" s="4"/>
      <c r="CZ2225" s="4"/>
      <c r="DA2225" s="4"/>
      <c r="DB2225" s="4"/>
      <c r="DC2225" s="4"/>
      <c r="DD2225" s="4"/>
      <c r="DE2225" s="4"/>
      <c r="DF2225" s="4"/>
      <c r="DG2225" s="4"/>
      <c r="DH2225" s="4"/>
      <c r="DI2225" s="4"/>
      <c r="DJ2225" s="4"/>
      <c r="DK2225" s="4"/>
      <c r="DL2225" s="4"/>
      <c r="DM2225" s="4"/>
      <c r="DN2225" s="4"/>
      <c r="DO2225" s="4"/>
      <c r="DP2225" s="4"/>
      <c r="DQ2225" s="4"/>
      <c r="DR2225" s="4"/>
      <c r="DS2225" s="4"/>
      <c r="DT2225" s="4"/>
      <c r="DU2225" s="4"/>
      <c r="DV2225" s="4"/>
      <c r="DW2225" s="4"/>
      <c r="DX2225" s="4"/>
      <c r="DY2225" s="4"/>
      <c r="DZ2225" s="4"/>
      <c r="EA2225" s="4"/>
      <c r="EB2225" s="4"/>
      <c r="EC2225" s="4"/>
      <c r="ED2225" s="4"/>
      <c r="EE2225" s="4"/>
      <c r="EF2225" s="4"/>
      <c r="EG2225" s="4"/>
      <c r="EH2225" s="4"/>
      <c r="EI2225" s="4"/>
      <c r="EJ2225" s="4"/>
      <c r="EK2225" s="4"/>
      <c r="EL2225" s="4"/>
      <c r="EM2225" s="4"/>
      <c r="EN2225" s="4"/>
      <c r="EO2225" s="4"/>
      <c r="EP2225" s="4"/>
      <c r="EQ2225" s="4"/>
      <c r="ER2225" s="4">
        <v>100</v>
      </c>
      <c r="ES2225" s="4"/>
      <c r="ET2225" s="4"/>
      <c r="EU2225" s="4"/>
      <c r="EV2225" s="4"/>
      <c r="EW2225" s="4"/>
      <c r="EX2225" s="4"/>
      <c r="EY2225" s="4"/>
      <c r="EZ2225" s="4"/>
      <c r="FA2225" s="4"/>
      <c r="FB2225" s="4">
        <v>100</v>
      </c>
      <c r="FC2225" s="4"/>
      <c r="FD2225" s="4"/>
      <c r="FE2225" s="4"/>
      <c r="FF2225" s="4"/>
      <c r="FG2225" s="4"/>
      <c r="FH2225" s="4"/>
      <c r="FI2225" s="4"/>
      <c r="FJ2225" s="4"/>
      <c r="FK2225" s="4"/>
      <c r="FL2225" s="4"/>
      <c r="FM2225" s="4"/>
      <c r="FN2225" s="4"/>
      <c r="FO2225" s="4"/>
      <c r="FP2225" s="4"/>
      <c r="FQ2225" s="4"/>
      <c r="FR2225" s="4"/>
      <c r="FS2225" s="4"/>
      <c r="FT2225" s="4"/>
      <c r="FU2225" s="4"/>
      <c r="FV2225" s="4"/>
      <c r="FW2225" s="4"/>
      <c r="FX2225" s="4"/>
      <c r="FY2225" s="4"/>
      <c r="FZ2225" s="4"/>
      <c r="GA2225" s="4"/>
      <c r="GB2225" s="4"/>
      <c r="GC2225" s="4"/>
      <c r="GD2225" s="4"/>
      <c r="GE2225" s="4"/>
      <c r="GF2225" s="4"/>
      <c r="GG2225" s="4"/>
      <c r="GH2225" s="4"/>
      <c r="GI2225" s="4"/>
      <c r="GJ2225" s="4"/>
      <c r="GK2225" s="4"/>
      <c r="GL2225" s="4"/>
      <c r="GM2225" s="4"/>
      <c r="GN2225" s="4"/>
      <c r="GO2225" s="4"/>
      <c r="GP2225" s="4"/>
      <c r="GQ2225" s="4"/>
      <c r="GR2225" s="4"/>
      <c r="GS2225" s="4"/>
      <c r="GT2225" s="4"/>
      <c r="GU2225" s="4"/>
      <c r="GV2225" s="4"/>
      <c r="GW2225" s="4"/>
      <c r="GX2225" s="4"/>
      <c r="GY2225" s="4"/>
      <c r="GZ2225" s="4"/>
      <c r="HA2225" s="4"/>
      <c r="HB2225" s="4"/>
      <c r="HC2225" s="4"/>
      <c r="HD2225" s="4"/>
      <c r="HE2225" s="4"/>
    </row>
    <row r="2226">
      <c r="A2226" s="2" t="s">
        <v>10469</v>
      </c>
      <c r="B2226" s="2" t="s">
        <v>258</v>
      </c>
      <c r="C2226" s="2" t="s">
        <v>300</v>
      </c>
      <c r="D2226" s="2" t="s">
        <v>516</v>
      </c>
      <c r="E2226" s="2" t="s">
        <v>9546</v>
      </c>
      <c r="F2226" s="2" t="s">
        <v>10460</v>
      </c>
      <c r="G2226" s="2" t="s">
        <v>10460</v>
      </c>
      <c r="H2226" s="2" t="s">
        <v>10460</v>
      </c>
      <c r="I2226" s="2" t="s">
        <v>10461</v>
      </c>
      <c r="J2226" s="2" t="s">
        <v>7551</v>
      </c>
      <c r="K2226" s="2" t="s">
        <v>316</v>
      </c>
      <c r="L2226" s="3">
        <v>13.71</v>
      </c>
      <c r="M2226" s="3">
        <v>14.4</v>
      </c>
      <c r="N2226" s="3">
        <v>31.99</v>
      </c>
      <c r="O2226" s="2" t="s">
        <v>240</v>
      </c>
      <c r="P2226" s="2" t="s">
        <v>266</v>
      </c>
      <c r="Q2226" s="2" t="s">
        <v>234</v>
      </c>
      <c r="R2226" s="2" t="s">
        <v>228</v>
      </c>
      <c r="S2226" s="2" t="s">
        <v>10467</v>
      </c>
      <c r="T2226" s="2" t="s">
        <v>415</v>
      </c>
      <c r="U2226" s="2" t="s">
        <v>416</v>
      </c>
      <c r="V2226" s="2" t="s">
        <v>236</v>
      </c>
      <c r="W2226" s="2" t="s">
        <v>269</v>
      </c>
      <c r="X2226" s="2" t="s">
        <v>309</v>
      </c>
      <c r="Y2226" s="2" t="s">
        <v>514</v>
      </c>
      <c r="Z2226" s="4">
        <v>248</v>
      </c>
      <c r="AA2226" s="4">
        <f>=ROUNDDOWN(15.5,0)</f>
      </c>
      <c r="AB2226" s="5">
        <v>16</v>
      </c>
      <c r="AC2226" s="2" t="s">
        <v>166</v>
      </c>
      <c r="AD2226" s="4">
        <v>200</v>
      </c>
      <c r="AE2226" s="4">
        <v>400</v>
      </c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228</v>
      </c>
      <c r="AM2226" s="4"/>
      <c r="AN2226" s="4"/>
      <c r="AO2226" s="7"/>
      <c r="AP2226" s="4"/>
      <c r="AQ2226" s="8"/>
      <c r="AR2226" s="4"/>
      <c r="AS2226" s="8"/>
      <c r="AT2226" s="7"/>
      <c r="AU2226" s="7"/>
      <c r="AV2226" s="4" t="s">
        <v>228</v>
      </c>
      <c r="AW2226" s="8" t="s">
        <v>228</v>
      </c>
      <c r="AX2226" s="4" t="s">
        <v>228</v>
      </c>
      <c r="AY2226" s="8" t="s">
        <v>228</v>
      </c>
      <c r="AZ2226" s="7" t="s">
        <v>228</v>
      </c>
      <c r="BA2226" s="7" t="s">
        <v>228</v>
      </c>
      <c r="BB2226" s="7"/>
      <c r="BC2226" s="4" t="s">
        <v>228</v>
      </c>
      <c r="BD2226" s="8" t="s">
        <v>228</v>
      </c>
      <c r="BE2226" s="4" t="s">
        <v>228</v>
      </c>
      <c r="BF2226" s="8" t="s">
        <v>228</v>
      </c>
      <c r="BG2226" s="7" t="s">
        <v>228</v>
      </c>
      <c r="BH2226" s="7" t="s">
        <v>228</v>
      </c>
      <c r="BI2226" s="7"/>
      <c r="BJ2226" s="4">
        <v>73</v>
      </c>
      <c r="BK2226" s="8">
        <v>1146.69</v>
      </c>
      <c r="BL2226" s="2" t="s">
        <v>5045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10470</v>
      </c>
      <c r="BV2226" s="2" t="s">
        <v>228</v>
      </c>
      <c r="BW2226" s="2" t="s">
        <v>228</v>
      </c>
      <c r="BX2226" s="2" t="s">
        <v>273</v>
      </c>
      <c r="BY2226" s="2" t="s">
        <v>274</v>
      </c>
      <c r="BZ2226" s="2" t="s">
        <v>240</v>
      </c>
      <c r="CA2226" s="2" t="s">
        <v>421</v>
      </c>
      <c r="CB2226" s="2" t="s">
        <v>3642</v>
      </c>
      <c r="CC2226" s="2" t="s">
        <v>241</v>
      </c>
      <c r="CD2226" s="2" t="s">
        <v>228</v>
      </c>
      <c r="CE2226" s="4">
        <v>248</v>
      </c>
      <c r="CF2226" s="4"/>
      <c r="CG2226" s="4"/>
      <c r="CH2226" s="4"/>
      <c r="CI2226" s="4"/>
      <c r="CJ2226" s="4"/>
      <c r="CK2226" s="4"/>
      <c r="CL2226" s="4"/>
      <c r="CM2226" s="4"/>
      <c r="CN2226" s="4"/>
      <c r="CO2226" s="4"/>
      <c r="CP2226" s="4"/>
      <c r="CQ2226" s="4"/>
      <c r="CR2226" s="4"/>
      <c r="CS2226" s="4"/>
      <c r="CT2226" s="4"/>
      <c r="CU2226" s="4"/>
      <c r="CV2226" s="4"/>
      <c r="CW2226" s="4"/>
      <c r="CX2226" s="4"/>
      <c r="CY2226" s="4"/>
      <c r="CZ2226" s="4"/>
      <c r="DA2226" s="4"/>
      <c r="DB2226" s="4"/>
      <c r="DC2226" s="4"/>
      <c r="DD2226" s="4"/>
      <c r="DE2226" s="4"/>
      <c r="DF2226" s="4"/>
      <c r="DG2226" s="4"/>
      <c r="DH2226" s="4"/>
      <c r="DI2226" s="4"/>
      <c r="DJ2226" s="4"/>
      <c r="DK2226" s="4"/>
      <c r="DL2226" s="4"/>
      <c r="DM2226" s="4"/>
      <c r="DN2226" s="4"/>
      <c r="DO2226" s="4"/>
      <c r="DP2226" s="4"/>
      <c r="DQ2226" s="4"/>
      <c r="DR2226" s="4"/>
      <c r="DS2226" s="4"/>
      <c r="DT2226" s="4"/>
      <c r="DU2226" s="4"/>
      <c r="DV2226" s="4"/>
      <c r="DW2226" s="4"/>
      <c r="DX2226" s="4"/>
      <c r="DY2226" s="4"/>
      <c r="DZ2226" s="4"/>
      <c r="EA2226" s="4"/>
      <c r="EB2226" s="4"/>
      <c r="EC2226" s="4"/>
      <c r="ED2226" s="4"/>
      <c r="EE2226" s="4"/>
      <c r="EF2226" s="4"/>
      <c r="EG2226" s="4"/>
      <c r="EH2226" s="4"/>
      <c r="EI2226" s="4"/>
      <c r="EJ2226" s="4"/>
      <c r="EK2226" s="4"/>
      <c r="EL2226" s="4"/>
      <c r="EM2226" s="4"/>
      <c r="EN2226" s="4"/>
      <c r="EO2226" s="4"/>
      <c r="EP2226" s="4"/>
      <c r="EQ2226" s="4"/>
      <c r="ER2226" s="4"/>
      <c r="ES2226" s="4"/>
      <c r="ET2226" s="4"/>
      <c r="EU2226" s="4"/>
      <c r="EV2226" s="4"/>
      <c r="EW2226" s="4"/>
      <c r="EX2226" s="4"/>
      <c r="EY2226" s="4"/>
      <c r="EZ2226" s="4"/>
      <c r="FA2226" s="4"/>
      <c r="FB2226" s="4">
        <v>200</v>
      </c>
      <c r="FC2226" s="4"/>
      <c r="FD2226" s="4"/>
      <c r="FE2226" s="4"/>
      <c r="FF2226" s="4"/>
      <c r="FG2226" s="4"/>
      <c r="FH2226" s="4"/>
      <c r="FI2226" s="4"/>
      <c r="FJ2226" s="4"/>
      <c r="FK2226" s="4"/>
      <c r="FL2226" s="4"/>
      <c r="FM2226" s="4"/>
      <c r="FN2226" s="4"/>
      <c r="FO2226" s="4"/>
      <c r="FP2226" s="4"/>
      <c r="FQ2226" s="4"/>
      <c r="FR2226" s="4"/>
      <c r="FS2226" s="4"/>
      <c r="FT2226" s="4"/>
      <c r="FU2226" s="4"/>
      <c r="FV2226" s="4"/>
      <c r="FW2226" s="4"/>
      <c r="FX2226" s="4"/>
      <c r="FY2226" s="4"/>
      <c r="FZ2226" s="4"/>
      <c r="GA2226" s="4"/>
      <c r="GB2226" s="4"/>
      <c r="GC2226" s="4"/>
      <c r="GD2226" s="4"/>
      <c r="GE2226" s="4"/>
      <c r="GF2226" s="4"/>
      <c r="GG2226" s="4"/>
      <c r="GH2226" s="4"/>
      <c r="GI2226" s="4"/>
      <c r="GJ2226" s="4"/>
      <c r="GK2226" s="4"/>
      <c r="GL2226" s="4"/>
      <c r="GM2226" s="4"/>
      <c r="GN2226" s="4">
        <v>100</v>
      </c>
      <c r="GO2226" s="4"/>
      <c r="GP2226" s="4"/>
      <c r="GQ2226" s="4"/>
      <c r="GR2226" s="4"/>
      <c r="GS2226" s="4"/>
      <c r="GT2226" s="4"/>
      <c r="GU2226" s="4"/>
      <c r="GV2226" s="4"/>
      <c r="GW2226" s="4"/>
      <c r="GX2226" s="4"/>
      <c r="GY2226" s="4"/>
      <c r="GZ2226" s="4"/>
      <c r="HA2226" s="4"/>
      <c r="HB2226" s="4"/>
      <c r="HC2226" s="4">
        <v>100</v>
      </c>
      <c r="HD2226" s="4"/>
      <c r="HE2226" s="4"/>
    </row>
    <row r="2227">
      <c r="A2227" s="2" t="s">
        <v>10471</v>
      </c>
      <c r="B2227" s="2" t="s">
        <v>866</v>
      </c>
      <c r="C2227" s="2" t="s">
        <v>300</v>
      </c>
      <c r="D2227" s="2" t="s">
        <v>899</v>
      </c>
      <c r="E2227" s="2" t="s">
        <v>1891</v>
      </c>
      <c r="F2227" s="2" t="s">
        <v>10472</v>
      </c>
      <c r="G2227" s="2" t="s">
        <v>10472</v>
      </c>
      <c r="H2227" s="2" t="s">
        <v>10472</v>
      </c>
      <c r="I2227" s="2" t="s">
        <v>10473</v>
      </c>
      <c r="J2227" s="2" t="s">
        <v>840</v>
      </c>
      <c r="K2227" s="2" t="s">
        <v>249</v>
      </c>
      <c r="L2227" s="3">
        <v>68.02</v>
      </c>
      <c r="M2227" s="3">
        <v>71.42</v>
      </c>
      <c r="N2227" s="3">
        <v>146.99</v>
      </c>
      <c r="O2227" s="2" t="s">
        <v>491</v>
      </c>
      <c r="P2227" s="2" t="s">
        <v>333</v>
      </c>
      <c r="Q2227" s="2" t="s">
        <v>234</v>
      </c>
      <c r="R2227" s="2" t="s">
        <v>228</v>
      </c>
      <c r="S2227" s="2" t="s">
        <v>10474</v>
      </c>
      <c r="T2227" s="2" t="s">
        <v>228</v>
      </c>
      <c r="U2227" s="2" t="s">
        <v>500</v>
      </c>
      <c r="V2227" s="2" t="s">
        <v>859</v>
      </c>
      <c r="W2227" s="2" t="s">
        <v>309</v>
      </c>
      <c r="X2227" s="2" t="s">
        <v>10475</v>
      </c>
      <c r="Y2227" s="2" t="s">
        <v>10476</v>
      </c>
      <c r="Z2227" s="4">
        <v>15</v>
      </c>
      <c r="AA2227" s="4">
        <f>=ROUNDDOWN(10.7142857142857,0)</f>
      </c>
      <c r="AB2227" s="5">
        <v>1.4</v>
      </c>
      <c r="AC2227" s="2" t="s">
        <v>228</v>
      </c>
      <c r="AD2227" s="4"/>
      <c r="AE2227" s="4"/>
      <c r="AF2227" s="6">
        <v>63</v>
      </c>
      <c r="AG2227" s="6"/>
      <c r="AH2227" s="7">
        <v>0.7742</v>
      </c>
      <c r="AI2227" s="4"/>
      <c r="AJ2227" s="4">
        <f>=ROUNDDOWN({0},0)</f>
      </c>
      <c r="AK2227" s="5"/>
      <c r="AL2227" s="2" t="s">
        <v>228</v>
      </c>
      <c r="AM2227" s="4"/>
      <c r="AN2227" s="4"/>
      <c r="AO2227" s="7"/>
      <c r="AP2227" s="4"/>
      <c r="AQ2227" s="8"/>
      <c r="AR2227" s="4"/>
      <c r="AS2227" s="8"/>
      <c r="AT2227" s="7"/>
      <c r="AU2227" s="7"/>
      <c r="AV2227" s="4"/>
      <c r="AW2227" s="8"/>
      <c r="AX2227" s="4"/>
      <c r="AY2227" s="8"/>
      <c r="AZ2227" s="7"/>
      <c r="BA2227" s="7"/>
      <c r="BB2227" s="7"/>
      <c r="BC2227" s="4"/>
      <c r="BD2227" s="8"/>
      <c r="BE2227" s="4"/>
      <c r="BF2227" s="8"/>
      <c r="BG2227" s="7"/>
      <c r="BH2227" s="7"/>
      <c r="BI2227" s="7"/>
      <c r="BJ2227" s="4">
        <v>1</v>
      </c>
      <c r="BK2227" s="8">
        <v>78</v>
      </c>
      <c r="BL2227" s="2" t="s">
        <v>10477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10478</v>
      </c>
      <c r="BV2227" s="2" t="s">
        <v>228</v>
      </c>
      <c r="BW2227" s="2" t="s">
        <v>228</v>
      </c>
      <c r="BX2227" s="2" t="s">
        <v>337</v>
      </c>
      <c r="BY2227" s="2" t="s">
        <v>274</v>
      </c>
      <c r="BZ2227" s="2" t="s">
        <v>240</v>
      </c>
      <c r="CA2227" s="2" t="s">
        <v>10479</v>
      </c>
      <c r="CB2227" s="2" t="s">
        <v>9034</v>
      </c>
      <c r="CC2227" s="2" t="s">
        <v>241</v>
      </c>
      <c r="CD2227" s="2" t="s">
        <v>228</v>
      </c>
      <c r="CE2227" s="4"/>
      <c r="CF2227" s="4">
        <v>15</v>
      </c>
      <c r="CG2227" s="4"/>
      <c r="CH2227" s="4"/>
      <c r="CI2227" s="4"/>
      <c r="CJ2227" s="4"/>
      <c r="CK2227" s="4"/>
      <c r="CL2227" s="4"/>
      <c r="CM2227" s="4"/>
      <c r="CN2227" s="4"/>
      <c r="CO2227" s="4"/>
      <c r="CP2227" s="4"/>
      <c r="CQ2227" s="4"/>
      <c r="CR2227" s="4"/>
      <c r="CS2227" s="4"/>
      <c r="CT2227" s="4"/>
      <c r="CU2227" s="4"/>
      <c r="CV2227" s="4"/>
      <c r="CW2227" s="4"/>
      <c r="CX2227" s="4"/>
      <c r="CY2227" s="4"/>
      <c r="CZ2227" s="4"/>
      <c r="DA2227" s="4"/>
      <c r="DB2227" s="4"/>
      <c r="DC2227" s="4"/>
      <c r="DD2227" s="4"/>
      <c r="DE2227" s="4"/>
      <c r="DF2227" s="4"/>
      <c r="DG2227" s="4"/>
      <c r="DH2227" s="4"/>
      <c r="DI2227" s="4"/>
      <c r="DJ2227" s="4"/>
      <c r="DK2227" s="4"/>
      <c r="DL2227" s="4"/>
      <c r="DM2227" s="4"/>
      <c r="DN2227" s="4"/>
      <c r="DO2227" s="4"/>
      <c r="DP2227" s="4"/>
      <c r="DQ2227" s="4"/>
      <c r="DR2227" s="4"/>
      <c r="DS2227" s="4"/>
      <c r="DT2227" s="4"/>
      <c r="DU2227" s="4"/>
      <c r="DV2227" s="4"/>
      <c r="DW2227" s="4"/>
      <c r="DX2227" s="4"/>
      <c r="DY2227" s="4"/>
      <c r="DZ2227" s="4"/>
      <c r="EA2227" s="4"/>
      <c r="EB2227" s="4"/>
      <c r="EC2227" s="4"/>
      <c r="ED2227" s="4"/>
      <c r="EE2227" s="4"/>
      <c r="EF2227" s="4"/>
      <c r="EG2227" s="4"/>
      <c r="EH2227" s="4"/>
      <c r="EI2227" s="4"/>
      <c r="EJ2227" s="4"/>
      <c r="EK2227" s="4"/>
      <c r="EL2227" s="4"/>
      <c r="EM2227" s="4"/>
      <c r="EN2227" s="4"/>
      <c r="EO2227" s="4"/>
      <c r="EP2227" s="4"/>
      <c r="EQ2227" s="4"/>
      <c r="ER2227" s="4"/>
      <c r="ES2227" s="4"/>
      <c r="ET2227" s="4"/>
      <c r="EU2227" s="4"/>
      <c r="EV2227" s="4"/>
      <c r="EW2227" s="4"/>
      <c r="EX2227" s="4"/>
      <c r="EY2227" s="4"/>
      <c r="EZ2227" s="4"/>
      <c r="FA2227" s="4"/>
      <c r="FB2227" s="4"/>
      <c r="FC2227" s="4"/>
      <c r="FD2227" s="4"/>
      <c r="FE2227" s="4"/>
      <c r="FF2227" s="4"/>
      <c r="FG2227" s="4"/>
      <c r="FH2227" s="4"/>
      <c r="FI2227" s="4"/>
      <c r="FJ2227" s="4"/>
      <c r="FK2227" s="4"/>
      <c r="FL2227" s="4"/>
      <c r="FM2227" s="4"/>
      <c r="FN2227" s="4"/>
      <c r="FO2227" s="4"/>
      <c r="FP2227" s="4"/>
      <c r="FQ2227" s="4"/>
      <c r="FR2227" s="4"/>
      <c r="FS2227" s="4"/>
      <c r="FT2227" s="4"/>
      <c r="FU2227" s="4"/>
      <c r="FV2227" s="4"/>
      <c r="FW2227" s="4"/>
      <c r="FX2227" s="4"/>
      <c r="FY2227" s="4"/>
      <c r="FZ2227" s="4"/>
      <c r="GA2227" s="4"/>
      <c r="GB2227" s="4"/>
      <c r="GC2227" s="4"/>
      <c r="GD2227" s="4"/>
      <c r="GE2227" s="4"/>
      <c r="GF2227" s="4"/>
      <c r="GG2227" s="4"/>
      <c r="GH2227" s="4"/>
      <c r="GI2227" s="4"/>
      <c r="GJ2227" s="4"/>
      <c r="GK2227" s="4"/>
      <c r="GL2227" s="4"/>
      <c r="GM2227" s="4"/>
      <c r="GN2227" s="4"/>
      <c r="GO2227" s="4"/>
      <c r="GP2227" s="4"/>
      <c r="GQ2227" s="4"/>
      <c r="GR2227" s="4"/>
      <c r="GS2227" s="4"/>
      <c r="GT2227" s="4"/>
      <c r="GU2227" s="4"/>
      <c r="GV2227" s="4"/>
      <c r="GW2227" s="4"/>
      <c r="GX2227" s="4"/>
      <c r="GY2227" s="4"/>
      <c r="GZ2227" s="4"/>
      <c r="HA2227" s="4"/>
      <c r="HB2227" s="4"/>
      <c r="HC2227" s="4"/>
      <c r="HD2227" s="4"/>
      <c r="HE2227" s="4"/>
    </row>
    <row r="2228">
      <c r="A2228" s="2" t="s">
        <v>10480</v>
      </c>
      <c r="B2228" s="2" t="s">
        <v>958</v>
      </c>
      <c r="C2228" s="2" t="s">
        <v>835</v>
      </c>
      <c r="D2228" s="2" t="s">
        <v>1564</v>
      </c>
      <c r="E2228" s="2" t="s">
        <v>1692</v>
      </c>
      <c r="F2228" s="2" t="s">
        <v>10481</v>
      </c>
      <c r="G2228" s="2" t="s">
        <v>10481</v>
      </c>
      <c r="H2228" s="2" t="s">
        <v>10481</v>
      </c>
      <c r="I2228" s="2" t="s">
        <v>10482</v>
      </c>
      <c r="J2228" s="2" t="s">
        <v>10483</v>
      </c>
      <c r="K2228" s="2" t="s">
        <v>2480</v>
      </c>
      <c r="L2228" s="3">
        <v>135</v>
      </c>
      <c r="M2228" s="3">
        <v>141.75</v>
      </c>
      <c r="N2228" s="3">
        <v>265</v>
      </c>
      <c r="O2228" s="2" t="s">
        <v>240</v>
      </c>
      <c r="P2228" s="2" t="s">
        <v>233</v>
      </c>
      <c r="Q2228" s="2" t="s">
        <v>234</v>
      </c>
      <c r="R2228" s="2" t="s">
        <v>228</v>
      </c>
      <c r="S2228" s="2" t="s">
        <v>228</v>
      </c>
      <c r="T2228" s="2" t="s">
        <v>228</v>
      </c>
      <c r="U2228" s="2" t="s">
        <v>416</v>
      </c>
      <c r="V2228" s="2" t="s">
        <v>842</v>
      </c>
      <c r="W2228" s="2" t="s">
        <v>269</v>
      </c>
      <c r="X2228" s="2" t="s">
        <v>228</v>
      </c>
      <c r="Y2228" s="2" t="s">
        <v>6465</v>
      </c>
      <c r="Z2228" s="4">
        <v>134</v>
      </c>
      <c r="AA2228" s="4">
        <f>=ROUNDDOWN(67,0)</f>
      </c>
      <c r="AB2228" s="5">
        <v>2</v>
      </c>
      <c r="AC2228" s="2" t="s">
        <v>228</v>
      </c>
      <c r="AD2228" s="4"/>
      <c r="AE2228" s="4"/>
      <c r="AF2228" s="6">
        <v>66</v>
      </c>
      <c r="AG2228" s="6"/>
      <c r="AH2228" s="7">
        <v>1</v>
      </c>
      <c r="AI2228" s="4"/>
      <c r="AJ2228" s="4">
        <f>=ROUNDDOWN({0},0)</f>
      </c>
      <c r="AK2228" s="5"/>
      <c r="AL2228" s="2" t="s">
        <v>228</v>
      </c>
      <c r="AM2228" s="4"/>
      <c r="AN2228" s="4"/>
      <c r="AO2228" s="7"/>
      <c r="AP2228" s="4"/>
      <c r="AQ2228" s="8"/>
      <c r="AR2228" s="4"/>
      <c r="AS2228" s="8"/>
      <c r="AT2228" s="7"/>
      <c r="AU2228" s="7"/>
      <c r="AV2228" s="4"/>
      <c r="AW2228" s="8"/>
      <c r="AX2228" s="4"/>
      <c r="AY2228" s="8"/>
      <c r="AZ2228" s="7"/>
      <c r="BA2228" s="7"/>
      <c r="BB2228" s="7"/>
      <c r="BC2228" s="4" t="s">
        <v>228</v>
      </c>
      <c r="BD2228" s="8" t="s">
        <v>228</v>
      </c>
      <c r="BE2228" s="4" t="s">
        <v>228</v>
      </c>
      <c r="BF2228" s="8" t="s">
        <v>228</v>
      </c>
      <c r="BG2228" s="7" t="s">
        <v>228</v>
      </c>
      <c r="BH2228" s="7" t="s">
        <v>228</v>
      </c>
      <c r="BI2228" s="7"/>
      <c r="BJ2228" s="4">
        <v>1</v>
      </c>
      <c r="BK2228" s="8">
        <v>158.76</v>
      </c>
      <c r="BL2228" s="2" t="s">
        <v>622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10484</v>
      </c>
      <c r="BV2228" s="2" t="s">
        <v>228</v>
      </c>
      <c r="BW2228" s="2" t="s">
        <v>228</v>
      </c>
      <c r="BX2228" s="2" t="s">
        <v>273</v>
      </c>
      <c r="BY2228" s="2" t="s">
        <v>274</v>
      </c>
      <c r="BZ2228" s="2" t="s">
        <v>240</v>
      </c>
      <c r="CA2228" s="2" t="s">
        <v>6991</v>
      </c>
      <c r="CB2228" s="2" t="s">
        <v>4640</v>
      </c>
      <c r="CC2228" s="2" t="s">
        <v>241</v>
      </c>
      <c r="CD2228" s="2" t="s">
        <v>228</v>
      </c>
      <c r="CE2228" s="4"/>
      <c r="CF2228" s="4">
        <v>134</v>
      </c>
      <c r="CG2228" s="4"/>
      <c r="CH2228" s="4"/>
      <c r="CI2228" s="4"/>
      <c r="CJ2228" s="4"/>
      <c r="CK2228" s="4"/>
      <c r="CL2228" s="4"/>
      <c r="CM2228" s="4"/>
      <c r="CN2228" s="4"/>
      <c r="CO2228" s="4"/>
      <c r="CP2228" s="4"/>
      <c r="CQ2228" s="4"/>
      <c r="CR2228" s="4"/>
      <c r="CS2228" s="4"/>
      <c r="CT2228" s="4"/>
      <c r="CU2228" s="4"/>
      <c r="CV2228" s="4"/>
      <c r="CW2228" s="4"/>
      <c r="CX2228" s="4"/>
      <c r="CY2228" s="4"/>
      <c r="CZ2228" s="4"/>
      <c r="DA2228" s="4"/>
      <c r="DB2228" s="4"/>
      <c r="DC2228" s="4"/>
      <c r="DD2228" s="4"/>
      <c r="DE2228" s="4"/>
      <c r="DF2228" s="4"/>
      <c r="DG2228" s="4"/>
      <c r="DH2228" s="4"/>
      <c r="DI2228" s="4"/>
      <c r="DJ2228" s="4"/>
      <c r="DK2228" s="4"/>
      <c r="DL2228" s="4"/>
      <c r="DM2228" s="4"/>
      <c r="DN2228" s="4"/>
      <c r="DO2228" s="4"/>
      <c r="DP2228" s="4"/>
      <c r="DQ2228" s="4"/>
      <c r="DR2228" s="4"/>
      <c r="DS2228" s="4"/>
      <c r="DT2228" s="4"/>
      <c r="DU2228" s="4"/>
      <c r="DV2228" s="4"/>
      <c r="DW2228" s="4"/>
      <c r="DX2228" s="4"/>
      <c r="DY2228" s="4"/>
      <c r="DZ2228" s="4"/>
      <c r="EA2228" s="4"/>
      <c r="EB2228" s="4"/>
      <c r="EC2228" s="4"/>
      <c r="ED2228" s="4"/>
      <c r="EE2228" s="4"/>
      <c r="EF2228" s="4"/>
      <c r="EG2228" s="4"/>
      <c r="EH2228" s="4"/>
      <c r="EI2228" s="4"/>
      <c r="EJ2228" s="4"/>
      <c r="EK2228" s="4"/>
      <c r="EL2228" s="4"/>
      <c r="EM2228" s="4"/>
      <c r="EN2228" s="4"/>
      <c r="EO2228" s="4"/>
      <c r="EP2228" s="4"/>
      <c r="EQ2228" s="4"/>
      <c r="ER2228" s="4"/>
      <c r="ES2228" s="4"/>
      <c r="ET2228" s="4"/>
      <c r="EU2228" s="4"/>
      <c r="EV2228" s="4"/>
      <c r="EW2228" s="4"/>
      <c r="EX2228" s="4"/>
      <c r="EY2228" s="4"/>
      <c r="EZ2228" s="4"/>
      <c r="FA2228" s="4"/>
      <c r="FB2228" s="4"/>
      <c r="FC2228" s="4"/>
      <c r="FD2228" s="4"/>
      <c r="FE2228" s="4"/>
      <c r="FF2228" s="4"/>
      <c r="FG2228" s="4"/>
      <c r="FH2228" s="4"/>
      <c r="FI2228" s="4"/>
      <c r="FJ2228" s="4"/>
      <c r="FK2228" s="4"/>
      <c r="FL2228" s="4"/>
      <c r="FM2228" s="4"/>
      <c r="FN2228" s="4"/>
      <c r="FO2228" s="4"/>
      <c r="FP2228" s="4"/>
      <c r="FQ2228" s="4"/>
      <c r="FR2228" s="4"/>
      <c r="FS2228" s="4"/>
      <c r="FT2228" s="4"/>
      <c r="FU2228" s="4"/>
      <c r="FV2228" s="4"/>
      <c r="FW2228" s="4"/>
      <c r="FX2228" s="4"/>
      <c r="FY2228" s="4"/>
      <c r="FZ2228" s="4"/>
      <c r="GA2228" s="4"/>
      <c r="GB2228" s="4"/>
      <c r="GC2228" s="4"/>
      <c r="GD2228" s="4"/>
      <c r="GE2228" s="4"/>
      <c r="GF2228" s="4"/>
      <c r="GG2228" s="4"/>
      <c r="GH2228" s="4"/>
      <c r="GI2228" s="4"/>
      <c r="GJ2228" s="4"/>
      <c r="GK2228" s="4"/>
      <c r="GL2228" s="4"/>
      <c r="GM2228" s="4"/>
      <c r="GN2228" s="4"/>
      <c r="GO2228" s="4"/>
      <c r="GP2228" s="4"/>
      <c r="GQ2228" s="4"/>
      <c r="GR2228" s="4"/>
      <c r="GS2228" s="4"/>
      <c r="GT2228" s="4"/>
      <c r="GU2228" s="4"/>
      <c r="GV2228" s="4"/>
      <c r="GW2228" s="4"/>
      <c r="GX2228" s="4"/>
      <c r="GY2228" s="4"/>
      <c r="GZ2228" s="4"/>
      <c r="HA2228" s="4"/>
      <c r="HB2228" s="4"/>
      <c r="HC2228" s="4"/>
      <c r="HD2228" s="4"/>
      <c r="HE2228" s="4"/>
    </row>
    <row r="2229">
      <c r="A2229" s="2" t="s">
        <v>10485</v>
      </c>
      <c r="B2229" s="2" t="s">
        <v>958</v>
      </c>
      <c r="C2229" s="2" t="s">
        <v>835</v>
      </c>
      <c r="D2229" s="2" t="s">
        <v>1564</v>
      </c>
      <c r="E2229" s="2" t="s">
        <v>1692</v>
      </c>
      <c r="F2229" s="2" t="s">
        <v>10481</v>
      </c>
      <c r="G2229" s="2" t="s">
        <v>10481</v>
      </c>
      <c r="H2229" s="2" t="s">
        <v>10481</v>
      </c>
      <c r="I2229" s="2" t="s">
        <v>10482</v>
      </c>
      <c r="J2229" s="2" t="s">
        <v>10486</v>
      </c>
      <c r="K2229" s="2" t="s">
        <v>460</v>
      </c>
      <c r="L2229" s="3">
        <v>110</v>
      </c>
      <c r="M2229" s="3">
        <v>115.5</v>
      </c>
      <c r="N2229" s="3">
        <v>229</v>
      </c>
      <c r="O2229" s="2" t="s">
        <v>240</v>
      </c>
      <c r="P2229" s="2" t="s">
        <v>233</v>
      </c>
      <c r="Q2229" s="2" t="s">
        <v>234</v>
      </c>
      <c r="R2229" s="2" t="s">
        <v>228</v>
      </c>
      <c r="S2229" s="2" t="s">
        <v>10487</v>
      </c>
      <c r="T2229" s="2" t="s">
        <v>228</v>
      </c>
      <c r="U2229" s="2" t="s">
        <v>416</v>
      </c>
      <c r="V2229" s="2" t="s">
        <v>236</v>
      </c>
      <c r="W2229" s="2" t="s">
        <v>269</v>
      </c>
      <c r="X2229" s="2" t="s">
        <v>228</v>
      </c>
      <c r="Y2229" s="2" t="s">
        <v>1996</v>
      </c>
      <c r="Z2229" s="4">
        <v>68</v>
      </c>
      <c r="AA2229" s="4">
        <f>=ROUNDDOWN(680,0)</f>
      </c>
      <c r="AB2229" s="5">
        <v>0.1</v>
      </c>
      <c r="AC2229" s="2" t="s">
        <v>228</v>
      </c>
      <c r="AD2229" s="4"/>
      <c r="AE2229" s="4"/>
      <c r="AF2229" s="6">
        <v>66</v>
      </c>
      <c r="AG2229" s="6"/>
      <c r="AH2229" s="7">
        <v>1</v>
      </c>
      <c r="AI2229" s="4"/>
      <c r="AJ2229" s="4">
        <f>=ROUNDDOWN({0},0)</f>
      </c>
      <c r="AK2229" s="5"/>
      <c r="AL2229" s="2" t="s">
        <v>228</v>
      </c>
      <c r="AM2229" s="4"/>
      <c r="AN2229" s="4"/>
      <c r="AO2229" s="7"/>
      <c r="AP2229" s="4"/>
      <c r="AQ2229" s="8"/>
      <c r="AR2229" s="4"/>
      <c r="AS2229" s="8"/>
      <c r="AT2229" s="7"/>
      <c r="AU2229" s="7"/>
      <c r="AV2229" s="4"/>
      <c r="AW2229" s="8"/>
      <c r="AX2229" s="4"/>
      <c r="AY2229" s="8"/>
      <c r="AZ2229" s="7"/>
      <c r="BA2229" s="7"/>
      <c r="BB2229" s="7"/>
      <c r="BC2229" s="4" t="s">
        <v>228</v>
      </c>
      <c r="BD2229" s="8" t="s">
        <v>228</v>
      </c>
      <c r="BE2229" s="4" t="s">
        <v>228</v>
      </c>
      <c r="BF2229" s="8" t="s">
        <v>228</v>
      </c>
      <c r="BG2229" s="7" t="s">
        <v>228</v>
      </c>
      <c r="BH2229" s="7" t="s">
        <v>228</v>
      </c>
      <c r="BI2229" s="7"/>
      <c r="BJ2229" s="4">
        <v>1</v>
      </c>
      <c r="BK2229" s="8">
        <v>115.5</v>
      </c>
      <c r="BL2229" s="2" t="s">
        <v>1033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10488</v>
      </c>
      <c r="BV2229" s="2" t="s">
        <v>228</v>
      </c>
      <c r="BW2229" s="2" t="s">
        <v>228</v>
      </c>
      <c r="BX2229" s="2" t="s">
        <v>238</v>
      </c>
      <c r="BY2229" s="2" t="s">
        <v>274</v>
      </c>
      <c r="BZ2229" s="2" t="s">
        <v>240</v>
      </c>
      <c r="CA2229" s="2" t="s">
        <v>1461</v>
      </c>
      <c r="CB2229" s="2" t="s">
        <v>228</v>
      </c>
      <c r="CC2229" s="2" t="s">
        <v>241</v>
      </c>
      <c r="CD2229" s="2" t="s">
        <v>228</v>
      </c>
      <c r="CE2229" s="4"/>
      <c r="CF2229" s="4">
        <v>68</v>
      </c>
      <c r="CG2229" s="4"/>
      <c r="CH2229" s="4"/>
      <c r="CI2229" s="4"/>
      <c r="CJ2229" s="4"/>
      <c r="CK2229" s="4"/>
      <c r="CL2229" s="4"/>
      <c r="CM2229" s="4"/>
      <c r="CN2229" s="4"/>
      <c r="CO2229" s="4"/>
      <c r="CP2229" s="4"/>
      <c r="CQ2229" s="4"/>
      <c r="CR2229" s="4"/>
      <c r="CS2229" s="4"/>
      <c r="CT2229" s="4"/>
      <c r="CU2229" s="4"/>
      <c r="CV2229" s="4"/>
      <c r="CW2229" s="4"/>
      <c r="CX2229" s="4"/>
      <c r="CY2229" s="4"/>
      <c r="CZ2229" s="4"/>
      <c r="DA2229" s="4"/>
      <c r="DB2229" s="4"/>
      <c r="DC2229" s="4"/>
      <c r="DD2229" s="4"/>
      <c r="DE2229" s="4"/>
      <c r="DF2229" s="4"/>
      <c r="DG2229" s="4"/>
      <c r="DH2229" s="4"/>
      <c r="DI2229" s="4"/>
      <c r="DJ2229" s="4"/>
      <c r="DK2229" s="4"/>
      <c r="DL2229" s="4"/>
      <c r="DM2229" s="4"/>
      <c r="DN2229" s="4"/>
      <c r="DO2229" s="4"/>
      <c r="DP2229" s="4"/>
      <c r="DQ2229" s="4"/>
      <c r="DR2229" s="4"/>
      <c r="DS2229" s="4"/>
      <c r="DT2229" s="4"/>
      <c r="DU2229" s="4"/>
      <c r="DV2229" s="4"/>
      <c r="DW2229" s="4"/>
      <c r="DX2229" s="4"/>
      <c r="DY2229" s="4"/>
      <c r="DZ2229" s="4"/>
      <c r="EA2229" s="4"/>
      <c r="EB2229" s="4"/>
      <c r="EC2229" s="4"/>
      <c r="ED2229" s="4"/>
      <c r="EE2229" s="4"/>
      <c r="EF2229" s="4"/>
      <c r="EG2229" s="4"/>
      <c r="EH2229" s="4"/>
      <c r="EI2229" s="4"/>
      <c r="EJ2229" s="4"/>
      <c r="EK2229" s="4"/>
      <c r="EL2229" s="4"/>
      <c r="EM2229" s="4"/>
      <c r="EN2229" s="4"/>
      <c r="EO2229" s="4"/>
      <c r="EP2229" s="4"/>
      <c r="EQ2229" s="4"/>
      <c r="ER2229" s="4"/>
      <c r="ES2229" s="4"/>
      <c r="ET2229" s="4"/>
      <c r="EU2229" s="4"/>
      <c r="EV2229" s="4"/>
      <c r="EW2229" s="4"/>
      <c r="EX2229" s="4"/>
      <c r="EY2229" s="4"/>
      <c r="EZ2229" s="4"/>
      <c r="FA2229" s="4"/>
      <c r="FB2229" s="4"/>
      <c r="FC2229" s="4"/>
      <c r="FD2229" s="4"/>
      <c r="FE2229" s="4"/>
      <c r="FF2229" s="4"/>
      <c r="FG2229" s="4"/>
      <c r="FH2229" s="4"/>
      <c r="FI2229" s="4"/>
      <c r="FJ2229" s="4"/>
      <c r="FK2229" s="4"/>
      <c r="FL2229" s="4"/>
      <c r="FM2229" s="4"/>
      <c r="FN2229" s="4"/>
      <c r="FO2229" s="4"/>
      <c r="FP2229" s="4"/>
      <c r="FQ2229" s="4"/>
      <c r="FR2229" s="4"/>
      <c r="FS2229" s="4"/>
      <c r="FT2229" s="4"/>
      <c r="FU2229" s="4"/>
      <c r="FV2229" s="4"/>
      <c r="FW2229" s="4"/>
      <c r="FX2229" s="4"/>
      <c r="FY2229" s="4"/>
      <c r="FZ2229" s="4"/>
      <c r="GA2229" s="4"/>
      <c r="GB2229" s="4"/>
      <c r="GC2229" s="4"/>
      <c r="GD2229" s="4"/>
      <c r="GE2229" s="4"/>
      <c r="GF2229" s="4"/>
      <c r="GG2229" s="4"/>
      <c r="GH2229" s="4"/>
      <c r="GI2229" s="4"/>
      <c r="GJ2229" s="4"/>
      <c r="GK2229" s="4"/>
      <c r="GL2229" s="4"/>
      <c r="GM2229" s="4"/>
      <c r="GN2229" s="4"/>
      <c r="GO2229" s="4"/>
      <c r="GP2229" s="4"/>
      <c r="GQ2229" s="4"/>
      <c r="GR2229" s="4"/>
      <c r="GS2229" s="4"/>
      <c r="GT2229" s="4"/>
      <c r="GU2229" s="4"/>
      <c r="GV2229" s="4"/>
      <c r="GW2229" s="4"/>
      <c r="GX2229" s="4"/>
      <c r="GY2229" s="4"/>
      <c r="GZ2229" s="4"/>
      <c r="HA2229" s="4"/>
      <c r="HB2229" s="4"/>
      <c r="HC2229" s="4"/>
      <c r="HD2229" s="4"/>
      <c r="HE2229" s="4"/>
    </row>
    <row r="2230">
      <c r="A2230" s="2" t="s">
        <v>10489</v>
      </c>
      <c r="B2230" s="2" t="s">
        <v>958</v>
      </c>
      <c r="C2230" s="2" t="s">
        <v>300</v>
      </c>
      <c r="D2230" s="2" t="s">
        <v>1790</v>
      </c>
      <c r="E2230" s="2" t="s">
        <v>1791</v>
      </c>
      <c r="F2230" s="2" t="s">
        <v>10490</v>
      </c>
      <c r="G2230" s="2" t="s">
        <v>10106</v>
      </c>
      <c r="H2230" s="2" t="s">
        <v>10491</v>
      </c>
      <c r="I2230" s="2" t="s">
        <v>10492</v>
      </c>
      <c r="J2230" s="2" t="s">
        <v>840</v>
      </c>
      <c r="K2230" s="2" t="s">
        <v>1478</v>
      </c>
      <c r="L2230" s="3">
        <v>171</v>
      </c>
      <c r="M2230" s="3">
        <v>179.55</v>
      </c>
      <c r="N2230" s="3">
        <v>359</v>
      </c>
      <c r="O2230" s="2" t="s">
        <v>240</v>
      </c>
      <c r="P2230" s="2" t="s">
        <v>1012</v>
      </c>
      <c r="Q2230" s="2" t="s">
        <v>234</v>
      </c>
      <c r="R2230" s="2" t="s">
        <v>228</v>
      </c>
      <c r="S2230" s="2" t="s">
        <v>228</v>
      </c>
      <c r="T2230" s="2" t="s">
        <v>228</v>
      </c>
      <c r="U2230" s="2" t="s">
        <v>416</v>
      </c>
      <c r="V2230" s="2" t="s">
        <v>236</v>
      </c>
      <c r="W2230" s="2" t="s">
        <v>463</v>
      </c>
      <c r="X2230" s="2" t="s">
        <v>1761</v>
      </c>
      <c r="Y2230" s="2" t="s">
        <v>1549</v>
      </c>
      <c r="Z2230" s="4">
        <v>39</v>
      </c>
      <c r="AA2230" s="4">
        <f>=ROUNDDOWN(39,0)</f>
      </c>
      <c r="AB2230" s="5">
        <v>1</v>
      </c>
      <c r="AC2230" s="2" t="s">
        <v>228</v>
      </c>
      <c r="AD2230" s="4"/>
      <c r="AE2230" s="4"/>
      <c r="AF2230" s="6">
        <v>66</v>
      </c>
      <c r="AG2230" s="6"/>
      <c r="AH2230" s="7">
        <v>1</v>
      </c>
      <c r="AI2230" s="4"/>
      <c r="AJ2230" s="4">
        <f>=ROUNDDOWN({0},0)</f>
      </c>
      <c r="AK2230" s="5"/>
      <c r="AL2230" s="2" t="s">
        <v>228</v>
      </c>
      <c r="AM2230" s="4"/>
      <c r="AN2230" s="4"/>
      <c r="AO2230" s="7"/>
      <c r="AP2230" s="4"/>
      <c r="AQ2230" s="8"/>
      <c r="AR2230" s="4"/>
      <c r="AS2230" s="8"/>
      <c r="AT2230" s="7"/>
      <c r="AU2230" s="7"/>
      <c r="AV2230" s="4"/>
      <c r="AW2230" s="8"/>
      <c r="AX2230" s="4"/>
      <c r="AY2230" s="8"/>
      <c r="AZ2230" s="7"/>
      <c r="BA2230" s="7"/>
      <c r="BB2230" s="7"/>
      <c r="BC2230" s="4"/>
      <c r="BD2230" s="8"/>
      <c r="BE2230" s="4"/>
      <c r="BF2230" s="8"/>
      <c r="BG2230" s="7"/>
      <c r="BH2230" s="7"/>
      <c r="BI2230" s="7"/>
      <c r="BJ2230" s="4"/>
      <c r="BK2230" s="8"/>
      <c r="BL2230" s="2" t="s">
        <v>228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10493</v>
      </c>
      <c r="BV2230" s="2" t="s">
        <v>228</v>
      </c>
      <c r="BW2230" s="2" t="s">
        <v>228</v>
      </c>
      <c r="BX2230" s="2" t="s">
        <v>273</v>
      </c>
      <c r="BY2230" s="2" t="s">
        <v>274</v>
      </c>
      <c r="BZ2230" s="2" t="s">
        <v>240</v>
      </c>
      <c r="CA2230" s="2" t="s">
        <v>1559</v>
      </c>
      <c r="CB2230" s="2" t="s">
        <v>3296</v>
      </c>
      <c r="CC2230" s="2" t="s">
        <v>241</v>
      </c>
      <c r="CD2230" s="2" t="s">
        <v>228</v>
      </c>
      <c r="CE2230" s="4"/>
      <c r="CF2230" s="4">
        <v>39</v>
      </c>
      <c r="CG2230" s="4"/>
      <c r="CH2230" s="4"/>
      <c r="CI2230" s="4"/>
      <c r="CJ2230" s="4"/>
      <c r="CK2230" s="4"/>
      <c r="CL2230" s="4"/>
      <c r="CM2230" s="4"/>
      <c r="CN2230" s="4"/>
      <c r="CO2230" s="4"/>
      <c r="CP2230" s="4"/>
      <c r="CQ2230" s="4"/>
      <c r="CR2230" s="4"/>
      <c r="CS2230" s="4"/>
      <c r="CT2230" s="4"/>
      <c r="CU2230" s="4"/>
      <c r="CV2230" s="4"/>
      <c r="CW2230" s="4"/>
      <c r="CX2230" s="4"/>
      <c r="CY2230" s="4"/>
      <c r="CZ2230" s="4"/>
      <c r="DA2230" s="4"/>
      <c r="DB2230" s="4"/>
      <c r="DC2230" s="4"/>
      <c r="DD2230" s="4"/>
      <c r="DE2230" s="4"/>
      <c r="DF2230" s="4"/>
      <c r="DG2230" s="4"/>
      <c r="DH2230" s="4"/>
      <c r="DI2230" s="4"/>
      <c r="DJ2230" s="4"/>
      <c r="DK2230" s="4"/>
      <c r="DL2230" s="4"/>
      <c r="DM2230" s="4"/>
      <c r="DN2230" s="4"/>
      <c r="DO2230" s="4"/>
      <c r="DP2230" s="4"/>
      <c r="DQ2230" s="4"/>
      <c r="DR2230" s="4"/>
      <c r="DS2230" s="4"/>
      <c r="DT2230" s="4"/>
      <c r="DU2230" s="4"/>
      <c r="DV2230" s="4"/>
      <c r="DW2230" s="4"/>
      <c r="DX2230" s="4"/>
      <c r="DY2230" s="4"/>
      <c r="DZ2230" s="4"/>
      <c r="EA2230" s="4"/>
      <c r="EB2230" s="4"/>
      <c r="EC2230" s="4"/>
      <c r="ED2230" s="4"/>
      <c r="EE2230" s="4"/>
      <c r="EF2230" s="4"/>
      <c r="EG2230" s="4"/>
      <c r="EH2230" s="4"/>
      <c r="EI2230" s="4"/>
      <c r="EJ2230" s="4"/>
      <c r="EK2230" s="4"/>
      <c r="EL2230" s="4"/>
      <c r="EM2230" s="4"/>
      <c r="EN2230" s="4"/>
      <c r="EO2230" s="4"/>
      <c r="EP2230" s="4"/>
      <c r="EQ2230" s="4"/>
      <c r="ER2230" s="4"/>
      <c r="ES2230" s="4"/>
      <c r="ET2230" s="4"/>
      <c r="EU2230" s="4"/>
      <c r="EV2230" s="4"/>
      <c r="EW2230" s="4"/>
      <c r="EX2230" s="4"/>
      <c r="EY2230" s="4"/>
      <c r="EZ2230" s="4"/>
      <c r="FA2230" s="4"/>
      <c r="FB2230" s="4"/>
      <c r="FC2230" s="4"/>
      <c r="FD2230" s="4"/>
      <c r="FE2230" s="4"/>
      <c r="FF2230" s="4"/>
      <c r="FG2230" s="4"/>
      <c r="FH2230" s="4"/>
      <c r="FI2230" s="4"/>
      <c r="FJ2230" s="4"/>
      <c r="FK2230" s="4"/>
      <c r="FL2230" s="4"/>
      <c r="FM2230" s="4"/>
      <c r="FN2230" s="4"/>
      <c r="FO2230" s="4"/>
      <c r="FP2230" s="4"/>
      <c r="FQ2230" s="4"/>
      <c r="FR2230" s="4"/>
      <c r="FS2230" s="4"/>
      <c r="FT2230" s="4"/>
      <c r="FU2230" s="4"/>
      <c r="FV2230" s="4"/>
      <c r="FW2230" s="4"/>
      <c r="FX2230" s="4"/>
      <c r="FY2230" s="4"/>
      <c r="FZ2230" s="4"/>
      <c r="GA2230" s="4"/>
      <c r="GB2230" s="4"/>
      <c r="GC2230" s="4"/>
      <c r="GD2230" s="4"/>
      <c r="GE2230" s="4"/>
      <c r="GF2230" s="4"/>
      <c r="GG2230" s="4"/>
      <c r="GH2230" s="4"/>
      <c r="GI2230" s="4"/>
      <c r="GJ2230" s="4"/>
      <c r="GK2230" s="4"/>
      <c r="GL2230" s="4"/>
      <c r="GM2230" s="4"/>
      <c r="GN2230" s="4"/>
      <c r="GO2230" s="4"/>
      <c r="GP2230" s="4"/>
      <c r="GQ2230" s="4"/>
      <c r="GR2230" s="4"/>
      <c r="GS2230" s="4"/>
      <c r="GT2230" s="4"/>
      <c r="GU2230" s="4"/>
      <c r="GV2230" s="4"/>
      <c r="GW2230" s="4"/>
      <c r="GX2230" s="4"/>
      <c r="GY2230" s="4"/>
      <c r="GZ2230" s="4"/>
      <c r="HA2230" s="4"/>
      <c r="HB2230" s="4"/>
      <c r="HC2230" s="4"/>
      <c r="HD2230" s="4"/>
      <c r="HE2230" s="4"/>
    </row>
    <row r="2231">
      <c r="A2231" s="2" t="s">
        <v>10494</v>
      </c>
      <c r="B2231" s="2" t="s">
        <v>958</v>
      </c>
      <c r="C2231" s="2" t="s">
        <v>835</v>
      </c>
      <c r="D2231" s="2" t="s">
        <v>2122</v>
      </c>
      <c r="E2231" s="2" t="s">
        <v>2123</v>
      </c>
      <c r="F2231" s="2" t="s">
        <v>10495</v>
      </c>
      <c r="G2231" s="2" t="s">
        <v>10495</v>
      </c>
      <c r="H2231" s="2" t="s">
        <v>10495</v>
      </c>
      <c r="I2231" s="2" t="s">
        <v>6780</v>
      </c>
      <c r="J2231" s="2" t="s">
        <v>840</v>
      </c>
      <c r="K2231" s="2" t="s">
        <v>249</v>
      </c>
      <c r="L2231" s="3">
        <v>196.35</v>
      </c>
      <c r="M2231" s="3">
        <v>206.17</v>
      </c>
      <c r="N2231" s="3">
        <v>419</v>
      </c>
      <c r="O2231" s="2" t="s">
        <v>461</v>
      </c>
      <c r="P2231" s="2" t="s">
        <v>333</v>
      </c>
      <c r="Q2231" s="2" t="s">
        <v>234</v>
      </c>
      <c r="R2231" s="2" t="s">
        <v>228</v>
      </c>
      <c r="S2231" s="2" t="s">
        <v>228</v>
      </c>
      <c r="T2231" s="2" t="s">
        <v>228</v>
      </c>
      <c r="U2231" s="2" t="s">
        <v>228</v>
      </c>
      <c r="V2231" s="2" t="s">
        <v>236</v>
      </c>
      <c r="W2231" s="2" t="s">
        <v>3057</v>
      </c>
      <c r="X2231" s="2" t="s">
        <v>228</v>
      </c>
      <c r="Y2231" s="2" t="s">
        <v>6782</v>
      </c>
      <c r="Z2231" s="4">
        <v>38</v>
      </c>
      <c r="AA2231" s="4">
        <f>=ROUNDDOWN(13.5714285714286,0)</f>
      </c>
      <c r="AB2231" s="5">
        <v>2.8</v>
      </c>
      <c r="AC2231" s="2" t="s">
        <v>228</v>
      </c>
      <c r="AD2231" s="4"/>
      <c r="AE2231" s="4"/>
      <c r="AF2231" s="6">
        <v>74</v>
      </c>
      <c r="AG2231" s="6"/>
      <c r="AH2231" s="7">
        <v>1</v>
      </c>
      <c r="AI2231" s="4"/>
      <c r="AJ2231" s="4">
        <f>=ROUNDDOWN({0},0)</f>
      </c>
      <c r="AK2231" s="5"/>
      <c r="AL2231" s="2" t="s">
        <v>228</v>
      </c>
      <c r="AM2231" s="4"/>
      <c r="AN2231" s="4"/>
      <c r="AO2231" s="7"/>
      <c r="AP2231" s="4"/>
      <c r="AQ2231" s="8"/>
      <c r="AR2231" s="4"/>
      <c r="AS2231" s="8"/>
      <c r="AT2231" s="7"/>
      <c r="AU2231" s="7"/>
      <c r="AV2231" s="4"/>
      <c r="AW2231" s="8"/>
      <c r="AX2231" s="4"/>
      <c r="AY2231" s="8"/>
      <c r="AZ2231" s="7"/>
      <c r="BA2231" s="7"/>
      <c r="BB2231" s="7"/>
      <c r="BC2231" s="4"/>
      <c r="BD2231" s="8"/>
      <c r="BE2231" s="4"/>
      <c r="BF2231" s="8"/>
      <c r="BG2231" s="7"/>
      <c r="BH2231" s="7"/>
      <c r="BI2231" s="7"/>
      <c r="BJ2231" s="4">
        <v>12</v>
      </c>
      <c r="BK2231" s="8">
        <v>846.36</v>
      </c>
      <c r="BL2231" s="2" t="s">
        <v>622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10496</v>
      </c>
      <c r="BV2231" s="2" t="s">
        <v>228</v>
      </c>
      <c r="BW2231" s="2" t="s">
        <v>228</v>
      </c>
      <c r="BX2231" s="2" t="s">
        <v>337</v>
      </c>
      <c r="BY2231" s="2" t="s">
        <v>274</v>
      </c>
      <c r="BZ2231" s="2" t="s">
        <v>240</v>
      </c>
      <c r="CA2231" s="2" t="s">
        <v>6785</v>
      </c>
      <c r="CB2231" s="2" t="s">
        <v>9121</v>
      </c>
      <c r="CC2231" s="2" t="s">
        <v>241</v>
      </c>
      <c r="CD2231" s="2" t="s">
        <v>228</v>
      </c>
      <c r="CE2231" s="4"/>
      <c r="CF2231" s="4">
        <v>38</v>
      </c>
      <c r="CG2231" s="4"/>
      <c r="CH2231" s="4"/>
      <c r="CI2231" s="4"/>
      <c r="CJ2231" s="4"/>
      <c r="CK2231" s="4"/>
      <c r="CL2231" s="4"/>
      <c r="CM2231" s="4"/>
      <c r="CN2231" s="4"/>
      <c r="CO2231" s="4"/>
      <c r="CP2231" s="4"/>
      <c r="CQ2231" s="4"/>
      <c r="CR2231" s="4"/>
      <c r="CS2231" s="4"/>
      <c r="CT2231" s="4"/>
      <c r="CU2231" s="4"/>
      <c r="CV2231" s="4"/>
      <c r="CW2231" s="4"/>
      <c r="CX2231" s="4"/>
      <c r="CY2231" s="4"/>
      <c r="CZ2231" s="4"/>
      <c r="DA2231" s="4"/>
      <c r="DB2231" s="4"/>
      <c r="DC2231" s="4"/>
      <c r="DD2231" s="4"/>
      <c r="DE2231" s="4"/>
      <c r="DF2231" s="4"/>
      <c r="DG2231" s="4"/>
      <c r="DH2231" s="4"/>
      <c r="DI2231" s="4"/>
      <c r="DJ2231" s="4"/>
      <c r="DK2231" s="4"/>
      <c r="DL2231" s="4"/>
      <c r="DM2231" s="4"/>
      <c r="DN2231" s="4"/>
      <c r="DO2231" s="4"/>
      <c r="DP2231" s="4"/>
      <c r="DQ2231" s="4"/>
      <c r="DR2231" s="4"/>
      <c r="DS2231" s="4"/>
      <c r="DT2231" s="4"/>
      <c r="DU2231" s="4"/>
      <c r="DV2231" s="4"/>
      <c r="DW2231" s="4"/>
      <c r="DX2231" s="4"/>
      <c r="DY2231" s="4"/>
      <c r="DZ2231" s="4"/>
      <c r="EA2231" s="4"/>
      <c r="EB2231" s="4"/>
      <c r="EC2231" s="4"/>
      <c r="ED2231" s="4"/>
      <c r="EE2231" s="4"/>
      <c r="EF2231" s="4"/>
      <c r="EG2231" s="4"/>
      <c r="EH2231" s="4"/>
      <c r="EI2231" s="4"/>
      <c r="EJ2231" s="4"/>
      <c r="EK2231" s="4"/>
      <c r="EL2231" s="4"/>
      <c r="EM2231" s="4"/>
      <c r="EN2231" s="4"/>
      <c r="EO2231" s="4"/>
      <c r="EP2231" s="4"/>
      <c r="EQ2231" s="4"/>
      <c r="ER2231" s="4"/>
      <c r="ES2231" s="4"/>
      <c r="ET2231" s="4"/>
      <c r="EU2231" s="4"/>
      <c r="EV2231" s="4"/>
      <c r="EW2231" s="4"/>
      <c r="EX2231" s="4"/>
      <c r="EY2231" s="4"/>
      <c r="EZ2231" s="4"/>
      <c r="FA2231" s="4"/>
      <c r="FB2231" s="4"/>
      <c r="FC2231" s="4"/>
      <c r="FD2231" s="4"/>
      <c r="FE2231" s="4"/>
      <c r="FF2231" s="4"/>
      <c r="FG2231" s="4"/>
      <c r="FH2231" s="4"/>
      <c r="FI2231" s="4"/>
      <c r="FJ2231" s="4"/>
      <c r="FK2231" s="4"/>
      <c r="FL2231" s="4"/>
      <c r="FM2231" s="4"/>
      <c r="FN2231" s="4"/>
      <c r="FO2231" s="4"/>
      <c r="FP2231" s="4"/>
      <c r="FQ2231" s="4"/>
      <c r="FR2231" s="4"/>
      <c r="FS2231" s="4"/>
      <c r="FT2231" s="4"/>
      <c r="FU2231" s="4"/>
      <c r="FV2231" s="4"/>
      <c r="FW2231" s="4"/>
      <c r="FX2231" s="4"/>
      <c r="FY2231" s="4"/>
      <c r="FZ2231" s="4"/>
      <c r="GA2231" s="4"/>
      <c r="GB2231" s="4"/>
      <c r="GC2231" s="4"/>
      <c r="GD2231" s="4"/>
      <c r="GE2231" s="4"/>
      <c r="GF2231" s="4"/>
      <c r="GG2231" s="4"/>
      <c r="GH2231" s="4"/>
      <c r="GI2231" s="4"/>
      <c r="GJ2231" s="4"/>
      <c r="GK2231" s="4"/>
      <c r="GL2231" s="4"/>
      <c r="GM2231" s="4"/>
      <c r="GN2231" s="4"/>
      <c r="GO2231" s="4"/>
      <c r="GP2231" s="4"/>
      <c r="GQ2231" s="4"/>
      <c r="GR2231" s="4"/>
      <c r="GS2231" s="4"/>
      <c r="GT2231" s="4"/>
      <c r="GU2231" s="4"/>
      <c r="GV2231" s="4"/>
      <c r="GW2231" s="4"/>
      <c r="GX2231" s="4"/>
      <c r="GY2231" s="4"/>
      <c r="GZ2231" s="4"/>
      <c r="HA2231" s="4"/>
      <c r="HB2231" s="4"/>
      <c r="HC2231" s="4"/>
      <c r="HD2231" s="4"/>
      <c r="HE2231" s="4"/>
    </row>
    <row r="2232">
      <c r="A2232" s="2" t="s">
        <v>10497</v>
      </c>
      <c r="B2232" s="2" t="s">
        <v>223</v>
      </c>
      <c r="C2232" s="2" t="s">
        <v>835</v>
      </c>
      <c r="D2232" s="2" t="s">
        <v>1601</v>
      </c>
      <c r="E2232" s="2" t="s">
        <v>2421</v>
      </c>
      <c r="F2232" s="2" t="s">
        <v>10498</v>
      </c>
      <c r="G2232" s="2" t="s">
        <v>10499</v>
      </c>
      <c r="H2232" s="2" t="s">
        <v>228</v>
      </c>
      <c r="I2232" s="2" t="s">
        <v>10500</v>
      </c>
      <c r="J2232" s="2" t="s">
        <v>1412</v>
      </c>
      <c r="K2232" s="2" t="s">
        <v>249</v>
      </c>
      <c r="L2232" s="3">
        <v>19.22</v>
      </c>
      <c r="M2232" s="3">
        <v>20.18</v>
      </c>
      <c r="N2232" s="3">
        <v>41.99</v>
      </c>
      <c r="O2232" s="2" t="s">
        <v>240</v>
      </c>
      <c r="P2232" s="2" t="s">
        <v>266</v>
      </c>
      <c r="Q2232" s="2" t="s">
        <v>234</v>
      </c>
      <c r="R2232" s="2" t="s">
        <v>228</v>
      </c>
      <c r="S2232" s="2" t="s">
        <v>10501</v>
      </c>
      <c r="T2232" s="2" t="s">
        <v>2594</v>
      </c>
      <c r="U2232" s="2" t="s">
        <v>416</v>
      </c>
      <c r="V2232" s="2" t="s">
        <v>1332</v>
      </c>
      <c r="W2232" s="2" t="s">
        <v>843</v>
      </c>
      <c r="X2232" s="2" t="s">
        <v>417</v>
      </c>
      <c r="Y2232" s="2" t="s">
        <v>10502</v>
      </c>
      <c r="Z2232" s="4">
        <v>265</v>
      </c>
      <c r="AA2232" s="4">
        <f>=ROUNDDOWN(17.6666666666667,0)</f>
      </c>
      <c r="AB2232" s="5">
        <v>15</v>
      </c>
      <c r="AC2232" s="2" t="s">
        <v>168</v>
      </c>
      <c r="AD2232" s="4">
        <v>500</v>
      </c>
      <c r="AE2232" s="4">
        <v>1000</v>
      </c>
      <c r="AF2232" s="6">
        <v>64</v>
      </c>
      <c r="AG2232" s="6"/>
      <c r="AH2232" s="7">
        <v>1</v>
      </c>
      <c r="AI2232" s="4"/>
      <c r="AJ2232" s="4">
        <f>=ROUNDDOWN({0},0)</f>
      </c>
      <c r="AK2232" s="5"/>
      <c r="AL2232" s="2" t="s">
        <v>228</v>
      </c>
      <c r="AM2232" s="4"/>
      <c r="AN2232" s="4"/>
      <c r="AO2232" s="7"/>
      <c r="AP2232" s="4"/>
      <c r="AQ2232" s="8"/>
      <c r="AR2232" s="4"/>
      <c r="AS2232" s="8"/>
      <c r="AT2232" s="7"/>
      <c r="AU2232" s="7"/>
      <c r="AV2232" s="4"/>
      <c r="AW2232" s="8"/>
      <c r="AX2232" s="4"/>
      <c r="AY2232" s="8"/>
      <c r="AZ2232" s="7"/>
      <c r="BA2232" s="7"/>
      <c r="BB2232" s="7"/>
      <c r="BC2232" s="4" t="s">
        <v>228</v>
      </c>
      <c r="BD2232" s="8" t="s">
        <v>228</v>
      </c>
      <c r="BE2232" s="4" t="s">
        <v>228</v>
      </c>
      <c r="BF2232" s="8" t="s">
        <v>228</v>
      </c>
      <c r="BG2232" s="7" t="s">
        <v>228</v>
      </c>
      <c r="BH2232" s="7" t="s">
        <v>228</v>
      </c>
      <c r="BI2232" s="7"/>
      <c r="BJ2232" s="4">
        <v>42</v>
      </c>
      <c r="BK2232" s="8">
        <v>860.81</v>
      </c>
      <c r="BL2232" s="2" t="s">
        <v>1482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10503</v>
      </c>
      <c r="BV2232" s="2" t="s">
        <v>228</v>
      </c>
      <c r="BW2232" s="2" t="s">
        <v>228</v>
      </c>
      <c r="BX2232" s="2" t="s">
        <v>273</v>
      </c>
      <c r="BY2232" s="2" t="s">
        <v>274</v>
      </c>
      <c r="BZ2232" s="2" t="s">
        <v>240</v>
      </c>
      <c r="CA2232" s="2" t="s">
        <v>4370</v>
      </c>
      <c r="CB2232" s="2" t="s">
        <v>5870</v>
      </c>
      <c r="CC2232" s="2" t="s">
        <v>241</v>
      </c>
      <c r="CD2232" s="2" t="s">
        <v>228</v>
      </c>
      <c r="CE2232" s="4">
        <v>265</v>
      </c>
      <c r="CF2232" s="4"/>
      <c r="CG2232" s="4"/>
      <c r="CH2232" s="4"/>
      <c r="CI2232" s="4"/>
      <c r="CJ2232" s="4"/>
      <c r="CK2232" s="4"/>
      <c r="CL2232" s="4"/>
      <c r="CM2232" s="4"/>
      <c r="CN2232" s="4"/>
      <c r="CO2232" s="4"/>
      <c r="CP2232" s="4"/>
      <c r="CQ2232" s="4"/>
      <c r="CR2232" s="4"/>
      <c r="CS2232" s="4"/>
      <c r="CT2232" s="4"/>
      <c r="CU2232" s="4"/>
      <c r="CV2232" s="4"/>
      <c r="CW2232" s="4"/>
      <c r="CX2232" s="4"/>
      <c r="CY2232" s="4"/>
      <c r="CZ2232" s="4"/>
      <c r="DA2232" s="4"/>
      <c r="DB2232" s="4"/>
      <c r="DC2232" s="4"/>
      <c r="DD2232" s="4"/>
      <c r="DE2232" s="4"/>
      <c r="DF2232" s="4"/>
      <c r="DG2232" s="4"/>
      <c r="DH2232" s="4"/>
      <c r="DI2232" s="4"/>
      <c r="DJ2232" s="4"/>
      <c r="DK2232" s="4"/>
      <c r="DL2232" s="4"/>
      <c r="DM2232" s="4"/>
      <c r="DN2232" s="4"/>
      <c r="DO2232" s="4"/>
      <c r="DP2232" s="4"/>
      <c r="DQ2232" s="4"/>
      <c r="DR2232" s="4"/>
      <c r="DS2232" s="4"/>
      <c r="DT2232" s="4"/>
      <c r="DU2232" s="4"/>
      <c r="DV2232" s="4"/>
      <c r="DW2232" s="4"/>
      <c r="DX2232" s="4"/>
      <c r="DY2232" s="4"/>
      <c r="DZ2232" s="4"/>
      <c r="EA2232" s="4"/>
      <c r="EB2232" s="4"/>
      <c r="EC2232" s="4"/>
      <c r="ED2232" s="4"/>
      <c r="EE2232" s="4"/>
      <c r="EF2232" s="4"/>
      <c r="EG2232" s="4"/>
      <c r="EH2232" s="4"/>
      <c r="EI2232" s="4"/>
      <c r="EJ2232" s="4"/>
      <c r="EK2232" s="4"/>
      <c r="EL2232" s="4"/>
      <c r="EM2232" s="4"/>
      <c r="EN2232" s="4"/>
      <c r="EO2232" s="4"/>
      <c r="EP2232" s="4"/>
      <c r="EQ2232" s="4"/>
      <c r="ER2232" s="4"/>
      <c r="ES2232" s="4"/>
      <c r="ET2232" s="4"/>
      <c r="EU2232" s="4"/>
      <c r="EV2232" s="4"/>
      <c r="EW2232" s="4"/>
      <c r="EX2232" s="4"/>
      <c r="EY2232" s="4"/>
      <c r="EZ2232" s="4"/>
      <c r="FA2232" s="4"/>
      <c r="FB2232" s="4"/>
      <c r="FC2232" s="4"/>
      <c r="FD2232" s="4">
        <v>500</v>
      </c>
      <c r="FE2232" s="4"/>
      <c r="FF2232" s="4"/>
      <c r="FG2232" s="4"/>
      <c r="FH2232" s="4"/>
      <c r="FI2232" s="4"/>
      <c r="FJ2232" s="4"/>
      <c r="FK2232" s="4"/>
      <c r="FL2232" s="4"/>
      <c r="FM2232" s="4"/>
      <c r="FN2232" s="4"/>
      <c r="FO2232" s="4"/>
      <c r="FP2232" s="4"/>
      <c r="FQ2232" s="4"/>
      <c r="FR2232" s="4"/>
      <c r="FS2232" s="4"/>
      <c r="FT2232" s="4"/>
      <c r="FU2232" s="4"/>
      <c r="FV2232" s="4"/>
      <c r="FW2232" s="4"/>
      <c r="FX2232" s="4"/>
      <c r="FY2232" s="4"/>
      <c r="FZ2232" s="4"/>
      <c r="GA2232" s="4"/>
      <c r="GB2232" s="4"/>
      <c r="GC2232" s="4"/>
      <c r="GD2232" s="4"/>
      <c r="GE2232" s="4"/>
      <c r="GF2232" s="4"/>
      <c r="GG2232" s="4"/>
      <c r="GH2232" s="4"/>
      <c r="GI2232" s="4"/>
      <c r="GJ2232" s="4"/>
      <c r="GK2232" s="4"/>
      <c r="GL2232" s="4"/>
      <c r="GM2232" s="4"/>
      <c r="GN2232" s="4"/>
      <c r="GO2232" s="4"/>
      <c r="GP2232" s="4"/>
      <c r="GQ2232" s="4"/>
      <c r="GR2232" s="4"/>
      <c r="GS2232" s="4">
        <v>500</v>
      </c>
      <c r="GT2232" s="4"/>
      <c r="GU2232" s="4"/>
      <c r="GV2232" s="4"/>
      <c r="GW2232" s="4"/>
      <c r="GX2232" s="4"/>
      <c r="GY2232" s="4"/>
      <c r="GZ2232" s="4"/>
      <c r="HA2232" s="4"/>
      <c r="HB2232" s="4"/>
      <c r="HC2232" s="4"/>
      <c r="HD2232" s="4"/>
      <c r="HE2232" s="4"/>
    </row>
    <row r="2233">
      <c r="A2233" s="2" t="s">
        <v>10504</v>
      </c>
      <c r="B2233" s="2" t="s">
        <v>223</v>
      </c>
      <c r="C2233" s="2" t="s">
        <v>835</v>
      </c>
      <c r="D2233" s="2" t="s">
        <v>1601</v>
      </c>
      <c r="E2233" s="2" t="s">
        <v>2421</v>
      </c>
      <c r="F2233" s="2" t="s">
        <v>10498</v>
      </c>
      <c r="G2233" s="2" t="s">
        <v>10499</v>
      </c>
      <c r="H2233" s="2" t="s">
        <v>228</v>
      </c>
      <c r="I2233" s="2" t="s">
        <v>10500</v>
      </c>
      <c r="J2233" s="2" t="s">
        <v>1412</v>
      </c>
      <c r="K2233" s="2" t="s">
        <v>251</v>
      </c>
      <c r="L2233" s="3">
        <v>19.22</v>
      </c>
      <c r="M2233" s="3">
        <v>20.18</v>
      </c>
      <c r="N2233" s="3">
        <v>41.99</v>
      </c>
      <c r="O2233" s="2" t="s">
        <v>240</v>
      </c>
      <c r="P2233" s="2" t="s">
        <v>333</v>
      </c>
      <c r="Q2233" s="2" t="s">
        <v>234</v>
      </c>
      <c r="R2233" s="2" t="s">
        <v>228</v>
      </c>
      <c r="S2233" s="2" t="s">
        <v>10501</v>
      </c>
      <c r="T2233" s="2" t="s">
        <v>228</v>
      </c>
      <c r="U2233" s="2" t="s">
        <v>416</v>
      </c>
      <c r="V2233" s="2" t="s">
        <v>1332</v>
      </c>
      <c r="W2233" s="2" t="s">
        <v>843</v>
      </c>
      <c r="X2233" s="2" t="s">
        <v>417</v>
      </c>
      <c r="Y2233" s="2" t="s">
        <v>10502</v>
      </c>
      <c r="Z2233" s="4">
        <v>304</v>
      </c>
      <c r="AA2233" s="4">
        <f>=ROUNDDOWN(38,0)</f>
      </c>
      <c r="AB2233" s="5">
        <v>8</v>
      </c>
      <c r="AC2233" s="2" t="s">
        <v>228</v>
      </c>
      <c r="AD2233" s="4"/>
      <c r="AE2233" s="4"/>
      <c r="AF2233" s="6">
        <v>64</v>
      </c>
      <c r="AG2233" s="6"/>
      <c r="AH2233" s="7">
        <v>1</v>
      </c>
      <c r="AI2233" s="4"/>
      <c r="AJ2233" s="4">
        <f>=ROUNDDOWN({0},0)</f>
      </c>
      <c r="AK2233" s="5"/>
      <c r="AL2233" s="2" t="s">
        <v>228</v>
      </c>
      <c r="AM2233" s="4"/>
      <c r="AN2233" s="4"/>
      <c r="AO2233" s="7"/>
      <c r="AP2233" s="4"/>
      <c r="AQ2233" s="8"/>
      <c r="AR2233" s="4"/>
      <c r="AS2233" s="8"/>
      <c r="AT2233" s="7"/>
      <c r="AU2233" s="7"/>
      <c r="AV2233" s="4"/>
      <c r="AW2233" s="8"/>
      <c r="AX2233" s="4"/>
      <c r="AY2233" s="8"/>
      <c r="AZ2233" s="7"/>
      <c r="BA2233" s="7"/>
      <c r="BB2233" s="7"/>
      <c r="BC2233" s="4" t="s">
        <v>228</v>
      </c>
      <c r="BD2233" s="8" t="s">
        <v>228</v>
      </c>
      <c r="BE2233" s="4" t="s">
        <v>228</v>
      </c>
      <c r="BF2233" s="8" t="s">
        <v>228</v>
      </c>
      <c r="BG2233" s="7" t="s">
        <v>228</v>
      </c>
      <c r="BH2233" s="7" t="s">
        <v>228</v>
      </c>
      <c r="BI2233" s="7"/>
      <c r="BJ2233" s="4">
        <v>48</v>
      </c>
      <c r="BK2233" s="8">
        <v>967.87</v>
      </c>
      <c r="BL2233" s="2" t="s">
        <v>10505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10506</v>
      </c>
      <c r="BV2233" s="2" t="s">
        <v>228</v>
      </c>
      <c r="BW2233" s="2" t="s">
        <v>228</v>
      </c>
      <c r="BX2233" s="2" t="s">
        <v>337</v>
      </c>
      <c r="BY2233" s="2" t="s">
        <v>274</v>
      </c>
      <c r="BZ2233" s="2" t="s">
        <v>240</v>
      </c>
      <c r="CA2233" s="2" t="s">
        <v>4370</v>
      </c>
      <c r="CB2233" s="2" t="s">
        <v>2264</v>
      </c>
      <c r="CC2233" s="2" t="s">
        <v>241</v>
      </c>
      <c r="CD2233" s="2" t="s">
        <v>228</v>
      </c>
      <c r="CE2233" s="4">
        <v>304</v>
      </c>
      <c r="CF2233" s="4"/>
      <c r="CG2233" s="4"/>
      <c r="CH2233" s="4"/>
      <c r="CI2233" s="4"/>
      <c r="CJ2233" s="4"/>
      <c r="CK2233" s="4"/>
      <c r="CL2233" s="4"/>
      <c r="CM2233" s="4"/>
      <c r="CN2233" s="4"/>
      <c r="CO2233" s="4"/>
      <c r="CP2233" s="4"/>
      <c r="CQ2233" s="4"/>
      <c r="CR2233" s="4"/>
      <c r="CS2233" s="4"/>
      <c r="CT2233" s="4"/>
      <c r="CU2233" s="4"/>
      <c r="CV2233" s="4"/>
      <c r="CW2233" s="4"/>
      <c r="CX2233" s="4"/>
      <c r="CY2233" s="4"/>
      <c r="CZ2233" s="4"/>
      <c r="DA2233" s="4"/>
      <c r="DB2233" s="4"/>
      <c r="DC2233" s="4"/>
      <c r="DD2233" s="4"/>
      <c r="DE2233" s="4"/>
      <c r="DF2233" s="4"/>
      <c r="DG2233" s="4"/>
      <c r="DH2233" s="4"/>
      <c r="DI2233" s="4"/>
      <c r="DJ2233" s="4"/>
      <c r="DK2233" s="4"/>
      <c r="DL2233" s="4"/>
      <c r="DM2233" s="4"/>
      <c r="DN2233" s="4"/>
      <c r="DO2233" s="4"/>
      <c r="DP2233" s="4"/>
      <c r="DQ2233" s="4"/>
      <c r="DR2233" s="4"/>
      <c r="DS2233" s="4"/>
      <c r="DT2233" s="4"/>
      <c r="DU2233" s="4"/>
      <c r="DV2233" s="4"/>
      <c r="DW2233" s="4"/>
      <c r="DX2233" s="4"/>
      <c r="DY2233" s="4"/>
      <c r="DZ2233" s="4"/>
      <c r="EA2233" s="4"/>
      <c r="EB2233" s="4"/>
      <c r="EC2233" s="4"/>
      <c r="ED2233" s="4"/>
      <c r="EE2233" s="4"/>
      <c r="EF2233" s="4"/>
      <c r="EG2233" s="4"/>
      <c r="EH2233" s="4"/>
      <c r="EI2233" s="4"/>
      <c r="EJ2233" s="4"/>
      <c r="EK2233" s="4"/>
      <c r="EL2233" s="4"/>
      <c r="EM2233" s="4"/>
      <c r="EN2233" s="4"/>
      <c r="EO2233" s="4"/>
      <c r="EP2233" s="4"/>
      <c r="EQ2233" s="4"/>
      <c r="ER2233" s="4"/>
      <c r="ES2233" s="4"/>
      <c r="ET2233" s="4"/>
      <c r="EU2233" s="4"/>
      <c r="EV2233" s="4"/>
      <c r="EW2233" s="4"/>
      <c r="EX2233" s="4"/>
      <c r="EY2233" s="4"/>
      <c r="EZ2233" s="4"/>
      <c r="FA2233" s="4"/>
      <c r="FB2233" s="4"/>
      <c r="FC2233" s="4"/>
      <c r="FD2233" s="4"/>
      <c r="FE2233" s="4"/>
      <c r="FF2233" s="4"/>
      <c r="FG2233" s="4"/>
      <c r="FH2233" s="4"/>
      <c r="FI2233" s="4"/>
      <c r="FJ2233" s="4"/>
      <c r="FK2233" s="4"/>
      <c r="FL2233" s="4"/>
      <c r="FM2233" s="4"/>
      <c r="FN2233" s="4"/>
      <c r="FO2233" s="4"/>
      <c r="FP2233" s="4"/>
      <c r="FQ2233" s="4"/>
      <c r="FR2233" s="4"/>
      <c r="FS2233" s="4"/>
      <c r="FT2233" s="4"/>
      <c r="FU2233" s="4"/>
      <c r="FV2233" s="4"/>
      <c r="FW2233" s="4"/>
      <c r="FX2233" s="4"/>
      <c r="FY2233" s="4"/>
      <c r="FZ2233" s="4"/>
      <c r="GA2233" s="4"/>
      <c r="GB2233" s="4"/>
      <c r="GC2233" s="4"/>
      <c r="GD2233" s="4"/>
      <c r="GE2233" s="4"/>
      <c r="GF2233" s="4"/>
      <c r="GG2233" s="4"/>
      <c r="GH2233" s="4"/>
      <c r="GI2233" s="4"/>
      <c r="GJ2233" s="4"/>
      <c r="GK2233" s="4"/>
      <c r="GL2233" s="4"/>
      <c r="GM2233" s="4"/>
      <c r="GN2233" s="4"/>
      <c r="GO2233" s="4"/>
      <c r="GP2233" s="4"/>
      <c r="GQ2233" s="4"/>
      <c r="GR2233" s="4"/>
      <c r="GS2233" s="4"/>
      <c r="GT2233" s="4"/>
      <c r="GU2233" s="4"/>
      <c r="GV2233" s="4"/>
      <c r="GW2233" s="4"/>
      <c r="GX2233" s="4"/>
      <c r="GY2233" s="4"/>
      <c r="GZ2233" s="4"/>
      <c r="HA2233" s="4"/>
      <c r="HB2233" s="4"/>
      <c r="HC2233" s="4"/>
      <c r="HD2233" s="4"/>
      <c r="HE2233" s="4"/>
    </row>
    <row r="2234">
      <c r="A2234" s="2" t="s">
        <v>10507</v>
      </c>
      <c r="B2234" s="2" t="s">
        <v>866</v>
      </c>
      <c r="C2234" s="2" t="s">
        <v>849</v>
      </c>
      <c r="D2234" s="2" t="s">
        <v>1880</v>
      </c>
      <c r="E2234" s="2" t="s">
        <v>7265</v>
      </c>
      <c r="F2234" s="2" t="s">
        <v>10508</v>
      </c>
      <c r="G2234" s="2" t="s">
        <v>10508</v>
      </c>
      <c r="H2234" s="2" t="s">
        <v>10508</v>
      </c>
      <c r="I2234" s="2" t="s">
        <v>10509</v>
      </c>
      <c r="J2234" s="2" t="s">
        <v>840</v>
      </c>
      <c r="K2234" s="2" t="s">
        <v>888</v>
      </c>
      <c r="L2234" s="3">
        <v>19.21</v>
      </c>
      <c r="M2234" s="3">
        <v>20.17</v>
      </c>
      <c r="N2234" s="3">
        <v>36.99</v>
      </c>
      <c r="O2234" s="2" t="s">
        <v>461</v>
      </c>
      <c r="P2234" s="2" t="s">
        <v>333</v>
      </c>
      <c r="Q2234" s="2" t="s">
        <v>234</v>
      </c>
      <c r="R2234" s="2" t="s">
        <v>228</v>
      </c>
      <c r="S2234" s="2" t="s">
        <v>10510</v>
      </c>
      <c r="T2234" s="2" t="s">
        <v>228</v>
      </c>
      <c r="U2234" s="2" t="s">
        <v>500</v>
      </c>
      <c r="V2234" s="2" t="s">
        <v>1156</v>
      </c>
      <c r="W2234" s="2" t="s">
        <v>269</v>
      </c>
      <c r="X2234" s="2" t="s">
        <v>228</v>
      </c>
      <c r="Y2234" s="2" t="s">
        <v>270</v>
      </c>
      <c r="Z2234" s="4">
        <v>70</v>
      </c>
      <c r="AA2234" s="4">
        <f>=ROUNDDOWN(13.2075471698113,0)</f>
      </c>
      <c r="AB2234" s="5">
        <v>5.3</v>
      </c>
      <c r="AC2234" s="2" t="s">
        <v>228</v>
      </c>
      <c r="AD2234" s="4"/>
      <c r="AE2234" s="4"/>
      <c r="AF2234" s="6">
        <v>63</v>
      </c>
      <c r="AG2234" s="6"/>
      <c r="AH2234" s="7">
        <v>1</v>
      </c>
      <c r="AI2234" s="4"/>
      <c r="AJ2234" s="4">
        <f>=ROUNDDOWN({0},0)</f>
      </c>
      <c r="AK2234" s="5"/>
      <c r="AL2234" s="2" t="s">
        <v>228</v>
      </c>
      <c r="AM2234" s="4"/>
      <c r="AN2234" s="4"/>
      <c r="AO2234" s="7"/>
      <c r="AP2234" s="4"/>
      <c r="AQ2234" s="8"/>
      <c r="AR2234" s="4"/>
      <c r="AS2234" s="8"/>
      <c r="AT2234" s="7"/>
      <c r="AU2234" s="7"/>
      <c r="AV2234" s="4"/>
      <c r="AW2234" s="8"/>
      <c r="AX2234" s="4"/>
      <c r="AY2234" s="8"/>
      <c r="AZ2234" s="7"/>
      <c r="BA2234" s="7"/>
      <c r="BB2234" s="7"/>
      <c r="BC2234" s="4"/>
      <c r="BD2234" s="8"/>
      <c r="BE2234" s="4"/>
      <c r="BF2234" s="8"/>
      <c r="BG2234" s="7"/>
      <c r="BH2234" s="7"/>
      <c r="BI2234" s="7"/>
      <c r="BJ2234" s="4">
        <v>33</v>
      </c>
      <c r="BK2234" s="8">
        <v>538.78</v>
      </c>
      <c r="BL2234" s="2" t="s">
        <v>10511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10512</v>
      </c>
      <c r="BV2234" s="2" t="s">
        <v>228</v>
      </c>
      <c r="BW2234" s="2" t="s">
        <v>228</v>
      </c>
      <c r="BX2234" s="2" t="s">
        <v>337</v>
      </c>
      <c r="BY2234" s="2" t="s">
        <v>274</v>
      </c>
      <c r="BZ2234" s="2" t="s">
        <v>240</v>
      </c>
      <c r="CA2234" s="2" t="s">
        <v>1950</v>
      </c>
      <c r="CB2234" s="2" t="s">
        <v>2714</v>
      </c>
      <c r="CC2234" s="2" t="s">
        <v>241</v>
      </c>
      <c r="CD2234" s="2" t="s">
        <v>228</v>
      </c>
      <c r="CE2234" s="4"/>
      <c r="CF2234" s="4">
        <v>70</v>
      </c>
      <c r="CG2234" s="4"/>
      <c r="CH2234" s="4"/>
      <c r="CI2234" s="4"/>
      <c r="CJ2234" s="4"/>
      <c r="CK2234" s="4"/>
      <c r="CL2234" s="4"/>
      <c r="CM2234" s="4"/>
      <c r="CN2234" s="4"/>
      <c r="CO2234" s="4"/>
      <c r="CP2234" s="4"/>
      <c r="CQ2234" s="4"/>
      <c r="CR2234" s="4"/>
      <c r="CS2234" s="4"/>
      <c r="CT2234" s="4"/>
      <c r="CU2234" s="4"/>
      <c r="CV2234" s="4"/>
      <c r="CW2234" s="4"/>
      <c r="CX2234" s="4"/>
      <c r="CY2234" s="4"/>
      <c r="CZ2234" s="4"/>
      <c r="DA2234" s="4"/>
      <c r="DB2234" s="4"/>
      <c r="DC2234" s="4"/>
      <c r="DD2234" s="4"/>
      <c r="DE2234" s="4"/>
      <c r="DF2234" s="4"/>
      <c r="DG2234" s="4"/>
      <c r="DH2234" s="4"/>
      <c r="DI2234" s="4"/>
      <c r="DJ2234" s="4"/>
      <c r="DK2234" s="4"/>
      <c r="DL2234" s="4"/>
      <c r="DM2234" s="4"/>
      <c r="DN2234" s="4"/>
      <c r="DO2234" s="4"/>
      <c r="DP2234" s="4"/>
      <c r="DQ2234" s="4"/>
      <c r="DR2234" s="4"/>
      <c r="DS2234" s="4"/>
      <c r="DT2234" s="4"/>
      <c r="DU2234" s="4"/>
      <c r="DV2234" s="4"/>
      <c r="DW2234" s="4"/>
      <c r="DX2234" s="4"/>
      <c r="DY2234" s="4"/>
      <c r="DZ2234" s="4"/>
      <c r="EA2234" s="4"/>
      <c r="EB2234" s="4"/>
      <c r="EC2234" s="4"/>
      <c r="ED2234" s="4"/>
      <c r="EE2234" s="4"/>
      <c r="EF2234" s="4"/>
      <c r="EG2234" s="4"/>
      <c r="EH2234" s="4"/>
      <c r="EI2234" s="4"/>
      <c r="EJ2234" s="4"/>
      <c r="EK2234" s="4"/>
      <c r="EL2234" s="4"/>
      <c r="EM2234" s="4"/>
      <c r="EN2234" s="4"/>
      <c r="EO2234" s="4"/>
      <c r="EP2234" s="4"/>
      <c r="EQ2234" s="4"/>
      <c r="ER2234" s="4"/>
      <c r="ES2234" s="4"/>
      <c r="ET2234" s="4"/>
      <c r="EU2234" s="4"/>
      <c r="EV2234" s="4"/>
      <c r="EW2234" s="4"/>
      <c r="EX2234" s="4"/>
      <c r="EY2234" s="4"/>
      <c r="EZ2234" s="4"/>
      <c r="FA2234" s="4"/>
      <c r="FB2234" s="4"/>
      <c r="FC2234" s="4"/>
      <c r="FD2234" s="4"/>
      <c r="FE2234" s="4"/>
      <c r="FF2234" s="4"/>
      <c r="FG2234" s="4"/>
      <c r="FH2234" s="4"/>
      <c r="FI2234" s="4"/>
      <c r="FJ2234" s="4"/>
      <c r="FK2234" s="4"/>
      <c r="FL2234" s="4"/>
      <c r="FM2234" s="4"/>
      <c r="FN2234" s="4"/>
      <c r="FO2234" s="4"/>
      <c r="FP2234" s="4"/>
      <c r="FQ2234" s="4"/>
      <c r="FR2234" s="4"/>
      <c r="FS2234" s="4"/>
      <c r="FT2234" s="4"/>
      <c r="FU2234" s="4"/>
      <c r="FV2234" s="4"/>
      <c r="FW2234" s="4"/>
      <c r="FX2234" s="4"/>
      <c r="FY2234" s="4"/>
      <c r="FZ2234" s="4"/>
      <c r="GA2234" s="4"/>
      <c r="GB2234" s="4"/>
      <c r="GC2234" s="4"/>
      <c r="GD2234" s="4"/>
      <c r="GE2234" s="4"/>
      <c r="GF2234" s="4"/>
      <c r="GG2234" s="4"/>
      <c r="GH2234" s="4"/>
      <c r="GI2234" s="4"/>
      <c r="GJ2234" s="4"/>
      <c r="GK2234" s="4"/>
      <c r="GL2234" s="4"/>
      <c r="GM2234" s="4"/>
      <c r="GN2234" s="4"/>
      <c r="GO2234" s="4"/>
      <c r="GP2234" s="4"/>
      <c r="GQ2234" s="4"/>
      <c r="GR2234" s="4"/>
      <c r="GS2234" s="4"/>
      <c r="GT2234" s="4"/>
      <c r="GU2234" s="4"/>
      <c r="GV2234" s="4"/>
      <c r="GW2234" s="4"/>
      <c r="GX2234" s="4"/>
      <c r="GY2234" s="4"/>
      <c r="GZ2234" s="4"/>
      <c r="HA2234" s="4"/>
      <c r="HB2234" s="4"/>
      <c r="HC2234" s="4"/>
      <c r="HD2234" s="4"/>
      <c r="HE2234" s="4"/>
    </row>
    <row r="2235">
      <c r="A2235" s="2" t="s">
        <v>10513</v>
      </c>
      <c r="B2235" s="2" t="s">
        <v>866</v>
      </c>
      <c r="C2235" s="2" t="s">
        <v>773</v>
      </c>
      <c r="D2235" s="2" t="s">
        <v>1880</v>
      </c>
      <c r="E2235" s="2" t="s">
        <v>10514</v>
      </c>
      <c r="F2235" s="2" t="s">
        <v>10515</v>
      </c>
      <c r="G2235" s="2" t="s">
        <v>10515</v>
      </c>
      <c r="H2235" s="2" t="s">
        <v>10515</v>
      </c>
      <c r="I2235" s="2" t="s">
        <v>10516</v>
      </c>
      <c r="J2235" s="2" t="s">
        <v>10517</v>
      </c>
      <c r="K2235" s="2" t="s">
        <v>912</v>
      </c>
      <c r="L2235" s="3">
        <v>47.09</v>
      </c>
      <c r="M2235" s="3">
        <v>49.44</v>
      </c>
      <c r="N2235" s="3">
        <v>98.99</v>
      </c>
      <c r="O2235" s="2" t="s">
        <v>240</v>
      </c>
      <c r="P2235" s="2" t="s">
        <v>889</v>
      </c>
      <c r="Q2235" s="2" t="s">
        <v>234</v>
      </c>
      <c r="R2235" s="2" t="s">
        <v>228</v>
      </c>
      <c r="S2235" s="2" t="s">
        <v>10518</v>
      </c>
      <c r="T2235" s="2" t="s">
        <v>228</v>
      </c>
      <c r="U2235" s="2" t="s">
        <v>416</v>
      </c>
      <c r="V2235" s="2" t="s">
        <v>859</v>
      </c>
      <c r="W2235" s="2" t="s">
        <v>309</v>
      </c>
      <c r="X2235" s="2" t="s">
        <v>228</v>
      </c>
      <c r="Y2235" s="2" t="s">
        <v>4014</v>
      </c>
      <c r="Z2235" s="4">
        <v>266</v>
      </c>
      <c r="AA2235" s="4">
        <f>=ROUNDDOWN(29.5555555555556,0)</f>
      </c>
      <c r="AB2235" s="5">
        <v>9</v>
      </c>
      <c r="AC2235" s="2" t="s">
        <v>228</v>
      </c>
      <c r="AD2235" s="4"/>
      <c r="AE2235" s="4"/>
      <c r="AF2235" s="6">
        <v>63</v>
      </c>
      <c r="AG2235" s="6"/>
      <c r="AH2235" s="7">
        <v>1</v>
      </c>
      <c r="AI2235" s="4"/>
      <c r="AJ2235" s="4">
        <f>=ROUNDDOWN({0},0)</f>
      </c>
      <c r="AK2235" s="5"/>
      <c r="AL2235" s="2" t="s">
        <v>228</v>
      </c>
      <c r="AM2235" s="4"/>
      <c r="AN2235" s="4"/>
      <c r="AO2235" s="7"/>
      <c r="AP2235" s="4"/>
      <c r="AQ2235" s="8"/>
      <c r="AR2235" s="4"/>
      <c r="AS2235" s="8"/>
      <c r="AT2235" s="7"/>
      <c r="AU2235" s="7"/>
      <c r="AV2235" s="4"/>
      <c r="AW2235" s="8"/>
      <c r="AX2235" s="4"/>
      <c r="AY2235" s="8"/>
      <c r="AZ2235" s="7"/>
      <c r="BA2235" s="7"/>
      <c r="BB2235" s="7"/>
      <c r="BC2235" s="4" t="s">
        <v>228</v>
      </c>
      <c r="BD2235" s="8" t="s">
        <v>228</v>
      </c>
      <c r="BE2235" s="4" t="s">
        <v>228</v>
      </c>
      <c r="BF2235" s="8" t="s">
        <v>228</v>
      </c>
      <c r="BG2235" s="7" t="s">
        <v>228</v>
      </c>
      <c r="BH2235" s="7" t="s">
        <v>228</v>
      </c>
      <c r="BI2235" s="7"/>
      <c r="BJ2235" s="4">
        <v>28</v>
      </c>
      <c r="BK2235" s="8">
        <v>1513.04</v>
      </c>
      <c r="BL2235" s="2" t="s">
        <v>10519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10520</v>
      </c>
      <c r="BV2235" s="2" t="s">
        <v>228</v>
      </c>
      <c r="BW2235" s="2" t="s">
        <v>228</v>
      </c>
      <c r="BX2235" s="2" t="s">
        <v>273</v>
      </c>
      <c r="BY2235" s="2" t="s">
        <v>274</v>
      </c>
      <c r="BZ2235" s="2" t="s">
        <v>240</v>
      </c>
      <c r="CA2235" s="2" t="s">
        <v>2459</v>
      </c>
      <c r="CB2235" s="2" t="s">
        <v>10521</v>
      </c>
      <c r="CC2235" s="2" t="s">
        <v>241</v>
      </c>
      <c r="CD2235" s="2" t="s">
        <v>228</v>
      </c>
      <c r="CE2235" s="4"/>
      <c r="CF2235" s="4">
        <v>266</v>
      </c>
      <c r="CG2235" s="4"/>
      <c r="CH2235" s="4"/>
      <c r="CI2235" s="4"/>
      <c r="CJ2235" s="4"/>
      <c r="CK2235" s="4"/>
      <c r="CL2235" s="4"/>
      <c r="CM2235" s="4"/>
      <c r="CN2235" s="4"/>
      <c r="CO2235" s="4"/>
      <c r="CP2235" s="4"/>
      <c r="CQ2235" s="4"/>
      <c r="CR2235" s="4"/>
      <c r="CS2235" s="4"/>
      <c r="CT2235" s="4"/>
      <c r="CU2235" s="4"/>
      <c r="CV2235" s="4"/>
      <c r="CW2235" s="4"/>
      <c r="CX2235" s="4"/>
      <c r="CY2235" s="4"/>
      <c r="CZ2235" s="4"/>
      <c r="DA2235" s="4"/>
      <c r="DB2235" s="4"/>
      <c r="DC2235" s="4"/>
      <c r="DD2235" s="4"/>
      <c r="DE2235" s="4"/>
      <c r="DF2235" s="4"/>
      <c r="DG2235" s="4"/>
      <c r="DH2235" s="4"/>
      <c r="DI2235" s="4"/>
      <c r="DJ2235" s="4"/>
      <c r="DK2235" s="4"/>
      <c r="DL2235" s="4"/>
      <c r="DM2235" s="4"/>
      <c r="DN2235" s="4"/>
      <c r="DO2235" s="4"/>
      <c r="DP2235" s="4"/>
      <c r="DQ2235" s="4"/>
      <c r="DR2235" s="4"/>
      <c r="DS2235" s="4"/>
      <c r="DT2235" s="4"/>
      <c r="DU2235" s="4"/>
      <c r="DV2235" s="4"/>
      <c r="DW2235" s="4"/>
      <c r="DX2235" s="4"/>
      <c r="DY2235" s="4"/>
      <c r="DZ2235" s="4"/>
      <c r="EA2235" s="4"/>
      <c r="EB2235" s="4"/>
      <c r="EC2235" s="4"/>
      <c r="ED2235" s="4"/>
      <c r="EE2235" s="4"/>
      <c r="EF2235" s="4"/>
      <c r="EG2235" s="4"/>
      <c r="EH2235" s="4"/>
      <c r="EI2235" s="4"/>
      <c r="EJ2235" s="4"/>
      <c r="EK2235" s="4"/>
      <c r="EL2235" s="4"/>
      <c r="EM2235" s="4"/>
      <c r="EN2235" s="4"/>
      <c r="EO2235" s="4"/>
      <c r="EP2235" s="4"/>
      <c r="EQ2235" s="4"/>
      <c r="ER2235" s="4"/>
      <c r="ES2235" s="4"/>
      <c r="ET2235" s="4"/>
      <c r="EU2235" s="4"/>
      <c r="EV2235" s="4"/>
      <c r="EW2235" s="4"/>
      <c r="EX2235" s="4"/>
      <c r="EY2235" s="4"/>
      <c r="EZ2235" s="4"/>
      <c r="FA2235" s="4"/>
      <c r="FB2235" s="4"/>
      <c r="FC2235" s="4"/>
      <c r="FD2235" s="4"/>
      <c r="FE2235" s="4"/>
      <c r="FF2235" s="4"/>
      <c r="FG2235" s="4"/>
      <c r="FH2235" s="4"/>
      <c r="FI2235" s="4"/>
      <c r="FJ2235" s="4"/>
      <c r="FK2235" s="4"/>
      <c r="FL2235" s="4"/>
      <c r="FM2235" s="4"/>
      <c r="FN2235" s="4"/>
      <c r="FO2235" s="4"/>
      <c r="FP2235" s="4"/>
      <c r="FQ2235" s="4"/>
      <c r="FR2235" s="4"/>
      <c r="FS2235" s="4"/>
      <c r="FT2235" s="4"/>
      <c r="FU2235" s="4"/>
      <c r="FV2235" s="4"/>
      <c r="FW2235" s="4"/>
      <c r="FX2235" s="4"/>
      <c r="FY2235" s="4"/>
      <c r="FZ2235" s="4"/>
      <c r="GA2235" s="4"/>
      <c r="GB2235" s="4"/>
      <c r="GC2235" s="4"/>
      <c r="GD2235" s="4"/>
      <c r="GE2235" s="4"/>
      <c r="GF2235" s="4"/>
      <c r="GG2235" s="4"/>
      <c r="GH2235" s="4"/>
      <c r="GI2235" s="4"/>
      <c r="GJ2235" s="4"/>
      <c r="GK2235" s="4"/>
      <c r="GL2235" s="4"/>
      <c r="GM2235" s="4"/>
      <c r="GN2235" s="4"/>
      <c r="GO2235" s="4"/>
      <c r="GP2235" s="4"/>
      <c r="GQ2235" s="4"/>
      <c r="GR2235" s="4"/>
      <c r="GS2235" s="4"/>
      <c r="GT2235" s="4"/>
      <c r="GU2235" s="4"/>
      <c r="GV2235" s="4"/>
      <c r="GW2235" s="4"/>
      <c r="GX2235" s="4"/>
      <c r="GY2235" s="4"/>
      <c r="GZ2235" s="4"/>
      <c r="HA2235" s="4"/>
      <c r="HB2235" s="4"/>
      <c r="HC2235" s="4"/>
      <c r="HD2235" s="4"/>
      <c r="HE2235" s="4"/>
    </row>
    <row r="2236">
      <c r="A2236" s="2" t="s">
        <v>10522</v>
      </c>
      <c r="B2236" s="2" t="s">
        <v>866</v>
      </c>
      <c r="C2236" s="2" t="s">
        <v>773</v>
      </c>
      <c r="D2236" s="2" t="s">
        <v>1880</v>
      </c>
      <c r="E2236" s="2" t="s">
        <v>7265</v>
      </c>
      <c r="F2236" s="2" t="s">
        <v>10515</v>
      </c>
      <c r="G2236" s="2" t="s">
        <v>10515</v>
      </c>
      <c r="H2236" s="2" t="s">
        <v>10515</v>
      </c>
      <c r="I2236" s="2" t="s">
        <v>10523</v>
      </c>
      <c r="J2236" s="2" t="s">
        <v>7742</v>
      </c>
      <c r="K2236" s="2" t="s">
        <v>316</v>
      </c>
      <c r="L2236" s="3">
        <v>93.25</v>
      </c>
      <c r="M2236" s="3">
        <v>97.91</v>
      </c>
      <c r="N2236" s="3">
        <v>206.99</v>
      </c>
      <c r="O2236" s="2" t="s">
        <v>240</v>
      </c>
      <c r="P2236" s="2" t="s">
        <v>1012</v>
      </c>
      <c r="Q2236" s="2" t="s">
        <v>234</v>
      </c>
      <c r="R2236" s="2" t="s">
        <v>228</v>
      </c>
      <c r="S2236" s="2" t="s">
        <v>228</v>
      </c>
      <c r="T2236" s="2" t="s">
        <v>228</v>
      </c>
      <c r="U2236" s="2" t="s">
        <v>500</v>
      </c>
      <c r="V2236" s="2" t="s">
        <v>842</v>
      </c>
      <c r="W2236" s="2" t="s">
        <v>309</v>
      </c>
      <c r="X2236" s="2" t="s">
        <v>417</v>
      </c>
      <c r="Y2236" s="2" t="s">
        <v>5478</v>
      </c>
      <c r="Z2236" s="4">
        <v>70</v>
      </c>
      <c r="AA2236" s="4">
        <f>=ROUNDDOWN(70,0)</f>
      </c>
      <c r="AB2236" s="5">
        <v>1</v>
      </c>
      <c r="AC2236" s="2" t="s">
        <v>228</v>
      </c>
      <c r="AD2236" s="4"/>
      <c r="AE2236" s="4"/>
      <c r="AF2236" s="6">
        <v>63</v>
      </c>
      <c r="AG2236" s="6"/>
      <c r="AH2236" s="7">
        <v>1</v>
      </c>
      <c r="AI2236" s="4"/>
      <c r="AJ2236" s="4">
        <f>=ROUNDDOWN({0},0)</f>
      </c>
      <c r="AK2236" s="5"/>
      <c r="AL2236" s="2" t="s">
        <v>228</v>
      </c>
      <c r="AM2236" s="4"/>
      <c r="AN2236" s="4"/>
      <c r="AO2236" s="7"/>
      <c r="AP2236" s="4"/>
      <c r="AQ2236" s="8"/>
      <c r="AR2236" s="4"/>
      <c r="AS2236" s="8"/>
      <c r="AT2236" s="7"/>
      <c r="AU2236" s="7"/>
      <c r="AV2236" s="4"/>
      <c r="AW2236" s="8"/>
      <c r="AX2236" s="4"/>
      <c r="AY2236" s="8"/>
      <c r="AZ2236" s="7"/>
      <c r="BA2236" s="7"/>
      <c r="BB2236" s="7"/>
      <c r="BC2236" s="4" t="s">
        <v>228</v>
      </c>
      <c r="BD2236" s="8" t="s">
        <v>228</v>
      </c>
      <c r="BE2236" s="4" t="s">
        <v>228</v>
      </c>
      <c r="BF2236" s="8" t="s">
        <v>228</v>
      </c>
      <c r="BG2236" s="7" t="s">
        <v>228</v>
      </c>
      <c r="BH2236" s="7" t="s">
        <v>228</v>
      </c>
      <c r="BI2236" s="7"/>
      <c r="BJ2236" s="4">
        <v>2</v>
      </c>
      <c r="BK2236" s="8">
        <v>185.58</v>
      </c>
      <c r="BL2236" s="2" t="s">
        <v>690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10524</v>
      </c>
      <c r="BV2236" s="2" t="s">
        <v>228</v>
      </c>
      <c r="BW2236" s="2" t="s">
        <v>228</v>
      </c>
      <c r="BX2236" s="2" t="s">
        <v>273</v>
      </c>
      <c r="BY2236" s="2" t="s">
        <v>274</v>
      </c>
      <c r="BZ2236" s="2" t="s">
        <v>240</v>
      </c>
      <c r="CA2236" s="2" t="s">
        <v>379</v>
      </c>
      <c r="CB2236" s="2" t="s">
        <v>2388</v>
      </c>
      <c r="CC2236" s="2" t="s">
        <v>241</v>
      </c>
      <c r="CD2236" s="2" t="s">
        <v>228</v>
      </c>
      <c r="CE2236" s="4"/>
      <c r="CF2236" s="4">
        <v>70</v>
      </c>
      <c r="CG2236" s="4"/>
      <c r="CH2236" s="4"/>
      <c r="CI2236" s="4"/>
      <c r="CJ2236" s="4"/>
      <c r="CK2236" s="4"/>
      <c r="CL2236" s="4"/>
      <c r="CM2236" s="4"/>
      <c r="CN2236" s="4"/>
      <c r="CO2236" s="4"/>
      <c r="CP2236" s="4"/>
      <c r="CQ2236" s="4"/>
      <c r="CR2236" s="4"/>
      <c r="CS2236" s="4"/>
      <c r="CT2236" s="4"/>
      <c r="CU2236" s="4"/>
      <c r="CV2236" s="4"/>
      <c r="CW2236" s="4"/>
      <c r="CX2236" s="4"/>
      <c r="CY2236" s="4"/>
      <c r="CZ2236" s="4"/>
      <c r="DA2236" s="4"/>
      <c r="DB2236" s="4"/>
      <c r="DC2236" s="4"/>
      <c r="DD2236" s="4"/>
      <c r="DE2236" s="4"/>
      <c r="DF2236" s="4"/>
      <c r="DG2236" s="4"/>
      <c r="DH2236" s="4"/>
      <c r="DI2236" s="4"/>
      <c r="DJ2236" s="4"/>
      <c r="DK2236" s="4"/>
      <c r="DL2236" s="4"/>
      <c r="DM2236" s="4"/>
      <c r="DN2236" s="4"/>
      <c r="DO2236" s="4"/>
      <c r="DP2236" s="4"/>
      <c r="DQ2236" s="4"/>
      <c r="DR2236" s="4"/>
      <c r="DS2236" s="4"/>
      <c r="DT2236" s="4"/>
      <c r="DU2236" s="4"/>
      <c r="DV2236" s="4"/>
      <c r="DW2236" s="4"/>
      <c r="DX2236" s="4"/>
      <c r="DY2236" s="4"/>
      <c r="DZ2236" s="4"/>
      <c r="EA2236" s="4"/>
      <c r="EB2236" s="4"/>
      <c r="EC2236" s="4"/>
      <c r="ED2236" s="4"/>
      <c r="EE2236" s="4"/>
      <c r="EF2236" s="4"/>
      <c r="EG2236" s="4"/>
      <c r="EH2236" s="4"/>
      <c r="EI2236" s="4"/>
      <c r="EJ2236" s="4"/>
      <c r="EK2236" s="4"/>
      <c r="EL2236" s="4"/>
      <c r="EM2236" s="4"/>
      <c r="EN2236" s="4"/>
      <c r="EO2236" s="4"/>
      <c r="EP2236" s="4"/>
      <c r="EQ2236" s="4"/>
      <c r="ER2236" s="4"/>
      <c r="ES2236" s="4"/>
      <c r="ET2236" s="4"/>
      <c r="EU2236" s="4"/>
      <c r="EV2236" s="4"/>
      <c r="EW2236" s="4"/>
      <c r="EX2236" s="4"/>
      <c r="EY2236" s="4"/>
      <c r="EZ2236" s="4"/>
      <c r="FA2236" s="4"/>
      <c r="FB2236" s="4"/>
      <c r="FC2236" s="4"/>
      <c r="FD2236" s="4"/>
      <c r="FE2236" s="4"/>
      <c r="FF2236" s="4"/>
      <c r="FG2236" s="4"/>
      <c r="FH2236" s="4"/>
      <c r="FI2236" s="4"/>
      <c r="FJ2236" s="4"/>
      <c r="FK2236" s="4"/>
      <c r="FL2236" s="4"/>
      <c r="FM2236" s="4"/>
      <c r="FN2236" s="4"/>
      <c r="FO2236" s="4"/>
      <c r="FP2236" s="4"/>
      <c r="FQ2236" s="4"/>
      <c r="FR2236" s="4"/>
      <c r="FS2236" s="4"/>
      <c r="FT2236" s="4"/>
      <c r="FU2236" s="4"/>
      <c r="FV2236" s="4"/>
      <c r="FW2236" s="4"/>
      <c r="FX2236" s="4"/>
      <c r="FY2236" s="4"/>
      <c r="FZ2236" s="4"/>
      <c r="GA2236" s="4"/>
      <c r="GB2236" s="4"/>
      <c r="GC2236" s="4"/>
      <c r="GD2236" s="4"/>
      <c r="GE2236" s="4"/>
      <c r="GF2236" s="4"/>
      <c r="GG2236" s="4"/>
      <c r="GH2236" s="4"/>
      <c r="GI2236" s="4"/>
      <c r="GJ2236" s="4"/>
      <c r="GK2236" s="4"/>
      <c r="GL2236" s="4"/>
      <c r="GM2236" s="4"/>
      <c r="GN2236" s="4"/>
      <c r="GO2236" s="4"/>
      <c r="GP2236" s="4"/>
      <c r="GQ2236" s="4"/>
      <c r="GR2236" s="4"/>
      <c r="GS2236" s="4"/>
      <c r="GT2236" s="4"/>
      <c r="GU2236" s="4"/>
      <c r="GV2236" s="4"/>
      <c r="GW2236" s="4"/>
      <c r="GX2236" s="4"/>
      <c r="GY2236" s="4"/>
      <c r="GZ2236" s="4"/>
      <c r="HA2236" s="4"/>
      <c r="HB2236" s="4"/>
      <c r="HC2236" s="4"/>
      <c r="HD2236" s="4"/>
      <c r="HE2236" s="4"/>
    </row>
    <row r="2237">
      <c r="A2237" s="2" t="s">
        <v>10525</v>
      </c>
      <c r="B2237" s="2" t="s">
        <v>2841</v>
      </c>
      <c r="C2237" s="2" t="s">
        <v>1197</v>
      </c>
      <c r="D2237" s="2" t="s">
        <v>2842</v>
      </c>
      <c r="E2237" s="2" t="s">
        <v>2843</v>
      </c>
      <c r="F2237" s="2" t="s">
        <v>10526</v>
      </c>
      <c r="G2237" s="2" t="s">
        <v>10526</v>
      </c>
      <c r="H2237" s="2" t="s">
        <v>10526</v>
      </c>
      <c r="I2237" s="2" t="s">
        <v>10527</v>
      </c>
      <c r="J2237" s="2" t="s">
        <v>840</v>
      </c>
      <c r="K2237" s="2" t="s">
        <v>249</v>
      </c>
      <c r="L2237" s="3">
        <v>21.46</v>
      </c>
      <c r="M2237" s="3">
        <v>22.53</v>
      </c>
      <c r="N2237" s="3">
        <v>29.99</v>
      </c>
      <c r="O2237" s="2" t="s">
        <v>240</v>
      </c>
      <c r="P2237" s="2" t="s">
        <v>333</v>
      </c>
      <c r="Q2237" s="2" t="s">
        <v>234</v>
      </c>
      <c r="R2237" s="2" t="s">
        <v>228</v>
      </c>
      <c r="S2237" s="2" t="s">
        <v>228</v>
      </c>
      <c r="T2237" s="2" t="s">
        <v>228</v>
      </c>
      <c r="U2237" s="2" t="s">
        <v>416</v>
      </c>
      <c r="V2237" s="2" t="s">
        <v>842</v>
      </c>
      <c r="W2237" s="2" t="s">
        <v>269</v>
      </c>
      <c r="X2237" s="2" t="s">
        <v>228</v>
      </c>
      <c r="Y2237" s="2" t="s">
        <v>5765</v>
      </c>
      <c r="Z2237" s="4">
        <v>530</v>
      </c>
      <c r="AA2237" s="4">
        <f>=ROUNDDOWN(265,0)</f>
      </c>
      <c r="AB2237" s="5">
        <v>2</v>
      </c>
      <c r="AC2237" s="2" t="s">
        <v>228</v>
      </c>
      <c r="AD2237" s="4"/>
      <c r="AE2237" s="4"/>
      <c r="AF2237" s="6">
        <v>65</v>
      </c>
      <c r="AG2237" s="6"/>
      <c r="AH2237" s="7">
        <v>1</v>
      </c>
      <c r="AI2237" s="4"/>
      <c r="AJ2237" s="4">
        <f>=ROUNDDOWN({0},0)</f>
      </c>
      <c r="AK2237" s="5"/>
      <c r="AL2237" s="2" t="s">
        <v>228</v>
      </c>
      <c r="AM2237" s="4"/>
      <c r="AN2237" s="4"/>
      <c r="AO2237" s="7"/>
      <c r="AP2237" s="4"/>
      <c r="AQ2237" s="8"/>
      <c r="AR2237" s="4"/>
      <c r="AS2237" s="8"/>
      <c r="AT2237" s="7"/>
      <c r="AU2237" s="7"/>
      <c r="AV2237" s="4"/>
      <c r="AW2237" s="8"/>
      <c r="AX2237" s="4"/>
      <c r="AY2237" s="8"/>
      <c r="AZ2237" s="7"/>
      <c r="BA2237" s="7"/>
      <c r="BB2237" s="7"/>
      <c r="BC2237" s="4"/>
      <c r="BD2237" s="8"/>
      <c r="BE2237" s="4"/>
      <c r="BF2237" s="8"/>
      <c r="BG2237" s="7"/>
      <c r="BH2237" s="7"/>
      <c r="BI2237" s="7"/>
      <c r="BJ2237" s="4">
        <v>15</v>
      </c>
      <c r="BK2237" s="8">
        <v>370.2</v>
      </c>
      <c r="BL2237" s="2" t="s">
        <v>8711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10528</v>
      </c>
      <c r="BV2237" s="2" t="s">
        <v>228</v>
      </c>
      <c r="BW2237" s="2" t="s">
        <v>228</v>
      </c>
      <c r="BX2237" s="2" t="s">
        <v>337</v>
      </c>
      <c r="BY2237" s="2" t="s">
        <v>274</v>
      </c>
      <c r="BZ2237" s="2" t="s">
        <v>240</v>
      </c>
      <c r="CA2237" s="2" t="s">
        <v>539</v>
      </c>
      <c r="CB2237" s="2" t="s">
        <v>228</v>
      </c>
      <c r="CC2237" s="2" t="s">
        <v>241</v>
      </c>
      <c r="CD2237" s="2" t="s">
        <v>228</v>
      </c>
      <c r="CE2237" s="4"/>
      <c r="CF2237" s="4">
        <v>252</v>
      </c>
      <c r="CG2237" s="4"/>
      <c r="CH2237" s="4">
        <v>278</v>
      </c>
      <c r="CI2237" s="4"/>
      <c r="CJ2237" s="4"/>
      <c r="CK2237" s="4"/>
      <c r="CL2237" s="4"/>
      <c r="CM2237" s="4"/>
      <c r="CN2237" s="4"/>
      <c r="CO2237" s="4"/>
      <c r="CP2237" s="4"/>
      <c r="CQ2237" s="4"/>
      <c r="CR2237" s="4"/>
      <c r="CS2237" s="4"/>
      <c r="CT2237" s="4"/>
      <c r="CU2237" s="4"/>
      <c r="CV2237" s="4"/>
      <c r="CW2237" s="4"/>
      <c r="CX2237" s="4"/>
      <c r="CY2237" s="4"/>
      <c r="CZ2237" s="4"/>
      <c r="DA2237" s="4"/>
      <c r="DB2237" s="4"/>
      <c r="DC2237" s="4"/>
      <c r="DD2237" s="4"/>
      <c r="DE2237" s="4"/>
      <c r="DF2237" s="4"/>
      <c r="DG2237" s="4"/>
      <c r="DH2237" s="4"/>
      <c r="DI2237" s="4"/>
      <c r="DJ2237" s="4"/>
      <c r="DK2237" s="4"/>
      <c r="DL2237" s="4"/>
      <c r="DM2237" s="4"/>
      <c r="DN2237" s="4"/>
      <c r="DO2237" s="4"/>
      <c r="DP2237" s="4"/>
      <c r="DQ2237" s="4"/>
      <c r="DR2237" s="4"/>
      <c r="DS2237" s="4"/>
      <c r="DT2237" s="4"/>
      <c r="DU2237" s="4"/>
      <c r="DV2237" s="4"/>
      <c r="DW2237" s="4"/>
      <c r="DX2237" s="4"/>
      <c r="DY2237" s="4"/>
      <c r="DZ2237" s="4"/>
      <c r="EA2237" s="4"/>
      <c r="EB2237" s="4"/>
      <c r="EC2237" s="4"/>
      <c r="ED2237" s="4"/>
      <c r="EE2237" s="4"/>
      <c r="EF2237" s="4"/>
      <c r="EG2237" s="4"/>
      <c r="EH2237" s="4"/>
      <c r="EI2237" s="4"/>
      <c r="EJ2237" s="4"/>
      <c r="EK2237" s="4"/>
      <c r="EL2237" s="4"/>
      <c r="EM2237" s="4"/>
      <c r="EN2237" s="4"/>
      <c r="EO2237" s="4"/>
      <c r="EP2237" s="4"/>
      <c r="EQ2237" s="4"/>
      <c r="ER2237" s="4"/>
      <c r="ES2237" s="4"/>
      <c r="ET2237" s="4"/>
      <c r="EU2237" s="4"/>
      <c r="EV2237" s="4"/>
      <c r="EW2237" s="4"/>
      <c r="EX2237" s="4"/>
      <c r="EY2237" s="4"/>
      <c r="EZ2237" s="4"/>
      <c r="FA2237" s="4"/>
      <c r="FB2237" s="4"/>
      <c r="FC2237" s="4"/>
      <c r="FD2237" s="4"/>
      <c r="FE2237" s="4"/>
      <c r="FF2237" s="4"/>
      <c r="FG2237" s="4"/>
      <c r="FH2237" s="4"/>
      <c r="FI2237" s="4"/>
      <c r="FJ2237" s="4"/>
      <c r="FK2237" s="4"/>
      <c r="FL2237" s="4"/>
      <c r="FM2237" s="4"/>
      <c r="FN2237" s="4"/>
      <c r="FO2237" s="4"/>
      <c r="FP2237" s="4"/>
      <c r="FQ2237" s="4"/>
      <c r="FR2237" s="4"/>
      <c r="FS2237" s="4"/>
      <c r="FT2237" s="4"/>
      <c r="FU2237" s="4"/>
      <c r="FV2237" s="4"/>
      <c r="FW2237" s="4"/>
      <c r="FX2237" s="4"/>
      <c r="FY2237" s="4"/>
      <c r="FZ2237" s="4"/>
      <c r="GA2237" s="4"/>
      <c r="GB2237" s="4"/>
      <c r="GC2237" s="4"/>
      <c r="GD2237" s="4"/>
      <c r="GE2237" s="4"/>
      <c r="GF2237" s="4"/>
      <c r="GG2237" s="4"/>
      <c r="GH2237" s="4"/>
      <c r="GI2237" s="4"/>
      <c r="GJ2237" s="4"/>
      <c r="GK2237" s="4"/>
      <c r="GL2237" s="4"/>
      <c r="GM2237" s="4"/>
      <c r="GN2237" s="4"/>
      <c r="GO2237" s="4"/>
      <c r="GP2237" s="4"/>
      <c r="GQ2237" s="4"/>
      <c r="GR2237" s="4"/>
      <c r="GS2237" s="4"/>
      <c r="GT2237" s="4"/>
      <c r="GU2237" s="4"/>
      <c r="GV2237" s="4"/>
      <c r="GW2237" s="4"/>
      <c r="GX2237" s="4"/>
      <c r="GY2237" s="4"/>
      <c r="GZ2237" s="4"/>
      <c r="HA2237" s="4"/>
      <c r="HB2237" s="4"/>
      <c r="HC2237" s="4"/>
      <c r="HD2237" s="4"/>
      <c r="HE2237" s="4"/>
    </row>
    <row r="2238">
      <c r="A2238" s="2" t="s">
        <v>10529</v>
      </c>
      <c r="B2238" s="2" t="s">
        <v>958</v>
      </c>
      <c r="C2238" s="2" t="s">
        <v>835</v>
      </c>
      <c r="D2238" s="2" t="s">
        <v>1257</v>
      </c>
      <c r="E2238" s="2" t="s">
        <v>2091</v>
      </c>
      <c r="F2238" s="2" t="s">
        <v>10530</v>
      </c>
      <c r="G2238" s="2" t="s">
        <v>10530</v>
      </c>
      <c r="H2238" s="2" t="s">
        <v>10530</v>
      </c>
      <c r="I2238" s="2" t="s">
        <v>10531</v>
      </c>
      <c r="J2238" s="2" t="s">
        <v>289</v>
      </c>
      <c r="K2238" s="2" t="s">
        <v>1421</v>
      </c>
      <c r="L2238" s="3">
        <v>390</v>
      </c>
      <c r="M2238" s="3">
        <v>409.5</v>
      </c>
      <c r="N2238" s="3">
        <v>829</v>
      </c>
      <c r="O2238" s="2" t="s">
        <v>240</v>
      </c>
      <c r="P2238" s="2" t="s">
        <v>333</v>
      </c>
      <c r="Q2238" s="2" t="s">
        <v>234</v>
      </c>
      <c r="R2238" s="2" t="s">
        <v>228</v>
      </c>
      <c r="S2238" s="2" t="s">
        <v>228</v>
      </c>
      <c r="T2238" s="2" t="s">
        <v>228</v>
      </c>
      <c r="U2238" s="2" t="s">
        <v>228</v>
      </c>
      <c r="V2238" s="2" t="s">
        <v>842</v>
      </c>
      <c r="W2238" s="2" t="s">
        <v>417</v>
      </c>
      <c r="X2238" s="2" t="s">
        <v>228</v>
      </c>
      <c r="Y2238" s="2" t="s">
        <v>10532</v>
      </c>
      <c r="Z2238" s="4">
        <v>80</v>
      </c>
      <c r="AA2238" s="4">
        <f>=ROUNDDOWN(133.333333333333,0)</f>
      </c>
      <c r="AB2238" s="5">
        <v>0.6</v>
      </c>
      <c r="AC2238" s="2" t="s">
        <v>228</v>
      </c>
      <c r="AD2238" s="4"/>
      <c r="AE2238" s="4"/>
      <c r="AF2238" s="6">
        <v>74</v>
      </c>
      <c r="AG2238" s="6"/>
      <c r="AH2238" s="7">
        <v>1</v>
      </c>
      <c r="AI2238" s="4"/>
      <c r="AJ2238" s="4">
        <f>=ROUNDDOWN({0},0)</f>
      </c>
      <c r="AK2238" s="5"/>
      <c r="AL2238" s="2" t="s">
        <v>228</v>
      </c>
      <c r="AM2238" s="4"/>
      <c r="AN2238" s="4"/>
      <c r="AO2238" s="7"/>
      <c r="AP2238" s="4"/>
      <c r="AQ2238" s="8"/>
      <c r="AR2238" s="4"/>
      <c r="AS2238" s="8"/>
      <c r="AT2238" s="7"/>
      <c r="AU2238" s="7"/>
      <c r="AV2238" s="4" t="s">
        <v>228</v>
      </c>
      <c r="AW2238" s="8" t="s">
        <v>228</v>
      </c>
      <c r="AX2238" s="4" t="s">
        <v>228</v>
      </c>
      <c r="AY2238" s="8" t="s">
        <v>228</v>
      </c>
      <c r="AZ2238" s="7" t="s">
        <v>228</v>
      </c>
      <c r="BA2238" s="7" t="s">
        <v>228</v>
      </c>
      <c r="BB2238" s="7"/>
      <c r="BC2238" s="4" t="s">
        <v>228</v>
      </c>
      <c r="BD2238" s="8" t="s">
        <v>228</v>
      </c>
      <c r="BE2238" s="4" t="s">
        <v>228</v>
      </c>
      <c r="BF2238" s="8" t="s">
        <v>228</v>
      </c>
      <c r="BG2238" s="7" t="s">
        <v>228</v>
      </c>
      <c r="BH2238" s="7" t="s">
        <v>228</v>
      </c>
      <c r="BI2238" s="7"/>
      <c r="BJ2238" s="4">
        <v>2</v>
      </c>
      <c r="BK2238" s="8">
        <v>904.99</v>
      </c>
      <c r="BL2238" s="2" t="s">
        <v>3107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10533</v>
      </c>
      <c r="BV2238" s="2" t="s">
        <v>228</v>
      </c>
      <c r="BW2238" s="2" t="s">
        <v>228</v>
      </c>
      <c r="BX2238" s="2" t="s">
        <v>337</v>
      </c>
      <c r="BY2238" s="2" t="s">
        <v>274</v>
      </c>
      <c r="BZ2238" s="2" t="s">
        <v>240</v>
      </c>
      <c r="CA2238" s="2" t="s">
        <v>10534</v>
      </c>
      <c r="CB2238" s="2" t="s">
        <v>3101</v>
      </c>
      <c r="CC2238" s="2" t="s">
        <v>241</v>
      </c>
      <c r="CD2238" s="2" t="s">
        <v>228</v>
      </c>
      <c r="CE2238" s="4"/>
      <c r="CF2238" s="4">
        <v>80</v>
      </c>
      <c r="CG2238" s="4"/>
      <c r="CH2238" s="4"/>
      <c r="CI2238" s="4"/>
      <c r="CJ2238" s="4"/>
      <c r="CK2238" s="4"/>
      <c r="CL2238" s="4"/>
      <c r="CM2238" s="4"/>
      <c r="CN2238" s="4"/>
      <c r="CO2238" s="4"/>
      <c r="CP2238" s="4"/>
      <c r="CQ2238" s="4"/>
      <c r="CR2238" s="4"/>
      <c r="CS2238" s="4"/>
      <c r="CT2238" s="4"/>
      <c r="CU2238" s="4"/>
      <c r="CV2238" s="4"/>
      <c r="CW2238" s="4"/>
      <c r="CX2238" s="4"/>
      <c r="CY2238" s="4"/>
      <c r="CZ2238" s="4"/>
      <c r="DA2238" s="4"/>
      <c r="DB2238" s="4"/>
      <c r="DC2238" s="4"/>
      <c r="DD2238" s="4"/>
      <c r="DE2238" s="4"/>
      <c r="DF2238" s="4"/>
      <c r="DG2238" s="4"/>
      <c r="DH2238" s="4"/>
      <c r="DI2238" s="4"/>
      <c r="DJ2238" s="4"/>
      <c r="DK2238" s="4"/>
      <c r="DL2238" s="4"/>
      <c r="DM2238" s="4"/>
      <c r="DN2238" s="4"/>
      <c r="DO2238" s="4"/>
      <c r="DP2238" s="4"/>
      <c r="DQ2238" s="4"/>
      <c r="DR2238" s="4"/>
      <c r="DS2238" s="4"/>
      <c r="DT2238" s="4"/>
      <c r="DU2238" s="4"/>
      <c r="DV2238" s="4"/>
      <c r="DW2238" s="4"/>
      <c r="DX2238" s="4"/>
      <c r="DY2238" s="4"/>
      <c r="DZ2238" s="4"/>
      <c r="EA2238" s="4"/>
      <c r="EB2238" s="4"/>
      <c r="EC2238" s="4"/>
      <c r="ED2238" s="4"/>
      <c r="EE2238" s="4"/>
      <c r="EF2238" s="4"/>
      <c r="EG2238" s="4"/>
      <c r="EH2238" s="4"/>
      <c r="EI2238" s="4"/>
      <c r="EJ2238" s="4"/>
      <c r="EK2238" s="4"/>
      <c r="EL2238" s="4"/>
      <c r="EM2238" s="4"/>
      <c r="EN2238" s="4"/>
      <c r="EO2238" s="4"/>
      <c r="EP2238" s="4"/>
      <c r="EQ2238" s="4"/>
      <c r="ER2238" s="4"/>
      <c r="ES2238" s="4"/>
      <c r="ET2238" s="4"/>
      <c r="EU2238" s="4"/>
      <c r="EV2238" s="4"/>
      <c r="EW2238" s="4"/>
      <c r="EX2238" s="4"/>
      <c r="EY2238" s="4"/>
      <c r="EZ2238" s="4"/>
      <c r="FA2238" s="4"/>
      <c r="FB2238" s="4"/>
      <c r="FC2238" s="4"/>
      <c r="FD2238" s="4"/>
      <c r="FE2238" s="4"/>
      <c r="FF2238" s="4"/>
      <c r="FG2238" s="4"/>
      <c r="FH2238" s="4"/>
      <c r="FI2238" s="4"/>
      <c r="FJ2238" s="4"/>
      <c r="FK2238" s="4"/>
      <c r="FL2238" s="4"/>
      <c r="FM2238" s="4"/>
      <c r="FN2238" s="4"/>
      <c r="FO2238" s="4"/>
      <c r="FP2238" s="4"/>
      <c r="FQ2238" s="4"/>
      <c r="FR2238" s="4"/>
      <c r="FS2238" s="4"/>
      <c r="FT2238" s="4"/>
      <c r="FU2238" s="4"/>
      <c r="FV2238" s="4"/>
      <c r="FW2238" s="4"/>
      <c r="FX2238" s="4"/>
      <c r="FY2238" s="4"/>
      <c r="FZ2238" s="4"/>
      <c r="GA2238" s="4"/>
      <c r="GB2238" s="4"/>
      <c r="GC2238" s="4"/>
      <c r="GD2238" s="4"/>
      <c r="GE2238" s="4"/>
      <c r="GF2238" s="4"/>
      <c r="GG2238" s="4"/>
      <c r="GH2238" s="4"/>
      <c r="GI2238" s="4"/>
      <c r="GJ2238" s="4"/>
      <c r="GK2238" s="4"/>
      <c r="GL2238" s="4"/>
      <c r="GM2238" s="4"/>
      <c r="GN2238" s="4"/>
      <c r="GO2238" s="4"/>
      <c r="GP2238" s="4"/>
      <c r="GQ2238" s="4"/>
      <c r="GR2238" s="4"/>
      <c r="GS2238" s="4"/>
      <c r="GT2238" s="4"/>
      <c r="GU2238" s="4"/>
      <c r="GV2238" s="4"/>
      <c r="GW2238" s="4"/>
      <c r="GX2238" s="4"/>
      <c r="GY2238" s="4"/>
      <c r="GZ2238" s="4"/>
      <c r="HA2238" s="4"/>
      <c r="HB2238" s="4"/>
      <c r="HC2238" s="4"/>
      <c r="HD2238" s="4"/>
      <c r="HE2238" s="4"/>
    </row>
    <row r="2239">
      <c r="A2239" s="2" t="s">
        <v>10535</v>
      </c>
      <c r="B2239" s="2" t="s">
        <v>958</v>
      </c>
      <c r="C2239" s="2" t="s">
        <v>835</v>
      </c>
      <c r="D2239" s="2" t="s">
        <v>2122</v>
      </c>
      <c r="E2239" s="2" t="s">
        <v>2123</v>
      </c>
      <c r="F2239" s="2" t="s">
        <v>10530</v>
      </c>
      <c r="G2239" s="2" t="s">
        <v>10530</v>
      </c>
      <c r="H2239" s="2" t="s">
        <v>10530</v>
      </c>
      <c r="I2239" s="2" t="s">
        <v>10536</v>
      </c>
      <c r="J2239" s="2" t="s">
        <v>840</v>
      </c>
      <c r="K2239" s="2" t="s">
        <v>1421</v>
      </c>
      <c r="L2239" s="3">
        <v>143</v>
      </c>
      <c r="M2239" s="3">
        <v>150.15</v>
      </c>
      <c r="N2239" s="3">
        <v>299</v>
      </c>
      <c r="O2239" s="2" t="s">
        <v>240</v>
      </c>
      <c r="P2239" s="2" t="s">
        <v>1012</v>
      </c>
      <c r="Q2239" s="2" t="s">
        <v>234</v>
      </c>
      <c r="R2239" s="2" t="s">
        <v>228</v>
      </c>
      <c r="S2239" s="2" t="s">
        <v>228</v>
      </c>
      <c r="T2239" s="2" t="s">
        <v>228</v>
      </c>
      <c r="U2239" s="2" t="s">
        <v>228</v>
      </c>
      <c r="V2239" s="2" t="s">
        <v>842</v>
      </c>
      <c r="W2239" s="2" t="s">
        <v>417</v>
      </c>
      <c r="X2239" s="2" t="s">
        <v>228</v>
      </c>
      <c r="Y2239" s="2" t="s">
        <v>2151</v>
      </c>
      <c r="Z2239" s="4">
        <v>107</v>
      </c>
      <c r="AA2239" s="4">
        <f>=ROUNDDOWN(53.5,0)</f>
      </c>
      <c r="AB2239" s="5">
        <v>2</v>
      </c>
      <c r="AC2239" s="2" t="s">
        <v>228</v>
      </c>
      <c r="AD2239" s="4"/>
      <c r="AE2239" s="4"/>
      <c r="AF2239" s="6">
        <v>74</v>
      </c>
      <c r="AG2239" s="6"/>
      <c r="AH2239" s="7">
        <v>1</v>
      </c>
      <c r="AI2239" s="4"/>
      <c r="AJ2239" s="4">
        <f>=ROUNDDOWN({0},0)</f>
      </c>
      <c r="AK2239" s="5"/>
      <c r="AL2239" s="2" t="s">
        <v>228</v>
      </c>
      <c r="AM2239" s="4"/>
      <c r="AN2239" s="4"/>
      <c r="AO2239" s="7"/>
      <c r="AP2239" s="4"/>
      <c r="AQ2239" s="8"/>
      <c r="AR2239" s="4"/>
      <c r="AS2239" s="8"/>
      <c r="AT2239" s="7"/>
      <c r="AU2239" s="7"/>
      <c r="AV2239" s="4" t="s">
        <v>228</v>
      </c>
      <c r="AW2239" s="8" t="s">
        <v>228</v>
      </c>
      <c r="AX2239" s="4" t="s">
        <v>228</v>
      </c>
      <c r="AY2239" s="8" t="s">
        <v>228</v>
      </c>
      <c r="AZ2239" s="7" t="s">
        <v>228</v>
      </c>
      <c r="BA2239" s="7" t="s">
        <v>228</v>
      </c>
      <c r="BB2239" s="7"/>
      <c r="BC2239" s="4" t="s">
        <v>228</v>
      </c>
      <c r="BD2239" s="8" t="s">
        <v>228</v>
      </c>
      <c r="BE2239" s="4" t="s">
        <v>228</v>
      </c>
      <c r="BF2239" s="8" t="s">
        <v>228</v>
      </c>
      <c r="BG2239" s="7" t="s">
        <v>228</v>
      </c>
      <c r="BH2239" s="7" t="s">
        <v>228</v>
      </c>
      <c r="BI2239" s="7"/>
      <c r="BJ2239" s="4">
        <v>7</v>
      </c>
      <c r="BK2239" s="8">
        <v>1078.08</v>
      </c>
      <c r="BL2239" s="2" t="s">
        <v>10537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10538</v>
      </c>
      <c r="BV2239" s="2" t="s">
        <v>228</v>
      </c>
      <c r="BW2239" s="2" t="s">
        <v>228</v>
      </c>
      <c r="BX2239" s="2" t="s">
        <v>273</v>
      </c>
      <c r="BY2239" s="2" t="s">
        <v>274</v>
      </c>
      <c r="BZ2239" s="2" t="s">
        <v>240</v>
      </c>
      <c r="CA2239" s="2" t="s">
        <v>10534</v>
      </c>
      <c r="CB2239" s="2" t="s">
        <v>3101</v>
      </c>
      <c r="CC2239" s="2" t="s">
        <v>241</v>
      </c>
      <c r="CD2239" s="2" t="s">
        <v>228</v>
      </c>
      <c r="CE2239" s="4"/>
      <c r="CF2239" s="4">
        <v>107</v>
      </c>
      <c r="CG2239" s="4"/>
      <c r="CH2239" s="4"/>
      <c r="CI2239" s="4"/>
      <c r="CJ2239" s="4"/>
      <c r="CK2239" s="4"/>
      <c r="CL2239" s="4"/>
      <c r="CM2239" s="4"/>
      <c r="CN2239" s="4"/>
      <c r="CO2239" s="4"/>
      <c r="CP2239" s="4"/>
      <c r="CQ2239" s="4"/>
      <c r="CR2239" s="4"/>
      <c r="CS2239" s="4"/>
      <c r="CT2239" s="4"/>
      <c r="CU2239" s="4"/>
      <c r="CV2239" s="4"/>
      <c r="CW2239" s="4"/>
      <c r="CX2239" s="4"/>
      <c r="CY2239" s="4"/>
      <c r="CZ2239" s="4"/>
      <c r="DA2239" s="4"/>
      <c r="DB2239" s="4"/>
      <c r="DC2239" s="4"/>
      <c r="DD2239" s="4"/>
      <c r="DE2239" s="4"/>
      <c r="DF2239" s="4"/>
      <c r="DG2239" s="4"/>
      <c r="DH2239" s="4"/>
      <c r="DI2239" s="4"/>
      <c r="DJ2239" s="4"/>
      <c r="DK2239" s="4"/>
      <c r="DL2239" s="4"/>
      <c r="DM2239" s="4"/>
      <c r="DN2239" s="4"/>
      <c r="DO2239" s="4"/>
      <c r="DP2239" s="4"/>
      <c r="DQ2239" s="4"/>
      <c r="DR2239" s="4"/>
      <c r="DS2239" s="4"/>
      <c r="DT2239" s="4"/>
      <c r="DU2239" s="4"/>
      <c r="DV2239" s="4"/>
      <c r="DW2239" s="4"/>
      <c r="DX2239" s="4"/>
      <c r="DY2239" s="4"/>
      <c r="DZ2239" s="4"/>
      <c r="EA2239" s="4"/>
      <c r="EB2239" s="4"/>
      <c r="EC2239" s="4"/>
      <c r="ED2239" s="4"/>
      <c r="EE2239" s="4"/>
      <c r="EF2239" s="4"/>
      <c r="EG2239" s="4"/>
      <c r="EH2239" s="4"/>
      <c r="EI2239" s="4"/>
      <c r="EJ2239" s="4"/>
      <c r="EK2239" s="4"/>
      <c r="EL2239" s="4"/>
      <c r="EM2239" s="4"/>
      <c r="EN2239" s="4"/>
      <c r="EO2239" s="4"/>
      <c r="EP2239" s="4"/>
      <c r="EQ2239" s="4"/>
      <c r="ER2239" s="4"/>
      <c r="ES2239" s="4"/>
      <c r="ET2239" s="4"/>
      <c r="EU2239" s="4"/>
      <c r="EV2239" s="4"/>
      <c r="EW2239" s="4"/>
      <c r="EX2239" s="4"/>
      <c r="EY2239" s="4"/>
      <c r="EZ2239" s="4"/>
      <c r="FA2239" s="4"/>
      <c r="FB2239" s="4"/>
      <c r="FC2239" s="4"/>
      <c r="FD2239" s="4"/>
      <c r="FE2239" s="4"/>
      <c r="FF2239" s="4"/>
      <c r="FG2239" s="4"/>
      <c r="FH2239" s="4"/>
      <c r="FI2239" s="4"/>
      <c r="FJ2239" s="4"/>
      <c r="FK2239" s="4"/>
      <c r="FL2239" s="4"/>
      <c r="FM2239" s="4"/>
      <c r="FN2239" s="4"/>
      <c r="FO2239" s="4"/>
      <c r="FP2239" s="4"/>
      <c r="FQ2239" s="4"/>
      <c r="FR2239" s="4"/>
      <c r="FS2239" s="4"/>
      <c r="FT2239" s="4"/>
      <c r="FU2239" s="4"/>
      <c r="FV2239" s="4"/>
      <c r="FW2239" s="4"/>
      <c r="FX2239" s="4"/>
      <c r="FY2239" s="4"/>
      <c r="FZ2239" s="4"/>
      <c r="GA2239" s="4"/>
      <c r="GB2239" s="4"/>
      <c r="GC2239" s="4"/>
      <c r="GD2239" s="4"/>
      <c r="GE2239" s="4"/>
      <c r="GF2239" s="4"/>
      <c r="GG2239" s="4"/>
      <c r="GH2239" s="4"/>
      <c r="GI2239" s="4"/>
      <c r="GJ2239" s="4"/>
      <c r="GK2239" s="4"/>
      <c r="GL2239" s="4"/>
      <c r="GM2239" s="4"/>
      <c r="GN2239" s="4"/>
      <c r="GO2239" s="4"/>
      <c r="GP2239" s="4"/>
      <c r="GQ2239" s="4"/>
      <c r="GR2239" s="4"/>
      <c r="GS2239" s="4"/>
      <c r="GT2239" s="4"/>
      <c r="GU2239" s="4"/>
      <c r="GV2239" s="4"/>
      <c r="GW2239" s="4"/>
      <c r="GX2239" s="4"/>
      <c r="GY2239" s="4"/>
      <c r="GZ2239" s="4"/>
      <c r="HA2239" s="4"/>
      <c r="HB2239" s="4"/>
      <c r="HC2239" s="4"/>
      <c r="HD2239" s="4"/>
      <c r="HE2239" s="4"/>
    </row>
    <row r="2240">
      <c r="A2240" s="2" t="s">
        <v>10539</v>
      </c>
      <c r="B2240" s="2" t="s">
        <v>866</v>
      </c>
      <c r="C2240" s="2" t="s">
        <v>300</v>
      </c>
      <c r="D2240" s="2" t="s">
        <v>899</v>
      </c>
      <c r="E2240" s="2" t="s">
        <v>1891</v>
      </c>
      <c r="F2240" s="2" t="s">
        <v>10540</v>
      </c>
      <c r="G2240" s="2" t="s">
        <v>10540</v>
      </c>
      <c r="H2240" s="2" t="s">
        <v>10540</v>
      </c>
      <c r="I2240" s="2" t="s">
        <v>10541</v>
      </c>
      <c r="J2240" s="2" t="s">
        <v>840</v>
      </c>
      <c r="K2240" s="2" t="s">
        <v>10542</v>
      </c>
      <c r="L2240" s="3">
        <v>6.66</v>
      </c>
      <c r="M2240" s="3">
        <v>6.99</v>
      </c>
      <c r="N2240" s="3">
        <v>19.99</v>
      </c>
      <c r="O2240" s="2" t="s">
        <v>240</v>
      </c>
      <c r="P2240" s="2" t="s">
        <v>233</v>
      </c>
      <c r="Q2240" s="2" t="s">
        <v>234</v>
      </c>
      <c r="R2240" s="2" t="s">
        <v>228</v>
      </c>
      <c r="S2240" s="2" t="s">
        <v>228</v>
      </c>
      <c r="T2240" s="2" t="s">
        <v>228</v>
      </c>
      <c r="U2240" s="2" t="s">
        <v>416</v>
      </c>
      <c r="V2240" s="2" t="s">
        <v>2042</v>
      </c>
      <c r="W2240" s="2" t="s">
        <v>269</v>
      </c>
      <c r="X2240" s="2" t="s">
        <v>1268</v>
      </c>
      <c r="Y2240" s="2" t="s">
        <v>2049</v>
      </c>
      <c r="Z2240" s="4">
        <v>168</v>
      </c>
      <c r="AA2240" s="4">
        <f>=ROUNDDOWN(98.8235294117647,0)</f>
      </c>
      <c r="AB2240" s="5">
        <v>1.7</v>
      </c>
      <c r="AC2240" s="2" t="s">
        <v>228</v>
      </c>
      <c r="AD2240" s="4"/>
      <c r="AE2240" s="4"/>
      <c r="AF2240" s="6">
        <v>63</v>
      </c>
      <c r="AG2240" s="6"/>
      <c r="AH2240" s="7">
        <v>1</v>
      </c>
      <c r="AI2240" s="4"/>
      <c r="AJ2240" s="4">
        <f>=ROUNDDOWN({0},0)</f>
      </c>
      <c r="AK2240" s="5"/>
      <c r="AL2240" s="2" t="s">
        <v>228</v>
      </c>
      <c r="AM2240" s="4"/>
      <c r="AN2240" s="4"/>
      <c r="AO2240" s="7"/>
      <c r="AP2240" s="4"/>
      <c r="AQ2240" s="8"/>
      <c r="AR2240" s="4"/>
      <c r="AS2240" s="8"/>
      <c r="AT2240" s="7"/>
      <c r="AU2240" s="7"/>
      <c r="AV2240" s="4"/>
      <c r="AW2240" s="8"/>
      <c r="AX2240" s="4"/>
      <c r="AY2240" s="8"/>
      <c r="AZ2240" s="7"/>
      <c r="BA2240" s="7"/>
      <c r="BB2240" s="7"/>
      <c r="BC2240" s="4" t="s">
        <v>228</v>
      </c>
      <c r="BD2240" s="8" t="s">
        <v>228</v>
      </c>
      <c r="BE2240" s="4" t="s">
        <v>228</v>
      </c>
      <c r="BF2240" s="8" t="s">
        <v>228</v>
      </c>
      <c r="BG2240" s="7" t="s">
        <v>228</v>
      </c>
      <c r="BH2240" s="7" t="s">
        <v>228</v>
      </c>
      <c r="BI2240" s="7"/>
      <c r="BJ2240" s="4">
        <v>6</v>
      </c>
      <c r="BK2240" s="8">
        <v>51.66</v>
      </c>
      <c r="BL2240" s="2" t="s">
        <v>2804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10543</v>
      </c>
      <c r="BV2240" s="2" t="s">
        <v>228</v>
      </c>
      <c r="BW2240" s="2" t="s">
        <v>228</v>
      </c>
      <c r="BX2240" s="2" t="s">
        <v>273</v>
      </c>
      <c r="BY2240" s="2" t="s">
        <v>274</v>
      </c>
      <c r="BZ2240" s="2" t="s">
        <v>240</v>
      </c>
      <c r="CA2240" s="2" t="s">
        <v>2045</v>
      </c>
      <c r="CB2240" s="2" t="s">
        <v>228</v>
      </c>
      <c r="CC2240" s="2" t="s">
        <v>241</v>
      </c>
      <c r="CD2240" s="2" t="s">
        <v>228</v>
      </c>
      <c r="CE2240" s="4"/>
      <c r="CF2240" s="4">
        <v>168</v>
      </c>
      <c r="CG2240" s="4"/>
      <c r="CH2240" s="4"/>
      <c r="CI2240" s="4"/>
      <c r="CJ2240" s="4"/>
      <c r="CK2240" s="4"/>
      <c r="CL2240" s="4"/>
      <c r="CM2240" s="4"/>
      <c r="CN2240" s="4"/>
      <c r="CO2240" s="4"/>
      <c r="CP2240" s="4"/>
      <c r="CQ2240" s="4"/>
      <c r="CR2240" s="4"/>
      <c r="CS2240" s="4"/>
      <c r="CT2240" s="4"/>
      <c r="CU2240" s="4"/>
      <c r="CV2240" s="4"/>
      <c r="CW2240" s="4"/>
      <c r="CX2240" s="4"/>
      <c r="CY2240" s="4"/>
      <c r="CZ2240" s="4"/>
      <c r="DA2240" s="4"/>
      <c r="DB2240" s="4"/>
      <c r="DC2240" s="4"/>
      <c r="DD2240" s="4"/>
      <c r="DE2240" s="4"/>
      <c r="DF2240" s="4"/>
      <c r="DG2240" s="4"/>
      <c r="DH2240" s="4"/>
      <c r="DI2240" s="4"/>
      <c r="DJ2240" s="4"/>
      <c r="DK2240" s="4"/>
      <c r="DL2240" s="4"/>
      <c r="DM2240" s="4"/>
      <c r="DN2240" s="4"/>
      <c r="DO2240" s="4"/>
      <c r="DP2240" s="4"/>
      <c r="DQ2240" s="4"/>
      <c r="DR2240" s="4"/>
      <c r="DS2240" s="4"/>
      <c r="DT2240" s="4"/>
      <c r="DU2240" s="4"/>
      <c r="DV2240" s="4"/>
      <c r="DW2240" s="4"/>
      <c r="DX2240" s="4"/>
      <c r="DY2240" s="4"/>
      <c r="DZ2240" s="4"/>
      <c r="EA2240" s="4"/>
      <c r="EB2240" s="4"/>
      <c r="EC2240" s="4"/>
      <c r="ED2240" s="4"/>
      <c r="EE2240" s="4"/>
      <c r="EF2240" s="4"/>
      <c r="EG2240" s="4"/>
      <c r="EH2240" s="4"/>
      <c r="EI2240" s="4"/>
      <c r="EJ2240" s="4"/>
      <c r="EK2240" s="4"/>
      <c r="EL2240" s="4"/>
      <c r="EM2240" s="4"/>
      <c r="EN2240" s="4"/>
      <c r="EO2240" s="4"/>
      <c r="EP2240" s="4"/>
      <c r="EQ2240" s="4"/>
      <c r="ER2240" s="4"/>
      <c r="ES2240" s="4"/>
      <c r="ET2240" s="4"/>
      <c r="EU2240" s="4"/>
      <c r="EV2240" s="4"/>
      <c r="EW2240" s="4"/>
      <c r="EX2240" s="4"/>
      <c r="EY2240" s="4"/>
      <c r="EZ2240" s="4"/>
      <c r="FA2240" s="4"/>
      <c r="FB2240" s="4"/>
      <c r="FC2240" s="4"/>
      <c r="FD2240" s="4"/>
      <c r="FE2240" s="4"/>
      <c r="FF2240" s="4"/>
      <c r="FG2240" s="4"/>
      <c r="FH2240" s="4"/>
      <c r="FI2240" s="4"/>
      <c r="FJ2240" s="4"/>
      <c r="FK2240" s="4"/>
      <c r="FL2240" s="4"/>
      <c r="FM2240" s="4"/>
      <c r="FN2240" s="4"/>
      <c r="FO2240" s="4"/>
      <c r="FP2240" s="4"/>
      <c r="FQ2240" s="4"/>
      <c r="FR2240" s="4"/>
      <c r="FS2240" s="4"/>
      <c r="FT2240" s="4"/>
      <c r="FU2240" s="4"/>
      <c r="FV2240" s="4"/>
      <c r="FW2240" s="4"/>
      <c r="FX2240" s="4"/>
      <c r="FY2240" s="4"/>
      <c r="FZ2240" s="4"/>
      <c r="GA2240" s="4"/>
      <c r="GB2240" s="4"/>
      <c r="GC2240" s="4"/>
      <c r="GD2240" s="4"/>
      <c r="GE2240" s="4"/>
      <c r="GF2240" s="4"/>
      <c r="GG2240" s="4"/>
      <c r="GH2240" s="4"/>
      <c r="GI2240" s="4"/>
      <c r="GJ2240" s="4"/>
      <c r="GK2240" s="4"/>
      <c r="GL2240" s="4"/>
      <c r="GM2240" s="4"/>
      <c r="GN2240" s="4"/>
      <c r="GO2240" s="4"/>
      <c r="GP2240" s="4"/>
      <c r="GQ2240" s="4"/>
      <c r="GR2240" s="4"/>
      <c r="GS2240" s="4"/>
      <c r="GT2240" s="4"/>
      <c r="GU2240" s="4"/>
      <c r="GV2240" s="4"/>
      <c r="GW2240" s="4"/>
      <c r="GX2240" s="4"/>
      <c r="GY2240" s="4"/>
      <c r="GZ2240" s="4"/>
      <c r="HA2240" s="4"/>
      <c r="HB2240" s="4"/>
      <c r="HC2240" s="4"/>
      <c r="HD2240" s="4"/>
      <c r="HE2240" s="4"/>
    </row>
    <row r="2241">
      <c r="A2241" s="2" t="s">
        <v>10544</v>
      </c>
      <c r="B2241" s="2" t="s">
        <v>866</v>
      </c>
      <c r="C2241" s="2" t="s">
        <v>300</v>
      </c>
      <c r="D2241" s="2" t="s">
        <v>899</v>
      </c>
      <c r="E2241" s="2" t="s">
        <v>1891</v>
      </c>
      <c r="F2241" s="2" t="s">
        <v>10540</v>
      </c>
      <c r="G2241" s="2" t="s">
        <v>10540</v>
      </c>
      <c r="H2241" s="2" t="s">
        <v>10540</v>
      </c>
      <c r="I2241" s="2" t="s">
        <v>10545</v>
      </c>
      <c r="J2241" s="2" t="s">
        <v>840</v>
      </c>
      <c r="K2241" s="2" t="s">
        <v>10546</v>
      </c>
      <c r="L2241" s="3">
        <v>6.66</v>
      </c>
      <c r="M2241" s="3">
        <v>6.99</v>
      </c>
      <c r="N2241" s="3">
        <v>19.99</v>
      </c>
      <c r="O2241" s="2" t="s">
        <v>240</v>
      </c>
      <c r="P2241" s="2" t="s">
        <v>233</v>
      </c>
      <c r="Q2241" s="2" t="s">
        <v>234</v>
      </c>
      <c r="R2241" s="2" t="s">
        <v>228</v>
      </c>
      <c r="S2241" s="2" t="s">
        <v>228</v>
      </c>
      <c r="T2241" s="2" t="s">
        <v>228</v>
      </c>
      <c r="U2241" s="2" t="s">
        <v>416</v>
      </c>
      <c r="V2241" s="2" t="s">
        <v>2042</v>
      </c>
      <c r="W2241" s="2" t="s">
        <v>269</v>
      </c>
      <c r="X2241" s="2" t="s">
        <v>1268</v>
      </c>
      <c r="Y2241" s="2" t="s">
        <v>2049</v>
      </c>
      <c r="Z2241" s="4">
        <v>133</v>
      </c>
      <c r="AA2241" s="4">
        <f>=ROUNDDOWN(73.8888888888889,0)</f>
      </c>
      <c r="AB2241" s="5">
        <v>1.8</v>
      </c>
      <c r="AC2241" s="2" t="s">
        <v>228</v>
      </c>
      <c r="AD2241" s="4"/>
      <c r="AE2241" s="4"/>
      <c r="AF2241" s="6">
        <v>63</v>
      </c>
      <c r="AG2241" s="6"/>
      <c r="AH2241" s="7">
        <v>1</v>
      </c>
      <c r="AI2241" s="4"/>
      <c r="AJ2241" s="4">
        <f>=ROUNDDOWN({0},0)</f>
      </c>
      <c r="AK2241" s="5"/>
      <c r="AL2241" s="2" t="s">
        <v>228</v>
      </c>
      <c r="AM2241" s="4"/>
      <c r="AN2241" s="4"/>
      <c r="AO2241" s="7"/>
      <c r="AP2241" s="4"/>
      <c r="AQ2241" s="8"/>
      <c r="AR2241" s="4"/>
      <c r="AS2241" s="8"/>
      <c r="AT2241" s="7"/>
      <c r="AU2241" s="7"/>
      <c r="AV2241" s="4"/>
      <c r="AW2241" s="8"/>
      <c r="AX2241" s="4"/>
      <c r="AY2241" s="8"/>
      <c r="AZ2241" s="7"/>
      <c r="BA2241" s="7"/>
      <c r="BB2241" s="7"/>
      <c r="BC2241" s="4" t="s">
        <v>228</v>
      </c>
      <c r="BD2241" s="8" t="s">
        <v>228</v>
      </c>
      <c r="BE2241" s="4" t="s">
        <v>228</v>
      </c>
      <c r="BF2241" s="8" t="s">
        <v>228</v>
      </c>
      <c r="BG2241" s="7" t="s">
        <v>228</v>
      </c>
      <c r="BH2241" s="7" t="s">
        <v>228</v>
      </c>
      <c r="BI2241" s="7"/>
      <c r="BJ2241" s="4">
        <v>5</v>
      </c>
      <c r="BK2241" s="8">
        <v>38.24</v>
      </c>
      <c r="BL2241" s="2" t="s">
        <v>2426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10547</v>
      </c>
      <c r="BV2241" s="2" t="s">
        <v>228</v>
      </c>
      <c r="BW2241" s="2" t="s">
        <v>228</v>
      </c>
      <c r="BX2241" s="2" t="s">
        <v>273</v>
      </c>
      <c r="BY2241" s="2" t="s">
        <v>274</v>
      </c>
      <c r="BZ2241" s="2" t="s">
        <v>240</v>
      </c>
      <c r="CA2241" s="2" t="s">
        <v>2045</v>
      </c>
      <c r="CB2241" s="2" t="s">
        <v>228</v>
      </c>
      <c r="CC2241" s="2" t="s">
        <v>241</v>
      </c>
      <c r="CD2241" s="2" t="s">
        <v>228</v>
      </c>
      <c r="CE2241" s="4"/>
      <c r="CF2241" s="4">
        <v>133</v>
      </c>
      <c r="CG2241" s="4"/>
      <c r="CH2241" s="4"/>
      <c r="CI2241" s="4"/>
      <c r="CJ2241" s="4"/>
      <c r="CK2241" s="4"/>
      <c r="CL2241" s="4"/>
      <c r="CM2241" s="4"/>
      <c r="CN2241" s="4"/>
      <c r="CO2241" s="4"/>
      <c r="CP2241" s="4"/>
      <c r="CQ2241" s="4"/>
      <c r="CR2241" s="4"/>
      <c r="CS2241" s="4"/>
      <c r="CT2241" s="4"/>
      <c r="CU2241" s="4"/>
      <c r="CV2241" s="4"/>
      <c r="CW2241" s="4"/>
      <c r="CX2241" s="4"/>
      <c r="CY2241" s="4"/>
      <c r="CZ2241" s="4"/>
      <c r="DA2241" s="4"/>
      <c r="DB2241" s="4"/>
      <c r="DC2241" s="4"/>
      <c r="DD2241" s="4"/>
      <c r="DE2241" s="4"/>
      <c r="DF2241" s="4"/>
      <c r="DG2241" s="4"/>
      <c r="DH2241" s="4"/>
      <c r="DI2241" s="4"/>
      <c r="DJ2241" s="4"/>
      <c r="DK2241" s="4"/>
      <c r="DL2241" s="4"/>
      <c r="DM2241" s="4"/>
      <c r="DN2241" s="4"/>
      <c r="DO2241" s="4"/>
      <c r="DP2241" s="4"/>
      <c r="DQ2241" s="4"/>
      <c r="DR2241" s="4"/>
      <c r="DS2241" s="4"/>
      <c r="DT2241" s="4"/>
      <c r="DU2241" s="4"/>
      <c r="DV2241" s="4"/>
      <c r="DW2241" s="4"/>
      <c r="DX2241" s="4"/>
      <c r="DY2241" s="4"/>
      <c r="DZ2241" s="4"/>
      <c r="EA2241" s="4"/>
      <c r="EB2241" s="4"/>
      <c r="EC2241" s="4"/>
      <c r="ED2241" s="4"/>
      <c r="EE2241" s="4"/>
      <c r="EF2241" s="4"/>
      <c r="EG2241" s="4"/>
      <c r="EH2241" s="4"/>
      <c r="EI2241" s="4"/>
      <c r="EJ2241" s="4"/>
      <c r="EK2241" s="4"/>
      <c r="EL2241" s="4"/>
      <c r="EM2241" s="4"/>
      <c r="EN2241" s="4"/>
      <c r="EO2241" s="4"/>
      <c r="EP2241" s="4"/>
      <c r="EQ2241" s="4"/>
      <c r="ER2241" s="4"/>
      <c r="ES2241" s="4"/>
      <c r="ET2241" s="4"/>
      <c r="EU2241" s="4"/>
      <c r="EV2241" s="4"/>
      <c r="EW2241" s="4"/>
      <c r="EX2241" s="4"/>
      <c r="EY2241" s="4"/>
      <c r="EZ2241" s="4"/>
      <c r="FA2241" s="4"/>
      <c r="FB2241" s="4"/>
      <c r="FC2241" s="4"/>
      <c r="FD2241" s="4"/>
      <c r="FE2241" s="4"/>
      <c r="FF2241" s="4"/>
      <c r="FG2241" s="4"/>
      <c r="FH2241" s="4"/>
      <c r="FI2241" s="4"/>
      <c r="FJ2241" s="4"/>
      <c r="FK2241" s="4"/>
      <c r="FL2241" s="4"/>
      <c r="FM2241" s="4"/>
      <c r="FN2241" s="4"/>
      <c r="FO2241" s="4"/>
      <c r="FP2241" s="4"/>
      <c r="FQ2241" s="4"/>
      <c r="FR2241" s="4"/>
      <c r="FS2241" s="4"/>
      <c r="FT2241" s="4"/>
      <c r="FU2241" s="4"/>
      <c r="FV2241" s="4"/>
      <c r="FW2241" s="4"/>
      <c r="FX2241" s="4"/>
      <c r="FY2241" s="4"/>
      <c r="FZ2241" s="4"/>
      <c r="GA2241" s="4"/>
      <c r="GB2241" s="4"/>
      <c r="GC2241" s="4"/>
      <c r="GD2241" s="4"/>
      <c r="GE2241" s="4"/>
      <c r="GF2241" s="4"/>
      <c r="GG2241" s="4"/>
      <c r="GH2241" s="4"/>
      <c r="GI2241" s="4"/>
      <c r="GJ2241" s="4"/>
      <c r="GK2241" s="4"/>
      <c r="GL2241" s="4"/>
      <c r="GM2241" s="4"/>
      <c r="GN2241" s="4"/>
      <c r="GO2241" s="4"/>
      <c r="GP2241" s="4"/>
      <c r="GQ2241" s="4"/>
      <c r="GR2241" s="4"/>
      <c r="GS2241" s="4"/>
      <c r="GT2241" s="4"/>
      <c r="GU2241" s="4"/>
      <c r="GV2241" s="4"/>
      <c r="GW2241" s="4"/>
      <c r="GX2241" s="4"/>
      <c r="GY2241" s="4"/>
      <c r="GZ2241" s="4"/>
      <c r="HA2241" s="4"/>
      <c r="HB2241" s="4"/>
      <c r="HC2241" s="4"/>
      <c r="HD2241" s="4"/>
      <c r="HE2241" s="4"/>
    </row>
    <row r="2242">
      <c r="A2242" s="2" t="s">
        <v>10548</v>
      </c>
      <c r="B2242" s="2" t="s">
        <v>866</v>
      </c>
      <c r="C2242" s="2" t="s">
        <v>300</v>
      </c>
      <c r="D2242" s="2" t="s">
        <v>899</v>
      </c>
      <c r="E2242" s="2" t="s">
        <v>1891</v>
      </c>
      <c r="F2242" s="2" t="s">
        <v>10540</v>
      </c>
      <c r="G2242" s="2" t="s">
        <v>10540</v>
      </c>
      <c r="H2242" s="2" t="s">
        <v>10540</v>
      </c>
      <c r="I2242" s="2" t="s">
        <v>10549</v>
      </c>
      <c r="J2242" s="2" t="s">
        <v>840</v>
      </c>
      <c r="K2242" s="2" t="s">
        <v>10550</v>
      </c>
      <c r="L2242" s="3">
        <v>6.66</v>
      </c>
      <c r="M2242" s="3">
        <v>6.99</v>
      </c>
      <c r="N2242" s="3">
        <v>19.99</v>
      </c>
      <c r="O2242" s="2" t="s">
        <v>240</v>
      </c>
      <c r="P2242" s="2" t="s">
        <v>233</v>
      </c>
      <c r="Q2242" s="2" t="s">
        <v>234</v>
      </c>
      <c r="R2242" s="2" t="s">
        <v>228</v>
      </c>
      <c r="S2242" s="2" t="s">
        <v>228</v>
      </c>
      <c r="T2242" s="2" t="s">
        <v>228</v>
      </c>
      <c r="U2242" s="2" t="s">
        <v>416</v>
      </c>
      <c r="V2242" s="2" t="s">
        <v>2042</v>
      </c>
      <c r="W2242" s="2" t="s">
        <v>269</v>
      </c>
      <c r="X2242" s="2" t="s">
        <v>1268</v>
      </c>
      <c r="Y2242" s="2" t="s">
        <v>2049</v>
      </c>
      <c r="Z2242" s="4">
        <v>164</v>
      </c>
      <c r="AA2242" s="4">
        <f>=ROUNDDOWN(86.3157894736842,0)</f>
      </c>
      <c r="AB2242" s="5">
        <v>1.9</v>
      </c>
      <c r="AC2242" s="2" t="s">
        <v>228</v>
      </c>
      <c r="AD2242" s="4"/>
      <c r="AE2242" s="4"/>
      <c r="AF2242" s="6">
        <v>63</v>
      </c>
      <c r="AG2242" s="6"/>
      <c r="AH2242" s="7">
        <v>1</v>
      </c>
      <c r="AI2242" s="4"/>
      <c r="AJ2242" s="4">
        <f>=ROUNDDOWN({0},0)</f>
      </c>
      <c r="AK2242" s="5"/>
      <c r="AL2242" s="2" t="s">
        <v>228</v>
      </c>
      <c r="AM2242" s="4"/>
      <c r="AN2242" s="4"/>
      <c r="AO2242" s="7"/>
      <c r="AP2242" s="4"/>
      <c r="AQ2242" s="8"/>
      <c r="AR2242" s="4"/>
      <c r="AS2242" s="8"/>
      <c r="AT2242" s="7"/>
      <c r="AU2242" s="7"/>
      <c r="AV2242" s="4"/>
      <c r="AW2242" s="8"/>
      <c r="AX2242" s="4"/>
      <c r="AY2242" s="8"/>
      <c r="AZ2242" s="7"/>
      <c r="BA2242" s="7"/>
      <c r="BB2242" s="7"/>
      <c r="BC2242" s="4" t="s">
        <v>228</v>
      </c>
      <c r="BD2242" s="8" t="s">
        <v>228</v>
      </c>
      <c r="BE2242" s="4" t="s">
        <v>228</v>
      </c>
      <c r="BF2242" s="8" t="s">
        <v>228</v>
      </c>
      <c r="BG2242" s="7" t="s">
        <v>228</v>
      </c>
      <c r="BH2242" s="7" t="s">
        <v>228</v>
      </c>
      <c r="BI2242" s="7"/>
      <c r="BJ2242" s="4">
        <v>5</v>
      </c>
      <c r="BK2242" s="8">
        <v>40.58</v>
      </c>
      <c r="BL2242" s="2" t="s">
        <v>9846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10551</v>
      </c>
      <c r="BV2242" s="2" t="s">
        <v>228</v>
      </c>
      <c r="BW2242" s="2" t="s">
        <v>228</v>
      </c>
      <c r="BX2242" s="2" t="s">
        <v>273</v>
      </c>
      <c r="BY2242" s="2" t="s">
        <v>274</v>
      </c>
      <c r="BZ2242" s="2" t="s">
        <v>240</v>
      </c>
      <c r="CA2242" s="2" t="s">
        <v>2045</v>
      </c>
      <c r="CB2242" s="2" t="s">
        <v>228</v>
      </c>
      <c r="CC2242" s="2" t="s">
        <v>241</v>
      </c>
      <c r="CD2242" s="2" t="s">
        <v>228</v>
      </c>
      <c r="CE2242" s="4"/>
      <c r="CF2242" s="4">
        <v>164</v>
      </c>
      <c r="CG2242" s="4"/>
      <c r="CH2242" s="4"/>
      <c r="CI2242" s="4"/>
      <c r="CJ2242" s="4"/>
      <c r="CK2242" s="4"/>
      <c r="CL2242" s="4"/>
      <c r="CM2242" s="4"/>
      <c r="CN2242" s="4"/>
      <c r="CO2242" s="4"/>
      <c r="CP2242" s="4"/>
      <c r="CQ2242" s="4"/>
      <c r="CR2242" s="4"/>
      <c r="CS2242" s="4"/>
      <c r="CT2242" s="4"/>
      <c r="CU2242" s="4"/>
      <c r="CV2242" s="4"/>
      <c r="CW2242" s="4"/>
      <c r="CX2242" s="4"/>
      <c r="CY2242" s="4"/>
      <c r="CZ2242" s="4"/>
      <c r="DA2242" s="4"/>
      <c r="DB2242" s="4"/>
      <c r="DC2242" s="4"/>
      <c r="DD2242" s="4"/>
      <c r="DE2242" s="4"/>
      <c r="DF2242" s="4"/>
      <c r="DG2242" s="4"/>
      <c r="DH2242" s="4"/>
      <c r="DI2242" s="4"/>
      <c r="DJ2242" s="4"/>
      <c r="DK2242" s="4"/>
      <c r="DL2242" s="4"/>
      <c r="DM2242" s="4"/>
      <c r="DN2242" s="4"/>
      <c r="DO2242" s="4"/>
      <c r="DP2242" s="4"/>
      <c r="DQ2242" s="4"/>
      <c r="DR2242" s="4"/>
      <c r="DS2242" s="4"/>
      <c r="DT2242" s="4"/>
      <c r="DU2242" s="4"/>
      <c r="DV2242" s="4"/>
      <c r="DW2242" s="4"/>
      <c r="DX2242" s="4"/>
      <c r="DY2242" s="4"/>
      <c r="DZ2242" s="4"/>
      <c r="EA2242" s="4"/>
      <c r="EB2242" s="4"/>
      <c r="EC2242" s="4"/>
      <c r="ED2242" s="4"/>
      <c r="EE2242" s="4"/>
      <c r="EF2242" s="4"/>
      <c r="EG2242" s="4"/>
      <c r="EH2242" s="4"/>
      <c r="EI2242" s="4"/>
      <c r="EJ2242" s="4"/>
      <c r="EK2242" s="4"/>
      <c r="EL2242" s="4"/>
      <c r="EM2242" s="4"/>
      <c r="EN2242" s="4"/>
      <c r="EO2242" s="4"/>
      <c r="EP2242" s="4"/>
      <c r="EQ2242" s="4"/>
      <c r="ER2242" s="4"/>
      <c r="ES2242" s="4"/>
      <c r="ET2242" s="4"/>
      <c r="EU2242" s="4"/>
      <c r="EV2242" s="4"/>
      <c r="EW2242" s="4"/>
      <c r="EX2242" s="4"/>
      <c r="EY2242" s="4"/>
      <c r="EZ2242" s="4"/>
      <c r="FA2242" s="4"/>
      <c r="FB2242" s="4"/>
      <c r="FC2242" s="4"/>
      <c r="FD2242" s="4"/>
      <c r="FE2242" s="4"/>
      <c r="FF2242" s="4"/>
      <c r="FG2242" s="4"/>
      <c r="FH2242" s="4"/>
      <c r="FI2242" s="4"/>
      <c r="FJ2242" s="4"/>
      <c r="FK2242" s="4"/>
      <c r="FL2242" s="4"/>
      <c r="FM2242" s="4"/>
      <c r="FN2242" s="4"/>
      <c r="FO2242" s="4"/>
      <c r="FP2242" s="4"/>
      <c r="FQ2242" s="4"/>
      <c r="FR2242" s="4"/>
      <c r="FS2242" s="4"/>
      <c r="FT2242" s="4"/>
      <c r="FU2242" s="4"/>
      <c r="FV2242" s="4"/>
      <c r="FW2242" s="4"/>
      <c r="FX2242" s="4"/>
      <c r="FY2242" s="4"/>
      <c r="FZ2242" s="4"/>
      <c r="GA2242" s="4"/>
      <c r="GB2242" s="4"/>
      <c r="GC2242" s="4"/>
      <c r="GD2242" s="4"/>
      <c r="GE2242" s="4"/>
      <c r="GF2242" s="4"/>
      <c r="GG2242" s="4"/>
      <c r="GH2242" s="4"/>
      <c r="GI2242" s="4"/>
      <c r="GJ2242" s="4"/>
      <c r="GK2242" s="4"/>
      <c r="GL2242" s="4"/>
      <c r="GM2242" s="4"/>
      <c r="GN2242" s="4"/>
      <c r="GO2242" s="4"/>
      <c r="GP2242" s="4"/>
      <c r="GQ2242" s="4"/>
      <c r="GR2242" s="4"/>
      <c r="GS2242" s="4"/>
      <c r="GT2242" s="4"/>
      <c r="GU2242" s="4"/>
      <c r="GV2242" s="4"/>
      <c r="GW2242" s="4"/>
      <c r="GX2242" s="4"/>
      <c r="GY2242" s="4"/>
      <c r="GZ2242" s="4"/>
      <c r="HA2242" s="4"/>
      <c r="HB2242" s="4"/>
      <c r="HC2242" s="4"/>
      <c r="HD2242" s="4"/>
      <c r="HE2242" s="4"/>
    </row>
    <row r="2243">
      <c r="A2243" s="2" t="s">
        <v>10552</v>
      </c>
      <c r="B2243" s="2" t="s">
        <v>866</v>
      </c>
      <c r="C2243" s="2" t="s">
        <v>300</v>
      </c>
      <c r="D2243" s="2" t="s">
        <v>899</v>
      </c>
      <c r="E2243" s="2" t="s">
        <v>1891</v>
      </c>
      <c r="F2243" s="2" t="s">
        <v>10540</v>
      </c>
      <c r="G2243" s="2" t="s">
        <v>10540</v>
      </c>
      <c r="H2243" s="2" t="s">
        <v>10540</v>
      </c>
      <c r="I2243" s="2" t="s">
        <v>10553</v>
      </c>
      <c r="J2243" s="2" t="s">
        <v>840</v>
      </c>
      <c r="K2243" s="2" t="s">
        <v>10554</v>
      </c>
      <c r="L2243" s="3">
        <v>6.66</v>
      </c>
      <c r="M2243" s="3">
        <v>6.99</v>
      </c>
      <c r="N2243" s="3">
        <v>19.99</v>
      </c>
      <c r="O2243" s="2" t="s">
        <v>240</v>
      </c>
      <c r="P2243" s="2" t="s">
        <v>1012</v>
      </c>
      <c r="Q2243" s="2" t="s">
        <v>234</v>
      </c>
      <c r="R2243" s="2" t="s">
        <v>228</v>
      </c>
      <c r="S2243" s="2" t="s">
        <v>228</v>
      </c>
      <c r="T2243" s="2" t="s">
        <v>228</v>
      </c>
      <c r="U2243" s="2" t="s">
        <v>416</v>
      </c>
      <c r="V2243" s="2" t="s">
        <v>2042</v>
      </c>
      <c r="W2243" s="2" t="s">
        <v>269</v>
      </c>
      <c r="X2243" s="2" t="s">
        <v>1268</v>
      </c>
      <c r="Y2243" s="2" t="s">
        <v>2043</v>
      </c>
      <c r="Z2243" s="4">
        <v>256</v>
      </c>
      <c r="AA2243" s="4">
        <f>=ROUNDDOWN(42.6666666666667,0)</f>
      </c>
      <c r="AB2243" s="5">
        <v>6</v>
      </c>
      <c r="AC2243" s="2" t="s">
        <v>228</v>
      </c>
      <c r="AD2243" s="4"/>
      <c r="AE2243" s="4"/>
      <c r="AF2243" s="6">
        <v>63</v>
      </c>
      <c r="AG2243" s="6"/>
      <c r="AH2243" s="7">
        <v>1</v>
      </c>
      <c r="AI2243" s="4"/>
      <c r="AJ2243" s="4">
        <f>=ROUNDDOWN({0},0)</f>
      </c>
      <c r="AK2243" s="5"/>
      <c r="AL2243" s="2" t="s">
        <v>228</v>
      </c>
      <c r="AM2243" s="4"/>
      <c r="AN2243" s="4"/>
      <c r="AO2243" s="7"/>
      <c r="AP2243" s="4"/>
      <c r="AQ2243" s="8"/>
      <c r="AR2243" s="4"/>
      <c r="AS2243" s="8"/>
      <c r="AT2243" s="7"/>
      <c r="AU2243" s="7"/>
      <c r="AV2243" s="4"/>
      <c r="AW2243" s="8"/>
      <c r="AX2243" s="4"/>
      <c r="AY2243" s="8"/>
      <c r="AZ2243" s="7"/>
      <c r="BA2243" s="7"/>
      <c r="BB2243" s="7"/>
      <c r="BC2243" s="4" t="s">
        <v>228</v>
      </c>
      <c r="BD2243" s="8" t="s">
        <v>228</v>
      </c>
      <c r="BE2243" s="4" t="s">
        <v>228</v>
      </c>
      <c r="BF2243" s="8" t="s">
        <v>228</v>
      </c>
      <c r="BG2243" s="7" t="s">
        <v>228</v>
      </c>
      <c r="BH2243" s="7" t="s">
        <v>228</v>
      </c>
      <c r="BI2243" s="7"/>
      <c r="BJ2243" s="4">
        <v>13</v>
      </c>
      <c r="BK2243" s="8">
        <v>109.98</v>
      </c>
      <c r="BL2243" s="2" t="s">
        <v>2804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10555</v>
      </c>
      <c r="BV2243" s="2" t="s">
        <v>228</v>
      </c>
      <c r="BW2243" s="2" t="s">
        <v>228</v>
      </c>
      <c r="BX2243" s="2" t="s">
        <v>273</v>
      </c>
      <c r="BY2243" s="2" t="s">
        <v>274</v>
      </c>
      <c r="BZ2243" s="2" t="s">
        <v>240</v>
      </c>
      <c r="CA2243" s="2" t="s">
        <v>2045</v>
      </c>
      <c r="CB2243" s="2" t="s">
        <v>228</v>
      </c>
      <c r="CC2243" s="2" t="s">
        <v>241</v>
      </c>
      <c r="CD2243" s="2" t="s">
        <v>228</v>
      </c>
      <c r="CE2243" s="4"/>
      <c r="CF2243" s="4">
        <v>256</v>
      </c>
      <c r="CG2243" s="4"/>
      <c r="CH2243" s="4"/>
      <c r="CI2243" s="4"/>
      <c r="CJ2243" s="4"/>
      <c r="CK2243" s="4"/>
      <c r="CL2243" s="4"/>
      <c r="CM2243" s="4"/>
      <c r="CN2243" s="4"/>
      <c r="CO2243" s="4"/>
      <c r="CP2243" s="4"/>
      <c r="CQ2243" s="4"/>
      <c r="CR2243" s="4"/>
      <c r="CS2243" s="4"/>
      <c r="CT2243" s="4"/>
      <c r="CU2243" s="4"/>
      <c r="CV2243" s="4"/>
      <c r="CW2243" s="4"/>
      <c r="CX2243" s="4"/>
      <c r="CY2243" s="4"/>
      <c r="CZ2243" s="4"/>
      <c r="DA2243" s="4"/>
      <c r="DB2243" s="4"/>
      <c r="DC2243" s="4"/>
      <c r="DD2243" s="4"/>
      <c r="DE2243" s="4"/>
      <c r="DF2243" s="4"/>
      <c r="DG2243" s="4"/>
      <c r="DH2243" s="4"/>
      <c r="DI2243" s="4"/>
      <c r="DJ2243" s="4"/>
      <c r="DK2243" s="4"/>
      <c r="DL2243" s="4"/>
      <c r="DM2243" s="4"/>
      <c r="DN2243" s="4"/>
      <c r="DO2243" s="4"/>
      <c r="DP2243" s="4"/>
      <c r="DQ2243" s="4"/>
      <c r="DR2243" s="4"/>
      <c r="DS2243" s="4"/>
      <c r="DT2243" s="4"/>
      <c r="DU2243" s="4"/>
      <c r="DV2243" s="4"/>
      <c r="DW2243" s="4"/>
      <c r="DX2243" s="4"/>
      <c r="DY2243" s="4"/>
      <c r="DZ2243" s="4"/>
      <c r="EA2243" s="4"/>
      <c r="EB2243" s="4"/>
      <c r="EC2243" s="4"/>
      <c r="ED2243" s="4"/>
      <c r="EE2243" s="4"/>
      <c r="EF2243" s="4"/>
      <c r="EG2243" s="4"/>
      <c r="EH2243" s="4"/>
      <c r="EI2243" s="4"/>
      <c r="EJ2243" s="4"/>
      <c r="EK2243" s="4"/>
      <c r="EL2243" s="4"/>
      <c r="EM2243" s="4"/>
      <c r="EN2243" s="4"/>
      <c r="EO2243" s="4"/>
      <c r="EP2243" s="4"/>
      <c r="EQ2243" s="4"/>
      <c r="ER2243" s="4"/>
      <c r="ES2243" s="4"/>
      <c r="ET2243" s="4"/>
      <c r="EU2243" s="4"/>
      <c r="EV2243" s="4"/>
      <c r="EW2243" s="4"/>
      <c r="EX2243" s="4"/>
      <c r="EY2243" s="4"/>
      <c r="EZ2243" s="4"/>
      <c r="FA2243" s="4"/>
      <c r="FB2243" s="4"/>
      <c r="FC2243" s="4"/>
      <c r="FD2243" s="4"/>
      <c r="FE2243" s="4"/>
      <c r="FF2243" s="4"/>
      <c r="FG2243" s="4"/>
      <c r="FH2243" s="4"/>
      <c r="FI2243" s="4"/>
      <c r="FJ2243" s="4"/>
      <c r="FK2243" s="4"/>
      <c r="FL2243" s="4"/>
      <c r="FM2243" s="4"/>
      <c r="FN2243" s="4"/>
      <c r="FO2243" s="4"/>
      <c r="FP2243" s="4"/>
      <c r="FQ2243" s="4"/>
      <c r="FR2243" s="4"/>
      <c r="FS2243" s="4"/>
      <c r="FT2243" s="4"/>
      <c r="FU2243" s="4"/>
      <c r="FV2243" s="4"/>
      <c r="FW2243" s="4"/>
      <c r="FX2243" s="4"/>
      <c r="FY2243" s="4"/>
      <c r="FZ2243" s="4"/>
      <c r="GA2243" s="4"/>
      <c r="GB2243" s="4"/>
      <c r="GC2243" s="4"/>
      <c r="GD2243" s="4"/>
      <c r="GE2243" s="4"/>
      <c r="GF2243" s="4"/>
      <c r="GG2243" s="4"/>
      <c r="GH2243" s="4"/>
      <c r="GI2243" s="4"/>
      <c r="GJ2243" s="4"/>
      <c r="GK2243" s="4"/>
      <c r="GL2243" s="4"/>
      <c r="GM2243" s="4"/>
      <c r="GN2243" s="4"/>
      <c r="GO2243" s="4"/>
      <c r="GP2243" s="4"/>
      <c r="GQ2243" s="4"/>
      <c r="GR2243" s="4"/>
      <c r="GS2243" s="4"/>
      <c r="GT2243" s="4"/>
      <c r="GU2243" s="4"/>
      <c r="GV2243" s="4"/>
      <c r="GW2243" s="4"/>
      <c r="GX2243" s="4"/>
      <c r="GY2243" s="4"/>
      <c r="GZ2243" s="4"/>
      <c r="HA2243" s="4"/>
      <c r="HB2243" s="4"/>
      <c r="HC2243" s="4"/>
      <c r="HD2243" s="4"/>
      <c r="HE2243" s="4"/>
    </row>
    <row r="2244">
      <c r="A2244" s="2" t="s">
        <v>10556</v>
      </c>
      <c r="B2244" s="2" t="s">
        <v>866</v>
      </c>
      <c r="C2244" s="2" t="s">
        <v>300</v>
      </c>
      <c r="D2244" s="2" t="s">
        <v>899</v>
      </c>
      <c r="E2244" s="2" t="s">
        <v>1891</v>
      </c>
      <c r="F2244" s="2" t="s">
        <v>10540</v>
      </c>
      <c r="G2244" s="2" t="s">
        <v>10540</v>
      </c>
      <c r="H2244" s="2" t="s">
        <v>10540</v>
      </c>
      <c r="I2244" s="2" t="s">
        <v>10557</v>
      </c>
      <c r="J2244" s="2" t="s">
        <v>840</v>
      </c>
      <c r="K2244" s="2" t="s">
        <v>10558</v>
      </c>
      <c r="L2244" s="3">
        <v>6.66</v>
      </c>
      <c r="M2244" s="3">
        <v>6.99</v>
      </c>
      <c r="N2244" s="3">
        <v>19.99</v>
      </c>
      <c r="O2244" s="2" t="s">
        <v>240</v>
      </c>
      <c r="P2244" s="2" t="s">
        <v>233</v>
      </c>
      <c r="Q2244" s="2" t="s">
        <v>234</v>
      </c>
      <c r="R2244" s="2" t="s">
        <v>228</v>
      </c>
      <c r="S2244" s="2" t="s">
        <v>228</v>
      </c>
      <c r="T2244" s="2" t="s">
        <v>228</v>
      </c>
      <c r="U2244" s="2" t="s">
        <v>416</v>
      </c>
      <c r="V2244" s="2" t="s">
        <v>2042</v>
      </c>
      <c r="W2244" s="2" t="s">
        <v>269</v>
      </c>
      <c r="X2244" s="2" t="s">
        <v>1268</v>
      </c>
      <c r="Y2244" s="2" t="s">
        <v>2043</v>
      </c>
      <c r="Z2244" s="4">
        <v>198</v>
      </c>
      <c r="AA2244" s="4">
        <f>=ROUNDDOWN(198,0)</f>
      </c>
      <c r="AB2244" s="5">
        <v>1</v>
      </c>
      <c r="AC2244" s="2" t="s">
        <v>228</v>
      </c>
      <c r="AD2244" s="4"/>
      <c r="AE2244" s="4"/>
      <c r="AF2244" s="6">
        <v>63</v>
      </c>
      <c r="AG2244" s="6"/>
      <c r="AH2244" s="7">
        <v>1</v>
      </c>
      <c r="AI2244" s="4"/>
      <c r="AJ2244" s="4">
        <f>=ROUNDDOWN({0},0)</f>
      </c>
      <c r="AK2244" s="5"/>
      <c r="AL2244" s="2" t="s">
        <v>228</v>
      </c>
      <c r="AM2244" s="4"/>
      <c r="AN2244" s="4"/>
      <c r="AO2244" s="7"/>
      <c r="AP2244" s="4"/>
      <c r="AQ2244" s="8"/>
      <c r="AR2244" s="4"/>
      <c r="AS2244" s="8"/>
      <c r="AT2244" s="7"/>
      <c r="AU2244" s="7"/>
      <c r="AV2244" s="4"/>
      <c r="AW2244" s="8"/>
      <c r="AX2244" s="4"/>
      <c r="AY2244" s="8"/>
      <c r="AZ2244" s="7"/>
      <c r="BA2244" s="7"/>
      <c r="BB2244" s="7"/>
      <c r="BC2244" s="4" t="s">
        <v>228</v>
      </c>
      <c r="BD2244" s="8" t="s">
        <v>228</v>
      </c>
      <c r="BE2244" s="4" t="s">
        <v>228</v>
      </c>
      <c r="BF2244" s="8" t="s">
        <v>228</v>
      </c>
      <c r="BG2244" s="7" t="s">
        <v>228</v>
      </c>
      <c r="BH2244" s="7" t="s">
        <v>228</v>
      </c>
      <c r="BI2244" s="7"/>
      <c r="BJ2244" s="4">
        <v>1</v>
      </c>
      <c r="BK2244" s="8">
        <v>7.34</v>
      </c>
      <c r="BL2244" s="2" t="s">
        <v>708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10559</v>
      </c>
      <c r="BV2244" s="2" t="s">
        <v>228</v>
      </c>
      <c r="BW2244" s="2" t="s">
        <v>228</v>
      </c>
      <c r="BX2244" s="2" t="s">
        <v>273</v>
      </c>
      <c r="BY2244" s="2" t="s">
        <v>274</v>
      </c>
      <c r="BZ2244" s="2" t="s">
        <v>240</v>
      </c>
      <c r="CA2244" s="2" t="s">
        <v>2045</v>
      </c>
      <c r="CB2244" s="2" t="s">
        <v>228</v>
      </c>
      <c r="CC2244" s="2" t="s">
        <v>241</v>
      </c>
      <c r="CD2244" s="2" t="s">
        <v>228</v>
      </c>
      <c r="CE2244" s="4"/>
      <c r="CF2244" s="4">
        <v>198</v>
      </c>
      <c r="CG2244" s="4"/>
      <c r="CH2244" s="4"/>
      <c r="CI2244" s="4"/>
      <c r="CJ2244" s="4"/>
      <c r="CK2244" s="4"/>
      <c r="CL2244" s="4"/>
      <c r="CM2244" s="4"/>
      <c r="CN2244" s="4"/>
      <c r="CO2244" s="4"/>
      <c r="CP2244" s="4"/>
      <c r="CQ2244" s="4"/>
      <c r="CR2244" s="4"/>
      <c r="CS2244" s="4"/>
      <c r="CT2244" s="4"/>
      <c r="CU2244" s="4"/>
      <c r="CV2244" s="4"/>
      <c r="CW2244" s="4"/>
      <c r="CX2244" s="4"/>
      <c r="CY2244" s="4"/>
      <c r="CZ2244" s="4"/>
      <c r="DA2244" s="4"/>
      <c r="DB2244" s="4"/>
      <c r="DC2244" s="4"/>
      <c r="DD2244" s="4"/>
      <c r="DE2244" s="4"/>
      <c r="DF2244" s="4"/>
      <c r="DG2244" s="4"/>
      <c r="DH2244" s="4"/>
      <c r="DI2244" s="4"/>
      <c r="DJ2244" s="4"/>
      <c r="DK2244" s="4"/>
      <c r="DL2244" s="4"/>
      <c r="DM2244" s="4"/>
      <c r="DN2244" s="4"/>
      <c r="DO2244" s="4"/>
      <c r="DP2244" s="4"/>
      <c r="DQ2244" s="4"/>
      <c r="DR2244" s="4"/>
      <c r="DS2244" s="4"/>
      <c r="DT2244" s="4"/>
      <c r="DU2244" s="4"/>
      <c r="DV2244" s="4"/>
      <c r="DW2244" s="4"/>
      <c r="DX2244" s="4"/>
      <c r="DY2244" s="4"/>
      <c r="DZ2244" s="4"/>
      <c r="EA2244" s="4"/>
      <c r="EB2244" s="4"/>
      <c r="EC2244" s="4"/>
      <c r="ED2244" s="4"/>
      <c r="EE2244" s="4"/>
      <c r="EF2244" s="4"/>
      <c r="EG2244" s="4"/>
      <c r="EH2244" s="4"/>
      <c r="EI2244" s="4"/>
      <c r="EJ2244" s="4"/>
      <c r="EK2244" s="4"/>
      <c r="EL2244" s="4"/>
      <c r="EM2244" s="4"/>
      <c r="EN2244" s="4"/>
      <c r="EO2244" s="4"/>
      <c r="EP2244" s="4"/>
      <c r="EQ2244" s="4"/>
      <c r="ER2244" s="4"/>
      <c r="ES2244" s="4"/>
      <c r="ET2244" s="4"/>
      <c r="EU2244" s="4"/>
      <c r="EV2244" s="4"/>
      <c r="EW2244" s="4"/>
      <c r="EX2244" s="4"/>
      <c r="EY2244" s="4"/>
      <c r="EZ2244" s="4"/>
      <c r="FA2244" s="4"/>
      <c r="FB2244" s="4"/>
      <c r="FC2244" s="4"/>
      <c r="FD2244" s="4"/>
      <c r="FE2244" s="4"/>
      <c r="FF2244" s="4"/>
      <c r="FG2244" s="4"/>
      <c r="FH2244" s="4"/>
      <c r="FI2244" s="4"/>
      <c r="FJ2244" s="4"/>
      <c r="FK2244" s="4"/>
      <c r="FL2244" s="4"/>
      <c r="FM2244" s="4"/>
      <c r="FN2244" s="4"/>
      <c r="FO2244" s="4"/>
      <c r="FP2244" s="4"/>
      <c r="FQ2244" s="4"/>
      <c r="FR2244" s="4"/>
      <c r="FS2244" s="4"/>
      <c r="FT2244" s="4"/>
      <c r="FU2244" s="4"/>
      <c r="FV2244" s="4"/>
      <c r="FW2244" s="4"/>
      <c r="FX2244" s="4"/>
      <c r="FY2244" s="4"/>
      <c r="FZ2244" s="4"/>
      <c r="GA2244" s="4"/>
      <c r="GB2244" s="4"/>
      <c r="GC2244" s="4"/>
      <c r="GD2244" s="4"/>
      <c r="GE2244" s="4"/>
      <c r="GF2244" s="4"/>
      <c r="GG2244" s="4"/>
      <c r="GH2244" s="4"/>
      <c r="GI2244" s="4"/>
      <c r="GJ2244" s="4"/>
      <c r="GK2244" s="4"/>
      <c r="GL2244" s="4"/>
      <c r="GM2244" s="4"/>
      <c r="GN2244" s="4"/>
      <c r="GO2244" s="4"/>
      <c r="GP2244" s="4"/>
      <c r="GQ2244" s="4"/>
      <c r="GR2244" s="4"/>
      <c r="GS2244" s="4"/>
      <c r="GT2244" s="4"/>
      <c r="GU2244" s="4"/>
      <c r="GV2244" s="4"/>
      <c r="GW2244" s="4"/>
      <c r="GX2244" s="4"/>
      <c r="GY2244" s="4"/>
      <c r="GZ2244" s="4"/>
      <c r="HA2244" s="4"/>
      <c r="HB2244" s="4"/>
      <c r="HC2244" s="4"/>
      <c r="HD2244" s="4"/>
      <c r="HE2244" s="4"/>
    </row>
    <row r="2245">
      <c r="A2245" s="2" t="s">
        <v>10560</v>
      </c>
      <c r="B2245" s="2" t="s">
        <v>866</v>
      </c>
      <c r="C2245" s="2" t="s">
        <v>300</v>
      </c>
      <c r="D2245" s="2" t="s">
        <v>899</v>
      </c>
      <c r="E2245" s="2" t="s">
        <v>1891</v>
      </c>
      <c r="F2245" s="2" t="s">
        <v>10540</v>
      </c>
      <c r="G2245" s="2" t="s">
        <v>10540</v>
      </c>
      <c r="H2245" s="2" t="s">
        <v>10540</v>
      </c>
      <c r="I2245" s="2" t="s">
        <v>10561</v>
      </c>
      <c r="J2245" s="2" t="s">
        <v>840</v>
      </c>
      <c r="K2245" s="2" t="s">
        <v>10562</v>
      </c>
      <c r="L2245" s="3">
        <v>6.66</v>
      </c>
      <c r="M2245" s="3">
        <v>6.99</v>
      </c>
      <c r="N2245" s="3">
        <v>19.99</v>
      </c>
      <c r="O2245" s="2" t="s">
        <v>240</v>
      </c>
      <c r="P2245" s="2" t="s">
        <v>233</v>
      </c>
      <c r="Q2245" s="2" t="s">
        <v>234</v>
      </c>
      <c r="R2245" s="2" t="s">
        <v>228</v>
      </c>
      <c r="S2245" s="2" t="s">
        <v>228</v>
      </c>
      <c r="T2245" s="2" t="s">
        <v>228</v>
      </c>
      <c r="U2245" s="2" t="s">
        <v>416</v>
      </c>
      <c r="V2245" s="2" t="s">
        <v>2042</v>
      </c>
      <c r="W2245" s="2" t="s">
        <v>269</v>
      </c>
      <c r="X2245" s="2" t="s">
        <v>1268</v>
      </c>
      <c r="Y2245" s="2" t="s">
        <v>2043</v>
      </c>
      <c r="Z2245" s="4">
        <v>130</v>
      </c>
      <c r="AA2245" s="4">
        <f>=ROUNDDOWN(37.1428571428571,0)</f>
      </c>
      <c r="AB2245" s="5">
        <v>3.5</v>
      </c>
      <c r="AC2245" s="2" t="s">
        <v>228</v>
      </c>
      <c r="AD2245" s="4"/>
      <c r="AE2245" s="4"/>
      <c r="AF2245" s="6">
        <v>63</v>
      </c>
      <c r="AG2245" s="6"/>
      <c r="AH2245" s="7">
        <v>1</v>
      </c>
      <c r="AI2245" s="4"/>
      <c r="AJ2245" s="4">
        <f>=ROUNDDOWN({0},0)</f>
      </c>
      <c r="AK2245" s="5"/>
      <c r="AL2245" s="2" t="s">
        <v>228</v>
      </c>
      <c r="AM2245" s="4"/>
      <c r="AN2245" s="4"/>
      <c r="AO2245" s="7"/>
      <c r="AP2245" s="4"/>
      <c r="AQ2245" s="8"/>
      <c r="AR2245" s="4"/>
      <c r="AS2245" s="8"/>
      <c r="AT2245" s="7"/>
      <c r="AU2245" s="7"/>
      <c r="AV2245" s="4"/>
      <c r="AW2245" s="8"/>
      <c r="AX2245" s="4"/>
      <c r="AY2245" s="8"/>
      <c r="AZ2245" s="7"/>
      <c r="BA2245" s="7"/>
      <c r="BB2245" s="7"/>
      <c r="BC2245" s="4" t="s">
        <v>228</v>
      </c>
      <c r="BD2245" s="8" t="s">
        <v>228</v>
      </c>
      <c r="BE2245" s="4" t="s">
        <v>228</v>
      </c>
      <c r="BF2245" s="8" t="s">
        <v>228</v>
      </c>
      <c r="BG2245" s="7" t="s">
        <v>228</v>
      </c>
      <c r="BH2245" s="7" t="s">
        <v>228</v>
      </c>
      <c r="BI2245" s="7"/>
      <c r="BJ2245" s="4">
        <v>6</v>
      </c>
      <c r="BK2245" s="8">
        <v>48.34</v>
      </c>
      <c r="BL2245" s="2" t="s">
        <v>1092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10563</v>
      </c>
      <c r="BV2245" s="2" t="s">
        <v>228</v>
      </c>
      <c r="BW2245" s="2" t="s">
        <v>228</v>
      </c>
      <c r="BX2245" s="2" t="s">
        <v>273</v>
      </c>
      <c r="BY2245" s="2" t="s">
        <v>274</v>
      </c>
      <c r="BZ2245" s="2" t="s">
        <v>240</v>
      </c>
      <c r="CA2245" s="2" t="s">
        <v>2045</v>
      </c>
      <c r="CB2245" s="2" t="s">
        <v>468</v>
      </c>
      <c r="CC2245" s="2" t="s">
        <v>241</v>
      </c>
      <c r="CD2245" s="2" t="s">
        <v>228</v>
      </c>
      <c r="CE2245" s="4"/>
      <c r="CF2245" s="4">
        <v>130</v>
      </c>
      <c r="CG2245" s="4"/>
      <c r="CH2245" s="4"/>
      <c r="CI2245" s="4"/>
      <c r="CJ2245" s="4"/>
      <c r="CK2245" s="4"/>
      <c r="CL2245" s="4"/>
      <c r="CM2245" s="4"/>
      <c r="CN2245" s="4"/>
      <c r="CO2245" s="4"/>
      <c r="CP2245" s="4"/>
      <c r="CQ2245" s="4"/>
      <c r="CR2245" s="4"/>
      <c r="CS2245" s="4"/>
      <c r="CT2245" s="4"/>
      <c r="CU2245" s="4"/>
      <c r="CV2245" s="4"/>
      <c r="CW2245" s="4"/>
      <c r="CX2245" s="4"/>
      <c r="CY2245" s="4"/>
      <c r="CZ2245" s="4"/>
      <c r="DA2245" s="4"/>
      <c r="DB2245" s="4"/>
      <c r="DC2245" s="4"/>
      <c r="DD2245" s="4"/>
      <c r="DE2245" s="4"/>
      <c r="DF2245" s="4"/>
      <c r="DG2245" s="4"/>
      <c r="DH2245" s="4"/>
      <c r="DI2245" s="4"/>
      <c r="DJ2245" s="4"/>
      <c r="DK2245" s="4"/>
      <c r="DL2245" s="4"/>
      <c r="DM2245" s="4"/>
      <c r="DN2245" s="4"/>
      <c r="DO2245" s="4"/>
      <c r="DP2245" s="4"/>
      <c r="DQ2245" s="4"/>
      <c r="DR2245" s="4"/>
      <c r="DS2245" s="4"/>
      <c r="DT2245" s="4"/>
      <c r="DU2245" s="4"/>
      <c r="DV2245" s="4"/>
      <c r="DW2245" s="4"/>
      <c r="DX2245" s="4"/>
      <c r="DY2245" s="4"/>
      <c r="DZ2245" s="4"/>
      <c r="EA2245" s="4"/>
      <c r="EB2245" s="4"/>
      <c r="EC2245" s="4"/>
      <c r="ED2245" s="4"/>
      <c r="EE2245" s="4"/>
      <c r="EF2245" s="4"/>
      <c r="EG2245" s="4"/>
      <c r="EH2245" s="4"/>
      <c r="EI2245" s="4"/>
      <c r="EJ2245" s="4"/>
      <c r="EK2245" s="4"/>
      <c r="EL2245" s="4"/>
      <c r="EM2245" s="4"/>
      <c r="EN2245" s="4"/>
      <c r="EO2245" s="4"/>
      <c r="EP2245" s="4"/>
      <c r="EQ2245" s="4"/>
      <c r="ER2245" s="4"/>
      <c r="ES2245" s="4"/>
      <c r="ET2245" s="4"/>
      <c r="EU2245" s="4"/>
      <c r="EV2245" s="4"/>
      <c r="EW2245" s="4"/>
      <c r="EX2245" s="4"/>
      <c r="EY2245" s="4"/>
      <c r="EZ2245" s="4"/>
      <c r="FA2245" s="4"/>
      <c r="FB2245" s="4"/>
      <c r="FC2245" s="4"/>
      <c r="FD2245" s="4"/>
      <c r="FE2245" s="4"/>
      <c r="FF2245" s="4"/>
      <c r="FG2245" s="4"/>
      <c r="FH2245" s="4"/>
      <c r="FI2245" s="4"/>
      <c r="FJ2245" s="4"/>
      <c r="FK2245" s="4"/>
      <c r="FL2245" s="4"/>
      <c r="FM2245" s="4"/>
      <c r="FN2245" s="4"/>
      <c r="FO2245" s="4"/>
      <c r="FP2245" s="4"/>
      <c r="FQ2245" s="4"/>
      <c r="FR2245" s="4"/>
      <c r="FS2245" s="4"/>
      <c r="FT2245" s="4"/>
      <c r="FU2245" s="4"/>
      <c r="FV2245" s="4"/>
      <c r="FW2245" s="4"/>
      <c r="FX2245" s="4"/>
      <c r="FY2245" s="4"/>
      <c r="FZ2245" s="4"/>
      <c r="GA2245" s="4"/>
      <c r="GB2245" s="4"/>
      <c r="GC2245" s="4"/>
      <c r="GD2245" s="4"/>
      <c r="GE2245" s="4"/>
      <c r="GF2245" s="4"/>
      <c r="GG2245" s="4"/>
      <c r="GH2245" s="4"/>
      <c r="GI2245" s="4"/>
      <c r="GJ2245" s="4"/>
      <c r="GK2245" s="4"/>
      <c r="GL2245" s="4"/>
      <c r="GM2245" s="4"/>
      <c r="GN2245" s="4"/>
      <c r="GO2245" s="4"/>
      <c r="GP2245" s="4"/>
      <c r="GQ2245" s="4"/>
      <c r="GR2245" s="4"/>
      <c r="GS2245" s="4"/>
      <c r="GT2245" s="4"/>
      <c r="GU2245" s="4"/>
      <c r="GV2245" s="4"/>
      <c r="GW2245" s="4"/>
      <c r="GX2245" s="4"/>
      <c r="GY2245" s="4"/>
      <c r="GZ2245" s="4"/>
      <c r="HA2245" s="4"/>
      <c r="HB2245" s="4"/>
      <c r="HC2245" s="4"/>
      <c r="HD2245" s="4"/>
      <c r="HE2245" s="4"/>
    </row>
    <row r="2246">
      <c r="A2246" s="2" t="s">
        <v>10564</v>
      </c>
      <c r="B2246" s="2" t="s">
        <v>1150</v>
      </c>
      <c r="C2246" s="2" t="s">
        <v>835</v>
      </c>
      <c r="D2246" s="2" t="s">
        <v>1112</v>
      </c>
      <c r="E2246" s="2" t="s">
        <v>1165</v>
      </c>
      <c r="F2246" s="2" t="s">
        <v>9573</v>
      </c>
      <c r="G2246" s="2" t="s">
        <v>9573</v>
      </c>
      <c r="H2246" s="2" t="s">
        <v>9573</v>
      </c>
      <c r="I2246" s="2" t="s">
        <v>10565</v>
      </c>
      <c r="J2246" s="2" t="s">
        <v>1189</v>
      </c>
      <c r="K2246" s="2" t="s">
        <v>265</v>
      </c>
      <c r="L2246" s="3">
        <v>70</v>
      </c>
      <c r="M2246" s="3">
        <v>73.49</v>
      </c>
      <c r="N2246" s="3">
        <v>139.99</v>
      </c>
      <c r="O2246" s="2" t="s">
        <v>461</v>
      </c>
      <c r="P2246" s="2" t="s">
        <v>333</v>
      </c>
      <c r="Q2246" s="2" t="s">
        <v>234</v>
      </c>
      <c r="R2246" s="2" t="s">
        <v>228</v>
      </c>
      <c r="S2246" s="2" t="s">
        <v>10566</v>
      </c>
      <c r="T2246" s="2" t="s">
        <v>228</v>
      </c>
      <c r="U2246" s="2" t="s">
        <v>228</v>
      </c>
      <c r="V2246" s="2" t="s">
        <v>374</v>
      </c>
      <c r="W2246" s="2" t="s">
        <v>6916</v>
      </c>
      <c r="X2246" s="2" t="s">
        <v>10567</v>
      </c>
      <c r="Y2246" s="2" t="s">
        <v>270</v>
      </c>
      <c r="Z2246" s="4">
        <v>133</v>
      </c>
      <c r="AA2246" s="4">
        <f>=ROUNDDOWN(19.8507462686567,0)</f>
      </c>
      <c r="AB2246" s="5">
        <v>6.7</v>
      </c>
      <c r="AC2246" s="2" t="s">
        <v>228</v>
      </c>
      <c r="AD2246" s="4"/>
      <c r="AE2246" s="4"/>
      <c r="AF2246" s="6">
        <v>66</v>
      </c>
      <c r="AG2246" s="6"/>
      <c r="AH2246" s="7">
        <v>1</v>
      </c>
      <c r="AI2246" s="4"/>
      <c r="AJ2246" s="4">
        <f>=ROUNDDOWN({0},0)</f>
      </c>
      <c r="AK2246" s="5"/>
      <c r="AL2246" s="2" t="s">
        <v>228</v>
      </c>
      <c r="AM2246" s="4"/>
      <c r="AN2246" s="4"/>
      <c r="AO2246" s="7"/>
      <c r="AP2246" s="4"/>
      <c r="AQ2246" s="8"/>
      <c r="AR2246" s="4"/>
      <c r="AS2246" s="8"/>
      <c r="AT2246" s="7"/>
      <c r="AU2246" s="7"/>
      <c r="AV2246" s="4"/>
      <c r="AW2246" s="8"/>
      <c r="AX2246" s="4"/>
      <c r="AY2246" s="8"/>
      <c r="AZ2246" s="7"/>
      <c r="BA2246" s="7"/>
      <c r="BB2246" s="7"/>
      <c r="BC2246" s="4"/>
      <c r="BD2246" s="8"/>
      <c r="BE2246" s="4"/>
      <c r="BF2246" s="8"/>
      <c r="BG2246" s="7"/>
      <c r="BH2246" s="7"/>
      <c r="BI2246" s="7"/>
      <c r="BJ2246" s="4">
        <v>29</v>
      </c>
      <c r="BK2246" s="8">
        <v>1648.11</v>
      </c>
      <c r="BL2246" s="2" t="s">
        <v>10568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10569</v>
      </c>
      <c r="BV2246" s="2" t="s">
        <v>228</v>
      </c>
      <c r="BW2246" s="2" t="s">
        <v>228</v>
      </c>
      <c r="BX2246" s="2" t="s">
        <v>337</v>
      </c>
      <c r="BY2246" s="2" t="s">
        <v>274</v>
      </c>
      <c r="BZ2246" s="2" t="s">
        <v>240</v>
      </c>
      <c r="CA2246" s="2" t="s">
        <v>275</v>
      </c>
      <c r="CB2246" s="2" t="s">
        <v>10570</v>
      </c>
      <c r="CC2246" s="2" t="s">
        <v>241</v>
      </c>
      <c r="CD2246" s="2" t="s">
        <v>228</v>
      </c>
      <c r="CE2246" s="4">
        <v>133</v>
      </c>
      <c r="CF2246" s="4"/>
      <c r="CG2246" s="4"/>
      <c r="CH2246" s="4"/>
      <c r="CI2246" s="4"/>
      <c r="CJ2246" s="4"/>
      <c r="CK2246" s="4"/>
      <c r="CL2246" s="4"/>
      <c r="CM2246" s="4"/>
      <c r="CN2246" s="4"/>
      <c r="CO2246" s="4"/>
      <c r="CP2246" s="4"/>
      <c r="CQ2246" s="4"/>
      <c r="CR2246" s="4"/>
      <c r="CS2246" s="4"/>
      <c r="CT2246" s="4"/>
      <c r="CU2246" s="4"/>
      <c r="CV2246" s="4"/>
      <c r="CW2246" s="4"/>
      <c r="CX2246" s="4"/>
      <c r="CY2246" s="4"/>
      <c r="CZ2246" s="4"/>
      <c r="DA2246" s="4"/>
      <c r="DB2246" s="4"/>
      <c r="DC2246" s="4"/>
      <c r="DD2246" s="4"/>
      <c r="DE2246" s="4"/>
      <c r="DF2246" s="4"/>
      <c r="DG2246" s="4"/>
      <c r="DH2246" s="4"/>
      <c r="DI2246" s="4"/>
      <c r="DJ2246" s="4"/>
      <c r="DK2246" s="4"/>
      <c r="DL2246" s="4"/>
      <c r="DM2246" s="4"/>
      <c r="DN2246" s="4"/>
      <c r="DO2246" s="4"/>
      <c r="DP2246" s="4"/>
      <c r="DQ2246" s="4"/>
      <c r="DR2246" s="4"/>
      <c r="DS2246" s="4"/>
      <c r="DT2246" s="4"/>
      <c r="DU2246" s="4"/>
      <c r="DV2246" s="4"/>
      <c r="DW2246" s="4"/>
      <c r="DX2246" s="4"/>
      <c r="DY2246" s="4"/>
      <c r="DZ2246" s="4"/>
      <c r="EA2246" s="4"/>
      <c r="EB2246" s="4"/>
      <c r="EC2246" s="4"/>
      <c r="ED2246" s="4"/>
      <c r="EE2246" s="4"/>
      <c r="EF2246" s="4"/>
      <c r="EG2246" s="4"/>
      <c r="EH2246" s="4"/>
      <c r="EI2246" s="4"/>
      <c r="EJ2246" s="4"/>
      <c r="EK2246" s="4"/>
      <c r="EL2246" s="4"/>
      <c r="EM2246" s="4"/>
      <c r="EN2246" s="4"/>
      <c r="EO2246" s="4"/>
      <c r="EP2246" s="4"/>
      <c r="EQ2246" s="4"/>
      <c r="ER2246" s="4"/>
      <c r="ES2246" s="4"/>
      <c r="ET2246" s="4"/>
      <c r="EU2246" s="4"/>
      <c r="EV2246" s="4"/>
      <c r="EW2246" s="4"/>
      <c r="EX2246" s="4"/>
      <c r="EY2246" s="4"/>
      <c r="EZ2246" s="4"/>
      <c r="FA2246" s="4"/>
      <c r="FB2246" s="4"/>
      <c r="FC2246" s="4"/>
      <c r="FD2246" s="4"/>
      <c r="FE2246" s="4"/>
      <c r="FF2246" s="4"/>
      <c r="FG2246" s="4"/>
      <c r="FH2246" s="4"/>
      <c r="FI2246" s="4"/>
      <c r="FJ2246" s="4"/>
      <c r="FK2246" s="4"/>
      <c r="FL2246" s="4"/>
      <c r="FM2246" s="4"/>
      <c r="FN2246" s="4"/>
      <c r="FO2246" s="4"/>
      <c r="FP2246" s="4"/>
      <c r="FQ2246" s="4"/>
      <c r="FR2246" s="4"/>
      <c r="FS2246" s="4"/>
      <c r="FT2246" s="4"/>
      <c r="FU2246" s="4"/>
      <c r="FV2246" s="4"/>
      <c r="FW2246" s="4"/>
      <c r="FX2246" s="4"/>
      <c r="FY2246" s="4"/>
      <c r="FZ2246" s="4"/>
      <c r="GA2246" s="4"/>
      <c r="GB2246" s="4"/>
      <c r="GC2246" s="4"/>
      <c r="GD2246" s="4"/>
      <c r="GE2246" s="4"/>
      <c r="GF2246" s="4"/>
      <c r="GG2246" s="4"/>
      <c r="GH2246" s="4"/>
      <c r="GI2246" s="4"/>
      <c r="GJ2246" s="4"/>
      <c r="GK2246" s="4"/>
      <c r="GL2246" s="4"/>
      <c r="GM2246" s="4"/>
      <c r="GN2246" s="4"/>
      <c r="GO2246" s="4"/>
      <c r="GP2246" s="4"/>
      <c r="GQ2246" s="4"/>
      <c r="GR2246" s="4"/>
      <c r="GS2246" s="4"/>
      <c r="GT2246" s="4"/>
      <c r="GU2246" s="4"/>
      <c r="GV2246" s="4"/>
      <c r="GW2246" s="4"/>
      <c r="GX2246" s="4"/>
      <c r="GY2246" s="4"/>
      <c r="GZ2246" s="4"/>
      <c r="HA2246" s="4"/>
      <c r="HB2246" s="4"/>
      <c r="HC2246" s="4"/>
      <c r="HD2246" s="4"/>
      <c r="HE2246" s="4"/>
    </row>
    <row r="2247">
      <c r="A2247" s="2" t="s">
        <v>10571</v>
      </c>
      <c r="B2247" s="2" t="s">
        <v>1150</v>
      </c>
      <c r="C2247" s="2" t="s">
        <v>2819</v>
      </c>
      <c r="D2247" s="2" t="s">
        <v>850</v>
      </c>
      <c r="E2247" s="2" t="s">
        <v>851</v>
      </c>
      <c r="F2247" s="2" t="s">
        <v>10572</v>
      </c>
      <c r="G2247" s="2" t="s">
        <v>228</v>
      </c>
      <c r="H2247" s="2" t="s">
        <v>228</v>
      </c>
      <c r="I2247" s="2" t="s">
        <v>1038</v>
      </c>
      <c r="J2247" s="2" t="s">
        <v>1189</v>
      </c>
      <c r="K2247" s="2" t="s">
        <v>480</v>
      </c>
      <c r="L2247" s="3">
        <v>96.89</v>
      </c>
      <c r="M2247" s="3">
        <v>101.74</v>
      </c>
      <c r="N2247" s="3">
        <v>199.99</v>
      </c>
      <c r="O2247" s="2" t="s">
        <v>240</v>
      </c>
      <c r="P2247" s="2" t="s">
        <v>266</v>
      </c>
      <c r="Q2247" s="2" t="s">
        <v>234</v>
      </c>
      <c r="R2247" s="2" t="s">
        <v>228</v>
      </c>
      <c r="S2247" s="2" t="s">
        <v>10573</v>
      </c>
      <c r="T2247" s="2" t="s">
        <v>228</v>
      </c>
      <c r="U2247" s="2" t="s">
        <v>228</v>
      </c>
      <c r="V2247" s="2" t="s">
        <v>1681</v>
      </c>
      <c r="W2247" s="2" t="s">
        <v>1268</v>
      </c>
      <c r="X2247" s="2" t="s">
        <v>2512</v>
      </c>
      <c r="Y2247" s="2" t="s">
        <v>270</v>
      </c>
      <c r="Z2247" s="4">
        <v>79</v>
      </c>
      <c r="AA2247" s="4">
        <f>=ROUNDDOWN(39.5,0)</f>
      </c>
      <c r="AB2247" s="5">
        <v>2</v>
      </c>
      <c r="AC2247" s="2" t="s">
        <v>198</v>
      </c>
      <c r="AD2247" s="4">
        <v>70</v>
      </c>
      <c r="AE2247" s="4">
        <v>70</v>
      </c>
      <c r="AF2247" s="6">
        <v>69</v>
      </c>
      <c r="AG2247" s="6"/>
      <c r="AH2247" s="7">
        <v>1</v>
      </c>
      <c r="AI2247" s="4"/>
      <c r="AJ2247" s="4">
        <f>=ROUNDDOWN({0},0)</f>
      </c>
      <c r="AK2247" s="5"/>
      <c r="AL2247" s="2" t="s">
        <v>228</v>
      </c>
      <c r="AM2247" s="4"/>
      <c r="AN2247" s="4"/>
      <c r="AO2247" s="7"/>
      <c r="AP2247" s="4"/>
      <c r="AQ2247" s="8"/>
      <c r="AR2247" s="4"/>
      <c r="AS2247" s="8"/>
      <c r="AT2247" s="7"/>
      <c r="AU2247" s="7"/>
      <c r="AV2247" s="4"/>
      <c r="AW2247" s="8"/>
      <c r="AX2247" s="4"/>
      <c r="AY2247" s="8"/>
      <c r="AZ2247" s="7"/>
      <c r="BA2247" s="7"/>
      <c r="BB2247" s="7"/>
      <c r="BC2247" s="4"/>
      <c r="BD2247" s="8"/>
      <c r="BE2247" s="4"/>
      <c r="BF2247" s="8"/>
      <c r="BG2247" s="7"/>
      <c r="BH2247" s="7"/>
      <c r="BI2247" s="7"/>
      <c r="BJ2247" s="4">
        <v>2</v>
      </c>
      <c r="BK2247" s="8">
        <v>189.98</v>
      </c>
      <c r="BL2247" s="2" t="s">
        <v>5271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10574</v>
      </c>
      <c r="BV2247" s="2" t="s">
        <v>228</v>
      </c>
      <c r="BW2247" s="2" t="s">
        <v>228</v>
      </c>
      <c r="BX2247" s="2" t="s">
        <v>273</v>
      </c>
      <c r="BY2247" s="2" t="s">
        <v>274</v>
      </c>
      <c r="BZ2247" s="2" t="s">
        <v>240</v>
      </c>
      <c r="CA2247" s="2" t="s">
        <v>275</v>
      </c>
      <c r="CB2247" s="2" t="s">
        <v>10575</v>
      </c>
      <c r="CC2247" s="2" t="s">
        <v>241</v>
      </c>
      <c r="CD2247" s="2" t="s">
        <v>228</v>
      </c>
      <c r="CE2247" s="4">
        <v>79</v>
      </c>
      <c r="CF2247" s="4"/>
      <c r="CG2247" s="4"/>
      <c r="CH2247" s="4"/>
      <c r="CI2247" s="4"/>
      <c r="CJ2247" s="4"/>
      <c r="CK2247" s="4"/>
      <c r="CL2247" s="4"/>
      <c r="CM2247" s="4"/>
      <c r="CN2247" s="4"/>
      <c r="CO2247" s="4"/>
      <c r="CP2247" s="4"/>
      <c r="CQ2247" s="4"/>
      <c r="CR2247" s="4"/>
      <c r="CS2247" s="4"/>
      <c r="CT2247" s="4"/>
      <c r="CU2247" s="4"/>
      <c r="CV2247" s="4"/>
      <c r="CW2247" s="4"/>
      <c r="CX2247" s="4"/>
      <c r="CY2247" s="4"/>
      <c r="CZ2247" s="4"/>
      <c r="DA2247" s="4"/>
      <c r="DB2247" s="4"/>
      <c r="DC2247" s="4"/>
      <c r="DD2247" s="4"/>
      <c r="DE2247" s="4"/>
      <c r="DF2247" s="4"/>
      <c r="DG2247" s="4"/>
      <c r="DH2247" s="4"/>
      <c r="DI2247" s="4"/>
      <c r="DJ2247" s="4"/>
      <c r="DK2247" s="4"/>
      <c r="DL2247" s="4"/>
      <c r="DM2247" s="4"/>
      <c r="DN2247" s="4"/>
      <c r="DO2247" s="4"/>
      <c r="DP2247" s="4"/>
      <c r="DQ2247" s="4"/>
      <c r="DR2247" s="4"/>
      <c r="DS2247" s="4"/>
      <c r="DT2247" s="4"/>
      <c r="DU2247" s="4"/>
      <c r="DV2247" s="4"/>
      <c r="DW2247" s="4"/>
      <c r="DX2247" s="4"/>
      <c r="DY2247" s="4"/>
      <c r="DZ2247" s="4"/>
      <c r="EA2247" s="4"/>
      <c r="EB2247" s="4"/>
      <c r="EC2247" s="4"/>
      <c r="ED2247" s="4"/>
      <c r="EE2247" s="4"/>
      <c r="EF2247" s="4"/>
      <c r="EG2247" s="4"/>
      <c r="EH2247" s="4"/>
      <c r="EI2247" s="4"/>
      <c r="EJ2247" s="4"/>
      <c r="EK2247" s="4"/>
      <c r="EL2247" s="4"/>
      <c r="EM2247" s="4"/>
      <c r="EN2247" s="4"/>
      <c r="EO2247" s="4"/>
      <c r="EP2247" s="4"/>
      <c r="EQ2247" s="4"/>
      <c r="ER2247" s="4"/>
      <c r="ES2247" s="4"/>
      <c r="ET2247" s="4"/>
      <c r="EU2247" s="4"/>
      <c r="EV2247" s="4"/>
      <c r="EW2247" s="4"/>
      <c r="EX2247" s="4"/>
      <c r="EY2247" s="4"/>
      <c r="EZ2247" s="4"/>
      <c r="FA2247" s="4"/>
      <c r="FB2247" s="4"/>
      <c r="FC2247" s="4"/>
      <c r="FD2247" s="4"/>
      <c r="FE2247" s="4"/>
      <c r="FF2247" s="4"/>
      <c r="FG2247" s="4"/>
      <c r="FH2247" s="4"/>
      <c r="FI2247" s="4"/>
      <c r="FJ2247" s="4"/>
      <c r="FK2247" s="4"/>
      <c r="FL2247" s="4"/>
      <c r="FM2247" s="4"/>
      <c r="FN2247" s="4"/>
      <c r="FO2247" s="4"/>
      <c r="FP2247" s="4"/>
      <c r="FQ2247" s="4"/>
      <c r="FR2247" s="4"/>
      <c r="FS2247" s="4"/>
      <c r="FT2247" s="4"/>
      <c r="FU2247" s="4"/>
      <c r="FV2247" s="4"/>
      <c r="FW2247" s="4"/>
      <c r="FX2247" s="4"/>
      <c r="FY2247" s="4"/>
      <c r="FZ2247" s="4"/>
      <c r="GA2247" s="4"/>
      <c r="GB2247" s="4"/>
      <c r="GC2247" s="4"/>
      <c r="GD2247" s="4"/>
      <c r="GE2247" s="4"/>
      <c r="GF2247" s="4"/>
      <c r="GG2247" s="4"/>
      <c r="GH2247" s="4">
        <v>70</v>
      </c>
      <c r="GI2247" s="4"/>
      <c r="GJ2247" s="4"/>
      <c r="GK2247" s="4"/>
      <c r="GL2247" s="4"/>
      <c r="GM2247" s="4"/>
      <c r="GN2247" s="4"/>
      <c r="GO2247" s="4"/>
      <c r="GP2247" s="4"/>
      <c r="GQ2247" s="4"/>
      <c r="GR2247" s="4"/>
      <c r="GS2247" s="4"/>
      <c r="GT2247" s="4"/>
      <c r="GU2247" s="4"/>
      <c r="GV2247" s="4"/>
      <c r="GW2247" s="4"/>
      <c r="GX2247" s="4"/>
      <c r="GY2247" s="4"/>
      <c r="GZ2247" s="4"/>
      <c r="HA2247" s="4"/>
      <c r="HB2247" s="4"/>
      <c r="HC2247" s="4"/>
      <c r="HD2247" s="4"/>
      <c r="HE2247" s="4"/>
    </row>
    <row r="2248">
      <c r="A2248" s="2" t="s">
        <v>10576</v>
      </c>
      <c r="B2248" s="2" t="s">
        <v>958</v>
      </c>
      <c r="C2248" s="2" t="s">
        <v>835</v>
      </c>
      <c r="D2248" s="2" t="s">
        <v>1790</v>
      </c>
      <c r="E2248" s="2" t="s">
        <v>1791</v>
      </c>
      <c r="F2248" s="2" t="s">
        <v>10577</v>
      </c>
      <c r="G2248" s="2" t="s">
        <v>10577</v>
      </c>
      <c r="H2248" s="2" t="s">
        <v>10577</v>
      </c>
      <c r="I2248" s="2" t="s">
        <v>10578</v>
      </c>
      <c r="J2248" s="2" t="s">
        <v>840</v>
      </c>
      <c r="K2248" s="2" t="s">
        <v>305</v>
      </c>
      <c r="L2248" s="3">
        <v>114</v>
      </c>
      <c r="M2248" s="3">
        <v>119.7</v>
      </c>
      <c r="N2248" s="3">
        <v>239</v>
      </c>
      <c r="O2248" s="2" t="s">
        <v>240</v>
      </c>
      <c r="P2248" s="2" t="s">
        <v>1012</v>
      </c>
      <c r="Q2248" s="2" t="s">
        <v>234</v>
      </c>
      <c r="R2248" s="2" t="s">
        <v>228</v>
      </c>
      <c r="S2248" s="2" t="s">
        <v>10579</v>
      </c>
      <c r="T2248" s="2" t="s">
        <v>228</v>
      </c>
      <c r="U2248" s="2" t="s">
        <v>228</v>
      </c>
      <c r="V2248" s="2" t="s">
        <v>236</v>
      </c>
      <c r="W2248" s="2" t="s">
        <v>3057</v>
      </c>
      <c r="X2248" s="2" t="s">
        <v>228</v>
      </c>
      <c r="Y2248" s="2" t="s">
        <v>2206</v>
      </c>
      <c r="Z2248" s="4">
        <v>7</v>
      </c>
      <c r="AA2248" s="4">
        <f>=ROUNDDOWN(1.75,0)</f>
      </c>
      <c r="AB2248" s="5">
        <v>4</v>
      </c>
      <c r="AC2248" s="2" t="s">
        <v>1788</v>
      </c>
      <c r="AD2248" s="4">
        <v>180</v>
      </c>
      <c r="AE2248" s="4">
        <v>180</v>
      </c>
      <c r="AF2248" s="6">
        <v>76</v>
      </c>
      <c r="AG2248" s="6">
        <v>62</v>
      </c>
      <c r="AH2248" s="7">
        <v>1</v>
      </c>
      <c r="AI2248" s="4"/>
      <c r="AJ2248" s="4">
        <f>=ROUNDDOWN({0},0)</f>
      </c>
      <c r="AK2248" s="5"/>
      <c r="AL2248" s="2" t="s">
        <v>228</v>
      </c>
      <c r="AM2248" s="4"/>
      <c r="AN2248" s="4"/>
      <c r="AO2248" s="7"/>
      <c r="AP2248" s="4"/>
      <c r="AQ2248" s="8"/>
      <c r="AR2248" s="4"/>
      <c r="AS2248" s="8"/>
      <c r="AT2248" s="7"/>
      <c r="AU2248" s="7"/>
      <c r="AV2248" s="4"/>
      <c r="AW2248" s="8"/>
      <c r="AX2248" s="4"/>
      <c r="AY2248" s="8"/>
      <c r="AZ2248" s="7"/>
      <c r="BA2248" s="7"/>
      <c r="BB2248" s="7"/>
      <c r="BC2248" s="4" t="s">
        <v>228</v>
      </c>
      <c r="BD2248" s="8" t="s">
        <v>228</v>
      </c>
      <c r="BE2248" s="4" t="s">
        <v>228</v>
      </c>
      <c r="BF2248" s="8" t="s">
        <v>228</v>
      </c>
      <c r="BG2248" s="7" t="s">
        <v>228</v>
      </c>
      <c r="BH2248" s="7" t="s">
        <v>228</v>
      </c>
      <c r="BI2248" s="7"/>
      <c r="BJ2248" s="4">
        <v>9</v>
      </c>
      <c r="BK2248" s="8">
        <v>1082.32</v>
      </c>
      <c r="BL2248" s="2" t="s">
        <v>10580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10581</v>
      </c>
      <c r="BV2248" s="2" t="s">
        <v>228</v>
      </c>
      <c r="BW2248" s="2" t="s">
        <v>228</v>
      </c>
      <c r="BX2248" s="2" t="s">
        <v>273</v>
      </c>
      <c r="BY2248" s="2" t="s">
        <v>274</v>
      </c>
      <c r="BZ2248" s="2" t="s">
        <v>240</v>
      </c>
      <c r="CA2248" s="2" t="s">
        <v>10582</v>
      </c>
      <c r="CB2248" s="2" t="s">
        <v>4261</v>
      </c>
      <c r="CC2248" s="2" t="s">
        <v>241</v>
      </c>
      <c r="CD2248" s="2" t="s">
        <v>228</v>
      </c>
      <c r="CE2248" s="4"/>
      <c r="CF2248" s="4">
        <v>6</v>
      </c>
      <c r="CG2248" s="4"/>
      <c r="CH2248" s="4">
        <v>1</v>
      </c>
      <c r="CI2248" s="4"/>
      <c r="CJ2248" s="4"/>
      <c r="CK2248" s="4"/>
      <c r="CL2248" s="4"/>
      <c r="CM2248" s="4"/>
      <c r="CN2248" s="4"/>
      <c r="CO2248" s="4"/>
      <c r="CP2248" s="4"/>
      <c r="CQ2248" s="4"/>
      <c r="CR2248" s="4"/>
      <c r="CS2248" s="4"/>
      <c r="CT2248" s="4"/>
      <c r="CU2248" s="4"/>
      <c r="CV2248" s="4"/>
      <c r="CW2248" s="4"/>
      <c r="CX2248" s="4"/>
      <c r="CY2248" s="4"/>
      <c r="CZ2248" s="4"/>
      <c r="DA2248" s="4"/>
      <c r="DB2248" s="4"/>
      <c r="DC2248" s="4"/>
      <c r="DD2248" s="4"/>
      <c r="DE2248" s="4"/>
      <c r="DF2248" s="4">
        <v>180</v>
      </c>
      <c r="DG2248" s="4"/>
      <c r="DH2248" s="4"/>
      <c r="DI2248" s="4"/>
      <c r="DJ2248" s="4"/>
      <c r="DK2248" s="4"/>
      <c r="DL2248" s="4"/>
      <c r="DM2248" s="4"/>
      <c r="DN2248" s="4"/>
      <c r="DO2248" s="4"/>
      <c r="DP2248" s="4"/>
      <c r="DQ2248" s="4"/>
      <c r="DR2248" s="4"/>
      <c r="DS2248" s="4"/>
      <c r="DT2248" s="4"/>
      <c r="DU2248" s="4"/>
      <c r="DV2248" s="4"/>
      <c r="DW2248" s="4"/>
      <c r="DX2248" s="4"/>
      <c r="DY2248" s="4"/>
      <c r="DZ2248" s="4"/>
      <c r="EA2248" s="4"/>
      <c r="EB2248" s="4"/>
      <c r="EC2248" s="4"/>
      <c r="ED2248" s="4"/>
      <c r="EE2248" s="4"/>
      <c r="EF2248" s="4"/>
      <c r="EG2248" s="4"/>
      <c r="EH2248" s="4"/>
      <c r="EI2248" s="4"/>
      <c r="EJ2248" s="4"/>
      <c r="EK2248" s="4"/>
      <c r="EL2248" s="4"/>
      <c r="EM2248" s="4"/>
      <c r="EN2248" s="4"/>
      <c r="EO2248" s="4"/>
      <c r="EP2248" s="4"/>
      <c r="EQ2248" s="4"/>
      <c r="ER2248" s="4"/>
      <c r="ES2248" s="4"/>
      <c r="ET2248" s="4"/>
      <c r="EU2248" s="4"/>
      <c r="EV2248" s="4"/>
      <c r="EW2248" s="4"/>
      <c r="EX2248" s="4"/>
      <c r="EY2248" s="4"/>
      <c r="EZ2248" s="4"/>
      <c r="FA2248" s="4"/>
      <c r="FB2248" s="4"/>
      <c r="FC2248" s="4"/>
      <c r="FD2248" s="4"/>
      <c r="FE2248" s="4"/>
      <c r="FF2248" s="4"/>
      <c r="FG2248" s="4"/>
      <c r="FH2248" s="4"/>
      <c r="FI2248" s="4"/>
      <c r="FJ2248" s="4"/>
      <c r="FK2248" s="4"/>
      <c r="FL2248" s="4"/>
      <c r="FM2248" s="4"/>
      <c r="FN2248" s="4"/>
      <c r="FO2248" s="4"/>
      <c r="FP2248" s="4"/>
      <c r="FQ2248" s="4"/>
      <c r="FR2248" s="4"/>
      <c r="FS2248" s="4"/>
      <c r="FT2248" s="4"/>
      <c r="FU2248" s="4"/>
      <c r="FV2248" s="4"/>
      <c r="FW2248" s="4"/>
      <c r="FX2248" s="4"/>
      <c r="FY2248" s="4"/>
      <c r="FZ2248" s="4"/>
      <c r="GA2248" s="4"/>
      <c r="GB2248" s="4"/>
      <c r="GC2248" s="4"/>
      <c r="GD2248" s="4"/>
      <c r="GE2248" s="4"/>
      <c r="GF2248" s="4"/>
      <c r="GG2248" s="4"/>
      <c r="GH2248" s="4"/>
      <c r="GI2248" s="4"/>
      <c r="GJ2248" s="4"/>
      <c r="GK2248" s="4"/>
      <c r="GL2248" s="4"/>
      <c r="GM2248" s="4"/>
      <c r="GN2248" s="4"/>
      <c r="GO2248" s="4"/>
      <c r="GP2248" s="4"/>
      <c r="GQ2248" s="4"/>
      <c r="GR2248" s="4"/>
      <c r="GS2248" s="4"/>
      <c r="GT2248" s="4"/>
      <c r="GU2248" s="4"/>
      <c r="GV2248" s="4"/>
      <c r="GW2248" s="4"/>
      <c r="GX2248" s="4"/>
      <c r="GY2248" s="4"/>
      <c r="GZ2248" s="4"/>
      <c r="HA2248" s="4"/>
      <c r="HB2248" s="4"/>
      <c r="HC2248" s="4"/>
      <c r="HD2248" s="4"/>
      <c r="HE2248" s="4"/>
    </row>
    <row r="2249">
      <c r="A2249" s="2" t="s">
        <v>10583</v>
      </c>
      <c r="B2249" s="2" t="s">
        <v>958</v>
      </c>
      <c r="C2249" s="2" t="s">
        <v>835</v>
      </c>
      <c r="D2249" s="2" t="s">
        <v>1795</v>
      </c>
      <c r="E2249" s="2" t="s">
        <v>1796</v>
      </c>
      <c r="F2249" s="2" t="s">
        <v>10577</v>
      </c>
      <c r="G2249" s="2" t="s">
        <v>10577</v>
      </c>
      <c r="H2249" s="2" t="s">
        <v>10577</v>
      </c>
      <c r="I2249" s="2" t="s">
        <v>2518</v>
      </c>
      <c r="J2249" s="2" t="s">
        <v>840</v>
      </c>
      <c r="K2249" s="2" t="s">
        <v>249</v>
      </c>
      <c r="L2249" s="3">
        <v>195</v>
      </c>
      <c r="M2249" s="3">
        <v>204.75</v>
      </c>
      <c r="N2249" s="3">
        <v>409</v>
      </c>
      <c r="O2249" s="2" t="s">
        <v>240</v>
      </c>
      <c r="P2249" s="2" t="s">
        <v>1012</v>
      </c>
      <c r="Q2249" s="2" t="s">
        <v>234</v>
      </c>
      <c r="R2249" s="2" t="s">
        <v>228</v>
      </c>
      <c r="S2249" s="2" t="s">
        <v>10584</v>
      </c>
      <c r="T2249" s="2" t="s">
        <v>228</v>
      </c>
      <c r="U2249" s="2" t="s">
        <v>228</v>
      </c>
      <c r="V2249" s="2" t="s">
        <v>236</v>
      </c>
      <c r="W2249" s="2" t="s">
        <v>3057</v>
      </c>
      <c r="X2249" s="2" t="s">
        <v>228</v>
      </c>
      <c r="Y2249" s="2" t="s">
        <v>270</v>
      </c>
      <c r="Z2249" s="4">
        <v>51</v>
      </c>
      <c r="AA2249" s="4">
        <f>=ROUNDDOWN(51,0)</f>
      </c>
      <c r="AB2249" s="5">
        <v>1</v>
      </c>
      <c r="AC2249" s="2" t="s">
        <v>1788</v>
      </c>
      <c r="AD2249" s="4">
        <v>50</v>
      </c>
      <c r="AE2249" s="4">
        <v>50</v>
      </c>
      <c r="AF2249" s="6">
        <v>76</v>
      </c>
      <c r="AG2249" s="6"/>
      <c r="AH2249" s="7">
        <v>1</v>
      </c>
      <c r="AI2249" s="4"/>
      <c r="AJ2249" s="4">
        <f>=ROUNDDOWN({0},0)</f>
      </c>
      <c r="AK2249" s="5"/>
      <c r="AL2249" s="2" t="s">
        <v>228</v>
      </c>
      <c r="AM2249" s="4"/>
      <c r="AN2249" s="4"/>
      <c r="AO2249" s="7"/>
      <c r="AP2249" s="4"/>
      <c r="AQ2249" s="8"/>
      <c r="AR2249" s="4"/>
      <c r="AS2249" s="8"/>
      <c r="AT2249" s="7"/>
      <c r="AU2249" s="7"/>
      <c r="AV2249" s="4"/>
      <c r="AW2249" s="8"/>
      <c r="AX2249" s="4"/>
      <c r="AY2249" s="8"/>
      <c r="AZ2249" s="7"/>
      <c r="BA2249" s="7"/>
      <c r="BB2249" s="7"/>
      <c r="BC2249" s="4" t="s">
        <v>228</v>
      </c>
      <c r="BD2249" s="8" t="s">
        <v>228</v>
      </c>
      <c r="BE2249" s="4" t="s">
        <v>228</v>
      </c>
      <c r="BF2249" s="8" t="s">
        <v>228</v>
      </c>
      <c r="BG2249" s="7" t="s">
        <v>228</v>
      </c>
      <c r="BH2249" s="7" t="s">
        <v>228</v>
      </c>
      <c r="BI2249" s="7"/>
      <c r="BJ2249" s="4">
        <v>4</v>
      </c>
      <c r="BK2249" s="8">
        <v>638.29</v>
      </c>
      <c r="BL2249" s="2" t="s">
        <v>995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10585</v>
      </c>
      <c r="BV2249" s="2" t="s">
        <v>228</v>
      </c>
      <c r="BW2249" s="2" t="s">
        <v>228</v>
      </c>
      <c r="BX2249" s="2" t="s">
        <v>273</v>
      </c>
      <c r="BY2249" s="2" t="s">
        <v>274</v>
      </c>
      <c r="BZ2249" s="2" t="s">
        <v>240</v>
      </c>
      <c r="CA2249" s="2" t="s">
        <v>2522</v>
      </c>
      <c r="CB2249" s="2" t="s">
        <v>328</v>
      </c>
      <c r="CC2249" s="2" t="s">
        <v>241</v>
      </c>
      <c r="CD2249" s="2" t="s">
        <v>228</v>
      </c>
      <c r="CE2249" s="4"/>
      <c r="CF2249" s="4">
        <v>51</v>
      </c>
      <c r="CG2249" s="4"/>
      <c r="CH2249" s="4"/>
      <c r="CI2249" s="4"/>
      <c r="CJ2249" s="4"/>
      <c r="CK2249" s="4"/>
      <c r="CL2249" s="4"/>
      <c r="CM2249" s="4"/>
      <c r="CN2249" s="4"/>
      <c r="CO2249" s="4"/>
      <c r="CP2249" s="4"/>
      <c r="CQ2249" s="4"/>
      <c r="CR2249" s="4"/>
      <c r="CS2249" s="4"/>
      <c r="CT2249" s="4"/>
      <c r="CU2249" s="4"/>
      <c r="CV2249" s="4"/>
      <c r="CW2249" s="4"/>
      <c r="CX2249" s="4"/>
      <c r="CY2249" s="4"/>
      <c r="CZ2249" s="4"/>
      <c r="DA2249" s="4"/>
      <c r="DB2249" s="4"/>
      <c r="DC2249" s="4"/>
      <c r="DD2249" s="4"/>
      <c r="DE2249" s="4"/>
      <c r="DF2249" s="4">
        <v>50</v>
      </c>
      <c r="DG2249" s="4"/>
      <c r="DH2249" s="4"/>
      <c r="DI2249" s="4"/>
      <c r="DJ2249" s="4"/>
      <c r="DK2249" s="4"/>
      <c r="DL2249" s="4"/>
      <c r="DM2249" s="4"/>
      <c r="DN2249" s="4"/>
      <c r="DO2249" s="4"/>
      <c r="DP2249" s="4"/>
      <c r="DQ2249" s="4"/>
      <c r="DR2249" s="4"/>
      <c r="DS2249" s="4"/>
      <c r="DT2249" s="4"/>
      <c r="DU2249" s="4"/>
      <c r="DV2249" s="4"/>
      <c r="DW2249" s="4"/>
      <c r="DX2249" s="4"/>
      <c r="DY2249" s="4"/>
      <c r="DZ2249" s="4"/>
      <c r="EA2249" s="4"/>
      <c r="EB2249" s="4"/>
      <c r="EC2249" s="4"/>
      <c r="ED2249" s="4"/>
      <c r="EE2249" s="4"/>
      <c r="EF2249" s="4"/>
      <c r="EG2249" s="4"/>
      <c r="EH2249" s="4"/>
      <c r="EI2249" s="4"/>
      <c r="EJ2249" s="4"/>
      <c r="EK2249" s="4"/>
      <c r="EL2249" s="4"/>
      <c r="EM2249" s="4"/>
      <c r="EN2249" s="4"/>
      <c r="EO2249" s="4"/>
      <c r="EP2249" s="4"/>
      <c r="EQ2249" s="4"/>
      <c r="ER2249" s="4"/>
      <c r="ES2249" s="4"/>
      <c r="ET2249" s="4"/>
      <c r="EU2249" s="4"/>
      <c r="EV2249" s="4"/>
      <c r="EW2249" s="4"/>
      <c r="EX2249" s="4"/>
      <c r="EY2249" s="4"/>
      <c r="EZ2249" s="4"/>
      <c r="FA2249" s="4"/>
      <c r="FB2249" s="4"/>
      <c r="FC2249" s="4"/>
      <c r="FD2249" s="4"/>
      <c r="FE2249" s="4"/>
      <c r="FF2249" s="4"/>
      <c r="FG2249" s="4"/>
      <c r="FH2249" s="4"/>
      <c r="FI2249" s="4"/>
      <c r="FJ2249" s="4"/>
      <c r="FK2249" s="4"/>
      <c r="FL2249" s="4"/>
      <c r="FM2249" s="4"/>
      <c r="FN2249" s="4"/>
      <c r="FO2249" s="4"/>
      <c r="FP2249" s="4"/>
      <c r="FQ2249" s="4"/>
      <c r="FR2249" s="4"/>
      <c r="FS2249" s="4"/>
      <c r="FT2249" s="4"/>
      <c r="FU2249" s="4"/>
      <c r="FV2249" s="4"/>
      <c r="FW2249" s="4"/>
      <c r="FX2249" s="4"/>
      <c r="FY2249" s="4"/>
      <c r="FZ2249" s="4"/>
      <c r="GA2249" s="4"/>
      <c r="GB2249" s="4"/>
      <c r="GC2249" s="4"/>
      <c r="GD2249" s="4"/>
      <c r="GE2249" s="4"/>
      <c r="GF2249" s="4"/>
      <c r="GG2249" s="4"/>
      <c r="GH2249" s="4"/>
      <c r="GI2249" s="4"/>
      <c r="GJ2249" s="4"/>
      <c r="GK2249" s="4"/>
      <c r="GL2249" s="4"/>
      <c r="GM2249" s="4"/>
      <c r="GN2249" s="4"/>
      <c r="GO2249" s="4"/>
      <c r="GP2249" s="4"/>
      <c r="GQ2249" s="4"/>
      <c r="GR2249" s="4"/>
      <c r="GS2249" s="4"/>
      <c r="GT2249" s="4"/>
      <c r="GU2249" s="4"/>
      <c r="GV2249" s="4"/>
      <c r="GW2249" s="4"/>
      <c r="GX2249" s="4"/>
      <c r="GY2249" s="4"/>
      <c r="GZ2249" s="4"/>
      <c r="HA2249" s="4"/>
      <c r="HB2249" s="4"/>
      <c r="HC2249" s="4"/>
      <c r="HD2249" s="4"/>
      <c r="HE2249" s="4"/>
    </row>
    <row r="2250">
      <c r="A2250" s="2" t="s">
        <v>10586</v>
      </c>
      <c r="B2250" s="2" t="s">
        <v>958</v>
      </c>
      <c r="C2250" s="2" t="s">
        <v>300</v>
      </c>
      <c r="D2250" s="2" t="s">
        <v>959</v>
      </c>
      <c r="E2250" s="2" t="s">
        <v>960</v>
      </c>
      <c r="F2250" s="2" t="s">
        <v>10587</v>
      </c>
      <c r="G2250" s="2" t="s">
        <v>1927</v>
      </c>
      <c r="H2250" s="2" t="s">
        <v>10588</v>
      </c>
      <c r="I2250" s="2" t="s">
        <v>6885</v>
      </c>
      <c r="J2250" s="2" t="s">
        <v>840</v>
      </c>
      <c r="K2250" s="2" t="s">
        <v>480</v>
      </c>
      <c r="L2250" s="3">
        <v>172.8</v>
      </c>
      <c r="M2250" s="3">
        <v>181.44</v>
      </c>
      <c r="N2250" s="3">
        <v>359</v>
      </c>
      <c r="O2250" s="2" t="s">
        <v>240</v>
      </c>
      <c r="P2250" s="2" t="s">
        <v>1012</v>
      </c>
      <c r="Q2250" s="2" t="s">
        <v>234</v>
      </c>
      <c r="R2250" s="2" t="s">
        <v>228</v>
      </c>
      <c r="S2250" s="2" t="s">
        <v>228</v>
      </c>
      <c r="T2250" s="2" t="s">
        <v>228</v>
      </c>
      <c r="U2250" s="2" t="s">
        <v>416</v>
      </c>
      <c r="V2250" s="2" t="s">
        <v>842</v>
      </c>
      <c r="W2250" s="2" t="s">
        <v>463</v>
      </c>
      <c r="X2250" s="2" t="s">
        <v>743</v>
      </c>
      <c r="Y2250" s="2" t="s">
        <v>3514</v>
      </c>
      <c r="Z2250" s="4">
        <v>27</v>
      </c>
      <c r="AA2250" s="4">
        <f>=ROUNDDOWN(9,0)</f>
      </c>
      <c r="AB2250" s="5">
        <v>3</v>
      </c>
      <c r="AC2250" s="2" t="s">
        <v>193</v>
      </c>
      <c r="AD2250" s="4">
        <v>100</v>
      </c>
      <c r="AE2250" s="4">
        <v>100</v>
      </c>
      <c r="AF2250" s="6">
        <v>66</v>
      </c>
      <c r="AG2250" s="6"/>
      <c r="AH2250" s="7">
        <v>1</v>
      </c>
      <c r="AI2250" s="4"/>
      <c r="AJ2250" s="4">
        <f>=ROUNDDOWN({0},0)</f>
      </c>
      <c r="AK2250" s="5"/>
      <c r="AL2250" s="2" t="s">
        <v>228</v>
      </c>
      <c r="AM2250" s="4"/>
      <c r="AN2250" s="4"/>
      <c r="AO2250" s="7"/>
      <c r="AP2250" s="4"/>
      <c r="AQ2250" s="8"/>
      <c r="AR2250" s="4"/>
      <c r="AS2250" s="8"/>
      <c r="AT2250" s="7"/>
      <c r="AU2250" s="7"/>
      <c r="AV2250" s="4"/>
      <c r="AW2250" s="8"/>
      <c r="AX2250" s="4"/>
      <c r="AY2250" s="8"/>
      <c r="AZ2250" s="7"/>
      <c r="BA2250" s="7"/>
      <c r="BB2250" s="7"/>
      <c r="BC2250" s="4"/>
      <c r="BD2250" s="8"/>
      <c r="BE2250" s="4"/>
      <c r="BF2250" s="8"/>
      <c r="BG2250" s="7"/>
      <c r="BH2250" s="7"/>
      <c r="BI2250" s="7"/>
      <c r="BJ2250" s="4">
        <v>9</v>
      </c>
      <c r="BK2250" s="8">
        <v>1651.1</v>
      </c>
      <c r="BL2250" s="2" t="s">
        <v>6435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10589</v>
      </c>
      <c r="BV2250" s="2" t="s">
        <v>228</v>
      </c>
      <c r="BW2250" s="2" t="s">
        <v>228</v>
      </c>
      <c r="BX2250" s="2" t="s">
        <v>273</v>
      </c>
      <c r="BY2250" s="2" t="s">
        <v>274</v>
      </c>
      <c r="BZ2250" s="2" t="s">
        <v>240</v>
      </c>
      <c r="CA2250" s="2" t="s">
        <v>3354</v>
      </c>
      <c r="CB2250" s="2" t="s">
        <v>10590</v>
      </c>
      <c r="CC2250" s="2" t="s">
        <v>241</v>
      </c>
      <c r="CD2250" s="2" t="s">
        <v>228</v>
      </c>
      <c r="CE2250" s="4"/>
      <c r="CF2250" s="4">
        <v>27</v>
      </c>
      <c r="CG2250" s="4"/>
      <c r="CH2250" s="4"/>
      <c r="CI2250" s="4"/>
      <c r="CJ2250" s="4"/>
      <c r="CK2250" s="4"/>
      <c r="CL2250" s="4"/>
      <c r="CM2250" s="4"/>
      <c r="CN2250" s="4"/>
      <c r="CO2250" s="4"/>
      <c r="CP2250" s="4"/>
      <c r="CQ2250" s="4"/>
      <c r="CR2250" s="4"/>
      <c r="CS2250" s="4"/>
      <c r="CT2250" s="4"/>
      <c r="CU2250" s="4"/>
      <c r="CV2250" s="4"/>
      <c r="CW2250" s="4"/>
      <c r="CX2250" s="4"/>
      <c r="CY2250" s="4"/>
      <c r="CZ2250" s="4"/>
      <c r="DA2250" s="4"/>
      <c r="DB2250" s="4"/>
      <c r="DC2250" s="4"/>
      <c r="DD2250" s="4"/>
      <c r="DE2250" s="4"/>
      <c r="DF2250" s="4"/>
      <c r="DG2250" s="4"/>
      <c r="DH2250" s="4"/>
      <c r="DI2250" s="4"/>
      <c r="DJ2250" s="4"/>
      <c r="DK2250" s="4"/>
      <c r="DL2250" s="4"/>
      <c r="DM2250" s="4"/>
      <c r="DN2250" s="4"/>
      <c r="DO2250" s="4"/>
      <c r="DP2250" s="4"/>
      <c r="DQ2250" s="4"/>
      <c r="DR2250" s="4"/>
      <c r="DS2250" s="4"/>
      <c r="DT2250" s="4"/>
      <c r="DU2250" s="4"/>
      <c r="DV2250" s="4"/>
      <c r="DW2250" s="4"/>
      <c r="DX2250" s="4"/>
      <c r="DY2250" s="4"/>
      <c r="DZ2250" s="4"/>
      <c r="EA2250" s="4"/>
      <c r="EB2250" s="4"/>
      <c r="EC2250" s="4"/>
      <c r="ED2250" s="4"/>
      <c r="EE2250" s="4"/>
      <c r="EF2250" s="4"/>
      <c r="EG2250" s="4"/>
      <c r="EH2250" s="4"/>
      <c r="EI2250" s="4"/>
      <c r="EJ2250" s="4"/>
      <c r="EK2250" s="4"/>
      <c r="EL2250" s="4"/>
      <c r="EM2250" s="4"/>
      <c r="EN2250" s="4"/>
      <c r="EO2250" s="4"/>
      <c r="EP2250" s="4"/>
      <c r="EQ2250" s="4"/>
      <c r="ER2250" s="4"/>
      <c r="ES2250" s="4"/>
      <c r="ET2250" s="4"/>
      <c r="EU2250" s="4"/>
      <c r="EV2250" s="4"/>
      <c r="EW2250" s="4"/>
      <c r="EX2250" s="4"/>
      <c r="EY2250" s="4"/>
      <c r="EZ2250" s="4"/>
      <c r="FA2250" s="4"/>
      <c r="FB2250" s="4"/>
      <c r="FC2250" s="4"/>
      <c r="FD2250" s="4"/>
      <c r="FE2250" s="4"/>
      <c r="FF2250" s="4"/>
      <c r="FG2250" s="4"/>
      <c r="FH2250" s="4"/>
      <c r="FI2250" s="4"/>
      <c r="FJ2250" s="4"/>
      <c r="FK2250" s="4"/>
      <c r="FL2250" s="4"/>
      <c r="FM2250" s="4"/>
      <c r="FN2250" s="4"/>
      <c r="FO2250" s="4"/>
      <c r="FP2250" s="4"/>
      <c r="FQ2250" s="4"/>
      <c r="FR2250" s="4"/>
      <c r="FS2250" s="4"/>
      <c r="FT2250" s="4"/>
      <c r="FU2250" s="4"/>
      <c r="FV2250" s="4"/>
      <c r="FW2250" s="4"/>
      <c r="FX2250" s="4"/>
      <c r="FY2250" s="4"/>
      <c r="FZ2250" s="4"/>
      <c r="GA2250" s="4"/>
      <c r="GB2250" s="4"/>
      <c r="GC2250" s="4">
        <v>100</v>
      </c>
      <c r="GD2250" s="4"/>
      <c r="GE2250" s="4"/>
      <c r="GF2250" s="4"/>
      <c r="GG2250" s="4"/>
      <c r="GH2250" s="4"/>
      <c r="GI2250" s="4"/>
      <c r="GJ2250" s="4"/>
      <c r="GK2250" s="4"/>
      <c r="GL2250" s="4"/>
      <c r="GM2250" s="4"/>
      <c r="GN2250" s="4"/>
      <c r="GO2250" s="4"/>
      <c r="GP2250" s="4"/>
      <c r="GQ2250" s="4"/>
      <c r="GR2250" s="4"/>
      <c r="GS2250" s="4"/>
      <c r="GT2250" s="4"/>
      <c r="GU2250" s="4"/>
      <c r="GV2250" s="4"/>
      <c r="GW2250" s="4"/>
      <c r="GX2250" s="4"/>
      <c r="GY2250" s="4"/>
      <c r="GZ2250" s="4"/>
      <c r="HA2250" s="4"/>
      <c r="HB2250" s="4"/>
      <c r="HC2250" s="4"/>
      <c r="HD2250" s="4"/>
      <c r="HE2250" s="4"/>
    </row>
    <row r="2251">
      <c r="A2251" s="2" t="s">
        <v>10591</v>
      </c>
      <c r="B2251" s="2" t="s">
        <v>1150</v>
      </c>
      <c r="C2251" s="2" t="s">
        <v>835</v>
      </c>
      <c r="D2251" s="2" t="s">
        <v>850</v>
      </c>
      <c r="E2251" s="2" t="s">
        <v>1038</v>
      </c>
      <c r="F2251" s="2" t="s">
        <v>10592</v>
      </c>
      <c r="G2251" s="2" t="s">
        <v>10592</v>
      </c>
      <c r="H2251" s="2" t="s">
        <v>10592</v>
      </c>
      <c r="I2251" s="2" t="s">
        <v>10593</v>
      </c>
      <c r="J2251" s="2" t="s">
        <v>1043</v>
      </c>
      <c r="K2251" s="2" t="s">
        <v>6375</v>
      </c>
      <c r="L2251" s="3">
        <v>67.2</v>
      </c>
      <c r="M2251" s="3">
        <v>70.56</v>
      </c>
      <c r="N2251" s="3">
        <v>139.99</v>
      </c>
      <c r="O2251" s="2" t="s">
        <v>240</v>
      </c>
      <c r="P2251" s="2" t="s">
        <v>266</v>
      </c>
      <c r="Q2251" s="2" t="s">
        <v>234</v>
      </c>
      <c r="R2251" s="2" t="s">
        <v>228</v>
      </c>
      <c r="S2251" s="2" t="s">
        <v>10594</v>
      </c>
      <c r="T2251" s="2" t="s">
        <v>350</v>
      </c>
      <c r="U2251" s="2" t="s">
        <v>500</v>
      </c>
      <c r="V2251" s="2" t="s">
        <v>859</v>
      </c>
      <c r="W2251" s="2" t="s">
        <v>2512</v>
      </c>
      <c r="X2251" s="2" t="s">
        <v>269</v>
      </c>
      <c r="Y2251" s="2" t="s">
        <v>1821</v>
      </c>
      <c r="Z2251" s="4">
        <v>133</v>
      </c>
      <c r="AA2251" s="4">
        <f>=ROUNDDOWN(29.5555555555556,0)</f>
      </c>
      <c r="AB2251" s="5">
        <v>4.5</v>
      </c>
      <c r="AC2251" s="2" t="s">
        <v>216</v>
      </c>
      <c r="AD2251" s="4">
        <v>150</v>
      </c>
      <c r="AE2251" s="4">
        <v>200</v>
      </c>
      <c r="AF2251" s="6">
        <v>67</v>
      </c>
      <c r="AG2251" s="6"/>
      <c r="AH2251" s="7">
        <v>1</v>
      </c>
      <c r="AI2251" s="4"/>
      <c r="AJ2251" s="4">
        <f>=ROUNDDOWN({0},0)</f>
      </c>
      <c r="AK2251" s="5"/>
      <c r="AL2251" s="2" t="s">
        <v>228</v>
      </c>
      <c r="AM2251" s="4"/>
      <c r="AN2251" s="4"/>
      <c r="AO2251" s="7"/>
      <c r="AP2251" s="4"/>
      <c r="AQ2251" s="8"/>
      <c r="AR2251" s="4"/>
      <c r="AS2251" s="8"/>
      <c r="AT2251" s="7"/>
      <c r="AU2251" s="7"/>
      <c r="AV2251" s="4"/>
      <c r="AW2251" s="8"/>
      <c r="AX2251" s="4"/>
      <c r="AY2251" s="8"/>
      <c r="AZ2251" s="7"/>
      <c r="BA2251" s="7"/>
      <c r="BB2251" s="7"/>
      <c r="BC2251" s="4"/>
      <c r="BD2251" s="8"/>
      <c r="BE2251" s="4"/>
      <c r="BF2251" s="8"/>
      <c r="BG2251" s="7"/>
      <c r="BH2251" s="7"/>
      <c r="BI2251" s="7"/>
      <c r="BJ2251" s="4">
        <v>19</v>
      </c>
      <c r="BK2251" s="8">
        <v>1488.86</v>
      </c>
      <c r="BL2251" s="2" t="s">
        <v>3646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10595</v>
      </c>
      <c r="BV2251" s="2" t="s">
        <v>228</v>
      </c>
      <c r="BW2251" s="2" t="s">
        <v>228</v>
      </c>
      <c r="BX2251" s="2" t="s">
        <v>273</v>
      </c>
      <c r="BY2251" s="2" t="s">
        <v>274</v>
      </c>
      <c r="BZ2251" s="2" t="s">
        <v>240</v>
      </c>
      <c r="CA2251" s="2" t="s">
        <v>7545</v>
      </c>
      <c r="CB2251" s="2" t="s">
        <v>396</v>
      </c>
      <c r="CC2251" s="2" t="s">
        <v>241</v>
      </c>
      <c r="CD2251" s="2" t="s">
        <v>228</v>
      </c>
      <c r="CE2251" s="4">
        <v>133</v>
      </c>
      <c r="CF2251" s="4"/>
      <c r="CG2251" s="4"/>
      <c r="CH2251" s="4"/>
      <c r="CI2251" s="4"/>
      <c r="CJ2251" s="4"/>
      <c r="CK2251" s="4"/>
      <c r="CL2251" s="4"/>
      <c r="CM2251" s="4"/>
      <c r="CN2251" s="4"/>
      <c r="CO2251" s="4"/>
      <c r="CP2251" s="4"/>
      <c r="CQ2251" s="4"/>
      <c r="CR2251" s="4"/>
      <c r="CS2251" s="4"/>
      <c r="CT2251" s="4"/>
      <c r="CU2251" s="4"/>
      <c r="CV2251" s="4"/>
      <c r="CW2251" s="4"/>
      <c r="CX2251" s="4"/>
      <c r="CY2251" s="4"/>
      <c r="CZ2251" s="4"/>
      <c r="DA2251" s="4"/>
      <c r="DB2251" s="4"/>
      <c r="DC2251" s="4"/>
      <c r="DD2251" s="4"/>
      <c r="DE2251" s="4"/>
      <c r="DF2251" s="4"/>
      <c r="DG2251" s="4"/>
      <c r="DH2251" s="4"/>
      <c r="DI2251" s="4"/>
      <c r="DJ2251" s="4"/>
      <c r="DK2251" s="4"/>
      <c r="DL2251" s="4"/>
      <c r="DM2251" s="4"/>
      <c r="DN2251" s="4"/>
      <c r="DO2251" s="4"/>
      <c r="DP2251" s="4"/>
      <c r="DQ2251" s="4"/>
      <c r="DR2251" s="4"/>
      <c r="DS2251" s="4"/>
      <c r="DT2251" s="4"/>
      <c r="DU2251" s="4"/>
      <c r="DV2251" s="4"/>
      <c r="DW2251" s="4"/>
      <c r="DX2251" s="4"/>
      <c r="DY2251" s="4"/>
      <c r="DZ2251" s="4"/>
      <c r="EA2251" s="4"/>
      <c r="EB2251" s="4"/>
      <c r="EC2251" s="4"/>
      <c r="ED2251" s="4"/>
      <c r="EE2251" s="4"/>
      <c r="EF2251" s="4"/>
      <c r="EG2251" s="4"/>
      <c r="EH2251" s="4"/>
      <c r="EI2251" s="4"/>
      <c r="EJ2251" s="4"/>
      <c r="EK2251" s="4"/>
      <c r="EL2251" s="4"/>
      <c r="EM2251" s="4"/>
      <c r="EN2251" s="4"/>
      <c r="EO2251" s="4"/>
      <c r="EP2251" s="4"/>
      <c r="EQ2251" s="4"/>
      <c r="ER2251" s="4"/>
      <c r="ES2251" s="4"/>
      <c r="ET2251" s="4"/>
      <c r="EU2251" s="4"/>
      <c r="EV2251" s="4"/>
      <c r="EW2251" s="4"/>
      <c r="EX2251" s="4"/>
      <c r="EY2251" s="4"/>
      <c r="EZ2251" s="4"/>
      <c r="FA2251" s="4"/>
      <c r="FB2251" s="4"/>
      <c r="FC2251" s="4"/>
      <c r="FD2251" s="4"/>
      <c r="FE2251" s="4"/>
      <c r="FF2251" s="4"/>
      <c r="FG2251" s="4"/>
      <c r="FH2251" s="4"/>
      <c r="FI2251" s="4"/>
      <c r="FJ2251" s="4"/>
      <c r="FK2251" s="4"/>
      <c r="FL2251" s="4"/>
      <c r="FM2251" s="4"/>
      <c r="FN2251" s="4"/>
      <c r="FO2251" s="4"/>
      <c r="FP2251" s="4"/>
      <c r="FQ2251" s="4"/>
      <c r="FR2251" s="4"/>
      <c r="FS2251" s="4"/>
      <c r="FT2251" s="4"/>
      <c r="FU2251" s="4"/>
      <c r="FV2251" s="4"/>
      <c r="FW2251" s="4"/>
      <c r="FX2251" s="4"/>
      <c r="FY2251" s="4"/>
      <c r="FZ2251" s="4"/>
      <c r="GA2251" s="4"/>
      <c r="GB2251" s="4"/>
      <c r="GC2251" s="4"/>
      <c r="GD2251" s="4"/>
      <c r="GE2251" s="4"/>
      <c r="GF2251" s="4"/>
      <c r="GG2251" s="4"/>
      <c r="GH2251" s="4"/>
      <c r="GI2251" s="4"/>
      <c r="GJ2251" s="4"/>
      <c r="GK2251" s="4"/>
      <c r="GL2251" s="4"/>
      <c r="GM2251" s="4"/>
      <c r="GN2251" s="4"/>
      <c r="GO2251" s="4"/>
      <c r="GP2251" s="4"/>
      <c r="GQ2251" s="4"/>
      <c r="GR2251" s="4"/>
      <c r="GS2251" s="4"/>
      <c r="GT2251" s="4"/>
      <c r="GU2251" s="4"/>
      <c r="GV2251" s="4"/>
      <c r="GW2251" s="4"/>
      <c r="GX2251" s="4"/>
      <c r="GY2251" s="4"/>
      <c r="GZ2251" s="4">
        <v>150</v>
      </c>
      <c r="HA2251" s="4"/>
      <c r="HB2251" s="4"/>
      <c r="HC2251" s="4"/>
      <c r="HD2251" s="4"/>
      <c r="HE2251" s="4">
        <v>50</v>
      </c>
    </row>
    <row r="2252">
      <c r="A2252" s="2" t="s">
        <v>10596</v>
      </c>
      <c r="B2252" s="2" t="s">
        <v>848</v>
      </c>
      <c r="C2252" s="2" t="s">
        <v>849</v>
      </c>
      <c r="D2252" s="2" t="s">
        <v>1316</v>
      </c>
      <c r="E2252" s="2" t="s">
        <v>2396</v>
      </c>
      <c r="F2252" s="2" t="s">
        <v>10597</v>
      </c>
      <c r="G2252" s="2" t="s">
        <v>10598</v>
      </c>
      <c r="H2252" s="2" t="s">
        <v>10599</v>
      </c>
      <c r="I2252" s="2" t="s">
        <v>10600</v>
      </c>
      <c r="J2252" s="2" t="s">
        <v>856</v>
      </c>
      <c r="K2252" s="2" t="s">
        <v>888</v>
      </c>
      <c r="L2252" s="3">
        <v>34.4</v>
      </c>
      <c r="M2252" s="3">
        <v>36.12</v>
      </c>
      <c r="N2252" s="3">
        <v>79.99</v>
      </c>
      <c r="O2252" s="2" t="s">
        <v>240</v>
      </c>
      <c r="P2252" s="2" t="s">
        <v>333</v>
      </c>
      <c r="Q2252" s="2" t="s">
        <v>234</v>
      </c>
      <c r="R2252" s="2" t="s">
        <v>228</v>
      </c>
      <c r="S2252" s="2" t="s">
        <v>10601</v>
      </c>
      <c r="T2252" s="2" t="s">
        <v>415</v>
      </c>
      <c r="U2252" s="2" t="s">
        <v>308</v>
      </c>
      <c r="V2252" s="2" t="s">
        <v>3007</v>
      </c>
      <c r="W2252" s="2" t="s">
        <v>2472</v>
      </c>
      <c r="X2252" s="2" t="s">
        <v>269</v>
      </c>
      <c r="Y2252" s="2" t="s">
        <v>270</v>
      </c>
      <c r="Z2252" s="4">
        <v>140</v>
      </c>
      <c r="AA2252" s="4">
        <f>=ROUNDDOWN(53.8461538461538,0)</f>
      </c>
      <c r="AB2252" s="5">
        <v>2.6</v>
      </c>
      <c r="AC2252" s="2" t="s">
        <v>228</v>
      </c>
      <c r="AD2252" s="4"/>
      <c r="AE2252" s="4"/>
      <c r="AF2252" s="6">
        <v>64</v>
      </c>
      <c r="AG2252" s="6"/>
      <c r="AH2252" s="7">
        <v>1</v>
      </c>
      <c r="AI2252" s="4"/>
      <c r="AJ2252" s="4">
        <f>=ROUNDDOWN({0},0)</f>
      </c>
      <c r="AK2252" s="5"/>
      <c r="AL2252" s="2" t="s">
        <v>228</v>
      </c>
      <c r="AM2252" s="4"/>
      <c r="AN2252" s="4"/>
      <c r="AO2252" s="7"/>
      <c r="AP2252" s="4"/>
      <c r="AQ2252" s="8"/>
      <c r="AR2252" s="4"/>
      <c r="AS2252" s="8"/>
      <c r="AT2252" s="7"/>
      <c r="AU2252" s="7"/>
      <c r="AV2252" s="4"/>
      <c r="AW2252" s="8"/>
      <c r="AX2252" s="4"/>
      <c r="AY2252" s="8"/>
      <c r="AZ2252" s="7"/>
      <c r="BA2252" s="7"/>
      <c r="BB2252" s="7"/>
      <c r="BC2252" s="4"/>
      <c r="BD2252" s="8"/>
      <c r="BE2252" s="4"/>
      <c r="BF2252" s="8"/>
      <c r="BG2252" s="7"/>
      <c r="BH2252" s="7"/>
      <c r="BI2252" s="7"/>
      <c r="BJ2252" s="4">
        <v>16</v>
      </c>
      <c r="BK2252" s="8">
        <v>351.56</v>
      </c>
      <c r="BL2252" s="2" t="s">
        <v>10602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10603</v>
      </c>
      <c r="BV2252" s="2" t="s">
        <v>228</v>
      </c>
      <c r="BW2252" s="2" t="s">
        <v>228</v>
      </c>
      <c r="BX2252" s="2" t="s">
        <v>337</v>
      </c>
      <c r="BY2252" s="2" t="s">
        <v>274</v>
      </c>
      <c r="BZ2252" s="2" t="s">
        <v>240</v>
      </c>
      <c r="CA2252" s="2" t="s">
        <v>275</v>
      </c>
      <c r="CB2252" s="2" t="s">
        <v>10604</v>
      </c>
      <c r="CC2252" s="2" t="s">
        <v>241</v>
      </c>
      <c r="CD2252" s="2" t="s">
        <v>228</v>
      </c>
      <c r="CE2252" s="4">
        <v>140</v>
      </c>
      <c r="CF2252" s="4"/>
      <c r="CG2252" s="4"/>
      <c r="CH2252" s="4"/>
      <c r="CI2252" s="4"/>
      <c r="CJ2252" s="4"/>
      <c r="CK2252" s="4"/>
      <c r="CL2252" s="4"/>
      <c r="CM2252" s="4"/>
      <c r="CN2252" s="4"/>
      <c r="CO2252" s="4"/>
      <c r="CP2252" s="4"/>
      <c r="CQ2252" s="4"/>
      <c r="CR2252" s="4"/>
      <c r="CS2252" s="4"/>
      <c r="CT2252" s="4"/>
      <c r="CU2252" s="4"/>
      <c r="CV2252" s="4"/>
      <c r="CW2252" s="4"/>
      <c r="CX2252" s="4"/>
      <c r="CY2252" s="4"/>
      <c r="CZ2252" s="4"/>
      <c r="DA2252" s="4"/>
      <c r="DB2252" s="4"/>
      <c r="DC2252" s="4"/>
      <c r="DD2252" s="4"/>
      <c r="DE2252" s="4"/>
      <c r="DF2252" s="4"/>
      <c r="DG2252" s="4"/>
      <c r="DH2252" s="4"/>
      <c r="DI2252" s="4"/>
      <c r="DJ2252" s="4"/>
      <c r="DK2252" s="4"/>
      <c r="DL2252" s="4"/>
      <c r="DM2252" s="4"/>
      <c r="DN2252" s="4"/>
      <c r="DO2252" s="4"/>
      <c r="DP2252" s="4"/>
      <c r="DQ2252" s="4"/>
      <c r="DR2252" s="4"/>
      <c r="DS2252" s="4"/>
      <c r="DT2252" s="4"/>
      <c r="DU2252" s="4"/>
      <c r="DV2252" s="4"/>
      <c r="DW2252" s="4"/>
      <c r="DX2252" s="4"/>
      <c r="DY2252" s="4"/>
      <c r="DZ2252" s="4"/>
      <c r="EA2252" s="4"/>
      <c r="EB2252" s="4"/>
      <c r="EC2252" s="4"/>
      <c r="ED2252" s="4"/>
      <c r="EE2252" s="4"/>
      <c r="EF2252" s="4"/>
      <c r="EG2252" s="4"/>
      <c r="EH2252" s="4"/>
      <c r="EI2252" s="4"/>
      <c r="EJ2252" s="4"/>
      <c r="EK2252" s="4"/>
      <c r="EL2252" s="4"/>
      <c r="EM2252" s="4"/>
      <c r="EN2252" s="4"/>
      <c r="EO2252" s="4"/>
      <c r="EP2252" s="4"/>
      <c r="EQ2252" s="4"/>
      <c r="ER2252" s="4"/>
      <c r="ES2252" s="4"/>
      <c r="ET2252" s="4"/>
      <c r="EU2252" s="4"/>
      <c r="EV2252" s="4"/>
      <c r="EW2252" s="4"/>
      <c r="EX2252" s="4"/>
      <c r="EY2252" s="4"/>
      <c r="EZ2252" s="4"/>
      <c r="FA2252" s="4"/>
      <c r="FB2252" s="4"/>
      <c r="FC2252" s="4"/>
      <c r="FD2252" s="4"/>
      <c r="FE2252" s="4"/>
      <c r="FF2252" s="4"/>
      <c r="FG2252" s="4"/>
      <c r="FH2252" s="4"/>
      <c r="FI2252" s="4"/>
      <c r="FJ2252" s="4"/>
      <c r="FK2252" s="4"/>
      <c r="FL2252" s="4"/>
      <c r="FM2252" s="4"/>
      <c r="FN2252" s="4"/>
      <c r="FO2252" s="4"/>
      <c r="FP2252" s="4"/>
      <c r="FQ2252" s="4"/>
      <c r="FR2252" s="4"/>
      <c r="FS2252" s="4"/>
      <c r="FT2252" s="4"/>
      <c r="FU2252" s="4"/>
      <c r="FV2252" s="4"/>
      <c r="FW2252" s="4"/>
      <c r="FX2252" s="4"/>
      <c r="FY2252" s="4"/>
      <c r="FZ2252" s="4"/>
      <c r="GA2252" s="4"/>
      <c r="GB2252" s="4"/>
      <c r="GC2252" s="4"/>
      <c r="GD2252" s="4"/>
      <c r="GE2252" s="4"/>
      <c r="GF2252" s="4"/>
      <c r="GG2252" s="4"/>
      <c r="GH2252" s="4"/>
      <c r="GI2252" s="4"/>
      <c r="GJ2252" s="4"/>
      <c r="GK2252" s="4"/>
      <c r="GL2252" s="4"/>
      <c r="GM2252" s="4"/>
      <c r="GN2252" s="4"/>
      <c r="GO2252" s="4"/>
      <c r="GP2252" s="4"/>
      <c r="GQ2252" s="4"/>
      <c r="GR2252" s="4"/>
      <c r="GS2252" s="4"/>
      <c r="GT2252" s="4"/>
      <c r="GU2252" s="4"/>
      <c r="GV2252" s="4"/>
      <c r="GW2252" s="4"/>
      <c r="GX2252" s="4"/>
      <c r="GY2252" s="4"/>
      <c r="GZ2252" s="4"/>
      <c r="HA2252" s="4"/>
      <c r="HB2252" s="4"/>
      <c r="HC2252" s="4"/>
      <c r="HD2252" s="4"/>
      <c r="HE2252" s="4"/>
    </row>
    <row r="2253">
      <c r="A2253" s="2" t="s">
        <v>10605</v>
      </c>
      <c r="B2253" s="2" t="s">
        <v>970</v>
      </c>
      <c r="C2253" s="2" t="s">
        <v>1296</v>
      </c>
      <c r="D2253" s="2" t="s">
        <v>971</v>
      </c>
      <c r="E2253" s="2" t="s">
        <v>1121</v>
      </c>
      <c r="F2253" s="2" t="s">
        <v>10606</v>
      </c>
      <c r="G2253" s="2" t="s">
        <v>10607</v>
      </c>
      <c r="H2253" s="2" t="s">
        <v>10608</v>
      </c>
      <c r="I2253" s="2" t="s">
        <v>10609</v>
      </c>
      <c r="J2253" s="2" t="s">
        <v>1126</v>
      </c>
      <c r="K2253" s="2" t="s">
        <v>231</v>
      </c>
      <c r="L2253" s="3">
        <v>12.37</v>
      </c>
      <c r="M2253" s="3">
        <v>12.99</v>
      </c>
      <c r="N2253" s="3">
        <v>29.99</v>
      </c>
      <c r="O2253" s="2" t="s">
        <v>240</v>
      </c>
      <c r="P2253" s="2" t="s">
        <v>922</v>
      </c>
      <c r="Q2253" s="2" t="s">
        <v>234</v>
      </c>
      <c r="R2253" s="2" t="s">
        <v>228</v>
      </c>
      <c r="S2253" s="2" t="s">
        <v>10610</v>
      </c>
      <c r="T2253" s="2" t="s">
        <v>415</v>
      </c>
      <c r="U2253" s="2" t="s">
        <v>520</v>
      </c>
      <c r="V2253" s="2" t="s">
        <v>236</v>
      </c>
      <c r="W2253" s="2" t="s">
        <v>417</v>
      </c>
      <c r="X2253" s="2" t="s">
        <v>228</v>
      </c>
      <c r="Y2253" s="2" t="s">
        <v>10611</v>
      </c>
      <c r="Z2253" s="4">
        <v>1</v>
      </c>
      <c r="AA2253" s="4">
        <f>=ROUNDDOWN(0.0333333333333333,0)</f>
      </c>
      <c r="AB2253" s="5">
        <v>30</v>
      </c>
      <c r="AC2253" s="2" t="s">
        <v>228</v>
      </c>
      <c r="AD2253" s="4"/>
      <c r="AE2253" s="4"/>
      <c r="AF2253" s="6">
        <v>65</v>
      </c>
      <c r="AG2253" s="6"/>
      <c r="AH2253" s="7">
        <v>1</v>
      </c>
      <c r="AI2253" s="4"/>
      <c r="AJ2253" s="4">
        <f>=ROUNDDOWN({0},0)</f>
      </c>
      <c r="AK2253" s="5"/>
      <c r="AL2253" s="2" t="s">
        <v>228</v>
      </c>
      <c r="AM2253" s="4"/>
      <c r="AN2253" s="4"/>
      <c r="AO2253" s="7"/>
      <c r="AP2253" s="4"/>
      <c r="AQ2253" s="8"/>
      <c r="AR2253" s="4"/>
      <c r="AS2253" s="8"/>
      <c r="AT2253" s="7"/>
      <c r="AU2253" s="7"/>
      <c r="AV2253" s="4"/>
      <c r="AW2253" s="8"/>
      <c r="AX2253" s="4"/>
      <c r="AY2253" s="8"/>
      <c r="AZ2253" s="7"/>
      <c r="BA2253" s="7"/>
      <c r="BB2253" s="7"/>
      <c r="BC2253" s="4"/>
      <c r="BD2253" s="8"/>
      <c r="BE2253" s="4"/>
      <c r="BF2253" s="8"/>
      <c r="BG2253" s="7"/>
      <c r="BH2253" s="7"/>
      <c r="BI2253" s="7"/>
      <c r="BJ2253" s="4">
        <v>6</v>
      </c>
      <c r="BK2253" s="8">
        <v>66.65</v>
      </c>
      <c r="BL2253" s="2" t="s">
        <v>10259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10612</v>
      </c>
      <c r="BV2253" s="2" t="s">
        <v>228</v>
      </c>
      <c r="BW2253" s="2" t="s">
        <v>228</v>
      </c>
      <c r="BX2253" s="2" t="s">
        <v>337</v>
      </c>
      <c r="BY2253" s="2" t="s">
        <v>274</v>
      </c>
      <c r="BZ2253" s="2" t="s">
        <v>240</v>
      </c>
      <c r="CA2253" s="2" t="s">
        <v>10611</v>
      </c>
      <c r="CB2253" s="2" t="s">
        <v>10613</v>
      </c>
      <c r="CC2253" s="2" t="s">
        <v>241</v>
      </c>
      <c r="CD2253" s="2" t="s">
        <v>228</v>
      </c>
      <c r="CE2253" s="4"/>
      <c r="CF2253" s="4">
        <v>1</v>
      </c>
      <c r="CG2253" s="4"/>
      <c r="CH2253" s="4"/>
      <c r="CI2253" s="4"/>
      <c r="CJ2253" s="4"/>
      <c r="CK2253" s="4"/>
      <c r="CL2253" s="4"/>
      <c r="CM2253" s="4"/>
      <c r="CN2253" s="4"/>
      <c r="CO2253" s="4"/>
      <c r="CP2253" s="4"/>
      <c r="CQ2253" s="4"/>
      <c r="CR2253" s="4"/>
      <c r="CS2253" s="4"/>
      <c r="CT2253" s="4"/>
      <c r="CU2253" s="4"/>
      <c r="CV2253" s="4"/>
      <c r="CW2253" s="4"/>
      <c r="CX2253" s="4"/>
      <c r="CY2253" s="4"/>
      <c r="CZ2253" s="4"/>
      <c r="DA2253" s="4"/>
      <c r="DB2253" s="4"/>
      <c r="DC2253" s="4"/>
      <c r="DD2253" s="4"/>
      <c r="DE2253" s="4"/>
      <c r="DF2253" s="4"/>
      <c r="DG2253" s="4"/>
      <c r="DH2253" s="4"/>
      <c r="DI2253" s="4"/>
      <c r="DJ2253" s="4"/>
      <c r="DK2253" s="4"/>
      <c r="DL2253" s="4"/>
      <c r="DM2253" s="4"/>
      <c r="DN2253" s="4"/>
      <c r="DO2253" s="4"/>
      <c r="DP2253" s="4"/>
      <c r="DQ2253" s="4"/>
      <c r="DR2253" s="4"/>
      <c r="DS2253" s="4"/>
      <c r="DT2253" s="4"/>
      <c r="DU2253" s="4"/>
      <c r="DV2253" s="4"/>
      <c r="DW2253" s="4"/>
      <c r="DX2253" s="4"/>
      <c r="DY2253" s="4"/>
      <c r="DZ2253" s="4"/>
      <c r="EA2253" s="4"/>
      <c r="EB2253" s="4"/>
      <c r="EC2253" s="4"/>
      <c r="ED2253" s="4"/>
      <c r="EE2253" s="4"/>
      <c r="EF2253" s="4"/>
      <c r="EG2253" s="4"/>
      <c r="EH2253" s="4"/>
      <c r="EI2253" s="4"/>
      <c r="EJ2253" s="4"/>
      <c r="EK2253" s="4"/>
      <c r="EL2253" s="4"/>
      <c r="EM2253" s="4"/>
      <c r="EN2253" s="4"/>
      <c r="EO2253" s="4"/>
      <c r="EP2253" s="4"/>
      <c r="EQ2253" s="4"/>
      <c r="ER2253" s="4"/>
      <c r="ES2253" s="4"/>
      <c r="ET2253" s="4"/>
      <c r="EU2253" s="4"/>
      <c r="EV2253" s="4"/>
      <c r="EW2253" s="4"/>
      <c r="EX2253" s="4"/>
      <c r="EY2253" s="4"/>
      <c r="EZ2253" s="4"/>
      <c r="FA2253" s="4"/>
      <c r="FB2253" s="4"/>
      <c r="FC2253" s="4"/>
      <c r="FD2253" s="4"/>
      <c r="FE2253" s="4"/>
      <c r="FF2253" s="4"/>
      <c r="FG2253" s="4"/>
      <c r="FH2253" s="4"/>
      <c r="FI2253" s="4"/>
      <c r="FJ2253" s="4"/>
      <c r="FK2253" s="4"/>
      <c r="FL2253" s="4"/>
      <c r="FM2253" s="4"/>
      <c r="FN2253" s="4"/>
      <c r="FO2253" s="4"/>
      <c r="FP2253" s="4"/>
      <c r="FQ2253" s="4"/>
      <c r="FR2253" s="4"/>
      <c r="FS2253" s="4"/>
      <c r="FT2253" s="4"/>
      <c r="FU2253" s="4"/>
      <c r="FV2253" s="4"/>
      <c r="FW2253" s="4"/>
      <c r="FX2253" s="4"/>
      <c r="FY2253" s="4"/>
      <c r="FZ2253" s="4"/>
      <c r="GA2253" s="4"/>
      <c r="GB2253" s="4"/>
      <c r="GC2253" s="4"/>
      <c r="GD2253" s="4"/>
      <c r="GE2253" s="4"/>
      <c r="GF2253" s="4"/>
      <c r="GG2253" s="4"/>
      <c r="GH2253" s="4"/>
      <c r="GI2253" s="4"/>
      <c r="GJ2253" s="4"/>
      <c r="GK2253" s="4"/>
      <c r="GL2253" s="4"/>
      <c r="GM2253" s="4"/>
      <c r="GN2253" s="4"/>
      <c r="GO2253" s="4"/>
      <c r="GP2253" s="4"/>
      <c r="GQ2253" s="4"/>
      <c r="GR2253" s="4"/>
      <c r="GS2253" s="4"/>
      <c r="GT2253" s="4"/>
      <c r="GU2253" s="4"/>
      <c r="GV2253" s="4"/>
      <c r="GW2253" s="4"/>
      <c r="GX2253" s="4"/>
      <c r="GY2253" s="4"/>
      <c r="GZ2253" s="4"/>
      <c r="HA2253" s="4"/>
      <c r="HB2253" s="4"/>
      <c r="HC2253" s="4"/>
      <c r="HD2253" s="4"/>
      <c r="HE2253" s="4"/>
    </row>
    <row r="2254">
      <c r="A2254" s="2" t="s">
        <v>10614</v>
      </c>
      <c r="B2254" s="2" t="s">
        <v>223</v>
      </c>
      <c r="C2254" s="2" t="s">
        <v>1261</v>
      </c>
      <c r="D2254" s="2" t="s">
        <v>1601</v>
      </c>
      <c r="E2254" s="2" t="s">
        <v>1602</v>
      </c>
      <c r="F2254" s="2" t="s">
        <v>10615</v>
      </c>
      <c r="G2254" s="2" t="s">
        <v>10615</v>
      </c>
      <c r="H2254" s="2" t="s">
        <v>10615</v>
      </c>
      <c r="I2254" s="2" t="s">
        <v>10616</v>
      </c>
      <c r="J2254" s="2" t="s">
        <v>2651</v>
      </c>
      <c r="K2254" s="2" t="s">
        <v>1390</v>
      </c>
      <c r="L2254" s="3">
        <v>16.1</v>
      </c>
      <c r="M2254" s="3">
        <v>16.9</v>
      </c>
      <c r="N2254" s="3">
        <v>34.99</v>
      </c>
      <c r="O2254" s="2" t="s">
        <v>461</v>
      </c>
      <c r="P2254" s="2" t="s">
        <v>333</v>
      </c>
      <c r="Q2254" s="2" t="s">
        <v>234</v>
      </c>
      <c r="R2254" s="2" t="s">
        <v>228</v>
      </c>
      <c r="S2254" s="2" t="s">
        <v>10617</v>
      </c>
      <c r="T2254" s="2" t="s">
        <v>1266</v>
      </c>
      <c r="U2254" s="2" t="s">
        <v>228</v>
      </c>
      <c r="V2254" s="2" t="s">
        <v>1438</v>
      </c>
      <c r="W2254" s="2" t="s">
        <v>1267</v>
      </c>
      <c r="X2254" s="2" t="s">
        <v>1268</v>
      </c>
      <c r="Y2254" s="2" t="s">
        <v>270</v>
      </c>
      <c r="Z2254" s="4">
        <v>874</v>
      </c>
      <c r="AA2254" s="4">
        <f>=ROUNDDOWN(67.2307692307692,0)</f>
      </c>
      <c r="AB2254" s="5">
        <v>13</v>
      </c>
      <c r="AC2254" s="2" t="s">
        <v>228</v>
      </c>
      <c r="AD2254" s="4"/>
      <c r="AE2254" s="4"/>
      <c r="AF2254" s="6">
        <v>65</v>
      </c>
      <c r="AG2254" s="6"/>
      <c r="AH2254" s="7">
        <v>1</v>
      </c>
      <c r="AI2254" s="4"/>
      <c r="AJ2254" s="4">
        <f>=ROUNDDOWN({0},0)</f>
      </c>
      <c r="AK2254" s="5"/>
      <c r="AL2254" s="2" t="s">
        <v>228</v>
      </c>
      <c r="AM2254" s="4"/>
      <c r="AN2254" s="4"/>
      <c r="AO2254" s="7"/>
      <c r="AP2254" s="4"/>
      <c r="AQ2254" s="8"/>
      <c r="AR2254" s="4"/>
      <c r="AS2254" s="8"/>
      <c r="AT2254" s="7"/>
      <c r="AU2254" s="7"/>
      <c r="AV2254" s="4"/>
      <c r="AW2254" s="8"/>
      <c r="AX2254" s="4"/>
      <c r="AY2254" s="8"/>
      <c r="AZ2254" s="7"/>
      <c r="BA2254" s="7"/>
      <c r="BB2254" s="7"/>
      <c r="BC2254" s="4"/>
      <c r="BD2254" s="8"/>
      <c r="BE2254" s="4"/>
      <c r="BF2254" s="8"/>
      <c r="BG2254" s="7"/>
      <c r="BH2254" s="7"/>
      <c r="BI2254" s="7"/>
      <c r="BJ2254" s="4">
        <v>34</v>
      </c>
      <c r="BK2254" s="8">
        <v>474.7</v>
      </c>
      <c r="BL2254" s="2" t="s">
        <v>7385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10618</v>
      </c>
      <c r="BV2254" s="2" t="s">
        <v>228</v>
      </c>
      <c r="BW2254" s="2" t="s">
        <v>228</v>
      </c>
      <c r="BX2254" s="2" t="s">
        <v>337</v>
      </c>
      <c r="BY2254" s="2" t="s">
        <v>274</v>
      </c>
      <c r="BZ2254" s="2" t="s">
        <v>240</v>
      </c>
      <c r="CA2254" s="2" t="s">
        <v>2655</v>
      </c>
      <c r="CB2254" s="2" t="s">
        <v>1365</v>
      </c>
      <c r="CC2254" s="2" t="s">
        <v>241</v>
      </c>
      <c r="CD2254" s="2" t="s">
        <v>228</v>
      </c>
      <c r="CE2254" s="4">
        <v>874</v>
      </c>
      <c r="CF2254" s="4"/>
      <c r="CG2254" s="4"/>
      <c r="CH2254" s="4"/>
      <c r="CI2254" s="4"/>
      <c r="CJ2254" s="4"/>
      <c r="CK2254" s="4"/>
      <c r="CL2254" s="4"/>
      <c r="CM2254" s="4"/>
      <c r="CN2254" s="4"/>
      <c r="CO2254" s="4"/>
      <c r="CP2254" s="4"/>
      <c r="CQ2254" s="4"/>
      <c r="CR2254" s="4"/>
      <c r="CS2254" s="4"/>
      <c r="CT2254" s="4"/>
      <c r="CU2254" s="4"/>
      <c r="CV2254" s="4"/>
      <c r="CW2254" s="4"/>
      <c r="CX2254" s="4"/>
      <c r="CY2254" s="4"/>
      <c r="CZ2254" s="4"/>
      <c r="DA2254" s="4"/>
      <c r="DB2254" s="4"/>
      <c r="DC2254" s="4"/>
      <c r="DD2254" s="4"/>
      <c r="DE2254" s="4"/>
      <c r="DF2254" s="4"/>
      <c r="DG2254" s="4"/>
      <c r="DH2254" s="4"/>
      <c r="DI2254" s="4"/>
      <c r="DJ2254" s="4"/>
      <c r="DK2254" s="4"/>
      <c r="DL2254" s="4"/>
      <c r="DM2254" s="4"/>
      <c r="DN2254" s="4"/>
      <c r="DO2254" s="4"/>
      <c r="DP2254" s="4"/>
      <c r="DQ2254" s="4"/>
      <c r="DR2254" s="4"/>
      <c r="DS2254" s="4"/>
      <c r="DT2254" s="4"/>
      <c r="DU2254" s="4"/>
      <c r="DV2254" s="4"/>
      <c r="DW2254" s="4"/>
      <c r="DX2254" s="4"/>
      <c r="DY2254" s="4"/>
      <c r="DZ2254" s="4"/>
      <c r="EA2254" s="4"/>
      <c r="EB2254" s="4"/>
      <c r="EC2254" s="4"/>
      <c r="ED2254" s="4"/>
      <c r="EE2254" s="4"/>
      <c r="EF2254" s="4"/>
      <c r="EG2254" s="4"/>
      <c r="EH2254" s="4"/>
      <c r="EI2254" s="4"/>
      <c r="EJ2254" s="4"/>
      <c r="EK2254" s="4"/>
      <c r="EL2254" s="4"/>
      <c r="EM2254" s="4"/>
      <c r="EN2254" s="4"/>
      <c r="EO2254" s="4"/>
      <c r="EP2254" s="4"/>
      <c r="EQ2254" s="4"/>
      <c r="ER2254" s="4"/>
      <c r="ES2254" s="4"/>
      <c r="ET2254" s="4"/>
      <c r="EU2254" s="4"/>
      <c r="EV2254" s="4"/>
      <c r="EW2254" s="4"/>
      <c r="EX2254" s="4"/>
      <c r="EY2254" s="4"/>
      <c r="EZ2254" s="4"/>
      <c r="FA2254" s="4"/>
      <c r="FB2254" s="4"/>
      <c r="FC2254" s="4"/>
      <c r="FD2254" s="4"/>
      <c r="FE2254" s="4"/>
      <c r="FF2254" s="4"/>
      <c r="FG2254" s="4"/>
      <c r="FH2254" s="4"/>
      <c r="FI2254" s="4"/>
      <c r="FJ2254" s="4"/>
      <c r="FK2254" s="4"/>
      <c r="FL2254" s="4"/>
      <c r="FM2254" s="4"/>
      <c r="FN2254" s="4"/>
      <c r="FO2254" s="4"/>
      <c r="FP2254" s="4"/>
      <c r="FQ2254" s="4"/>
      <c r="FR2254" s="4"/>
      <c r="FS2254" s="4"/>
      <c r="FT2254" s="4"/>
      <c r="FU2254" s="4"/>
      <c r="FV2254" s="4"/>
      <c r="FW2254" s="4"/>
      <c r="FX2254" s="4"/>
      <c r="FY2254" s="4"/>
      <c r="FZ2254" s="4"/>
      <c r="GA2254" s="4"/>
      <c r="GB2254" s="4"/>
      <c r="GC2254" s="4"/>
      <c r="GD2254" s="4"/>
      <c r="GE2254" s="4"/>
      <c r="GF2254" s="4"/>
      <c r="GG2254" s="4"/>
      <c r="GH2254" s="4"/>
      <c r="GI2254" s="4"/>
      <c r="GJ2254" s="4"/>
      <c r="GK2254" s="4"/>
      <c r="GL2254" s="4"/>
      <c r="GM2254" s="4"/>
      <c r="GN2254" s="4"/>
      <c r="GO2254" s="4"/>
      <c r="GP2254" s="4"/>
      <c r="GQ2254" s="4"/>
      <c r="GR2254" s="4"/>
      <c r="GS2254" s="4"/>
      <c r="GT2254" s="4"/>
      <c r="GU2254" s="4"/>
      <c r="GV2254" s="4"/>
      <c r="GW2254" s="4"/>
      <c r="GX2254" s="4"/>
      <c r="GY2254" s="4"/>
      <c r="GZ2254" s="4"/>
      <c r="HA2254" s="4"/>
      <c r="HB2254" s="4"/>
      <c r="HC2254" s="4"/>
      <c r="HD2254" s="4"/>
      <c r="HE2254" s="4"/>
    </row>
    <row r="2255">
      <c r="A2255" s="2" t="s">
        <v>10619</v>
      </c>
      <c r="B2255" s="2" t="s">
        <v>958</v>
      </c>
      <c r="C2255" s="2" t="s">
        <v>300</v>
      </c>
      <c r="D2255" s="2" t="s">
        <v>959</v>
      </c>
      <c r="E2255" s="2" t="s">
        <v>960</v>
      </c>
      <c r="F2255" s="2" t="s">
        <v>2377</v>
      </c>
      <c r="G2255" s="2" t="s">
        <v>1733</v>
      </c>
      <c r="H2255" s="2" t="s">
        <v>5345</v>
      </c>
      <c r="I2255" s="2" t="s">
        <v>8991</v>
      </c>
      <c r="J2255" s="2" t="s">
        <v>840</v>
      </c>
      <c r="K2255" s="2" t="s">
        <v>265</v>
      </c>
      <c r="L2255" s="3">
        <v>147.25</v>
      </c>
      <c r="M2255" s="3">
        <v>154.61</v>
      </c>
      <c r="N2255" s="3">
        <v>309</v>
      </c>
      <c r="O2255" s="2" t="s">
        <v>240</v>
      </c>
      <c r="P2255" s="2" t="s">
        <v>1012</v>
      </c>
      <c r="Q2255" s="2" t="s">
        <v>234</v>
      </c>
      <c r="R2255" s="2" t="s">
        <v>228</v>
      </c>
      <c r="S2255" s="2" t="s">
        <v>10620</v>
      </c>
      <c r="T2255" s="2" t="s">
        <v>228</v>
      </c>
      <c r="U2255" s="2" t="s">
        <v>228</v>
      </c>
      <c r="V2255" s="2" t="s">
        <v>236</v>
      </c>
      <c r="W2255" s="2" t="s">
        <v>843</v>
      </c>
      <c r="X2255" s="2" t="s">
        <v>228</v>
      </c>
      <c r="Y2255" s="2" t="s">
        <v>270</v>
      </c>
      <c r="Z2255" s="4">
        <v>165</v>
      </c>
      <c r="AA2255" s="4">
        <f>=ROUNDDOWN(103.125,0)</f>
      </c>
      <c r="AB2255" s="5">
        <v>1.6</v>
      </c>
      <c r="AC2255" s="2" t="s">
        <v>228</v>
      </c>
      <c r="AD2255" s="4"/>
      <c r="AE2255" s="4"/>
      <c r="AF2255" s="6">
        <v>74</v>
      </c>
      <c r="AG2255" s="6">
        <v>60</v>
      </c>
      <c r="AH2255" s="7">
        <v>1</v>
      </c>
      <c r="AI2255" s="4"/>
      <c r="AJ2255" s="4">
        <f>=ROUNDDOWN({0},0)</f>
      </c>
      <c r="AK2255" s="5"/>
      <c r="AL2255" s="2" t="s">
        <v>228</v>
      </c>
      <c r="AM2255" s="4"/>
      <c r="AN2255" s="4"/>
      <c r="AO2255" s="7"/>
      <c r="AP2255" s="4"/>
      <c r="AQ2255" s="8"/>
      <c r="AR2255" s="4"/>
      <c r="AS2255" s="8"/>
      <c r="AT2255" s="7"/>
      <c r="AU2255" s="7"/>
      <c r="AV2255" s="4"/>
      <c r="AW2255" s="8"/>
      <c r="AX2255" s="4"/>
      <c r="AY2255" s="8"/>
      <c r="AZ2255" s="7"/>
      <c r="BA2255" s="7"/>
      <c r="BB2255" s="7"/>
      <c r="BC2255" s="4" t="s">
        <v>228</v>
      </c>
      <c r="BD2255" s="8" t="s">
        <v>228</v>
      </c>
      <c r="BE2255" s="4" t="s">
        <v>228</v>
      </c>
      <c r="BF2255" s="8" t="s">
        <v>228</v>
      </c>
      <c r="BG2255" s="7" t="s">
        <v>228</v>
      </c>
      <c r="BH2255" s="7" t="s">
        <v>228</v>
      </c>
      <c r="BI2255" s="7"/>
      <c r="BJ2255" s="4">
        <v>2</v>
      </c>
      <c r="BK2255" s="8">
        <v>331.67</v>
      </c>
      <c r="BL2255" s="2" t="s">
        <v>10621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10622</v>
      </c>
      <c r="BV2255" s="2" t="s">
        <v>228</v>
      </c>
      <c r="BW2255" s="2" t="s">
        <v>228</v>
      </c>
      <c r="BX2255" s="2" t="s">
        <v>273</v>
      </c>
      <c r="BY2255" s="2" t="s">
        <v>274</v>
      </c>
      <c r="BZ2255" s="2" t="s">
        <v>240</v>
      </c>
      <c r="CA2255" s="2" t="s">
        <v>275</v>
      </c>
      <c r="CB2255" s="2" t="s">
        <v>10623</v>
      </c>
      <c r="CC2255" s="2" t="s">
        <v>241</v>
      </c>
      <c r="CD2255" s="2" t="s">
        <v>228</v>
      </c>
      <c r="CE2255" s="4"/>
      <c r="CF2255" s="4">
        <v>165</v>
      </c>
      <c r="CG2255" s="4"/>
      <c r="CH2255" s="4"/>
      <c r="CI2255" s="4"/>
      <c r="CJ2255" s="4"/>
      <c r="CK2255" s="4"/>
      <c r="CL2255" s="4"/>
      <c r="CM2255" s="4"/>
      <c r="CN2255" s="4"/>
      <c r="CO2255" s="4"/>
      <c r="CP2255" s="4"/>
      <c r="CQ2255" s="4"/>
      <c r="CR2255" s="4"/>
      <c r="CS2255" s="4"/>
      <c r="CT2255" s="4"/>
      <c r="CU2255" s="4"/>
      <c r="CV2255" s="4"/>
      <c r="CW2255" s="4"/>
      <c r="CX2255" s="4"/>
      <c r="CY2255" s="4"/>
      <c r="CZ2255" s="4"/>
      <c r="DA2255" s="4"/>
      <c r="DB2255" s="4"/>
      <c r="DC2255" s="4"/>
      <c r="DD2255" s="4"/>
      <c r="DE2255" s="4"/>
      <c r="DF2255" s="4"/>
      <c r="DG2255" s="4"/>
      <c r="DH2255" s="4"/>
      <c r="DI2255" s="4"/>
      <c r="DJ2255" s="4"/>
      <c r="DK2255" s="4"/>
      <c r="DL2255" s="4"/>
      <c r="DM2255" s="4"/>
      <c r="DN2255" s="4"/>
      <c r="DO2255" s="4"/>
      <c r="DP2255" s="4"/>
      <c r="DQ2255" s="4"/>
      <c r="DR2255" s="4"/>
      <c r="DS2255" s="4"/>
      <c r="DT2255" s="4"/>
      <c r="DU2255" s="4"/>
      <c r="DV2255" s="4"/>
      <c r="DW2255" s="4"/>
      <c r="DX2255" s="4"/>
      <c r="DY2255" s="4"/>
      <c r="DZ2255" s="4"/>
      <c r="EA2255" s="4"/>
      <c r="EB2255" s="4"/>
      <c r="EC2255" s="4"/>
      <c r="ED2255" s="4"/>
      <c r="EE2255" s="4"/>
      <c r="EF2255" s="4"/>
      <c r="EG2255" s="4"/>
      <c r="EH2255" s="4"/>
      <c r="EI2255" s="4"/>
      <c r="EJ2255" s="4"/>
      <c r="EK2255" s="4"/>
      <c r="EL2255" s="4"/>
      <c r="EM2255" s="4"/>
      <c r="EN2255" s="4"/>
      <c r="EO2255" s="4"/>
      <c r="EP2255" s="4"/>
      <c r="EQ2255" s="4"/>
      <c r="ER2255" s="4"/>
      <c r="ES2255" s="4"/>
      <c r="ET2255" s="4"/>
      <c r="EU2255" s="4"/>
      <c r="EV2255" s="4"/>
      <c r="EW2255" s="4"/>
      <c r="EX2255" s="4"/>
      <c r="EY2255" s="4"/>
      <c r="EZ2255" s="4"/>
      <c r="FA2255" s="4"/>
      <c r="FB2255" s="4"/>
      <c r="FC2255" s="4"/>
      <c r="FD2255" s="4"/>
      <c r="FE2255" s="4"/>
      <c r="FF2255" s="4"/>
      <c r="FG2255" s="4"/>
      <c r="FH2255" s="4"/>
      <c r="FI2255" s="4"/>
      <c r="FJ2255" s="4"/>
      <c r="FK2255" s="4"/>
      <c r="FL2255" s="4"/>
      <c r="FM2255" s="4"/>
      <c r="FN2255" s="4"/>
      <c r="FO2255" s="4"/>
      <c r="FP2255" s="4"/>
      <c r="FQ2255" s="4"/>
      <c r="FR2255" s="4"/>
      <c r="FS2255" s="4"/>
      <c r="FT2255" s="4"/>
      <c r="FU2255" s="4"/>
      <c r="FV2255" s="4"/>
      <c r="FW2255" s="4"/>
      <c r="FX2255" s="4"/>
      <c r="FY2255" s="4"/>
      <c r="FZ2255" s="4"/>
      <c r="GA2255" s="4"/>
      <c r="GB2255" s="4"/>
      <c r="GC2255" s="4"/>
      <c r="GD2255" s="4"/>
      <c r="GE2255" s="4"/>
      <c r="GF2255" s="4"/>
      <c r="GG2255" s="4"/>
      <c r="GH2255" s="4"/>
      <c r="GI2255" s="4"/>
      <c r="GJ2255" s="4"/>
      <c r="GK2255" s="4"/>
      <c r="GL2255" s="4"/>
      <c r="GM2255" s="4"/>
      <c r="GN2255" s="4"/>
      <c r="GO2255" s="4"/>
      <c r="GP2255" s="4"/>
      <c r="GQ2255" s="4"/>
      <c r="GR2255" s="4"/>
      <c r="GS2255" s="4"/>
      <c r="GT2255" s="4"/>
      <c r="GU2255" s="4"/>
      <c r="GV2255" s="4"/>
      <c r="GW2255" s="4"/>
      <c r="GX2255" s="4"/>
      <c r="GY2255" s="4"/>
      <c r="GZ2255" s="4"/>
      <c r="HA2255" s="4"/>
      <c r="HB2255" s="4"/>
      <c r="HC2255" s="4"/>
      <c r="HD2255" s="4"/>
      <c r="HE2255" s="4"/>
    </row>
    <row r="2256">
      <c r="A2256" s="2" t="s">
        <v>10624</v>
      </c>
      <c r="B2256" s="2" t="s">
        <v>970</v>
      </c>
      <c r="C2256" s="2" t="s">
        <v>300</v>
      </c>
      <c r="D2256" s="2" t="s">
        <v>971</v>
      </c>
      <c r="E2256" s="2" t="s">
        <v>972</v>
      </c>
      <c r="F2256" s="2" t="s">
        <v>2377</v>
      </c>
      <c r="G2256" s="2" t="s">
        <v>10625</v>
      </c>
      <c r="H2256" s="2" t="s">
        <v>10626</v>
      </c>
      <c r="I2256" s="2" t="s">
        <v>10627</v>
      </c>
      <c r="J2256" s="2" t="s">
        <v>5853</v>
      </c>
      <c r="K2256" s="2" t="s">
        <v>1357</v>
      </c>
      <c r="L2256" s="3">
        <v>12</v>
      </c>
      <c r="M2256" s="3">
        <v>12.6</v>
      </c>
      <c r="N2256" s="3">
        <v>29.99</v>
      </c>
      <c r="O2256" s="2" t="s">
        <v>240</v>
      </c>
      <c r="P2256" s="2" t="s">
        <v>233</v>
      </c>
      <c r="Q2256" s="2" t="s">
        <v>234</v>
      </c>
      <c r="R2256" s="2" t="s">
        <v>228</v>
      </c>
      <c r="S2256" s="2" t="s">
        <v>10628</v>
      </c>
      <c r="T2256" s="2" t="s">
        <v>1414</v>
      </c>
      <c r="U2256" s="2" t="s">
        <v>416</v>
      </c>
      <c r="V2256" s="2" t="s">
        <v>374</v>
      </c>
      <c r="W2256" s="2" t="s">
        <v>1578</v>
      </c>
      <c r="X2256" s="2" t="s">
        <v>1345</v>
      </c>
      <c r="Y2256" s="2" t="s">
        <v>1157</v>
      </c>
      <c r="Z2256" s="4">
        <v>151</v>
      </c>
      <c r="AA2256" s="4">
        <f>=ROUNDDOWN(10.7857142857143,0)</f>
      </c>
      <c r="AB2256" s="5">
        <v>14</v>
      </c>
      <c r="AC2256" s="2" t="s">
        <v>228</v>
      </c>
      <c r="AD2256" s="4"/>
      <c r="AE2256" s="4"/>
      <c r="AF2256" s="6">
        <v>66</v>
      </c>
      <c r="AG2256" s="6"/>
      <c r="AH2256" s="7">
        <v>1</v>
      </c>
      <c r="AI2256" s="4"/>
      <c r="AJ2256" s="4">
        <f>=ROUNDDOWN({0},0)</f>
      </c>
      <c r="AK2256" s="5"/>
      <c r="AL2256" s="2" t="s">
        <v>228</v>
      </c>
      <c r="AM2256" s="4"/>
      <c r="AN2256" s="4"/>
      <c r="AO2256" s="7"/>
      <c r="AP2256" s="4"/>
      <c r="AQ2256" s="8"/>
      <c r="AR2256" s="4"/>
      <c r="AS2256" s="8"/>
      <c r="AT2256" s="7"/>
      <c r="AU2256" s="7"/>
      <c r="AV2256" s="4"/>
      <c r="AW2256" s="8"/>
      <c r="AX2256" s="4"/>
      <c r="AY2256" s="8"/>
      <c r="AZ2256" s="7"/>
      <c r="BA2256" s="7"/>
      <c r="BB2256" s="7"/>
      <c r="BC2256" s="4" t="s">
        <v>228</v>
      </c>
      <c r="BD2256" s="8" t="s">
        <v>228</v>
      </c>
      <c r="BE2256" s="4" t="s">
        <v>228</v>
      </c>
      <c r="BF2256" s="8" t="s">
        <v>228</v>
      </c>
      <c r="BG2256" s="7" t="s">
        <v>228</v>
      </c>
      <c r="BH2256" s="7" t="s">
        <v>228</v>
      </c>
      <c r="BI2256" s="7"/>
      <c r="BJ2256" s="4">
        <v>121</v>
      </c>
      <c r="BK2256" s="8">
        <v>1771.26</v>
      </c>
      <c r="BL2256" s="2" t="s">
        <v>10629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10630</v>
      </c>
      <c r="BV2256" s="2" t="s">
        <v>228</v>
      </c>
      <c r="BW2256" s="2" t="s">
        <v>228</v>
      </c>
      <c r="BX2256" s="2" t="s">
        <v>273</v>
      </c>
      <c r="BY2256" s="2" t="s">
        <v>274</v>
      </c>
      <c r="BZ2256" s="2" t="s">
        <v>240</v>
      </c>
      <c r="CA2256" s="2" t="s">
        <v>3125</v>
      </c>
      <c r="CB2256" s="2" t="s">
        <v>228</v>
      </c>
      <c r="CC2256" s="2" t="s">
        <v>241</v>
      </c>
      <c r="CD2256" s="2" t="s">
        <v>228</v>
      </c>
      <c r="CE2256" s="4">
        <v>151</v>
      </c>
      <c r="CF2256" s="4"/>
      <c r="CG2256" s="4"/>
      <c r="CH2256" s="4"/>
      <c r="CI2256" s="4"/>
      <c r="CJ2256" s="4"/>
      <c r="CK2256" s="4"/>
      <c r="CL2256" s="4"/>
      <c r="CM2256" s="4"/>
      <c r="CN2256" s="4"/>
      <c r="CO2256" s="4"/>
      <c r="CP2256" s="4"/>
      <c r="CQ2256" s="4"/>
      <c r="CR2256" s="4"/>
      <c r="CS2256" s="4"/>
      <c r="CT2256" s="4"/>
      <c r="CU2256" s="4"/>
      <c r="CV2256" s="4"/>
      <c r="CW2256" s="4"/>
      <c r="CX2256" s="4"/>
      <c r="CY2256" s="4"/>
      <c r="CZ2256" s="4"/>
      <c r="DA2256" s="4"/>
      <c r="DB2256" s="4"/>
      <c r="DC2256" s="4"/>
      <c r="DD2256" s="4"/>
      <c r="DE2256" s="4"/>
      <c r="DF2256" s="4"/>
      <c r="DG2256" s="4"/>
      <c r="DH2256" s="4"/>
      <c r="DI2256" s="4"/>
      <c r="DJ2256" s="4"/>
      <c r="DK2256" s="4"/>
      <c r="DL2256" s="4"/>
      <c r="DM2256" s="4"/>
      <c r="DN2256" s="4"/>
      <c r="DO2256" s="4"/>
      <c r="DP2256" s="4"/>
      <c r="DQ2256" s="4"/>
      <c r="DR2256" s="4"/>
      <c r="DS2256" s="4"/>
      <c r="DT2256" s="4"/>
      <c r="DU2256" s="4"/>
      <c r="DV2256" s="4"/>
      <c r="DW2256" s="4"/>
      <c r="DX2256" s="4"/>
      <c r="DY2256" s="4"/>
      <c r="DZ2256" s="4"/>
      <c r="EA2256" s="4"/>
      <c r="EB2256" s="4"/>
      <c r="EC2256" s="4"/>
      <c r="ED2256" s="4"/>
      <c r="EE2256" s="4"/>
      <c r="EF2256" s="4"/>
      <c r="EG2256" s="4"/>
      <c r="EH2256" s="4"/>
      <c r="EI2256" s="4"/>
      <c r="EJ2256" s="4"/>
      <c r="EK2256" s="4"/>
      <c r="EL2256" s="4"/>
      <c r="EM2256" s="4"/>
      <c r="EN2256" s="4"/>
      <c r="EO2256" s="4"/>
      <c r="EP2256" s="4"/>
      <c r="EQ2256" s="4"/>
      <c r="ER2256" s="4"/>
      <c r="ES2256" s="4"/>
      <c r="ET2256" s="4"/>
      <c r="EU2256" s="4"/>
      <c r="EV2256" s="4"/>
      <c r="EW2256" s="4"/>
      <c r="EX2256" s="4"/>
      <c r="EY2256" s="4"/>
      <c r="EZ2256" s="4"/>
      <c r="FA2256" s="4"/>
      <c r="FB2256" s="4"/>
      <c r="FC2256" s="4"/>
      <c r="FD2256" s="4"/>
      <c r="FE2256" s="4"/>
      <c r="FF2256" s="4"/>
      <c r="FG2256" s="4"/>
      <c r="FH2256" s="4"/>
      <c r="FI2256" s="4"/>
      <c r="FJ2256" s="4"/>
      <c r="FK2256" s="4"/>
      <c r="FL2256" s="4"/>
      <c r="FM2256" s="4"/>
      <c r="FN2256" s="4"/>
      <c r="FO2256" s="4"/>
      <c r="FP2256" s="4"/>
      <c r="FQ2256" s="4"/>
      <c r="FR2256" s="4"/>
      <c r="FS2256" s="4"/>
      <c r="FT2256" s="4"/>
      <c r="FU2256" s="4"/>
      <c r="FV2256" s="4"/>
      <c r="FW2256" s="4"/>
      <c r="FX2256" s="4"/>
      <c r="FY2256" s="4"/>
      <c r="FZ2256" s="4"/>
      <c r="GA2256" s="4"/>
      <c r="GB2256" s="4"/>
      <c r="GC2256" s="4"/>
      <c r="GD2256" s="4"/>
      <c r="GE2256" s="4"/>
      <c r="GF2256" s="4"/>
      <c r="GG2256" s="4"/>
      <c r="GH2256" s="4"/>
      <c r="GI2256" s="4"/>
      <c r="GJ2256" s="4"/>
      <c r="GK2256" s="4"/>
      <c r="GL2256" s="4"/>
      <c r="GM2256" s="4"/>
      <c r="GN2256" s="4"/>
      <c r="GO2256" s="4"/>
      <c r="GP2256" s="4"/>
      <c r="GQ2256" s="4"/>
      <c r="GR2256" s="4"/>
      <c r="GS2256" s="4"/>
      <c r="GT2256" s="4"/>
      <c r="GU2256" s="4"/>
      <c r="GV2256" s="4"/>
      <c r="GW2256" s="4"/>
      <c r="GX2256" s="4"/>
      <c r="GY2256" s="4"/>
      <c r="GZ2256" s="4"/>
      <c r="HA2256" s="4"/>
      <c r="HB2256" s="4"/>
      <c r="HC2256" s="4"/>
      <c r="HD2256" s="4"/>
      <c r="HE2256" s="4"/>
    </row>
    <row r="2257">
      <c r="A2257" s="2" t="s">
        <v>10631</v>
      </c>
      <c r="B2257" s="2" t="s">
        <v>299</v>
      </c>
      <c r="C2257" s="2" t="s">
        <v>731</v>
      </c>
      <c r="D2257" s="2" t="s">
        <v>301</v>
      </c>
      <c r="E2257" s="2" t="s">
        <v>302</v>
      </c>
      <c r="F2257" s="2" t="s">
        <v>10632</v>
      </c>
      <c r="G2257" s="2" t="s">
        <v>10632</v>
      </c>
      <c r="H2257" s="2" t="s">
        <v>10632</v>
      </c>
      <c r="I2257" s="2" t="s">
        <v>347</v>
      </c>
      <c r="J2257" s="2" t="s">
        <v>264</v>
      </c>
      <c r="K2257" s="2" t="s">
        <v>265</v>
      </c>
      <c r="L2257" s="3">
        <v>22.15</v>
      </c>
      <c r="M2257" s="3">
        <v>23.26</v>
      </c>
      <c r="N2257" s="3">
        <v>49.99</v>
      </c>
      <c r="O2257" s="2" t="s">
        <v>461</v>
      </c>
      <c r="P2257" s="2" t="s">
        <v>333</v>
      </c>
      <c r="Q2257" s="2" t="s">
        <v>234</v>
      </c>
      <c r="R2257" s="2" t="s">
        <v>228</v>
      </c>
      <c r="S2257" s="2" t="s">
        <v>10633</v>
      </c>
      <c r="T2257" s="2" t="s">
        <v>10634</v>
      </c>
      <c r="U2257" s="2" t="s">
        <v>500</v>
      </c>
      <c r="V2257" s="2" t="s">
        <v>236</v>
      </c>
      <c r="W2257" s="2" t="s">
        <v>269</v>
      </c>
      <c r="X2257" s="2" t="s">
        <v>228</v>
      </c>
      <c r="Y2257" s="2" t="s">
        <v>7020</v>
      </c>
      <c r="Z2257" s="4">
        <v>31</v>
      </c>
      <c r="AA2257" s="4">
        <f>=ROUNDDOWN(31,0)</f>
      </c>
      <c r="AB2257" s="5">
        <v>1</v>
      </c>
      <c r="AC2257" s="2" t="s">
        <v>228</v>
      </c>
      <c r="AD2257" s="4"/>
      <c r="AE2257" s="4"/>
      <c r="AF2257" s="6">
        <v>67</v>
      </c>
      <c r="AG2257" s="6"/>
      <c r="AH2257" s="7">
        <v>1</v>
      </c>
      <c r="AI2257" s="4"/>
      <c r="AJ2257" s="4">
        <f>=ROUNDDOWN({0},0)</f>
      </c>
      <c r="AK2257" s="5"/>
      <c r="AL2257" s="2" t="s">
        <v>228</v>
      </c>
      <c r="AM2257" s="4"/>
      <c r="AN2257" s="4"/>
      <c r="AO2257" s="7"/>
      <c r="AP2257" s="4"/>
      <c r="AQ2257" s="8"/>
      <c r="AR2257" s="4"/>
      <c r="AS2257" s="8"/>
      <c r="AT2257" s="7"/>
      <c r="AU2257" s="7"/>
      <c r="AV2257" s="4" t="s">
        <v>228</v>
      </c>
      <c r="AW2257" s="8" t="s">
        <v>228</v>
      </c>
      <c r="AX2257" s="4" t="s">
        <v>228</v>
      </c>
      <c r="AY2257" s="8" t="s">
        <v>228</v>
      </c>
      <c r="AZ2257" s="7" t="s">
        <v>228</v>
      </c>
      <c r="BA2257" s="7" t="s">
        <v>228</v>
      </c>
      <c r="BB2257" s="7"/>
      <c r="BC2257" s="4" t="s">
        <v>228</v>
      </c>
      <c r="BD2257" s="8" t="s">
        <v>228</v>
      </c>
      <c r="BE2257" s="4" t="s">
        <v>228</v>
      </c>
      <c r="BF2257" s="8" t="s">
        <v>228</v>
      </c>
      <c r="BG2257" s="7" t="s">
        <v>228</v>
      </c>
      <c r="BH2257" s="7" t="s">
        <v>228</v>
      </c>
      <c r="BI2257" s="7"/>
      <c r="BJ2257" s="4">
        <v>4</v>
      </c>
      <c r="BK2257" s="8">
        <v>124.04</v>
      </c>
      <c r="BL2257" s="2" t="s">
        <v>2493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10635</v>
      </c>
      <c r="BV2257" s="2" t="s">
        <v>228</v>
      </c>
      <c r="BW2257" s="2" t="s">
        <v>228</v>
      </c>
      <c r="BX2257" s="2" t="s">
        <v>337</v>
      </c>
      <c r="BY2257" s="2" t="s">
        <v>274</v>
      </c>
      <c r="BZ2257" s="2" t="s">
        <v>240</v>
      </c>
      <c r="CA2257" s="2" t="s">
        <v>10636</v>
      </c>
      <c r="CB2257" s="2" t="s">
        <v>1095</v>
      </c>
      <c r="CC2257" s="2" t="s">
        <v>241</v>
      </c>
      <c r="CD2257" s="2" t="s">
        <v>228</v>
      </c>
      <c r="CE2257" s="4">
        <v>31</v>
      </c>
      <c r="CF2257" s="4"/>
      <c r="CG2257" s="4"/>
      <c r="CH2257" s="4"/>
      <c r="CI2257" s="4"/>
      <c r="CJ2257" s="4"/>
      <c r="CK2257" s="4"/>
      <c r="CL2257" s="4"/>
      <c r="CM2257" s="4"/>
      <c r="CN2257" s="4"/>
      <c r="CO2257" s="4"/>
      <c r="CP2257" s="4"/>
      <c r="CQ2257" s="4"/>
      <c r="CR2257" s="4"/>
      <c r="CS2257" s="4"/>
      <c r="CT2257" s="4"/>
      <c r="CU2257" s="4"/>
      <c r="CV2257" s="4"/>
      <c r="CW2257" s="4"/>
      <c r="CX2257" s="4"/>
      <c r="CY2257" s="4"/>
      <c r="CZ2257" s="4"/>
      <c r="DA2257" s="4"/>
      <c r="DB2257" s="4"/>
      <c r="DC2257" s="4"/>
      <c r="DD2257" s="4"/>
      <c r="DE2257" s="4"/>
      <c r="DF2257" s="4"/>
      <c r="DG2257" s="4"/>
      <c r="DH2257" s="4"/>
      <c r="DI2257" s="4"/>
      <c r="DJ2257" s="4"/>
      <c r="DK2257" s="4"/>
      <c r="DL2257" s="4"/>
      <c r="DM2257" s="4"/>
      <c r="DN2257" s="4"/>
      <c r="DO2257" s="4"/>
      <c r="DP2257" s="4"/>
      <c r="DQ2257" s="4"/>
      <c r="DR2257" s="4"/>
      <c r="DS2257" s="4"/>
      <c r="DT2257" s="4"/>
      <c r="DU2257" s="4"/>
      <c r="DV2257" s="4"/>
      <c r="DW2257" s="4"/>
      <c r="DX2257" s="4"/>
      <c r="DY2257" s="4"/>
      <c r="DZ2257" s="4"/>
      <c r="EA2257" s="4"/>
      <c r="EB2257" s="4"/>
      <c r="EC2257" s="4"/>
      <c r="ED2257" s="4"/>
      <c r="EE2257" s="4"/>
      <c r="EF2257" s="4"/>
      <c r="EG2257" s="4"/>
      <c r="EH2257" s="4"/>
      <c r="EI2257" s="4"/>
      <c r="EJ2257" s="4"/>
      <c r="EK2257" s="4"/>
      <c r="EL2257" s="4"/>
      <c r="EM2257" s="4"/>
      <c r="EN2257" s="4"/>
      <c r="EO2257" s="4"/>
      <c r="EP2257" s="4"/>
      <c r="EQ2257" s="4"/>
      <c r="ER2257" s="4"/>
      <c r="ES2257" s="4"/>
      <c r="ET2257" s="4"/>
      <c r="EU2257" s="4"/>
      <c r="EV2257" s="4"/>
      <c r="EW2257" s="4"/>
      <c r="EX2257" s="4"/>
      <c r="EY2257" s="4"/>
      <c r="EZ2257" s="4"/>
      <c r="FA2257" s="4"/>
      <c r="FB2257" s="4"/>
      <c r="FC2257" s="4"/>
      <c r="FD2257" s="4"/>
      <c r="FE2257" s="4"/>
      <c r="FF2257" s="4"/>
      <c r="FG2257" s="4"/>
      <c r="FH2257" s="4"/>
      <c r="FI2257" s="4"/>
      <c r="FJ2257" s="4"/>
      <c r="FK2257" s="4"/>
      <c r="FL2257" s="4"/>
      <c r="FM2257" s="4"/>
      <c r="FN2257" s="4"/>
      <c r="FO2257" s="4"/>
      <c r="FP2257" s="4"/>
      <c r="FQ2257" s="4"/>
      <c r="FR2257" s="4"/>
      <c r="FS2257" s="4"/>
      <c r="FT2257" s="4"/>
      <c r="FU2257" s="4"/>
      <c r="FV2257" s="4"/>
      <c r="FW2257" s="4"/>
      <c r="FX2257" s="4"/>
      <c r="FY2257" s="4"/>
      <c r="FZ2257" s="4"/>
      <c r="GA2257" s="4"/>
      <c r="GB2257" s="4"/>
      <c r="GC2257" s="4"/>
      <c r="GD2257" s="4"/>
      <c r="GE2257" s="4"/>
      <c r="GF2257" s="4"/>
      <c r="GG2257" s="4"/>
      <c r="GH2257" s="4"/>
      <c r="GI2257" s="4"/>
      <c r="GJ2257" s="4"/>
      <c r="GK2257" s="4"/>
      <c r="GL2257" s="4"/>
      <c r="GM2257" s="4"/>
      <c r="GN2257" s="4"/>
      <c r="GO2257" s="4"/>
      <c r="GP2257" s="4"/>
      <c r="GQ2257" s="4"/>
      <c r="GR2257" s="4"/>
      <c r="GS2257" s="4"/>
      <c r="GT2257" s="4"/>
      <c r="GU2257" s="4"/>
      <c r="GV2257" s="4"/>
      <c r="GW2257" s="4"/>
      <c r="GX2257" s="4"/>
      <c r="GY2257" s="4"/>
      <c r="GZ2257" s="4"/>
      <c r="HA2257" s="4"/>
      <c r="HB2257" s="4"/>
      <c r="HC2257" s="4"/>
      <c r="HD2257" s="4"/>
      <c r="HE2257" s="4"/>
    </row>
    <row r="2258">
      <c r="A2258" s="2" t="s">
        <v>10637</v>
      </c>
      <c r="B2258" s="2" t="s">
        <v>299</v>
      </c>
      <c r="C2258" s="2" t="s">
        <v>731</v>
      </c>
      <c r="D2258" s="2" t="s">
        <v>301</v>
      </c>
      <c r="E2258" s="2" t="s">
        <v>302</v>
      </c>
      <c r="F2258" s="2" t="s">
        <v>10632</v>
      </c>
      <c r="G2258" s="2" t="s">
        <v>10632</v>
      </c>
      <c r="H2258" s="2" t="s">
        <v>10632</v>
      </c>
      <c r="I2258" s="2" t="s">
        <v>347</v>
      </c>
      <c r="J2258" s="2" t="s">
        <v>284</v>
      </c>
      <c r="K2258" s="2" t="s">
        <v>265</v>
      </c>
      <c r="L2258" s="3">
        <v>26.78</v>
      </c>
      <c r="M2258" s="3">
        <v>28.12</v>
      </c>
      <c r="N2258" s="3">
        <v>59.99</v>
      </c>
      <c r="O2258" s="2" t="s">
        <v>461</v>
      </c>
      <c r="P2258" s="2" t="s">
        <v>333</v>
      </c>
      <c r="Q2258" s="2" t="s">
        <v>234</v>
      </c>
      <c r="R2258" s="2" t="s">
        <v>228</v>
      </c>
      <c r="S2258" s="2" t="s">
        <v>10633</v>
      </c>
      <c r="T2258" s="2" t="s">
        <v>10634</v>
      </c>
      <c r="U2258" s="2" t="s">
        <v>308</v>
      </c>
      <c r="V2258" s="2" t="s">
        <v>236</v>
      </c>
      <c r="W2258" s="2" t="s">
        <v>269</v>
      </c>
      <c r="X2258" s="2" t="s">
        <v>228</v>
      </c>
      <c r="Y2258" s="2" t="s">
        <v>7020</v>
      </c>
      <c r="Z2258" s="4">
        <v>50</v>
      </c>
      <c r="AA2258" s="4">
        <f>=ROUNDDOWN(25,0)</f>
      </c>
      <c r="AB2258" s="5">
        <v>2</v>
      </c>
      <c r="AC2258" s="2" t="s">
        <v>228</v>
      </c>
      <c r="AD2258" s="4"/>
      <c r="AE2258" s="4"/>
      <c r="AF2258" s="6">
        <v>67</v>
      </c>
      <c r="AG2258" s="6"/>
      <c r="AH2258" s="7">
        <v>1</v>
      </c>
      <c r="AI2258" s="4"/>
      <c r="AJ2258" s="4">
        <f>=ROUNDDOWN({0},0)</f>
      </c>
      <c r="AK2258" s="5"/>
      <c r="AL2258" s="2" t="s">
        <v>228</v>
      </c>
      <c r="AM2258" s="4"/>
      <c r="AN2258" s="4"/>
      <c r="AO2258" s="7"/>
      <c r="AP2258" s="4"/>
      <c r="AQ2258" s="8"/>
      <c r="AR2258" s="4"/>
      <c r="AS2258" s="8"/>
      <c r="AT2258" s="7"/>
      <c r="AU2258" s="7"/>
      <c r="AV2258" s="4" t="s">
        <v>228</v>
      </c>
      <c r="AW2258" s="8" t="s">
        <v>228</v>
      </c>
      <c r="AX2258" s="4" t="s">
        <v>228</v>
      </c>
      <c r="AY2258" s="8" t="s">
        <v>228</v>
      </c>
      <c r="AZ2258" s="7" t="s">
        <v>228</v>
      </c>
      <c r="BA2258" s="7" t="s">
        <v>228</v>
      </c>
      <c r="BB2258" s="7"/>
      <c r="BC2258" s="4" t="s">
        <v>228</v>
      </c>
      <c r="BD2258" s="8" t="s">
        <v>228</v>
      </c>
      <c r="BE2258" s="4" t="s">
        <v>228</v>
      </c>
      <c r="BF2258" s="8" t="s">
        <v>228</v>
      </c>
      <c r="BG2258" s="7" t="s">
        <v>228</v>
      </c>
      <c r="BH2258" s="7" t="s">
        <v>228</v>
      </c>
      <c r="BI2258" s="7"/>
      <c r="BJ2258" s="4">
        <v>3</v>
      </c>
      <c r="BK2258" s="8">
        <v>71.69</v>
      </c>
      <c r="BL2258" s="2" t="s">
        <v>4746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10638</v>
      </c>
      <c r="BV2258" s="2" t="s">
        <v>228</v>
      </c>
      <c r="BW2258" s="2" t="s">
        <v>228</v>
      </c>
      <c r="BX2258" s="2" t="s">
        <v>337</v>
      </c>
      <c r="BY2258" s="2" t="s">
        <v>274</v>
      </c>
      <c r="BZ2258" s="2" t="s">
        <v>240</v>
      </c>
      <c r="CA2258" s="2" t="s">
        <v>10636</v>
      </c>
      <c r="CB2258" s="2" t="s">
        <v>10639</v>
      </c>
      <c r="CC2258" s="2" t="s">
        <v>241</v>
      </c>
      <c r="CD2258" s="2" t="s">
        <v>228</v>
      </c>
      <c r="CE2258" s="4">
        <v>50</v>
      </c>
      <c r="CF2258" s="4"/>
      <c r="CG2258" s="4"/>
      <c r="CH2258" s="4"/>
      <c r="CI2258" s="4"/>
      <c r="CJ2258" s="4"/>
      <c r="CK2258" s="4"/>
      <c r="CL2258" s="4"/>
      <c r="CM2258" s="4"/>
      <c r="CN2258" s="4"/>
      <c r="CO2258" s="4"/>
      <c r="CP2258" s="4"/>
      <c r="CQ2258" s="4"/>
      <c r="CR2258" s="4"/>
      <c r="CS2258" s="4"/>
      <c r="CT2258" s="4"/>
      <c r="CU2258" s="4"/>
      <c r="CV2258" s="4"/>
      <c r="CW2258" s="4"/>
      <c r="CX2258" s="4"/>
      <c r="CY2258" s="4"/>
      <c r="CZ2258" s="4"/>
      <c r="DA2258" s="4"/>
      <c r="DB2258" s="4"/>
      <c r="DC2258" s="4"/>
      <c r="DD2258" s="4"/>
      <c r="DE2258" s="4"/>
      <c r="DF2258" s="4"/>
      <c r="DG2258" s="4"/>
      <c r="DH2258" s="4"/>
      <c r="DI2258" s="4"/>
      <c r="DJ2258" s="4"/>
      <c r="DK2258" s="4"/>
      <c r="DL2258" s="4"/>
      <c r="DM2258" s="4"/>
      <c r="DN2258" s="4"/>
      <c r="DO2258" s="4"/>
      <c r="DP2258" s="4"/>
      <c r="DQ2258" s="4"/>
      <c r="DR2258" s="4"/>
      <c r="DS2258" s="4"/>
      <c r="DT2258" s="4"/>
      <c r="DU2258" s="4"/>
      <c r="DV2258" s="4"/>
      <c r="DW2258" s="4"/>
      <c r="DX2258" s="4"/>
      <c r="DY2258" s="4"/>
      <c r="DZ2258" s="4"/>
      <c r="EA2258" s="4"/>
      <c r="EB2258" s="4"/>
      <c r="EC2258" s="4"/>
      <c r="ED2258" s="4"/>
      <c r="EE2258" s="4"/>
      <c r="EF2258" s="4"/>
      <c r="EG2258" s="4"/>
      <c r="EH2258" s="4"/>
      <c r="EI2258" s="4"/>
      <c r="EJ2258" s="4"/>
      <c r="EK2258" s="4"/>
      <c r="EL2258" s="4"/>
      <c r="EM2258" s="4"/>
      <c r="EN2258" s="4"/>
      <c r="EO2258" s="4"/>
      <c r="EP2258" s="4"/>
      <c r="EQ2258" s="4"/>
      <c r="ER2258" s="4"/>
      <c r="ES2258" s="4"/>
      <c r="ET2258" s="4"/>
      <c r="EU2258" s="4"/>
      <c r="EV2258" s="4"/>
      <c r="EW2258" s="4"/>
      <c r="EX2258" s="4"/>
      <c r="EY2258" s="4"/>
      <c r="EZ2258" s="4"/>
      <c r="FA2258" s="4"/>
      <c r="FB2258" s="4"/>
      <c r="FC2258" s="4"/>
      <c r="FD2258" s="4"/>
      <c r="FE2258" s="4"/>
      <c r="FF2258" s="4"/>
      <c r="FG2258" s="4"/>
      <c r="FH2258" s="4"/>
      <c r="FI2258" s="4"/>
      <c r="FJ2258" s="4"/>
      <c r="FK2258" s="4"/>
      <c r="FL2258" s="4"/>
      <c r="FM2258" s="4"/>
      <c r="FN2258" s="4"/>
      <c r="FO2258" s="4"/>
      <c r="FP2258" s="4"/>
      <c r="FQ2258" s="4"/>
      <c r="FR2258" s="4"/>
      <c r="FS2258" s="4"/>
      <c r="FT2258" s="4"/>
      <c r="FU2258" s="4"/>
      <c r="FV2258" s="4"/>
      <c r="FW2258" s="4"/>
      <c r="FX2258" s="4"/>
      <c r="FY2258" s="4"/>
      <c r="FZ2258" s="4"/>
      <c r="GA2258" s="4"/>
      <c r="GB2258" s="4"/>
      <c r="GC2258" s="4"/>
      <c r="GD2258" s="4"/>
      <c r="GE2258" s="4"/>
      <c r="GF2258" s="4"/>
      <c r="GG2258" s="4"/>
      <c r="GH2258" s="4"/>
      <c r="GI2258" s="4"/>
      <c r="GJ2258" s="4"/>
      <c r="GK2258" s="4"/>
      <c r="GL2258" s="4"/>
      <c r="GM2258" s="4"/>
      <c r="GN2258" s="4"/>
      <c r="GO2258" s="4"/>
      <c r="GP2258" s="4"/>
      <c r="GQ2258" s="4"/>
      <c r="GR2258" s="4"/>
      <c r="GS2258" s="4"/>
      <c r="GT2258" s="4"/>
      <c r="GU2258" s="4"/>
      <c r="GV2258" s="4"/>
      <c r="GW2258" s="4"/>
      <c r="GX2258" s="4"/>
      <c r="GY2258" s="4"/>
      <c r="GZ2258" s="4"/>
      <c r="HA2258" s="4"/>
      <c r="HB2258" s="4"/>
      <c r="HC2258" s="4"/>
      <c r="HD2258" s="4"/>
      <c r="HE2258" s="4"/>
    </row>
    <row r="2259">
      <c r="A2259" s="2" t="s">
        <v>10640</v>
      </c>
      <c r="B2259" s="2" t="s">
        <v>299</v>
      </c>
      <c r="C2259" s="2" t="s">
        <v>731</v>
      </c>
      <c r="D2259" s="2" t="s">
        <v>301</v>
      </c>
      <c r="E2259" s="2" t="s">
        <v>302</v>
      </c>
      <c r="F2259" s="2" t="s">
        <v>10632</v>
      </c>
      <c r="G2259" s="2" t="s">
        <v>10632</v>
      </c>
      <c r="H2259" s="2" t="s">
        <v>10632</v>
      </c>
      <c r="I2259" s="2" t="s">
        <v>347</v>
      </c>
      <c r="J2259" s="2" t="s">
        <v>294</v>
      </c>
      <c r="K2259" s="2" t="s">
        <v>265</v>
      </c>
      <c r="L2259" s="3">
        <v>33.22</v>
      </c>
      <c r="M2259" s="3">
        <v>34.88</v>
      </c>
      <c r="N2259" s="3">
        <v>74.99</v>
      </c>
      <c r="O2259" s="2" t="s">
        <v>461</v>
      </c>
      <c r="P2259" s="2" t="s">
        <v>333</v>
      </c>
      <c r="Q2259" s="2" t="s">
        <v>234</v>
      </c>
      <c r="R2259" s="2" t="s">
        <v>228</v>
      </c>
      <c r="S2259" s="2" t="s">
        <v>10633</v>
      </c>
      <c r="T2259" s="2" t="s">
        <v>10634</v>
      </c>
      <c r="U2259" s="2" t="s">
        <v>308</v>
      </c>
      <c r="V2259" s="2" t="s">
        <v>236</v>
      </c>
      <c r="W2259" s="2" t="s">
        <v>269</v>
      </c>
      <c r="X2259" s="2" t="s">
        <v>228</v>
      </c>
      <c r="Y2259" s="2" t="s">
        <v>7020</v>
      </c>
      <c r="Z2259" s="4">
        <v>50</v>
      </c>
      <c r="AA2259" s="4">
        <f>=ROUNDDOWN(16.6666666666667,0)</f>
      </c>
      <c r="AB2259" s="5">
        <v>3</v>
      </c>
      <c r="AC2259" s="2" t="s">
        <v>228</v>
      </c>
      <c r="AD2259" s="4"/>
      <c r="AE2259" s="4"/>
      <c r="AF2259" s="6">
        <v>67</v>
      </c>
      <c r="AG2259" s="6"/>
      <c r="AH2259" s="7">
        <v>1</v>
      </c>
      <c r="AI2259" s="4"/>
      <c r="AJ2259" s="4">
        <f>=ROUNDDOWN({0},0)</f>
      </c>
      <c r="AK2259" s="5"/>
      <c r="AL2259" s="2" t="s">
        <v>228</v>
      </c>
      <c r="AM2259" s="4"/>
      <c r="AN2259" s="4"/>
      <c r="AO2259" s="7"/>
      <c r="AP2259" s="4"/>
      <c r="AQ2259" s="8"/>
      <c r="AR2259" s="4"/>
      <c r="AS2259" s="8"/>
      <c r="AT2259" s="7"/>
      <c r="AU2259" s="7"/>
      <c r="AV2259" s="4" t="s">
        <v>228</v>
      </c>
      <c r="AW2259" s="8" t="s">
        <v>228</v>
      </c>
      <c r="AX2259" s="4" t="s">
        <v>228</v>
      </c>
      <c r="AY2259" s="8" t="s">
        <v>228</v>
      </c>
      <c r="AZ2259" s="7" t="s">
        <v>228</v>
      </c>
      <c r="BA2259" s="7" t="s">
        <v>228</v>
      </c>
      <c r="BB2259" s="7"/>
      <c r="BC2259" s="4" t="s">
        <v>228</v>
      </c>
      <c r="BD2259" s="8" t="s">
        <v>228</v>
      </c>
      <c r="BE2259" s="4" t="s">
        <v>228</v>
      </c>
      <c r="BF2259" s="8" t="s">
        <v>228</v>
      </c>
      <c r="BG2259" s="7" t="s">
        <v>228</v>
      </c>
      <c r="BH2259" s="7" t="s">
        <v>228</v>
      </c>
      <c r="BI2259" s="7"/>
      <c r="BJ2259" s="4">
        <v>2</v>
      </c>
      <c r="BK2259" s="8">
        <v>64.41</v>
      </c>
      <c r="BL2259" s="2" t="s">
        <v>10641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10642</v>
      </c>
      <c r="BV2259" s="2" t="s">
        <v>228</v>
      </c>
      <c r="BW2259" s="2" t="s">
        <v>228</v>
      </c>
      <c r="BX2259" s="2" t="s">
        <v>337</v>
      </c>
      <c r="BY2259" s="2" t="s">
        <v>274</v>
      </c>
      <c r="BZ2259" s="2" t="s">
        <v>240</v>
      </c>
      <c r="CA2259" s="2" t="s">
        <v>10636</v>
      </c>
      <c r="CB2259" s="2" t="s">
        <v>7007</v>
      </c>
      <c r="CC2259" s="2" t="s">
        <v>241</v>
      </c>
      <c r="CD2259" s="2" t="s">
        <v>228</v>
      </c>
      <c r="CE2259" s="4">
        <v>50</v>
      </c>
      <c r="CF2259" s="4"/>
      <c r="CG2259" s="4"/>
      <c r="CH2259" s="4"/>
      <c r="CI2259" s="4"/>
      <c r="CJ2259" s="4"/>
      <c r="CK2259" s="4"/>
      <c r="CL2259" s="4"/>
      <c r="CM2259" s="4"/>
      <c r="CN2259" s="4"/>
      <c r="CO2259" s="4"/>
      <c r="CP2259" s="4"/>
      <c r="CQ2259" s="4"/>
      <c r="CR2259" s="4"/>
      <c r="CS2259" s="4"/>
      <c r="CT2259" s="4"/>
      <c r="CU2259" s="4"/>
      <c r="CV2259" s="4"/>
      <c r="CW2259" s="4"/>
      <c r="CX2259" s="4"/>
      <c r="CY2259" s="4"/>
      <c r="CZ2259" s="4"/>
      <c r="DA2259" s="4"/>
      <c r="DB2259" s="4"/>
      <c r="DC2259" s="4"/>
      <c r="DD2259" s="4"/>
      <c r="DE2259" s="4"/>
      <c r="DF2259" s="4"/>
      <c r="DG2259" s="4"/>
      <c r="DH2259" s="4"/>
      <c r="DI2259" s="4"/>
      <c r="DJ2259" s="4"/>
      <c r="DK2259" s="4"/>
      <c r="DL2259" s="4"/>
      <c r="DM2259" s="4"/>
      <c r="DN2259" s="4"/>
      <c r="DO2259" s="4"/>
      <c r="DP2259" s="4"/>
      <c r="DQ2259" s="4"/>
      <c r="DR2259" s="4"/>
      <c r="DS2259" s="4"/>
      <c r="DT2259" s="4"/>
      <c r="DU2259" s="4"/>
      <c r="DV2259" s="4"/>
      <c r="DW2259" s="4"/>
      <c r="DX2259" s="4"/>
      <c r="DY2259" s="4"/>
      <c r="DZ2259" s="4"/>
      <c r="EA2259" s="4"/>
      <c r="EB2259" s="4"/>
      <c r="EC2259" s="4"/>
      <c r="ED2259" s="4"/>
      <c r="EE2259" s="4"/>
      <c r="EF2259" s="4"/>
      <c r="EG2259" s="4"/>
      <c r="EH2259" s="4"/>
      <c r="EI2259" s="4"/>
      <c r="EJ2259" s="4"/>
      <c r="EK2259" s="4"/>
      <c r="EL2259" s="4"/>
      <c r="EM2259" s="4"/>
      <c r="EN2259" s="4"/>
      <c r="EO2259" s="4"/>
      <c r="EP2259" s="4"/>
      <c r="EQ2259" s="4"/>
      <c r="ER2259" s="4"/>
      <c r="ES2259" s="4"/>
      <c r="ET2259" s="4"/>
      <c r="EU2259" s="4"/>
      <c r="EV2259" s="4"/>
      <c r="EW2259" s="4"/>
      <c r="EX2259" s="4"/>
      <c r="EY2259" s="4"/>
      <c r="EZ2259" s="4"/>
      <c r="FA2259" s="4"/>
      <c r="FB2259" s="4"/>
      <c r="FC2259" s="4"/>
      <c r="FD2259" s="4"/>
      <c r="FE2259" s="4"/>
      <c r="FF2259" s="4"/>
      <c r="FG2259" s="4"/>
      <c r="FH2259" s="4"/>
      <c r="FI2259" s="4"/>
      <c r="FJ2259" s="4"/>
      <c r="FK2259" s="4"/>
      <c r="FL2259" s="4"/>
      <c r="FM2259" s="4"/>
      <c r="FN2259" s="4"/>
      <c r="FO2259" s="4"/>
      <c r="FP2259" s="4"/>
      <c r="FQ2259" s="4"/>
      <c r="FR2259" s="4"/>
      <c r="FS2259" s="4"/>
      <c r="FT2259" s="4"/>
      <c r="FU2259" s="4"/>
      <c r="FV2259" s="4"/>
      <c r="FW2259" s="4"/>
      <c r="FX2259" s="4"/>
      <c r="FY2259" s="4"/>
      <c r="FZ2259" s="4"/>
      <c r="GA2259" s="4"/>
      <c r="GB2259" s="4"/>
      <c r="GC2259" s="4"/>
      <c r="GD2259" s="4"/>
      <c r="GE2259" s="4"/>
      <c r="GF2259" s="4"/>
      <c r="GG2259" s="4"/>
      <c r="GH2259" s="4"/>
      <c r="GI2259" s="4"/>
      <c r="GJ2259" s="4"/>
      <c r="GK2259" s="4"/>
      <c r="GL2259" s="4"/>
      <c r="GM2259" s="4"/>
      <c r="GN2259" s="4"/>
      <c r="GO2259" s="4"/>
      <c r="GP2259" s="4"/>
      <c r="GQ2259" s="4"/>
      <c r="GR2259" s="4"/>
      <c r="GS2259" s="4"/>
      <c r="GT2259" s="4"/>
      <c r="GU2259" s="4"/>
      <c r="GV2259" s="4"/>
      <c r="GW2259" s="4"/>
      <c r="GX2259" s="4"/>
      <c r="GY2259" s="4"/>
      <c r="GZ2259" s="4"/>
      <c r="HA2259" s="4"/>
      <c r="HB2259" s="4"/>
      <c r="HC2259" s="4"/>
      <c r="HD2259" s="4"/>
      <c r="HE2259" s="4"/>
    </row>
    <row r="2260">
      <c r="A2260" s="2" t="s">
        <v>10643</v>
      </c>
      <c r="B2260" s="2" t="s">
        <v>299</v>
      </c>
      <c r="C2260" s="2" t="s">
        <v>731</v>
      </c>
      <c r="D2260" s="2" t="s">
        <v>301</v>
      </c>
      <c r="E2260" s="2" t="s">
        <v>302</v>
      </c>
      <c r="F2260" s="2" t="s">
        <v>10632</v>
      </c>
      <c r="G2260" s="2" t="s">
        <v>10632</v>
      </c>
      <c r="H2260" s="2" t="s">
        <v>10632</v>
      </c>
      <c r="I2260" s="2" t="s">
        <v>347</v>
      </c>
      <c r="J2260" s="2" t="s">
        <v>264</v>
      </c>
      <c r="K2260" s="2" t="s">
        <v>249</v>
      </c>
      <c r="L2260" s="3">
        <v>22.15</v>
      </c>
      <c r="M2260" s="3">
        <v>23.26</v>
      </c>
      <c r="N2260" s="3">
        <v>49.99</v>
      </c>
      <c r="O2260" s="2" t="s">
        <v>461</v>
      </c>
      <c r="P2260" s="2" t="s">
        <v>333</v>
      </c>
      <c r="Q2260" s="2" t="s">
        <v>234</v>
      </c>
      <c r="R2260" s="2" t="s">
        <v>228</v>
      </c>
      <c r="S2260" s="2" t="s">
        <v>10644</v>
      </c>
      <c r="T2260" s="2" t="s">
        <v>10634</v>
      </c>
      <c r="U2260" s="2" t="s">
        <v>500</v>
      </c>
      <c r="V2260" s="2" t="s">
        <v>236</v>
      </c>
      <c r="W2260" s="2" t="s">
        <v>269</v>
      </c>
      <c r="X2260" s="2" t="s">
        <v>228</v>
      </c>
      <c r="Y2260" s="2" t="s">
        <v>7020</v>
      </c>
      <c r="Z2260" s="4">
        <v>31</v>
      </c>
      <c r="AA2260" s="4">
        <f>=ROUNDDOWN(31,0)</f>
      </c>
      <c r="AB2260" s="5">
        <v>1</v>
      </c>
      <c r="AC2260" s="2" t="s">
        <v>228</v>
      </c>
      <c r="AD2260" s="4"/>
      <c r="AE2260" s="4"/>
      <c r="AF2260" s="6">
        <v>67</v>
      </c>
      <c r="AG2260" s="6"/>
      <c r="AH2260" s="7">
        <v>1</v>
      </c>
      <c r="AI2260" s="4"/>
      <c r="AJ2260" s="4">
        <f>=ROUNDDOWN({0},0)</f>
      </c>
      <c r="AK2260" s="5"/>
      <c r="AL2260" s="2" t="s">
        <v>228</v>
      </c>
      <c r="AM2260" s="4"/>
      <c r="AN2260" s="4"/>
      <c r="AO2260" s="7"/>
      <c r="AP2260" s="4"/>
      <c r="AQ2260" s="8"/>
      <c r="AR2260" s="4"/>
      <c r="AS2260" s="8"/>
      <c r="AT2260" s="7"/>
      <c r="AU2260" s="7"/>
      <c r="AV2260" s="4" t="s">
        <v>228</v>
      </c>
      <c r="AW2260" s="8" t="s">
        <v>228</v>
      </c>
      <c r="AX2260" s="4" t="s">
        <v>228</v>
      </c>
      <c r="AY2260" s="8" t="s">
        <v>228</v>
      </c>
      <c r="AZ2260" s="7" t="s">
        <v>228</v>
      </c>
      <c r="BA2260" s="7" t="s">
        <v>228</v>
      </c>
      <c r="BB2260" s="7"/>
      <c r="BC2260" s="4" t="s">
        <v>228</v>
      </c>
      <c r="BD2260" s="8" t="s">
        <v>228</v>
      </c>
      <c r="BE2260" s="4" t="s">
        <v>228</v>
      </c>
      <c r="BF2260" s="8" t="s">
        <v>228</v>
      </c>
      <c r="BG2260" s="7" t="s">
        <v>228</v>
      </c>
      <c r="BH2260" s="7" t="s">
        <v>228</v>
      </c>
      <c r="BI2260" s="7"/>
      <c r="BJ2260" s="4">
        <v>4</v>
      </c>
      <c r="BK2260" s="8">
        <v>75.69</v>
      </c>
      <c r="BL2260" s="2" t="s">
        <v>10645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10646</v>
      </c>
      <c r="BV2260" s="2" t="s">
        <v>228</v>
      </c>
      <c r="BW2260" s="2" t="s">
        <v>228</v>
      </c>
      <c r="BX2260" s="2" t="s">
        <v>337</v>
      </c>
      <c r="BY2260" s="2" t="s">
        <v>274</v>
      </c>
      <c r="BZ2260" s="2" t="s">
        <v>240</v>
      </c>
      <c r="CA2260" s="2" t="s">
        <v>10636</v>
      </c>
      <c r="CB2260" s="2" t="s">
        <v>4125</v>
      </c>
      <c r="CC2260" s="2" t="s">
        <v>241</v>
      </c>
      <c r="CD2260" s="2" t="s">
        <v>228</v>
      </c>
      <c r="CE2260" s="4">
        <v>31</v>
      </c>
      <c r="CF2260" s="4"/>
      <c r="CG2260" s="4"/>
      <c r="CH2260" s="4"/>
      <c r="CI2260" s="4"/>
      <c r="CJ2260" s="4"/>
      <c r="CK2260" s="4"/>
      <c r="CL2260" s="4"/>
      <c r="CM2260" s="4"/>
      <c r="CN2260" s="4"/>
      <c r="CO2260" s="4"/>
      <c r="CP2260" s="4"/>
      <c r="CQ2260" s="4"/>
      <c r="CR2260" s="4"/>
      <c r="CS2260" s="4"/>
      <c r="CT2260" s="4"/>
      <c r="CU2260" s="4"/>
      <c r="CV2260" s="4"/>
      <c r="CW2260" s="4"/>
      <c r="CX2260" s="4"/>
      <c r="CY2260" s="4"/>
      <c r="CZ2260" s="4"/>
      <c r="DA2260" s="4"/>
      <c r="DB2260" s="4"/>
      <c r="DC2260" s="4"/>
      <c r="DD2260" s="4"/>
      <c r="DE2260" s="4"/>
      <c r="DF2260" s="4"/>
      <c r="DG2260" s="4"/>
      <c r="DH2260" s="4"/>
      <c r="DI2260" s="4"/>
      <c r="DJ2260" s="4"/>
      <c r="DK2260" s="4"/>
      <c r="DL2260" s="4"/>
      <c r="DM2260" s="4"/>
      <c r="DN2260" s="4"/>
      <c r="DO2260" s="4"/>
      <c r="DP2260" s="4"/>
      <c r="DQ2260" s="4"/>
      <c r="DR2260" s="4"/>
      <c r="DS2260" s="4"/>
      <c r="DT2260" s="4"/>
      <c r="DU2260" s="4"/>
      <c r="DV2260" s="4"/>
      <c r="DW2260" s="4"/>
      <c r="DX2260" s="4"/>
      <c r="DY2260" s="4"/>
      <c r="DZ2260" s="4"/>
      <c r="EA2260" s="4"/>
      <c r="EB2260" s="4"/>
      <c r="EC2260" s="4"/>
      <c r="ED2260" s="4"/>
      <c r="EE2260" s="4"/>
      <c r="EF2260" s="4"/>
      <c r="EG2260" s="4"/>
      <c r="EH2260" s="4"/>
      <c r="EI2260" s="4"/>
      <c r="EJ2260" s="4"/>
      <c r="EK2260" s="4"/>
      <c r="EL2260" s="4"/>
      <c r="EM2260" s="4"/>
      <c r="EN2260" s="4"/>
      <c r="EO2260" s="4"/>
      <c r="EP2260" s="4"/>
      <c r="EQ2260" s="4"/>
      <c r="ER2260" s="4"/>
      <c r="ES2260" s="4"/>
      <c r="ET2260" s="4"/>
      <c r="EU2260" s="4"/>
      <c r="EV2260" s="4"/>
      <c r="EW2260" s="4"/>
      <c r="EX2260" s="4"/>
      <c r="EY2260" s="4"/>
      <c r="EZ2260" s="4"/>
      <c r="FA2260" s="4"/>
      <c r="FB2260" s="4"/>
      <c r="FC2260" s="4"/>
      <c r="FD2260" s="4"/>
      <c r="FE2260" s="4"/>
      <c r="FF2260" s="4"/>
      <c r="FG2260" s="4"/>
      <c r="FH2260" s="4"/>
      <c r="FI2260" s="4"/>
      <c r="FJ2260" s="4"/>
      <c r="FK2260" s="4"/>
      <c r="FL2260" s="4"/>
      <c r="FM2260" s="4"/>
      <c r="FN2260" s="4"/>
      <c r="FO2260" s="4"/>
      <c r="FP2260" s="4"/>
      <c r="FQ2260" s="4"/>
      <c r="FR2260" s="4"/>
      <c r="FS2260" s="4"/>
      <c r="FT2260" s="4"/>
      <c r="FU2260" s="4"/>
      <c r="FV2260" s="4"/>
      <c r="FW2260" s="4"/>
      <c r="FX2260" s="4"/>
      <c r="FY2260" s="4"/>
      <c r="FZ2260" s="4"/>
      <c r="GA2260" s="4"/>
      <c r="GB2260" s="4"/>
      <c r="GC2260" s="4"/>
      <c r="GD2260" s="4"/>
      <c r="GE2260" s="4"/>
      <c r="GF2260" s="4"/>
      <c r="GG2260" s="4"/>
      <c r="GH2260" s="4"/>
      <c r="GI2260" s="4"/>
      <c r="GJ2260" s="4"/>
      <c r="GK2260" s="4"/>
      <c r="GL2260" s="4"/>
      <c r="GM2260" s="4"/>
      <c r="GN2260" s="4"/>
      <c r="GO2260" s="4"/>
      <c r="GP2260" s="4"/>
      <c r="GQ2260" s="4"/>
      <c r="GR2260" s="4"/>
      <c r="GS2260" s="4"/>
      <c r="GT2260" s="4"/>
      <c r="GU2260" s="4"/>
      <c r="GV2260" s="4"/>
      <c r="GW2260" s="4"/>
      <c r="GX2260" s="4"/>
      <c r="GY2260" s="4"/>
      <c r="GZ2260" s="4"/>
      <c r="HA2260" s="4"/>
      <c r="HB2260" s="4"/>
      <c r="HC2260" s="4"/>
      <c r="HD2260" s="4"/>
      <c r="HE2260" s="4"/>
    </row>
    <row r="2261">
      <c r="A2261" s="2" t="s">
        <v>10647</v>
      </c>
      <c r="B2261" s="2" t="s">
        <v>299</v>
      </c>
      <c r="C2261" s="2" t="s">
        <v>731</v>
      </c>
      <c r="D2261" s="2" t="s">
        <v>301</v>
      </c>
      <c r="E2261" s="2" t="s">
        <v>302</v>
      </c>
      <c r="F2261" s="2" t="s">
        <v>10632</v>
      </c>
      <c r="G2261" s="2" t="s">
        <v>10632</v>
      </c>
      <c r="H2261" s="2" t="s">
        <v>10632</v>
      </c>
      <c r="I2261" s="2" t="s">
        <v>347</v>
      </c>
      <c r="J2261" s="2" t="s">
        <v>284</v>
      </c>
      <c r="K2261" s="2" t="s">
        <v>249</v>
      </c>
      <c r="L2261" s="3">
        <v>26.78</v>
      </c>
      <c r="M2261" s="3">
        <v>28.12</v>
      </c>
      <c r="N2261" s="3">
        <v>59.99</v>
      </c>
      <c r="O2261" s="2" t="s">
        <v>461</v>
      </c>
      <c r="P2261" s="2" t="s">
        <v>333</v>
      </c>
      <c r="Q2261" s="2" t="s">
        <v>234</v>
      </c>
      <c r="R2261" s="2" t="s">
        <v>228</v>
      </c>
      <c r="S2261" s="2" t="s">
        <v>10644</v>
      </c>
      <c r="T2261" s="2" t="s">
        <v>10634</v>
      </c>
      <c r="U2261" s="2" t="s">
        <v>308</v>
      </c>
      <c r="V2261" s="2" t="s">
        <v>236</v>
      </c>
      <c r="W2261" s="2" t="s">
        <v>269</v>
      </c>
      <c r="X2261" s="2" t="s">
        <v>228</v>
      </c>
      <c r="Y2261" s="2" t="s">
        <v>7020</v>
      </c>
      <c r="Z2261" s="4">
        <v>38</v>
      </c>
      <c r="AA2261" s="4">
        <f>=ROUNDDOWN(12.6666666666667,0)</f>
      </c>
      <c r="AB2261" s="5">
        <v>3</v>
      </c>
      <c r="AC2261" s="2" t="s">
        <v>228</v>
      </c>
      <c r="AD2261" s="4"/>
      <c r="AE2261" s="4"/>
      <c r="AF2261" s="6">
        <v>67</v>
      </c>
      <c r="AG2261" s="6"/>
      <c r="AH2261" s="7">
        <v>1</v>
      </c>
      <c r="AI2261" s="4"/>
      <c r="AJ2261" s="4">
        <f>=ROUNDDOWN({0},0)</f>
      </c>
      <c r="AK2261" s="5"/>
      <c r="AL2261" s="2" t="s">
        <v>228</v>
      </c>
      <c r="AM2261" s="4"/>
      <c r="AN2261" s="4"/>
      <c r="AO2261" s="7"/>
      <c r="AP2261" s="4"/>
      <c r="AQ2261" s="8"/>
      <c r="AR2261" s="4"/>
      <c r="AS2261" s="8"/>
      <c r="AT2261" s="7"/>
      <c r="AU2261" s="7"/>
      <c r="AV2261" s="4" t="s">
        <v>228</v>
      </c>
      <c r="AW2261" s="8" t="s">
        <v>228</v>
      </c>
      <c r="AX2261" s="4" t="s">
        <v>228</v>
      </c>
      <c r="AY2261" s="8" t="s">
        <v>228</v>
      </c>
      <c r="AZ2261" s="7" t="s">
        <v>228</v>
      </c>
      <c r="BA2261" s="7" t="s">
        <v>228</v>
      </c>
      <c r="BB2261" s="7"/>
      <c r="BC2261" s="4" t="s">
        <v>228</v>
      </c>
      <c r="BD2261" s="8" t="s">
        <v>228</v>
      </c>
      <c r="BE2261" s="4" t="s">
        <v>228</v>
      </c>
      <c r="BF2261" s="8" t="s">
        <v>228</v>
      </c>
      <c r="BG2261" s="7" t="s">
        <v>228</v>
      </c>
      <c r="BH2261" s="7" t="s">
        <v>228</v>
      </c>
      <c r="BI2261" s="7"/>
      <c r="BJ2261" s="4">
        <v>4</v>
      </c>
      <c r="BK2261" s="8">
        <v>101.26</v>
      </c>
      <c r="BL2261" s="2" t="s">
        <v>3165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10648</v>
      </c>
      <c r="BV2261" s="2" t="s">
        <v>228</v>
      </c>
      <c r="BW2261" s="2" t="s">
        <v>228</v>
      </c>
      <c r="BX2261" s="2" t="s">
        <v>337</v>
      </c>
      <c r="BY2261" s="2" t="s">
        <v>274</v>
      </c>
      <c r="BZ2261" s="2" t="s">
        <v>240</v>
      </c>
      <c r="CA2261" s="2" t="s">
        <v>10636</v>
      </c>
      <c r="CB2261" s="2" t="s">
        <v>2643</v>
      </c>
      <c r="CC2261" s="2" t="s">
        <v>241</v>
      </c>
      <c r="CD2261" s="2" t="s">
        <v>228</v>
      </c>
      <c r="CE2261" s="4">
        <v>38</v>
      </c>
      <c r="CF2261" s="4"/>
      <c r="CG2261" s="4"/>
      <c r="CH2261" s="4"/>
      <c r="CI2261" s="4"/>
      <c r="CJ2261" s="4"/>
      <c r="CK2261" s="4"/>
      <c r="CL2261" s="4"/>
      <c r="CM2261" s="4"/>
      <c r="CN2261" s="4"/>
      <c r="CO2261" s="4"/>
      <c r="CP2261" s="4"/>
      <c r="CQ2261" s="4"/>
      <c r="CR2261" s="4"/>
      <c r="CS2261" s="4"/>
      <c r="CT2261" s="4"/>
      <c r="CU2261" s="4"/>
      <c r="CV2261" s="4"/>
      <c r="CW2261" s="4"/>
      <c r="CX2261" s="4"/>
      <c r="CY2261" s="4"/>
      <c r="CZ2261" s="4"/>
      <c r="DA2261" s="4"/>
      <c r="DB2261" s="4"/>
      <c r="DC2261" s="4"/>
      <c r="DD2261" s="4"/>
      <c r="DE2261" s="4"/>
      <c r="DF2261" s="4"/>
      <c r="DG2261" s="4"/>
      <c r="DH2261" s="4"/>
      <c r="DI2261" s="4"/>
      <c r="DJ2261" s="4"/>
      <c r="DK2261" s="4"/>
      <c r="DL2261" s="4"/>
      <c r="DM2261" s="4"/>
      <c r="DN2261" s="4"/>
      <c r="DO2261" s="4"/>
      <c r="DP2261" s="4"/>
      <c r="DQ2261" s="4"/>
      <c r="DR2261" s="4"/>
      <c r="DS2261" s="4"/>
      <c r="DT2261" s="4"/>
      <c r="DU2261" s="4"/>
      <c r="DV2261" s="4"/>
      <c r="DW2261" s="4"/>
      <c r="DX2261" s="4"/>
      <c r="DY2261" s="4"/>
      <c r="DZ2261" s="4"/>
      <c r="EA2261" s="4"/>
      <c r="EB2261" s="4"/>
      <c r="EC2261" s="4"/>
      <c r="ED2261" s="4"/>
      <c r="EE2261" s="4"/>
      <c r="EF2261" s="4"/>
      <c r="EG2261" s="4"/>
      <c r="EH2261" s="4"/>
      <c r="EI2261" s="4"/>
      <c r="EJ2261" s="4"/>
      <c r="EK2261" s="4"/>
      <c r="EL2261" s="4"/>
      <c r="EM2261" s="4"/>
      <c r="EN2261" s="4"/>
      <c r="EO2261" s="4"/>
      <c r="EP2261" s="4"/>
      <c r="EQ2261" s="4"/>
      <c r="ER2261" s="4"/>
      <c r="ES2261" s="4"/>
      <c r="ET2261" s="4"/>
      <c r="EU2261" s="4"/>
      <c r="EV2261" s="4"/>
      <c r="EW2261" s="4"/>
      <c r="EX2261" s="4"/>
      <c r="EY2261" s="4"/>
      <c r="EZ2261" s="4"/>
      <c r="FA2261" s="4"/>
      <c r="FB2261" s="4"/>
      <c r="FC2261" s="4"/>
      <c r="FD2261" s="4"/>
      <c r="FE2261" s="4"/>
      <c r="FF2261" s="4"/>
      <c r="FG2261" s="4"/>
      <c r="FH2261" s="4"/>
      <c r="FI2261" s="4"/>
      <c r="FJ2261" s="4"/>
      <c r="FK2261" s="4"/>
      <c r="FL2261" s="4"/>
      <c r="FM2261" s="4"/>
      <c r="FN2261" s="4"/>
      <c r="FO2261" s="4"/>
      <c r="FP2261" s="4"/>
      <c r="FQ2261" s="4"/>
      <c r="FR2261" s="4"/>
      <c r="FS2261" s="4"/>
      <c r="FT2261" s="4"/>
      <c r="FU2261" s="4"/>
      <c r="FV2261" s="4"/>
      <c r="FW2261" s="4"/>
      <c r="FX2261" s="4"/>
      <c r="FY2261" s="4"/>
      <c r="FZ2261" s="4"/>
      <c r="GA2261" s="4"/>
      <c r="GB2261" s="4"/>
      <c r="GC2261" s="4"/>
      <c r="GD2261" s="4"/>
      <c r="GE2261" s="4"/>
      <c r="GF2261" s="4"/>
      <c r="GG2261" s="4"/>
      <c r="GH2261" s="4"/>
      <c r="GI2261" s="4"/>
      <c r="GJ2261" s="4"/>
      <c r="GK2261" s="4"/>
      <c r="GL2261" s="4"/>
      <c r="GM2261" s="4"/>
      <c r="GN2261" s="4"/>
      <c r="GO2261" s="4"/>
      <c r="GP2261" s="4"/>
      <c r="GQ2261" s="4"/>
      <c r="GR2261" s="4"/>
      <c r="GS2261" s="4"/>
      <c r="GT2261" s="4"/>
      <c r="GU2261" s="4"/>
      <c r="GV2261" s="4"/>
      <c r="GW2261" s="4"/>
      <c r="GX2261" s="4"/>
      <c r="GY2261" s="4"/>
      <c r="GZ2261" s="4"/>
      <c r="HA2261" s="4"/>
      <c r="HB2261" s="4"/>
      <c r="HC2261" s="4"/>
      <c r="HD2261" s="4"/>
      <c r="HE2261" s="4"/>
    </row>
    <row r="2262">
      <c r="A2262" s="2" t="s">
        <v>10649</v>
      </c>
      <c r="B2262" s="2" t="s">
        <v>299</v>
      </c>
      <c r="C2262" s="2" t="s">
        <v>731</v>
      </c>
      <c r="D2262" s="2" t="s">
        <v>301</v>
      </c>
      <c r="E2262" s="2" t="s">
        <v>302</v>
      </c>
      <c r="F2262" s="2" t="s">
        <v>10632</v>
      </c>
      <c r="G2262" s="2" t="s">
        <v>10632</v>
      </c>
      <c r="H2262" s="2" t="s">
        <v>10632</v>
      </c>
      <c r="I2262" s="2" t="s">
        <v>347</v>
      </c>
      <c r="J2262" s="2" t="s">
        <v>264</v>
      </c>
      <c r="K2262" s="2" t="s">
        <v>4659</v>
      </c>
      <c r="L2262" s="3">
        <v>22.15</v>
      </c>
      <c r="M2262" s="3">
        <v>23.26</v>
      </c>
      <c r="N2262" s="3">
        <v>49.99</v>
      </c>
      <c r="O2262" s="2" t="s">
        <v>461</v>
      </c>
      <c r="P2262" s="2" t="s">
        <v>333</v>
      </c>
      <c r="Q2262" s="2" t="s">
        <v>234</v>
      </c>
      <c r="R2262" s="2" t="s">
        <v>228</v>
      </c>
      <c r="S2262" s="2" t="s">
        <v>10650</v>
      </c>
      <c r="T2262" s="2" t="s">
        <v>10634</v>
      </c>
      <c r="U2262" s="2" t="s">
        <v>500</v>
      </c>
      <c r="V2262" s="2" t="s">
        <v>236</v>
      </c>
      <c r="W2262" s="2" t="s">
        <v>269</v>
      </c>
      <c r="X2262" s="2" t="s">
        <v>228</v>
      </c>
      <c r="Y2262" s="2" t="s">
        <v>7020</v>
      </c>
      <c r="Z2262" s="4">
        <v>30</v>
      </c>
      <c r="AA2262" s="4">
        <f>=ROUNDDOWN(30,0)</f>
      </c>
      <c r="AB2262" s="5">
        <v>1</v>
      </c>
      <c r="AC2262" s="2" t="s">
        <v>228</v>
      </c>
      <c r="AD2262" s="4"/>
      <c r="AE2262" s="4"/>
      <c r="AF2262" s="6">
        <v>67</v>
      </c>
      <c r="AG2262" s="6"/>
      <c r="AH2262" s="7">
        <v>1</v>
      </c>
      <c r="AI2262" s="4"/>
      <c r="AJ2262" s="4">
        <f>=ROUNDDOWN({0},0)</f>
      </c>
      <c r="AK2262" s="5"/>
      <c r="AL2262" s="2" t="s">
        <v>228</v>
      </c>
      <c r="AM2262" s="4"/>
      <c r="AN2262" s="4"/>
      <c r="AO2262" s="7"/>
      <c r="AP2262" s="4"/>
      <c r="AQ2262" s="8"/>
      <c r="AR2262" s="4"/>
      <c r="AS2262" s="8"/>
      <c r="AT2262" s="7"/>
      <c r="AU2262" s="7"/>
      <c r="AV2262" s="4" t="s">
        <v>228</v>
      </c>
      <c r="AW2262" s="8" t="s">
        <v>228</v>
      </c>
      <c r="AX2262" s="4" t="s">
        <v>228</v>
      </c>
      <c r="AY2262" s="8" t="s">
        <v>228</v>
      </c>
      <c r="AZ2262" s="7" t="s">
        <v>228</v>
      </c>
      <c r="BA2262" s="7" t="s">
        <v>228</v>
      </c>
      <c r="BB2262" s="7"/>
      <c r="BC2262" s="4" t="s">
        <v>228</v>
      </c>
      <c r="BD2262" s="8" t="s">
        <v>228</v>
      </c>
      <c r="BE2262" s="4" t="s">
        <v>228</v>
      </c>
      <c r="BF2262" s="8" t="s">
        <v>228</v>
      </c>
      <c r="BG2262" s="7" t="s">
        <v>228</v>
      </c>
      <c r="BH2262" s="7" t="s">
        <v>228</v>
      </c>
      <c r="BI2262" s="7"/>
      <c r="BJ2262" s="4">
        <v>2</v>
      </c>
      <c r="BK2262" s="8">
        <v>50.24</v>
      </c>
      <c r="BL2262" s="2" t="s">
        <v>2507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10651</v>
      </c>
      <c r="BV2262" s="2" t="s">
        <v>228</v>
      </c>
      <c r="BW2262" s="2" t="s">
        <v>228</v>
      </c>
      <c r="BX2262" s="2" t="s">
        <v>337</v>
      </c>
      <c r="BY2262" s="2" t="s">
        <v>274</v>
      </c>
      <c r="BZ2262" s="2" t="s">
        <v>240</v>
      </c>
      <c r="CA2262" s="2" t="s">
        <v>10636</v>
      </c>
      <c r="CB2262" s="2" t="s">
        <v>8412</v>
      </c>
      <c r="CC2262" s="2" t="s">
        <v>241</v>
      </c>
      <c r="CD2262" s="2" t="s">
        <v>228</v>
      </c>
      <c r="CE2262" s="4">
        <v>30</v>
      </c>
      <c r="CF2262" s="4"/>
      <c r="CG2262" s="4"/>
      <c r="CH2262" s="4"/>
      <c r="CI2262" s="4"/>
      <c r="CJ2262" s="4"/>
      <c r="CK2262" s="4"/>
      <c r="CL2262" s="4"/>
      <c r="CM2262" s="4"/>
      <c r="CN2262" s="4"/>
      <c r="CO2262" s="4"/>
      <c r="CP2262" s="4"/>
      <c r="CQ2262" s="4"/>
      <c r="CR2262" s="4"/>
      <c r="CS2262" s="4"/>
      <c r="CT2262" s="4"/>
      <c r="CU2262" s="4"/>
      <c r="CV2262" s="4"/>
      <c r="CW2262" s="4"/>
      <c r="CX2262" s="4"/>
      <c r="CY2262" s="4"/>
      <c r="CZ2262" s="4"/>
      <c r="DA2262" s="4"/>
      <c r="DB2262" s="4"/>
      <c r="DC2262" s="4"/>
      <c r="DD2262" s="4"/>
      <c r="DE2262" s="4"/>
      <c r="DF2262" s="4"/>
      <c r="DG2262" s="4"/>
      <c r="DH2262" s="4"/>
      <c r="DI2262" s="4"/>
      <c r="DJ2262" s="4"/>
      <c r="DK2262" s="4"/>
      <c r="DL2262" s="4"/>
      <c r="DM2262" s="4"/>
      <c r="DN2262" s="4"/>
      <c r="DO2262" s="4"/>
      <c r="DP2262" s="4"/>
      <c r="DQ2262" s="4"/>
      <c r="DR2262" s="4"/>
      <c r="DS2262" s="4"/>
      <c r="DT2262" s="4"/>
      <c r="DU2262" s="4"/>
      <c r="DV2262" s="4"/>
      <c r="DW2262" s="4"/>
      <c r="DX2262" s="4"/>
      <c r="DY2262" s="4"/>
      <c r="DZ2262" s="4"/>
      <c r="EA2262" s="4"/>
      <c r="EB2262" s="4"/>
      <c r="EC2262" s="4"/>
      <c r="ED2262" s="4"/>
      <c r="EE2262" s="4"/>
      <c r="EF2262" s="4"/>
      <c r="EG2262" s="4"/>
      <c r="EH2262" s="4"/>
      <c r="EI2262" s="4"/>
      <c r="EJ2262" s="4"/>
      <c r="EK2262" s="4"/>
      <c r="EL2262" s="4"/>
      <c r="EM2262" s="4"/>
      <c r="EN2262" s="4"/>
      <c r="EO2262" s="4"/>
      <c r="EP2262" s="4"/>
      <c r="EQ2262" s="4"/>
      <c r="ER2262" s="4"/>
      <c r="ES2262" s="4"/>
      <c r="ET2262" s="4"/>
      <c r="EU2262" s="4"/>
      <c r="EV2262" s="4"/>
      <c r="EW2262" s="4"/>
      <c r="EX2262" s="4"/>
      <c r="EY2262" s="4"/>
      <c r="EZ2262" s="4"/>
      <c r="FA2262" s="4"/>
      <c r="FB2262" s="4"/>
      <c r="FC2262" s="4"/>
      <c r="FD2262" s="4"/>
      <c r="FE2262" s="4"/>
      <c r="FF2262" s="4"/>
      <c r="FG2262" s="4"/>
      <c r="FH2262" s="4"/>
      <c r="FI2262" s="4"/>
      <c r="FJ2262" s="4"/>
      <c r="FK2262" s="4"/>
      <c r="FL2262" s="4"/>
      <c r="FM2262" s="4"/>
      <c r="FN2262" s="4"/>
      <c r="FO2262" s="4"/>
      <c r="FP2262" s="4"/>
      <c r="FQ2262" s="4"/>
      <c r="FR2262" s="4"/>
      <c r="FS2262" s="4"/>
      <c r="FT2262" s="4"/>
      <c r="FU2262" s="4"/>
      <c r="FV2262" s="4"/>
      <c r="FW2262" s="4"/>
      <c r="FX2262" s="4"/>
      <c r="FY2262" s="4"/>
      <c r="FZ2262" s="4"/>
      <c r="GA2262" s="4"/>
      <c r="GB2262" s="4"/>
      <c r="GC2262" s="4"/>
      <c r="GD2262" s="4"/>
      <c r="GE2262" s="4"/>
      <c r="GF2262" s="4"/>
      <c r="GG2262" s="4"/>
      <c r="GH2262" s="4"/>
      <c r="GI2262" s="4"/>
      <c r="GJ2262" s="4"/>
      <c r="GK2262" s="4"/>
      <c r="GL2262" s="4"/>
      <c r="GM2262" s="4"/>
      <c r="GN2262" s="4"/>
      <c r="GO2262" s="4"/>
      <c r="GP2262" s="4"/>
      <c r="GQ2262" s="4"/>
      <c r="GR2262" s="4"/>
      <c r="GS2262" s="4"/>
      <c r="GT2262" s="4"/>
      <c r="GU2262" s="4"/>
      <c r="GV2262" s="4"/>
      <c r="GW2262" s="4"/>
      <c r="GX2262" s="4"/>
      <c r="GY2262" s="4"/>
      <c r="GZ2262" s="4"/>
      <c r="HA2262" s="4"/>
      <c r="HB2262" s="4"/>
      <c r="HC2262" s="4"/>
      <c r="HD2262" s="4"/>
      <c r="HE2262" s="4"/>
    </row>
    <row r="2263">
      <c r="A2263" s="2" t="s">
        <v>10652</v>
      </c>
      <c r="B2263" s="2" t="s">
        <v>299</v>
      </c>
      <c r="C2263" s="2" t="s">
        <v>731</v>
      </c>
      <c r="D2263" s="2" t="s">
        <v>301</v>
      </c>
      <c r="E2263" s="2" t="s">
        <v>302</v>
      </c>
      <c r="F2263" s="2" t="s">
        <v>10632</v>
      </c>
      <c r="G2263" s="2" t="s">
        <v>10632</v>
      </c>
      <c r="H2263" s="2" t="s">
        <v>10632</v>
      </c>
      <c r="I2263" s="2" t="s">
        <v>347</v>
      </c>
      <c r="J2263" s="2" t="s">
        <v>284</v>
      </c>
      <c r="K2263" s="2" t="s">
        <v>4659</v>
      </c>
      <c r="L2263" s="3">
        <v>26.78</v>
      </c>
      <c r="M2263" s="3">
        <v>28.12</v>
      </c>
      <c r="N2263" s="3">
        <v>59.99</v>
      </c>
      <c r="O2263" s="2" t="s">
        <v>461</v>
      </c>
      <c r="P2263" s="2" t="s">
        <v>333</v>
      </c>
      <c r="Q2263" s="2" t="s">
        <v>234</v>
      </c>
      <c r="R2263" s="2" t="s">
        <v>228</v>
      </c>
      <c r="S2263" s="2" t="s">
        <v>10650</v>
      </c>
      <c r="T2263" s="2" t="s">
        <v>10634</v>
      </c>
      <c r="U2263" s="2" t="s">
        <v>308</v>
      </c>
      <c r="V2263" s="2" t="s">
        <v>236</v>
      </c>
      <c r="W2263" s="2" t="s">
        <v>269</v>
      </c>
      <c r="X2263" s="2" t="s">
        <v>228</v>
      </c>
      <c r="Y2263" s="2" t="s">
        <v>7020</v>
      </c>
      <c r="Z2263" s="4">
        <v>35</v>
      </c>
      <c r="AA2263" s="4">
        <f>=ROUNDDOWN(35,0)</f>
      </c>
      <c r="AB2263" s="5">
        <v>1</v>
      </c>
      <c r="AC2263" s="2" t="s">
        <v>228</v>
      </c>
      <c r="AD2263" s="4"/>
      <c r="AE2263" s="4"/>
      <c r="AF2263" s="6">
        <v>67</v>
      </c>
      <c r="AG2263" s="6"/>
      <c r="AH2263" s="7">
        <v>1</v>
      </c>
      <c r="AI2263" s="4"/>
      <c r="AJ2263" s="4">
        <f>=ROUNDDOWN({0},0)</f>
      </c>
      <c r="AK2263" s="5"/>
      <c r="AL2263" s="2" t="s">
        <v>228</v>
      </c>
      <c r="AM2263" s="4"/>
      <c r="AN2263" s="4"/>
      <c r="AO2263" s="7"/>
      <c r="AP2263" s="4"/>
      <c r="AQ2263" s="8"/>
      <c r="AR2263" s="4"/>
      <c r="AS2263" s="8"/>
      <c r="AT2263" s="7"/>
      <c r="AU2263" s="7"/>
      <c r="AV2263" s="4" t="s">
        <v>228</v>
      </c>
      <c r="AW2263" s="8" t="s">
        <v>228</v>
      </c>
      <c r="AX2263" s="4" t="s">
        <v>228</v>
      </c>
      <c r="AY2263" s="8" t="s">
        <v>228</v>
      </c>
      <c r="AZ2263" s="7" t="s">
        <v>228</v>
      </c>
      <c r="BA2263" s="7" t="s">
        <v>228</v>
      </c>
      <c r="BB2263" s="7"/>
      <c r="BC2263" s="4" t="s">
        <v>228</v>
      </c>
      <c r="BD2263" s="8" t="s">
        <v>228</v>
      </c>
      <c r="BE2263" s="4" t="s">
        <v>228</v>
      </c>
      <c r="BF2263" s="8" t="s">
        <v>228</v>
      </c>
      <c r="BG2263" s="7" t="s">
        <v>228</v>
      </c>
      <c r="BH2263" s="7" t="s">
        <v>228</v>
      </c>
      <c r="BI2263" s="7"/>
      <c r="BJ2263" s="4">
        <v>4</v>
      </c>
      <c r="BK2263" s="8">
        <v>84.44</v>
      </c>
      <c r="BL2263" s="2" t="s">
        <v>676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10653</v>
      </c>
      <c r="BV2263" s="2" t="s">
        <v>228</v>
      </c>
      <c r="BW2263" s="2" t="s">
        <v>228</v>
      </c>
      <c r="BX2263" s="2" t="s">
        <v>337</v>
      </c>
      <c r="BY2263" s="2" t="s">
        <v>274</v>
      </c>
      <c r="BZ2263" s="2" t="s">
        <v>240</v>
      </c>
      <c r="CA2263" s="2" t="s">
        <v>10636</v>
      </c>
      <c r="CB2263" s="2" t="s">
        <v>10654</v>
      </c>
      <c r="CC2263" s="2" t="s">
        <v>241</v>
      </c>
      <c r="CD2263" s="2" t="s">
        <v>228</v>
      </c>
      <c r="CE2263" s="4">
        <v>35</v>
      </c>
      <c r="CF2263" s="4"/>
      <c r="CG2263" s="4"/>
      <c r="CH2263" s="4"/>
      <c r="CI2263" s="4"/>
      <c r="CJ2263" s="4"/>
      <c r="CK2263" s="4"/>
      <c r="CL2263" s="4"/>
      <c r="CM2263" s="4"/>
      <c r="CN2263" s="4"/>
      <c r="CO2263" s="4"/>
      <c r="CP2263" s="4"/>
      <c r="CQ2263" s="4"/>
      <c r="CR2263" s="4"/>
      <c r="CS2263" s="4"/>
      <c r="CT2263" s="4"/>
      <c r="CU2263" s="4"/>
      <c r="CV2263" s="4"/>
      <c r="CW2263" s="4"/>
      <c r="CX2263" s="4"/>
      <c r="CY2263" s="4"/>
      <c r="CZ2263" s="4"/>
      <c r="DA2263" s="4"/>
      <c r="DB2263" s="4"/>
      <c r="DC2263" s="4"/>
      <c r="DD2263" s="4"/>
      <c r="DE2263" s="4"/>
      <c r="DF2263" s="4"/>
      <c r="DG2263" s="4"/>
      <c r="DH2263" s="4"/>
      <c r="DI2263" s="4"/>
      <c r="DJ2263" s="4"/>
      <c r="DK2263" s="4"/>
      <c r="DL2263" s="4"/>
      <c r="DM2263" s="4"/>
      <c r="DN2263" s="4"/>
      <c r="DO2263" s="4"/>
      <c r="DP2263" s="4"/>
      <c r="DQ2263" s="4"/>
      <c r="DR2263" s="4"/>
      <c r="DS2263" s="4"/>
      <c r="DT2263" s="4"/>
      <c r="DU2263" s="4"/>
      <c r="DV2263" s="4"/>
      <c r="DW2263" s="4"/>
      <c r="DX2263" s="4"/>
      <c r="DY2263" s="4"/>
      <c r="DZ2263" s="4"/>
      <c r="EA2263" s="4"/>
      <c r="EB2263" s="4"/>
      <c r="EC2263" s="4"/>
      <c r="ED2263" s="4"/>
      <c r="EE2263" s="4"/>
      <c r="EF2263" s="4"/>
      <c r="EG2263" s="4"/>
      <c r="EH2263" s="4"/>
      <c r="EI2263" s="4"/>
      <c r="EJ2263" s="4"/>
      <c r="EK2263" s="4"/>
      <c r="EL2263" s="4"/>
      <c r="EM2263" s="4"/>
      <c r="EN2263" s="4"/>
      <c r="EO2263" s="4"/>
      <c r="EP2263" s="4"/>
      <c r="EQ2263" s="4"/>
      <c r="ER2263" s="4"/>
      <c r="ES2263" s="4"/>
      <c r="ET2263" s="4"/>
      <c r="EU2263" s="4"/>
      <c r="EV2263" s="4"/>
      <c r="EW2263" s="4"/>
      <c r="EX2263" s="4"/>
      <c r="EY2263" s="4"/>
      <c r="EZ2263" s="4"/>
      <c r="FA2263" s="4"/>
      <c r="FB2263" s="4"/>
      <c r="FC2263" s="4"/>
      <c r="FD2263" s="4"/>
      <c r="FE2263" s="4"/>
      <c r="FF2263" s="4"/>
      <c r="FG2263" s="4"/>
      <c r="FH2263" s="4"/>
      <c r="FI2263" s="4"/>
      <c r="FJ2263" s="4"/>
      <c r="FK2263" s="4"/>
      <c r="FL2263" s="4"/>
      <c r="FM2263" s="4"/>
      <c r="FN2263" s="4"/>
      <c r="FO2263" s="4"/>
      <c r="FP2263" s="4"/>
      <c r="FQ2263" s="4"/>
      <c r="FR2263" s="4"/>
      <c r="FS2263" s="4"/>
      <c r="FT2263" s="4"/>
      <c r="FU2263" s="4"/>
      <c r="FV2263" s="4"/>
      <c r="FW2263" s="4"/>
      <c r="FX2263" s="4"/>
      <c r="FY2263" s="4"/>
      <c r="FZ2263" s="4"/>
      <c r="GA2263" s="4"/>
      <c r="GB2263" s="4"/>
      <c r="GC2263" s="4"/>
      <c r="GD2263" s="4"/>
      <c r="GE2263" s="4"/>
      <c r="GF2263" s="4"/>
      <c r="GG2263" s="4"/>
      <c r="GH2263" s="4"/>
      <c r="GI2263" s="4"/>
      <c r="GJ2263" s="4"/>
      <c r="GK2263" s="4"/>
      <c r="GL2263" s="4"/>
      <c r="GM2263" s="4"/>
      <c r="GN2263" s="4"/>
      <c r="GO2263" s="4"/>
      <c r="GP2263" s="4"/>
      <c r="GQ2263" s="4"/>
      <c r="GR2263" s="4"/>
      <c r="GS2263" s="4"/>
      <c r="GT2263" s="4"/>
      <c r="GU2263" s="4"/>
      <c r="GV2263" s="4"/>
      <c r="GW2263" s="4"/>
      <c r="GX2263" s="4"/>
      <c r="GY2263" s="4"/>
      <c r="GZ2263" s="4"/>
      <c r="HA2263" s="4"/>
      <c r="HB2263" s="4"/>
      <c r="HC2263" s="4"/>
      <c r="HD2263" s="4"/>
      <c r="HE2263" s="4"/>
    </row>
    <row r="2264">
      <c r="A2264" s="2" t="s">
        <v>10655</v>
      </c>
      <c r="B2264" s="2" t="s">
        <v>299</v>
      </c>
      <c r="C2264" s="2" t="s">
        <v>731</v>
      </c>
      <c r="D2264" s="2" t="s">
        <v>301</v>
      </c>
      <c r="E2264" s="2" t="s">
        <v>302</v>
      </c>
      <c r="F2264" s="2" t="s">
        <v>10632</v>
      </c>
      <c r="G2264" s="2" t="s">
        <v>10632</v>
      </c>
      <c r="H2264" s="2" t="s">
        <v>10632</v>
      </c>
      <c r="I2264" s="2" t="s">
        <v>347</v>
      </c>
      <c r="J2264" s="2" t="s">
        <v>289</v>
      </c>
      <c r="K2264" s="2" t="s">
        <v>4659</v>
      </c>
      <c r="L2264" s="3">
        <v>28.84</v>
      </c>
      <c r="M2264" s="3">
        <v>30.28</v>
      </c>
      <c r="N2264" s="3">
        <v>69.99</v>
      </c>
      <c r="O2264" s="2" t="s">
        <v>461</v>
      </c>
      <c r="P2264" s="2" t="s">
        <v>333</v>
      </c>
      <c r="Q2264" s="2" t="s">
        <v>234</v>
      </c>
      <c r="R2264" s="2" t="s">
        <v>228</v>
      </c>
      <c r="S2264" s="2" t="s">
        <v>10650</v>
      </c>
      <c r="T2264" s="2" t="s">
        <v>10634</v>
      </c>
      <c r="U2264" s="2" t="s">
        <v>308</v>
      </c>
      <c r="V2264" s="2" t="s">
        <v>236</v>
      </c>
      <c r="W2264" s="2" t="s">
        <v>269</v>
      </c>
      <c r="X2264" s="2" t="s">
        <v>228</v>
      </c>
      <c r="Y2264" s="2" t="s">
        <v>7020</v>
      </c>
      <c r="Z2264" s="4">
        <v>42</v>
      </c>
      <c r="AA2264" s="4">
        <f>=ROUNDDOWN(14.4827586206897,0)</f>
      </c>
      <c r="AB2264" s="5">
        <v>2.9</v>
      </c>
      <c r="AC2264" s="2" t="s">
        <v>228</v>
      </c>
      <c r="AD2264" s="4"/>
      <c r="AE2264" s="4"/>
      <c r="AF2264" s="6">
        <v>67</v>
      </c>
      <c r="AG2264" s="6"/>
      <c r="AH2264" s="7">
        <v>1</v>
      </c>
      <c r="AI2264" s="4"/>
      <c r="AJ2264" s="4">
        <f>=ROUNDDOWN({0},0)</f>
      </c>
      <c r="AK2264" s="5"/>
      <c r="AL2264" s="2" t="s">
        <v>228</v>
      </c>
      <c r="AM2264" s="4"/>
      <c r="AN2264" s="4"/>
      <c r="AO2264" s="7"/>
      <c r="AP2264" s="4"/>
      <c r="AQ2264" s="8"/>
      <c r="AR2264" s="4"/>
      <c r="AS2264" s="8"/>
      <c r="AT2264" s="7"/>
      <c r="AU2264" s="7"/>
      <c r="AV2264" s="4" t="s">
        <v>228</v>
      </c>
      <c r="AW2264" s="8" t="s">
        <v>228</v>
      </c>
      <c r="AX2264" s="4" t="s">
        <v>228</v>
      </c>
      <c r="AY2264" s="8" t="s">
        <v>228</v>
      </c>
      <c r="AZ2264" s="7" t="s">
        <v>228</v>
      </c>
      <c r="BA2264" s="7" t="s">
        <v>228</v>
      </c>
      <c r="BB2264" s="7"/>
      <c r="BC2264" s="4" t="s">
        <v>228</v>
      </c>
      <c r="BD2264" s="8" t="s">
        <v>228</v>
      </c>
      <c r="BE2264" s="4" t="s">
        <v>228</v>
      </c>
      <c r="BF2264" s="8" t="s">
        <v>228</v>
      </c>
      <c r="BG2264" s="7" t="s">
        <v>228</v>
      </c>
      <c r="BH2264" s="7" t="s">
        <v>228</v>
      </c>
      <c r="BI2264" s="7"/>
      <c r="BJ2264" s="4">
        <v>17</v>
      </c>
      <c r="BK2264" s="8">
        <v>469.82</v>
      </c>
      <c r="BL2264" s="2" t="s">
        <v>398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10656</v>
      </c>
      <c r="BV2264" s="2" t="s">
        <v>228</v>
      </c>
      <c r="BW2264" s="2" t="s">
        <v>228</v>
      </c>
      <c r="BX2264" s="2" t="s">
        <v>337</v>
      </c>
      <c r="BY2264" s="2" t="s">
        <v>274</v>
      </c>
      <c r="BZ2264" s="2" t="s">
        <v>240</v>
      </c>
      <c r="CA2264" s="2" t="s">
        <v>10636</v>
      </c>
      <c r="CB2264" s="2" t="s">
        <v>10657</v>
      </c>
      <c r="CC2264" s="2" t="s">
        <v>241</v>
      </c>
      <c r="CD2264" s="2" t="s">
        <v>228</v>
      </c>
      <c r="CE2264" s="4">
        <v>42</v>
      </c>
      <c r="CF2264" s="4"/>
      <c r="CG2264" s="4"/>
      <c r="CH2264" s="4"/>
      <c r="CI2264" s="4"/>
      <c r="CJ2264" s="4"/>
      <c r="CK2264" s="4"/>
      <c r="CL2264" s="4"/>
      <c r="CM2264" s="4"/>
      <c r="CN2264" s="4"/>
      <c r="CO2264" s="4"/>
      <c r="CP2264" s="4"/>
      <c r="CQ2264" s="4"/>
      <c r="CR2264" s="4"/>
      <c r="CS2264" s="4"/>
      <c r="CT2264" s="4"/>
      <c r="CU2264" s="4"/>
      <c r="CV2264" s="4"/>
      <c r="CW2264" s="4"/>
      <c r="CX2264" s="4"/>
      <c r="CY2264" s="4"/>
      <c r="CZ2264" s="4"/>
      <c r="DA2264" s="4"/>
      <c r="DB2264" s="4"/>
      <c r="DC2264" s="4"/>
      <c r="DD2264" s="4"/>
      <c r="DE2264" s="4"/>
      <c r="DF2264" s="4"/>
      <c r="DG2264" s="4"/>
      <c r="DH2264" s="4"/>
      <c r="DI2264" s="4"/>
      <c r="DJ2264" s="4"/>
      <c r="DK2264" s="4"/>
      <c r="DL2264" s="4"/>
      <c r="DM2264" s="4"/>
      <c r="DN2264" s="4"/>
      <c r="DO2264" s="4"/>
      <c r="DP2264" s="4"/>
      <c r="DQ2264" s="4"/>
      <c r="DR2264" s="4"/>
      <c r="DS2264" s="4"/>
      <c r="DT2264" s="4"/>
      <c r="DU2264" s="4"/>
      <c r="DV2264" s="4"/>
      <c r="DW2264" s="4"/>
      <c r="DX2264" s="4"/>
      <c r="DY2264" s="4"/>
      <c r="DZ2264" s="4"/>
      <c r="EA2264" s="4"/>
      <c r="EB2264" s="4"/>
      <c r="EC2264" s="4"/>
      <c r="ED2264" s="4"/>
      <c r="EE2264" s="4"/>
      <c r="EF2264" s="4"/>
      <c r="EG2264" s="4"/>
      <c r="EH2264" s="4"/>
      <c r="EI2264" s="4"/>
      <c r="EJ2264" s="4"/>
      <c r="EK2264" s="4"/>
      <c r="EL2264" s="4"/>
      <c r="EM2264" s="4"/>
      <c r="EN2264" s="4"/>
      <c r="EO2264" s="4"/>
      <c r="EP2264" s="4"/>
      <c r="EQ2264" s="4"/>
      <c r="ER2264" s="4"/>
      <c r="ES2264" s="4"/>
      <c r="ET2264" s="4"/>
      <c r="EU2264" s="4"/>
      <c r="EV2264" s="4"/>
      <c r="EW2264" s="4"/>
      <c r="EX2264" s="4"/>
      <c r="EY2264" s="4"/>
      <c r="EZ2264" s="4"/>
      <c r="FA2264" s="4"/>
      <c r="FB2264" s="4"/>
      <c r="FC2264" s="4"/>
      <c r="FD2264" s="4"/>
      <c r="FE2264" s="4"/>
      <c r="FF2264" s="4"/>
      <c r="FG2264" s="4"/>
      <c r="FH2264" s="4"/>
      <c r="FI2264" s="4"/>
      <c r="FJ2264" s="4"/>
      <c r="FK2264" s="4"/>
      <c r="FL2264" s="4"/>
      <c r="FM2264" s="4"/>
      <c r="FN2264" s="4"/>
      <c r="FO2264" s="4"/>
      <c r="FP2264" s="4"/>
      <c r="FQ2264" s="4"/>
      <c r="FR2264" s="4"/>
      <c r="FS2264" s="4"/>
      <c r="FT2264" s="4"/>
      <c r="FU2264" s="4"/>
      <c r="FV2264" s="4"/>
      <c r="FW2264" s="4"/>
      <c r="FX2264" s="4"/>
      <c r="FY2264" s="4"/>
      <c r="FZ2264" s="4"/>
      <c r="GA2264" s="4"/>
      <c r="GB2264" s="4"/>
      <c r="GC2264" s="4"/>
      <c r="GD2264" s="4"/>
      <c r="GE2264" s="4"/>
      <c r="GF2264" s="4"/>
      <c r="GG2264" s="4"/>
      <c r="GH2264" s="4"/>
      <c r="GI2264" s="4"/>
      <c r="GJ2264" s="4"/>
      <c r="GK2264" s="4"/>
      <c r="GL2264" s="4"/>
      <c r="GM2264" s="4"/>
      <c r="GN2264" s="4"/>
      <c r="GO2264" s="4"/>
      <c r="GP2264" s="4"/>
      <c r="GQ2264" s="4"/>
      <c r="GR2264" s="4"/>
      <c r="GS2264" s="4"/>
      <c r="GT2264" s="4"/>
      <c r="GU2264" s="4"/>
      <c r="GV2264" s="4"/>
      <c r="GW2264" s="4"/>
      <c r="GX2264" s="4"/>
      <c r="GY2264" s="4"/>
      <c r="GZ2264" s="4"/>
      <c r="HA2264" s="4"/>
      <c r="HB2264" s="4"/>
      <c r="HC2264" s="4"/>
      <c r="HD2264" s="4"/>
      <c r="HE2264" s="4"/>
    </row>
    <row r="2265">
      <c r="A2265" s="2" t="s">
        <v>10658</v>
      </c>
      <c r="B2265" s="2" t="s">
        <v>299</v>
      </c>
      <c r="C2265" s="2" t="s">
        <v>731</v>
      </c>
      <c r="D2265" s="2" t="s">
        <v>301</v>
      </c>
      <c r="E2265" s="2" t="s">
        <v>302</v>
      </c>
      <c r="F2265" s="2" t="s">
        <v>10632</v>
      </c>
      <c r="G2265" s="2" t="s">
        <v>10632</v>
      </c>
      <c r="H2265" s="2" t="s">
        <v>10632</v>
      </c>
      <c r="I2265" s="2" t="s">
        <v>347</v>
      </c>
      <c r="J2265" s="2" t="s">
        <v>294</v>
      </c>
      <c r="K2265" s="2" t="s">
        <v>4659</v>
      </c>
      <c r="L2265" s="3">
        <v>33.22</v>
      </c>
      <c r="M2265" s="3">
        <v>34.88</v>
      </c>
      <c r="N2265" s="3">
        <v>74.99</v>
      </c>
      <c r="O2265" s="2" t="s">
        <v>461</v>
      </c>
      <c r="P2265" s="2" t="s">
        <v>333</v>
      </c>
      <c r="Q2265" s="2" t="s">
        <v>234</v>
      </c>
      <c r="R2265" s="2" t="s">
        <v>228</v>
      </c>
      <c r="S2265" s="2" t="s">
        <v>10650</v>
      </c>
      <c r="T2265" s="2" t="s">
        <v>10634</v>
      </c>
      <c r="U2265" s="2" t="s">
        <v>308</v>
      </c>
      <c r="V2265" s="2" t="s">
        <v>236</v>
      </c>
      <c r="W2265" s="2" t="s">
        <v>269</v>
      </c>
      <c r="X2265" s="2" t="s">
        <v>228</v>
      </c>
      <c r="Y2265" s="2" t="s">
        <v>7020</v>
      </c>
      <c r="Z2265" s="4">
        <v>28</v>
      </c>
      <c r="AA2265" s="4">
        <f>=ROUNDDOWN(9.33333333333333,0)</f>
      </c>
      <c r="AB2265" s="5">
        <v>3</v>
      </c>
      <c r="AC2265" s="2" t="s">
        <v>228</v>
      </c>
      <c r="AD2265" s="4"/>
      <c r="AE2265" s="4"/>
      <c r="AF2265" s="6">
        <v>67</v>
      </c>
      <c r="AG2265" s="6"/>
      <c r="AH2265" s="7">
        <v>1</v>
      </c>
      <c r="AI2265" s="4"/>
      <c r="AJ2265" s="4">
        <f>=ROUNDDOWN({0},0)</f>
      </c>
      <c r="AK2265" s="5"/>
      <c r="AL2265" s="2" t="s">
        <v>228</v>
      </c>
      <c r="AM2265" s="4"/>
      <c r="AN2265" s="4"/>
      <c r="AO2265" s="7"/>
      <c r="AP2265" s="4"/>
      <c r="AQ2265" s="8"/>
      <c r="AR2265" s="4"/>
      <c r="AS2265" s="8"/>
      <c r="AT2265" s="7"/>
      <c r="AU2265" s="7"/>
      <c r="AV2265" s="4" t="s">
        <v>228</v>
      </c>
      <c r="AW2265" s="8" t="s">
        <v>228</v>
      </c>
      <c r="AX2265" s="4" t="s">
        <v>228</v>
      </c>
      <c r="AY2265" s="8" t="s">
        <v>228</v>
      </c>
      <c r="AZ2265" s="7" t="s">
        <v>228</v>
      </c>
      <c r="BA2265" s="7" t="s">
        <v>228</v>
      </c>
      <c r="BB2265" s="7"/>
      <c r="BC2265" s="4" t="s">
        <v>228</v>
      </c>
      <c r="BD2265" s="8" t="s">
        <v>228</v>
      </c>
      <c r="BE2265" s="4" t="s">
        <v>228</v>
      </c>
      <c r="BF2265" s="8" t="s">
        <v>228</v>
      </c>
      <c r="BG2265" s="7" t="s">
        <v>228</v>
      </c>
      <c r="BH2265" s="7" t="s">
        <v>228</v>
      </c>
      <c r="BI2265" s="7"/>
      <c r="BJ2265" s="4">
        <v>10</v>
      </c>
      <c r="BK2265" s="8">
        <v>292.49</v>
      </c>
      <c r="BL2265" s="2" t="s">
        <v>381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10659</v>
      </c>
      <c r="BV2265" s="2" t="s">
        <v>228</v>
      </c>
      <c r="BW2265" s="2" t="s">
        <v>228</v>
      </c>
      <c r="BX2265" s="2" t="s">
        <v>337</v>
      </c>
      <c r="BY2265" s="2" t="s">
        <v>274</v>
      </c>
      <c r="BZ2265" s="2" t="s">
        <v>240</v>
      </c>
      <c r="CA2265" s="2" t="s">
        <v>10636</v>
      </c>
      <c r="CB2265" s="2" t="s">
        <v>10660</v>
      </c>
      <c r="CC2265" s="2" t="s">
        <v>241</v>
      </c>
      <c r="CD2265" s="2" t="s">
        <v>228</v>
      </c>
      <c r="CE2265" s="4">
        <v>28</v>
      </c>
      <c r="CF2265" s="4"/>
      <c r="CG2265" s="4"/>
      <c r="CH2265" s="4"/>
      <c r="CI2265" s="4"/>
      <c r="CJ2265" s="4"/>
      <c r="CK2265" s="4"/>
      <c r="CL2265" s="4"/>
      <c r="CM2265" s="4"/>
      <c r="CN2265" s="4"/>
      <c r="CO2265" s="4"/>
      <c r="CP2265" s="4"/>
      <c r="CQ2265" s="4"/>
      <c r="CR2265" s="4"/>
      <c r="CS2265" s="4"/>
      <c r="CT2265" s="4"/>
      <c r="CU2265" s="4"/>
      <c r="CV2265" s="4"/>
      <c r="CW2265" s="4"/>
      <c r="CX2265" s="4"/>
      <c r="CY2265" s="4"/>
      <c r="CZ2265" s="4"/>
      <c r="DA2265" s="4"/>
      <c r="DB2265" s="4"/>
      <c r="DC2265" s="4"/>
      <c r="DD2265" s="4"/>
      <c r="DE2265" s="4"/>
      <c r="DF2265" s="4"/>
      <c r="DG2265" s="4"/>
      <c r="DH2265" s="4"/>
      <c r="DI2265" s="4"/>
      <c r="DJ2265" s="4"/>
      <c r="DK2265" s="4"/>
      <c r="DL2265" s="4"/>
      <c r="DM2265" s="4"/>
      <c r="DN2265" s="4"/>
      <c r="DO2265" s="4"/>
      <c r="DP2265" s="4"/>
      <c r="DQ2265" s="4"/>
      <c r="DR2265" s="4"/>
      <c r="DS2265" s="4"/>
      <c r="DT2265" s="4"/>
      <c r="DU2265" s="4"/>
      <c r="DV2265" s="4"/>
      <c r="DW2265" s="4"/>
      <c r="DX2265" s="4"/>
      <c r="DY2265" s="4"/>
      <c r="DZ2265" s="4"/>
      <c r="EA2265" s="4"/>
      <c r="EB2265" s="4"/>
      <c r="EC2265" s="4"/>
      <c r="ED2265" s="4"/>
      <c r="EE2265" s="4"/>
      <c r="EF2265" s="4"/>
      <c r="EG2265" s="4"/>
      <c r="EH2265" s="4"/>
      <c r="EI2265" s="4"/>
      <c r="EJ2265" s="4"/>
      <c r="EK2265" s="4"/>
      <c r="EL2265" s="4"/>
      <c r="EM2265" s="4"/>
      <c r="EN2265" s="4"/>
      <c r="EO2265" s="4"/>
      <c r="EP2265" s="4"/>
      <c r="EQ2265" s="4"/>
      <c r="ER2265" s="4"/>
      <c r="ES2265" s="4"/>
      <c r="ET2265" s="4"/>
      <c r="EU2265" s="4"/>
      <c r="EV2265" s="4"/>
      <c r="EW2265" s="4"/>
      <c r="EX2265" s="4"/>
      <c r="EY2265" s="4"/>
      <c r="EZ2265" s="4"/>
      <c r="FA2265" s="4"/>
      <c r="FB2265" s="4"/>
      <c r="FC2265" s="4"/>
      <c r="FD2265" s="4"/>
      <c r="FE2265" s="4"/>
      <c r="FF2265" s="4"/>
      <c r="FG2265" s="4"/>
      <c r="FH2265" s="4"/>
      <c r="FI2265" s="4"/>
      <c r="FJ2265" s="4"/>
      <c r="FK2265" s="4"/>
      <c r="FL2265" s="4"/>
      <c r="FM2265" s="4"/>
      <c r="FN2265" s="4"/>
      <c r="FO2265" s="4"/>
      <c r="FP2265" s="4"/>
      <c r="FQ2265" s="4"/>
      <c r="FR2265" s="4"/>
      <c r="FS2265" s="4"/>
      <c r="FT2265" s="4"/>
      <c r="FU2265" s="4"/>
      <c r="FV2265" s="4"/>
      <c r="FW2265" s="4"/>
      <c r="FX2265" s="4"/>
      <c r="FY2265" s="4"/>
      <c r="FZ2265" s="4"/>
      <c r="GA2265" s="4"/>
      <c r="GB2265" s="4"/>
      <c r="GC2265" s="4"/>
      <c r="GD2265" s="4"/>
      <c r="GE2265" s="4"/>
      <c r="GF2265" s="4"/>
      <c r="GG2265" s="4"/>
      <c r="GH2265" s="4"/>
      <c r="GI2265" s="4"/>
      <c r="GJ2265" s="4"/>
      <c r="GK2265" s="4"/>
      <c r="GL2265" s="4"/>
      <c r="GM2265" s="4"/>
      <c r="GN2265" s="4"/>
      <c r="GO2265" s="4"/>
      <c r="GP2265" s="4"/>
      <c r="GQ2265" s="4"/>
      <c r="GR2265" s="4"/>
      <c r="GS2265" s="4"/>
      <c r="GT2265" s="4"/>
      <c r="GU2265" s="4"/>
      <c r="GV2265" s="4"/>
      <c r="GW2265" s="4"/>
      <c r="GX2265" s="4"/>
      <c r="GY2265" s="4"/>
      <c r="GZ2265" s="4"/>
      <c r="HA2265" s="4"/>
      <c r="HB2265" s="4"/>
      <c r="HC2265" s="4"/>
      <c r="HD2265" s="4"/>
      <c r="HE2265" s="4"/>
    </row>
    <row r="2266">
      <c r="A2266" s="2" t="s">
        <v>10661</v>
      </c>
      <c r="B2266" s="2" t="s">
        <v>299</v>
      </c>
      <c r="C2266" s="2" t="s">
        <v>731</v>
      </c>
      <c r="D2266" s="2" t="s">
        <v>301</v>
      </c>
      <c r="E2266" s="2" t="s">
        <v>302</v>
      </c>
      <c r="F2266" s="2" t="s">
        <v>10632</v>
      </c>
      <c r="G2266" s="2" t="s">
        <v>10632</v>
      </c>
      <c r="H2266" s="2" t="s">
        <v>10632</v>
      </c>
      <c r="I2266" s="2" t="s">
        <v>347</v>
      </c>
      <c r="J2266" s="2" t="s">
        <v>264</v>
      </c>
      <c r="K2266" s="2" t="s">
        <v>316</v>
      </c>
      <c r="L2266" s="3">
        <v>22.15</v>
      </c>
      <c r="M2266" s="3">
        <v>23.26</v>
      </c>
      <c r="N2266" s="3">
        <v>49.99</v>
      </c>
      <c r="O2266" s="2" t="s">
        <v>461</v>
      </c>
      <c r="P2266" s="2" t="s">
        <v>333</v>
      </c>
      <c r="Q2266" s="2" t="s">
        <v>234</v>
      </c>
      <c r="R2266" s="2" t="s">
        <v>228</v>
      </c>
      <c r="S2266" s="2" t="s">
        <v>10662</v>
      </c>
      <c r="T2266" s="2" t="s">
        <v>10634</v>
      </c>
      <c r="U2266" s="2" t="s">
        <v>500</v>
      </c>
      <c r="V2266" s="2" t="s">
        <v>236</v>
      </c>
      <c r="W2266" s="2" t="s">
        <v>269</v>
      </c>
      <c r="X2266" s="2" t="s">
        <v>228</v>
      </c>
      <c r="Y2266" s="2" t="s">
        <v>7020</v>
      </c>
      <c r="Z2266" s="4">
        <v>38</v>
      </c>
      <c r="AA2266" s="4">
        <f>=ROUNDDOWN(31.6666666666667,0)</f>
      </c>
      <c r="AB2266" s="5">
        <v>1.2</v>
      </c>
      <c r="AC2266" s="2" t="s">
        <v>228</v>
      </c>
      <c r="AD2266" s="4"/>
      <c r="AE2266" s="4"/>
      <c r="AF2266" s="6">
        <v>67</v>
      </c>
      <c r="AG2266" s="6"/>
      <c r="AH2266" s="7">
        <v>1</v>
      </c>
      <c r="AI2266" s="4"/>
      <c r="AJ2266" s="4">
        <f>=ROUNDDOWN({0},0)</f>
      </c>
      <c r="AK2266" s="5"/>
      <c r="AL2266" s="2" t="s">
        <v>228</v>
      </c>
      <c r="AM2266" s="4"/>
      <c r="AN2266" s="4"/>
      <c r="AO2266" s="7"/>
      <c r="AP2266" s="4"/>
      <c r="AQ2266" s="8"/>
      <c r="AR2266" s="4"/>
      <c r="AS2266" s="8"/>
      <c r="AT2266" s="7"/>
      <c r="AU2266" s="7"/>
      <c r="AV2266" s="4" t="s">
        <v>228</v>
      </c>
      <c r="AW2266" s="8" t="s">
        <v>228</v>
      </c>
      <c r="AX2266" s="4" t="s">
        <v>228</v>
      </c>
      <c r="AY2266" s="8" t="s">
        <v>228</v>
      </c>
      <c r="AZ2266" s="7" t="s">
        <v>228</v>
      </c>
      <c r="BA2266" s="7" t="s">
        <v>228</v>
      </c>
      <c r="BB2266" s="7"/>
      <c r="BC2266" s="4" t="s">
        <v>228</v>
      </c>
      <c r="BD2266" s="8" t="s">
        <v>228</v>
      </c>
      <c r="BE2266" s="4" t="s">
        <v>228</v>
      </c>
      <c r="BF2266" s="8" t="s">
        <v>228</v>
      </c>
      <c r="BG2266" s="7" t="s">
        <v>228</v>
      </c>
      <c r="BH2266" s="7" t="s">
        <v>228</v>
      </c>
      <c r="BI2266" s="7"/>
      <c r="BJ2266" s="4">
        <v>5</v>
      </c>
      <c r="BK2266" s="8">
        <v>93.52</v>
      </c>
      <c r="BL2266" s="2" t="s">
        <v>2056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10663</v>
      </c>
      <c r="BV2266" s="2" t="s">
        <v>228</v>
      </c>
      <c r="BW2266" s="2" t="s">
        <v>228</v>
      </c>
      <c r="BX2266" s="2" t="s">
        <v>337</v>
      </c>
      <c r="BY2266" s="2" t="s">
        <v>274</v>
      </c>
      <c r="BZ2266" s="2" t="s">
        <v>240</v>
      </c>
      <c r="CA2266" s="2" t="s">
        <v>10636</v>
      </c>
      <c r="CB2266" s="2" t="s">
        <v>6377</v>
      </c>
      <c r="CC2266" s="2" t="s">
        <v>241</v>
      </c>
      <c r="CD2266" s="2" t="s">
        <v>228</v>
      </c>
      <c r="CE2266" s="4">
        <v>38</v>
      </c>
      <c r="CF2266" s="4"/>
      <c r="CG2266" s="4"/>
      <c r="CH2266" s="4"/>
      <c r="CI2266" s="4"/>
      <c r="CJ2266" s="4"/>
      <c r="CK2266" s="4"/>
      <c r="CL2266" s="4"/>
      <c r="CM2266" s="4"/>
      <c r="CN2266" s="4"/>
      <c r="CO2266" s="4"/>
      <c r="CP2266" s="4"/>
      <c r="CQ2266" s="4"/>
      <c r="CR2266" s="4"/>
      <c r="CS2266" s="4"/>
      <c r="CT2266" s="4"/>
      <c r="CU2266" s="4"/>
      <c r="CV2266" s="4"/>
      <c r="CW2266" s="4"/>
      <c r="CX2266" s="4"/>
      <c r="CY2266" s="4"/>
      <c r="CZ2266" s="4"/>
      <c r="DA2266" s="4"/>
      <c r="DB2266" s="4"/>
      <c r="DC2266" s="4"/>
      <c r="DD2266" s="4"/>
      <c r="DE2266" s="4"/>
      <c r="DF2266" s="4"/>
      <c r="DG2266" s="4"/>
      <c r="DH2266" s="4"/>
      <c r="DI2266" s="4"/>
      <c r="DJ2266" s="4"/>
      <c r="DK2266" s="4"/>
      <c r="DL2266" s="4"/>
      <c r="DM2266" s="4"/>
      <c r="DN2266" s="4"/>
      <c r="DO2266" s="4"/>
      <c r="DP2266" s="4"/>
      <c r="DQ2266" s="4"/>
      <c r="DR2266" s="4"/>
      <c r="DS2266" s="4"/>
      <c r="DT2266" s="4"/>
      <c r="DU2266" s="4"/>
      <c r="DV2266" s="4"/>
      <c r="DW2266" s="4"/>
      <c r="DX2266" s="4"/>
      <c r="DY2266" s="4"/>
      <c r="DZ2266" s="4"/>
      <c r="EA2266" s="4"/>
      <c r="EB2266" s="4"/>
      <c r="EC2266" s="4"/>
      <c r="ED2266" s="4"/>
      <c r="EE2266" s="4"/>
      <c r="EF2266" s="4"/>
      <c r="EG2266" s="4"/>
      <c r="EH2266" s="4"/>
      <c r="EI2266" s="4"/>
      <c r="EJ2266" s="4"/>
      <c r="EK2266" s="4"/>
      <c r="EL2266" s="4"/>
      <c r="EM2266" s="4"/>
      <c r="EN2266" s="4"/>
      <c r="EO2266" s="4"/>
      <c r="EP2266" s="4"/>
      <c r="EQ2266" s="4"/>
      <c r="ER2266" s="4"/>
      <c r="ES2266" s="4"/>
      <c r="ET2266" s="4"/>
      <c r="EU2266" s="4"/>
      <c r="EV2266" s="4"/>
      <c r="EW2266" s="4"/>
      <c r="EX2266" s="4"/>
      <c r="EY2266" s="4"/>
      <c r="EZ2266" s="4"/>
      <c r="FA2266" s="4"/>
      <c r="FB2266" s="4"/>
      <c r="FC2266" s="4"/>
      <c r="FD2266" s="4"/>
      <c r="FE2266" s="4"/>
      <c r="FF2266" s="4"/>
      <c r="FG2266" s="4"/>
      <c r="FH2266" s="4"/>
      <c r="FI2266" s="4"/>
      <c r="FJ2266" s="4"/>
      <c r="FK2266" s="4"/>
      <c r="FL2266" s="4"/>
      <c r="FM2266" s="4"/>
      <c r="FN2266" s="4"/>
      <c r="FO2266" s="4"/>
      <c r="FP2266" s="4"/>
      <c r="FQ2266" s="4"/>
      <c r="FR2266" s="4"/>
      <c r="FS2266" s="4"/>
      <c r="FT2266" s="4"/>
      <c r="FU2266" s="4"/>
      <c r="FV2266" s="4"/>
      <c r="FW2266" s="4"/>
      <c r="FX2266" s="4"/>
      <c r="FY2266" s="4"/>
      <c r="FZ2266" s="4"/>
      <c r="GA2266" s="4"/>
      <c r="GB2266" s="4"/>
      <c r="GC2266" s="4"/>
      <c r="GD2266" s="4"/>
      <c r="GE2266" s="4"/>
      <c r="GF2266" s="4"/>
      <c r="GG2266" s="4"/>
      <c r="GH2266" s="4"/>
      <c r="GI2266" s="4"/>
      <c r="GJ2266" s="4"/>
      <c r="GK2266" s="4"/>
      <c r="GL2266" s="4"/>
      <c r="GM2266" s="4"/>
      <c r="GN2266" s="4"/>
      <c r="GO2266" s="4"/>
      <c r="GP2266" s="4"/>
      <c r="GQ2266" s="4"/>
      <c r="GR2266" s="4"/>
      <c r="GS2266" s="4"/>
      <c r="GT2266" s="4"/>
      <c r="GU2266" s="4"/>
      <c r="GV2266" s="4"/>
      <c r="GW2266" s="4"/>
      <c r="GX2266" s="4"/>
      <c r="GY2266" s="4"/>
      <c r="GZ2266" s="4"/>
      <c r="HA2266" s="4"/>
      <c r="HB2266" s="4"/>
      <c r="HC2266" s="4"/>
      <c r="HD2266" s="4"/>
      <c r="HE2266" s="4"/>
    </row>
    <row r="2267">
      <c r="A2267" s="2" t="s">
        <v>10664</v>
      </c>
      <c r="B2267" s="2" t="s">
        <v>299</v>
      </c>
      <c r="C2267" s="2" t="s">
        <v>731</v>
      </c>
      <c r="D2267" s="2" t="s">
        <v>301</v>
      </c>
      <c r="E2267" s="2" t="s">
        <v>302</v>
      </c>
      <c r="F2267" s="2" t="s">
        <v>10632</v>
      </c>
      <c r="G2267" s="2" t="s">
        <v>10632</v>
      </c>
      <c r="H2267" s="2" t="s">
        <v>10632</v>
      </c>
      <c r="I2267" s="2" t="s">
        <v>347</v>
      </c>
      <c r="J2267" s="2" t="s">
        <v>284</v>
      </c>
      <c r="K2267" s="2" t="s">
        <v>316</v>
      </c>
      <c r="L2267" s="3">
        <v>26.78</v>
      </c>
      <c r="M2267" s="3">
        <v>28.12</v>
      </c>
      <c r="N2267" s="3">
        <v>59.99</v>
      </c>
      <c r="O2267" s="2" t="s">
        <v>461</v>
      </c>
      <c r="P2267" s="2" t="s">
        <v>333</v>
      </c>
      <c r="Q2267" s="2" t="s">
        <v>234</v>
      </c>
      <c r="R2267" s="2" t="s">
        <v>228</v>
      </c>
      <c r="S2267" s="2" t="s">
        <v>10662</v>
      </c>
      <c r="T2267" s="2" t="s">
        <v>10634</v>
      </c>
      <c r="U2267" s="2" t="s">
        <v>308</v>
      </c>
      <c r="V2267" s="2" t="s">
        <v>236</v>
      </c>
      <c r="W2267" s="2" t="s">
        <v>269</v>
      </c>
      <c r="X2267" s="2" t="s">
        <v>228</v>
      </c>
      <c r="Y2267" s="2" t="s">
        <v>7020</v>
      </c>
      <c r="Z2267" s="4">
        <v>110</v>
      </c>
      <c r="AA2267" s="4">
        <f>=ROUNDDOWN(36.6666666666667,0)</f>
      </c>
      <c r="AB2267" s="5">
        <v>3</v>
      </c>
      <c r="AC2267" s="2" t="s">
        <v>228</v>
      </c>
      <c r="AD2267" s="4"/>
      <c r="AE2267" s="4"/>
      <c r="AF2267" s="6">
        <v>67</v>
      </c>
      <c r="AG2267" s="6"/>
      <c r="AH2267" s="7">
        <v>1</v>
      </c>
      <c r="AI2267" s="4"/>
      <c r="AJ2267" s="4">
        <f>=ROUNDDOWN({0},0)</f>
      </c>
      <c r="AK2267" s="5"/>
      <c r="AL2267" s="2" t="s">
        <v>228</v>
      </c>
      <c r="AM2267" s="4"/>
      <c r="AN2267" s="4"/>
      <c r="AO2267" s="7"/>
      <c r="AP2267" s="4"/>
      <c r="AQ2267" s="8"/>
      <c r="AR2267" s="4"/>
      <c r="AS2267" s="8"/>
      <c r="AT2267" s="7"/>
      <c r="AU2267" s="7"/>
      <c r="AV2267" s="4" t="s">
        <v>228</v>
      </c>
      <c r="AW2267" s="8" t="s">
        <v>228</v>
      </c>
      <c r="AX2267" s="4" t="s">
        <v>228</v>
      </c>
      <c r="AY2267" s="8" t="s">
        <v>228</v>
      </c>
      <c r="AZ2267" s="7" t="s">
        <v>228</v>
      </c>
      <c r="BA2267" s="7" t="s">
        <v>228</v>
      </c>
      <c r="BB2267" s="7"/>
      <c r="BC2267" s="4" t="s">
        <v>228</v>
      </c>
      <c r="BD2267" s="8" t="s">
        <v>228</v>
      </c>
      <c r="BE2267" s="4" t="s">
        <v>228</v>
      </c>
      <c r="BF2267" s="8" t="s">
        <v>228</v>
      </c>
      <c r="BG2267" s="7" t="s">
        <v>228</v>
      </c>
      <c r="BH2267" s="7" t="s">
        <v>228</v>
      </c>
      <c r="BI2267" s="7"/>
      <c r="BJ2267" s="4">
        <v>1</v>
      </c>
      <c r="BK2267" s="8">
        <v>30.37</v>
      </c>
      <c r="BL2267" s="2" t="s">
        <v>10665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10666</v>
      </c>
      <c r="BV2267" s="2" t="s">
        <v>228</v>
      </c>
      <c r="BW2267" s="2" t="s">
        <v>228</v>
      </c>
      <c r="BX2267" s="2" t="s">
        <v>337</v>
      </c>
      <c r="BY2267" s="2" t="s">
        <v>274</v>
      </c>
      <c r="BZ2267" s="2" t="s">
        <v>240</v>
      </c>
      <c r="CA2267" s="2" t="s">
        <v>10636</v>
      </c>
      <c r="CB2267" s="2" t="s">
        <v>379</v>
      </c>
      <c r="CC2267" s="2" t="s">
        <v>241</v>
      </c>
      <c r="CD2267" s="2" t="s">
        <v>228</v>
      </c>
      <c r="CE2267" s="4">
        <v>110</v>
      </c>
      <c r="CF2267" s="4"/>
      <c r="CG2267" s="4"/>
      <c r="CH2267" s="4"/>
      <c r="CI2267" s="4"/>
      <c r="CJ2267" s="4"/>
      <c r="CK2267" s="4"/>
      <c r="CL2267" s="4"/>
      <c r="CM2267" s="4"/>
      <c r="CN2267" s="4"/>
      <c r="CO2267" s="4"/>
      <c r="CP2267" s="4"/>
      <c r="CQ2267" s="4"/>
      <c r="CR2267" s="4"/>
      <c r="CS2267" s="4"/>
      <c r="CT2267" s="4"/>
      <c r="CU2267" s="4"/>
      <c r="CV2267" s="4"/>
      <c r="CW2267" s="4"/>
      <c r="CX2267" s="4"/>
      <c r="CY2267" s="4"/>
      <c r="CZ2267" s="4"/>
      <c r="DA2267" s="4"/>
      <c r="DB2267" s="4"/>
      <c r="DC2267" s="4"/>
      <c r="DD2267" s="4"/>
      <c r="DE2267" s="4"/>
      <c r="DF2267" s="4"/>
      <c r="DG2267" s="4"/>
      <c r="DH2267" s="4"/>
      <c r="DI2267" s="4"/>
      <c r="DJ2267" s="4"/>
      <c r="DK2267" s="4"/>
      <c r="DL2267" s="4"/>
      <c r="DM2267" s="4"/>
      <c r="DN2267" s="4"/>
      <c r="DO2267" s="4"/>
      <c r="DP2267" s="4"/>
      <c r="DQ2267" s="4"/>
      <c r="DR2267" s="4"/>
      <c r="DS2267" s="4"/>
      <c r="DT2267" s="4"/>
      <c r="DU2267" s="4"/>
      <c r="DV2267" s="4"/>
      <c r="DW2267" s="4"/>
      <c r="DX2267" s="4"/>
      <c r="DY2267" s="4"/>
      <c r="DZ2267" s="4"/>
      <c r="EA2267" s="4"/>
      <c r="EB2267" s="4"/>
      <c r="EC2267" s="4"/>
      <c r="ED2267" s="4"/>
      <c r="EE2267" s="4"/>
      <c r="EF2267" s="4"/>
      <c r="EG2267" s="4"/>
      <c r="EH2267" s="4"/>
      <c r="EI2267" s="4"/>
      <c r="EJ2267" s="4"/>
      <c r="EK2267" s="4"/>
      <c r="EL2267" s="4"/>
      <c r="EM2267" s="4"/>
      <c r="EN2267" s="4"/>
      <c r="EO2267" s="4"/>
      <c r="EP2267" s="4"/>
      <c r="EQ2267" s="4"/>
      <c r="ER2267" s="4"/>
      <c r="ES2267" s="4"/>
      <c r="ET2267" s="4"/>
      <c r="EU2267" s="4"/>
      <c r="EV2267" s="4"/>
      <c r="EW2267" s="4"/>
      <c r="EX2267" s="4"/>
      <c r="EY2267" s="4"/>
      <c r="EZ2267" s="4"/>
      <c r="FA2267" s="4"/>
      <c r="FB2267" s="4"/>
      <c r="FC2267" s="4"/>
      <c r="FD2267" s="4"/>
      <c r="FE2267" s="4"/>
      <c r="FF2267" s="4"/>
      <c r="FG2267" s="4"/>
      <c r="FH2267" s="4"/>
      <c r="FI2267" s="4"/>
      <c r="FJ2267" s="4"/>
      <c r="FK2267" s="4"/>
      <c r="FL2267" s="4"/>
      <c r="FM2267" s="4"/>
      <c r="FN2267" s="4"/>
      <c r="FO2267" s="4"/>
      <c r="FP2267" s="4"/>
      <c r="FQ2267" s="4"/>
      <c r="FR2267" s="4"/>
      <c r="FS2267" s="4"/>
      <c r="FT2267" s="4"/>
      <c r="FU2267" s="4"/>
      <c r="FV2267" s="4"/>
      <c r="FW2267" s="4"/>
      <c r="FX2267" s="4"/>
      <c r="FY2267" s="4"/>
      <c r="FZ2267" s="4"/>
      <c r="GA2267" s="4"/>
      <c r="GB2267" s="4"/>
      <c r="GC2267" s="4"/>
      <c r="GD2267" s="4"/>
      <c r="GE2267" s="4"/>
      <c r="GF2267" s="4"/>
      <c r="GG2267" s="4"/>
      <c r="GH2267" s="4"/>
      <c r="GI2267" s="4"/>
      <c r="GJ2267" s="4"/>
      <c r="GK2267" s="4"/>
      <c r="GL2267" s="4"/>
      <c r="GM2267" s="4"/>
      <c r="GN2267" s="4"/>
      <c r="GO2267" s="4"/>
      <c r="GP2267" s="4"/>
      <c r="GQ2267" s="4"/>
      <c r="GR2267" s="4"/>
      <c r="GS2267" s="4"/>
      <c r="GT2267" s="4"/>
      <c r="GU2267" s="4"/>
      <c r="GV2267" s="4"/>
      <c r="GW2267" s="4"/>
      <c r="GX2267" s="4"/>
      <c r="GY2267" s="4"/>
      <c r="GZ2267" s="4"/>
      <c r="HA2267" s="4"/>
      <c r="HB2267" s="4"/>
      <c r="HC2267" s="4"/>
      <c r="HD2267" s="4"/>
      <c r="HE2267" s="4"/>
    </row>
    <row r="2268">
      <c r="A2268" s="2" t="s">
        <v>10667</v>
      </c>
      <c r="B2268" s="2" t="s">
        <v>848</v>
      </c>
      <c r="C2268" s="2" t="s">
        <v>849</v>
      </c>
      <c r="D2268" s="2" t="s">
        <v>1112</v>
      </c>
      <c r="E2268" s="2" t="s">
        <v>1113</v>
      </c>
      <c r="F2268" s="2" t="s">
        <v>10668</v>
      </c>
      <c r="G2268" s="2" t="s">
        <v>10669</v>
      </c>
      <c r="H2268" s="2" t="s">
        <v>5912</v>
      </c>
      <c r="I2268" s="2" t="s">
        <v>10670</v>
      </c>
      <c r="J2268" s="2" t="s">
        <v>1189</v>
      </c>
      <c r="K2268" s="2" t="s">
        <v>2444</v>
      </c>
      <c r="L2268" s="3">
        <v>28.57</v>
      </c>
      <c r="M2268" s="3">
        <v>30</v>
      </c>
      <c r="N2268" s="3">
        <v>59.99</v>
      </c>
      <c r="O2268" s="2" t="s">
        <v>240</v>
      </c>
      <c r="P2268" s="2" t="s">
        <v>333</v>
      </c>
      <c r="Q2268" s="2" t="s">
        <v>234</v>
      </c>
      <c r="R2268" s="2" t="s">
        <v>228</v>
      </c>
      <c r="S2268" s="2" t="s">
        <v>10671</v>
      </c>
      <c r="T2268" s="2" t="s">
        <v>415</v>
      </c>
      <c r="U2268" s="2" t="s">
        <v>500</v>
      </c>
      <c r="V2268" s="2" t="s">
        <v>859</v>
      </c>
      <c r="W2268" s="2" t="s">
        <v>417</v>
      </c>
      <c r="X2268" s="2" t="s">
        <v>228</v>
      </c>
      <c r="Y2268" s="2" t="s">
        <v>1632</v>
      </c>
      <c r="Z2268" s="4">
        <v>86</v>
      </c>
      <c r="AA2268" s="4">
        <f>=ROUNDDOWN(14.8275862068966,0)</f>
      </c>
      <c r="AB2268" s="5">
        <v>5.8</v>
      </c>
      <c r="AC2268" s="2" t="s">
        <v>228</v>
      </c>
      <c r="AD2268" s="4"/>
      <c r="AE2268" s="4"/>
      <c r="AF2268" s="6">
        <v>64</v>
      </c>
      <c r="AG2268" s="6"/>
      <c r="AH2268" s="7">
        <v>1</v>
      </c>
      <c r="AI2268" s="4"/>
      <c r="AJ2268" s="4">
        <f>=ROUNDDOWN({0},0)</f>
      </c>
      <c r="AK2268" s="5"/>
      <c r="AL2268" s="2" t="s">
        <v>228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/>
      <c r="AW2268" s="8"/>
      <c r="AX2268" s="4"/>
      <c r="AY2268" s="8"/>
      <c r="AZ2268" s="7"/>
      <c r="BA2268" s="7"/>
      <c r="BB2268" s="7"/>
      <c r="BC2268" s="4"/>
      <c r="BD2268" s="8"/>
      <c r="BE2268" s="4"/>
      <c r="BF2268" s="8"/>
      <c r="BG2268" s="7"/>
      <c r="BH2268" s="7"/>
      <c r="BI2268" s="7"/>
      <c r="BJ2268" s="4">
        <v>30</v>
      </c>
      <c r="BK2268" s="8">
        <v>657.06</v>
      </c>
      <c r="BL2268" s="2" t="s">
        <v>10672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10673</v>
      </c>
      <c r="BV2268" s="2" t="s">
        <v>228</v>
      </c>
      <c r="BW2268" s="2" t="s">
        <v>228</v>
      </c>
      <c r="BX2268" s="2" t="s">
        <v>337</v>
      </c>
      <c r="BY2268" s="2" t="s">
        <v>274</v>
      </c>
      <c r="BZ2268" s="2" t="s">
        <v>240</v>
      </c>
      <c r="CA2268" s="2" t="s">
        <v>5695</v>
      </c>
      <c r="CB2268" s="2" t="s">
        <v>10674</v>
      </c>
      <c r="CC2268" s="2" t="s">
        <v>241</v>
      </c>
      <c r="CD2268" s="2" t="s">
        <v>228</v>
      </c>
      <c r="CE2268" s="4">
        <v>86</v>
      </c>
      <c r="CF2268" s="4"/>
      <c r="CG2268" s="4"/>
      <c r="CH2268" s="4"/>
      <c r="CI2268" s="4"/>
      <c r="CJ2268" s="4"/>
      <c r="CK2268" s="4"/>
      <c r="CL2268" s="4"/>
      <c r="CM2268" s="4"/>
      <c r="CN2268" s="4"/>
      <c r="CO2268" s="4"/>
      <c r="CP2268" s="4"/>
      <c r="CQ2268" s="4"/>
      <c r="CR2268" s="4"/>
      <c r="CS2268" s="4"/>
      <c r="CT2268" s="4"/>
      <c r="CU2268" s="4"/>
      <c r="CV2268" s="4"/>
      <c r="CW2268" s="4"/>
      <c r="CX2268" s="4"/>
      <c r="CY2268" s="4"/>
      <c r="CZ2268" s="4"/>
      <c r="DA2268" s="4"/>
      <c r="DB2268" s="4"/>
      <c r="DC2268" s="4"/>
      <c r="DD2268" s="4"/>
      <c r="DE2268" s="4"/>
      <c r="DF2268" s="4"/>
      <c r="DG2268" s="4"/>
      <c r="DH2268" s="4"/>
      <c r="DI2268" s="4"/>
      <c r="DJ2268" s="4"/>
      <c r="DK2268" s="4"/>
      <c r="DL2268" s="4"/>
      <c r="DM2268" s="4"/>
      <c r="DN2268" s="4"/>
      <c r="DO2268" s="4"/>
      <c r="DP2268" s="4"/>
      <c r="DQ2268" s="4"/>
      <c r="DR2268" s="4"/>
      <c r="DS2268" s="4"/>
      <c r="DT2268" s="4"/>
      <c r="DU2268" s="4"/>
      <c r="DV2268" s="4"/>
      <c r="DW2268" s="4"/>
      <c r="DX2268" s="4"/>
      <c r="DY2268" s="4"/>
      <c r="DZ2268" s="4"/>
      <c r="EA2268" s="4"/>
      <c r="EB2268" s="4"/>
      <c r="EC2268" s="4"/>
      <c r="ED2268" s="4"/>
      <c r="EE2268" s="4"/>
      <c r="EF2268" s="4"/>
      <c r="EG2268" s="4"/>
      <c r="EH2268" s="4"/>
      <c r="EI2268" s="4"/>
      <c r="EJ2268" s="4"/>
      <c r="EK2268" s="4"/>
      <c r="EL2268" s="4"/>
      <c r="EM2268" s="4"/>
      <c r="EN2268" s="4"/>
      <c r="EO2268" s="4"/>
      <c r="EP2268" s="4"/>
      <c r="EQ2268" s="4"/>
      <c r="ER2268" s="4"/>
      <c r="ES2268" s="4"/>
      <c r="ET2268" s="4"/>
      <c r="EU2268" s="4"/>
      <c r="EV2268" s="4"/>
      <c r="EW2268" s="4"/>
      <c r="EX2268" s="4"/>
      <c r="EY2268" s="4"/>
      <c r="EZ2268" s="4"/>
      <c r="FA2268" s="4"/>
      <c r="FB2268" s="4"/>
      <c r="FC2268" s="4"/>
      <c r="FD2268" s="4"/>
      <c r="FE2268" s="4"/>
      <c r="FF2268" s="4"/>
      <c r="FG2268" s="4"/>
      <c r="FH2268" s="4"/>
      <c r="FI2268" s="4"/>
      <c r="FJ2268" s="4"/>
      <c r="FK2268" s="4"/>
      <c r="FL2268" s="4"/>
      <c r="FM2268" s="4"/>
      <c r="FN2268" s="4"/>
      <c r="FO2268" s="4"/>
      <c r="FP2268" s="4"/>
      <c r="FQ2268" s="4"/>
      <c r="FR2268" s="4"/>
      <c r="FS2268" s="4"/>
      <c r="FT2268" s="4"/>
      <c r="FU2268" s="4"/>
      <c r="FV2268" s="4"/>
      <c r="FW2268" s="4"/>
      <c r="FX2268" s="4"/>
      <c r="FY2268" s="4"/>
      <c r="FZ2268" s="4"/>
      <c r="GA2268" s="4"/>
      <c r="GB2268" s="4"/>
      <c r="GC2268" s="4"/>
      <c r="GD2268" s="4"/>
      <c r="GE2268" s="4"/>
      <c r="GF2268" s="4"/>
      <c r="GG2268" s="4"/>
      <c r="GH2268" s="4"/>
      <c r="GI2268" s="4"/>
      <c r="GJ2268" s="4"/>
      <c r="GK2268" s="4"/>
      <c r="GL2268" s="4"/>
      <c r="GM2268" s="4"/>
      <c r="GN2268" s="4"/>
      <c r="GO2268" s="4"/>
      <c r="GP2268" s="4"/>
      <c r="GQ2268" s="4"/>
      <c r="GR2268" s="4"/>
      <c r="GS2268" s="4"/>
      <c r="GT2268" s="4"/>
      <c r="GU2268" s="4"/>
      <c r="GV2268" s="4"/>
      <c r="GW2268" s="4"/>
      <c r="GX2268" s="4"/>
      <c r="GY2268" s="4"/>
      <c r="GZ2268" s="4"/>
      <c r="HA2268" s="4"/>
      <c r="HB2268" s="4"/>
      <c r="HC2268" s="4"/>
      <c r="HD2268" s="4"/>
      <c r="HE2268" s="4"/>
    </row>
    <row r="2269">
      <c r="A2269" s="2" t="s">
        <v>10675</v>
      </c>
      <c r="B2269" s="2" t="s">
        <v>958</v>
      </c>
      <c r="C2269" s="2" t="s">
        <v>885</v>
      </c>
      <c r="D2269" s="2" t="s">
        <v>2256</v>
      </c>
      <c r="E2269" s="2" t="s">
        <v>2257</v>
      </c>
      <c r="F2269" s="2" t="s">
        <v>10676</v>
      </c>
      <c r="G2269" s="2" t="s">
        <v>10676</v>
      </c>
      <c r="H2269" s="2" t="s">
        <v>10676</v>
      </c>
      <c r="I2269" s="2" t="s">
        <v>10677</v>
      </c>
      <c r="J2269" s="2" t="s">
        <v>840</v>
      </c>
      <c r="K2269" s="2" t="s">
        <v>1653</v>
      </c>
      <c r="L2269" s="3">
        <v>140.25</v>
      </c>
      <c r="M2269" s="3">
        <v>147.26</v>
      </c>
      <c r="N2269" s="3">
        <v>299</v>
      </c>
      <c r="O2269" s="2" t="s">
        <v>240</v>
      </c>
      <c r="P2269" s="2" t="s">
        <v>233</v>
      </c>
      <c r="Q2269" s="2" t="s">
        <v>234</v>
      </c>
      <c r="R2269" s="2" t="s">
        <v>228</v>
      </c>
      <c r="S2269" s="2" t="s">
        <v>228</v>
      </c>
      <c r="T2269" s="2" t="s">
        <v>228</v>
      </c>
      <c r="U2269" s="2" t="s">
        <v>416</v>
      </c>
      <c r="V2269" s="2" t="s">
        <v>842</v>
      </c>
      <c r="W2269" s="2" t="s">
        <v>1761</v>
      </c>
      <c r="X2269" s="2" t="s">
        <v>892</v>
      </c>
      <c r="Y2269" s="2" t="s">
        <v>228</v>
      </c>
      <c r="Z2269" s="4"/>
      <c r="AA2269" s="4">
        <f>=ROUNDDOWN({0},0)</f>
      </c>
      <c r="AB2269" s="5">
        <v>9</v>
      </c>
      <c r="AC2269" s="2" t="s">
        <v>1370</v>
      </c>
      <c r="AD2269" s="4">
        <v>104</v>
      </c>
      <c r="AE2269" s="4">
        <v>214</v>
      </c>
      <c r="AF2269" s="6">
        <v>66</v>
      </c>
      <c r="AG2269" s="6">
        <v>49</v>
      </c>
      <c r="AH2269" s="7"/>
      <c r="AI2269" s="4"/>
      <c r="AJ2269" s="4">
        <f>=ROUNDDOWN({0},0)</f>
      </c>
      <c r="AK2269" s="5"/>
      <c r="AL2269" s="2" t="s">
        <v>228</v>
      </c>
      <c r="AM2269" s="4"/>
      <c r="AN2269" s="4"/>
      <c r="AO2269" s="7"/>
      <c r="AP2269" s="4"/>
      <c r="AQ2269" s="8"/>
      <c r="AR2269" s="4"/>
      <c r="AS2269" s="8"/>
      <c r="AT2269" s="7"/>
      <c r="AU2269" s="7"/>
      <c r="AV2269" s="4"/>
      <c r="AW2269" s="8"/>
      <c r="AX2269" s="4"/>
      <c r="AY2269" s="8"/>
      <c r="AZ2269" s="7"/>
      <c r="BA2269" s="7"/>
      <c r="BB2269" s="7"/>
      <c r="BC2269" s="4"/>
      <c r="BD2269" s="8"/>
      <c r="BE2269" s="4"/>
      <c r="BF2269" s="8"/>
      <c r="BG2269" s="7"/>
      <c r="BH2269" s="7"/>
      <c r="BI2269" s="7"/>
      <c r="BJ2269" s="4"/>
      <c r="BK2269" s="8"/>
      <c r="BL2269" s="2" t="s">
        <v>228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238</v>
      </c>
      <c r="BV2269" s="2" t="s">
        <v>228</v>
      </c>
      <c r="BW2269" s="2" t="s">
        <v>228</v>
      </c>
      <c r="BX2269" s="2" t="s">
        <v>238</v>
      </c>
      <c r="BY2269" s="2" t="s">
        <v>239</v>
      </c>
      <c r="BZ2269" s="2" t="s">
        <v>240</v>
      </c>
      <c r="CA2269" s="2" t="s">
        <v>228</v>
      </c>
      <c r="CB2269" s="2" t="s">
        <v>228</v>
      </c>
      <c r="CC2269" s="2" t="s">
        <v>241</v>
      </c>
      <c r="CD2269" s="2" t="s">
        <v>228</v>
      </c>
      <c r="CE2269" s="4"/>
      <c r="CF2269" s="4"/>
      <c r="CG2269" s="4"/>
      <c r="CH2269" s="4"/>
      <c r="CI2269" s="4"/>
      <c r="CJ2269" s="4"/>
      <c r="CK2269" s="4"/>
      <c r="CL2269" s="4"/>
      <c r="CM2269" s="4"/>
      <c r="CN2269" s="4"/>
      <c r="CO2269" s="4"/>
      <c r="CP2269" s="4"/>
      <c r="CQ2269" s="4"/>
      <c r="CR2269" s="4"/>
      <c r="CS2269" s="4"/>
      <c r="CT2269" s="4"/>
      <c r="CU2269" s="4"/>
      <c r="CV2269" s="4"/>
      <c r="CW2269" s="4"/>
      <c r="CX2269" s="4"/>
      <c r="CY2269" s="4"/>
      <c r="CZ2269" s="4"/>
      <c r="DA2269" s="4"/>
      <c r="DB2269" s="4"/>
      <c r="DC2269" s="4"/>
      <c r="DD2269" s="4"/>
      <c r="DE2269" s="4"/>
      <c r="DF2269" s="4"/>
      <c r="DG2269" s="4"/>
      <c r="DH2269" s="4"/>
      <c r="DI2269" s="4"/>
      <c r="DJ2269" s="4"/>
      <c r="DK2269" s="4"/>
      <c r="DL2269" s="4"/>
      <c r="DM2269" s="4"/>
      <c r="DN2269" s="4"/>
      <c r="DO2269" s="4"/>
      <c r="DP2269" s="4"/>
      <c r="DQ2269" s="4"/>
      <c r="DR2269" s="4"/>
      <c r="DS2269" s="4"/>
      <c r="DT2269" s="4"/>
      <c r="DU2269" s="4"/>
      <c r="DV2269" s="4"/>
      <c r="DW2269" s="4"/>
      <c r="DX2269" s="4"/>
      <c r="DY2269" s="4"/>
      <c r="DZ2269" s="4"/>
      <c r="EA2269" s="4"/>
      <c r="EB2269" s="4"/>
      <c r="EC2269" s="4"/>
      <c r="ED2269" s="4"/>
      <c r="EE2269" s="4"/>
      <c r="EF2269" s="4"/>
      <c r="EG2269" s="4"/>
      <c r="EH2269" s="4"/>
      <c r="EI2269" s="4"/>
      <c r="EJ2269" s="4"/>
      <c r="EK2269" s="4"/>
      <c r="EL2269" s="4"/>
      <c r="EM2269" s="4"/>
      <c r="EN2269" s="4"/>
      <c r="EO2269" s="4"/>
      <c r="EP2269" s="4"/>
      <c r="EQ2269" s="4"/>
      <c r="ER2269" s="4"/>
      <c r="ES2269" s="4"/>
      <c r="ET2269" s="4"/>
      <c r="EU2269" s="4"/>
      <c r="EV2269" s="4"/>
      <c r="EW2269" s="4"/>
      <c r="EX2269" s="4"/>
      <c r="EY2269" s="4"/>
      <c r="EZ2269" s="4"/>
      <c r="FA2269" s="4"/>
      <c r="FB2269" s="4"/>
      <c r="FC2269" s="4"/>
      <c r="FD2269" s="4"/>
      <c r="FE2269" s="4"/>
      <c r="FF2269" s="4"/>
      <c r="FG2269" s="4"/>
      <c r="FH2269" s="4"/>
      <c r="FI2269" s="4"/>
      <c r="FJ2269" s="4"/>
      <c r="FK2269" s="4"/>
      <c r="FL2269" s="4"/>
      <c r="FM2269" s="4"/>
      <c r="FN2269" s="4"/>
      <c r="FO2269" s="4"/>
      <c r="FP2269" s="4">
        <v>104</v>
      </c>
      <c r="FQ2269" s="4"/>
      <c r="FR2269" s="4"/>
      <c r="FS2269" s="4"/>
      <c r="FT2269" s="4"/>
      <c r="FU2269" s="4"/>
      <c r="FV2269" s="4"/>
      <c r="FW2269" s="4"/>
      <c r="FX2269" s="4"/>
      <c r="FY2269" s="4"/>
      <c r="FZ2269" s="4"/>
      <c r="GA2269" s="4"/>
      <c r="GB2269" s="4">
        <v>63</v>
      </c>
      <c r="GC2269" s="4"/>
      <c r="GD2269" s="4"/>
      <c r="GE2269" s="4"/>
      <c r="GF2269" s="4"/>
      <c r="GG2269" s="4"/>
      <c r="GH2269" s="4"/>
      <c r="GI2269" s="4"/>
      <c r="GJ2269" s="4"/>
      <c r="GK2269" s="4"/>
      <c r="GL2269" s="4"/>
      <c r="GM2269" s="4"/>
      <c r="GN2269" s="4">
        <v>47</v>
      </c>
      <c r="GO2269" s="4"/>
      <c r="GP2269" s="4"/>
      <c r="GQ2269" s="4"/>
      <c r="GR2269" s="4"/>
      <c r="GS2269" s="4"/>
      <c r="GT2269" s="4"/>
      <c r="GU2269" s="4"/>
      <c r="GV2269" s="4"/>
      <c r="GW2269" s="4"/>
      <c r="GX2269" s="4"/>
      <c r="GY2269" s="4"/>
      <c r="GZ2269" s="4"/>
      <c r="HA2269" s="4"/>
      <c r="HB2269" s="4"/>
      <c r="HC2269" s="4"/>
      <c r="HD2269" s="4"/>
      <c r="HE2269" s="4"/>
    </row>
    <row r="2270">
      <c r="A2270" s="2" t="s">
        <v>10678</v>
      </c>
      <c r="B2270" s="2" t="s">
        <v>223</v>
      </c>
      <c r="C2270" s="2" t="s">
        <v>1261</v>
      </c>
      <c r="D2270" s="2" t="s">
        <v>1316</v>
      </c>
      <c r="E2270" s="2" t="s">
        <v>2396</v>
      </c>
      <c r="F2270" s="2" t="s">
        <v>10679</v>
      </c>
      <c r="G2270" s="2" t="s">
        <v>10679</v>
      </c>
      <c r="H2270" s="2" t="s">
        <v>10679</v>
      </c>
      <c r="I2270" s="2" t="s">
        <v>10680</v>
      </c>
      <c r="J2270" s="2" t="s">
        <v>1189</v>
      </c>
      <c r="K2270" s="2" t="s">
        <v>480</v>
      </c>
      <c r="L2270" s="3">
        <v>42.75</v>
      </c>
      <c r="M2270" s="3">
        <v>44.89</v>
      </c>
      <c r="N2270" s="3">
        <v>94.99</v>
      </c>
      <c r="O2270" s="2" t="s">
        <v>240</v>
      </c>
      <c r="P2270" s="2" t="s">
        <v>333</v>
      </c>
      <c r="Q2270" s="2" t="s">
        <v>234</v>
      </c>
      <c r="R2270" s="2" t="s">
        <v>228</v>
      </c>
      <c r="S2270" s="2" t="s">
        <v>10681</v>
      </c>
      <c r="T2270" s="2" t="s">
        <v>1608</v>
      </c>
      <c r="U2270" s="2" t="s">
        <v>228</v>
      </c>
      <c r="V2270" s="2" t="s">
        <v>859</v>
      </c>
      <c r="W2270" s="2" t="s">
        <v>1267</v>
      </c>
      <c r="X2270" s="2" t="s">
        <v>5215</v>
      </c>
      <c r="Y2270" s="2" t="s">
        <v>9080</v>
      </c>
      <c r="Z2270" s="4">
        <v>36</v>
      </c>
      <c r="AA2270" s="4">
        <f>=ROUNDDOWN(3.6,0)</f>
      </c>
      <c r="AB2270" s="5">
        <v>10</v>
      </c>
      <c r="AC2270" s="2" t="s">
        <v>228</v>
      </c>
      <c r="AD2270" s="4"/>
      <c r="AE2270" s="4"/>
      <c r="AF2270" s="6">
        <v>65</v>
      </c>
      <c r="AG2270" s="6"/>
      <c r="AH2270" s="7">
        <v>1</v>
      </c>
      <c r="AI2270" s="4"/>
      <c r="AJ2270" s="4">
        <f>=ROUNDDOWN({0},0)</f>
      </c>
      <c r="AK2270" s="5"/>
      <c r="AL2270" s="2" t="s">
        <v>228</v>
      </c>
      <c r="AM2270" s="4"/>
      <c r="AN2270" s="4"/>
      <c r="AO2270" s="7"/>
      <c r="AP2270" s="4"/>
      <c r="AQ2270" s="8"/>
      <c r="AR2270" s="4"/>
      <c r="AS2270" s="8"/>
      <c r="AT2270" s="7"/>
      <c r="AU2270" s="7"/>
      <c r="AV2270" s="4"/>
      <c r="AW2270" s="8"/>
      <c r="AX2270" s="4"/>
      <c r="AY2270" s="8"/>
      <c r="AZ2270" s="7"/>
      <c r="BA2270" s="7"/>
      <c r="BB2270" s="7"/>
      <c r="BC2270" s="4"/>
      <c r="BD2270" s="8"/>
      <c r="BE2270" s="4"/>
      <c r="BF2270" s="8"/>
      <c r="BG2270" s="7"/>
      <c r="BH2270" s="7"/>
      <c r="BI2270" s="7"/>
      <c r="BJ2270" s="4">
        <v>20</v>
      </c>
      <c r="BK2270" s="8">
        <v>767.25</v>
      </c>
      <c r="BL2270" s="2" t="s">
        <v>10682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10683</v>
      </c>
      <c r="BV2270" s="2" t="s">
        <v>228</v>
      </c>
      <c r="BW2270" s="2" t="s">
        <v>228</v>
      </c>
      <c r="BX2270" s="2" t="s">
        <v>337</v>
      </c>
      <c r="BY2270" s="2" t="s">
        <v>274</v>
      </c>
      <c r="BZ2270" s="2" t="s">
        <v>240</v>
      </c>
      <c r="CA2270" s="2" t="s">
        <v>1273</v>
      </c>
      <c r="CB2270" s="2" t="s">
        <v>10684</v>
      </c>
      <c r="CC2270" s="2" t="s">
        <v>241</v>
      </c>
      <c r="CD2270" s="2" t="s">
        <v>228</v>
      </c>
      <c r="CE2270" s="4">
        <v>36</v>
      </c>
      <c r="CF2270" s="4"/>
      <c r="CG2270" s="4"/>
      <c r="CH2270" s="4"/>
      <c r="CI2270" s="4"/>
      <c r="CJ2270" s="4"/>
      <c r="CK2270" s="4"/>
      <c r="CL2270" s="4"/>
      <c r="CM2270" s="4"/>
      <c r="CN2270" s="4"/>
      <c r="CO2270" s="4"/>
      <c r="CP2270" s="4"/>
      <c r="CQ2270" s="4"/>
      <c r="CR2270" s="4"/>
      <c r="CS2270" s="4"/>
      <c r="CT2270" s="4"/>
      <c r="CU2270" s="4"/>
      <c r="CV2270" s="4"/>
      <c r="CW2270" s="4"/>
      <c r="CX2270" s="4"/>
      <c r="CY2270" s="4"/>
      <c r="CZ2270" s="4"/>
      <c r="DA2270" s="4"/>
      <c r="DB2270" s="4"/>
      <c r="DC2270" s="4"/>
      <c r="DD2270" s="4"/>
      <c r="DE2270" s="4"/>
      <c r="DF2270" s="4"/>
      <c r="DG2270" s="4"/>
      <c r="DH2270" s="4"/>
      <c r="DI2270" s="4"/>
      <c r="DJ2270" s="4"/>
      <c r="DK2270" s="4"/>
      <c r="DL2270" s="4"/>
      <c r="DM2270" s="4"/>
      <c r="DN2270" s="4"/>
      <c r="DO2270" s="4"/>
      <c r="DP2270" s="4"/>
      <c r="DQ2270" s="4"/>
      <c r="DR2270" s="4"/>
      <c r="DS2270" s="4"/>
      <c r="DT2270" s="4"/>
      <c r="DU2270" s="4"/>
      <c r="DV2270" s="4"/>
      <c r="DW2270" s="4"/>
      <c r="DX2270" s="4"/>
      <c r="DY2270" s="4"/>
      <c r="DZ2270" s="4"/>
      <c r="EA2270" s="4"/>
      <c r="EB2270" s="4"/>
      <c r="EC2270" s="4"/>
      <c r="ED2270" s="4"/>
      <c r="EE2270" s="4"/>
      <c r="EF2270" s="4"/>
      <c r="EG2270" s="4"/>
      <c r="EH2270" s="4"/>
      <c r="EI2270" s="4"/>
      <c r="EJ2270" s="4"/>
      <c r="EK2270" s="4"/>
      <c r="EL2270" s="4"/>
      <c r="EM2270" s="4"/>
      <c r="EN2270" s="4"/>
      <c r="EO2270" s="4"/>
      <c r="EP2270" s="4"/>
      <c r="EQ2270" s="4"/>
      <c r="ER2270" s="4"/>
      <c r="ES2270" s="4"/>
      <c r="ET2270" s="4"/>
      <c r="EU2270" s="4"/>
      <c r="EV2270" s="4"/>
      <c r="EW2270" s="4"/>
      <c r="EX2270" s="4"/>
      <c r="EY2270" s="4"/>
      <c r="EZ2270" s="4"/>
      <c r="FA2270" s="4"/>
      <c r="FB2270" s="4"/>
      <c r="FC2270" s="4"/>
      <c r="FD2270" s="4"/>
      <c r="FE2270" s="4"/>
      <c r="FF2270" s="4"/>
      <c r="FG2270" s="4"/>
      <c r="FH2270" s="4"/>
      <c r="FI2270" s="4"/>
      <c r="FJ2270" s="4"/>
      <c r="FK2270" s="4"/>
      <c r="FL2270" s="4"/>
      <c r="FM2270" s="4"/>
      <c r="FN2270" s="4"/>
      <c r="FO2270" s="4"/>
      <c r="FP2270" s="4"/>
      <c r="FQ2270" s="4"/>
      <c r="FR2270" s="4"/>
      <c r="FS2270" s="4"/>
      <c r="FT2270" s="4"/>
      <c r="FU2270" s="4"/>
      <c r="FV2270" s="4"/>
      <c r="FW2270" s="4"/>
      <c r="FX2270" s="4"/>
      <c r="FY2270" s="4"/>
      <c r="FZ2270" s="4"/>
      <c r="GA2270" s="4"/>
      <c r="GB2270" s="4"/>
      <c r="GC2270" s="4"/>
      <c r="GD2270" s="4"/>
      <c r="GE2270" s="4"/>
      <c r="GF2270" s="4"/>
      <c r="GG2270" s="4"/>
      <c r="GH2270" s="4"/>
      <c r="GI2270" s="4"/>
      <c r="GJ2270" s="4"/>
      <c r="GK2270" s="4"/>
      <c r="GL2270" s="4"/>
      <c r="GM2270" s="4"/>
      <c r="GN2270" s="4"/>
      <c r="GO2270" s="4"/>
      <c r="GP2270" s="4"/>
      <c r="GQ2270" s="4"/>
      <c r="GR2270" s="4"/>
      <c r="GS2270" s="4"/>
      <c r="GT2270" s="4"/>
      <c r="GU2270" s="4"/>
      <c r="GV2270" s="4"/>
      <c r="GW2270" s="4"/>
      <c r="GX2270" s="4"/>
      <c r="GY2270" s="4"/>
      <c r="GZ2270" s="4"/>
      <c r="HA2270" s="4"/>
      <c r="HB2270" s="4"/>
      <c r="HC2270" s="4"/>
      <c r="HD2270" s="4"/>
      <c r="HE2270" s="4"/>
    </row>
    <row r="2271">
      <c r="A2271" s="2" t="s">
        <v>10685</v>
      </c>
      <c r="B2271" s="2" t="s">
        <v>866</v>
      </c>
      <c r="C2271" s="2" t="s">
        <v>1037</v>
      </c>
      <c r="D2271" s="2" t="s">
        <v>899</v>
      </c>
      <c r="E2271" s="2" t="s">
        <v>877</v>
      </c>
      <c r="F2271" s="2" t="s">
        <v>10686</v>
      </c>
      <c r="G2271" s="2" t="s">
        <v>10686</v>
      </c>
      <c r="H2271" s="2" t="s">
        <v>10686</v>
      </c>
      <c r="I2271" s="2" t="s">
        <v>2454</v>
      </c>
      <c r="J2271" s="2" t="s">
        <v>840</v>
      </c>
      <c r="K2271" s="2" t="s">
        <v>10687</v>
      </c>
      <c r="L2271" s="3">
        <v>29.35</v>
      </c>
      <c r="M2271" s="3">
        <v>30.82</v>
      </c>
      <c r="N2271" s="3">
        <v>59.49</v>
      </c>
      <c r="O2271" s="2" t="s">
        <v>240</v>
      </c>
      <c r="P2271" s="2" t="s">
        <v>333</v>
      </c>
      <c r="Q2271" s="2" t="s">
        <v>234</v>
      </c>
      <c r="R2271" s="2" t="s">
        <v>228</v>
      </c>
      <c r="S2271" s="2" t="s">
        <v>10688</v>
      </c>
      <c r="T2271" s="2" t="s">
        <v>228</v>
      </c>
      <c r="U2271" s="2" t="s">
        <v>520</v>
      </c>
      <c r="V2271" s="2" t="s">
        <v>980</v>
      </c>
      <c r="W2271" s="2" t="s">
        <v>417</v>
      </c>
      <c r="X2271" s="2" t="s">
        <v>228</v>
      </c>
      <c r="Y2271" s="2" t="s">
        <v>10689</v>
      </c>
      <c r="Z2271" s="4">
        <v>7</v>
      </c>
      <c r="AA2271" s="4">
        <f>=ROUNDDOWN(3.88888888888889,0)</f>
      </c>
      <c r="AB2271" s="5">
        <v>1.8</v>
      </c>
      <c r="AC2271" s="2" t="s">
        <v>228</v>
      </c>
      <c r="AD2271" s="4"/>
      <c r="AE2271" s="4"/>
      <c r="AF2271" s="6">
        <v>63</v>
      </c>
      <c r="AG2271" s="6"/>
      <c r="AH2271" s="7">
        <v>1</v>
      </c>
      <c r="AI2271" s="4"/>
      <c r="AJ2271" s="4">
        <f>=ROUNDDOWN({0},0)</f>
      </c>
      <c r="AK2271" s="5"/>
      <c r="AL2271" s="2" t="s">
        <v>228</v>
      </c>
      <c r="AM2271" s="4"/>
      <c r="AN2271" s="4"/>
      <c r="AO2271" s="7"/>
      <c r="AP2271" s="4"/>
      <c r="AQ2271" s="8"/>
      <c r="AR2271" s="4"/>
      <c r="AS2271" s="8"/>
      <c r="AT2271" s="7"/>
      <c r="AU2271" s="7"/>
      <c r="AV2271" s="4"/>
      <c r="AW2271" s="8"/>
      <c r="AX2271" s="4"/>
      <c r="AY2271" s="8"/>
      <c r="AZ2271" s="7"/>
      <c r="BA2271" s="7"/>
      <c r="BB2271" s="7"/>
      <c r="BC2271" s="4"/>
      <c r="BD2271" s="8"/>
      <c r="BE2271" s="4"/>
      <c r="BF2271" s="8"/>
      <c r="BG2271" s="7"/>
      <c r="BH2271" s="7"/>
      <c r="BI2271" s="7"/>
      <c r="BJ2271" s="4">
        <v>7</v>
      </c>
      <c r="BK2271" s="8">
        <v>251.71</v>
      </c>
      <c r="BL2271" s="2" t="s">
        <v>10690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10691</v>
      </c>
      <c r="BV2271" s="2" t="s">
        <v>228</v>
      </c>
      <c r="BW2271" s="2" t="s">
        <v>228</v>
      </c>
      <c r="BX2271" s="2" t="s">
        <v>337</v>
      </c>
      <c r="BY2271" s="2" t="s">
        <v>274</v>
      </c>
      <c r="BZ2271" s="2" t="s">
        <v>240</v>
      </c>
      <c r="CA2271" s="2" t="s">
        <v>9080</v>
      </c>
      <c r="CB2271" s="2" t="s">
        <v>10692</v>
      </c>
      <c r="CC2271" s="2" t="s">
        <v>241</v>
      </c>
      <c r="CD2271" s="2" t="s">
        <v>228</v>
      </c>
      <c r="CE2271" s="4"/>
      <c r="CF2271" s="4">
        <v>7</v>
      </c>
      <c r="CG2271" s="4"/>
      <c r="CH2271" s="4"/>
      <c r="CI2271" s="4"/>
      <c r="CJ2271" s="4"/>
      <c r="CK2271" s="4"/>
      <c r="CL2271" s="4"/>
      <c r="CM2271" s="4"/>
      <c r="CN2271" s="4"/>
      <c r="CO2271" s="4"/>
      <c r="CP2271" s="4"/>
      <c r="CQ2271" s="4"/>
      <c r="CR2271" s="4"/>
      <c r="CS2271" s="4"/>
      <c r="CT2271" s="4"/>
      <c r="CU2271" s="4"/>
      <c r="CV2271" s="4"/>
      <c r="CW2271" s="4"/>
      <c r="CX2271" s="4"/>
      <c r="CY2271" s="4"/>
      <c r="CZ2271" s="4"/>
      <c r="DA2271" s="4"/>
      <c r="DB2271" s="4"/>
      <c r="DC2271" s="4"/>
      <c r="DD2271" s="4"/>
      <c r="DE2271" s="4"/>
      <c r="DF2271" s="4"/>
      <c r="DG2271" s="4"/>
      <c r="DH2271" s="4"/>
      <c r="DI2271" s="4"/>
      <c r="DJ2271" s="4"/>
      <c r="DK2271" s="4"/>
      <c r="DL2271" s="4"/>
      <c r="DM2271" s="4"/>
      <c r="DN2271" s="4"/>
      <c r="DO2271" s="4"/>
      <c r="DP2271" s="4"/>
      <c r="DQ2271" s="4"/>
      <c r="DR2271" s="4"/>
      <c r="DS2271" s="4"/>
      <c r="DT2271" s="4"/>
      <c r="DU2271" s="4"/>
      <c r="DV2271" s="4"/>
      <c r="DW2271" s="4"/>
      <c r="DX2271" s="4"/>
      <c r="DY2271" s="4"/>
      <c r="DZ2271" s="4"/>
      <c r="EA2271" s="4"/>
      <c r="EB2271" s="4"/>
      <c r="EC2271" s="4"/>
      <c r="ED2271" s="4"/>
      <c r="EE2271" s="4"/>
      <c r="EF2271" s="4"/>
      <c r="EG2271" s="4"/>
      <c r="EH2271" s="4"/>
      <c r="EI2271" s="4"/>
      <c r="EJ2271" s="4"/>
      <c r="EK2271" s="4"/>
      <c r="EL2271" s="4"/>
      <c r="EM2271" s="4"/>
      <c r="EN2271" s="4"/>
      <c r="EO2271" s="4"/>
      <c r="EP2271" s="4"/>
      <c r="EQ2271" s="4"/>
      <c r="ER2271" s="4"/>
      <c r="ES2271" s="4"/>
      <c r="ET2271" s="4"/>
      <c r="EU2271" s="4"/>
      <c r="EV2271" s="4"/>
      <c r="EW2271" s="4"/>
      <c r="EX2271" s="4"/>
      <c r="EY2271" s="4"/>
      <c r="EZ2271" s="4"/>
      <c r="FA2271" s="4"/>
      <c r="FB2271" s="4"/>
      <c r="FC2271" s="4"/>
      <c r="FD2271" s="4"/>
      <c r="FE2271" s="4"/>
      <c r="FF2271" s="4"/>
      <c r="FG2271" s="4"/>
      <c r="FH2271" s="4"/>
      <c r="FI2271" s="4"/>
      <c r="FJ2271" s="4"/>
      <c r="FK2271" s="4"/>
      <c r="FL2271" s="4"/>
      <c r="FM2271" s="4"/>
      <c r="FN2271" s="4"/>
      <c r="FO2271" s="4"/>
      <c r="FP2271" s="4"/>
      <c r="FQ2271" s="4"/>
      <c r="FR2271" s="4"/>
      <c r="FS2271" s="4"/>
      <c r="FT2271" s="4"/>
      <c r="FU2271" s="4"/>
      <c r="FV2271" s="4"/>
      <c r="FW2271" s="4"/>
      <c r="FX2271" s="4"/>
      <c r="FY2271" s="4"/>
      <c r="FZ2271" s="4"/>
      <c r="GA2271" s="4"/>
      <c r="GB2271" s="4"/>
      <c r="GC2271" s="4"/>
      <c r="GD2271" s="4"/>
      <c r="GE2271" s="4"/>
      <c r="GF2271" s="4"/>
      <c r="GG2271" s="4"/>
      <c r="GH2271" s="4"/>
      <c r="GI2271" s="4"/>
      <c r="GJ2271" s="4"/>
      <c r="GK2271" s="4"/>
      <c r="GL2271" s="4"/>
      <c r="GM2271" s="4"/>
      <c r="GN2271" s="4"/>
      <c r="GO2271" s="4"/>
      <c r="GP2271" s="4"/>
      <c r="GQ2271" s="4"/>
      <c r="GR2271" s="4"/>
      <c r="GS2271" s="4"/>
      <c r="GT2271" s="4"/>
      <c r="GU2271" s="4"/>
      <c r="GV2271" s="4"/>
      <c r="GW2271" s="4"/>
      <c r="GX2271" s="4"/>
      <c r="GY2271" s="4"/>
      <c r="GZ2271" s="4"/>
      <c r="HA2271" s="4"/>
      <c r="HB2271" s="4"/>
      <c r="HC2271" s="4"/>
      <c r="HD2271" s="4"/>
      <c r="HE2271" s="4"/>
    </row>
    <row r="2272">
      <c r="A2272" s="2" t="s">
        <v>10693</v>
      </c>
      <c r="B2272" s="2" t="s">
        <v>1150</v>
      </c>
      <c r="C2272" s="2" t="s">
        <v>300</v>
      </c>
      <c r="D2272" s="2" t="s">
        <v>1316</v>
      </c>
      <c r="E2272" s="2" t="s">
        <v>2396</v>
      </c>
      <c r="F2272" s="2" t="s">
        <v>10694</v>
      </c>
      <c r="G2272" s="2" t="s">
        <v>10695</v>
      </c>
      <c r="H2272" s="2" t="s">
        <v>10696</v>
      </c>
      <c r="I2272" s="2" t="s">
        <v>10697</v>
      </c>
      <c r="J2272" s="2" t="s">
        <v>1189</v>
      </c>
      <c r="K2272" s="2" t="s">
        <v>1264</v>
      </c>
      <c r="L2272" s="3">
        <v>36.8</v>
      </c>
      <c r="M2272" s="3">
        <v>38.64</v>
      </c>
      <c r="N2272" s="3">
        <v>79.99</v>
      </c>
      <c r="O2272" s="2" t="s">
        <v>240</v>
      </c>
      <c r="P2272" s="2" t="s">
        <v>233</v>
      </c>
      <c r="Q2272" s="2" t="s">
        <v>234</v>
      </c>
      <c r="R2272" s="2" t="s">
        <v>228</v>
      </c>
      <c r="S2272" s="2" t="s">
        <v>10698</v>
      </c>
      <c r="T2272" s="2" t="s">
        <v>228</v>
      </c>
      <c r="U2272" s="2" t="s">
        <v>500</v>
      </c>
      <c r="V2272" s="2" t="s">
        <v>1438</v>
      </c>
      <c r="W2272" s="2" t="s">
        <v>1267</v>
      </c>
      <c r="X2272" s="2" t="s">
        <v>5547</v>
      </c>
      <c r="Y2272" s="2" t="s">
        <v>4638</v>
      </c>
      <c r="Z2272" s="4">
        <v>289</v>
      </c>
      <c r="AA2272" s="4">
        <f>=ROUNDDOWN(16.0555555555556,0)</f>
      </c>
      <c r="AB2272" s="5">
        <v>18</v>
      </c>
      <c r="AC2272" s="2" t="s">
        <v>1516</v>
      </c>
      <c r="AD2272" s="4">
        <v>290</v>
      </c>
      <c r="AE2272" s="4">
        <v>290</v>
      </c>
      <c r="AF2272" s="6">
        <v>65</v>
      </c>
      <c r="AG2272" s="6"/>
      <c r="AH2272" s="7">
        <v>0.8387</v>
      </c>
      <c r="AI2272" s="4"/>
      <c r="AJ2272" s="4">
        <f>=ROUNDDOWN({0},0)</f>
      </c>
      <c r="AK2272" s="5"/>
      <c r="AL2272" s="2" t="s">
        <v>228</v>
      </c>
      <c r="AM2272" s="4"/>
      <c r="AN2272" s="4"/>
      <c r="AO2272" s="7"/>
      <c r="AP2272" s="4"/>
      <c r="AQ2272" s="8"/>
      <c r="AR2272" s="4"/>
      <c r="AS2272" s="8"/>
      <c r="AT2272" s="7"/>
      <c r="AU2272" s="7"/>
      <c r="AV2272" s="4" t="s">
        <v>228</v>
      </c>
      <c r="AW2272" s="8" t="s">
        <v>228</v>
      </c>
      <c r="AX2272" s="4" t="s">
        <v>228</v>
      </c>
      <c r="AY2272" s="8" t="s">
        <v>228</v>
      </c>
      <c r="AZ2272" s="7" t="s">
        <v>228</v>
      </c>
      <c r="BA2272" s="7" t="s">
        <v>228</v>
      </c>
      <c r="BB2272" s="7"/>
      <c r="BC2272" s="4" t="s">
        <v>228</v>
      </c>
      <c r="BD2272" s="8" t="s">
        <v>228</v>
      </c>
      <c r="BE2272" s="4" t="s">
        <v>228</v>
      </c>
      <c r="BF2272" s="8" t="s">
        <v>228</v>
      </c>
      <c r="BG2272" s="7" t="s">
        <v>228</v>
      </c>
      <c r="BH2272" s="7" t="s">
        <v>228</v>
      </c>
      <c r="BI2272" s="7"/>
      <c r="BJ2272" s="4"/>
      <c r="BK2272" s="8"/>
      <c r="BL2272" s="2" t="s">
        <v>228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10699</v>
      </c>
      <c r="BV2272" s="2" t="s">
        <v>228</v>
      </c>
      <c r="BW2272" s="2" t="s">
        <v>228</v>
      </c>
      <c r="BX2272" s="2" t="s">
        <v>238</v>
      </c>
      <c r="BY2272" s="2" t="s">
        <v>274</v>
      </c>
      <c r="BZ2272" s="2" t="s">
        <v>240</v>
      </c>
      <c r="CA2272" s="2" t="s">
        <v>228</v>
      </c>
      <c r="CB2272" s="2" t="s">
        <v>228</v>
      </c>
      <c r="CC2272" s="2" t="s">
        <v>241</v>
      </c>
      <c r="CD2272" s="2" t="s">
        <v>228</v>
      </c>
      <c r="CE2272" s="4">
        <v>289</v>
      </c>
      <c r="CF2272" s="4"/>
      <c r="CG2272" s="4"/>
      <c r="CH2272" s="4"/>
      <c r="CI2272" s="4"/>
      <c r="CJ2272" s="4"/>
      <c r="CK2272" s="4"/>
      <c r="CL2272" s="4"/>
      <c r="CM2272" s="4"/>
      <c r="CN2272" s="4"/>
      <c r="CO2272" s="4"/>
      <c r="CP2272" s="4"/>
      <c r="CQ2272" s="4"/>
      <c r="CR2272" s="4"/>
      <c r="CS2272" s="4"/>
      <c r="CT2272" s="4"/>
      <c r="CU2272" s="4"/>
      <c r="CV2272" s="4"/>
      <c r="CW2272" s="4"/>
      <c r="CX2272" s="4"/>
      <c r="CY2272" s="4"/>
      <c r="CZ2272" s="4"/>
      <c r="DA2272" s="4"/>
      <c r="DB2272" s="4"/>
      <c r="DC2272" s="4"/>
      <c r="DD2272" s="4"/>
      <c r="DE2272" s="4"/>
      <c r="DF2272" s="4"/>
      <c r="DG2272" s="4"/>
      <c r="DH2272" s="4"/>
      <c r="DI2272" s="4"/>
      <c r="DJ2272" s="4"/>
      <c r="DK2272" s="4"/>
      <c r="DL2272" s="4"/>
      <c r="DM2272" s="4"/>
      <c r="DN2272" s="4"/>
      <c r="DO2272" s="4"/>
      <c r="DP2272" s="4"/>
      <c r="DQ2272" s="4"/>
      <c r="DR2272" s="4"/>
      <c r="DS2272" s="4"/>
      <c r="DT2272" s="4"/>
      <c r="DU2272" s="4"/>
      <c r="DV2272" s="4"/>
      <c r="DW2272" s="4"/>
      <c r="DX2272" s="4"/>
      <c r="DY2272" s="4"/>
      <c r="DZ2272" s="4"/>
      <c r="EA2272" s="4"/>
      <c r="EB2272" s="4"/>
      <c r="EC2272" s="4"/>
      <c r="ED2272" s="4"/>
      <c r="EE2272" s="4"/>
      <c r="EF2272" s="4"/>
      <c r="EG2272" s="4">
        <v>290</v>
      </c>
      <c r="EH2272" s="4"/>
      <c r="EI2272" s="4"/>
      <c r="EJ2272" s="4"/>
      <c r="EK2272" s="4"/>
      <c r="EL2272" s="4"/>
      <c r="EM2272" s="4"/>
      <c r="EN2272" s="4"/>
      <c r="EO2272" s="4"/>
      <c r="EP2272" s="4"/>
      <c r="EQ2272" s="4"/>
      <c r="ER2272" s="4"/>
      <c r="ES2272" s="4"/>
      <c r="ET2272" s="4"/>
      <c r="EU2272" s="4"/>
      <c r="EV2272" s="4"/>
      <c r="EW2272" s="4"/>
      <c r="EX2272" s="4"/>
      <c r="EY2272" s="4"/>
      <c r="EZ2272" s="4"/>
      <c r="FA2272" s="4"/>
      <c r="FB2272" s="4"/>
      <c r="FC2272" s="4"/>
      <c r="FD2272" s="4"/>
      <c r="FE2272" s="4"/>
      <c r="FF2272" s="4"/>
      <c r="FG2272" s="4"/>
      <c r="FH2272" s="4"/>
      <c r="FI2272" s="4"/>
      <c r="FJ2272" s="4"/>
      <c r="FK2272" s="4"/>
      <c r="FL2272" s="4"/>
      <c r="FM2272" s="4"/>
      <c r="FN2272" s="4"/>
      <c r="FO2272" s="4"/>
      <c r="FP2272" s="4"/>
      <c r="FQ2272" s="4"/>
      <c r="FR2272" s="4"/>
      <c r="FS2272" s="4"/>
      <c r="FT2272" s="4"/>
      <c r="FU2272" s="4"/>
      <c r="FV2272" s="4"/>
      <c r="FW2272" s="4"/>
      <c r="FX2272" s="4"/>
      <c r="FY2272" s="4"/>
      <c r="FZ2272" s="4"/>
      <c r="GA2272" s="4"/>
      <c r="GB2272" s="4"/>
      <c r="GC2272" s="4"/>
      <c r="GD2272" s="4"/>
      <c r="GE2272" s="4"/>
      <c r="GF2272" s="4"/>
      <c r="GG2272" s="4"/>
      <c r="GH2272" s="4"/>
      <c r="GI2272" s="4"/>
      <c r="GJ2272" s="4"/>
      <c r="GK2272" s="4"/>
      <c r="GL2272" s="4"/>
      <c r="GM2272" s="4"/>
      <c r="GN2272" s="4"/>
      <c r="GO2272" s="4"/>
      <c r="GP2272" s="4"/>
      <c r="GQ2272" s="4"/>
      <c r="GR2272" s="4"/>
      <c r="GS2272" s="4"/>
      <c r="GT2272" s="4"/>
      <c r="GU2272" s="4"/>
      <c r="GV2272" s="4"/>
      <c r="GW2272" s="4"/>
      <c r="GX2272" s="4"/>
      <c r="GY2272" s="4"/>
      <c r="GZ2272" s="4"/>
      <c r="HA2272" s="4"/>
      <c r="HB2272" s="4"/>
      <c r="HC2272" s="4"/>
      <c r="HD2272" s="4"/>
      <c r="HE2272" s="4"/>
    </row>
    <row r="2273">
      <c r="A2273" s="2" t="s">
        <v>10700</v>
      </c>
      <c r="B2273" s="2" t="s">
        <v>1150</v>
      </c>
      <c r="C2273" s="2" t="s">
        <v>300</v>
      </c>
      <c r="D2273" s="2" t="s">
        <v>1316</v>
      </c>
      <c r="E2273" s="2" t="s">
        <v>2396</v>
      </c>
      <c r="F2273" s="2" t="s">
        <v>10694</v>
      </c>
      <c r="G2273" s="2" t="s">
        <v>10695</v>
      </c>
      <c r="H2273" s="2" t="s">
        <v>10696</v>
      </c>
      <c r="I2273" s="2" t="s">
        <v>10697</v>
      </c>
      <c r="J2273" s="2" t="s">
        <v>1043</v>
      </c>
      <c r="K2273" s="2" t="s">
        <v>1264</v>
      </c>
      <c r="L2273" s="3">
        <v>42.3</v>
      </c>
      <c r="M2273" s="3">
        <v>44.41</v>
      </c>
      <c r="N2273" s="3">
        <v>89.99</v>
      </c>
      <c r="O2273" s="2" t="s">
        <v>240</v>
      </c>
      <c r="P2273" s="2" t="s">
        <v>233</v>
      </c>
      <c r="Q2273" s="2" t="s">
        <v>234</v>
      </c>
      <c r="R2273" s="2" t="s">
        <v>228</v>
      </c>
      <c r="S2273" s="2" t="s">
        <v>10698</v>
      </c>
      <c r="T2273" s="2" t="s">
        <v>228</v>
      </c>
      <c r="U2273" s="2" t="s">
        <v>500</v>
      </c>
      <c r="V2273" s="2" t="s">
        <v>1438</v>
      </c>
      <c r="W2273" s="2" t="s">
        <v>1267</v>
      </c>
      <c r="X2273" s="2" t="s">
        <v>5547</v>
      </c>
      <c r="Y2273" s="2" t="s">
        <v>4638</v>
      </c>
      <c r="Z2273" s="4">
        <v>260</v>
      </c>
      <c r="AA2273" s="4">
        <f>=ROUNDDOWN(15.2941176470588,0)</f>
      </c>
      <c r="AB2273" s="5">
        <v>17</v>
      </c>
      <c r="AC2273" s="2" t="s">
        <v>1516</v>
      </c>
      <c r="AD2273" s="4">
        <v>260</v>
      </c>
      <c r="AE2273" s="4">
        <v>260</v>
      </c>
      <c r="AF2273" s="6">
        <v>65</v>
      </c>
      <c r="AG2273" s="6"/>
      <c r="AH2273" s="7">
        <v>0.8065</v>
      </c>
      <c r="AI2273" s="4"/>
      <c r="AJ2273" s="4">
        <f>=ROUNDDOWN({0},0)</f>
      </c>
      <c r="AK2273" s="5"/>
      <c r="AL2273" s="2" t="s">
        <v>228</v>
      </c>
      <c r="AM2273" s="4"/>
      <c r="AN2273" s="4"/>
      <c r="AO2273" s="7"/>
      <c r="AP2273" s="4"/>
      <c r="AQ2273" s="8"/>
      <c r="AR2273" s="4"/>
      <c r="AS2273" s="8"/>
      <c r="AT2273" s="7"/>
      <c r="AU2273" s="7"/>
      <c r="AV2273" s="4" t="s">
        <v>228</v>
      </c>
      <c r="AW2273" s="8" t="s">
        <v>228</v>
      </c>
      <c r="AX2273" s="4" t="s">
        <v>228</v>
      </c>
      <c r="AY2273" s="8" t="s">
        <v>228</v>
      </c>
      <c r="AZ2273" s="7" t="s">
        <v>228</v>
      </c>
      <c r="BA2273" s="7" t="s">
        <v>228</v>
      </c>
      <c r="BB2273" s="7"/>
      <c r="BC2273" s="4" t="s">
        <v>228</v>
      </c>
      <c r="BD2273" s="8" t="s">
        <v>228</v>
      </c>
      <c r="BE2273" s="4" t="s">
        <v>228</v>
      </c>
      <c r="BF2273" s="8" t="s">
        <v>228</v>
      </c>
      <c r="BG2273" s="7" t="s">
        <v>228</v>
      </c>
      <c r="BH2273" s="7" t="s">
        <v>228</v>
      </c>
      <c r="BI2273" s="7"/>
      <c r="BJ2273" s="4"/>
      <c r="BK2273" s="8"/>
      <c r="BL2273" s="2" t="s">
        <v>228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10701</v>
      </c>
      <c r="BV2273" s="2" t="s">
        <v>228</v>
      </c>
      <c r="BW2273" s="2" t="s">
        <v>228</v>
      </c>
      <c r="BX2273" s="2" t="s">
        <v>238</v>
      </c>
      <c r="BY2273" s="2" t="s">
        <v>274</v>
      </c>
      <c r="BZ2273" s="2" t="s">
        <v>240</v>
      </c>
      <c r="CA2273" s="2" t="s">
        <v>228</v>
      </c>
      <c r="CB2273" s="2" t="s">
        <v>228</v>
      </c>
      <c r="CC2273" s="2" t="s">
        <v>241</v>
      </c>
      <c r="CD2273" s="2" t="s">
        <v>228</v>
      </c>
      <c r="CE2273" s="4">
        <v>260</v>
      </c>
      <c r="CF2273" s="4"/>
      <c r="CG2273" s="4"/>
      <c r="CH2273" s="4"/>
      <c r="CI2273" s="4"/>
      <c r="CJ2273" s="4"/>
      <c r="CK2273" s="4"/>
      <c r="CL2273" s="4"/>
      <c r="CM2273" s="4"/>
      <c r="CN2273" s="4"/>
      <c r="CO2273" s="4"/>
      <c r="CP2273" s="4"/>
      <c r="CQ2273" s="4"/>
      <c r="CR2273" s="4"/>
      <c r="CS2273" s="4"/>
      <c r="CT2273" s="4"/>
      <c r="CU2273" s="4"/>
      <c r="CV2273" s="4"/>
      <c r="CW2273" s="4"/>
      <c r="CX2273" s="4"/>
      <c r="CY2273" s="4"/>
      <c r="CZ2273" s="4"/>
      <c r="DA2273" s="4"/>
      <c r="DB2273" s="4"/>
      <c r="DC2273" s="4"/>
      <c r="DD2273" s="4"/>
      <c r="DE2273" s="4"/>
      <c r="DF2273" s="4"/>
      <c r="DG2273" s="4"/>
      <c r="DH2273" s="4"/>
      <c r="DI2273" s="4"/>
      <c r="DJ2273" s="4"/>
      <c r="DK2273" s="4"/>
      <c r="DL2273" s="4"/>
      <c r="DM2273" s="4"/>
      <c r="DN2273" s="4"/>
      <c r="DO2273" s="4"/>
      <c r="DP2273" s="4"/>
      <c r="DQ2273" s="4"/>
      <c r="DR2273" s="4"/>
      <c r="DS2273" s="4"/>
      <c r="DT2273" s="4"/>
      <c r="DU2273" s="4"/>
      <c r="DV2273" s="4"/>
      <c r="DW2273" s="4"/>
      <c r="DX2273" s="4"/>
      <c r="DY2273" s="4"/>
      <c r="DZ2273" s="4"/>
      <c r="EA2273" s="4"/>
      <c r="EB2273" s="4"/>
      <c r="EC2273" s="4"/>
      <c r="ED2273" s="4"/>
      <c r="EE2273" s="4"/>
      <c r="EF2273" s="4"/>
      <c r="EG2273" s="4">
        <v>260</v>
      </c>
      <c r="EH2273" s="4"/>
      <c r="EI2273" s="4"/>
      <c r="EJ2273" s="4"/>
      <c r="EK2273" s="4"/>
      <c r="EL2273" s="4"/>
      <c r="EM2273" s="4"/>
      <c r="EN2273" s="4"/>
      <c r="EO2273" s="4"/>
      <c r="EP2273" s="4"/>
      <c r="EQ2273" s="4"/>
      <c r="ER2273" s="4"/>
      <c r="ES2273" s="4"/>
      <c r="ET2273" s="4"/>
      <c r="EU2273" s="4"/>
      <c r="EV2273" s="4"/>
      <c r="EW2273" s="4"/>
      <c r="EX2273" s="4"/>
      <c r="EY2273" s="4"/>
      <c r="EZ2273" s="4"/>
      <c r="FA2273" s="4"/>
      <c r="FB2273" s="4"/>
      <c r="FC2273" s="4"/>
      <c r="FD2273" s="4"/>
      <c r="FE2273" s="4"/>
      <c r="FF2273" s="4"/>
      <c r="FG2273" s="4"/>
      <c r="FH2273" s="4"/>
      <c r="FI2273" s="4"/>
      <c r="FJ2273" s="4"/>
      <c r="FK2273" s="4"/>
      <c r="FL2273" s="4"/>
      <c r="FM2273" s="4"/>
      <c r="FN2273" s="4"/>
      <c r="FO2273" s="4"/>
      <c r="FP2273" s="4"/>
      <c r="FQ2273" s="4"/>
      <c r="FR2273" s="4"/>
      <c r="FS2273" s="4"/>
      <c r="FT2273" s="4"/>
      <c r="FU2273" s="4"/>
      <c r="FV2273" s="4"/>
      <c r="FW2273" s="4"/>
      <c r="FX2273" s="4"/>
      <c r="FY2273" s="4"/>
      <c r="FZ2273" s="4"/>
      <c r="GA2273" s="4"/>
      <c r="GB2273" s="4"/>
      <c r="GC2273" s="4"/>
      <c r="GD2273" s="4"/>
      <c r="GE2273" s="4"/>
      <c r="GF2273" s="4"/>
      <c r="GG2273" s="4"/>
      <c r="GH2273" s="4"/>
      <c r="GI2273" s="4"/>
      <c r="GJ2273" s="4"/>
      <c r="GK2273" s="4"/>
      <c r="GL2273" s="4"/>
      <c r="GM2273" s="4"/>
      <c r="GN2273" s="4"/>
      <c r="GO2273" s="4"/>
      <c r="GP2273" s="4"/>
      <c r="GQ2273" s="4"/>
      <c r="GR2273" s="4"/>
      <c r="GS2273" s="4"/>
      <c r="GT2273" s="4"/>
      <c r="GU2273" s="4"/>
      <c r="GV2273" s="4"/>
      <c r="GW2273" s="4"/>
      <c r="GX2273" s="4"/>
      <c r="GY2273" s="4"/>
      <c r="GZ2273" s="4"/>
      <c r="HA2273" s="4"/>
      <c r="HB2273" s="4"/>
      <c r="HC2273" s="4"/>
      <c r="HD2273" s="4"/>
      <c r="HE2273" s="4"/>
    </row>
    <row r="2274">
      <c r="A2274" s="2" t="s">
        <v>10702</v>
      </c>
      <c r="B2274" s="2" t="s">
        <v>866</v>
      </c>
      <c r="C2274" s="2" t="s">
        <v>835</v>
      </c>
      <c r="D2274" s="2" t="s">
        <v>1880</v>
      </c>
      <c r="E2274" s="2" t="s">
        <v>868</v>
      </c>
      <c r="F2274" s="2" t="s">
        <v>10703</v>
      </c>
      <c r="G2274" s="2" t="s">
        <v>10703</v>
      </c>
      <c r="H2274" s="2" t="s">
        <v>10703</v>
      </c>
      <c r="I2274" s="2" t="s">
        <v>10704</v>
      </c>
      <c r="J2274" s="2" t="s">
        <v>840</v>
      </c>
      <c r="K2274" s="2" t="s">
        <v>1357</v>
      </c>
      <c r="L2274" s="3">
        <v>66.56</v>
      </c>
      <c r="M2274" s="3">
        <v>69.89</v>
      </c>
      <c r="N2274" s="3">
        <v>144.49</v>
      </c>
      <c r="O2274" s="2" t="s">
        <v>240</v>
      </c>
      <c r="P2274" s="2" t="s">
        <v>266</v>
      </c>
      <c r="Q2274" s="2" t="s">
        <v>234</v>
      </c>
      <c r="R2274" s="2" t="s">
        <v>228</v>
      </c>
      <c r="S2274" s="2" t="s">
        <v>10705</v>
      </c>
      <c r="T2274" s="2" t="s">
        <v>228</v>
      </c>
      <c r="U2274" s="2" t="s">
        <v>416</v>
      </c>
      <c r="V2274" s="2" t="s">
        <v>236</v>
      </c>
      <c r="W2274" s="2" t="s">
        <v>417</v>
      </c>
      <c r="X2274" s="2" t="s">
        <v>228</v>
      </c>
      <c r="Y2274" s="2" t="s">
        <v>10706</v>
      </c>
      <c r="Z2274" s="4">
        <v>130</v>
      </c>
      <c r="AA2274" s="4">
        <f>=ROUNDDOWN(26,0)</f>
      </c>
      <c r="AB2274" s="5">
        <v>5</v>
      </c>
      <c r="AC2274" s="2" t="s">
        <v>228</v>
      </c>
      <c r="AD2274" s="4"/>
      <c r="AE2274" s="4"/>
      <c r="AF2274" s="6">
        <v>65</v>
      </c>
      <c r="AG2274" s="6"/>
      <c r="AH2274" s="7">
        <v>1</v>
      </c>
      <c r="AI2274" s="4"/>
      <c r="AJ2274" s="4">
        <f>=ROUNDDOWN({0},0)</f>
      </c>
      <c r="AK2274" s="5"/>
      <c r="AL2274" s="2" t="s">
        <v>228</v>
      </c>
      <c r="AM2274" s="4"/>
      <c r="AN2274" s="4"/>
      <c r="AO2274" s="7"/>
      <c r="AP2274" s="4"/>
      <c r="AQ2274" s="8"/>
      <c r="AR2274" s="4"/>
      <c r="AS2274" s="8"/>
      <c r="AT2274" s="7"/>
      <c r="AU2274" s="7"/>
      <c r="AV2274" s="4"/>
      <c r="AW2274" s="8"/>
      <c r="AX2274" s="4"/>
      <c r="AY2274" s="8"/>
      <c r="AZ2274" s="7"/>
      <c r="BA2274" s="7"/>
      <c r="BB2274" s="7"/>
      <c r="BC2274" s="4"/>
      <c r="BD2274" s="8"/>
      <c r="BE2274" s="4"/>
      <c r="BF2274" s="8"/>
      <c r="BG2274" s="7"/>
      <c r="BH2274" s="7"/>
      <c r="BI2274" s="7"/>
      <c r="BJ2274" s="4">
        <v>19</v>
      </c>
      <c r="BK2274" s="8">
        <v>1286.36</v>
      </c>
      <c r="BL2274" s="2" t="s">
        <v>10707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10708</v>
      </c>
      <c r="BV2274" s="2" t="s">
        <v>228</v>
      </c>
      <c r="BW2274" s="2" t="s">
        <v>228</v>
      </c>
      <c r="BX2274" s="2" t="s">
        <v>273</v>
      </c>
      <c r="BY2274" s="2" t="s">
        <v>274</v>
      </c>
      <c r="BZ2274" s="2" t="s">
        <v>240</v>
      </c>
      <c r="CA2274" s="2" t="s">
        <v>1611</v>
      </c>
      <c r="CB2274" s="2" t="s">
        <v>10709</v>
      </c>
      <c r="CC2274" s="2" t="s">
        <v>241</v>
      </c>
      <c r="CD2274" s="2" t="s">
        <v>228</v>
      </c>
      <c r="CE2274" s="4"/>
      <c r="CF2274" s="4">
        <v>130</v>
      </c>
      <c r="CG2274" s="4"/>
      <c r="CH2274" s="4"/>
      <c r="CI2274" s="4"/>
      <c r="CJ2274" s="4"/>
      <c r="CK2274" s="4"/>
      <c r="CL2274" s="4"/>
      <c r="CM2274" s="4"/>
      <c r="CN2274" s="4"/>
      <c r="CO2274" s="4"/>
      <c r="CP2274" s="4"/>
      <c r="CQ2274" s="4"/>
      <c r="CR2274" s="4"/>
      <c r="CS2274" s="4"/>
      <c r="CT2274" s="4"/>
      <c r="CU2274" s="4"/>
      <c r="CV2274" s="4"/>
      <c r="CW2274" s="4"/>
      <c r="CX2274" s="4"/>
      <c r="CY2274" s="4"/>
      <c r="CZ2274" s="4"/>
      <c r="DA2274" s="4"/>
      <c r="DB2274" s="4"/>
      <c r="DC2274" s="4"/>
      <c r="DD2274" s="4"/>
      <c r="DE2274" s="4"/>
      <c r="DF2274" s="4"/>
      <c r="DG2274" s="4"/>
      <c r="DH2274" s="4"/>
      <c r="DI2274" s="4"/>
      <c r="DJ2274" s="4"/>
      <c r="DK2274" s="4"/>
      <c r="DL2274" s="4"/>
      <c r="DM2274" s="4"/>
      <c r="DN2274" s="4"/>
      <c r="DO2274" s="4"/>
      <c r="DP2274" s="4"/>
      <c r="DQ2274" s="4"/>
      <c r="DR2274" s="4"/>
      <c r="DS2274" s="4"/>
      <c r="DT2274" s="4"/>
      <c r="DU2274" s="4"/>
      <c r="DV2274" s="4"/>
      <c r="DW2274" s="4"/>
      <c r="DX2274" s="4"/>
      <c r="DY2274" s="4"/>
      <c r="DZ2274" s="4"/>
      <c r="EA2274" s="4"/>
      <c r="EB2274" s="4"/>
      <c r="EC2274" s="4"/>
      <c r="ED2274" s="4"/>
      <c r="EE2274" s="4"/>
      <c r="EF2274" s="4"/>
      <c r="EG2274" s="4"/>
      <c r="EH2274" s="4"/>
      <c r="EI2274" s="4"/>
      <c r="EJ2274" s="4"/>
      <c r="EK2274" s="4"/>
      <c r="EL2274" s="4"/>
      <c r="EM2274" s="4"/>
      <c r="EN2274" s="4"/>
      <c r="EO2274" s="4"/>
      <c r="EP2274" s="4"/>
      <c r="EQ2274" s="4"/>
      <c r="ER2274" s="4"/>
      <c r="ES2274" s="4"/>
      <c r="ET2274" s="4"/>
      <c r="EU2274" s="4"/>
      <c r="EV2274" s="4"/>
      <c r="EW2274" s="4"/>
      <c r="EX2274" s="4"/>
      <c r="EY2274" s="4"/>
      <c r="EZ2274" s="4"/>
      <c r="FA2274" s="4"/>
      <c r="FB2274" s="4"/>
      <c r="FC2274" s="4"/>
      <c r="FD2274" s="4"/>
      <c r="FE2274" s="4"/>
      <c r="FF2274" s="4"/>
      <c r="FG2274" s="4"/>
      <c r="FH2274" s="4"/>
      <c r="FI2274" s="4"/>
      <c r="FJ2274" s="4"/>
      <c r="FK2274" s="4"/>
      <c r="FL2274" s="4"/>
      <c r="FM2274" s="4"/>
      <c r="FN2274" s="4"/>
      <c r="FO2274" s="4"/>
      <c r="FP2274" s="4"/>
      <c r="FQ2274" s="4"/>
      <c r="FR2274" s="4"/>
      <c r="FS2274" s="4"/>
      <c r="FT2274" s="4"/>
      <c r="FU2274" s="4"/>
      <c r="FV2274" s="4"/>
      <c r="FW2274" s="4"/>
      <c r="FX2274" s="4"/>
      <c r="FY2274" s="4"/>
      <c r="FZ2274" s="4"/>
      <c r="GA2274" s="4"/>
      <c r="GB2274" s="4"/>
      <c r="GC2274" s="4"/>
      <c r="GD2274" s="4"/>
      <c r="GE2274" s="4"/>
      <c r="GF2274" s="4"/>
      <c r="GG2274" s="4"/>
      <c r="GH2274" s="4"/>
      <c r="GI2274" s="4"/>
      <c r="GJ2274" s="4"/>
      <c r="GK2274" s="4"/>
      <c r="GL2274" s="4"/>
      <c r="GM2274" s="4"/>
      <c r="GN2274" s="4"/>
      <c r="GO2274" s="4"/>
      <c r="GP2274" s="4"/>
      <c r="GQ2274" s="4"/>
      <c r="GR2274" s="4"/>
      <c r="GS2274" s="4"/>
      <c r="GT2274" s="4"/>
      <c r="GU2274" s="4"/>
      <c r="GV2274" s="4"/>
      <c r="GW2274" s="4"/>
      <c r="GX2274" s="4"/>
      <c r="GY2274" s="4"/>
      <c r="GZ2274" s="4"/>
      <c r="HA2274" s="4"/>
      <c r="HB2274" s="4"/>
      <c r="HC2274" s="4"/>
      <c r="HD2274" s="4"/>
      <c r="HE2274" s="4"/>
    </row>
    <row r="2275">
      <c r="A2275" s="2" t="s">
        <v>10710</v>
      </c>
      <c r="B2275" s="2" t="s">
        <v>958</v>
      </c>
      <c r="C2275" s="2" t="s">
        <v>300</v>
      </c>
      <c r="D2275" s="2" t="s">
        <v>2256</v>
      </c>
      <c r="E2275" s="2" t="s">
        <v>2257</v>
      </c>
      <c r="F2275" s="2" t="s">
        <v>10711</v>
      </c>
      <c r="G2275" s="2" t="s">
        <v>4570</v>
      </c>
      <c r="H2275" s="2" t="s">
        <v>10712</v>
      </c>
      <c r="I2275" s="2" t="s">
        <v>10713</v>
      </c>
      <c r="J2275" s="2" t="s">
        <v>840</v>
      </c>
      <c r="K2275" s="2" t="s">
        <v>1421</v>
      </c>
      <c r="L2275" s="3">
        <v>150</v>
      </c>
      <c r="M2275" s="3">
        <v>157.5</v>
      </c>
      <c r="N2275" s="3">
        <v>319</v>
      </c>
      <c r="O2275" s="2" t="s">
        <v>461</v>
      </c>
      <c r="P2275" s="2" t="s">
        <v>333</v>
      </c>
      <c r="Q2275" s="2" t="s">
        <v>234</v>
      </c>
      <c r="R2275" s="2" t="s">
        <v>228</v>
      </c>
      <c r="S2275" s="2" t="s">
        <v>228</v>
      </c>
      <c r="T2275" s="2" t="s">
        <v>228</v>
      </c>
      <c r="U2275" s="2" t="s">
        <v>416</v>
      </c>
      <c r="V2275" s="2" t="s">
        <v>236</v>
      </c>
      <c r="W2275" s="2" t="s">
        <v>463</v>
      </c>
      <c r="X2275" s="2" t="s">
        <v>228</v>
      </c>
      <c r="Y2275" s="2" t="s">
        <v>5617</v>
      </c>
      <c r="Z2275" s="4">
        <v>79</v>
      </c>
      <c r="AA2275" s="4">
        <f>=ROUNDDOWN(395,0)</f>
      </c>
      <c r="AB2275" s="5">
        <v>0.2</v>
      </c>
      <c r="AC2275" s="2" t="s">
        <v>228</v>
      </c>
      <c r="AD2275" s="4"/>
      <c r="AE2275" s="4"/>
      <c r="AF2275" s="6">
        <v>75</v>
      </c>
      <c r="AG2275" s="6"/>
      <c r="AH2275" s="7">
        <v>1</v>
      </c>
      <c r="AI2275" s="4"/>
      <c r="AJ2275" s="4">
        <f>=ROUNDDOWN({0},0)</f>
      </c>
      <c r="AK2275" s="5"/>
      <c r="AL2275" s="2" t="s">
        <v>228</v>
      </c>
      <c r="AM2275" s="4"/>
      <c r="AN2275" s="4"/>
      <c r="AO2275" s="7"/>
      <c r="AP2275" s="4"/>
      <c r="AQ2275" s="8"/>
      <c r="AR2275" s="4"/>
      <c r="AS2275" s="8"/>
      <c r="AT2275" s="7"/>
      <c r="AU2275" s="7"/>
      <c r="AV2275" s="4"/>
      <c r="AW2275" s="8"/>
      <c r="AX2275" s="4"/>
      <c r="AY2275" s="8"/>
      <c r="AZ2275" s="7"/>
      <c r="BA2275" s="7"/>
      <c r="BB2275" s="7"/>
      <c r="BC2275" s="4"/>
      <c r="BD2275" s="8"/>
      <c r="BE2275" s="4"/>
      <c r="BF2275" s="8"/>
      <c r="BG2275" s="7"/>
      <c r="BH2275" s="7"/>
      <c r="BI2275" s="7"/>
      <c r="BJ2275" s="4">
        <v>2</v>
      </c>
      <c r="BK2275" s="8">
        <v>162.24</v>
      </c>
      <c r="BL2275" s="2" t="s">
        <v>1933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10714</v>
      </c>
      <c r="BV2275" s="2" t="s">
        <v>228</v>
      </c>
      <c r="BW2275" s="2" t="s">
        <v>228</v>
      </c>
      <c r="BX2275" s="2" t="s">
        <v>337</v>
      </c>
      <c r="BY2275" s="2" t="s">
        <v>274</v>
      </c>
      <c r="BZ2275" s="2" t="s">
        <v>240</v>
      </c>
      <c r="CA2275" s="2" t="s">
        <v>7365</v>
      </c>
      <c r="CB2275" s="2" t="s">
        <v>7594</v>
      </c>
      <c r="CC2275" s="2" t="s">
        <v>241</v>
      </c>
      <c r="CD2275" s="2" t="s">
        <v>228</v>
      </c>
      <c r="CE2275" s="4"/>
      <c r="CF2275" s="4">
        <v>79</v>
      </c>
      <c r="CG2275" s="4"/>
      <c r="CH2275" s="4"/>
      <c r="CI2275" s="4"/>
      <c r="CJ2275" s="4"/>
      <c r="CK2275" s="4"/>
      <c r="CL2275" s="4"/>
      <c r="CM2275" s="4"/>
      <c r="CN2275" s="4"/>
      <c r="CO2275" s="4"/>
      <c r="CP2275" s="4"/>
      <c r="CQ2275" s="4"/>
      <c r="CR2275" s="4"/>
      <c r="CS2275" s="4"/>
      <c r="CT2275" s="4"/>
      <c r="CU2275" s="4"/>
      <c r="CV2275" s="4"/>
      <c r="CW2275" s="4"/>
      <c r="CX2275" s="4"/>
      <c r="CY2275" s="4"/>
      <c r="CZ2275" s="4"/>
      <c r="DA2275" s="4"/>
      <c r="DB2275" s="4"/>
      <c r="DC2275" s="4"/>
      <c r="DD2275" s="4"/>
      <c r="DE2275" s="4"/>
      <c r="DF2275" s="4"/>
      <c r="DG2275" s="4"/>
      <c r="DH2275" s="4"/>
      <c r="DI2275" s="4"/>
      <c r="DJ2275" s="4"/>
      <c r="DK2275" s="4"/>
      <c r="DL2275" s="4"/>
      <c r="DM2275" s="4"/>
      <c r="DN2275" s="4"/>
      <c r="DO2275" s="4"/>
      <c r="DP2275" s="4"/>
      <c r="DQ2275" s="4"/>
      <c r="DR2275" s="4"/>
      <c r="DS2275" s="4"/>
      <c r="DT2275" s="4"/>
      <c r="DU2275" s="4"/>
      <c r="DV2275" s="4"/>
      <c r="DW2275" s="4"/>
      <c r="DX2275" s="4"/>
      <c r="DY2275" s="4"/>
      <c r="DZ2275" s="4"/>
      <c r="EA2275" s="4"/>
      <c r="EB2275" s="4"/>
      <c r="EC2275" s="4"/>
      <c r="ED2275" s="4"/>
      <c r="EE2275" s="4"/>
      <c r="EF2275" s="4"/>
      <c r="EG2275" s="4"/>
      <c r="EH2275" s="4"/>
      <c r="EI2275" s="4"/>
      <c r="EJ2275" s="4"/>
      <c r="EK2275" s="4"/>
      <c r="EL2275" s="4"/>
      <c r="EM2275" s="4"/>
      <c r="EN2275" s="4"/>
      <c r="EO2275" s="4"/>
      <c r="EP2275" s="4"/>
      <c r="EQ2275" s="4"/>
      <c r="ER2275" s="4"/>
      <c r="ES2275" s="4"/>
      <c r="ET2275" s="4"/>
      <c r="EU2275" s="4"/>
      <c r="EV2275" s="4"/>
      <c r="EW2275" s="4"/>
      <c r="EX2275" s="4"/>
      <c r="EY2275" s="4"/>
      <c r="EZ2275" s="4"/>
      <c r="FA2275" s="4"/>
      <c r="FB2275" s="4"/>
      <c r="FC2275" s="4"/>
      <c r="FD2275" s="4"/>
      <c r="FE2275" s="4"/>
      <c r="FF2275" s="4"/>
      <c r="FG2275" s="4"/>
      <c r="FH2275" s="4"/>
      <c r="FI2275" s="4"/>
      <c r="FJ2275" s="4"/>
      <c r="FK2275" s="4"/>
      <c r="FL2275" s="4"/>
      <c r="FM2275" s="4"/>
      <c r="FN2275" s="4"/>
      <c r="FO2275" s="4"/>
      <c r="FP2275" s="4"/>
      <c r="FQ2275" s="4"/>
      <c r="FR2275" s="4"/>
      <c r="FS2275" s="4"/>
      <c r="FT2275" s="4"/>
      <c r="FU2275" s="4"/>
      <c r="FV2275" s="4"/>
      <c r="FW2275" s="4"/>
      <c r="FX2275" s="4"/>
      <c r="FY2275" s="4"/>
      <c r="FZ2275" s="4"/>
      <c r="GA2275" s="4"/>
      <c r="GB2275" s="4"/>
      <c r="GC2275" s="4"/>
      <c r="GD2275" s="4"/>
      <c r="GE2275" s="4"/>
      <c r="GF2275" s="4"/>
      <c r="GG2275" s="4"/>
      <c r="GH2275" s="4"/>
      <c r="GI2275" s="4"/>
      <c r="GJ2275" s="4"/>
      <c r="GK2275" s="4"/>
      <c r="GL2275" s="4"/>
      <c r="GM2275" s="4"/>
      <c r="GN2275" s="4"/>
      <c r="GO2275" s="4"/>
      <c r="GP2275" s="4"/>
      <c r="GQ2275" s="4"/>
      <c r="GR2275" s="4"/>
      <c r="GS2275" s="4"/>
      <c r="GT2275" s="4"/>
      <c r="GU2275" s="4"/>
      <c r="GV2275" s="4"/>
      <c r="GW2275" s="4"/>
      <c r="GX2275" s="4"/>
      <c r="GY2275" s="4"/>
      <c r="GZ2275" s="4"/>
      <c r="HA2275" s="4"/>
      <c r="HB2275" s="4"/>
      <c r="HC2275" s="4"/>
      <c r="HD2275" s="4"/>
      <c r="HE2275" s="4"/>
    </row>
    <row r="2276">
      <c r="A2276" s="2" t="s">
        <v>10715</v>
      </c>
      <c r="B2276" s="2" t="s">
        <v>223</v>
      </c>
      <c r="C2276" s="2" t="s">
        <v>3635</v>
      </c>
      <c r="D2276" s="2" t="s">
        <v>1407</v>
      </c>
      <c r="E2276" s="2" t="s">
        <v>6106</v>
      </c>
      <c r="F2276" s="2" t="s">
        <v>10716</v>
      </c>
      <c r="G2276" s="2" t="s">
        <v>10716</v>
      </c>
      <c r="H2276" s="2" t="s">
        <v>10716</v>
      </c>
      <c r="I2276" s="2" t="s">
        <v>10717</v>
      </c>
      <c r="J2276" s="2" t="s">
        <v>264</v>
      </c>
      <c r="K2276" s="2" t="s">
        <v>10718</v>
      </c>
      <c r="L2276" s="3">
        <v>51.11</v>
      </c>
      <c r="M2276" s="3">
        <v>53.67</v>
      </c>
      <c r="N2276" s="3">
        <v>79.99</v>
      </c>
      <c r="O2276" s="2" t="s">
        <v>461</v>
      </c>
      <c r="P2276" s="2" t="s">
        <v>1116</v>
      </c>
      <c r="Q2276" s="2" t="s">
        <v>234</v>
      </c>
      <c r="R2276" s="2" t="s">
        <v>727</v>
      </c>
      <c r="S2276" s="2" t="s">
        <v>228</v>
      </c>
      <c r="T2276" s="2" t="s">
        <v>228</v>
      </c>
      <c r="U2276" s="2" t="s">
        <v>416</v>
      </c>
      <c r="V2276" s="2" t="s">
        <v>236</v>
      </c>
      <c r="W2276" s="2" t="s">
        <v>228</v>
      </c>
      <c r="X2276" s="2" t="s">
        <v>228</v>
      </c>
      <c r="Y2276" s="2" t="s">
        <v>2773</v>
      </c>
      <c r="Z2276" s="4">
        <v>75</v>
      </c>
      <c r="AA2276" s="4">
        <f>=ROUNDDOWN(44.1176470588235,0)</f>
      </c>
      <c r="AB2276" s="5">
        <v>1.7</v>
      </c>
      <c r="AC2276" s="2" t="s">
        <v>228</v>
      </c>
      <c r="AD2276" s="4"/>
      <c r="AE2276" s="4"/>
      <c r="AF2276" s="6">
        <v>65</v>
      </c>
      <c r="AG2276" s="6"/>
      <c r="AH2276" s="7">
        <v>1</v>
      </c>
      <c r="AI2276" s="4"/>
      <c r="AJ2276" s="4">
        <f>=ROUNDDOWN({0},0)</f>
      </c>
      <c r="AK2276" s="5"/>
      <c r="AL2276" s="2" t="s">
        <v>228</v>
      </c>
      <c r="AM2276" s="4"/>
      <c r="AN2276" s="4"/>
      <c r="AO2276" s="7"/>
      <c r="AP2276" s="4"/>
      <c r="AQ2276" s="8"/>
      <c r="AR2276" s="4"/>
      <c r="AS2276" s="8"/>
      <c r="AT2276" s="7"/>
      <c r="AU2276" s="7"/>
      <c r="AV2276" s="4" t="s">
        <v>228</v>
      </c>
      <c r="AW2276" s="8" t="s">
        <v>228</v>
      </c>
      <c r="AX2276" s="4" t="s">
        <v>228</v>
      </c>
      <c r="AY2276" s="8" t="s">
        <v>228</v>
      </c>
      <c r="AZ2276" s="7" t="s">
        <v>228</v>
      </c>
      <c r="BA2276" s="7" t="s">
        <v>228</v>
      </c>
      <c r="BB2276" s="7"/>
      <c r="BC2276" s="4" t="s">
        <v>228</v>
      </c>
      <c r="BD2276" s="8" t="s">
        <v>228</v>
      </c>
      <c r="BE2276" s="4" t="s">
        <v>228</v>
      </c>
      <c r="BF2276" s="8" t="s">
        <v>228</v>
      </c>
      <c r="BG2276" s="7" t="s">
        <v>228</v>
      </c>
      <c r="BH2276" s="7" t="s">
        <v>228</v>
      </c>
      <c r="BI2276" s="7"/>
      <c r="BJ2276" s="4">
        <v>1</v>
      </c>
      <c r="BK2276" s="8">
        <v>26.83</v>
      </c>
      <c r="BL2276" s="2" t="s">
        <v>699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10719</v>
      </c>
      <c r="BV2276" s="2" t="s">
        <v>228</v>
      </c>
      <c r="BW2276" s="2" t="s">
        <v>228</v>
      </c>
      <c r="BX2276" s="2" t="s">
        <v>273</v>
      </c>
      <c r="BY2276" s="2" t="s">
        <v>274</v>
      </c>
      <c r="BZ2276" s="2" t="s">
        <v>240</v>
      </c>
      <c r="CA2276" s="2" t="s">
        <v>1554</v>
      </c>
      <c r="CB2276" s="2" t="s">
        <v>228</v>
      </c>
      <c r="CC2276" s="2" t="s">
        <v>241</v>
      </c>
      <c r="CD2276" s="2" t="s">
        <v>228</v>
      </c>
      <c r="CE2276" s="4">
        <v>75</v>
      </c>
      <c r="CF2276" s="4"/>
      <c r="CG2276" s="4"/>
      <c r="CH2276" s="4"/>
      <c r="CI2276" s="4"/>
      <c r="CJ2276" s="4"/>
      <c r="CK2276" s="4"/>
      <c r="CL2276" s="4"/>
      <c r="CM2276" s="4"/>
      <c r="CN2276" s="4"/>
      <c r="CO2276" s="4"/>
      <c r="CP2276" s="4"/>
      <c r="CQ2276" s="4"/>
      <c r="CR2276" s="4"/>
      <c r="CS2276" s="4"/>
      <c r="CT2276" s="4"/>
      <c r="CU2276" s="4"/>
      <c r="CV2276" s="4"/>
      <c r="CW2276" s="4"/>
      <c r="CX2276" s="4"/>
      <c r="CY2276" s="4"/>
      <c r="CZ2276" s="4"/>
      <c r="DA2276" s="4"/>
      <c r="DB2276" s="4"/>
      <c r="DC2276" s="4"/>
      <c r="DD2276" s="4"/>
      <c r="DE2276" s="4"/>
      <c r="DF2276" s="4"/>
      <c r="DG2276" s="4"/>
      <c r="DH2276" s="4"/>
      <c r="DI2276" s="4"/>
      <c r="DJ2276" s="4"/>
      <c r="DK2276" s="4"/>
      <c r="DL2276" s="4"/>
      <c r="DM2276" s="4"/>
      <c r="DN2276" s="4"/>
      <c r="DO2276" s="4"/>
      <c r="DP2276" s="4"/>
      <c r="DQ2276" s="4"/>
      <c r="DR2276" s="4"/>
      <c r="DS2276" s="4"/>
      <c r="DT2276" s="4"/>
      <c r="DU2276" s="4"/>
      <c r="DV2276" s="4"/>
      <c r="DW2276" s="4"/>
      <c r="DX2276" s="4"/>
      <c r="DY2276" s="4"/>
      <c r="DZ2276" s="4"/>
      <c r="EA2276" s="4"/>
      <c r="EB2276" s="4"/>
      <c r="EC2276" s="4"/>
      <c r="ED2276" s="4"/>
      <c r="EE2276" s="4"/>
      <c r="EF2276" s="4"/>
      <c r="EG2276" s="4"/>
      <c r="EH2276" s="4"/>
      <c r="EI2276" s="4"/>
      <c r="EJ2276" s="4"/>
      <c r="EK2276" s="4"/>
      <c r="EL2276" s="4"/>
      <c r="EM2276" s="4"/>
      <c r="EN2276" s="4"/>
      <c r="EO2276" s="4"/>
      <c r="EP2276" s="4"/>
      <c r="EQ2276" s="4"/>
      <c r="ER2276" s="4"/>
      <c r="ES2276" s="4"/>
      <c r="ET2276" s="4"/>
      <c r="EU2276" s="4"/>
      <c r="EV2276" s="4"/>
      <c r="EW2276" s="4"/>
      <c r="EX2276" s="4"/>
      <c r="EY2276" s="4"/>
      <c r="EZ2276" s="4"/>
      <c r="FA2276" s="4"/>
      <c r="FB2276" s="4"/>
      <c r="FC2276" s="4"/>
      <c r="FD2276" s="4"/>
      <c r="FE2276" s="4"/>
      <c r="FF2276" s="4"/>
      <c r="FG2276" s="4"/>
      <c r="FH2276" s="4"/>
      <c r="FI2276" s="4"/>
      <c r="FJ2276" s="4"/>
      <c r="FK2276" s="4"/>
      <c r="FL2276" s="4"/>
      <c r="FM2276" s="4"/>
      <c r="FN2276" s="4"/>
      <c r="FO2276" s="4"/>
      <c r="FP2276" s="4"/>
      <c r="FQ2276" s="4"/>
      <c r="FR2276" s="4"/>
      <c r="FS2276" s="4"/>
      <c r="FT2276" s="4"/>
      <c r="FU2276" s="4"/>
      <c r="FV2276" s="4"/>
      <c r="FW2276" s="4"/>
      <c r="FX2276" s="4"/>
      <c r="FY2276" s="4"/>
      <c r="FZ2276" s="4"/>
      <c r="GA2276" s="4"/>
      <c r="GB2276" s="4"/>
      <c r="GC2276" s="4"/>
      <c r="GD2276" s="4"/>
      <c r="GE2276" s="4"/>
      <c r="GF2276" s="4"/>
      <c r="GG2276" s="4"/>
      <c r="GH2276" s="4"/>
      <c r="GI2276" s="4"/>
      <c r="GJ2276" s="4"/>
      <c r="GK2276" s="4"/>
      <c r="GL2276" s="4"/>
      <c r="GM2276" s="4"/>
      <c r="GN2276" s="4"/>
      <c r="GO2276" s="4"/>
      <c r="GP2276" s="4"/>
      <c r="GQ2276" s="4"/>
      <c r="GR2276" s="4"/>
      <c r="GS2276" s="4"/>
      <c r="GT2276" s="4"/>
      <c r="GU2276" s="4"/>
      <c r="GV2276" s="4"/>
      <c r="GW2276" s="4"/>
      <c r="GX2276" s="4"/>
      <c r="GY2276" s="4"/>
      <c r="GZ2276" s="4"/>
      <c r="HA2276" s="4"/>
      <c r="HB2276" s="4"/>
      <c r="HC2276" s="4"/>
      <c r="HD2276" s="4"/>
      <c r="HE2276" s="4"/>
    </row>
    <row r="2277">
      <c r="A2277" s="2" t="s">
        <v>10720</v>
      </c>
      <c r="B2277" s="2" t="s">
        <v>223</v>
      </c>
      <c r="C2277" s="2" t="s">
        <v>3635</v>
      </c>
      <c r="D2277" s="2" t="s">
        <v>1407</v>
      </c>
      <c r="E2277" s="2" t="s">
        <v>6106</v>
      </c>
      <c r="F2277" s="2" t="s">
        <v>10716</v>
      </c>
      <c r="G2277" s="2" t="s">
        <v>10716</v>
      </c>
      <c r="H2277" s="2" t="s">
        <v>10716</v>
      </c>
      <c r="I2277" s="2" t="s">
        <v>10717</v>
      </c>
      <c r="J2277" s="2" t="s">
        <v>284</v>
      </c>
      <c r="K2277" s="2" t="s">
        <v>10718</v>
      </c>
      <c r="L2277" s="3">
        <v>57.5</v>
      </c>
      <c r="M2277" s="3">
        <v>60.38</v>
      </c>
      <c r="N2277" s="3">
        <v>89.99</v>
      </c>
      <c r="O2277" s="2" t="s">
        <v>461</v>
      </c>
      <c r="P2277" s="2" t="s">
        <v>1116</v>
      </c>
      <c r="Q2277" s="2" t="s">
        <v>234</v>
      </c>
      <c r="R2277" s="2" t="s">
        <v>727</v>
      </c>
      <c r="S2277" s="2" t="s">
        <v>228</v>
      </c>
      <c r="T2277" s="2" t="s">
        <v>228</v>
      </c>
      <c r="U2277" s="2" t="s">
        <v>416</v>
      </c>
      <c r="V2277" s="2" t="s">
        <v>236</v>
      </c>
      <c r="W2277" s="2" t="s">
        <v>228</v>
      </c>
      <c r="X2277" s="2" t="s">
        <v>228</v>
      </c>
      <c r="Y2277" s="2" t="s">
        <v>2773</v>
      </c>
      <c r="Z2277" s="4">
        <v>118</v>
      </c>
      <c r="AA2277" s="4">
        <f>=ROUNDDOWN(98.3333333333333,0)</f>
      </c>
      <c r="AB2277" s="5">
        <v>1.2</v>
      </c>
      <c r="AC2277" s="2" t="s">
        <v>228</v>
      </c>
      <c r="AD2277" s="4"/>
      <c r="AE2277" s="4"/>
      <c r="AF2277" s="6">
        <v>65</v>
      </c>
      <c r="AG2277" s="6"/>
      <c r="AH2277" s="7">
        <v>1</v>
      </c>
      <c r="AI2277" s="4"/>
      <c r="AJ2277" s="4">
        <f>=ROUNDDOWN({0},0)</f>
      </c>
      <c r="AK2277" s="5"/>
      <c r="AL2277" s="2" t="s">
        <v>228</v>
      </c>
      <c r="AM2277" s="4"/>
      <c r="AN2277" s="4"/>
      <c r="AO2277" s="7"/>
      <c r="AP2277" s="4"/>
      <c r="AQ2277" s="8"/>
      <c r="AR2277" s="4"/>
      <c r="AS2277" s="8"/>
      <c r="AT2277" s="7"/>
      <c r="AU2277" s="7"/>
      <c r="AV2277" s="4" t="s">
        <v>228</v>
      </c>
      <c r="AW2277" s="8" t="s">
        <v>228</v>
      </c>
      <c r="AX2277" s="4" t="s">
        <v>228</v>
      </c>
      <c r="AY2277" s="8" t="s">
        <v>228</v>
      </c>
      <c r="AZ2277" s="7" t="s">
        <v>228</v>
      </c>
      <c r="BA2277" s="7" t="s">
        <v>228</v>
      </c>
      <c r="BB2277" s="7"/>
      <c r="BC2277" s="4" t="s">
        <v>228</v>
      </c>
      <c r="BD2277" s="8" t="s">
        <v>228</v>
      </c>
      <c r="BE2277" s="4" t="s">
        <v>228</v>
      </c>
      <c r="BF2277" s="8" t="s">
        <v>228</v>
      </c>
      <c r="BG2277" s="7" t="s">
        <v>228</v>
      </c>
      <c r="BH2277" s="7" t="s">
        <v>228</v>
      </c>
      <c r="BI2277" s="7"/>
      <c r="BJ2277" s="4"/>
      <c r="BK2277" s="8"/>
      <c r="BL2277" s="2" t="s">
        <v>1118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10721</v>
      </c>
      <c r="BV2277" s="2" t="s">
        <v>228</v>
      </c>
      <c r="BW2277" s="2" t="s">
        <v>228</v>
      </c>
      <c r="BX2277" s="2" t="s">
        <v>273</v>
      </c>
      <c r="BY2277" s="2" t="s">
        <v>274</v>
      </c>
      <c r="BZ2277" s="2" t="s">
        <v>240</v>
      </c>
      <c r="CA2277" s="2" t="s">
        <v>1554</v>
      </c>
      <c r="CB2277" s="2" t="s">
        <v>3720</v>
      </c>
      <c r="CC2277" s="2" t="s">
        <v>241</v>
      </c>
      <c r="CD2277" s="2" t="s">
        <v>228</v>
      </c>
      <c r="CE2277" s="4">
        <v>118</v>
      </c>
      <c r="CF2277" s="4"/>
      <c r="CG2277" s="4"/>
      <c r="CH2277" s="4"/>
      <c r="CI2277" s="4"/>
      <c r="CJ2277" s="4"/>
      <c r="CK2277" s="4"/>
      <c r="CL2277" s="4"/>
      <c r="CM2277" s="4"/>
      <c r="CN2277" s="4"/>
      <c r="CO2277" s="4"/>
      <c r="CP2277" s="4"/>
      <c r="CQ2277" s="4"/>
      <c r="CR2277" s="4"/>
      <c r="CS2277" s="4"/>
      <c r="CT2277" s="4"/>
      <c r="CU2277" s="4"/>
      <c r="CV2277" s="4"/>
      <c r="CW2277" s="4"/>
      <c r="CX2277" s="4"/>
      <c r="CY2277" s="4"/>
      <c r="CZ2277" s="4"/>
      <c r="DA2277" s="4"/>
      <c r="DB2277" s="4"/>
      <c r="DC2277" s="4"/>
      <c r="DD2277" s="4"/>
      <c r="DE2277" s="4"/>
      <c r="DF2277" s="4"/>
      <c r="DG2277" s="4"/>
      <c r="DH2277" s="4"/>
      <c r="DI2277" s="4"/>
      <c r="DJ2277" s="4"/>
      <c r="DK2277" s="4"/>
      <c r="DL2277" s="4"/>
      <c r="DM2277" s="4"/>
      <c r="DN2277" s="4"/>
      <c r="DO2277" s="4"/>
      <c r="DP2277" s="4"/>
      <c r="DQ2277" s="4"/>
      <c r="DR2277" s="4"/>
      <c r="DS2277" s="4"/>
      <c r="DT2277" s="4"/>
      <c r="DU2277" s="4"/>
      <c r="DV2277" s="4"/>
      <c r="DW2277" s="4"/>
      <c r="DX2277" s="4"/>
      <c r="DY2277" s="4"/>
      <c r="DZ2277" s="4"/>
      <c r="EA2277" s="4"/>
      <c r="EB2277" s="4"/>
      <c r="EC2277" s="4"/>
      <c r="ED2277" s="4"/>
      <c r="EE2277" s="4"/>
      <c r="EF2277" s="4"/>
      <c r="EG2277" s="4"/>
      <c r="EH2277" s="4"/>
      <c r="EI2277" s="4"/>
      <c r="EJ2277" s="4"/>
      <c r="EK2277" s="4"/>
      <c r="EL2277" s="4"/>
      <c r="EM2277" s="4"/>
      <c r="EN2277" s="4"/>
      <c r="EO2277" s="4"/>
      <c r="EP2277" s="4"/>
      <c r="EQ2277" s="4"/>
      <c r="ER2277" s="4"/>
      <c r="ES2277" s="4"/>
      <c r="ET2277" s="4"/>
      <c r="EU2277" s="4"/>
      <c r="EV2277" s="4"/>
      <c r="EW2277" s="4"/>
      <c r="EX2277" s="4"/>
      <c r="EY2277" s="4"/>
      <c r="EZ2277" s="4"/>
      <c r="FA2277" s="4"/>
      <c r="FB2277" s="4"/>
      <c r="FC2277" s="4"/>
      <c r="FD2277" s="4"/>
      <c r="FE2277" s="4"/>
      <c r="FF2277" s="4"/>
      <c r="FG2277" s="4"/>
      <c r="FH2277" s="4"/>
      <c r="FI2277" s="4"/>
      <c r="FJ2277" s="4"/>
      <c r="FK2277" s="4"/>
      <c r="FL2277" s="4"/>
      <c r="FM2277" s="4"/>
      <c r="FN2277" s="4"/>
      <c r="FO2277" s="4"/>
      <c r="FP2277" s="4"/>
      <c r="FQ2277" s="4"/>
      <c r="FR2277" s="4"/>
      <c r="FS2277" s="4"/>
      <c r="FT2277" s="4"/>
      <c r="FU2277" s="4"/>
      <c r="FV2277" s="4"/>
      <c r="FW2277" s="4"/>
      <c r="FX2277" s="4"/>
      <c r="FY2277" s="4"/>
      <c r="FZ2277" s="4"/>
      <c r="GA2277" s="4"/>
      <c r="GB2277" s="4"/>
      <c r="GC2277" s="4"/>
      <c r="GD2277" s="4"/>
      <c r="GE2277" s="4"/>
      <c r="GF2277" s="4"/>
      <c r="GG2277" s="4"/>
      <c r="GH2277" s="4"/>
      <c r="GI2277" s="4"/>
      <c r="GJ2277" s="4"/>
      <c r="GK2277" s="4"/>
      <c r="GL2277" s="4"/>
      <c r="GM2277" s="4"/>
      <c r="GN2277" s="4"/>
      <c r="GO2277" s="4"/>
      <c r="GP2277" s="4"/>
      <c r="GQ2277" s="4"/>
      <c r="GR2277" s="4"/>
      <c r="GS2277" s="4"/>
      <c r="GT2277" s="4"/>
      <c r="GU2277" s="4"/>
      <c r="GV2277" s="4"/>
      <c r="GW2277" s="4"/>
      <c r="GX2277" s="4"/>
      <c r="GY2277" s="4"/>
      <c r="GZ2277" s="4"/>
      <c r="HA2277" s="4"/>
      <c r="HB2277" s="4"/>
      <c r="HC2277" s="4"/>
      <c r="HD2277" s="4"/>
      <c r="HE2277" s="4"/>
    </row>
    <row r="2278">
      <c r="A2278" s="2" t="s">
        <v>10722</v>
      </c>
      <c r="B2278" s="2" t="s">
        <v>223</v>
      </c>
      <c r="C2278" s="2" t="s">
        <v>3635</v>
      </c>
      <c r="D2278" s="2" t="s">
        <v>1407</v>
      </c>
      <c r="E2278" s="2" t="s">
        <v>6106</v>
      </c>
      <c r="F2278" s="2" t="s">
        <v>10716</v>
      </c>
      <c r="G2278" s="2" t="s">
        <v>10716</v>
      </c>
      <c r="H2278" s="2" t="s">
        <v>10716</v>
      </c>
      <c r="I2278" s="2" t="s">
        <v>10717</v>
      </c>
      <c r="J2278" s="2" t="s">
        <v>289</v>
      </c>
      <c r="K2278" s="2" t="s">
        <v>10718</v>
      </c>
      <c r="L2278" s="3">
        <v>83.06</v>
      </c>
      <c r="M2278" s="3">
        <v>87.21</v>
      </c>
      <c r="N2278" s="3">
        <v>129.99</v>
      </c>
      <c r="O2278" s="2" t="s">
        <v>461</v>
      </c>
      <c r="P2278" s="2" t="s">
        <v>1116</v>
      </c>
      <c r="Q2278" s="2" t="s">
        <v>234</v>
      </c>
      <c r="R2278" s="2" t="s">
        <v>727</v>
      </c>
      <c r="S2278" s="2" t="s">
        <v>228</v>
      </c>
      <c r="T2278" s="2" t="s">
        <v>228</v>
      </c>
      <c r="U2278" s="2" t="s">
        <v>416</v>
      </c>
      <c r="V2278" s="2" t="s">
        <v>236</v>
      </c>
      <c r="W2278" s="2" t="s">
        <v>228</v>
      </c>
      <c r="X2278" s="2" t="s">
        <v>228</v>
      </c>
      <c r="Y2278" s="2" t="s">
        <v>2773</v>
      </c>
      <c r="Z2278" s="4">
        <v>129</v>
      </c>
      <c r="AA2278" s="4">
        <f>=ROUNDDOWN({0},0)</f>
      </c>
      <c r="AB2278" s="5"/>
      <c r="AC2278" s="2" t="s">
        <v>228</v>
      </c>
      <c r="AD2278" s="4"/>
      <c r="AE2278" s="4"/>
      <c r="AF2278" s="6">
        <v>65</v>
      </c>
      <c r="AG2278" s="6"/>
      <c r="AH2278" s="7">
        <v>1</v>
      </c>
      <c r="AI2278" s="4"/>
      <c r="AJ2278" s="4">
        <f>=ROUNDDOWN({0},0)</f>
      </c>
      <c r="AK2278" s="5"/>
      <c r="AL2278" s="2" t="s">
        <v>228</v>
      </c>
      <c r="AM2278" s="4"/>
      <c r="AN2278" s="4"/>
      <c r="AO2278" s="7"/>
      <c r="AP2278" s="4"/>
      <c r="AQ2278" s="8"/>
      <c r="AR2278" s="4"/>
      <c r="AS2278" s="8"/>
      <c r="AT2278" s="7"/>
      <c r="AU2278" s="7"/>
      <c r="AV2278" s="4" t="s">
        <v>228</v>
      </c>
      <c r="AW2278" s="8" t="s">
        <v>228</v>
      </c>
      <c r="AX2278" s="4" t="s">
        <v>228</v>
      </c>
      <c r="AY2278" s="8" t="s">
        <v>228</v>
      </c>
      <c r="AZ2278" s="7" t="s">
        <v>228</v>
      </c>
      <c r="BA2278" s="7" t="s">
        <v>228</v>
      </c>
      <c r="BB2278" s="7"/>
      <c r="BC2278" s="4" t="s">
        <v>228</v>
      </c>
      <c r="BD2278" s="8" t="s">
        <v>228</v>
      </c>
      <c r="BE2278" s="4" t="s">
        <v>228</v>
      </c>
      <c r="BF2278" s="8" t="s">
        <v>228</v>
      </c>
      <c r="BG2278" s="7" t="s">
        <v>228</v>
      </c>
      <c r="BH2278" s="7" t="s">
        <v>228</v>
      </c>
      <c r="BI2278" s="7"/>
      <c r="BJ2278" s="4">
        <v>2</v>
      </c>
      <c r="BK2278" s="8">
        <v>43.6</v>
      </c>
      <c r="BL2278" s="2" t="s">
        <v>727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10723</v>
      </c>
      <c r="BV2278" s="2" t="s">
        <v>228</v>
      </c>
      <c r="BW2278" s="2" t="s">
        <v>228</v>
      </c>
      <c r="BX2278" s="2" t="s">
        <v>273</v>
      </c>
      <c r="BY2278" s="2" t="s">
        <v>274</v>
      </c>
      <c r="BZ2278" s="2" t="s">
        <v>240</v>
      </c>
      <c r="CA2278" s="2" t="s">
        <v>1554</v>
      </c>
      <c r="CB2278" s="2" t="s">
        <v>228</v>
      </c>
      <c r="CC2278" s="2" t="s">
        <v>241</v>
      </c>
      <c r="CD2278" s="2" t="s">
        <v>228</v>
      </c>
      <c r="CE2278" s="4">
        <v>129</v>
      </c>
      <c r="CF2278" s="4"/>
      <c r="CG2278" s="4"/>
      <c r="CH2278" s="4"/>
      <c r="CI2278" s="4"/>
      <c r="CJ2278" s="4"/>
      <c r="CK2278" s="4"/>
      <c r="CL2278" s="4"/>
      <c r="CM2278" s="4"/>
      <c r="CN2278" s="4"/>
      <c r="CO2278" s="4"/>
      <c r="CP2278" s="4"/>
      <c r="CQ2278" s="4"/>
      <c r="CR2278" s="4"/>
      <c r="CS2278" s="4"/>
      <c r="CT2278" s="4"/>
      <c r="CU2278" s="4"/>
      <c r="CV2278" s="4"/>
      <c r="CW2278" s="4"/>
      <c r="CX2278" s="4"/>
      <c r="CY2278" s="4"/>
      <c r="CZ2278" s="4"/>
      <c r="DA2278" s="4"/>
      <c r="DB2278" s="4"/>
      <c r="DC2278" s="4"/>
      <c r="DD2278" s="4"/>
      <c r="DE2278" s="4"/>
      <c r="DF2278" s="4"/>
      <c r="DG2278" s="4"/>
      <c r="DH2278" s="4"/>
      <c r="DI2278" s="4"/>
      <c r="DJ2278" s="4"/>
      <c r="DK2278" s="4"/>
      <c r="DL2278" s="4"/>
      <c r="DM2278" s="4"/>
      <c r="DN2278" s="4"/>
      <c r="DO2278" s="4"/>
      <c r="DP2278" s="4"/>
      <c r="DQ2278" s="4"/>
      <c r="DR2278" s="4"/>
      <c r="DS2278" s="4"/>
      <c r="DT2278" s="4"/>
      <c r="DU2278" s="4"/>
      <c r="DV2278" s="4"/>
      <c r="DW2278" s="4"/>
      <c r="DX2278" s="4"/>
      <c r="DY2278" s="4"/>
      <c r="DZ2278" s="4"/>
      <c r="EA2278" s="4"/>
      <c r="EB2278" s="4"/>
      <c r="EC2278" s="4"/>
      <c r="ED2278" s="4"/>
      <c r="EE2278" s="4"/>
      <c r="EF2278" s="4"/>
      <c r="EG2278" s="4"/>
      <c r="EH2278" s="4"/>
      <c r="EI2278" s="4"/>
      <c r="EJ2278" s="4"/>
      <c r="EK2278" s="4"/>
      <c r="EL2278" s="4"/>
      <c r="EM2278" s="4"/>
      <c r="EN2278" s="4"/>
      <c r="EO2278" s="4"/>
      <c r="EP2278" s="4"/>
      <c r="EQ2278" s="4"/>
      <c r="ER2278" s="4"/>
      <c r="ES2278" s="4"/>
      <c r="ET2278" s="4"/>
      <c r="EU2278" s="4"/>
      <c r="EV2278" s="4"/>
      <c r="EW2278" s="4"/>
      <c r="EX2278" s="4"/>
      <c r="EY2278" s="4"/>
      <c r="EZ2278" s="4"/>
      <c r="FA2278" s="4"/>
      <c r="FB2278" s="4"/>
      <c r="FC2278" s="4"/>
      <c r="FD2278" s="4"/>
      <c r="FE2278" s="4"/>
      <c r="FF2278" s="4"/>
      <c r="FG2278" s="4"/>
      <c r="FH2278" s="4"/>
      <c r="FI2278" s="4"/>
      <c r="FJ2278" s="4"/>
      <c r="FK2278" s="4"/>
      <c r="FL2278" s="4"/>
      <c r="FM2278" s="4"/>
      <c r="FN2278" s="4"/>
      <c r="FO2278" s="4"/>
      <c r="FP2278" s="4"/>
      <c r="FQ2278" s="4"/>
      <c r="FR2278" s="4"/>
      <c r="FS2278" s="4"/>
      <c r="FT2278" s="4"/>
      <c r="FU2278" s="4"/>
      <c r="FV2278" s="4"/>
      <c r="FW2278" s="4"/>
      <c r="FX2278" s="4"/>
      <c r="FY2278" s="4"/>
      <c r="FZ2278" s="4"/>
      <c r="GA2278" s="4"/>
      <c r="GB2278" s="4"/>
      <c r="GC2278" s="4"/>
      <c r="GD2278" s="4"/>
      <c r="GE2278" s="4"/>
      <c r="GF2278" s="4"/>
      <c r="GG2278" s="4"/>
      <c r="GH2278" s="4"/>
      <c r="GI2278" s="4"/>
      <c r="GJ2278" s="4"/>
      <c r="GK2278" s="4"/>
      <c r="GL2278" s="4"/>
      <c r="GM2278" s="4"/>
      <c r="GN2278" s="4"/>
      <c r="GO2278" s="4"/>
      <c r="GP2278" s="4"/>
      <c r="GQ2278" s="4"/>
      <c r="GR2278" s="4"/>
      <c r="GS2278" s="4"/>
      <c r="GT2278" s="4"/>
      <c r="GU2278" s="4"/>
      <c r="GV2278" s="4"/>
      <c r="GW2278" s="4"/>
      <c r="GX2278" s="4"/>
      <c r="GY2278" s="4"/>
      <c r="GZ2278" s="4"/>
      <c r="HA2278" s="4"/>
      <c r="HB2278" s="4"/>
      <c r="HC2278" s="4"/>
      <c r="HD2278" s="4"/>
      <c r="HE2278" s="4"/>
    </row>
    <row r="2279">
      <c r="A2279" s="2" t="s">
        <v>10724</v>
      </c>
      <c r="B2279" s="2" t="s">
        <v>223</v>
      </c>
      <c r="C2279" s="2" t="s">
        <v>3635</v>
      </c>
      <c r="D2279" s="2" t="s">
        <v>1407</v>
      </c>
      <c r="E2279" s="2" t="s">
        <v>6106</v>
      </c>
      <c r="F2279" s="2" t="s">
        <v>10716</v>
      </c>
      <c r="G2279" s="2" t="s">
        <v>10716</v>
      </c>
      <c r="H2279" s="2" t="s">
        <v>10716</v>
      </c>
      <c r="I2279" s="2" t="s">
        <v>10717</v>
      </c>
      <c r="J2279" s="2" t="s">
        <v>294</v>
      </c>
      <c r="K2279" s="2" t="s">
        <v>10718</v>
      </c>
      <c r="L2279" s="3">
        <v>89.45</v>
      </c>
      <c r="M2279" s="3">
        <v>93.92</v>
      </c>
      <c r="N2279" s="3">
        <v>139.99</v>
      </c>
      <c r="O2279" s="2" t="s">
        <v>461</v>
      </c>
      <c r="P2279" s="2" t="s">
        <v>1116</v>
      </c>
      <c r="Q2279" s="2" t="s">
        <v>234</v>
      </c>
      <c r="R2279" s="2" t="s">
        <v>727</v>
      </c>
      <c r="S2279" s="2" t="s">
        <v>228</v>
      </c>
      <c r="T2279" s="2" t="s">
        <v>228</v>
      </c>
      <c r="U2279" s="2" t="s">
        <v>416</v>
      </c>
      <c r="V2279" s="2" t="s">
        <v>236</v>
      </c>
      <c r="W2279" s="2" t="s">
        <v>228</v>
      </c>
      <c r="X2279" s="2" t="s">
        <v>228</v>
      </c>
      <c r="Y2279" s="2" t="s">
        <v>2773</v>
      </c>
      <c r="Z2279" s="4">
        <v>111</v>
      </c>
      <c r="AA2279" s="4">
        <f>=ROUNDDOWN({0},0)</f>
      </c>
      <c r="AB2279" s="5"/>
      <c r="AC2279" s="2" t="s">
        <v>228</v>
      </c>
      <c r="AD2279" s="4"/>
      <c r="AE2279" s="4"/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228</v>
      </c>
      <c r="AM2279" s="4"/>
      <c r="AN2279" s="4"/>
      <c r="AO2279" s="7"/>
      <c r="AP2279" s="4"/>
      <c r="AQ2279" s="8"/>
      <c r="AR2279" s="4"/>
      <c r="AS2279" s="8"/>
      <c r="AT2279" s="7"/>
      <c r="AU2279" s="7"/>
      <c r="AV2279" s="4" t="s">
        <v>228</v>
      </c>
      <c r="AW2279" s="8" t="s">
        <v>228</v>
      </c>
      <c r="AX2279" s="4" t="s">
        <v>228</v>
      </c>
      <c r="AY2279" s="8" t="s">
        <v>228</v>
      </c>
      <c r="AZ2279" s="7" t="s">
        <v>228</v>
      </c>
      <c r="BA2279" s="7" t="s">
        <v>228</v>
      </c>
      <c r="BB2279" s="7"/>
      <c r="BC2279" s="4" t="s">
        <v>228</v>
      </c>
      <c r="BD2279" s="8" t="s">
        <v>228</v>
      </c>
      <c r="BE2279" s="4" t="s">
        <v>228</v>
      </c>
      <c r="BF2279" s="8" t="s">
        <v>228</v>
      </c>
      <c r="BG2279" s="7" t="s">
        <v>228</v>
      </c>
      <c r="BH2279" s="7" t="s">
        <v>228</v>
      </c>
      <c r="BI2279" s="7"/>
      <c r="BJ2279" s="4"/>
      <c r="BK2279" s="8"/>
      <c r="BL2279" s="2" t="s">
        <v>228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10725</v>
      </c>
      <c r="BV2279" s="2" t="s">
        <v>228</v>
      </c>
      <c r="BW2279" s="2" t="s">
        <v>228</v>
      </c>
      <c r="BX2279" s="2" t="s">
        <v>273</v>
      </c>
      <c r="BY2279" s="2" t="s">
        <v>274</v>
      </c>
      <c r="BZ2279" s="2" t="s">
        <v>240</v>
      </c>
      <c r="CA2279" s="2" t="s">
        <v>1554</v>
      </c>
      <c r="CB2279" s="2" t="s">
        <v>228</v>
      </c>
      <c r="CC2279" s="2" t="s">
        <v>241</v>
      </c>
      <c r="CD2279" s="2" t="s">
        <v>228</v>
      </c>
      <c r="CE2279" s="4">
        <v>111</v>
      </c>
      <c r="CF2279" s="4"/>
      <c r="CG2279" s="4"/>
      <c r="CH2279" s="4"/>
      <c r="CI2279" s="4"/>
      <c r="CJ2279" s="4"/>
      <c r="CK2279" s="4"/>
      <c r="CL2279" s="4"/>
      <c r="CM2279" s="4"/>
      <c r="CN2279" s="4"/>
      <c r="CO2279" s="4"/>
      <c r="CP2279" s="4"/>
      <c r="CQ2279" s="4"/>
      <c r="CR2279" s="4"/>
      <c r="CS2279" s="4"/>
      <c r="CT2279" s="4"/>
      <c r="CU2279" s="4"/>
      <c r="CV2279" s="4"/>
      <c r="CW2279" s="4"/>
      <c r="CX2279" s="4"/>
      <c r="CY2279" s="4"/>
      <c r="CZ2279" s="4"/>
      <c r="DA2279" s="4"/>
      <c r="DB2279" s="4"/>
      <c r="DC2279" s="4"/>
      <c r="DD2279" s="4"/>
      <c r="DE2279" s="4"/>
      <c r="DF2279" s="4"/>
      <c r="DG2279" s="4"/>
      <c r="DH2279" s="4"/>
      <c r="DI2279" s="4"/>
      <c r="DJ2279" s="4"/>
      <c r="DK2279" s="4"/>
      <c r="DL2279" s="4"/>
      <c r="DM2279" s="4"/>
      <c r="DN2279" s="4"/>
      <c r="DO2279" s="4"/>
      <c r="DP2279" s="4"/>
      <c r="DQ2279" s="4"/>
      <c r="DR2279" s="4"/>
      <c r="DS2279" s="4"/>
      <c r="DT2279" s="4"/>
      <c r="DU2279" s="4"/>
      <c r="DV2279" s="4"/>
      <c r="DW2279" s="4"/>
      <c r="DX2279" s="4"/>
      <c r="DY2279" s="4"/>
      <c r="DZ2279" s="4"/>
      <c r="EA2279" s="4"/>
      <c r="EB2279" s="4"/>
      <c r="EC2279" s="4"/>
      <c r="ED2279" s="4"/>
      <c r="EE2279" s="4"/>
      <c r="EF2279" s="4"/>
      <c r="EG2279" s="4"/>
      <c r="EH2279" s="4"/>
      <c r="EI2279" s="4"/>
      <c r="EJ2279" s="4"/>
      <c r="EK2279" s="4"/>
      <c r="EL2279" s="4"/>
      <c r="EM2279" s="4"/>
      <c r="EN2279" s="4"/>
      <c r="EO2279" s="4"/>
      <c r="EP2279" s="4"/>
      <c r="EQ2279" s="4"/>
      <c r="ER2279" s="4"/>
      <c r="ES2279" s="4"/>
      <c r="ET2279" s="4"/>
      <c r="EU2279" s="4"/>
      <c r="EV2279" s="4"/>
      <c r="EW2279" s="4"/>
      <c r="EX2279" s="4"/>
      <c r="EY2279" s="4"/>
      <c r="EZ2279" s="4"/>
      <c r="FA2279" s="4"/>
      <c r="FB2279" s="4"/>
      <c r="FC2279" s="4"/>
      <c r="FD2279" s="4"/>
      <c r="FE2279" s="4"/>
      <c r="FF2279" s="4"/>
      <c r="FG2279" s="4"/>
      <c r="FH2279" s="4"/>
      <c r="FI2279" s="4"/>
      <c r="FJ2279" s="4"/>
      <c r="FK2279" s="4"/>
      <c r="FL2279" s="4"/>
      <c r="FM2279" s="4"/>
      <c r="FN2279" s="4"/>
      <c r="FO2279" s="4"/>
      <c r="FP2279" s="4"/>
      <c r="FQ2279" s="4"/>
      <c r="FR2279" s="4"/>
      <c r="FS2279" s="4"/>
      <c r="FT2279" s="4"/>
      <c r="FU2279" s="4"/>
      <c r="FV2279" s="4"/>
      <c r="FW2279" s="4"/>
      <c r="FX2279" s="4"/>
      <c r="FY2279" s="4"/>
      <c r="FZ2279" s="4"/>
      <c r="GA2279" s="4"/>
      <c r="GB2279" s="4"/>
      <c r="GC2279" s="4"/>
      <c r="GD2279" s="4"/>
      <c r="GE2279" s="4"/>
      <c r="GF2279" s="4"/>
      <c r="GG2279" s="4"/>
      <c r="GH2279" s="4"/>
      <c r="GI2279" s="4"/>
      <c r="GJ2279" s="4"/>
      <c r="GK2279" s="4"/>
      <c r="GL2279" s="4"/>
      <c r="GM2279" s="4"/>
      <c r="GN2279" s="4"/>
      <c r="GO2279" s="4"/>
      <c r="GP2279" s="4"/>
      <c r="GQ2279" s="4"/>
      <c r="GR2279" s="4"/>
      <c r="GS2279" s="4"/>
      <c r="GT2279" s="4"/>
      <c r="GU2279" s="4"/>
      <c r="GV2279" s="4"/>
      <c r="GW2279" s="4"/>
      <c r="GX2279" s="4"/>
      <c r="GY2279" s="4"/>
      <c r="GZ2279" s="4"/>
      <c r="HA2279" s="4"/>
      <c r="HB2279" s="4"/>
      <c r="HC2279" s="4"/>
      <c r="HD2279" s="4"/>
      <c r="HE2279" s="4"/>
    </row>
    <row r="2280">
      <c r="A2280" s="2" t="s">
        <v>10726</v>
      </c>
      <c r="B2280" s="2" t="s">
        <v>223</v>
      </c>
      <c r="C2280" s="2" t="s">
        <v>3635</v>
      </c>
      <c r="D2280" s="2" t="s">
        <v>1407</v>
      </c>
      <c r="E2280" s="2" t="s">
        <v>6106</v>
      </c>
      <c r="F2280" s="2" t="s">
        <v>10716</v>
      </c>
      <c r="G2280" s="2" t="s">
        <v>10716</v>
      </c>
      <c r="H2280" s="2" t="s">
        <v>10716</v>
      </c>
      <c r="I2280" s="2" t="s">
        <v>10717</v>
      </c>
      <c r="J2280" s="2" t="s">
        <v>264</v>
      </c>
      <c r="K2280" s="2" t="s">
        <v>1466</v>
      </c>
      <c r="L2280" s="3">
        <v>51.11</v>
      </c>
      <c r="M2280" s="3">
        <v>53.67</v>
      </c>
      <c r="N2280" s="3">
        <v>79.99</v>
      </c>
      <c r="O2280" s="2" t="s">
        <v>461</v>
      </c>
      <c r="P2280" s="2" t="s">
        <v>1116</v>
      </c>
      <c r="Q2280" s="2" t="s">
        <v>234</v>
      </c>
      <c r="R2280" s="2" t="s">
        <v>727</v>
      </c>
      <c r="S2280" s="2" t="s">
        <v>228</v>
      </c>
      <c r="T2280" s="2" t="s">
        <v>228</v>
      </c>
      <c r="U2280" s="2" t="s">
        <v>416</v>
      </c>
      <c r="V2280" s="2" t="s">
        <v>236</v>
      </c>
      <c r="W2280" s="2" t="s">
        <v>228</v>
      </c>
      <c r="X2280" s="2" t="s">
        <v>228</v>
      </c>
      <c r="Y2280" s="2" t="s">
        <v>2773</v>
      </c>
      <c r="Z2280" s="4">
        <v>73</v>
      </c>
      <c r="AA2280" s="4">
        <f>=ROUNDDOWN(29.2,0)</f>
      </c>
      <c r="AB2280" s="5">
        <v>2.5</v>
      </c>
      <c r="AC2280" s="2" t="s">
        <v>228</v>
      </c>
      <c r="AD2280" s="4"/>
      <c r="AE2280" s="4"/>
      <c r="AF2280" s="6">
        <v>65</v>
      </c>
      <c r="AG2280" s="6"/>
      <c r="AH2280" s="7">
        <v>1</v>
      </c>
      <c r="AI2280" s="4"/>
      <c r="AJ2280" s="4">
        <f>=ROUNDDOWN({0},0)</f>
      </c>
      <c r="AK2280" s="5"/>
      <c r="AL2280" s="2" t="s">
        <v>228</v>
      </c>
      <c r="AM2280" s="4"/>
      <c r="AN2280" s="4"/>
      <c r="AO2280" s="7"/>
      <c r="AP2280" s="4"/>
      <c r="AQ2280" s="8"/>
      <c r="AR2280" s="4"/>
      <c r="AS2280" s="8"/>
      <c r="AT2280" s="7"/>
      <c r="AU2280" s="7"/>
      <c r="AV2280" s="4" t="s">
        <v>228</v>
      </c>
      <c r="AW2280" s="8" t="s">
        <v>228</v>
      </c>
      <c r="AX2280" s="4" t="s">
        <v>228</v>
      </c>
      <c r="AY2280" s="8" t="s">
        <v>228</v>
      </c>
      <c r="AZ2280" s="7" t="s">
        <v>228</v>
      </c>
      <c r="BA2280" s="7" t="s">
        <v>228</v>
      </c>
      <c r="BB2280" s="7"/>
      <c r="BC2280" s="4" t="s">
        <v>228</v>
      </c>
      <c r="BD2280" s="8" t="s">
        <v>228</v>
      </c>
      <c r="BE2280" s="4" t="s">
        <v>228</v>
      </c>
      <c r="BF2280" s="8" t="s">
        <v>228</v>
      </c>
      <c r="BG2280" s="7" t="s">
        <v>228</v>
      </c>
      <c r="BH2280" s="7" t="s">
        <v>228</v>
      </c>
      <c r="BI2280" s="7"/>
      <c r="BJ2280" s="4"/>
      <c r="BK2280" s="8"/>
      <c r="BL2280" s="2" t="s">
        <v>228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10727</v>
      </c>
      <c r="BV2280" s="2" t="s">
        <v>228</v>
      </c>
      <c r="BW2280" s="2" t="s">
        <v>228</v>
      </c>
      <c r="BX2280" s="2" t="s">
        <v>273</v>
      </c>
      <c r="BY2280" s="2" t="s">
        <v>274</v>
      </c>
      <c r="BZ2280" s="2" t="s">
        <v>240</v>
      </c>
      <c r="CA2280" s="2" t="s">
        <v>1554</v>
      </c>
      <c r="CB2280" s="2" t="s">
        <v>228</v>
      </c>
      <c r="CC2280" s="2" t="s">
        <v>241</v>
      </c>
      <c r="CD2280" s="2" t="s">
        <v>228</v>
      </c>
      <c r="CE2280" s="4">
        <v>73</v>
      </c>
      <c r="CF2280" s="4"/>
      <c r="CG2280" s="4"/>
      <c r="CH2280" s="4"/>
      <c r="CI2280" s="4"/>
      <c r="CJ2280" s="4"/>
      <c r="CK2280" s="4"/>
      <c r="CL2280" s="4"/>
      <c r="CM2280" s="4"/>
      <c r="CN2280" s="4"/>
      <c r="CO2280" s="4"/>
      <c r="CP2280" s="4"/>
      <c r="CQ2280" s="4"/>
      <c r="CR2280" s="4"/>
      <c r="CS2280" s="4"/>
      <c r="CT2280" s="4"/>
      <c r="CU2280" s="4"/>
      <c r="CV2280" s="4"/>
      <c r="CW2280" s="4"/>
      <c r="CX2280" s="4"/>
      <c r="CY2280" s="4"/>
      <c r="CZ2280" s="4"/>
      <c r="DA2280" s="4"/>
      <c r="DB2280" s="4"/>
      <c r="DC2280" s="4"/>
      <c r="DD2280" s="4"/>
      <c r="DE2280" s="4"/>
      <c r="DF2280" s="4"/>
      <c r="DG2280" s="4"/>
      <c r="DH2280" s="4"/>
      <c r="DI2280" s="4"/>
      <c r="DJ2280" s="4"/>
      <c r="DK2280" s="4"/>
      <c r="DL2280" s="4"/>
      <c r="DM2280" s="4"/>
      <c r="DN2280" s="4"/>
      <c r="DO2280" s="4"/>
      <c r="DP2280" s="4"/>
      <c r="DQ2280" s="4"/>
      <c r="DR2280" s="4"/>
      <c r="DS2280" s="4"/>
      <c r="DT2280" s="4"/>
      <c r="DU2280" s="4"/>
      <c r="DV2280" s="4"/>
      <c r="DW2280" s="4"/>
      <c r="DX2280" s="4"/>
      <c r="DY2280" s="4"/>
      <c r="DZ2280" s="4"/>
      <c r="EA2280" s="4"/>
      <c r="EB2280" s="4"/>
      <c r="EC2280" s="4"/>
      <c r="ED2280" s="4"/>
      <c r="EE2280" s="4"/>
      <c r="EF2280" s="4"/>
      <c r="EG2280" s="4"/>
      <c r="EH2280" s="4"/>
      <c r="EI2280" s="4"/>
      <c r="EJ2280" s="4"/>
      <c r="EK2280" s="4"/>
      <c r="EL2280" s="4"/>
      <c r="EM2280" s="4"/>
      <c r="EN2280" s="4"/>
      <c r="EO2280" s="4"/>
      <c r="EP2280" s="4"/>
      <c r="EQ2280" s="4"/>
      <c r="ER2280" s="4"/>
      <c r="ES2280" s="4"/>
      <c r="ET2280" s="4"/>
      <c r="EU2280" s="4"/>
      <c r="EV2280" s="4"/>
      <c r="EW2280" s="4"/>
      <c r="EX2280" s="4"/>
      <c r="EY2280" s="4"/>
      <c r="EZ2280" s="4"/>
      <c r="FA2280" s="4"/>
      <c r="FB2280" s="4"/>
      <c r="FC2280" s="4"/>
      <c r="FD2280" s="4"/>
      <c r="FE2280" s="4"/>
      <c r="FF2280" s="4"/>
      <c r="FG2280" s="4"/>
      <c r="FH2280" s="4"/>
      <c r="FI2280" s="4"/>
      <c r="FJ2280" s="4"/>
      <c r="FK2280" s="4"/>
      <c r="FL2280" s="4"/>
      <c r="FM2280" s="4"/>
      <c r="FN2280" s="4"/>
      <c r="FO2280" s="4"/>
      <c r="FP2280" s="4"/>
      <c r="FQ2280" s="4"/>
      <c r="FR2280" s="4"/>
      <c r="FS2280" s="4"/>
      <c r="FT2280" s="4"/>
      <c r="FU2280" s="4"/>
      <c r="FV2280" s="4"/>
      <c r="FW2280" s="4"/>
      <c r="FX2280" s="4"/>
      <c r="FY2280" s="4"/>
      <c r="FZ2280" s="4"/>
      <c r="GA2280" s="4"/>
      <c r="GB2280" s="4"/>
      <c r="GC2280" s="4"/>
      <c r="GD2280" s="4"/>
      <c r="GE2280" s="4"/>
      <c r="GF2280" s="4"/>
      <c r="GG2280" s="4"/>
      <c r="GH2280" s="4"/>
      <c r="GI2280" s="4"/>
      <c r="GJ2280" s="4"/>
      <c r="GK2280" s="4"/>
      <c r="GL2280" s="4"/>
      <c r="GM2280" s="4"/>
      <c r="GN2280" s="4"/>
      <c r="GO2280" s="4"/>
      <c r="GP2280" s="4"/>
      <c r="GQ2280" s="4"/>
      <c r="GR2280" s="4"/>
      <c r="GS2280" s="4"/>
      <c r="GT2280" s="4"/>
      <c r="GU2280" s="4"/>
      <c r="GV2280" s="4"/>
      <c r="GW2280" s="4"/>
      <c r="GX2280" s="4"/>
      <c r="GY2280" s="4"/>
      <c r="GZ2280" s="4"/>
      <c r="HA2280" s="4"/>
      <c r="HB2280" s="4"/>
      <c r="HC2280" s="4"/>
      <c r="HD2280" s="4"/>
      <c r="HE2280" s="4"/>
    </row>
    <row r="2281">
      <c r="A2281" s="2" t="s">
        <v>10728</v>
      </c>
      <c r="B2281" s="2" t="s">
        <v>223</v>
      </c>
      <c r="C2281" s="2" t="s">
        <v>3635</v>
      </c>
      <c r="D2281" s="2" t="s">
        <v>1407</v>
      </c>
      <c r="E2281" s="2" t="s">
        <v>6106</v>
      </c>
      <c r="F2281" s="2" t="s">
        <v>10716</v>
      </c>
      <c r="G2281" s="2" t="s">
        <v>10716</v>
      </c>
      <c r="H2281" s="2" t="s">
        <v>10716</v>
      </c>
      <c r="I2281" s="2" t="s">
        <v>10717</v>
      </c>
      <c r="J2281" s="2" t="s">
        <v>284</v>
      </c>
      <c r="K2281" s="2" t="s">
        <v>1466</v>
      </c>
      <c r="L2281" s="3">
        <v>57.5</v>
      </c>
      <c r="M2281" s="3">
        <v>60.38</v>
      </c>
      <c r="N2281" s="3">
        <v>89.99</v>
      </c>
      <c r="O2281" s="2" t="s">
        <v>461</v>
      </c>
      <c r="P2281" s="2" t="s">
        <v>1116</v>
      </c>
      <c r="Q2281" s="2" t="s">
        <v>234</v>
      </c>
      <c r="R2281" s="2" t="s">
        <v>727</v>
      </c>
      <c r="S2281" s="2" t="s">
        <v>228</v>
      </c>
      <c r="T2281" s="2" t="s">
        <v>228</v>
      </c>
      <c r="U2281" s="2" t="s">
        <v>416</v>
      </c>
      <c r="V2281" s="2" t="s">
        <v>236</v>
      </c>
      <c r="W2281" s="2" t="s">
        <v>228</v>
      </c>
      <c r="X2281" s="2" t="s">
        <v>228</v>
      </c>
      <c r="Y2281" s="2" t="s">
        <v>2773</v>
      </c>
      <c r="Z2281" s="4">
        <v>75</v>
      </c>
      <c r="AA2281" s="4">
        <f>=ROUNDDOWN(75,0)</f>
      </c>
      <c r="AB2281" s="5">
        <v>1</v>
      </c>
      <c r="AC2281" s="2" t="s">
        <v>228</v>
      </c>
      <c r="AD2281" s="4"/>
      <c r="AE2281" s="4"/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228</v>
      </c>
      <c r="AM2281" s="4"/>
      <c r="AN2281" s="4"/>
      <c r="AO2281" s="7"/>
      <c r="AP2281" s="4"/>
      <c r="AQ2281" s="8"/>
      <c r="AR2281" s="4"/>
      <c r="AS2281" s="8"/>
      <c r="AT2281" s="7"/>
      <c r="AU2281" s="7"/>
      <c r="AV2281" s="4" t="s">
        <v>228</v>
      </c>
      <c r="AW2281" s="8" t="s">
        <v>228</v>
      </c>
      <c r="AX2281" s="4" t="s">
        <v>228</v>
      </c>
      <c r="AY2281" s="8" t="s">
        <v>228</v>
      </c>
      <c r="AZ2281" s="7" t="s">
        <v>228</v>
      </c>
      <c r="BA2281" s="7" t="s">
        <v>228</v>
      </c>
      <c r="BB2281" s="7"/>
      <c r="BC2281" s="4" t="s">
        <v>228</v>
      </c>
      <c r="BD2281" s="8" t="s">
        <v>228</v>
      </c>
      <c r="BE2281" s="4" t="s">
        <v>228</v>
      </c>
      <c r="BF2281" s="8" t="s">
        <v>228</v>
      </c>
      <c r="BG2281" s="7" t="s">
        <v>228</v>
      </c>
      <c r="BH2281" s="7" t="s">
        <v>228</v>
      </c>
      <c r="BI2281" s="7"/>
      <c r="BJ2281" s="4"/>
      <c r="BK2281" s="8"/>
      <c r="BL2281" s="2" t="s">
        <v>228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10729</v>
      </c>
      <c r="BV2281" s="2" t="s">
        <v>228</v>
      </c>
      <c r="BW2281" s="2" t="s">
        <v>228</v>
      </c>
      <c r="BX2281" s="2" t="s">
        <v>273</v>
      </c>
      <c r="BY2281" s="2" t="s">
        <v>274</v>
      </c>
      <c r="BZ2281" s="2" t="s">
        <v>240</v>
      </c>
      <c r="CA2281" s="2" t="s">
        <v>1554</v>
      </c>
      <c r="CB2281" s="2" t="s">
        <v>228</v>
      </c>
      <c r="CC2281" s="2" t="s">
        <v>241</v>
      </c>
      <c r="CD2281" s="2" t="s">
        <v>228</v>
      </c>
      <c r="CE2281" s="4">
        <v>75</v>
      </c>
      <c r="CF2281" s="4"/>
      <c r="CG2281" s="4"/>
      <c r="CH2281" s="4"/>
      <c r="CI2281" s="4"/>
      <c r="CJ2281" s="4"/>
      <c r="CK2281" s="4"/>
      <c r="CL2281" s="4"/>
      <c r="CM2281" s="4"/>
      <c r="CN2281" s="4"/>
      <c r="CO2281" s="4"/>
      <c r="CP2281" s="4"/>
      <c r="CQ2281" s="4"/>
      <c r="CR2281" s="4"/>
      <c r="CS2281" s="4"/>
      <c r="CT2281" s="4"/>
      <c r="CU2281" s="4"/>
      <c r="CV2281" s="4"/>
      <c r="CW2281" s="4"/>
      <c r="CX2281" s="4"/>
      <c r="CY2281" s="4"/>
      <c r="CZ2281" s="4"/>
      <c r="DA2281" s="4"/>
      <c r="DB2281" s="4"/>
      <c r="DC2281" s="4"/>
      <c r="DD2281" s="4"/>
      <c r="DE2281" s="4"/>
      <c r="DF2281" s="4"/>
      <c r="DG2281" s="4"/>
      <c r="DH2281" s="4"/>
      <c r="DI2281" s="4"/>
      <c r="DJ2281" s="4"/>
      <c r="DK2281" s="4"/>
      <c r="DL2281" s="4"/>
      <c r="DM2281" s="4"/>
      <c r="DN2281" s="4"/>
      <c r="DO2281" s="4"/>
      <c r="DP2281" s="4"/>
      <c r="DQ2281" s="4"/>
      <c r="DR2281" s="4"/>
      <c r="DS2281" s="4"/>
      <c r="DT2281" s="4"/>
      <c r="DU2281" s="4"/>
      <c r="DV2281" s="4"/>
      <c r="DW2281" s="4"/>
      <c r="DX2281" s="4"/>
      <c r="DY2281" s="4"/>
      <c r="DZ2281" s="4"/>
      <c r="EA2281" s="4"/>
      <c r="EB2281" s="4"/>
      <c r="EC2281" s="4"/>
      <c r="ED2281" s="4"/>
      <c r="EE2281" s="4"/>
      <c r="EF2281" s="4"/>
      <c r="EG2281" s="4"/>
      <c r="EH2281" s="4"/>
      <c r="EI2281" s="4"/>
      <c r="EJ2281" s="4"/>
      <c r="EK2281" s="4"/>
      <c r="EL2281" s="4"/>
      <c r="EM2281" s="4"/>
      <c r="EN2281" s="4"/>
      <c r="EO2281" s="4"/>
      <c r="EP2281" s="4"/>
      <c r="EQ2281" s="4"/>
      <c r="ER2281" s="4"/>
      <c r="ES2281" s="4"/>
      <c r="ET2281" s="4"/>
      <c r="EU2281" s="4"/>
      <c r="EV2281" s="4"/>
      <c r="EW2281" s="4"/>
      <c r="EX2281" s="4"/>
      <c r="EY2281" s="4"/>
      <c r="EZ2281" s="4"/>
      <c r="FA2281" s="4"/>
      <c r="FB2281" s="4"/>
      <c r="FC2281" s="4"/>
      <c r="FD2281" s="4"/>
      <c r="FE2281" s="4"/>
      <c r="FF2281" s="4"/>
      <c r="FG2281" s="4"/>
      <c r="FH2281" s="4"/>
      <c r="FI2281" s="4"/>
      <c r="FJ2281" s="4"/>
      <c r="FK2281" s="4"/>
      <c r="FL2281" s="4"/>
      <c r="FM2281" s="4"/>
      <c r="FN2281" s="4"/>
      <c r="FO2281" s="4"/>
      <c r="FP2281" s="4"/>
      <c r="FQ2281" s="4"/>
      <c r="FR2281" s="4"/>
      <c r="FS2281" s="4"/>
      <c r="FT2281" s="4"/>
      <c r="FU2281" s="4"/>
      <c r="FV2281" s="4"/>
      <c r="FW2281" s="4"/>
      <c r="FX2281" s="4"/>
      <c r="FY2281" s="4"/>
      <c r="FZ2281" s="4"/>
      <c r="GA2281" s="4"/>
      <c r="GB2281" s="4"/>
      <c r="GC2281" s="4"/>
      <c r="GD2281" s="4"/>
      <c r="GE2281" s="4"/>
      <c r="GF2281" s="4"/>
      <c r="GG2281" s="4"/>
      <c r="GH2281" s="4"/>
      <c r="GI2281" s="4"/>
      <c r="GJ2281" s="4"/>
      <c r="GK2281" s="4"/>
      <c r="GL2281" s="4"/>
      <c r="GM2281" s="4"/>
      <c r="GN2281" s="4"/>
      <c r="GO2281" s="4"/>
      <c r="GP2281" s="4"/>
      <c r="GQ2281" s="4"/>
      <c r="GR2281" s="4"/>
      <c r="GS2281" s="4"/>
      <c r="GT2281" s="4"/>
      <c r="GU2281" s="4"/>
      <c r="GV2281" s="4"/>
      <c r="GW2281" s="4"/>
      <c r="GX2281" s="4"/>
      <c r="GY2281" s="4"/>
      <c r="GZ2281" s="4"/>
      <c r="HA2281" s="4"/>
      <c r="HB2281" s="4"/>
      <c r="HC2281" s="4"/>
      <c r="HD2281" s="4"/>
      <c r="HE2281" s="4"/>
    </row>
    <row r="2282">
      <c r="A2282" s="2" t="s">
        <v>10730</v>
      </c>
      <c r="B2282" s="2" t="s">
        <v>223</v>
      </c>
      <c r="C2282" s="2" t="s">
        <v>3635</v>
      </c>
      <c r="D2282" s="2" t="s">
        <v>1407</v>
      </c>
      <c r="E2282" s="2" t="s">
        <v>6106</v>
      </c>
      <c r="F2282" s="2" t="s">
        <v>10716</v>
      </c>
      <c r="G2282" s="2" t="s">
        <v>10716</v>
      </c>
      <c r="H2282" s="2" t="s">
        <v>10716</v>
      </c>
      <c r="I2282" s="2" t="s">
        <v>10717</v>
      </c>
      <c r="J2282" s="2" t="s">
        <v>289</v>
      </c>
      <c r="K2282" s="2" t="s">
        <v>1466</v>
      </c>
      <c r="L2282" s="3">
        <v>83.06</v>
      </c>
      <c r="M2282" s="3">
        <v>87.21</v>
      </c>
      <c r="N2282" s="3">
        <v>129.99</v>
      </c>
      <c r="O2282" s="2" t="s">
        <v>461</v>
      </c>
      <c r="P2282" s="2" t="s">
        <v>1116</v>
      </c>
      <c r="Q2282" s="2" t="s">
        <v>234</v>
      </c>
      <c r="R2282" s="2" t="s">
        <v>727</v>
      </c>
      <c r="S2282" s="2" t="s">
        <v>228</v>
      </c>
      <c r="T2282" s="2" t="s">
        <v>228</v>
      </c>
      <c r="U2282" s="2" t="s">
        <v>416</v>
      </c>
      <c r="V2282" s="2" t="s">
        <v>236</v>
      </c>
      <c r="W2282" s="2" t="s">
        <v>228</v>
      </c>
      <c r="X2282" s="2" t="s">
        <v>228</v>
      </c>
      <c r="Y2282" s="2" t="s">
        <v>1898</v>
      </c>
      <c r="Z2282" s="4">
        <v>90</v>
      </c>
      <c r="AA2282" s="4">
        <f>=ROUNDDOWN(90,0)</f>
      </c>
      <c r="AB2282" s="5">
        <v>1</v>
      </c>
      <c r="AC2282" s="2" t="s">
        <v>228</v>
      </c>
      <c r="AD2282" s="4"/>
      <c r="AE2282" s="4"/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228</v>
      </c>
      <c r="AM2282" s="4"/>
      <c r="AN2282" s="4"/>
      <c r="AO2282" s="7"/>
      <c r="AP2282" s="4"/>
      <c r="AQ2282" s="8"/>
      <c r="AR2282" s="4"/>
      <c r="AS2282" s="8"/>
      <c r="AT2282" s="7"/>
      <c r="AU2282" s="7"/>
      <c r="AV2282" s="4" t="s">
        <v>228</v>
      </c>
      <c r="AW2282" s="8" t="s">
        <v>228</v>
      </c>
      <c r="AX2282" s="4" t="s">
        <v>228</v>
      </c>
      <c r="AY2282" s="8" t="s">
        <v>228</v>
      </c>
      <c r="AZ2282" s="7" t="s">
        <v>228</v>
      </c>
      <c r="BA2282" s="7" t="s">
        <v>228</v>
      </c>
      <c r="BB2282" s="7"/>
      <c r="BC2282" s="4" t="s">
        <v>228</v>
      </c>
      <c r="BD2282" s="8" t="s">
        <v>228</v>
      </c>
      <c r="BE2282" s="4" t="s">
        <v>228</v>
      </c>
      <c r="BF2282" s="8" t="s">
        <v>228</v>
      </c>
      <c r="BG2282" s="7" t="s">
        <v>228</v>
      </c>
      <c r="BH2282" s="7" t="s">
        <v>228</v>
      </c>
      <c r="BI2282" s="7"/>
      <c r="BJ2282" s="4"/>
      <c r="BK2282" s="8"/>
      <c r="BL2282" s="2" t="s">
        <v>699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10731</v>
      </c>
      <c r="BV2282" s="2" t="s">
        <v>228</v>
      </c>
      <c r="BW2282" s="2" t="s">
        <v>228</v>
      </c>
      <c r="BX2282" s="2" t="s">
        <v>273</v>
      </c>
      <c r="BY2282" s="2" t="s">
        <v>274</v>
      </c>
      <c r="BZ2282" s="2" t="s">
        <v>240</v>
      </c>
      <c r="CA2282" s="2" t="s">
        <v>1554</v>
      </c>
      <c r="CB2282" s="2" t="s">
        <v>228</v>
      </c>
      <c r="CC2282" s="2" t="s">
        <v>241</v>
      </c>
      <c r="CD2282" s="2" t="s">
        <v>228</v>
      </c>
      <c r="CE2282" s="4">
        <v>90</v>
      </c>
      <c r="CF2282" s="4"/>
      <c r="CG2282" s="4"/>
      <c r="CH2282" s="4"/>
      <c r="CI2282" s="4"/>
      <c r="CJ2282" s="4"/>
      <c r="CK2282" s="4"/>
      <c r="CL2282" s="4"/>
      <c r="CM2282" s="4"/>
      <c r="CN2282" s="4"/>
      <c r="CO2282" s="4"/>
      <c r="CP2282" s="4"/>
      <c r="CQ2282" s="4"/>
      <c r="CR2282" s="4"/>
      <c r="CS2282" s="4"/>
      <c r="CT2282" s="4"/>
      <c r="CU2282" s="4"/>
      <c r="CV2282" s="4"/>
      <c r="CW2282" s="4"/>
      <c r="CX2282" s="4"/>
      <c r="CY2282" s="4"/>
      <c r="CZ2282" s="4"/>
      <c r="DA2282" s="4"/>
      <c r="DB2282" s="4"/>
      <c r="DC2282" s="4"/>
      <c r="DD2282" s="4"/>
      <c r="DE2282" s="4"/>
      <c r="DF2282" s="4"/>
      <c r="DG2282" s="4"/>
      <c r="DH2282" s="4"/>
      <c r="DI2282" s="4"/>
      <c r="DJ2282" s="4"/>
      <c r="DK2282" s="4"/>
      <c r="DL2282" s="4"/>
      <c r="DM2282" s="4"/>
      <c r="DN2282" s="4"/>
      <c r="DO2282" s="4"/>
      <c r="DP2282" s="4"/>
      <c r="DQ2282" s="4"/>
      <c r="DR2282" s="4"/>
      <c r="DS2282" s="4"/>
      <c r="DT2282" s="4"/>
      <c r="DU2282" s="4"/>
      <c r="DV2282" s="4"/>
      <c r="DW2282" s="4"/>
      <c r="DX2282" s="4"/>
      <c r="DY2282" s="4"/>
      <c r="DZ2282" s="4"/>
      <c r="EA2282" s="4"/>
      <c r="EB2282" s="4"/>
      <c r="EC2282" s="4"/>
      <c r="ED2282" s="4"/>
      <c r="EE2282" s="4"/>
      <c r="EF2282" s="4"/>
      <c r="EG2282" s="4"/>
      <c r="EH2282" s="4"/>
      <c r="EI2282" s="4"/>
      <c r="EJ2282" s="4"/>
      <c r="EK2282" s="4"/>
      <c r="EL2282" s="4"/>
      <c r="EM2282" s="4"/>
      <c r="EN2282" s="4"/>
      <c r="EO2282" s="4"/>
      <c r="EP2282" s="4"/>
      <c r="EQ2282" s="4"/>
      <c r="ER2282" s="4"/>
      <c r="ES2282" s="4"/>
      <c r="ET2282" s="4"/>
      <c r="EU2282" s="4"/>
      <c r="EV2282" s="4"/>
      <c r="EW2282" s="4"/>
      <c r="EX2282" s="4"/>
      <c r="EY2282" s="4"/>
      <c r="EZ2282" s="4"/>
      <c r="FA2282" s="4"/>
      <c r="FB2282" s="4"/>
      <c r="FC2282" s="4"/>
      <c r="FD2282" s="4"/>
      <c r="FE2282" s="4"/>
      <c r="FF2282" s="4"/>
      <c r="FG2282" s="4"/>
      <c r="FH2282" s="4"/>
      <c r="FI2282" s="4"/>
      <c r="FJ2282" s="4"/>
      <c r="FK2282" s="4"/>
      <c r="FL2282" s="4"/>
      <c r="FM2282" s="4"/>
      <c r="FN2282" s="4"/>
      <c r="FO2282" s="4"/>
      <c r="FP2282" s="4"/>
      <c r="FQ2282" s="4"/>
      <c r="FR2282" s="4"/>
      <c r="FS2282" s="4"/>
      <c r="FT2282" s="4"/>
      <c r="FU2282" s="4"/>
      <c r="FV2282" s="4"/>
      <c r="FW2282" s="4"/>
      <c r="FX2282" s="4"/>
      <c r="FY2282" s="4"/>
      <c r="FZ2282" s="4"/>
      <c r="GA2282" s="4"/>
      <c r="GB2282" s="4"/>
      <c r="GC2282" s="4"/>
      <c r="GD2282" s="4"/>
      <c r="GE2282" s="4"/>
      <c r="GF2282" s="4"/>
      <c r="GG2282" s="4"/>
      <c r="GH2282" s="4"/>
      <c r="GI2282" s="4"/>
      <c r="GJ2282" s="4"/>
      <c r="GK2282" s="4"/>
      <c r="GL2282" s="4"/>
      <c r="GM2282" s="4"/>
      <c r="GN2282" s="4"/>
      <c r="GO2282" s="4"/>
      <c r="GP2282" s="4"/>
      <c r="GQ2282" s="4"/>
      <c r="GR2282" s="4"/>
      <c r="GS2282" s="4"/>
      <c r="GT2282" s="4"/>
      <c r="GU2282" s="4"/>
      <c r="GV2282" s="4"/>
      <c r="GW2282" s="4"/>
      <c r="GX2282" s="4"/>
      <c r="GY2282" s="4"/>
      <c r="GZ2282" s="4"/>
      <c r="HA2282" s="4"/>
      <c r="HB2282" s="4"/>
      <c r="HC2282" s="4"/>
      <c r="HD2282" s="4"/>
      <c r="HE2282" s="4"/>
    </row>
    <row r="2283">
      <c r="A2283" s="2" t="s">
        <v>10732</v>
      </c>
      <c r="B2283" s="2" t="s">
        <v>223</v>
      </c>
      <c r="C2283" s="2" t="s">
        <v>3635</v>
      </c>
      <c r="D2283" s="2" t="s">
        <v>1407</v>
      </c>
      <c r="E2283" s="2" t="s">
        <v>6106</v>
      </c>
      <c r="F2283" s="2" t="s">
        <v>10716</v>
      </c>
      <c r="G2283" s="2" t="s">
        <v>10716</v>
      </c>
      <c r="H2283" s="2" t="s">
        <v>10716</v>
      </c>
      <c r="I2283" s="2" t="s">
        <v>10717</v>
      </c>
      <c r="J2283" s="2" t="s">
        <v>294</v>
      </c>
      <c r="K2283" s="2" t="s">
        <v>1466</v>
      </c>
      <c r="L2283" s="3">
        <v>89.45</v>
      </c>
      <c r="M2283" s="3">
        <v>93.92</v>
      </c>
      <c r="N2283" s="3">
        <v>139.99</v>
      </c>
      <c r="O2283" s="2" t="s">
        <v>461</v>
      </c>
      <c r="P2283" s="2" t="s">
        <v>1116</v>
      </c>
      <c r="Q2283" s="2" t="s">
        <v>234</v>
      </c>
      <c r="R2283" s="2" t="s">
        <v>727</v>
      </c>
      <c r="S2283" s="2" t="s">
        <v>228</v>
      </c>
      <c r="T2283" s="2" t="s">
        <v>228</v>
      </c>
      <c r="U2283" s="2" t="s">
        <v>416</v>
      </c>
      <c r="V2283" s="2" t="s">
        <v>236</v>
      </c>
      <c r="W2283" s="2" t="s">
        <v>228</v>
      </c>
      <c r="X2283" s="2" t="s">
        <v>228</v>
      </c>
      <c r="Y2283" s="2" t="s">
        <v>1898</v>
      </c>
      <c r="Z2283" s="4">
        <v>106</v>
      </c>
      <c r="AA2283" s="4">
        <f>=ROUNDDOWN(106,0)</f>
      </c>
      <c r="AB2283" s="5">
        <v>1</v>
      </c>
      <c r="AC2283" s="2" t="s">
        <v>228</v>
      </c>
      <c r="AD2283" s="4"/>
      <c r="AE2283" s="4"/>
      <c r="AF2283" s="6">
        <v>65</v>
      </c>
      <c r="AG2283" s="6"/>
      <c r="AH2283" s="7">
        <v>1</v>
      </c>
      <c r="AI2283" s="4"/>
      <c r="AJ2283" s="4">
        <f>=ROUNDDOWN({0},0)</f>
      </c>
      <c r="AK2283" s="5"/>
      <c r="AL2283" s="2" t="s">
        <v>228</v>
      </c>
      <c r="AM2283" s="4"/>
      <c r="AN2283" s="4"/>
      <c r="AO2283" s="7"/>
      <c r="AP2283" s="4"/>
      <c r="AQ2283" s="8"/>
      <c r="AR2283" s="4"/>
      <c r="AS2283" s="8"/>
      <c r="AT2283" s="7"/>
      <c r="AU2283" s="7"/>
      <c r="AV2283" s="4" t="s">
        <v>228</v>
      </c>
      <c r="AW2283" s="8" t="s">
        <v>228</v>
      </c>
      <c r="AX2283" s="4" t="s">
        <v>228</v>
      </c>
      <c r="AY2283" s="8" t="s">
        <v>228</v>
      </c>
      <c r="AZ2283" s="7" t="s">
        <v>228</v>
      </c>
      <c r="BA2283" s="7" t="s">
        <v>228</v>
      </c>
      <c r="BB2283" s="7"/>
      <c r="BC2283" s="4" t="s">
        <v>228</v>
      </c>
      <c r="BD2283" s="8" t="s">
        <v>228</v>
      </c>
      <c r="BE2283" s="4" t="s">
        <v>228</v>
      </c>
      <c r="BF2283" s="8" t="s">
        <v>228</v>
      </c>
      <c r="BG2283" s="7" t="s">
        <v>228</v>
      </c>
      <c r="BH2283" s="7" t="s">
        <v>228</v>
      </c>
      <c r="BI2283" s="7"/>
      <c r="BJ2283" s="4"/>
      <c r="BK2283" s="8"/>
      <c r="BL2283" s="2" t="s">
        <v>228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10733</v>
      </c>
      <c r="BV2283" s="2" t="s">
        <v>228</v>
      </c>
      <c r="BW2283" s="2" t="s">
        <v>228</v>
      </c>
      <c r="BX2283" s="2" t="s">
        <v>273</v>
      </c>
      <c r="BY2283" s="2" t="s">
        <v>274</v>
      </c>
      <c r="BZ2283" s="2" t="s">
        <v>240</v>
      </c>
      <c r="CA2283" s="2" t="s">
        <v>1554</v>
      </c>
      <c r="CB2283" s="2" t="s">
        <v>3573</v>
      </c>
      <c r="CC2283" s="2" t="s">
        <v>241</v>
      </c>
      <c r="CD2283" s="2" t="s">
        <v>228</v>
      </c>
      <c r="CE2283" s="4">
        <v>106</v>
      </c>
      <c r="CF2283" s="4"/>
      <c r="CG2283" s="4"/>
      <c r="CH2283" s="4"/>
      <c r="CI2283" s="4"/>
      <c r="CJ2283" s="4"/>
      <c r="CK2283" s="4"/>
      <c r="CL2283" s="4"/>
      <c r="CM2283" s="4"/>
      <c r="CN2283" s="4"/>
      <c r="CO2283" s="4"/>
      <c r="CP2283" s="4"/>
      <c r="CQ2283" s="4"/>
      <c r="CR2283" s="4"/>
      <c r="CS2283" s="4"/>
      <c r="CT2283" s="4"/>
      <c r="CU2283" s="4"/>
      <c r="CV2283" s="4"/>
      <c r="CW2283" s="4"/>
      <c r="CX2283" s="4"/>
      <c r="CY2283" s="4"/>
      <c r="CZ2283" s="4"/>
      <c r="DA2283" s="4"/>
      <c r="DB2283" s="4"/>
      <c r="DC2283" s="4"/>
      <c r="DD2283" s="4"/>
      <c r="DE2283" s="4"/>
      <c r="DF2283" s="4"/>
      <c r="DG2283" s="4"/>
      <c r="DH2283" s="4"/>
      <c r="DI2283" s="4"/>
      <c r="DJ2283" s="4"/>
      <c r="DK2283" s="4"/>
      <c r="DL2283" s="4"/>
      <c r="DM2283" s="4"/>
      <c r="DN2283" s="4"/>
      <c r="DO2283" s="4"/>
      <c r="DP2283" s="4"/>
      <c r="DQ2283" s="4"/>
      <c r="DR2283" s="4"/>
      <c r="DS2283" s="4"/>
      <c r="DT2283" s="4"/>
      <c r="DU2283" s="4"/>
      <c r="DV2283" s="4"/>
      <c r="DW2283" s="4"/>
      <c r="DX2283" s="4"/>
      <c r="DY2283" s="4"/>
      <c r="DZ2283" s="4"/>
      <c r="EA2283" s="4"/>
      <c r="EB2283" s="4"/>
      <c r="EC2283" s="4"/>
      <c r="ED2283" s="4"/>
      <c r="EE2283" s="4"/>
      <c r="EF2283" s="4"/>
      <c r="EG2283" s="4"/>
      <c r="EH2283" s="4"/>
      <c r="EI2283" s="4"/>
      <c r="EJ2283" s="4"/>
      <c r="EK2283" s="4"/>
      <c r="EL2283" s="4"/>
      <c r="EM2283" s="4"/>
      <c r="EN2283" s="4"/>
      <c r="EO2283" s="4"/>
      <c r="EP2283" s="4"/>
      <c r="EQ2283" s="4"/>
      <c r="ER2283" s="4"/>
      <c r="ES2283" s="4"/>
      <c r="ET2283" s="4"/>
      <c r="EU2283" s="4"/>
      <c r="EV2283" s="4"/>
      <c r="EW2283" s="4"/>
      <c r="EX2283" s="4"/>
      <c r="EY2283" s="4"/>
      <c r="EZ2283" s="4"/>
      <c r="FA2283" s="4"/>
      <c r="FB2283" s="4"/>
      <c r="FC2283" s="4"/>
      <c r="FD2283" s="4"/>
      <c r="FE2283" s="4"/>
      <c r="FF2283" s="4"/>
      <c r="FG2283" s="4"/>
      <c r="FH2283" s="4"/>
      <c r="FI2283" s="4"/>
      <c r="FJ2283" s="4"/>
      <c r="FK2283" s="4"/>
      <c r="FL2283" s="4"/>
      <c r="FM2283" s="4"/>
      <c r="FN2283" s="4"/>
      <c r="FO2283" s="4"/>
      <c r="FP2283" s="4"/>
      <c r="FQ2283" s="4"/>
      <c r="FR2283" s="4"/>
      <c r="FS2283" s="4"/>
      <c r="FT2283" s="4"/>
      <c r="FU2283" s="4"/>
      <c r="FV2283" s="4"/>
      <c r="FW2283" s="4"/>
      <c r="FX2283" s="4"/>
      <c r="FY2283" s="4"/>
      <c r="FZ2283" s="4"/>
      <c r="GA2283" s="4"/>
      <c r="GB2283" s="4"/>
      <c r="GC2283" s="4"/>
      <c r="GD2283" s="4"/>
      <c r="GE2283" s="4"/>
      <c r="GF2283" s="4"/>
      <c r="GG2283" s="4"/>
      <c r="GH2283" s="4"/>
      <c r="GI2283" s="4"/>
      <c r="GJ2283" s="4"/>
      <c r="GK2283" s="4"/>
      <c r="GL2283" s="4"/>
      <c r="GM2283" s="4"/>
      <c r="GN2283" s="4"/>
      <c r="GO2283" s="4"/>
      <c r="GP2283" s="4"/>
      <c r="GQ2283" s="4"/>
      <c r="GR2283" s="4"/>
      <c r="GS2283" s="4"/>
      <c r="GT2283" s="4"/>
      <c r="GU2283" s="4"/>
      <c r="GV2283" s="4"/>
      <c r="GW2283" s="4"/>
      <c r="GX2283" s="4"/>
      <c r="GY2283" s="4"/>
      <c r="GZ2283" s="4"/>
      <c r="HA2283" s="4"/>
      <c r="HB2283" s="4"/>
      <c r="HC2283" s="4"/>
      <c r="HD2283" s="4"/>
      <c r="HE2283" s="4"/>
    </row>
    <row r="2284">
      <c r="A2284" s="2" t="s">
        <v>10734</v>
      </c>
      <c r="B2284" s="2" t="s">
        <v>223</v>
      </c>
      <c r="C2284" s="2" t="s">
        <v>3635</v>
      </c>
      <c r="D2284" s="2" t="s">
        <v>1407</v>
      </c>
      <c r="E2284" s="2" t="s">
        <v>6106</v>
      </c>
      <c r="F2284" s="2" t="s">
        <v>10716</v>
      </c>
      <c r="G2284" s="2" t="s">
        <v>10716</v>
      </c>
      <c r="H2284" s="2" t="s">
        <v>10716</v>
      </c>
      <c r="I2284" s="2" t="s">
        <v>10717</v>
      </c>
      <c r="J2284" s="2" t="s">
        <v>284</v>
      </c>
      <c r="K2284" s="2" t="s">
        <v>1105</v>
      </c>
      <c r="L2284" s="3">
        <v>57.5</v>
      </c>
      <c r="M2284" s="3">
        <v>60.38</v>
      </c>
      <c r="N2284" s="3">
        <v>89.99</v>
      </c>
      <c r="O2284" s="2" t="s">
        <v>461</v>
      </c>
      <c r="P2284" s="2" t="s">
        <v>1116</v>
      </c>
      <c r="Q2284" s="2" t="s">
        <v>234</v>
      </c>
      <c r="R2284" s="2" t="s">
        <v>727</v>
      </c>
      <c r="S2284" s="2" t="s">
        <v>228</v>
      </c>
      <c r="T2284" s="2" t="s">
        <v>228</v>
      </c>
      <c r="U2284" s="2" t="s">
        <v>416</v>
      </c>
      <c r="V2284" s="2" t="s">
        <v>236</v>
      </c>
      <c r="W2284" s="2" t="s">
        <v>228</v>
      </c>
      <c r="X2284" s="2" t="s">
        <v>228</v>
      </c>
      <c r="Y2284" s="2" t="s">
        <v>2773</v>
      </c>
      <c r="Z2284" s="4">
        <v>135</v>
      </c>
      <c r="AA2284" s="4">
        <f>=ROUNDDOWN(64.2857142857143,0)</f>
      </c>
      <c r="AB2284" s="5">
        <v>2.1</v>
      </c>
      <c r="AC2284" s="2" t="s">
        <v>228</v>
      </c>
      <c r="AD2284" s="4"/>
      <c r="AE2284" s="4"/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228</v>
      </c>
      <c r="AM2284" s="4"/>
      <c r="AN2284" s="4"/>
      <c r="AO2284" s="7"/>
      <c r="AP2284" s="4"/>
      <c r="AQ2284" s="8"/>
      <c r="AR2284" s="4"/>
      <c r="AS2284" s="8"/>
      <c r="AT2284" s="7"/>
      <c r="AU2284" s="7"/>
      <c r="AV2284" s="4" t="s">
        <v>228</v>
      </c>
      <c r="AW2284" s="8" t="s">
        <v>228</v>
      </c>
      <c r="AX2284" s="4" t="s">
        <v>228</v>
      </c>
      <c r="AY2284" s="8" t="s">
        <v>228</v>
      </c>
      <c r="AZ2284" s="7" t="s">
        <v>228</v>
      </c>
      <c r="BA2284" s="7" t="s">
        <v>228</v>
      </c>
      <c r="BB2284" s="7"/>
      <c r="BC2284" s="4" t="s">
        <v>228</v>
      </c>
      <c r="BD2284" s="8" t="s">
        <v>228</v>
      </c>
      <c r="BE2284" s="4" t="s">
        <v>228</v>
      </c>
      <c r="BF2284" s="8" t="s">
        <v>228</v>
      </c>
      <c r="BG2284" s="7" t="s">
        <v>228</v>
      </c>
      <c r="BH2284" s="7" t="s">
        <v>228</v>
      </c>
      <c r="BI2284" s="7"/>
      <c r="BJ2284" s="4">
        <v>1</v>
      </c>
      <c r="BK2284" s="8">
        <v>30.19</v>
      </c>
      <c r="BL2284" s="2" t="s">
        <v>699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10735</v>
      </c>
      <c r="BV2284" s="2" t="s">
        <v>228</v>
      </c>
      <c r="BW2284" s="2" t="s">
        <v>228</v>
      </c>
      <c r="BX2284" s="2" t="s">
        <v>273</v>
      </c>
      <c r="BY2284" s="2" t="s">
        <v>274</v>
      </c>
      <c r="BZ2284" s="2" t="s">
        <v>240</v>
      </c>
      <c r="CA2284" s="2" t="s">
        <v>1554</v>
      </c>
      <c r="CB2284" s="2" t="s">
        <v>228</v>
      </c>
      <c r="CC2284" s="2" t="s">
        <v>241</v>
      </c>
      <c r="CD2284" s="2" t="s">
        <v>228</v>
      </c>
      <c r="CE2284" s="4">
        <v>135</v>
      </c>
      <c r="CF2284" s="4"/>
      <c r="CG2284" s="4"/>
      <c r="CH2284" s="4"/>
      <c r="CI2284" s="4"/>
      <c r="CJ2284" s="4"/>
      <c r="CK2284" s="4"/>
      <c r="CL2284" s="4"/>
      <c r="CM2284" s="4"/>
      <c r="CN2284" s="4"/>
      <c r="CO2284" s="4"/>
      <c r="CP2284" s="4"/>
      <c r="CQ2284" s="4"/>
      <c r="CR2284" s="4"/>
      <c r="CS2284" s="4"/>
      <c r="CT2284" s="4"/>
      <c r="CU2284" s="4"/>
      <c r="CV2284" s="4"/>
      <c r="CW2284" s="4"/>
      <c r="CX2284" s="4"/>
      <c r="CY2284" s="4"/>
      <c r="CZ2284" s="4"/>
      <c r="DA2284" s="4"/>
      <c r="DB2284" s="4"/>
      <c r="DC2284" s="4"/>
      <c r="DD2284" s="4"/>
      <c r="DE2284" s="4"/>
      <c r="DF2284" s="4"/>
      <c r="DG2284" s="4"/>
      <c r="DH2284" s="4"/>
      <c r="DI2284" s="4"/>
      <c r="DJ2284" s="4"/>
      <c r="DK2284" s="4"/>
      <c r="DL2284" s="4"/>
      <c r="DM2284" s="4"/>
      <c r="DN2284" s="4"/>
      <c r="DO2284" s="4"/>
      <c r="DP2284" s="4"/>
      <c r="DQ2284" s="4"/>
      <c r="DR2284" s="4"/>
      <c r="DS2284" s="4"/>
      <c r="DT2284" s="4"/>
      <c r="DU2284" s="4"/>
      <c r="DV2284" s="4"/>
      <c r="DW2284" s="4"/>
      <c r="DX2284" s="4"/>
      <c r="DY2284" s="4"/>
      <c r="DZ2284" s="4"/>
      <c r="EA2284" s="4"/>
      <c r="EB2284" s="4"/>
      <c r="EC2284" s="4"/>
      <c r="ED2284" s="4"/>
      <c r="EE2284" s="4"/>
      <c r="EF2284" s="4"/>
      <c r="EG2284" s="4"/>
      <c r="EH2284" s="4"/>
      <c r="EI2284" s="4"/>
      <c r="EJ2284" s="4"/>
      <c r="EK2284" s="4"/>
      <c r="EL2284" s="4"/>
      <c r="EM2284" s="4"/>
      <c r="EN2284" s="4"/>
      <c r="EO2284" s="4"/>
      <c r="EP2284" s="4"/>
      <c r="EQ2284" s="4"/>
      <c r="ER2284" s="4"/>
      <c r="ES2284" s="4"/>
      <c r="ET2284" s="4"/>
      <c r="EU2284" s="4"/>
      <c r="EV2284" s="4"/>
      <c r="EW2284" s="4"/>
      <c r="EX2284" s="4"/>
      <c r="EY2284" s="4"/>
      <c r="EZ2284" s="4"/>
      <c r="FA2284" s="4"/>
      <c r="FB2284" s="4"/>
      <c r="FC2284" s="4"/>
      <c r="FD2284" s="4"/>
      <c r="FE2284" s="4"/>
      <c r="FF2284" s="4"/>
      <c r="FG2284" s="4"/>
      <c r="FH2284" s="4"/>
      <c r="FI2284" s="4"/>
      <c r="FJ2284" s="4"/>
      <c r="FK2284" s="4"/>
      <c r="FL2284" s="4"/>
      <c r="FM2284" s="4"/>
      <c r="FN2284" s="4"/>
      <c r="FO2284" s="4"/>
      <c r="FP2284" s="4"/>
      <c r="FQ2284" s="4"/>
      <c r="FR2284" s="4"/>
      <c r="FS2284" s="4"/>
      <c r="FT2284" s="4"/>
      <c r="FU2284" s="4"/>
      <c r="FV2284" s="4"/>
      <c r="FW2284" s="4"/>
      <c r="FX2284" s="4"/>
      <c r="FY2284" s="4"/>
      <c r="FZ2284" s="4"/>
      <c r="GA2284" s="4"/>
      <c r="GB2284" s="4"/>
      <c r="GC2284" s="4"/>
      <c r="GD2284" s="4"/>
      <c r="GE2284" s="4"/>
      <c r="GF2284" s="4"/>
      <c r="GG2284" s="4"/>
      <c r="GH2284" s="4"/>
      <c r="GI2284" s="4"/>
      <c r="GJ2284" s="4"/>
      <c r="GK2284" s="4"/>
      <c r="GL2284" s="4"/>
      <c r="GM2284" s="4"/>
      <c r="GN2284" s="4"/>
      <c r="GO2284" s="4"/>
      <c r="GP2284" s="4"/>
      <c r="GQ2284" s="4"/>
      <c r="GR2284" s="4"/>
      <c r="GS2284" s="4"/>
      <c r="GT2284" s="4"/>
      <c r="GU2284" s="4"/>
      <c r="GV2284" s="4"/>
      <c r="GW2284" s="4"/>
      <c r="GX2284" s="4"/>
      <c r="GY2284" s="4"/>
      <c r="GZ2284" s="4"/>
      <c r="HA2284" s="4"/>
      <c r="HB2284" s="4"/>
      <c r="HC2284" s="4"/>
      <c r="HD2284" s="4"/>
      <c r="HE2284" s="4"/>
    </row>
    <row r="2285">
      <c r="A2285" s="2" t="s">
        <v>10736</v>
      </c>
      <c r="B2285" s="2" t="s">
        <v>223</v>
      </c>
      <c r="C2285" s="2" t="s">
        <v>3635</v>
      </c>
      <c r="D2285" s="2" t="s">
        <v>1407</v>
      </c>
      <c r="E2285" s="2" t="s">
        <v>6106</v>
      </c>
      <c r="F2285" s="2" t="s">
        <v>10716</v>
      </c>
      <c r="G2285" s="2" t="s">
        <v>10716</v>
      </c>
      <c r="H2285" s="2" t="s">
        <v>10716</v>
      </c>
      <c r="I2285" s="2" t="s">
        <v>10717</v>
      </c>
      <c r="J2285" s="2" t="s">
        <v>289</v>
      </c>
      <c r="K2285" s="2" t="s">
        <v>1105</v>
      </c>
      <c r="L2285" s="3">
        <v>83.06</v>
      </c>
      <c r="M2285" s="3">
        <v>87.21</v>
      </c>
      <c r="N2285" s="3">
        <v>129.99</v>
      </c>
      <c r="O2285" s="2" t="s">
        <v>461</v>
      </c>
      <c r="P2285" s="2" t="s">
        <v>1116</v>
      </c>
      <c r="Q2285" s="2" t="s">
        <v>234</v>
      </c>
      <c r="R2285" s="2" t="s">
        <v>727</v>
      </c>
      <c r="S2285" s="2" t="s">
        <v>228</v>
      </c>
      <c r="T2285" s="2" t="s">
        <v>228</v>
      </c>
      <c r="U2285" s="2" t="s">
        <v>416</v>
      </c>
      <c r="V2285" s="2" t="s">
        <v>236</v>
      </c>
      <c r="W2285" s="2" t="s">
        <v>228</v>
      </c>
      <c r="X2285" s="2" t="s">
        <v>228</v>
      </c>
      <c r="Y2285" s="2" t="s">
        <v>1898</v>
      </c>
      <c r="Z2285" s="4">
        <v>87</v>
      </c>
      <c r="AA2285" s="4">
        <f>=ROUNDDOWN(87,0)</f>
      </c>
      <c r="AB2285" s="5">
        <v>1</v>
      </c>
      <c r="AC2285" s="2" t="s">
        <v>228</v>
      </c>
      <c r="AD2285" s="4"/>
      <c r="AE2285" s="4"/>
      <c r="AF2285" s="6">
        <v>65</v>
      </c>
      <c r="AG2285" s="6"/>
      <c r="AH2285" s="7">
        <v>1</v>
      </c>
      <c r="AI2285" s="4"/>
      <c r="AJ2285" s="4">
        <f>=ROUNDDOWN({0},0)</f>
      </c>
      <c r="AK2285" s="5"/>
      <c r="AL2285" s="2" t="s">
        <v>228</v>
      </c>
      <c r="AM2285" s="4"/>
      <c r="AN2285" s="4"/>
      <c r="AO2285" s="7"/>
      <c r="AP2285" s="4"/>
      <c r="AQ2285" s="8"/>
      <c r="AR2285" s="4"/>
      <c r="AS2285" s="8"/>
      <c r="AT2285" s="7"/>
      <c r="AU2285" s="7"/>
      <c r="AV2285" s="4" t="s">
        <v>228</v>
      </c>
      <c r="AW2285" s="8" t="s">
        <v>228</v>
      </c>
      <c r="AX2285" s="4" t="s">
        <v>228</v>
      </c>
      <c r="AY2285" s="8" t="s">
        <v>228</v>
      </c>
      <c r="AZ2285" s="7" t="s">
        <v>228</v>
      </c>
      <c r="BA2285" s="7" t="s">
        <v>228</v>
      </c>
      <c r="BB2285" s="7"/>
      <c r="BC2285" s="4" t="s">
        <v>228</v>
      </c>
      <c r="BD2285" s="8" t="s">
        <v>228</v>
      </c>
      <c r="BE2285" s="4" t="s">
        <v>228</v>
      </c>
      <c r="BF2285" s="8" t="s">
        <v>228</v>
      </c>
      <c r="BG2285" s="7" t="s">
        <v>228</v>
      </c>
      <c r="BH2285" s="7" t="s">
        <v>228</v>
      </c>
      <c r="BI2285" s="7"/>
      <c r="BJ2285" s="4"/>
      <c r="BK2285" s="8"/>
      <c r="BL2285" s="2" t="s">
        <v>228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10737</v>
      </c>
      <c r="BV2285" s="2" t="s">
        <v>228</v>
      </c>
      <c r="BW2285" s="2" t="s">
        <v>228</v>
      </c>
      <c r="BX2285" s="2" t="s">
        <v>273</v>
      </c>
      <c r="BY2285" s="2" t="s">
        <v>274</v>
      </c>
      <c r="BZ2285" s="2" t="s">
        <v>240</v>
      </c>
      <c r="CA2285" s="2" t="s">
        <v>1554</v>
      </c>
      <c r="CB2285" s="2" t="s">
        <v>228</v>
      </c>
      <c r="CC2285" s="2" t="s">
        <v>241</v>
      </c>
      <c r="CD2285" s="2" t="s">
        <v>228</v>
      </c>
      <c r="CE2285" s="4">
        <v>87</v>
      </c>
      <c r="CF2285" s="4"/>
      <c r="CG2285" s="4"/>
      <c r="CH2285" s="4"/>
      <c r="CI2285" s="4"/>
      <c r="CJ2285" s="4"/>
      <c r="CK2285" s="4"/>
      <c r="CL2285" s="4"/>
      <c r="CM2285" s="4"/>
      <c r="CN2285" s="4"/>
      <c r="CO2285" s="4"/>
      <c r="CP2285" s="4"/>
      <c r="CQ2285" s="4"/>
      <c r="CR2285" s="4"/>
      <c r="CS2285" s="4"/>
      <c r="CT2285" s="4"/>
      <c r="CU2285" s="4"/>
      <c r="CV2285" s="4"/>
      <c r="CW2285" s="4"/>
      <c r="CX2285" s="4"/>
      <c r="CY2285" s="4"/>
      <c r="CZ2285" s="4"/>
      <c r="DA2285" s="4"/>
      <c r="DB2285" s="4"/>
      <c r="DC2285" s="4"/>
      <c r="DD2285" s="4"/>
      <c r="DE2285" s="4"/>
      <c r="DF2285" s="4"/>
      <c r="DG2285" s="4"/>
      <c r="DH2285" s="4"/>
      <c r="DI2285" s="4"/>
      <c r="DJ2285" s="4"/>
      <c r="DK2285" s="4"/>
      <c r="DL2285" s="4"/>
      <c r="DM2285" s="4"/>
      <c r="DN2285" s="4"/>
      <c r="DO2285" s="4"/>
      <c r="DP2285" s="4"/>
      <c r="DQ2285" s="4"/>
      <c r="DR2285" s="4"/>
      <c r="DS2285" s="4"/>
      <c r="DT2285" s="4"/>
      <c r="DU2285" s="4"/>
      <c r="DV2285" s="4"/>
      <c r="DW2285" s="4"/>
      <c r="DX2285" s="4"/>
      <c r="DY2285" s="4"/>
      <c r="DZ2285" s="4"/>
      <c r="EA2285" s="4"/>
      <c r="EB2285" s="4"/>
      <c r="EC2285" s="4"/>
      <c r="ED2285" s="4"/>
      <c r="EE2285" s="4"/>
      <c r="EF2285" s="4"/>
      <c r="EG2285" s="4"/>
      <c r="EH2285" s="4"/>
      <c r="EI2285" s="4"/>
      <c r="EJ2285" s="4"/>
      <c r="EK2285" s="4"/>
      <c r="EL2285" s="4"/>
      <c r="EM2285" s="4"/>
      <c r="EN2285" s="4"/>
      <c r="EO2285" s="4"/>
      <c r="EP2285" s="4"/>
      <c r="EQ2285" s="4"/>
      <c r="ER2285" s="4"/>
      <c r="ES2285" s="4"/>
      <c r="ET2285" s="4"/>
      <c r="EU2285" s="4"/>
      <c r="EV2285" s="4"/>
      <c r="EW2285" s="4"/>
      <c r="EX2285" s="4"/>
      <c r="EY2285" s="4"/>
      <c r="EZ2285" s="4"/>
      <c r="FA2285" s="4"/>
      <c r="FB2285" s="4"/>
      <c r="FC2285" s="4"/>
      <c r="FD2285" s="4"/>
      <c r="FE2285" s="4"/>
      <c r="FF2285" s="4"/>
      <c r="FG2285" s="4"/>
      <c r="FH2285" s="4"/>
      <c r="FI2285" s="4"/>
      <c r="FJ2285" s="4"/>
      <c r="FK2285" s="4"/>
      <c r="FL2285" s="4"/>
      <c r="FM2285" s="4"/>
      <c r="FN2285" s="4"/>
      <c r="FO2285" s="4"/>
      <c r="FP2285" s="4"/>
      <c r="FQ2285" s="4"/>
      <c r="FR2285" s="4"/>
      <c r="FS2285" s="4"/>
      <c r="FT2285" s="4"/>
      <c r="FU2285" s="4"/>
      <c r="FV2285" s="4"/>
      <c r="FW2285" s="4"/>
      <c r="FX2285" s="4"/>
      <c r="FY2285" s="4"/>
      <c r="FZ2285" s="4"/>
      <c r="GA2285" s="4"/>
      <c r="GB2285" s="4"/>
      <c r="GC2285" s="4"/>
      <c r="GD2285" s="4"/>
      <c r="GE2285" s="4"/>
      <c r="GF2285" s="4"/>
      <c r="GG2285" s="4"/>
      <c r="GH2285" s="4"/>
      <c r="GI2285" s="4"/>
      <c r="GJ2285" s="4"/>
      <c r="GK2285" s="4"/>
      <c r="GL2285" s="4"/>
      <c r="GM2285" s="4"/>
      <c r="GN2285" s="4"/>
      <c r="GO2285" s="4"/>
      <c r="GP2285" s="4"/>
      <c r="GQ2285" s="4"/>
      <c r="GR2285" s="4"/>
      <c r="GS2285" s="4"/>
      <c r="GT2285" s="4"/>
      <c r="GU2285" s="4"/>
      <c r="GV2285" s="4"/>
      <c r="GW2285" s="4"/>
      <c r="GX2285" s="4"/>
      <c r="GY2285" s="4"/>
      <c r="GZ2285" s="4"/>
      <c r="HA2285" s="4"/>
      <c r="HB2285" s="4"/>
      <c r="HC2285" s="4"/>
      <c r="HD2285" s="4"/>
      <c r="HE2285" s="4"/>
    </row>
    <row r="2286">
      <c r="A2286" s="2" t="s">
        <v>10738</v>
      </c>
      <c r="B2286" s="2" t="s">
        <v>223</v>
      </c>
      <c r="C2286" s="2" t="s">
        <v>3635</v>
      </c>
      <c r="D2286" s="2" t="s">
        <v>1407</v>
      </c>
      <c r="E2286" s="2" t="s">
        <v>6106</v>
      </c>
      <c r="F2286" s="2" t="s">
        <v>10716</v>
      </c>
      <c r="G2286" s="2" t="s">
        <v>10716</v>
      </c>
      <c r="H2286" s="2" t="s">
        <v>10716</v>
      </c>
      <c r="I2286" s="2" t="s">
        <v>10717</v>
      </c>
      <c r="J2286" s="2" t="s">
        <v>294</v>
      </c>
      <c r="K2286" s="2" t="s">
        <v>1105</v>
      </c>
      <c r="L2286" s="3">
        <v>89.45</v>
      </c>
      <c r="M2286" s="3">
        <v>93.92</v>
      </c>
      <c r="N2286" s="3">
        <v>139.99</v>
      </c>
      <c r="O2286" s="2" t="s">
        <v>461</v>
      </c>
      <c r="P2286" s="2" t="s">
        <v>1116</v>
      </c>
      <c r="Q2286" s="2" t="s">
        <v>234</v>
      </c>
      <c r="R2286" s="2" t="s">
        <v>727</v>
      </c>
      <c r="S2286" s="2" t="s">
        <v>228</v>
      </c>
      <c r="T2286" s="2" t="s">
        <v>228</v>
      </c>
      <c r="U2286" s="2" t="s">
        <v>416</v>
      </c>
      <c r="V2286" s="2" t="s">
        <v>236</v>
      </c>
      <c r="W2286" s="2" t="s">
        <v>228</v>
      </c>
      <c r="X2286" s="2" t="s">
        <v>228</v>
      </c>
      <c r="Y2286" s="2" t="s">
        <v>1898</v>
      </c>
      <c r="Z2286" s="4">
        <v>58</v>
      </c>
      <c r="AA2286" s="4">
        <f>=ROUNDDOWN(58,0)</f>
      </c>
      <c r="AB2286" s="5">
        <v>1</v>
      </c>
      <c r="AC2286" s="2" t="s">
        <v>228</v>
      </c>
      <c r="AD2286" s="4"/>
      <c r="AE2286" s="4"/>
      <c r="AF2286" s="6">
        <v>65</v>
      </c>
      <c r="AG2286" s="6"/>
      <c r="AH2286" s="7">
        <v>1</v>
      </c>
      <c r="AI2286" s="4"/>
      <c r="AJ2286" s="4">
        <f>=ROUNDDOWN({0},0)</f>
      </c>
      <c r="AK2286" s="5"/>
      <c r="AL2286" s="2" t="s">
        <v>228</v>
      </c>
      <c r="AM2286" s="4"/>
      <c r="AN2286" s="4"/>
      <c r="AO2286" s="7"/>
      <c r="AP2286" s="4"/>
      <c r="AQ2286" s="8"/>
      <c r="AR2286" s="4"/>
      <c r="AS2286" s="8"/>
      <c r="AT2286" s="7"/>
      <c r="AU2286" s="7"/>
      <c r="AV2286" s="4" t="s">
        <v>228</v>
      </c>
      <c r="AW2286" s="8" t="s">
        <v>228</v>
      </c>
      <c r="AX2286" s="4" t="s">
        <v>228</v>
      </c>
      <c r="AY2286" s="8" t="s">
        <v>228</v>
      </c>
      <c r="AZ2286" s="7" t="s">
        <v>228</v>
      </c>
      <c r="BA2286" s="7" t="s">
        <v>228</v>
      </c>
      <c r="BB2286" s="7"/>
      <c r="BC2286" s="4" t="s">
        <v>228</v>
      </c>
      <c r="BD2286" s="8" t="s">
        <v>228</v>
      </c>
      <c r="BE2286" s="4" t="s">
        <v>228</v>
      </c>
      <c r="BF2286" s="8" t="s">
        <v>228</v>
      </c>
      <c r="BG2286" s="7" t="s">
        <v>228</v>
      </c>
      <c r="BH2286" s="7" t="s">
        <v>228</v>
      </c>
      <c r="BI2286" s="7"/>
      <c r="BJ2286" s="4">
        <v>4</v>
      </c>
      <c r="BK2286" s="8">
        <v>195.36</v>
      </c>
      <c r="BL2286" s="2" t="s">
        <v>727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10739</v>
      </c>
      <c r="BV2286" s="2" t="s">
        <v>228</v>
      </c>
      <c r="BW2286" s="2" t="s">
        <v>228</v>
      </c>
      <c r="BX2286" s="2" t="s">
        <v>273</v>
      </c>
      <c r="BY2286" s="2" t="s">
        <v>274</v>
      </c>
      <c r="BZ2286" s="2" t="s">
        <v>240</v>
      </c>
      <c r="CA2286" s="2" t="s">
        <v>1554</v>
      </c>
      <c r="CB2286" s="2" t="s">
        <v>228</v>
      </c>
      <c r="CC2286" s="2" t="s">
        <v>241</v>
      </c>
      <c r="CD2286" s="2" t="s">
        <v>228</v>
      </c>
      <c r="CE2286" s="4">
        <v>58</v>
      </c>
      <c r="CF2286" s="4"/>
      <c r="CG2286" s="4"/>
      <c r="CH2286" s="4"/>
      <c r="CI2286" s="4"/>
      <c r="CJ2286" s="4"/>
      <c r="CK2286" s="4"/>
      <c r="CL2286" s="4"/>
      <c r="CM2286" s="4"/>
      <c r="CN2286" s="4"/>
      <c r="CO2286" s="4"/>
      <c r="CP2286" s="4"/>
      <c r="CQ2286" s="4"/>
      <c r="CR2286" s="4"/>
      <c r="CS2286" s="4"/>
      <c r="CT2286" s="4"/>
      <c r="CU2286" s="4"/>
      <c r="CV2286" s="4"/>
      <c r="CW2286" s="4"/>
      <c r="CX2286" s="4"/>
      <c r="CY2286" s="4"/>
      <c r="CZ2286" s="4"/>
      <c r="DA2286" s="4"/>
      <c r="DB2286" s="4"/>
      <c r="DC2286" s="4"/>
      <c r="DD2286" s="4"/>
      <c r="DE2286" s="4"/>
      <c r="DF2286" s="4"/>
      <c r="DG2286" s="4"/>
      <c r="DH2286" s="4"/>
      <c r="DI2286" s="4"/>
      <c r="DJ2286" s="4"/>
      <c r="DK2286" s="4"/>
      <c r="DL2286" s="4"/>
      <c r="DM2286" s="4"/>
      <c r="DN2286" s="4"/>
      <c r="DO2286" s="4"/>
      <c r="DP2286" s="4"/>
      <c r="DQ2286" s="4"/>
      <c r="DR2286" s="4"/>
      <c r="DS2286" s="4"/>
      <c r="DT2286" s="4"/>
      <c r="DU2286" s="4"/>
      <c r="DV2286" s="4"/>
      <c r="DW2286" s="4"/>
      <c r="DX2286" s="4"/>
      <c r="DY2286" s="4"/>
      <c r="DZ2286" s="4"/>
      <c r="EA2286" s="4"/>
      <c r="EB2286" s="4"/>
      <c r="EC2286" s="4"/>
      <c r="ED2286" s="4"/>
      <c r="EE2286" s="4"/>
      <c r="EF2286" s="4"/>
      <c r="EG2286" s="4"/>
      <c r="EH2286" s="4"/>
      <c r="EI2286" s="4"/>
      <c r="EJ2286" s="4"/>
      <c r="EK2286" s="4"/>
      <c r="EL2286" s="4"/>
      <c r="EM2286" s="4"/>
      <c r="EN2286" s="4"/>
      <c r="EO2286" s="4"/>
      <c r="EP2286" s="4"/>
      <c r="EQ2286" s="4"/>
      <c r="ER2286" s="4"/>
      <c r="ES2286" s="4"/>
      <c r="ET2286" s="4"/>
      <c r="EU2286" s="4"/>
      <c r="EV2286" s="4"/>
      <c r="EW2286" s="4"/>
      <c r="EX2286" s="4"/>
      <c r="EY2286" s="4"/>
      <c r="EZ2286" s="4"/>
      <c r="FA2286" s="4"/>
      <c r="FB2286" s="4"/>
      <c r="FC2286" s="4"/>
      <c r="FD2286" s="4"/>
      <c r="FE2286" s="4"/>
      <c r="FF2286" s="4"/>
      <c r="FG2286" s="4"/>
      <c r="FH2286" s="4"/>
      <c r="FI2286" s="4"/>
      <c r="FJ2286" s="4"/>
      <c r="FK2286" s="4"/>
      <c r="FL2286" s="4"/>
      <c r="FM2286" s="4"/>
      <c r="FN2286" s="4"/>
      <c r="FO2286" s="4"/>
      <c r="FP2286" s="4"/>
      <c r="FQ2286" s="4"/>
      <c r="FR2286" s="4"/>
      <c r="FS2286" s="4"/>
      <c r="FT2286" s="4"/>
      <c r="FU2286" s="4"/>
      <c r="FV2286" s="4"/>
      <c r="FW2286" s="4"/>
      <c r="FX2286" s="4"/>
      <c r="FY2286" s="4"/>
      <c r="FZ2286" s="4"/>
      <c r="GA2286" s="4"/>
      <c r="GB2286" s="4"/>
      <c r="GC2286" s="4"/>
      <c r="GD2286" s="4"/>
      <c r="GE2286" s="4"/>
      <c r="GF2286" s="4"/>
      <c r="GG2286" s="4"/>
      <c r="GH2286" s="4"/>
      <c r="GI2286" s="4"/>
      <c r="GJ2286" s="4"/>
      <c r="GK2286" s="4"/>
      <c r="GL2286" s="4"/>
      <c r="GM2286" s="4"/>
      <c r="GN2286" s="4"/>
      <c r="GO2286" s="4"/>
      <c r="GP2286" s="4"/>
      <c r="GQ2286" s="4"/>
      <c r="GR2286" s="4"/>
      <c r="GS2286" s="4"/>
      <c r="GT2286" s="4"/>
      <c r="GU2286" s="4"/>
      <c r="GV2286" s="4"/>
      <c r="GW2286" s="4"/>
      <c r="GX2286" s="4"/>
      <c r="GY2286" s="4"/>
      <c r="GZ2286" s="4"/>
      <c r="HA2286" s="4"/>
      <c r="HB2286" s="4"/>
      <c r="HC2286" s="4"/>
      <c r="HD2286" s="4"/>
      <c r="HE2286" s="4"/>
    </row>
    <row r="2287">
      <c r="A2287" s="2" t="s">
        <v>10740</v>
      </c>
      <c r="B2287" s="2" t="s">
        <v>223</v>
      </c>
      <c r="C2287" s="2" t="s">
        <v>3635</v>
      </c>
      <c r="D2287" s="2" t="s">
        <v>1407</v>
      </c>
      <c r="E2287" s="2" t="s">
        <v>6106</v>
      </c>
      <c r="F2287" s="2" t="s">
        <v>10716</v>
      </c>
      <c r="G2287" s="2" t="s">
        <v>10716</v>
      </c>
      <c r="H2287" s="2" t="s">
        <v>10716</v>
      </c>
      <c r="I2287" s="2" t="s">
        <v>10717</v>
      </c>
      <c r="J2287" s="2" t="s">
        <v>264</v>
      </c>
      <c r="K2287" s="2" t="s">
        <v>10741</v>
      </c>
      <c r="L2287" s="3">
        <v>51.11</v>
      </c>
      <c r="M2287" s="3">
        <v>53.67</v>
      </c>
      <c r="N2287" s="3">
        <v>79.99</v>
      </c>
      <c r="O2287" s="2" t="s">
        <v>461</v>
      </c>
      <c r="P2287" s="2" t="s">
        <v>1116</v>
      </c>
      <c r="Q2287" s="2" t="s">
        <v>234</v>
      </c>
      <c r="R2287" s="2" t="s">
        <v>727</v>
      </c>
      <c r="S2287" s="2" t="s">
        <v>228</v>
      </c>
      <c r="T2287" s="2" t="s">
        <v>228</v>
      </c>
      <c r="U2287" s="2" t="s">
        <v>416</v>
      </c>
      <c r="V2287" s="2" t="s">
        <v>236</v>
      </c>
      <c r="W2287" s="2" t="s">
        <v>228</v>
      </c>
      <c r="X2287" s="2" t="s">
        <v>228</v>
      </c>
      <c r="Y2287" s="2" t="s">
        <v>2773</v>
      </c>
      <c r="Z2287" s="4">
        <v>86</v>
      </c>
      <c r="AA2287" s="4">
        <f>=ROUNDDOWN(143.333333333333,0)</f>
      </c>
      <c r="AB2287" s="5">
        <v>0.6</v>
      </c>
      <c r="AC2287" s="2" t="s">
        <v>228</v>
      </c>
      <c r="AD2287" s="4"/>
      <c r="AE2287" s="4"/>
      <c r="AF2287" s="6">
        <v>65</v>
      </c>
      <c r="AG2287" s="6"/>
      <c r="AH2287" s="7">
        <v>1</v>
      </c>
      <c r="AI2287" s="4"/>
      <c r="AJ2287" s="4">
        <f>=ROUNDDOWN({0},0)</f>
      </c>
      <c r="AK2287" s="5"/>
      <c r="AL2287" s="2" t="s">
        <v>228</v>
      </c>
      <c r="AM2287" s="4"/>
      <c r="AN2287" s="4"/>
      <c r="AO2287" s="7"/>
      <c r="AP2287" s="4"/>
      <c r="AQ2287" s="8"/>
      <c r="AR2287" s="4"/>
      <c r="AS2287" s="8"/>
      <c r="AT2287" s="7"/>
      <c r="AU2287" s="7"/>
      <c r="AV2287" s="4" t="s">
        <v>228</v>
      </c>
      <c r="AW2287" s="8" t="s">
        <v>228</v>
      </c>
      <c r="AX2287" s="4" t="s">
        <v>228</v>
      </c>
      <c r="AY2287" s="8" t="s">
        <v>228</v>
      </c>
      <c r="AZ2287" s="7" t="s">
        <v>228</v>
      </c>
      <c r="BA2287" s="7" t="s">
        <v>228</v>
      </c>
      <c r="BB2287" s="7"/>
      <c r="BC2287" s="4" t="s">
        <v>228</v>
      </c>
      <c r="BD2287" s="8" t="s">
        <v>228</v>
      </c>
      <c r="BE2287" s="4" t="s">
        <v>228</v>
      </c>
      <c r="BF2287" s="8" t="s">
        <v>228</v>
      </c>
      <c r="BG2287" s="7" t="s">
        <v>228</v>
      </c>
      <c r="BH2287" s="7" t="s">
        <v>228</v>
      </c>
      <c r="BI2287" s="7"/>
      <c r="BJ2287" s="4"/>
      <c r="BK2287" s="8"/>
      <c r="BL2287" s="2" t="s">
        <v>228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10742</v>
      </c>
      <c r="BV2287" s="2" t="s">
        <v>228</v>
      </c>
      <c r="BW2287" s="2" t="s">
        <v>228</v>
      </c>
      <c r="BX2287" s="2" t="s">
        <v>273</v>
      </c>
      <c r="BY2287" s="2" t="s">
        <v>274</v>
      </c>
      <c r="BZ2287" s="2" t="s">
        <v>240</v>
      </c>
      <c r="CA2287" s="2" t="s">
        <v>1554</v>
      </c>
      <c r="CB2287" s="2" t="s">
        <v>228</v>
      </c>
      <c r="CC2287" s="2" t="s">
        <v>241</v>
      </c>
      <c r="CD2287" s="2" t="s">
        <v>228</v>
      </c>
      <c r="CE2287" s="4">
        <v>86</v>
      </c>
      <c r="CF2287" s="4"/>
      <c r="CG2287" s="4"/>
      <c r="CH2287" s="4"/>
      <c r="CI2287" s="4"/>
      <c r="CJ2287" s="4"/>
      <c r="CK2287" s="4"/>
      <c r="CL2287" s="4"/>
      <c r="CM2287" s="4"/>
      <c r="CN2287" s="4"/>
      <c r="CO2287" s="4"/>
      <c r="CP2287" s="4"/>
      <c r="CQ2287" s="4"/>
      <c r="CR2287" s="4"/>
      <c r="CS2287" s="4"/>
      <c r="CT2287" s="4"/>
      <c r="CU2287" s="4"/>
      <c r="CV2287" s="4"/>
      <c r="CW2287" s="4"/>
      <c r="CX2287" s="4"/>
      <c r="CY2287" s="4"/>
      <c r="CZ2287" s="4"/>
      <c r="DA2287" s="4"/>
      <c r="DB2287" s="4"/>
      <c r="DC2287" s="4"/>
      <c r="DD2287" s="4"/>
      <c r="DE2287" s="4"/>
      <c r="DF2287" s="4"/>
      <c r="DG2287" s="4"/>
      <c r="DH2287" s="4"/>
      <c r="DI2287" s="4"/>
      <c r="DJ2287" s="4"/>
      <c r="DK2287" s="4"/>
      <c r="DL2287" s="4"/>
      <c r="DM2287" s="4"/>
      <c r="DN2287" s="4"/>
      <c r="DO2287" s="4"/>
      <c r="DP2287" s="4"/>
      <c r="DQ2287" s="4"/>
      <c r="DR2287" s="4"/>
      <c r="DS2287" s="4"/>
      <c r="DT2287" s="4"/>
      <c r="DU2287" s="4"/>
      <c r="DV2287" s="4"/>
      <c r="DW2287" s="4"/>
      <c r="DX2287" s="4"/>
      <c r="DY2287" s="4"/>
      <c r="DZ2287" s="4"/>
      <c r="EA2287" s="4"/>
      <c r="EB2287" s="4"/>
      <c r="EC2287" s="4"/>
      <c r="ED2287" s="4"/>
      <c r="EE2287" s="4"/>
      <c r="EF2287" s="4"/>
      <c r="EG2287" s="4"/>
      <c r="EH2287" s="4"/>
      <c r="EI2287" s="4"/>
      <c r="EJ2287" s="4"/>
      <c r="EK2287" s="4"/>
      <c r="EL2287" s="4"/>
      <c r="EM2287" s="4"/>
      <c r="EN2287" s="4"/>
      <c r="EO2287" s="4"/>
      <c r="EP2287" s="4"/>
      <c r="EQ2287" s="4"/>
      <c r="ER2287" s="4"/>
      <c r="ES2287" s="4"/>
      <c r="ET2287" s="4"/>
      <c r="EU2287" s="4"/>
      <c r="EV2287" s="4"/>
      <c r="EW2287" s="4"/>
      <c r="EX2287" s="4"/>
      <c r="EY2287" s="4"/>
      <c r="EZ2287" s="4"/>
      <c r="FA2287" s="4"/>
      <c r="FB2287" s="4"/>
      <c r="FC2287" s="4"/>
      <c r="FD2287" s="4"/>
      <c r="FE2287" s="4"/>
      <c r="FF2287" s="4"/>
      <c r="FG2287" s="4"/>
      <c r="FH2287" s="4"/>
      <c r="FI2287" s="4"/>
      <c r="FJ2287" s="4"/>
      <c r="FK2287" s="4"/>
      <c r="FL2287" s="4"/>
      <c r="FM2287" s="4"/>
      <c r="FN2287" s="4"/>
      <c r="FO2287" s="4"/>
      <c r="FP2287" s="4"/>
      <c r="FQ2287" s="4"/>
      <c r="FR2287" s="4"/>
      <c r="FS2287" s="4"/>
      <c r="FT2287" s="4"/>
      <c r="FU2287" s="4"/>
      <c r="FV2287" s="4"/>
      <c r="FW2287" s="4"/>
      <c r="FX2287" s="4"/>
      <c r="FY2287" s="4"/>
      <c r="FZ2287" s="4"/>
      <c r="GA2287" s="4"/>
      <c r="GB2287" s="4"/>
      <c r="GC2287" s="4"/>
      <c r="GD2287" s="4"/>
      <c r="GE2287" s="4"/>
      <c r="GF2287" s="4"/>
      <c r="GG2287" s="4"/>
      <c r="GH2287" s="4"/>
      <c r="GI2287" s="4"/>
      <c r="GJ2287" s="4"/>
      <c r="GK2287" s="4"/>
      <c r="GL2287" s="4"/>
      <c r="GM2287" s="4"/>
      <c r="GN2287" s="4"/>
      <c r="GO2287" s="4"/>
      <c r="GP2287" s="4"/>
      <c r="GQ2287" s="4"/>
      <c r="GR2287" s="4"/>
      <c r="GS2287" s="4"/>
      <c r="GT2287" s="4"/>
      <c r="GU2287" s="4"/>
      <c r="GV2287" s="4"/>
      <c r="GW2287" s="4"/>
      <c r="GX2287" s="4"/>
      <c r="GY2287" s="4"/>
      <c r="GZ2287" s="4"/>
      <c r="HA2287" s="4"/>
      <c r="HB2287" s="4"/>
      <c r="HC2287" s="4"/>
      <c r="HD2287" s="4"/>
      <c r="HE2287" s="4"/>
    </row>
    <row r="2288">
      <c r="A2288" s="2" t="s">
        <v>10743</v>
      </c>
      <c r="B2288" s="2" t="s">
        <v>223</v>
      </c>
      <c r="C2288" s="2" t="s">
        <v>3635</v>
      </c>
      <c r="D2288" s="2" t="s">
        <v>1407</v>
      </c>
      <c r="E2288" s="2" t="s">
        <v>6106</v>
      </c>
      <c r="F2288" s="2" t="s">
        <v>10716</v>
      </c>
      <c r="G2288" s="2" t="s">
        <v>10716</v>
      </c>
      <c r="H2288" s="2" t="s">
        <v>10716</v>
      </c>
      <c r="I2288" s="2" t="s">
        <v>10717</v>
      </c>
      <c r="J2288" s="2" t="s">
        <v>284</v>
      </c>
      <c r="K2288" s="2" t="s">
        <v>10741</v>
      </c>
      <c r="L2288" s="3">
        <v>57.5</v>
      </c>
      <c r="M2288" s="3">
        <v>60.38</v>
      </c>
      <c r="N2288" s="3">
        <v>89.99</v>
      </c>
      <c r="O2288" s="2" t="s">
        <v>461</v>
      </c>
      <c r="P2288" s="2" t="s">
        <v>1116</v>
      </c>
      <c r="Q2288" s="2" t="s">
        <v>234</v>
      </c>
      <c r="R2288" s="2" t="s">
        <v>727</v>
      </c>
      <c r="S2288" s="2" t="s">
        <v>228</v>
      </c>
      <c r="T2288" s="2" t="s">
        <v>228</v>
      </c>
      <c r="U2288" s="2" t="s">
        <v>416</v>
      </c>
      <c r="V2288" s="2" t="s">
        <v>236</v>
      </c>
      <c r="W2288" s="2" t="s">
        <v>228</v>
      </c>
      <c r="X2288" s="2" t="s">
        <v>228</v>
      </c>
      <c r="Y2288" s="2" t="s">
        <v>2773</v>
      </c>
      <c r="Z2288" s="4">
        <v>65</v>
      </c>
      <c r="AA2288" s="4">
        <f>=ROUNDDOWN(54.1666666666667,0)</f>
      </c>
      <c r="AB2288" s="5">
        <v>1.2</v>
      </c>
      <c r="AC2288" s="2" t="s">
        <v>228</v>
      </c>
      <c r="AD2288" s="4"/>
      <c r="AE2288" s="4"/>
      <c r="AF2288" s="6">
        <v>65</v>
      </c>
      <c r="AG2288" s="6"/>
      <c r="AH2288" s="7">
        <v>1</v>
      </c>
      <c r="AI2288" s="4"/>
      <c r="AJ2288" s="4">
        <f>=ROUNDDOWN({0},0)</f>
      </c>
      <c r="AK2288" s="5"/>
      <c r="AL2288" s="2" t="s">
        <v>228</v>
      </c>
      <c r="AM2288" s="4"/>
      <c r="AN2288" s="4"/>
      <c r="AO2288" s="7"/>
      <c r="AP2288" s="4"/>
      <c r="AQ2288" s="8"/>
      <c r="AR2288" s="4"/>
      <c r="AS2288" s="8"/>
      <c r="AT2288" s="7"/>
      <c r="AU2288" s="7"/>
      <c r="AV2288" s="4" t="s">
        <v>228</v>
      </c>
      <c r="AW2288" s="8" t="s">
        <v>228</v>
      </c>
      <c r="AX2288" s="4" t="s">
        <v>228</v>
      </c>
      <c r="AY2288" s="8" t="s">
        <v>228</v>
      </c>
      <c r="AZ2288" s="7" t="s">
        <v>228</v>
      </c>
      <c r="BA2288" s="7" t="s">
        <v>228</v>
      </c>
      <c r="BB2288" s="7"/>
      <c r="BC2288" s="4" t="s">
        <v>228</v>
      </c>
      <c r="BD2288" s="8" t="s">
        <v>228</v>
      </c>
      <c r="BE2288" s="4" t="s">
        <v>228</v>
      </c>
      <c r="BF2288" s="8" t="s">
        <v>228</v>
      </c>
      <c r="BG2288" s="7" t="s">
        <v>228</v>
      </c>
      <c r="BH2288" s="7" t="s">
        <v>228</v>
      </c>
      <c r="BI2288" s="7"/>
      <c r="BJ2288" s="4"/>
      <c r="BK2288" s="8"/>
      <c r="BL2288" s="2" t="s">
        <v>1118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10744</v>
      </c>
      <c r="BV2288" s="2" t="s">
        <v>228</v>
      </c>
      <c r="BW2288" s="2" t="s">
        <v>228</v>
      </c>
      <c r="BX2288" s="2" t="s">
        <v>273</v>
      </c>
      <c r="BY2288" s="2" t="s">
        <v>274</v>
      </c>
      <c r="BZ2288" s="2" t="s">
        <v>240</v>
      </c>
      <c r="CA2288" s="2" t="s">
        <v>1554</v>
      </c>
      <c r="CB2288" s="2" t="s">
        <v>228</v>
      </c>
      <c r="CC2288" s="2" t="s">
        <v>241</v>
      </c>
      <c r="CD2288" s="2" t="s">
        <v>228</v>
      </c>
      <c r="CE2288" s="4">
        <v>65</v>
      </c>
      <c r="CF2288" s="4"/>
      <c r="CG2288" s="4"/>
      <c r="CH2288" s="4"/>
      <c r="CI2288" s="4"/>
      <c r="CJ2288" s="4"/>
      <c r="CK2288" s="4"/>
      <c r="CL2288" s="4"/>
      <c r="CM2288" s="4"/>
      <c r="CN2288" s="4"/>
      <c r="CO2288" s="4"/>
      <c r="CP2288" s="4"/>
      <c r="CQ2288" s="4"/>
      <c r="CR2288" s="4"/>
      <c r="CS2288" s="4"/>
      <c r="CT2288" s="4"/>
      <c r="CU2288" s="4"/>
      <c r="CV2288" s="4"/>
      <c r="CW2288" s="4"/>
      <c r="CX2288" s="4"/>
      <c r="CY2288" s="4"/>
      <c r="CZ2288" s="4"/>
      <c r="DA2288" s="4"/>
      <c r="DB2288" s="4"/>
      <c r="DC2288" s="4"/>
      <c r="DD2288" s="4"/>
      <c r="DE2288" s="4"/>
      <c r="DF2288" s="4"/>
      <c r="DG2288" s="4"/>
      <c r="DH2288" s="4"/>
      <c r="DI2288" s="4"/>
      <c r="DJ2288" s="4"/>
      <c r="DK2288" s="4"/>
      <c r="DL2288" s="4"/>
      <c r="DM2288" s="4"/>
      <c r="DN2288" s="4"/>
      <c r="DO2288" s="4"/>
      <c r="DP2288" s="4"/>
      <c r="DQ2288" s="4"/>
      <c r="DR2288" s="4"/>
      <c r="DS2288" s="4"/>
      <c r="DT2288" s="4"/>
      <c r="DU2288" s="4"/>
      <c r="DV2288" s="4"/>
      <c r="DW2288" s="4"/>
      <c r="DX2288" s="4"/>
      <c r="DY2288" s="4"/>
      <c r="DZ2288" s="4"/>
      <c r="EA2288" s="4"/>
      <c r="EB2288" s="4"/>
      <c r="EC2288" s="4"/>
      <c r="ED2288" s="4"/>
      <c r="EE2288" s="4"/>
      <c r="EF2288" s="4"/>
      <c r="EG2288" s="4"/>
      <c r="EH2288" s="4"/>
      <c r="EI2288" s="4"/>
      <c r="EJ2288" s="4"/>
      <c r="EK2288" s="4"/>
      <c r="EL2288" s="4"/>
      <c r="EM2288" s="4"/>
      <c r="EN2288" s="4"/>
      <c r="EO2288" s="4"/>
      <c r="EP2288" s="4"/>
      <c r="EQ2288" s="4"/>
      <c r="ER2288" s="4"/>
      <c r="ES2288" s="4"/>
      <c r="ET2288" s="4"/>
      <c r="EU2288" s="4"/>
      <c r="EV2288" s="4"/>
      <c r="EW2288" s="4"/>
      <c r="EX2288" s="4"/>
      <c r="EY2288" s="4"/>
      <c r="EZ2288" s="4"/>
      <c r="FA2288" s="4"/>
      <c r="FB2288" s="4"/>
      <c r="FC2288" s="4"/>
      <c r="FD2288" s="4"/>
      <c r="FE2288" s="4"/>
      <c r="FF2288" s="4"/>
      <c r="FG2288" s="4"/>
      <c r="FH2288" s="4"/>
      <c r="FI2288" s="4"/>
      <c r="FJ2288" s="4"/>
      <c r="FK2288" s="4"/>
      <c r="FL2288" s="4"/>
      <c r="FM2288" s="4"/>
      <c r="FN2288" s="4"/>
      <c r="FO2288" s="4"/>
      <c r="FP2288" s="4"/>
      <c r="FQ2288" s="4"/>
      <c r="FR2288" s="4"/>
      <c r="FS2288" s="4"/>
      <c r="FT2288" s="4"/>
      <c r="FU2288" s="4"/>
      <c r="FV2288" s="4"/>
      <c r="FW2288" s="4"/>
      <c r="FX2288" s="4"/>
      <c r="FY2288" s="4"/>
      <c r="FZ2288" s="4"/>
      <c r="GA2288" s="4"/>
      <c r="GB2288" s="4"/>
      <c r="GC2288" s="4"/>
      <c r="GD2288" s="4"/>
      <c r="GE2288" s="4"/>
      <c r="GF2288" s="4"/>
      <c r="GG2288" s="4"/>
      <c r="GH2288" s="4"/>
      <c r="GI2288" s="4"/>
      <c r="GJ2288" s="4"/>
      <c r="GK2288" s="4"/>
      <c r="GL2288" s="4"/>
      <c r="GM2288" s="4"/>
      <c r="GN2288" s="4"/>
      <c r="GO2288" s="4"/>
      <c r="GP2288" s="4"/>
      <c r="GQ2288" s="4"/>
      <c r="GR2288" s="4"/>
      <c r="GS2288" s="4"/>
      <c r="GT2288" s="4"/>
      <c r="GU2288" s="4"/>
      <c r="GV2288" s="4"/>
      <c r="GW2288" s="4"/>
      <c r="GX2288" s="4"/>
      <c r="GY2288" s="4"/>
      <c r="GZ2288" s="4"/>
      <c r="HA2288" s="4"/>
      <c r="HB2288" s="4"/>
      <c r="HC2288" s="4"/>
      <c r="HD2288" s="4"/>
      <c r="HE2288" s="4"/>
    </row>
    <row r="2289">
      <c r="A2289" s="2" t="s">
        <v>10745</v>
      </c>
      <c r="B2289" s="2" t="s">
        <v>223</v>
      </c>
      <c r="C2289" s="2" t="s">
        <v>3635</v>
      </c>
      <c r="D2289" s="2" t="s">
        <v>1407</v>
      </c>
      <c r="E2289" s="2" t="s">
        <v>6106</v>
      </c>
      <c r="F2289" s="2" t="s">
        <v>10716</v>
      </c>
      <c r="G2289" s="2" t="s">
        <v>10716</v>
      </c>
      <c r="H2289" s="2" t="s">
        <v>10716</v>
      </c>
      <c r="I2289" s="2" t="s">
        <v>10717</v>
      </c>
      <c r="J2289" s="2" t="s">
        <v>289</v>
      </c>
      <c r="K2289" s="2" t="s">
        <v>10741</v>
      </c>
      <c r="L2289" s="3">
        <v>83.06</v>
      </c>
      <c r="M2289" s="3">
        <v>87.21</v>
      </c>
      <c r="N2289" s="3">
        <v>129.99</v>
      </c>
      <c r="O2289" s="2" t="s">
        <v>461</v>
      </c>
      <c r="P2289" s="2" t="s">
        <v>1116</v>
      </c>
      <c r="Q2289" s="2" t="s">
        <v>234</v>
      </c>
      <c r="R2289" s="2" t="s">
        <v>727</v>
      </c>
      <c r="S2289" s="2" t="s">
        <v>228</v>
      </c>
      <c r="T2289" s="2" t="s">
        <v>228</v>
      </c>
      <c r="U2289" s="2" t="s">
        <v>416</v>
      </c>
      <c r="V2289" s="2" t="s">
        <v>236</v>
      </c>
      <c r="W2289" s="2" t="s">
        <v>228</v>
      </c>
      <c r="X2289" s="2" t="s">
        <v>228</v>
      </c>
      <c r="Y2289" s="2" t="s">
        <v>1898</v>
      </c>
      <c r="Z2289" s="4">
        <v>110</v>
      </c>
      <c r="AA2289" s="4">
        <f>=ROUNDDOWN({0},0)</f>
      </c>
      <c r="AB2289" s="5"/>
      <c r="AC2289" s="2" t="s">
        <v>228</v>
      </c>
      <c r="AD2289" s="4"/>
      <c r="AE2289" s="4"/>
      <c r="AF2289" s="6">
        <v>65</v>
      </c>
      <c r="AG2289" s="6"/>
      <c r="AH2289" s="7">
        <v>1</v>
      </c>
      <c r="AI2289" s="4"/>
      <c r="AJ2289" s="4">
        <f>=ROUNDDOWN({0},0)</f>
      </c>
      <c r="AK2289" s="5"/>
      <c r="AL2289" s="2" t="s">
        <v>228</v>
      </c>
      <c r="AM2289" s="4"/>
      <c r="AN2289" s="4"/>
      <c r="AO2289" s="7"/>
      <c r="AP2289" s="4"/>
      <c r="AQ2289" s="8"/>
      <c r="AR2289" s="4"/>
      <c r="AS2289" s="8"/>
      <c r="AT2289" s="7"/>
      <c r="AU2289" s="7"/>
      <c r="AV2289" s="4" t="s">
        <v>228</v>
      </c>
      <c r="AW2289" s="8" t="s">
        <v>228</v>
      </c>
      <c r="AX2289" s="4" t="s">
        <v>228</v>
      </c>
      <c r="AY2289" s="8" t="s">
        <v>228</v>
      </c>
      <c r="AZ2289" s="7" t="s">
        <v>228</v>
      </c>
      <c r="BA2289" s="7" t="s">
        <v>228</v>
      </c>
      <c r="BB2289" s="7"/>
      <c r="BC2289" s="4" t="s">
        <v>228</v>
      </c>
      <c r="BD2289" s="8" t="s">
        <v>228</v>
      </c>
      <c r="BE2289" s="4" t="s">
        <v>228</v>
      </c>
      <c r="BF2289" s="8" t="s">
        <v>228</v>
      </c>
      <c r="BG2289" s="7" t="s">
        <v>228</v>
      </c>
      <c r="BH2289" s="7" t="s">
        <v>228</v>
      </c>
      <c r="BI2289" s="7"/>
      <c r="BJ2289" s="4"/>
      <c r="BK2289" s="8"/>
      <c r="BL2289" s="2" t="s">
        <v>228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10746</v>
      </c>
      <c r="BV2289" s="2" t="s">
        <v>228</v>
      </c>
      <c r="BW2289" s="2" t="s">
        <v>228</v>
      </c>
      <c r="BX2289" s="2" t="s">
        <v>273</v>
      </c>
      <c r="BY2289" s="2" t="s">
        <v>274</v>
      </c>
      <c r="BZ2289" s="2" t="s">
        <v>240</v>
      </c>
      <c r="CA2289" s="2" t="s">
        <v>1554</v>
      </c>
      <c r="CB2289" s="2" t="s">
        <v>228</v>
      </c>
      <c r="CC2289" s="2" t="s">
        <v>241</v>
      </c>
      <c r="CD2289" s="2" t="s">
        <v>228</v>
      </c>
      <c r="CE2289" s="4">
        <v>110</v>
      </c>
      <c r="CF2289" s="4"/>
      <c r="CG2289" s="4"/>
      <c r="CH2289" s="4"/>
      <c r="CI2289" s="4"/>
      <c r="CJ2289" s="4"/>
      <c r="CK2289" s="4"/>
      <c r="CL2289" s="4"/>
      <c r="CM2289" s="4"/>
      <c r="CN2289" s="4"/>
      <c r="CO2289" s="4"/>
      <c r="CP2289" s="4"/>
      <c r="CQ2289" s="4"/>
      <c r="CR2289" s="4"/>
      <c r="CS2289" s="4"/>
      <c r="CT2289" s="4"/>
      <c r="CU2289" s="4"/>
      <c r="CV2289" s="4"/>
      <c r="CW2289" s="4"/>
      <c r="CX2289" s="4"/>
      <c r="CY2289" s="4"/>
      <c r="CZ2289" s="4"/>
      <c r="DA2289" s="4"/>
      <c r="DB2289" s="4"/>
      <c r="DC2289" s="4"/>
      <c r="DD2289" s="4"/>
      <c r="DE2289" s="4"/>
      <c r="DF2289" s="4"/>
      <c r="DG2289" s="4"/>
      <c r="DH2289" s="4"/>
      <c r="DI2289" s="4"/>
      <c r="DJ2289" s="4"/>
      <c r="DK2289" s="4"/>
      <c r="DL2289" s="4"/>
      <c r="DM2289" s="4"/>
      <c r="DN2289" s="4"/>
      <c r="DO2289" s="4"/>
      <c r="DP2289" s="4"/>
      <c r="DQ2289" s="4"/>
      <c r="DR2289" s="4"/>
      <c r="DS2289" s="4"/>
      <c r="DT2289" s="4"/>
      <c r="DU2289" s="4"/>
      <c r="DV2289" s="4"/>
      <c r="DW2289" s="4"/>
      <c r="DX2289" s="4"/>
      <c r="DY2289" s="4"/>
      <c r="DZ2289" s="4"/>
      <c r="EA2289" s="4"/>
      <c r="EB2289" s="4"/>
      <c r="EC2289" s="4"/>
      <c r="ED2289" s="4"/>
      <c r="EE2289" s="4"/>
      <c r="EF2289" s="4"/>
      <c r="EG2289" s="4"/>
      <c r="EH2289" s="4"/>
      <c r="EI2289" s="4"/>
      <c r="EJ2289" s="4"/>
      <c r="EK2289" s="4"/>
      <c r="EL2289" s="4"/>
      <c r="EM2289" s="4"/>
      <c r="EN2289" s="4"/>
      <c r="EO2289" s="4"/>
      <c r="EP2289" s="4"/>
      <c r="EQ2289" s="4"/>
      <c r="ER2289" s="4"/>
      <c r="ES2289" s="4"/>
      <c r="ET2289" s="4"/>
      <c r="EU2289" s="4"/>
      <c r="EV2289" s="4"/>
      <c r="EW2289" s="4"/>
      <c r="EX2289" s="4"/>
      <c r="EY2289" s="4"/>
      <c r="EZ2289" s="4"/>
      <c r="FA2289" s="4"/>
      <c r="FB2289" s="4"/>
      <c r="FC2289" s="4"/>
      <c r="FD2289" s="4"/>
      <c r="FE2289" s="4"/>
      <c r="FF2289" s="4"/>
      <c r="FG2289" s="4"/>
      <c r="FH2289" s="4"/>
      <c r="FI2289" s="4"/>
      <c r="FJ2289" s="4"/>
      <c r="FK2289" s="4"/>
      <c r="FL2289" s="4"/>
      <c r="FM2289" s="4"/>
      <c r="FN2289" s="4"/>
      <c r="FO2289" s="4"/>
      <c r="FP2289" s="4"/>
      <c r="FQ2289" s="4"/>
      <c r="FR2289" s="4"/>
      <c r="FS2289" s="4"/>
      <c r="FT2289" s="4"/>
      <c r="FU2289" s="4"/>
      <c r="FV2289" s="4"/>
      <c r="FW2289" s="4"/>
      <c r="FX2289" s="4"/>
      <c r="FY2289" s="4"/>
      <c r="FZ2289" s="4"/>
      <c r="GA2289" s="4"/>
      <c r="GB2289" s="4"/>
      <c r="GC2289" s="4"/>
      <c r="GD2289" s="4"/>
      <c r="GE2289" s="4"/>
      <c r="GF2289" s="4"/>
      <c r="GG2289" s="4"/>
      <c r="GH2289" s="4"/>
      <c r="GI2289" s="4"/>
      <c r="GJ2289" s="4"/>
      <c r="GK2289" s="4"/>
      <c r="GL2289" s="4"/>
      <c r="GM2289" s="4"/>
      <c r="GN2289" s="4"/>
      <c r="GO2289" s="4"/>
      <c r="GP2289" s="4"/>
      <c r="GQ2289" s="4"/>
      <c r="GR2289" s="4"/>
      <c r="GS2289" s="4"/>
      <c r="GT2289" s="4"/>
      <c r="GU2289" s="4"/>
      <c r="GV2289" s="4"/>
      <c r="GW2289" s="4"/>
      <c r="GX2289" s="4"/>
      <c r="GY2289" s="4"/>
      <c r="GZ2289" s="4"/>
      <c r="HA2289" s="4"/>
      <c r="HB2289" s="4"/>
      <c r="HC2289" s="4"/>
      <c r="HD2289" s="4"/>
      <c r="HE2289" s="4"/>
    </row>
    <row r="2290">
      <c r="A2290" s="2" t="s">
        <v>10747</v>
      </c>
      <c r="B2290" s="2" t="s">
        <v>223</v>
      </c>
      <c r="C2290" s="2" t="s">
        <v>3635</v>
      </c>
      <c r="D2290" s="2" t="s">
        <v>1407</v>
      </c>
      <c r="E2290" s="2" t="s">
        <v>6106</v>
      </c>
      <c r="F2290" s="2" t="s">
        <v>10716</v>
      </c>
      <c r="G2290" s="2" t="s">
        <v>10716</v>
      </c>
      <c r="H2290" s="2" t="s">
        <v>10716</v>
      </c>
      <c r="I2290" s="2" t="s">
        <v>10717</v>
      </c>
      <c r="J2290" s="2" t="s">
        <v>294</v>
      </c>
      <c r="K2290" s="2" t="s">
        <v>10741</v>
      </c>
      <c r="L2290" s="3">
        <v>89.45</v>
      </c>
      <c r="M2290" s="3">
        <v>93.92</v>
      </c>
      <c r="N2290" s="3">
        <v>139.99</v>
      </c>
      <c r="O2290" s="2" t="s">
        <v>461</v>
      </c>
      <c r="P2290" s="2" t="s">
        <v>1116</v>
      </c>
      <c r="Q2290" s="2" t="s">
        <v>234</v>
      </c>
      <c r="R2290" s="2" t="s">
        <v>727</v>
      </c>
      <c r="S2290" s="2" t="s">
        <v>228</v>
      </c>
      <c r="T2290" s="2" t="s">
        <v>228</v>
      </c>
      <c r="U2290" s="2" t="s">
        <v>416</v>
      </c>
      <c r="V2290" s="2" t="s">
        <v>236</v>
      </c>
      <c r="W2290" s="2" t="s">
        <v>228</v>
      </c>
      <c r="X2290" s="2" t="s">
        <v>228</v>
      </c>
      <c r="Y2290" s="2" t="s">
        <v>1898</v>
      </c>
      <c r="Z2290" s="4">
        <v>144</v>
      </c>
      <c r="AA2290" s="4">
        <f>=ROUNDDOWN({0},0)</f>
      </c>
      <c r="AB2290" s="5"/>
      <c r="AC2290" s="2" t="s">
        <v>228</v>
      </c>
      <c r="AD2290" s="4"/>
      <c r="AE2290" s="4"/>
      <c r="AF2290" s="6">
        <v>65</v>
      </c>
      <c r="AG2290" s="6"/>
      <c r="AH2290" s="7">
        <v>1</v>
      </c>
      <c r="AI2290" s="4"/>
      <c r="AJ2290" s="4">
        <f>=ROUNDDOWN({0},0)</f>
      </c>
      <c r="AK2290" s="5"/>
      <c r="AL2290" s="2" t="s">
        <v>228</v>
      </c>
      <c r="AM2290" s="4"/>
      <c r="AN2290" s="4"/>
      <c r="AO2290" s="7"/>
      <c r="AP2290" s="4"/>
      <c r="AQ2290" s="8"/>
      <c r="AR2290" s="4"/>
      <c r="AS2290" s="8"/>
      <c r="AT2290" s="7"/>
      <c r="AU2290" s="7"/>
      <c r="AV2290" s="4" t="s">
        <v>228</v>
      </c>
      <c r="AW2290" s="8" t="s">
        <v>228</v>
      </c>
      <c r="AX2290" s="4" t="s">
        <v>228</v>
      </c>
      <c r="AY2290" s="8" t="s">
        <v>228</v>
      </c>
      <c r="AZ2290" s="7" t="s">
        <v>228</v>
      </c>
      <c r="BA2290" s="7" t="s">
        <v>228</v>
      </c>
      <c r="BB2290" s="7"/>
      <c r="BC2290" s="4" t="s">
        <v>228</v>
      </c>
      <c r="BD2290" s="8" t="s">
        <v>228</v>
      </c>
      <c r="BE2290" s="4" t="s">
        <v>228</v>
      </c>
      <c r="BF2290" s="8" t="s">
        <v>228</v>
      </c>
      <c r="BG2290" s="7" t="s">
        <v>228</v>
      </c>
      <c r="BH2290" s="7" t="s">
        <v>228</v>
      </c>
      <c r="BI2290" s="7"/>
      <c r="BJ2290" s="4"/>
      <c r="BK2290" s="8"/>
      <c r="BL2290" s="2" t="s">
        <v>228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10748</v>
      </c>
      <c r="BV2290" s="2" t="s">
        <v>228</v>
      </c>
      <c r="BW2290" s="2" t="s">
        <v>228</v>
      </c>
      <c r="BX2290" s="2" t="s">
        <v>273</v>
      </c>
      <c r="BY2290" s="2" t="s">
        <v>274</v>
      </c>
      <c r="BZ2290" s="2" t="s">
        <v>240</v>
      </c>
      <c r="CA2290" s="2" t="s">
        <v>1554</v>
      </c>
      <c r="CB2290" s="2" t="s">
        <v>228</v>
      </c>
      <c r="CC2290" s="2" t="s">
        <v>241</v>
      </c>
      <c r="CD2290" s="2" t="s">
        <v>228</v>
      </c>
      <c r="CE2290" s="4">
        <v>144</v>
      </c>
      <c r="CF2290" s="4"/>
      <c r="CG2290" s="4"/>
      <c r="CH2290" s="4"/>
      <c r="CI2290" s="4"/>
      <c r="CJ2290" s="4"/>
      <c r="CK2290" s="4"/>
      <c r="CL2290" s="4"/>
      <c r="CM2290" s="4"/>
      <c r="CN2290" s="4"/>
      <c r="CO2290" s="4"/>
      <c r="CP2290" s="4"/>
      <c r="CQ2290" s="4"/>
      <c r="CR2290" s="4"/>
      <c r="CS2290" s="4"/>
      <c r="CT2290" s="4"/>
      <c r="CU2290" s="4"/>
      <c r="CV2290" s="4"/>
      <c r="CW2290" s="4"/>
      <c r="CX2290" s="4"/>
      <c r="CY2290" s="4"/>
      <c r="CZ2290" s="4"/>
      <c r="DA2290" s="4"/>
      <c r="DB2290" s="4"/>
      <c r="DC2290" s="4"/>
      <c r="DD2290" s="4"/>
      <c r="DE2290" s="4"/>
      <c r="DF2290" s="4"/>
      <c r="DG2290" s="4"/>
      <c r="DH2290" s="4"/>
      <c r="DI2290" s="4"/>
      <c r="DJ2290" s="4"/>
      <c r="DK2290" s="4"/>
      <c r="DL2290" s="4"/>
      <c r="DM2290" s="4"/>
      <c r="DN2290" s="4"/>
      <c r="DO2290" s="4"/>
      <c r="DP2290" s="4"/>
      <c r="DQ2290" s="4"/>
      <c r="DR2290" s="4"/>
      <c r="DS2290" s="4"/>
      <c r="DT2290" s="4"/>
      <c r="DU2290" s="4"/>
      <c r="DV2290" s="4"/>
      <c r="DW2290" s="4"/>
      <c r="DX2290" s="4"/>
      <c r="DY2290" s="4"/>
      <c r="DZ2290" s="4"/>
      <c r="EA2290" s="4"/>
      <c r="EB2290" s="4"/>
      <c r="EC2290" s="4"/>
      <c r="ED2290" s="4"/>
      <c r="EE2290" s="4"/>
      <c r="EF2290" s="4"/>
      <c r="EG2290" s="4"/>
      <c r="EH2290" s="4"/>
      <c r="EI2290" s="4"/>
      <c r="EJ2290" s="4"/>
      <c r="EK2290" s="4"/>
      <c r="EL2290" s="4"/>
      <c r="EM2290" s="4"/>
      <c r="EN2290" s="4"/>
      <c r="EO2290" s="4"/>
      <c r="EP2290" s="4"/>
      <c r="EQ2290" s="4"/>
      <c r="ER2290" s="4"/>
      <c r="ES2290" s="4"/>
      <c r="ET2290" s="4"/>
      <c r="EU2290" s="4"/>
      <c r="EV2290" s="4"/>
      <c r="EW2290" s="4"/>
      <c r="EX2290" s="4"/>
      <c r="EY2290" s="4"/>
      <c r="EZ2290" s="4"/>
      <c r="FA2290" s="4"/>
      <c r="FB2290" s="4"/>
      <c r="FC2290" s="4"/>
      <c r="FD2290" s="4"/>
      <c r="FE2290" s="4"/>
      <c r="FF2290" s="4"/>
      <c r="FG2290" s="4"/>
      <c r="FH2290" s="4"/>
      <c r="FI2290" s="4"/>
      <c r="FJ2290" s="4"/>
      <c r="FK2290" s="4"/>
      <c r="FL2290" s="4"/>
      <c r="FM2290" s="4"/>
      <c r="FN2290" s="4"/>
      <c r="FO2290" s="4"/>
      <c r="FP2290" s="4"/>
      <c r="FQ2290" s="4"/>
      <c r="FR2290" s="4"/>
      <c r="FS2290" s="4"/>
      <c r="FT2290" s="4"/>
      <c r="FU2290" s="4"/>
      <c r="FV2290" s="4"/>
      <c r="FW2290" s="4"/>
      <c r="FX2290" s="4"/>
      <c r="FY2290" s="4"/>
      <c r="FZ2290" s="4"/>
      <c r="GA2290" s="4"/>
      <c r="GB2290" s="4"/>
      <c r="GC2290" s="4"/>
      <c r="GD2290" s="4"/>
      <c r="GE2290" s="4"/>
      <c r="GF2290" s="4"/>
      <c r="GG2290" s="4"/>
      <c r="GH2290" s="4"/>
      <c r="GI2290" s="4"/>
      <c r="GJ2290" s="4"/>
      <c r="GK2290" s="4"/>
      <c r="GL2290" s="4"/>
      <c r="GM2290" s="4"/>
      <c r="GN2290" s="4"/>
      <c r="GO2290" s="4"/>
      <c r="GP2290" s="4"/>
      <c r="GQ2290" s="4"/>
      <c r="GR2290" s="4"/>
      <c r="GS2290" s="4"/>
      <c r="GT2290" s="4"/>
      <c r="GU2290" s="4"/>
      <c r="GV2290" s="4"/>
      <c r="GW2290" s="4"/>
      <c r="GX2290" s="4"/>
      <c r="GY2290" s="4"/>
      <c r="GZ2290" s="4"/>
      <c r="HA2290" s="4"/>
      <c r="HB2290" s="4"/>
      <c r="HC2290" s="4"/>
      <c r="HD2290" s="4"/>
      <c r="HE2290" s="4"/>
    </row>
    <row r="2291">
      <c r="A2291" s="2" t="s">
        <v>10749</v>
      </c>
      <c r="B2291" s="2" t="s">
        <v>223</v>
      </c>
      <c r="C2291" s="2" t="s">
        <v>3635</v>
      </c>
      <c r="D2291" s="2" t="s">
        <v>1407</v>
      </c>
      <c r="E2291" s="2" t="s">
        <v>6106</v>
      </c>
      <c r="F2291" s="2" t="s">
        <v>10716</v>
      </c>
      <c r="G2291" s="2" t="s">
        <v>10716</v>
      </c>
      <c r="H2291" s="2" t="s">
        <v>10716</v>
      </c>
      <c r="I2291" s="2" t="s">
        <v>10717</v>
      </c>
      <c r="J2291" s="2" t="s">
        <v>264</v>
      </c>
      <c r="K2291" s="2" t="s">
        <v>2303</v>
      </c>
      <c r="L2291" s="3">
        <v>51.11</v>
      </c>
      <c r="M2291" s="3">
        <v>53.67</v>
      </c>
      <c r="N2291" s="3">
        <v>79.99</v>
      </c>
      <c r="O2291" s="2" t="s">
        <v>461</v>
      </c>
      <c r="P2291" s="2" t="s">
        <v>1116</v>
      </c>
      <c r="Q2291" s="2" t="s">
        <v>234</v>
      </c>
      <c r="R2291" s="2" t="s">
        <v>727</v>
      </c>
      <c r="S2291" s="2" t="s">
        <v>228</v>
      </c>
      <c r="T2291" s="2" t="s">
        <v>228</v>
      </c>
      <c r="U2291" s="2" t="s">
        <v>416</v>
      </c>
      <c r="V2291" s="2" t="s">
        <v>236</v>
      </c>
      <c r="W2291" s="2" t="s">
        <v>228</v>
      </c>
      <c r="X2291" s="2" t="s">
        <v>228</v>
      </c>
      <c r="Y2291" s="2" t="s">
        <v>2773</v>
      </c>
      <c r="Z2291" s="4">
        <v>60</v>
      </c>
      <c r="AA2291" s="4">
        <f>=ROUNDDOWN(60,0)</f>
      </c>
      <c r="AB2291" s="5">
        <v>1</v>
      </c>
      <c r="AC2291" s="2" t="s">
        <v>228</v>
      </c>
      <c r="AD2291" s="4"/>
      <c r="AE2291" s="4"/>
      <c r="AF2291" s="6">
        <v>65</v>
      </c>
      <c r="AG2291" s="6"/>
      <c r="AH2291" s="7">
        <v>1</v>
      </c>
      <c r="AI2291" s="4"/>
      <c r="AJ2291" s="4">
        <f>=ROUNDDOWN({0},0)</f>
      </c>
      <c r="AK2291" s="5"/>
      <c r="AL2291" s="2" t="s">
        <v>228</v>
      </c>
      <c r="AM2291" s="4"/>
      <c r="AN2291" s="4"/>
      <c r="AO2291" s="7"/>
      <c r="AP2291" s="4"/>
      <c r="AQ2291" s="8"/>
      <c r="AR2291" s="4"/>
      <c r="AS2291" s="8"/>
      <c r="AT2291" s="7"/>
      <c r="AU2291" s="7"/>
      <c r="AV2291" s="4" t="s">
        <v>228</v>
      </c>
      <c r="AW2291" s="8" t="s">
        <v>228</v>
      </c>
      <c r="AX2291" s="4" t="s">
        <v>228</v>
      </c>
      <c r="AY2291" s="8" t="s">
        <v>228</v>
      </c>
      <c r="AZ2291" s="7" t="s">
        <v>228</v>
      </c>
      <c r="BA2291" s="7" t="s">
        <v>228</v>
      </c>
      <c r="BB2291" s="7"/>
      <c r="BC2291" s="4" t="s">
        <v>228</v>
      </c>
      <c r="BD2291" s="8" t="s">
        <v>228</v>
      </c>
      <c r="BE2291" s="4" t="s">
        <v>228</v>
      </c>
      <c r="BF2291" s="8" t="s">
        <v>228</v>
      </c>
      <c r="BG2291" s="7" t="s">
        <v>228</v>
      </c>
      <c r="BH2291" s="7" t="s">
        <v>228</v>
      </c>
      <c r="BI2291" s="7"/>
      <c r="BJ2291" s="4">
        <v>2</v>
      </c>
      <c r="BK2291" s="8">
        <v>53.66</v>
      </c>
      <c r="BL2291" s="2" t="s">
        <v>1222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10750</v>
      </c>
      <c r="BV2291" s="2" t="s">
        <v>228</v>
      </c>
      <c r="BW2291" s="2" t="s">
        <v>228</v>
      </c>
      <c r="BX2291" s="2" t="s">
        <v>273</v>
      </c>
      <c r="BY2291" s="2" t="s">
        <v>274</v>
      </c>
      <c r="BZ2291" s="2" t="s">
        <v>240</v>
      </c>
      <c r="CA2291" s="2" t="s">
        <v>1554</v>
      </c>
      <c r="CB2291" s="2" t="s">
        <v>228</v>
      </c>
      <c r="CC2291" s="2" t="s">
        <v>241</v>
      </c>
      <c r="CD2291" s="2" t="s">
        <v>228</v>
      </c>
      <c r="CE2291" s="4">
        <v>60</v>
      </c>
      <c r="CF2291" s="4"/>
      <c r="CG2291" s="4"/>
      <c r="CH2291" s="4"/>
      <c r="CI2291" s="4"/>
      <c r="CJ2291" s="4"/>
      <c r="CK2291" s="4"/>
      <c r="CL2291" s="4"/>
      <c r="CM2291" s="4"/>
      <c r="CN2291" s="4"/>
      <c r="CO2291" s="4"/>
      <c r="CP2291" s="4"/>
      <c r="CQ2291" s="4"/>
      <c r="CR2291" s="4"/>
      <c r="CS2291" s="4"/>
      <c r="CT2291" s="4"/>
      <c r="CU2291" s="4"/>
      <c r="CV2291" s="4"/>
      <c r="CW2291" s="4"/>
      <c r="CX2291" s="4"/>
      <c r="CY2291" s="4"/>
      <c r="CZ2291" s="4"/>
      <c r="DA2291" s="4"/>
      <c r="DB2291" s="4"/>
      <c r="DC2291" s="4"/>
      <c r="DD2291" s="4"/>
      <c r="DE2291" s="4"/>
      <c r="DF2291" s="4"/>
      <c r="DG2291" s="4"/>
      <c r="DH2291" s="4"/>
      <c r="DI2291" s="4"/>
      <c r="DJ2291" s="4"/>
      <c r="DK2291" s="4"/>
      <c r="DL2291" s="4"/>
      <c r="DM2291" s="4"/>
      <c r="DN2291" s="4"/>
      <c r="DO2291" s="4"/>
      <c r="DP2291" s="4"/>
      <c r="DQ2291" s="4"/>
      <c r="DR2291" s="4"/>
      <c r="DS2291" s="4"/>
      <c r="DT2291" s="4"/>
      <c r="DU2291" s="4"/>
      <c r="DV2291" s="4"/>
      <c r="DW2291" s="4"/>
      <c r="DX2291" s="4"/>
      <c r="DY2291" s="4"/>
      <c r="DZ2291" s="4"/>
      <c r="EA2291" s="4"/>
      <c r="EB2291" s="4"/>
      <c r="EC2291" s="4"/>
      <c r="ED2291" s="4"/>
      <c r="EE2291" s="4"/>
      <c r="EF2291" s="4"/>
      <c r="EG2291" s="4"/>
      <c r="EH2291" s="4"/>
      <c r="EI2291" s="4"/>
      <c r="EJ2291" s="4"/>
      <c r="EK2291" s="4"/>
      <c r="EL2291" s="4"/>
      <c r="EM2291" s="4"/>
      <c r="EN2291" s="4"/>
      <c r="EO2291" s="4"/>
      <c r="EP2291" s="4"/>
      <c r="EQ2291" s="4"/>
      <c r="ER2291" s="4"/>
      <c r="ES2291" s="4"/>
      <c r="ET2291" s="4"/>
      <c r="EU2291" s="4"/>
      <c r="EV2291" s="4"/>
      <c r="EW2291" s="4"/>
      <c r="EX2291" s="4"/>
      <c r="EY2291" s="4"/>
      <c r="EZ2291" s="4"/>
      <c r="FA2291" s="4"/>
      <c r="FB2291" s="4"/>
      <c r="FC2291" s="4"/>
      <c r="FD2291" s="4"/>
      <c r="FE2291" s="4"/>
      <c r="FF2291" s="4"/>
      <c r="FG2291" s="4"/>
      <c r="FH2291" s="4"/>
      <c r="FI2291" s="4"/>
      <c r="FJ2291" s="4"/>
      <c r="FK2291" s="4"/>
      <c r="FL2291" s="4"/>
      <c r="FM2291" s="4"/>
      <c r="FN2291" s="4"/>
      <c r="FO2291" s="4"/>
      <c r="FP2291" s="4"/>
      <c r="FQ2291" s="4"/>
      <c r="FR2291" s="4"/>
      <c r="FS2291" s="4"/>
      <c r="FT2291" s="4"/>
      <c r="FU2291" s="4"/>
      <c r="FV2291" s="4"/>
      <c r="FW2291" s="4"/>
      <c r="FX2291" s="4"/>
      <c r="FY2291" s="4"/>
      <c r="FZ2291" s="4"/>
      <c r="GA2291" s="4"/>
      <c r="GB2291" s="4"/>
      <c r="GC2291" s="4"/>
      <c r="GD2291" s="4"/>
      <c r="GE2291" s="4"/>
      <c r="GF2291" s="4"/>
      <c r="GG2291" s="4"/>
      <c r="GH2291" s="4"/>
      <c r="GI2291" s="4"/>
      <c r="GJ2291" s="4"/>
      <c r="GK2291" s="4"/>
      <c r="GL2291" s="4"/>
      <c r="GM2291" s="4"/>
      <c r="GN2291" s="4"/>
      <c r="GO2291" s="4"/>
      <c r="GP2291" s="4"/>
      <c r="GQ2291" s="4"/>
      <c r="GR2291" s="4"/>
      <c r="GS2291" s="4"/>
      <c r="GT2291" s="4"/>
      <c r="GU2291" s="4"/>
      <c r="GV2291" s="4"/>
      <c r="GW2291" s="4"/>
      <c r="GX2291" s="4"/>
      <c r="GY2291" s="4"/>
      <c r="GZ2291" s="4"/>
      <c r="HA2291" s="4"/>
      <c r="HB2291" s="4"/>
      <c r="HC2291" s="4"/>
      <c r="HD2291" s="4"/>
      <c r="HE2291" s="4"/>
    </row>
    <row r="2292">
      <c r="A2292" s="2" t="s">
        <v>10751</v>
      </c>
      <c r="B2292" s="2" t="s">
        <v>223</v>
      </c>
      <c r="C2292" s="2" t="s">
        <v>3635</v>
      </c>
      <c r="D2292" s="2" t="s">
        <v>1407</v>
      </c>
      <c r="E2292" s="2" t="s">
        <v>6106</v>
      </c>
      <c r="F2292" s="2" t="s">
        <v>10716</v>
      </c>
      <c r="G2292" s="2" t="s">
        <v>10716</v>
      </c>
      <c r="H2292" s="2" t="s">
        <v>10716</v>
      </c>
      <c r="I2292" s="2" t="s">
        <v>10717</v>
      </c>
      <c r="J2292" s="2" t="s">
        <v>284</v>
      </c>
      <c r="K2292" s="2" t="s">
        <v>2303</v>
      </c>
      <c r="L2292" s="3">
        <v>57.5</v>
      </c>
      <c r="M2292" s="3">
        <v>60.38</v>
      </c>
      <c r="N2292" s="3">
        <v>89.99</v>
      </c>
      <c r="O2292" s="2" t="s">
        <v>461</v>
      </c>
      <c r="P2292" s="2" t="s">
        <v>1116</v>
      </c>
      <c r="Q2292" s="2" t="s">
        <v>234</v>
      </c>
      <c r="R2292" s="2" t="s">
        <v>727</v>
      </c>
      <c r="S2292" s="2" t="s">
        <v>228</v>
      </c>
      <c r="T2292" s="2" t="s">
        <v>228</v>
      </c>
      <c r="U2292" s="2" t="s">
        <v>416</v>
      </c>
      <c r="V2292" s="2" t="s">
        <v>236</v>
      </c>
      <c r="W2292" s="2" t="s">
        <v>228</v>
      </c>
      <c r="X2292" s="2" t="s">
        <v>228</v>
      </c>
      <c r="Y2292" s="2" t="s">
        <v>2773</v>
      </c>
      <c r="Z2292" s="4">
        <v>87</v>
      </c>
      <c r="AA2292" s="4">
        <f>=ROUNDDOWN(87,0)</f>
      </c>
      <c r="AB2292" s="5">
        <v>1</v>
      </c>
      <c r="AC2292" s="2" t="s">
        <v>228</v>
      </c>
      <c r="AD2292" s="4"/>
      <c r="AE2292" s="4"/>
      <c r="AF2292" s="6">
        <v>65</v>
      </c>
      <c r="AG2292" s="6"/>
      <c r="AH2292" s="7">
        <v>1</v>
      </c>
      <c r="AI2292" s="4"/>
      <c r="AJ2292" s="4">
        <f>=ROUNDDOWN({0},0)</f>
      </c>
      <c r="AK2292" s="5"/>
      <c r="AL2292" s="2" t="s">
        <v>228</v>
      </c>
      <c r="AM2292" s="4"/>
      <c r="AN2292" s="4"/>
      <c r="AO2292" s="7"/>
      <c r="AP2292" s="4"/>
      <c r="AQ2292" s="8"/>
      <c r="AR2292" s="4"/>
      <c r="AS2292" s="8"/>
      <c r="AT2292" s="7"/>
      <c r="AU2292" s="7"/>
      <c r="AV2292" s="4" t="s">
        <v>228</v>
      </c>
      <c r="AW2292" s="8" t="s">
        <v>228</v>
      </c>
      <c r="AX2292" s="4" t="s">
        <v>228</v>
      </c>
      <c r="AY2292" s="8" t="s">
        <v>228</v>
      </c>
      <c r="AZ2292" s="7" t="s">
        <v>228</v>
      </c>
      <c r="BA2292" s="7" t="s">
        <v>228</v>
      </c>
      <c r="BB2292" s="7"/>
      <c r="BC2292" s="4" t="s">
        <v>228</v>
      </c>
      <c r="BD2292" s="8" t="s">
        <v>228</v>
      </c>
      <c r="BE2292" s="4" t="s">
        <v>228</v>
      </c>
      <c r="BF2292" s="8" t="s">
        <v>228</v>
      </c>
      <c r="BG2292" s="7" t="s">
        <v>228</v>
      </c>
      <c r="BH2292" s="7" t="s">
        <v>228</v>
      </c>
      <c r="BI2292" s="7"/>
      <c r="BJ2292" s="4">
        <v>2</v>
      </c>
      <c r="BK2292" s="8">
        <v>60.38</v>
      </c>
      <c r="BL2292" s="2" t="s">
        <v>727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10752</v>
      </c>
      <c r="BV2292" s="2" t="s">
        <v>228</v>
      </c>
      <c r="BW2292" s="2" t="s">
        <v>228</v>
      </c>
      <c r="BX2292" s="2" t="s">
        <v>273</v>
      </c>
      <c r="BY2292" s="2" t="s">
        <v>274</v>
      </c>
      <c r="BZ2292" s="2" t="s">
        <v>240</v>
      </c>
      <c r="CA2292" s="2" t="s">
        <v>1554</v>
      </c>
      <c r="CB2292" s="2" t="s">
        <v>228</v>
      </c>
      <c r="CC2292" s="2" t="s">
        <v>241</v>
      </c>
      <c r="CD2292" s="2" t="s">
        <v>228</v>
      </c>
      <c r="CE2292" s="4">
        <v>87</v>
      </c>
      <c r="CF2292" s="4"/>
      <c r="CG2292" s="4"/>
      <c r="CH2292" s="4"/>
      <c r="CI2292" s="4"/>
      <c r="CJ2292" s="4"/>
      <c r="CK2292" s="4"/>
      <c r="CL2292" s="4"/>
      <c r="CM2292" s="4"/>
      <c r="CN2292" s="4"/>
      <c r="CO2292" s="4"/>
      <c r="CP2292" s="4"/>
      <c r="CQ2292" s="4"/>
      <c r="CR2292" s="4"/>
      <c r="CS2292" s="4"/>
      <c r="CT2292" s="4"/>
      <c r="CU2292" s="4"/>
      <c r="CV2292" s="4"/>
      <c r="CW2292" s="4"/>
      <c r="CX2292" s="4"/>
      <c r="CY2292" s="4"/>
      <c r="CZ2292" s="4"/>
      <c r="DA2292" s="4"/>
      <c r="DB2292" s="4"/>
      <c r="DC2292" s="4"/>
      <c r="DD2292" s="4"/>
      <c r="DE2292" s="4"/>
      <c r="DF2292" s="4"/>
      <c r="DG2292" s="4"/>
      <c r="DH2292" s="4"/>
      <c r="DI2292" s="4"/>
      <c r="DJ2292" s="4"/>
      <c r="DK2292" s="4"/>
      <c r="DL2292" s="4"/>
      <c r="DM2292" s="4"/>
      <c r="DN2292" s="4"/>
      <c r="DO2292" s="4"/>
      <c r="DP2292" s="4"/>
      <c r="DQ2292" s="4"/>
      <c r="DR2292" s="4"/>
      <c r="DS2292" s="4"/>
      <c r="DT2292" s="4"/>
      <c r="DU2292" s="4"/>
      <c r="DV2292" s="4"/>
      <c r="DW2292" s="4"/>
      <c r="DX2292" s="4"/>
      <c r="DY2292" s="4"/>
      <c r="DZ2292" s="4"/>
      <c r="EA2292" s="4"/>
      <c r="EB2292" s="4"/>
      <c r="EC2292" s="4"/>
      <c r="ED2292" s="4"/>
      <c r="EE2292" s="4"/>
      <c r="EF2292" s="4"/>
      <c r="EG2292" s="4"/>
      <c r="EH2292" s="4"/>
      <c r="EI2292" s="4"/>
      <c r="EJ2292" s="4"/>
      <c r="EK2292" s="4"/>
      <c r="EL2292" s="4"/>
      <c r="EM2292" s="4"/>
      <c r="EN2292" s="4"/>
      <c r="EO2292" s="4"/>
      <c r="EP2292" s="4"/>
      <c r="EQ2292" s="4"/>
      <c r="ER2292" s="4"/>
      <c r="ES2292" s="4"/>
      <c r="ET2292" s="4"/>
      <c r="EU2292" s="4"/>
      <c r="EV2292" s="4"/>
      <c r="EW2292" s="4"/>
      <c r="EX2292" s="4"/>
      <c r="EY2292" s="4"/>
      <c r="EZ2292" s="4"/>
      <c r="FA2292" s="4"/>
      <c r="FB2292" s="4"/>
      <c r="FC2292" s="4"/>
      <c r="FD2292" s="4"/>
      <c r="FE2292" s="4"/>
      <c r="FF2292" s="4"/>
      <c r="FG2292" s="4"/>
      <c r="FH2292" s="4"/>
      <c r="FI2292" s="4"/>
      <c r="FJ2292" s="4"/>
      <c r="FK2292" s="4"/>
      <c r="FL2292" s="4"/>
      <c r="FM2292" s="4"/>
      <c r="FN2292" s="4"/>
      <c r="FO2292" s="4"/>
      <c r="FP2292" s="4"/>
      <c r="FQ2292" s="4"/>
      <c r="FR2292" s="4"/>
      <c r="FS2292" s="4"/>
      <c r="FT2292" s="4"/>
      <c r="FU2292" s="4"/>
      <c r="FV2292" s="4"/>
      <c r="FW2292" s="4"/>
      <c r="FX2292" s="4"/>
      <c r="FY2292" s="4"/>
      <c r="FZ2292" s="4"/>
      <c r="GA2292" s="4"/>
      <c r="GB2292" s="4"/>
      <c r="GC2292" s="4"/>
      <c r="GD2292" s="4"/>
      <c r="GE2292" s="4"/>
      <c r="GF2292" s="4"/>
      <c r="GG2292" s="4"/>
      <c r="GH2292" s="4"/>
      <c r="GI2292" s="4"/>
      <c r="GJ2292" s="4"/>
      <c r="GK2292" s="4"/>
      <c r="GL2292" s="4"/>
      <c r="GM2292" s="4"/>
      <c r="GN2292" s="4"/>
      <c r="GO2292" s="4"/>
      <c r="GP2292" s="4"/>
      <c r="GQ2292" s="4"/>
      <c r="GR2292" s="4"/>
      <c r="GS2292" s="4"/>
      <c r="GT2292" s="4"/>
      <c r="GU2292" s="4"/>
      <c r="GV2292" s="4"/>
      <c r="GW2292" s="4"/>
      <c r="GX2292" s="4"/>
      <c r="GY2292" s="4"/>
      <c r="GZ2292" s="4"/>
      <c r="HA2292" s="4"/>
      <c r="HB2292" s="4"/>
      <c r="HC2292" s="4"/>
      <c r="HD2292" s="4"/>
      <c r="HE2292" s="4"/>
    </row>
    <row r="2293">
      <c r="A2293" s="2" t="s">
        <v>10753</v>
      </c>
      <c r="B2293" s="2" t="s">
        <v>223</v>
      </c>
      <c r="C2293" s="2" t="s">
        <v>3635</v>
      </c>
      <c r="D2293" s="2" t="s">
        <v>1407</v>
      </c>
      <c r="E2293" s="2" t="s">
        <v>6106</v>
      </c>
      <c r="F2293" s="2" t="s">
        <v>10716</v>
      </c>
      <c r="G2293" s="2" t="s">
        <v>10716</v>
      </c>
      <c r="H2293" s="2" t="s">
        <v>10716</v>
      </c>
      <c r="I2293" s="2" t="s">
        <v>10717</v>
      </c>
      <c r="J2293" s="2" t="s">
        <v>289</v>
      </c>
      <c r="K2293" s="2" t="s">
        <v>2303</v>
      </c>
      <c r="L2293" s="3">
        <v>83.06</v>
      </c>
      <c r="M2293" s="3">
        <v>87.21</v>
      </c>
      <c r="N2293" s="3">
        <v>129.99</v>
      </c>
      <c r="O2293" s="2" t="s">
        <v>461</v>
      </c>
      <c r="P2293" s="2" t="s">
        <v>1116</v>
      </c>
      <c r="Q2293" s="2" t="s">
        <v>234</v>
      </c>
      <c r="R2293" s="2" t="s">
        <v>727</v>
      </c>
      <c r="S2293" s="2" t="s">
        <v>228</v>
      </c>
      <c r="T2293" s="2" t="s">
        <v>228</v>
      </c>
      <c r="U2293" s="2" t="s">
        <v>416</v>
      </c>
      <c r="V2293" s="2" t="s">
        <v>236</v>
      </c>
      <c r="W2293" s="2" t="s">
        <v>228</v>
      </c>
      <c r="X2293" s="2" t="s">
        <v>228</v>
      </c>
      <c r="Y2293" s="2" t="s">
        <v>2773</v>
      </c>
      <c r="Z2293" s="4">
        <v>113</v>
      </c>
      <c r="AA2293" s="4">
        <f>=ROUNDDOWN(66.4705882352941,0)</f>
      </c>
      <c r="AB2293" s="5">
        <v>1.7</v>
      </c>
      <c r="AC2293" s="2" t="s">
        <v>228</v>
      </c>
      <c r="AD2293" s="4"/>
      <c r="AE2293" s="4"/>
      <c r="AF2293" s="6">
        <v>65</v>
      </c>
      <c r="AG2293" s="6"/>
      <c r="AH2293" s="7">
        <v>1</v>
      </c>
      <c r="AI2293" s="4"/>
      <c r="AJ2293" s="4">
        <f>=ROUNDDOWN({0},0)</f>
      </c>
      <c r="AK2293" s="5"/>
      <c r="AL2293" s="2" t="s">
        <v>228</v>
      </c>
      <c r="AM2293" s="4"/>
      <c r="AN2293" s="4"/>
      <c r="AO2293" s="7"/>
      <c r="AP2293" s="4"/>
      <c r="AQ2293" s="8"/>
      <c r="AR2293" s="4"/>
      <c r="AS2293" s="8"/>
      <c r="AT2293" s="7"/>
      <c r="AU2293" s="7"/>
      <c r="AV2293" s="4" t="s">
        <v>228</v>
      </c>
      <c r="AW2293" s="8" t="s">
        <v>228</v>
      </c>
      <c r="AX2293" s="4" t="s">
        <v>228</v>
      </c>
      <c r="AY2293" s="8" t="s">
        <v>228</v>
      </c>
      <c r="AZ2293" s="7" t="s">
        <v>228</v>
      </c>
      <c r="BA2293" s="7" t="s">
        <v>228</v>
      </c>
      <c r="BB2293" s="7"/>
      <c r="BC2293" s="4" t="s">
        <v>228</v>
      </c>
      <c r="BD2293" s="8" t="s">
        <v>228</v>
      </c>
      <c r="BE2293" s="4" t="s">
        <v>228</v>
      </c>
      <c r="BF2293" s="8" t="s">
        <v>228</v>
      </c>
      <c r="BG2293" s="7" t="s">
        <v>228</v>
      </c>
      <c r="BH2293" s="7" t="s">
        <v>228</v>
      </c>
      <c r="BI2293" s="7"/>
      <c r="BJ2293" s="4"/>
      <c r="BK2293" s="8"/>
      <c r="BL2293" s="2" t="s">
        <v>1118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10754</v>
      </c>
      <c r="BV2293" s="2" t="s">
        <v>228</v>
      </c>
      <c r="BW2293" s="2" t="s">
        <v>228</v>
      </c>
      <c r="BX2293" s="2" t="s">
        <v>273</v>
      </c>
      <c r="BY2293" s="2" t="s">
        <v>274</v>
      </c>
      <c r="BZ2293" s="2" t="s">
        <v>240</v>
      </c>
      <c r="CA2293" s="2" t="s">
        <v>1554</v>
      </c>
      <c r="CB2293" s="2" t="s">
        <v>228</v>
      </c>
      <c r="CC2293" s="2" t="s">
        <v>241</v>
      </c>
      <c r="CD2293" s="2" t="s">
        <v>228</v>
      </c>
      <c r="CE2293" s="4">
        <v>113</v>
      </c>
      <c r="CF2293" s="4"/>
      <c r="CG2293" s="4"/>
      <c r="CH2293" s="4"/>
      <c r="CI2293" s="4"/>
      <c r="CJ2293" s="4"/>
      <c r="CK2293" s="4"/>
      <c r="CL2293" s="4"/>
      <c r="CM2293" s="4"/>
      <c r="CN2293" s="4"/>
      <c r="CO2293" s="4"/>
      <c r="CP2293" s="4"/>
      <c r="CQ2293" s="4"/>
      <c r="CR2293" s="4"/>
      <c r="CS2293" s="4"/>
      <c r="CT2293" s="4"/>
      <c r="CU2293" s="4"/>
      <c r="CV2293" s="4"/>
      <c r="CW2293" s="4"/>
      <c r="CX2293" s="4"/>
      <c r="CY2293" s="4"/>
      <c r="CZ2293" s="4"/>
      <c r="DA2293" s="4"/>
      <c r="DB2293" s="4"/>
      <c r="DC2293" s="4"/>
      <c r="DD2293" s="4"/>
      <c r="DE2293" s="4"/>
      <c r="DF2293" s="4"/>
      <c r="DG2293" s="4"/>
      <c r="DH2293" s="4"/>
      <c r="DI2293" s="4"/>
      <c r="DJ2293" s="4"/>
      <c r="DK2293" s="4"/>
      <c r="DL2293" s="4"/>
      <c r="DM2293" s="4"/>
      <c r="DN2293" s="4"/>
      <c r="DO2293" s="4"/>
      <c r="DP2293" s="4"/>
      <c r="DQ2293" s="4"/>
      <c r="DR2293" s="4"/>
      <c r="DS2293" s="4"/>
      <c r="DT2293" s="4"/>
      <c r="DU2293" s="4"/>
      <c r="DV2293" s="4"/>
      <c r="DW2293" s="4"/>
      <c r="DX2293" s="4"/>
      <c r="DY2293" s="4"/>
      <c r="DZ2293" s="4"/>
      <c r="EA2293" s="4"/>
      <c r="EB2293" s="4"/>
      <c r="EC2293" s="4"/>
      <c r="ED2293" s="4"/>
      <c r="EE2293" s="4"/>
      <c r="EF2293" s="4"/>
      <c r="EG2293" s="4"/>
      <c r="EH2293" s="4"/>
      <c r="EI2293" s="4"/>
      <c r="EJ2293" s="4"/>
      <c r="EK2293" s="4"/>
      <c r="EL2293" s="4"/>
      <c r="EM2293" s="4"/>
      <c r="EN2293" s="4"/>
      <c r="EO2293" s="4"/>
      <c r="EP2293" s="4"/>
      <c r="EQ2293" s="4"/>
      <c r="ER2293" s="4"/>
      <c r="ES2293" s="4"/>
      <c r="ET2293" s="4"/>
      <c r="EU2293" s="4"/>
      <c r="EV2293" s="4"/>
      <c r="EW2293" s="4"/>
      <c r="EX2293" s="4"/>
      <c r="EY2293" s="4"/>
      <c r="EZ2293" s="4"/>
      <c r="FA2293" s="4"/>
      <c r="FB2293" s="4"/>
      <c r="FC2293" s="4"/>
      <c r="FD2293" s="4"/>
      <c r="FE2293" s="4"/>
      <c r="FF2293" s="4"/>
      <c r="FG2293" s="4"/>
      <c r="FH2293" s="4"/>
      <c r="FI2293" s="4"/>
      <c r="FJ2293" s="4"/>
      <c r="FK2293" s="4"/>
      <c r="FL2293" s="4"/>
      <c r="FM2293" s="4"/>
      <c r="FN2293" s="4"/>
      <c r="FO2293" s="4"/>
      <c r="FP2293" s="4"/>
      <c r="FQ2293" s="4"/>
      <c r="FR2293" s="4"/>
      <c r="FS2293" s="4"/>
      <c r="FT2293" s="4"/>
      <c r="FU2293" s="4"/>
      <c r="FV2293" s="4"/>
      <c r="FW2293" s="4"/>
      <c r="FX2293" s="4"/>
      <c r="FY2293" s="4"/>
      <c r="FZ2293" s="4"/>
      <c r="GA2293" s="4"/>
      <c r="GB2293" s="4"/>
      <c r="GC2293" s="4"/>
      <c r="GD2293" s="4"/>
      <c r="GE2293" s="4"/>
      <c r="GF2293" s="4"/>
      <c r="GG2293" s="4"/>
      <c r="GH2293" s="4"/>
      <c r="GI2293" s="4"/>
      <c r="GJ2293" s="4"/>
      <c r="GK2293" s="4"/>
      <c r="GL2293" s="4"/>
      <c r="GM2293" s="4"/>
      <c r="GN2293" s="4"/>
      <c r="GO2293" s="4"/>
      <c r="GP2293" s="4"/>
      <c r="GQ2293" s="4"/>
      <c r="GR2293" s="4"/>
      <c r="GS2293" s="4"/>
      <c r="GT2293" s="4"/>
      <c r="GU2293" s="4"/>
      <c r="GV2293" s="4"/>
      <c r="GW2293" s="4"/>
      <c r="GX2293" s="4"/>
      <c r="GY2293" s="4"/>
      <c r="GZ2293" s="4"/>
      <c r="HA2293" s="4"/>
      <c r="HB2293" s="4"/>
      <c r="HC2293" s="4"/>
      <c r="HD2293" s="4"/>
      <c r="HE2293" s="4"/>
    </row>
    <row r="2294">
      <c r="A2294" s="2" t="s">
        <v>10755</v>
      </c>
      <c r="B2294" s="2" t="s">
        <v>223</v>
      </c>
      <c r="C2294" s="2" t="s">
        <v>3635</v>
      </c>
      <c r="D2294" s="2" t="s">
        <v>1407</v>
      </c>
      <c r="E2294" s="2" t="s">
        <v>6106</v>
      </c>
      <c r="F2294" s="2" t="s">
        <v>10716</v>
      </c>
      <c r="G2294" s="2" t="s">
        <v>10716</v>
      </c>
      <c r="H2294" s="2" t="s">
        <v>10716</v>
      </c>
      <c r="I2294" s="2" t="s">
        <v>10717</v>
      </c>
      <c r="J2294" s="2" t="s">
        <v>294</v>
      </c>
      <c r="K2294" s="2" t="s">
        <v>2303</v>
      </c>
      <c r="L2294" s="3">
        <v>89.45</v>
      </c>
      <c r="M2294" s="3">
        <v>93.92</v>
      </c>
      <c r="N2294" s="3">
        <v>139.99</v>
      </c>
      <c r="O2294" s="2" t="s">
        <v>461</v>
      </c>
      <c r="P2294" s="2" t="s">
        <v>1116</v>
      </c>
      <c r="Q2294" s="2" t="s">
        <v>234</v>
      </c>
      <c r="R2294" s="2" t="s">
        <v>727</v>
      </c>
      <c r="S2294" s="2" t="s">
        <v>228</v>
      </c>
      <c r="T2294" s="2" t="s">
        <v>228</v>
      </c>
      <c r="U2294" s="2" t="s">
        <v>416</v>
      </c>
      <c r="V2294" s="2" t="s">
        <v>236</v>
      </c>
      <c r="W2294" s="2" t="s">
        <v>228</v>
      </c>
      <c r="X2294" s="2" t="s">
        <v>228</v>
      </c>
      <c r="Y2294" s="2" t="s">
        <v>2773</v>
      </c>
      <c r="Z2294" s="4">
        <v>135</v>
      </c>
      <c r="AA2294" s="4">
        <f>=ROUNDDOWN(135,0)</f>
      </c>
      <c r="AB2294" s="5">
        <v>1</v>
      </c>
      <c r="AC2294" s="2" t="s">
        <v>228</v>
      </c>
      <c r="AD2294" s="4"/>
      <c r="AE2294" s="4"/>
      <c r="AF2294" s="6">
        <v>65</v>
      </c>
      <c r="AG2294" s="6"/>
      <c r="AH2294" s="7">
        <v>1</v>
      </c>
      <c r="AI2294" s="4"/>
      <c r="AJ2294" s="4">
        <f>=ROUNDDOWN({0},0)</f>
      </c>
      <c r="AK2294" s="5"/>
      <c r="AL2294" s="2" t="s">
        <v>228</v>
      </c>
      <c r="AM2294" s="4"/>
      <c r="AN2294" s="4"/>
      <c r="AO2294" s="7"/>
      <c r="AP2294" s="4"/>
      <c r="AQ2294" s="8"/>
      <c r="AR2294" s="4"/>
      <c r="AS2294" s="8"/>
      <c r="AT2294" s="7"/>
      <c r="AU2294" s="7"/>
      <c r="AV2294" s="4" t="s">
        <v>228</v>
      </c>
      <c r="AW2294" s="8" t="s">
        <v>228</v>
      </c>
      <c r="AX2294" s="4" t="s">
        <v>228</v>
      </c>
      <c r="AY2294" s="8" t="s">
        <v>228</v>
      </c>
      <c r="AZ2294" s="7" t="s">
        <v>228</v>
      </c>
      <c r="BA2294" s="7" t="s">
        <v>228</v>
      </c>
      <c r="BB2294" s="7"/>
      <c r="BC2294" s="4" t="s">
        <v>228</v>
      </c>
      <c r="BD2294" s="8" t="s">
        <v>228</v>
      </c>
      <c r="BE2294" s="4" t="s">
        <v>228</v>
      </c>
      <c r="BF2294" s="8" t="s">
        <v>228</v>
      </c>
      <c r="BG2294" s="7" t="s">
        <v>228</v>
      </c>
      <c r="BH2294" s="7" t="s">
        <v>228</v>
      </c>
      <c r="BI2294" s="7"/>
      <c r="BJ2294" s="4"/>
      <c r="BK2294" s="8"/>
      <c r="BL2294" s="2" t="s">
        <v>228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10756</v>
      </c>
      <c r="BV2294" s="2" t="s">
        <v>228</v>
      </c>
      <c r="BW2294" s="2" t="s">
        <v>228</v>
      </c>
      <c r="BX2294" s="2" t="s">
        <v>273</v>
      </c>
      <c r="BY2294" s="2" t="s">
        <v>274</v>
      </c>
      <c r="BZ2294" s="2" t="s">
        <v>240</v>
      </c>
      <c r="CA2294" s="2" t="s">
        <v>1554</v>
      </c>
      <c r="CB2294" s="2" t="s">
        <v>228</v>
      </c>
      <c r="CC2294" s="2" t="s">
        <v>241</v>
      </c>
      <c r="CD2294" s="2" t="s">
        <v>228</v>
      </c>
      <c r="CE2294" s="4">
        <v>135</v>
      </c>
      <c r="CF2294" s="4"/>
      <c r="CG2294" s="4"/>
      <c r="CH2294" s="4"/>
      <c r="CI2294" s="4"/>
      <c r="CJ2294" s="4"/>
      <c r="CK2294" s="4"/>
      <c r="CL2294" s="4"/>
      <c r="CM2294" s="4"/>
      <c r="CN2294" s="4"/>
      <c r="CO2294" s="4"/>
      <c r="CP2294" s="4"/>
      <c r="CQ2294" s="4"/>
      <c r="CR2294" s="4"/>
      <c r="CS2294" s="4"/>
      <c r="CT2294" s="4"/>
      <c r="CU2294" s="4"/>
      <c r="CV2294" s="4"/>
      <c r="CW2294" s="4"/>
      <c r="CX2294" s="4"/>
      <c r="CY2294" s="4"/>
      <c r="CZ2294" s="4"/>
      <c r="DA2294" s="4"/>
      <c r="DB2294" s="4"/>
      <c r="DC2294" s="4"/>
      <c r="DD2294" s="4"/>
      <c r="DE2294" s="4"/>
      <c r="DF2294" s="4"/>
      <c r="DG2294" s="4"/>
      <c r="DH2294" s="4"/>
      <c r="DI2294" s="4"/>
      <c r="DJ2294" s="4"/>
      <c r="DK2294" s="4"/>
      <c r="DL2294" s="4"/>
      <c r="DM2294" s="4"/>
      <c r="DN2294" s="4"/>
      <c r="DO2294" s="4"/>
      <c r="DP2294" s="4"/>
      <c r="DQ2294" s="4"/>
      <c r="DR2294" s="4"/>
      <c r="DS2294" s="4"/>
      <c r="DT2294" s="4"/>
      <c r="DU2294" s="4"/>
      <c r="DV2294" s="4"/>
      <c r="DW2294" s="4"/>
      <c r="DX2294" s="4"/>
      <c r="DY2294" s="4"/>
      <c r="DZ2294" s="4"/>
      <c r="EA2294" s="4"/>
      <c r="EB2294" s="4"/>
      <c r="EC2294" s="4"/>
      <c r="ED2294" s="4"/>
      <c r="EE2294" s="4"/>
      <c r="EF2294" s="4"/>
      <c r="EG2294" s="4"/>
      <c r="EH2294" s="4"/>
      <c r="EI2294" s="4"/>
      <c r="EJ2294" s="4"/>
      <c r="EK2294" s="4"/>
      <c r="EL2294" s="4"/>
      <c r="EM2294" s="4"/>
      <c r="EN2294" s="4"/>
      <c r="EO2294" s="4"/>
      <c r="EP2294" s="4"/>
      <c r="EQ2294" s="4"/>
      <c r="ER2294" s="4"/>
      <c r="ES2294" s="4"/>
      <c r="ET2294" s="4"/>
      <c r="EU2294" s="4"/>
      <c r="EV2294" s="4"/>
      <c r="EW2294" s="4"/>
      <c r="EX2294" s="4"/>
      <c r="EY2294" s="4"/>
      <c r="EZ2294" s="4"/>
      <c r="FA2294" s="4"/>
      <c r="FB2294" s="4"/>
      <c r="FC2294" s="4"/>
      <c r="FD2294" s="4"/>
      <c r="FE2294" s="4"/>
      <c r="FF2294" s="4"/>
      <c r="FG2294" s="4"/>
      <c r="FH2294" s="4"/>
      <c r="FI2294" s="4"/>
      <c r="FJ2294" s="4"/>
      <c r="FK2294" s="4"/>
      <c r="FL2294" s="4"/>
      <c r="FM2294" s="4"/>
      <c r="FN2294" s="4"/>
      <c r="FO2294" s="4"/>
      <c r="FP2294" s="4"/>
      <c r="FQ2294" s="4"/>
      <c r="FR2294" s="4"/>
      <c r="FS2294" s="4"/>
      <c r="FT2294" s="4"/>
      <c r="FU2294" s="4"/>
      <c r="FV2294" s="4"/>
      <c r="FW2294" s="4"/>
      <c r="FX2294" s="4"/>
      <c r="FY2294" s="4"/>
      <c r="FZ2294" s="4"/>
      <c r="GA2294" s="4"/>
      <c r="GB2294" s="4"/>
      <c r="GC2294" s="4"/>
      <c r="GD2294" s="4"/>
      <c r="GE2294" s="4"/>
      <c r="GF2294" s="4"/>
      <c r="GG2294" s="4"/>
      <c r="GH2294" s="4"/>
      <c r="GI2294" s="4"/>
      <c r="GJ2294" s="4"/>
      <c r="GK2294" s="4"/>
      <c r="GL2294" s="4"/>
      <c r="GM2294" s="4"/>
      <c r="GN2294" s="4"/>
      <c r="GO2294" s="4"/>
      <c r="GP2294" s="4"/>
      <c r="GQ2294" s="4"/>
      <c r="GR2294" s="4"/>
      <c r="GS2294" s="4"/>
      <c r="GT2294" s="4"/>
      <c r="GU2294" s="4"/>
      <c r="GV2294" s="4"/>
      <c r="GW2294" s="4"/>
      <c r="GX2294" s="4"/>
      <c r="GY2294" s="4"/>
      <c r="GZ2294" s="4"/>
      <c r="HA2294" s="4"/>
      <c r="HB2294" s="4"/>
      <c r="HC2294" s="4"/>
      <c r="HD2294" s="4"/>
      <c r="HE2294" s="4"/>
    </row>
    <row r="2295">
      <c r="A2295" s="2" t="s">
        <v>10757</v>
      </c>
      <c r="B2295" s="2" t="s">
        <v>223</v>
      </c>
      <c r="C2295" s="2" t="s">
        <v>3635</v>
      </c>
      <c r="D2295" s="2" t="s">
        <v>1407</v>
      </c>
      <c r="E2295" s="2" t="s">
        <v>6106</v>
      </c>
      <c r="F2295" s="2" t="s">
        <v>10716</v>
      </c>
      <c r="G2295" s="2" t="s">
        <v>10716</v>
      </c>
      <c r="H2295" s="2" t="s">
        <v>10716</v>
      </c>
      <c r="I2295" s="2" t="s">
        <v>10717</v>
      </c>
      <c r="J2295" s="2" t="s">
        <v>264</v>
      </c>
      <c r="K2295" s="2" t="s">
        <v>10758</v>
      </c>
      <c r="L2295" s="3">
        <v>51.11</v>
      </c>
      <c r="M2295" s="3">
        <v>53.67</v>
      </c>
      <c r="N2295" s="3">
        <v>79.99</v>
      </c>
      <c r="O2295" s="2" t="s">
        <v>461</v>
      </c>
      <c r="P2295" s="2" t="s">
        <v>1116</v>
      </c>
      <c r="Q2295" s="2" t="s">
        <v>234</v>
      </c>
      <c r="R2295" s="2" t="s">
        <v>727</v>
      </c>
      <c r="S2295" s="2" t="s">
        <v>228</v>
      </c>
      <c r="T2295" s="2" t="s">
        <v>228</v>
      </c>
      <c r="U2295" s="2" t="s">
        <v>416</v>
      </c>
      <c r="V2295" s="2" t="s">
        <v>236</v>
      </c>
      <c r="W2295" s="2" t="s">
        <v>228</v>
      </c>
      <c r="X2295" s="2" t="s">
        <v>228</v>
      </c>
      <c r="Y2295" s="2" t="s">
        <v>2773</v>
      </c>
      <c r="Z2295" s="4">
        <v>87</v>
      </c>
      <c r="AA2295" s="4">
        <f>=ROUNDDOWN(87,0)</f>
      </c>
      <c r="AB2295" s="5">
        <v>1</v>
      </c>
      <c r="AC2295" s="2" t="s">
        <v>228</v>
      </c>
      <c r="AD2295" s="4"/>
      <c r="AE2295" s="4"/>
      <c r="AF2295" s="6">
        <v>65</v>
      </c>
      <c r="AG2295" s="6"/>
      <c r="AH2295" s="7">
        <v>1</v>
      </c>
      <c r="AI2295" s="4"/>
      <c r="AJ2295" s="4">
        <f>=ROUNDDOWN({0},0)</f>
      </c>
      <c r="AK2295" s="5"/>
      <c r="AL2295" s="2" t="s">
        <v>228</v>
      </c>
      <c r="AM2295" s="4"/>
      <c r="AN2295" s="4"/>
      <c r="AO2295" s="7"/>
      <c r="AP2295" s="4"/>
      <c r="AQ2295" s="8"/>
      <c r="AR2295" s="4"/>
      <c r="AS2295" s="8"/>
      <c r="AT2295" s="7"/>
      <c r="AU2295" s="7"/>
      <c r="AV2295" s="4" t="s">
        <v>228</v>
      </c>
      <c r="AW2295" s="8" t="s">
        <v>228</v>
      </c>
      <c r="AX2295" s="4" t="s">
        <v>228</v>
      </c>
      <c r="AY2295" s="8" t="s">
        <v>228</v>
      </c>
      <c r="AZ2295" s="7" t="s">
        <v>228</v>
      </c>
      <c r="BA2295" s="7" t="s">
        <v>228</v>
      </c>
      <c r="BB2295" s="7"/>
      <c r="BC2295" s="4" t="s">
        <v>228</v>
      </c>
      <c r="BD2295" s="8" t="s">
        <v>228</v>
      </c>
      <c r="BE2295" s="4" t="s">
        <v>228</v>
      </c>
      <c r="BF2295" s="8" t="s">
        <v>228</v>
      </c>
      <c r="BG2295" s="7" t="s">
        <v>228</v>
      </c>
      <c r="BH2295" s="7" t="s">
        <v>228</v>
      </c>
      <c r="BI2295" s="7"/>
      <c r="BJ2295" s="4"/>
      <c r="BK2295" s="8"/>
      <c r="BL2295" s="2" t="s">
        <v>228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10759</v>
      </c>
      <c r="BV2295" s="2" t="s">
        <v>228</v>
      </c>
      <c r="BW2295" s="2" t="s">
        <v>228</v>
      </c>
      <c r="BX2295" s="2" t="s">
        <v>273</v>
      </c>
      <c r="BY2295" s="2" t="s">
        <v>274</v>
      </c>
      <c r="BZ2295" s="2" t="s">
        <v>240</v>
      </c>
      <c r="CA2295" s="2" t="s">
        <v>1554</v>
      </c>
      <c r="CB2295" s="2" t="s">
        <v>228</v>
      </c>
      <c r="CC2295" s="2" t="s">
        <v>241</v>
      </c>
      <c r="CD2295" s="2" t="s">
        <v>228</v>
      </c>
      <c r="CE2295" s="4">
        <v>87</v>
      </c>
      <c r="CF2295" s="4"/>
      <c r="CG2295" s="4"/>
      <c r="CH2295" s="4"/>
      <c r="CI2295" s="4"/>
      <c r="CJ2295" s="4"/>
      <c r="CK2295" s="4"/>
      <c r="CL2295" s="4"/>
      <c r="CM2295" s="4"/>
      <c r="CN2295" s="4"/>
      <c r="CO2295" s="4"/>
      <c r="CP2295" s="4"/>
      <c r="CQ2295" s="4"/>
      <c r="CR2295" s="4"/>
      <c r="CS2295" s="4"/>
      <c r="CT2295" s="4"/>
      <c r="CU2295" s="4"/>
      <c r="CV2295" s="4"/>
      <c r="CW2295" s="4"/>
      <c r="CX2295" s="4"/>
      <c r="CY2295" s="4"/>
      <c r="CZ2295" s="4"/>
      <c r="DA2295" s="4"/>
      <c r="DB2295" s="4"/>
      <c r="DC2295" s="4"/>
      <c r="DD2295" s="4"/>
      <c r="DE2295" s="4"/>
      <c r="DF2295" s="4"/>
      <c r="DG2295" s="4"/>
      <c r="DH2295" s="4"/>
      <c r="DI2295" s="4"/>
      <c r="DJ2295" s="4"/>
      <c r="DK2295" s="4"/>
      <c r="DL2295" s="4"/>
      <c r="DM2295" s="4"/>
      <c r="DN2295" s="4"/>
      <c r="DO2295" s="4"/>
      <c r="DP2295" s="4"/>
      <c r="DQ2295" s="4"/>
      <c r="DR2295" s="4"/>
      <c r="DS2295" s="4"/>
      <c r="DT2295" s="4"/>
      <c r="DU2295" s="4"/>
      <c r="DV2295" s="4"/>
      <c r="DW2295" s="4"/>
      <c r="DX2295" s="4"/>
      <c r="DY2295" s="4"/>
      <c r="DZ2295" s="4"/>
      <c r="EA2295" s="4"/>
      <c r="EB2295" s="4"/>
      <c r="EC2295" s="4"/>
      <c r="ED2295" s="4"/>
      <c r="EE2295" s="4"/>
      <c r="EF2295" s="4"/>
      <c r="EG2295" s="4"/>
      <c r="EH2295" s="4"/>
      <c r="EI2295" s="4"/>
      <c r="EJ2295" s="4"/>
      <c r="EK2295" s="4"/>
      <c r="EL2295" s="4"/>
      <c r="EM2295" s="4"/>
      <c r="EN2295" s="4"/>
      <c r="EO2295" s="4"/>
      <c r="EP2295" s="4"/>
      <c r="EQ2295" s="4"/>
      <c r="ER2295" s="4"/>
      <c r="ES2295" s="4"/>
      <c r="ET2295" s="4"/>
      <c r="EU2295" s="4"/>
      <c r="EV2295" s="4"/>
      <c r="EW2295" s="4"/>
      <c r="EX2295" s="4"/>
      <c r="EY2295" s="4"/>
      <c r="EZ2295" s="4"/>
      <c r="FA2295" s="4"/>
      <c r="FB2295" s="4"/>
      <c r="FC2295" s="4"/>
      <c r="FD2295" s="4"/>
      <c r="FE2295" s="4"/>
      <c r="FF2295" s="4"/>
      <c r="FG2295" s="4"/>
      <c r="FH2295" s="4"/>
      <c r="FI2295" s="4"/>
      <c r="FJ2295" s="4"/>
      <c r="FK2295" s="4"/>
      <c r="FL2295" s="4"/>
      <c r="FM2295" s="4"/>
      <c r="FN2295" s="4"/>
      <c r="FO2295" s="4"/>
      <c r="FP2295" s="4"/>
      <c r="FQ2295" s="4"/>
      <c r="FR2295" s="4"/>
      <c r="FS2295" s="4"/>
      <c r="FT2295" s="4"/>
      <c r="FU2295" s="4"/>
      <c r="FV2295" s="4"/>
      <c r="FW2295" s="4"/>
      <c r="FX2295" s="4"/>
      <c r="FY2295" s="4"/>
      <c r="FZ2295" s="4"/>
      <c r="GA2295" s="4"/>
      <c r="GB2295" s="4"/>
      <c r="GC2295" s="4"/>
      <c r="GD2295" s="4"/>
      <c r="GE2295" s="4"/>
      <c r="GF2295" s="4"/>
      <c r="GG2295" s="4"/>
      <c r="GH2295" s="4"/>
      <c r="GI2295" s="4"/>
      <c r="GJ2295" s="4"/>
      <c r="GK2295" s="4"/>
      <c r="GL2295" s="4"/>
      <c r="GM2295" s="4"/>
      <c r="GN2295" s="4"/>
      <c r="GO2295" s="4"/>
      <c r="GP2295" s="4"/>
      <c r="GQ2295" s="4"/>
      <c r="GR2295" s="4"/>
      <c r="GS2295" s="4"/>
      <c r="GT2295" s="4"/>
      <c r="GU2295" s="4"/>
      <c r="GV2295" s="4"/>
      <c r="GW2295" s="4"/>
      <c r="GX2295" s="4"/>
      <c r="GY2295" s="4"/>
      <c r="GZ2295" s="4"/>
      <c r="HA2295" s="4"/>
      <c r="HB2295" s="4"/>
      <c r="HC2295" s="4"/>
      <c r="HD2295" s="4"/>
      <c r="HE2295" s="4"/>
    </row>
    <row r="2296">
      <c r="A2296" s="2" t="s">
        <v>10760</v>
      </c>
      <c r="B2296" s="2" t="s">
        <v>223</v>
      </c>
      <c r="C2296" s="2" t="s">
        <v>3635</v>
      </c>
      <c r="D2296" s="2" t="s">
        <v>1407</v>
      </c>
      <c r="E2296" s="2" t="s">
        <v>6106</v>
      </c>
      <c r="F2296" s="2" t="s">
        <v>10716</v>
      </c>
      <c r="G2296" s="2" t="s">
        <v>10716</v>
      </c>
      <c r="H2296" s="2" t="s">
        <v>10716</v>
      </c>
      <c r="I2296" s="2" t="s">
        <v>10717</v>
      </c>
      <c r="J2296" s="2" t="s">
        <v>284</v>
      </c>
      <c r="K2296" s="2" t="s">
        <v>10758</v>
      </c>
      <c r="L2296" s="3">
        <v>57.5</v>
      </c>
      <c r="M2296" s="3">
        <v>60.38</v>
      </c>
      <c r="N2296" s="3">
        <v>89.99</v>
      </c>
      <c r="O2296" s="2" t="s">
        <v>461</v>
      </c>
      <c r="P2296" s="2" t="s">
        <v>1116</v>
      </c>
      <c r="Q2296" s="2" t="s">
        <v>234</v>
      </c>
      <c r="R2296" s="2" t="s">
        <v>727</v>
      </c>
      <c r="S2296" s="2" t="s">
        <v>228</v>
      </c>
      <c r="T2296" s="2" t="s">
        <v>228</v>
      </c>
      <c r="U2296" s="2" t="s">
        <v>416</v>
      </c>
      <c r="V2296" s="2" t="s">
        <v>236</v>
      </c>
      <c r="W2296" s="2" t="s">
        <v>228</v>
      </c>
      <c r="X2296" s="2" t="s">
        <v>228</v>
      </c>
      <c r="Y2296" s="2" t="s">
        <v>2773</v>
      </c>
      <c r="Z2296" s="4">
        <v>86</v>
      </c>
      <c r="AA2296" s="4">
        <f>=ROUNDDOWN(86,0)</f>
      </c>
      <c r="AB2296" s="5">
        <v>1</v>
      </c>
      <c r="AC2296" s="2" t="s">
        <v>228</v>
      </c>
      <c r="AD2296" s="4"/>
      <c r="AE2296" s="4"/>
      <c r="AF2296" s="6">
        <v>65</v>
      </c>
      <c r="AG2296" s="6"/>
      <c r="AH2296" s="7">
        <v>1</v>
      </c>
      <c r="AI2296" s="4"/>
      <c r="AJ2296" s="4">
        <f>=ROUNDDOWN({0},0)</f>
      </c>
      <c r="AK2296" s="5"/>
      <c r="AL2296" s="2" t="s">
        <v>228</v>
      </c>
      <c r="AM2296" s="4"/>
      <c r="AN2296" s="4"/>
      <c r="AO2296" s="7"/>
      <c r="AP2296" s="4"/>
      <c r="AQ2296" s="8"/>
      <c r="AR2296" s="4"/>
      <c r="AS2296" s="8"/>
      <c r="AT2296" s="7"/>
      <c r="AU2296" s="7"/>
      <c r="AV2296" s="4" t="s">
        <v>228</v>
      </c>
      <c r="AW2296" s="8" t="s">
        <v>228</v>
      </c>
      <c r="AX2296" s="4" t="s">
        <v>228</v>
      </c>
      <c r="AY2296" s="8" t="s">
        <v>228</v>
      </c>
      <c r="AZ2296" s="7" t="s">
        <v>228</v>
      </c>
      <c r="BA2296" s="7" t="s">
        <v>228</v>
      </c>
      <c r="BB2296" s="7"/>
      <c r="BC2296" s="4" t="s">
        <v>228</v>
      </c>
      <c r="BD2296" s="8" t="s">
        <v>228</v>
      </c>
      <c r="BE2296" s="4" t="s">
        <v>228</v>
      </c>
      <c r="BF2296" s="8" t="s">
        <v>228</v>
      </c>
      <c r="BG2296" s="7" t="s">
        <v>228</v>
      </c>
      <c r="BH2296" s="7" t="s">
        <v>228</v>
      </c>
      <c r="BI2296" s="7"/>
      <c r="BJ2296" s="4"/>
      <c r="BK2296" s="8"/>
      <c r="BL2296" s="2" t="s">
        <v>228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10761</v>
      </c>
      <c r="BV2296" s="2" t="s">
        <v>228</v>
      </c>
      <c r="BW2296" s="2" t="s">
        <v>228</v>
      </c>
      <c r="BX2296" s="2" t="s">
        <v>273</v>
      </c>
      <c r="BY2296" s="2" t="s">
        <v>274</v>
      </c>
      <c r="BZ2296" s="2" t="s">
        <v>240</v>
      </c>
      <c r="CA2296" s="2" t="s">
        <v>1554</v>
      </c>
      <c r="CB2296" s="2" t="s">
        <v>228</v>
      </c>
      <c r="CC2296" s="2" t="s">
        <v>241</v>
      </c>
      <c r="CD2296" s="2" t="s">
        <v>228</v>
      </c>
      <c r="CE2296" s="4">
        <v>86</v>
      </c>
      <c r="CF2296" s="4"/>
      <c r="CG2296" s="4"/>
      <c r="CH2296" s="4"/>
      <c r="CI2296" s="4"/>
      <c r="CJ2296" s="4"/>
      <c r="CK2296" s="4"/>
      <c r="CL2296" s="4"/>
      <c r="CM2296" s="4"/>
      <c r="CN2296" s="4"/>
      <c r="CO2296" s="4"/>
      <c r="CP2296" s="4"/>
      <c r="CQ2296" s="4"/>
      <c r="CR2296" s="4"/>
      <c r="CS2296" s="4"/>
      <c r="CT2296" s="4"/>
      <c r="CU2296" s="4"/>
      <c r="CV2296" s="4"/>
      <c r="CW2296" s="4"/>
      <c r="CX2296" s="4"/>
      <c r="CY2296" s="4"/>
      <c r="CZ2296" s="4"/>
      <c r="DA2296" s="4"/>
      <c r="DB2296" s="4"/>
      <c r="DC2296" s="4"/>
      <c r="DD2296" s="4"/>
      <c r="DE2296" s="4"/>
      <c r="DF2296" s="4"/>
      <c r="DG2296" s="4"/>
      <c r="DH2296" s="4"/>
      <c r="DI2296" s="4"/>
      <c r="DJ2296" s="4"/>
      <c r="DK2296" s="4"/>
      <c r="DL2296" s="4"/>
      <c r="DM2296" s="4"/>
      <c r="DN2296" s="4"/>
      <c r="DO2296" s="4"/>
      <c r="DP2296" s="4"/>
      <c r="DQ2296" s="4"/>
      <c r="DR2296" s="4"/>
      <c r="DS2296" s="4"/>
      <c r="DT2296" s="4"/>
      <c r="DU2296" s="4"/>
      <c r="DV2296" s="4"/>
      <c r="DW2296" s="4"/>
      <c r="DX2296" s="4"/>
      <c r="DY2296" s="4"/>
      <c r="DZ2296" s="4"/>
      <c r="EA2296" s="4"/>
      <c r="EB2296" s="4"/>
      <c r="EC2296" s="4"/>
      <c r="ED2296" s="4"/>
      <c r="EE2296" s="4"/>
      <c r="EF2296" s="4"/>
      <c r="EG2296" s="4"/>
      <c r="EH2296" s="4"/>
      <c r="EI2296" s="4"/>
      <c r="EJ2296" s="4"/>
      <c r="EK2296" s="4"/>
      <c r="EL2296" s="4"/>
      <c r="EM2296" s="4"/>
      <c r="EN2296" s="4"/>
      <c r="EO2296" s="4"/>
      <c r="EP2296" s="4"/>
      <c r="EQ2296" s="4"/>
      <c r="ER2296" s="4"/>
      <c r="ES2296" s="4"/>
      <c r="ET2296" s="4"/>
      <c r="EU2296" s="4"/>
      <c r="EV2296" s="4"/>
      <c r="EW2296" s="4"/>
      <c r="EX2296" s="4"/>
      <c r="EY2296" s="4"/>
      <c r="EZ2296" s="4"/>
      <c r="FA2296" s="4"/>
      <c r="FB2296" s="4"/>
      <c r="FC2296" s="4"/>
      <c r="FD2296" s="4"/>
      <c r="FE2296" s="4"/>
      <c r="FF2296" s="4"/>
      <c r="FG2296" s="4"/>
      <c r="FH2296" s="4"/>
      <c r="FI2296" s="4"/>
      <c r="FJ2296" s="4"/>
      <c r="FK2296" s="4"/>
      <c r="FL2296" s="4"/>
      <c r="FM2296" s="4"/>
      <c r="FN2296" s="4"/>
      <c r="FO2296" s="4"/>
      <c r="FP2296" s="4"/>
      <c r="FQ2296" s="4"/>
      <c r="FR2296" s="4"/>
      <c r="FS2296" s="4"/>
      <c r="FT2296" s="4"/>
      <c r="FU2296" s="4"/>
      <c r="FV2296" s="4"/>
      <c r="FW2296" s="4"/>
      <c r="FX2296" s="4"/>
      <c r="FY2296" s="4"/>
      <c r="FZ2296" s="4"/>
      <c r="GA2296" s="4"/>
      <c r="GB2296" s="4"/>
      <c r="GC2296" s="4"/>
      <c r="GD2296" s="4"/>
      <c r="GE2296" s="4"/>
      <c r="GF2296" s="4"/>
      <c r="GG2296" s="4"/>
      <c r="GH2296" s="4"/>
      <c r="GI2296" s="4"/>
      <c r="GJ2296" s="4"/>
      <c r="GK2296" s="4"/>
      <c r="GL2296" s="4"/>
      <c r="GM2296" s="4"/>
      <c r="GN2296" s="4"/>
      <c r="GO2296" s="4"/>
      <c r="GP2296" s="4"/>
      <c r="GQ2296" s="4"/>
      <c r="GR2296" s="4"/>
      <c r="GS2296" s="4"/>
      <c r="GT2296" s="4"/>
      <c r="GU2296" s="4"/>
      <c r="GV2296" s="4"/>
      <c r="GW2296" s="4"/>
      <c r="GX2296" s="4"/>
      <c r="GY2296" s="4"/>
      <c r="GZ2296" s="4"/>
      <c r="HA2296" s="4"/>
      <c r="HB2296" s="4"/>
      <c r="HC2296" s="4"/>
      <c r="HD2296" s="4"/>
      <c r="HE2296" s="4"/>
    </row>
    <row r="2297">
      <c r="A2297" s="2" t="s">
        <v>10762</v>
      </c>
      <c r="B2297" s="2" t="s">
        <v>223</v>
      </c>
      <c r="C2297" s="2" t="s">
        <v>3635</v>
      </c>
      <c r="D2297" s="2" t="s">
        <v>1407</v>
      </c>
      <c r="E2297" s="2" t="s">
        <v>6106</v>
      </c>
      <c r="F2297" s="2" t="s">
        <v>10716</v>
      </c>
      <c r="G2297" s="2" t="s">
        <v>10716</v>
      </c>
      <c r="H2297" s="2" t="s">
        <v>10716</v>
      </c>
      <c r="I2297" s="2" t="s">
        <v>10717</v>
      </c>
      <c r="J2297" s="2" t="s">
        <v>289</v>
      </c>
      <c r="K2297" s="2" t="s">
        <v>10758</v>
      </c>
      <c r="L2297" s="3">
        <v>83.06</v>
      </c>
      <c r="M2297" s="3">
        <v>87.21</v>
      </c>
      <c r="N2297" s="3">
        <v>129.99</v>
      </c>
      <c r="O2297" s="2" t="s">
        <v>461</v>
      </c>
      <c r="P2297" s="2" t="s">
        <v>1116</v>
      </c>
      <c r="Q2297" s="2" t="s">
        <v>234</v>
      </c>
      <c r="R2297" s="2" t="s">
        <v>727</v>
      </c>
      <c r="S2297" s="2" t="s">
        <v>228</v>
      </c>
      <c r="T2297" s="2" t="s">
        <v>228</v>
      </c>
      <c r="U2297" s="2" t="s">
        <v>416</v>
      </c>
      <c r="V2297" s="2" t="s">
        <v>236</v>
      </c>
      <c r="W2297" s="2" t="s">
        <v>228</v>
      </c>
      <c r="X2297" s="2" t="s">
        <v>228</v>
      </c>
      <c r="Y2297" s="2" t="s">
        <v>1898</v>
      </c>
      <c r="Z2297" s="4">
        <v>109</v>
      </c>
      <c r="AA2297" s="4">
        <f>=ROUNDDOWN(109,0)</f>
      </c>
      <c r="AB2297" s="5">
        <v>1</v>
      </c>
      <c r="AC2297" s="2" t="s">
        <v>228</v>
      </c>
      <c r="AD2297" s="4"/>
      <c r="AE2297" s="4"/>
      <c r="AF2297" s="6">
        <v>65</v>
      </c>
      <c r="AG2297" s="6"/>
      <c r="AH2297" s="7">
        <v>1</v>
      </c>
      <c r="AI2297" s="4"/>
      <c r="AJ2297" s="4">
        <f>=ROUNDDOWN({0},0)</f>
      </c>
      <c r="AK2297" s="5"/>
      <c r="AL2297" s="2" t="s">
        <v>228</v>
      </c>
      <c r="AM2297" s="4"/>
      <c r="AN2297" s="4"/>
      <c r="AO2297" s="7"/>
      <c r="AP2297" s="4"/>
      <c r="AQ2297" s="8"/>
      <c r="AR2297" s="4"/>
      <c r="AS2297" s="8"/>
      <c r="AT2297" s="7"/>
      <c r="AU2297" s="7"/>
      <c r="AV2297" s="4" t="s">
        <v>228</v>
      </c>
      <c r="AW2297" s="8" t="s">
        <v>228</v>
      </c>
      <c r="AX2297" s="4" t="s">
        <v>228</v>
      </c>
      <c r="AY2297" s="8" t="s">
        <v>228</v>
      </c>
      <c r="AZ2297" s="7" t="s">
        <v>228</v>
      </c>
      <c r="BA2297" s="7" t="s">
        <v>228</v>
      </c>
      <c r="BB2297" s="7"/>
      <c r="BC2297" s="4" t="s">
        <v>228</v>
      </c>
      <c r="BD2297" s="8" t="s">
        <v>228</v>
      </c>
      <c r="BE2297" s="4" t="s">
        <v>228</v>
      </c>
      <c r="BF2297" s="8" t="s">
        <v>228</v>
      </c>
      <c r="BG2297" s="7" t="s">
        <v>228</v>
      </c>
      <c r="BH2297" s="7" t="s">
        <v>228</v>
      </c>
      <c r="BI2297" s="7"/>
      <c r="BJ2297" s="4"/>
      <c r="BK2297" s="8"/>
      <c r="BL2297" s="2" t="s">
        <v>1118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10763</v>
      </c>
      <c r="BV2297" s="2" t="s">
        <v>228</v>
      </c>
      <c r="BW2297" s="2" t="s">
        <v>228</v>
      </c>
      <c r="BX2297" s="2" t="s">
        <v>273</v>
      </c>
      <c r="BY2297" s="2" t="s">
        <v>274</v>
      </c>
      <c r="BZ2297" s="2" t="s">
        <v>240</v>
      </c>
      <c r="CA2297" s="2" t="s">
        <v>1554</v>
      </c>
      <c r="CB2297" s="2" t="s">
        <v>228</v>
      </c>
      <c r="CC2297" s="2" t="s">
        <v>241</v>
      </c>
      <c r="CD2297" s="2" t="s">
        <v>228</v>
      </c>
      <c r="CE2297" s="4">
        <v>109</v>
      </c>
      <c r="CF2297" s="4"/>
      <c r="CG2297" s="4"/>
      <c r="CH2297" s="4"/>
      <c r="CI2297" s="4"/>
      <c r="CJ2297" s="4"/>
      <c r="CK2297" s="4"/>
      <c r="CL2297" s="4"/>
      <c r="CM2297" s="4"/>
      <c r="CN2297" s="4"/>
      <c r="CO2297" s="4"/>
      <c r="CP2297" s="4"/>
      <c r="CQ2297" s="4"/>
      <c r="CR2297" s="4"/>
      <c r="CS2297" s="4"/>
      <c r="CT2297" s="4"/>
      <c r="CU2297" s="4"/>
      <c r="CV2297" s="4"/>
      <c r="CW2297" s="4"/>
      <c r="CX2297" s="4"/>
      <c r="CY2297" s="4"/>
      <c r="CZ2297" s="4"/>
      <c r="DA2297" s="4"/>
      <c r="DB2297" s="4"/>
      <c r="DC2297" s="4"/>
      <c r="DD2297" s="4"/>
      <c r="DE2297" s="4"/>
      <c r="DF2297" s="4"/>
      <c r="DG2297" s="4"/>
      <c r="DH2297" s="4"/>
      <c r="DI2297" s="4"/>
      <c r="DJ2297" s="4"/>
      <c r="DK2297" s="4"/>
      <c r="DL2297" s="4"/>
      <c r="DM2297" s="4"/>
      <c r="DN2297" s="4"/>
      <c r="DO2297" s="4"/>
      <c r="DP2297" s="4"/>
      <c r="DQ2297" s="4"/>
      <c r="DR2297" s="4"/>
      <c r="DS2297" s="4"/>
      <c r="DT2297" s="4"/>
      <c r="DU2297" s="4"/>
      <c r="DV2297" s="4"/>
      <c r="DW2297" s="4"/>
      <c r="DX2297" s="4"/>
      <c r="DY2297" s="4"/>
      <c r="DZ2297" s="4"/>
      <c r="EA2297" s="4"/>
      <c r="EB2297" s="4"/>
      <c r="EC2297" s="4"/>
      <c r="ED2297" s="4"/>
      <c r="EE2297" s="4"/>
      <c r="EF2297" s="4"/>
      <c r="EG2297" s="4"/>
      <c r="EH2297" s="4"/>
      <c r="EI2297" s="4"/>
      <c r="EJ2297" s="4"/>
      <c r="EK2297" s="4"/>
      <c r="EL2297" s="4"/>
      <c r="EM2297" s="4"/>
      <c r="EN2297" s="4"/>
      <c r="EO2297" s="4"/>
      <c r="EP2297" s="4"/>
      <c r="EQ2297" s="4"/>
      <c r="ER2297" s="4"/>
      <c r="ES2297" s="4"/>
      <c r="ET2297" s="4"/>
      <c r="EU2297" s="4"/>
      <c r="EV2297" s="4"/>
      <c r="EW2297" s="4"/>
      <c r="EX2297" s="4"/>
      <c r="EY2297" s="4"/>
      <c r="EZ2297" s="4"/>
      <c r="FA2297" s="4"/>
      <c r="FB2297" s="4"/>
      <c r="FC2297" s="4"/>
      <c r="FD2297" s="4"/>
      <c r="FE2297" s="4"/>
      <c r="FF2297" s="4"/>
      <c r="FG2297" s="4"/>
      <c r="FH2297" s="4"/>
      <c r="FI2297" s="4"/>
      <c r="FJ2297" s="4"/>
      <c r="FK2297" s="4"/>
      <c r="FL2297" s="4"/>
      <c r="FM2297" s="4"/>
      <c r="FN2297" s="4"/>
      <c r="FO2297" s="4"/>
      <c r="FP2297" s="4"/>
      <c r="FQ2297" s="4"/>
      <c r="FR2297" s="4"/>
      <c r="FS2297" s="4"/>
      <c r="FT2297" s="4"/>
      <c r="FU2297" s="4"/>
      <c r="FV2297" s="4"/>
      <c r="FW2297" s="4"/>
      <c r="FX2297" s="4"/>
      <c r="FY2297" s="4"/>
      <c r="FZ2297" s="4"/>
      <c r="GA2297" s="4"/>
      <c r="GB2297" s="4"/>
      <c r="GC2297" s="4"/>
      <c r="GD2297" s="4"/>
      <c r="GE2297" s="4"/>
      <c r="GF2297" s="4"/>
      <c r="GG2297" s="4"/>
      <c r="GH2297" s="4"/>
      <c r="GI2297" s="4"/>
      <c r="GJ2297" s="4"/>
      <c r="GK2297" s="4"/>
      <c r="GL2297" s="4"/>
      <c r="GM2297" s="4"/>
      <c r="GN2297" s="4"/>
      <c r="GO2297" s="4"/>
      <c r="GP2297" s="4"/>
      <c r="GQ2297" s="4"/>
      <c r="GR2297" s="4"/>
      <c r="GS2297" s="4"/>
      <c r="GT2297" s="4"/>
      <c r="GU2297" s="4"/>
      <c r="GV2297" s="4"/>
      <c r="GW2297" s="4"/>
      <c r="GX2297" s="4"/>
      <c r="GY2297" s="4"/>
      <c r="GZ2297" s="4"/>
      <c r="HA2297" s="4"/>
      <c r="HB2297" s="4"/>
      <c r="HC2297" s="4"/>
      <c r="HD2297" s="4"/>
      <c r="HE2297" s="4"/>
    </row>
    <row r="2298">
      <c r="A2298" s="2" t="s">
        <v>10764</v>
      </c>
      <c r="B2298" s="2" t="s">
        <v>223</v>
      </c>
      <c r="C2298" s="2" t="s">
        <v>3635</v>
      </c>
      <c r="D2298" s="2" t="s">
        <v>1407</v>
      </c>
      <c r="E2298" s="2" t="s">
        <v>6106</v>
      </c>
      <c r="F2298" s="2" t="s">
        <v>10716</v>
      </c>
      <c r="G2298" s="2" t="s">
        <v>10716</v>
      </c>
      <c r="H2298" s="2" t="s">
        <v>10716</v>
      </c>
      <c r="I2298" s="2" t="s">
        <v>10717</v>
      </c>
      <c r="J2298" s="2" t="s">
        <v>294</v>
      </c>
      <c r="K2298" s="2" t="s">
        <v>10758</v>
      </c>
      <c r="L2298" s="3">
        <v>89.45</v>
      </c>
      <c r="M2298" s="3">
        <v>93.92</v>
      </c>
      <c r="N2298" s="3">
        <v>139.99</v>
      </c>
      <c r="O2298" s="2" t="s">
        <v>461</v>
      </c>
      <c r="P2298" s="2" t="s">
        <v>1116</v>
      </c>
      <c r="Q2298" s="2" t="s">
        <v>234</v>
      </c>
      <c r="R2298" s="2" t="s">
        <v>727</v>
      </c>
      <c r="S2298" s="2" t="s">
        <v>228</v>
      </c>
      <c r="T2298" s="2" t="s">
        <v>228</v>
      </c>
      <c r="U2298" s="2" t="s">
        <v>416</v>
      </c>
      <c r="V2298" s="2" t="s">
        <v>236</v>
      </c>
      <c r="W2298" s="2" t="s">
        <v>228</v>
      </c>
      <c r="X2298" s="2" t="s">
        <v>228</v>
      </c>
      <c r="Y2298" s="2" t="s">
        <v>1898</v>
      </c>
      <c r="Z2298" s="4">
        <v>187</v>
      </c>
      <c r="AA2298" s="4">
        <f>=ROUNDDOWN(187,0)</f>
      </c>
      <c r="AB2298" s="5">
        <v>1</v>
      </c>
      <c r="AC2298" s="2" t="s">
        <v>228</v>
      </c>
      <c r="AD2298" s="4"/>
      <c r="AE2298" s="4"/>
      <c r="AF2298" s="6">
        <v>65</v>
      </c>
      <c r="AG2298" s="6"/>
      <c r="AH2298" s="7">
        <v>1</v>
      </c>
      <c r="AI2298" s="4"/>
      <c r="AJ2298" s="4">
        <f>=ROUNDDOWN({0},0)</f>
      </c>
      <c r="AK2298" s="5"/>
      <c r="AL2298" s="2" t="s">
        <v>228</v>
      </c>
      <c r="AM2298" s="4"/>
      <c r="AN2298" s="4"/>
      <c r="AO2298" s="7"/>
      <c r="AP2298" s="4"/>
      <c r="AQ2298" s="8"/>
      <c r="AR2298" s="4"/>
      <c r="AS2298" s="8"/>
      <c r="AT2298" s="7"/>
      <c r="AU2298" s="7"/>
      <c r="AV2298" s="4" t="s">
        <v>228</v>
      </c>
      <c r="AW2298" s="8" t="s">
        <v>228</v>
      </c>
      <c r="AX2298" s="4" t="s">
        <v>228</v>
      </c>
      <c r="AY2298" s="8" t="s">
        <v>228</v>
      </c>
      <c r="AZ2298" s="7" t="s">
        <v>228</v>
      </c>
      <c r="BA2298" s="7" t="s">
        <v>228</v>
      </c>
      <c r="BB2298" s="7"/>
      <c r="BC2298" s="4" t="s">
        <v>228</v>
      </c>
      <c r="BD2298" s="8" t="s">
        <v>228</v>
      </c>
      <c r="BE2298" s="4" t="s">
        <v>228</v>
      </c>
      <c r="BF2298" s="8" t="s">
        <v>228</v>
      </c>
      <c r="BG2298" s="7" t="s">
        <v>228</v>
      </c>
      <c r="BH2298" s="7" t="s">
        <v>228</v>
      </c>
      <c r="BI2298" s="7"/>
      <c r="BJ2298" s="4">
        <v>2</v>
      </c>
      <c r="BK2298" s="8">
        <v>97.68</v>
      </c>
      <c r="BL2298" s="2" t="s">
        <v>727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10765</v>
      </c>
      <c r="BV2298" s="2" t="s">
        <v>228</v>
      </c>
      <c r="BW2298" s="2" t="s">
        <v>228</v>
      </c>
      <c r="BX2298" s="2" t="s">
        <v>273</v>
      </c>
      <c r="BY2298" s="2" t="s">
        <v>274</v>
      </c>
      <c r="BZ2298" s="2" t="s">
        <v>240</v>
      </c>
      <c r="CA2298" s="2" t="s">
        <v>1554</v>
      </c>
      <c r="CB2298" s="2" t="s">
        <v>228</v>
      </c>
      <c r="CC2298" s="2" t="s">
        <v>241</v>
      </c>
      <c r="CD2298" s="2" t="s">
        <v>228</v>
      </c>
      <c r="CE2298" s="4">
        <v>187</v>
      </c>
      <c r="CF2298" s="4"/>
      <c r="CG2298" s="4"/>
      <c r="CH2298" s="4"/>
      <c r="CI2298" s="4"/>
      <c r="CJ2298" s="4"/>
      <c r="CK2298" s="4"/>
      <c r="CL2298" s="4"/>
      <c r="CM2298" s="4"/>
      <c r="CN2298" s="4"/>
      <c r="CO2298" s="4"/>
      <c r="CP2298" s="4"/>
      <c r="CQ2298" s="4"/>
      <c r="CR2298" s="4"/>
      <c r="CS2298" s="4"/>
      <c r="CT2298" s="4"/>
      <c r="CU2298" s="4"/>
      <c r="CV2298" s="4"/>
      <c r="CW2298" s="4"/>
      <c r="CX2298" s="4"/>
      <c r="CY2298" s="4"/>
      <c r="CZ2298" s="4"/>
      <c r="DA2298" s="4"/>
      <c r="DB2298" s="4"/>
      <c r="DC2298" s="4"/>
      <c r="DD2298" s="4"/>
      <c r="DE2298" s="4"/>
      <c r="DF2298" s="4"/>
      <c r="DG2298" s="4"/>
      <c r="DH2298" s="4"/>
      <c r="DI2298" s="4"/>
      <c r="DJ2298" s="4"/>
      <c r="DK2298" s="4"/>
      <c r="DL2298" s="4"/>
      <c r="DM2298" s="4"/>
      <c r="DN2298" s="4"/>
      <c r="DO2298" s="4"/>
      <c r="DP2298" s="4"/>
      <c r="DQ2298" s="4"/>
      <c r="DR2298" s="4"/>
      <c r="DS2298" s="4"/>
      <c r="DT2298" s="4"/>
      <c r="DU2298" s="4"/>
      <c r="DV2298" s="4"/>
      <c r="DW2298" s="4"/>
      <c r="DX2298" s="4"/>
      <c r="DY2298" s="4"/>
      <c r="DZ2298" s="4"/>
      <c r="EA2298" s="4"/>
      <c r="EB2298" s="4"/>
      <c r="EC2298" s="4"/>
      <c r="ED2298" s="4"/>
      <c r="EE2298" s="4"/>
      <c r="EF2298" s="4"/>
      <c r="EG2298" s="4"/>
      <c r="EH2298" s="4"/>
      <c r="EI2298" s="4"/>
      <c r="EJ2298" s="4"/>
      <c r="EK2298" s="4"/>
      <c r="EL2298" s="4"/>
      <c r="EM2298" s="4"/>
      <c r="EN2298" s="4"/>
      <c r="EO2298" s="4"/>
      <c r="EP2298" s="4"/>
      <c r="EQ2298" s="4"/>
      <c r="ER2298" s="4"/>
      <c r="ES2298" s="4"/>
      <c r="ET2298" s="4"/>
      <c r="EU2298" s="4"/>
      <c r="EV2298" s="4"/>
      <c r="EW2298" s="4"/>
      <c r="EX2298" s="4"/>
      <c r="EY2298" s="4"/>
      <c r="EZ2298" s="4"/>
      <c r="FA2298" s="4"/>
      <c r="FB2298" s="4"/>
      <c r="FC2298" s="4"/>
      <c r="FD2298" s="4"/>
      <c r="FE2298" s="4"/>
      <c r="FF2298" s="4"/>
      <c r="FG2298" s="4"/>
      <c r="FH2298" s="4"/>
      <c r="FI2298" s="4"/>
      <c r="FJ2298" s="4"/>
      <c r="FK2298" s="4"/>
      <c r="FL2298" s="4"/>
      <c r="FM2298" s="4"/>
      <c r="FN2298" s="4"/>
      <c r="FO2298" s="4"/>
      <c r="FP2298" s="4"/>
      <c r="FQ2298" s="4"/>
      <c r="FR2298" s="4"/>
      <c r="FS2298" s="4"/>
      <c r="FT2298" s="4"/>
      <c r="FU2298" s="4"/>
      <c r="FV2298" s="4"/>
      <c r="FW2298" s="4"/>
      <c r="FX2298" s="4"/>
      <c r="FY2298" s="4"/>
      <c r="FZ2298" s="4"/>
      <c r="GA2298" s="4"/>
      <c r="GB2298" s="4"/>
      <c r="GC2298" s="4"/>
      <c r="GD2298" s="4"/>
      <c r="GE2298" s="4"/>
      <c r="GF2298" s="4"/>
      <c r="GG2298" s="4"/>
      <c r="GH2298" s="4"/>
      <c r="GI2298" s="4"/>
      <c r="GJ2298" s="4"/>
      <c r="GK2298" s="4"/>
      <c r="GL2298" s="4"/>
      <c r="GM2298" s="4"/>
      <c r="GN2298" s="4"/>
      <c r="GO2298" s="4"/>
      <c r="GP2298" s="4"/>
      <c r="GQ2298" s="4"/>
      <c r="GR2298" s="4"/>
      <c r="GS2298" s="4"/>
      <c r="GT2298" s="4"/>
      <c r="GU2298" s="4"/>
      <c r="GV2298" s="4"/>
      <c r="GW2298" s="4"/>
      <c r="GX2298" s="4"/>
      <c r="GY2298" s="4"/>
      <c r="GZ2298" s="4"/>
      <c r="HA2298" s="4"/>
      <c r="HB2298" s="4"/>
      <c r="HC2298" s="4"/>
      <c r="HD2298" s="4"/>
      <c r="HE2298" s="4"/>
    </row>
    <row r="2299">
      <c r="A2299" s="2" t="s">
        <v>10766</v>
      </c>
      <c r="B2299" s="2" t="s">
        <v>223</v>
      </c>
      <c r="C2299" s="2" t="s">
        <v>3635</v>
      </c>
      <c r="D2299" s="2" t="s">
        <v>1407</v>
      </c>
      <c r="E2299" s="2" t="s">
        <v>6106</v>
      </c>
      <c r="F2299" s="2" t="s">
        <v>10716</v>
      </c>
      <c r="G2299" s="2" t="s">
        <v>10716</v>
      </c>
      <c r="H2299" s="2" t="s">
        <v>10716</v>
      </c>
      <c r="I2299" s="2" t="s">
        <v>10717</v>
      </c>
      <c r="J2299" s="2" t="s">
        <v>264</v>
      </c>
      <c r="K2299" s="2" t="s">
        <v>10767</v>
      </c>
      <c r="L2299" s="3">
        <v>51.11</v>
      </c>
      <c r="M2299" s="3">
        <v>53.67</v>
      </c>
      <c r="N2299" s="3">
        <v>79.99</v>
      </c>
      <c r="O2299" s="2" t="s">
        <v>461</v>
      </c>
      <c r="P2299" s="2" t="s">
        <v>1116</v>
      </c>
      <c r="Q2299" s="2" t="s">
        <v>234</v>
      </c>
      <c r="R2299" s="2" t="s">
        <v>727</v>
      </c>
      <c r="S2299" s="2" t="s">
        <v>228</v>
      </c>
      <c r="T2299" s="2" t="s">
        <v>228</v>
      </c>
      <c r="U2299" s="2" t="s">
        <v>416</v>
      </c>
      <c r="V2299" s="2" t="s">
        <v>236</v>
      </c>
      <c r="W2299" s="2" t="s">
        <v>228</v>
      </c>
      <c r="X2299" s="2" t="s">
        <v>228</v>
      </c>
      <c r="Y2299" s="2" t="s">
        <v>2773</v>
      </c>
      <c r="Z2299" s="4">
        <v>59</v>
      </c>
      <c r="AA2299" s="4">
        <f>=ROUNDDOWN(59,0)</f>
      </c>
      <c r="AB2299" s="5">
        <v>1</v>
      </c>
      <c r="AC2299" s="2" t="s">
        <v>228</v>
      </c>
      <c r="AD2299" s="4"/>
      <c r="AE2299" s="4"/>
      <c r="AF2299" s="6">
        <v>65</v>
      </c>
      <c r="AG2299" s="6"/>
      <c r="AH2299" s="7">
        <v>1</v>
      </c>
      <c r="AI2299" s="4"/>
      <c r="AJ2299" s="4">
        <f>=ROUNDDOWN({0},0)</f>
      </c>
      <c r="AK2299" s="5"/>
      <c r="AL2299" s="2" t="s">
        <v>228</v>
      </c>
      <c r="AM2299" s="4"/>
      <c r="AN2299" s="4"/>
      <c r="AO2299" s="7"/>
      <c r="AP2299" s="4"/>
      <c r="AQ2299" s="8"/>
      <c r="AR2299" s="4"/>
      <c r="AS2299" s="8"/>
      <c r="AT2299" s="7"/>
      <c r="AU2299" s="7"/>
      <c r="AV2299" s="4" t="s">
        <v>228</v>
      </c>
      <c r="AW2299" s="8" t="s">
        <v>228</v>
      </c>
      <c r="AX2299" s="4" t="s">
        <v>228</v>
      </c>
      <c r="AY2299" s="8" t="s">
        <v>228</v>
      </c>
      <c r="AZ2299" s="7" t="s">
        <v>228</v>
      </c>
      <c r="BA2299" s="7" t="s">
        <v>228</v>
      </c>
      <c r="BB2299" s="7"/>
      <c r="BC2299" s="4" t="s">
        <v>228</v>
      </c>
      <c r="BD2299" s="8" t="s">
        <v>228</v>
      </c>
      <c r="BE2299" s="4" t="s">
        <v>228</v>
      </c>
      <c r="BF2299" s="8" t="s">
        <v>228</v>
      </c>
      <c r="BG2299" s="7" t="s">
        <v>228</v>
      </c>
      <c r="BH2299" s="7" t="s">
        <v>228</v>
      </c>
      <c r="BI2299" s="7"/>
      <c r="BJ2299" s="4"/>
      <c r="BK2299" s="8"/>
      <c r="BL2299" s="2" t="s">
        <v>228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10768</v>
      </c>
      <c r="BV2299" s="2" t="s">
        <v>228</v>
      </c>
      <c r="BW2299" s="2" t="s">
        <v>228</v>
      </c>
      <c r="BX2299" s="2" t="s">
        <v>273</v>
      </c>
      <c r="BY2299" s="2" t="s">
        <v>274</v>
      </c>
      <c r="BZ2299" s="2" t="s">
        <v>240</v>
      </c>
      <c r="CA2299" s="2" t="s">
        <v>1554</v>
      </c>
      <c r="CB2299" s="2" t="s">
        <v>228</v>
      </c>
      <c r="CC2299" s="2" t="s">
        <v>241</v>
      </c>
      <c r="CD2299" s="2" t="s">
        <v>228</v>
      </c>
      <c r="CE2299" s="4">
        <v>59</v>
      </c>
      <c r="CF2299" s="4"/>
      <c r="CG2299" s="4"/>
      <c r="CH2299" s="4"/>
      <c r="CI2299" s="4"/>
      <c r="CJ2299" s="4"/>
      <c r="CK2299" s="4"/>
      <c r="CL2299" s="4"/>
      <c r="CM2299" s="4"/>
      <c r="CN2299" s="4"/>
      <c r="CO2299" s="4"/>
      <c r="CP2299" s="4"/>
      <c r="CQ2299" s="4"/>
      <c r="CR2299" s="4"/>
      <c r="CS2299" s="4"/>
      <c r="CT2299" s="4"/>
      <c r="CU2299" s="4"/>
      <c r="CV2299" s="4"/>
      <c r="CW2299" s="4"/>
      <c r="CX2299" s="4"/>
      <c r="CY2299" s="4"/>
      <c r="CZ2299" s="4"/>
      <c r="DA2299" s="4"/>
      <c r="DB2299" s="4"/>
      <c r="DC2299" s="4"/>
      <c r="DD2299" s="4"/>
      <c r="DE2299" s="4"/>
      <c r="DF2299" s="4"/>
      <c r="DG2299" s="4"/>
      <c r="DH2299" s="4"/>
      <c r="DI2299" s="4"/>
      <c r="DJ2299" s="4"/>
      <c r="DK2299" s="4"/>
      <c r="DL2299" s="4"/>
      <c r="DM2299" s="4"/>
      <c r="DN2299" s="4"/>
      <c r="DO2299" s="4"/>
      <c r="DP2299" s="4"/>
      <c r="DQ2299" s="4"/>
      <c r="DR2299" s="4"/>
      <c r="DS2299" s="4"/>
      <c r="DT2299" s="4"/>
      <c r="DU2299" s="4"/>
      <c r="DV2299" s="4"/>
      <c r="DW2299" s="4"/>
      <c r="DX2299" s="4"/>
      <c r="DY2299" s="4"/>
      <c r="DZ2299" s="4"/>
      <c r="EA2299" s="4"/>
      <c r="EB2299" s="4"/>
      <c r="EC2299" s="4"/>
      <c r="ED2299" s="4"/>
      <c r="EE2299" s="4"/>
      <c r="EF2299" s="4"/>
      <c r="EG2299" s="4"/>
      <c r="EH2299" s="4"/>
      <c r="EI2299" s="4"/>
      <c r="EJ2299" s="4"/>
      <c r="EK2299" s="4"/>
      <c r="EL2299" s="4"/>
      <c r="EM2299" s="4"/>
      <c r="EN2299" s="4"/>
      <c r="EO2299" s="4"/>
      <c r="EP2299" s="4"/>
      <c r="EQ2299" s="4"/>
      <c r="ER2299" s="4"/>
      <c r="ES2299" s="4"/>
      <c r="ET2299" s="4"/>
      <c r="EU2299" s="4"/>
      <c r="EV2299" s="4"/>
      <c r="EW2299" s="4"/>
      <c r="EX2299" s="4"/>
      <c r="EY2299" s="4"/>
      <c r="EZ2299" s="4"/>
      <c r="FA2299" s="4"/>
      <c r="FB2299" s="4"/>
      <c r="FC2299" s="4"/>
      <c r="FD2299" s="4"/>
      <c r="FE2299" s="4"/>
      <c r="FF2299" s="4"/>
      <c r="FG2299" s="4"/>
      <c r="FH2299" s="4"/>
      <c r="FI2299" s="4"/>
      <c r="FJ2299" s="4"/>
      <c r="FK2299" s="4"/>
      <c r="FL2299" s="4"/>
      <c r="FM2299" s="4"/>
      <c r="FN2299" s="4"/>
      <c r="FO2299" s="4"/>
      <c r="FP2299" s="4"/>
      <c r="FQ2299" s="4"/>
      <c r="FR2299" s="4"/>
      <c r="FS2299" s="4"/>
      <c r="FT2299" s="4"/>
      <c r="FU2299" s="4"/>
      <c r="FV2299" s="4"/>
      <c r="FW2299" s="4"/>
      <c r="FX2299" s="4"/>
      <c r="FY2299" s="4"/>
      <c r="FZ2299" s="4"/>
      <c r="GA2299" s="4"/>
      <c r="GB2299" s="4"/>
      <c r="GC2299" s="4"/>
      <c r="GD2299" s="4"/>
      <c r="GE2299" s="4"/>
      <c r="GF2299" s="4"/>
      <c r="GG2299" s="4"/>
      <c r="GH2299" s="4"/>
      <c r="GI2299" s="4"/>
      <c r="GJ2299" s="4"/>
      <c r="GK2299" s="4"/>
      <c r="GL2299" s="4"/>
      <c r="GM2299" s="4"/>
      <c r="GN2299" s="4"/>
      <c r="GO2299" s="4"/>
      <c r="GP2299" s="4"/>
      <c r="GQ2299" s="4"/>
      <c r="GR2299" s="4"/>
      <c r="GS2299" s="4"/>
      <c r="GT2299" s="4"/>
      <c r="GU2299" s="4"/>
      <c r="GV2299" s="4"/>
      <c r="GW2299" s="4"/>
      <c r="GX2299" s="4"/>
      <c r="GY2299" s="4"/>
      <c r="GZ2299" s="4"/>
      <c r="HA2299" s="4"/>
      <c r="HB2299" s="4"/>
      <c r="HC2299" s="4"/>
      <c r="HD2299" s="4"/>
      <c r="HE2299" s="4"/>
    </row>
    <row r="2300">
      <c r="A2300" s="2" t="s">
        <v>10769</v>
      </c>
      <c r="B2300" s="2" t="s">
        <v>223</v>
      </c>
      <c r="C2300" s="2" t="s">
        <v>3635</v>
      </c>
      <c r="D2300" s="2" t="s">
        <v>1407</v>
      </c>
      <c r="E2300" s="2" t="s">
        <v>6106</v>
      </c>
      <c r="F2300" s="2" t="s">
        <v>10716</v>
      </c>
      <c r="G2300" s="2" t="s">
        <v>10716</v>
      </c>
      <c r="H2300" s="2" t="s">
        <v>10716</v>
      </c>
      <c r="I2300" s="2" t="s">
        <v>10717</v>
      </c>
      <c r="J2300" s="2" t="s">
        <v>284</v>
      </c>
      <c r="K2300" s="2" t="s">
        <v>10767</v>
      </c>
      <c r="L2300" s="3">
        <v>57.5</v>
      </c>
      <c r="M2300" s="3">
        <v>60.38</v>
      </c>
      <c r="N2300" s="3">
        <v>89.99</v>
      </c>
      <c r="O2300" s="2" t="s">
        <v>461</v>
      </c>
      <c r="P2300" s="2" t="s">
        <v>1116</v>
      </c>
      <c r="Q2300" s="2" t="s">
        <v>234</v>
      </c>
      <c r="R2300" s="2" t="s">
        <v>727</v>
      </c>
      <c r="S2300" s="2" t="s">
        <v>228</v>
      </c>
      <c r="T2300" s="2" t="s">
        <v>228</v>
      </c>
      <c r="U2300" s="2" t="s">
        <v>416</v>
      </c>
      <c r="V2300" s="2" t="s">
        <v>236</v>
      </c>
      <c r="W2300" s="2" t="s">
        <v>228</v>
      </c>
      <c r="X2300" s="2" t="s">
        <v>228</v>
      </c>
      <c r="Y2300" s="2" t="s">
        <v>2773</v>
      </c>
      <c r="Z2300" s="4">
        <v>56</v>
      </c>
      <c r="AA2300" s="4">
        <f>=ROUNDDOWN({0},0)</f>
      </c>
      <c r="AB2300" s="5"/>
      <c r="AC2300" s="2" t="s">
        <v>228</v>
      </c>
      <c r="AD2300" s="4"/>
      <c r="AE2300" s="4"/>
      <c r="AF2300" s="6">
        <v>65</v>
      </c>
      <c r="AG2300" s="6"/>
      <c r="AH2300" s="7">
        <v>1</v>
      </c>
      <c r="AI2300" s="4"/>
      <c r="AJ2300" s="4">
        <f>=ROUNDDOWN({0},0)</f>
      </c>
      <c r="AK2300" s="5"/>
      <c r="AL2300" s="2" t="s">
        <v>228</v>
      </c>
      <c r="AM2300" s="4"/>
      <c r="AN2300" s="4"/>
      <c r="AO2300" s="7"/>
      <c r="AP2300" s="4"/>
      <c r="AQ2300" s="8"/>
      <c r="AR2300" s="4"/>
      <c r="AS2300" s="8"/>
      <c r="AT2300" s="7"/>
      <c r="AU2300" s="7"/>
      <c r="AV2300" s="4" t="s">
        <v>228</v>
      </c>
      <c r="AW2300" s="8" t="s">
        <v>228</v>
      </c>
      <c r="AX2300" s="4" t="s">
        <v>228</v>
      </c>
      <c r="AY2300" s="8" t="s">
        <v>228</v>
      </c>
      <c r="AZ2300" s="7" t="s">
        <v>228</v>
      </c>
      <c r="BA2300" s="7" t="s">
        <v>228</v>
      </c>
      <c r="BB2300" s="7"/>
      <c r="BC2300" s="4" t="s">
        <v>228</v>
      </c>
      <c r="BD2300" s="8" t="s">
        <v>228</v>
      </c>
      <c r="BE2300" s="4" t="s">
        <v>228</v>
      </c>
      <c r="BF2300" s="8" t="s">
        <v>228</v>
      </c>
      <c r="BG2300" s="7" t="s">
        <v>228</v>
      </c>
      <c r="BH2300" s="7" t="s">
        <v>228</v>
      </c>
      <c r="BI2300" s="7"/>
      <c r="BJ2300" s="4"/>
      <c r="BK2300" s="8"/>
      <c r="BL2300" s="2" t="s">
        <v>228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10770</v>
      </c>
      <c r="BV2300" s="2" t="s">
        <v>228</v>
      </c>
      <c r="BW2300" s="2" t="s">
        <v>228</v>
      </c>
      <c r="BX2300" s="2" t="s">
        <v>273</v>
      </c>
      <c r="BY2300" s="2" t="s">
        <v>274</v>
      </c>
      <c r="BZ2300" s="2" t="s">
        <v>240</v>
      </c>
      <c r="CA2300" s="2" t="s">
        <v>1554</v>
      </c>
      <c r="CB2300" s="2" t="s">
        <v>7431</v>
      </c>
      <c r="CC2300" s="2" t="s">
        <v>241</v>
      </c>
      <c r="CD2300" s="2" t="s">
        <v>228</v>
      </c>
      <c r="CE2300" s="4">
        <v>56</v>
      </c>
      <c r="CF2300" s="4"/>
      <c r="CG2300" s="4"/>
      <c r="CH2300" s="4"/>
      <c r="CI2300" s="4"/>
      <c r="CJ2300" s="4"/>
      <c r="CK2300" s="4"/>
      <c r="CL2300" s="4"/>
      <c r="CM2300" s="4"/>
      <c r="CN2300" s="4"/>
      <c r="CO2300" s="4"/>
      <c r="CP2300" s="4"/>
      <c r="CQ2300" s="4"/>
      <c r="CR2300" s="4"/>
      <c r="CS2300" s="4"/>
      <c r="CT2300" s="4"/>
      <c r="CU2300" s="4"/>
      <c r="CV2300" s="4"/>
      <c r="CW2300" s="4"/>
      <c r="CX2300" s="4"/>
      <c r="CY2300" s="4"/>
      <c r="CZ2300" s="4"/>
      <c r="DA2300" s="4"/>
      <c r="DB2300" s="4"/>
      <c r="DC2300" s="4"/>
      <c r="DD2300" s="4"/>
      <c r="DE2300" s="4"/>
      <c r="DF2300" s="4"/>
      <c r="DG2300" s="4"/>
      <c r="DH2300" s="4"/>
      <c r="DI2300" s="4"/>
      <c r="DJ2300" s="4"/>
      <c r="DK2300" s="4"/>
      <c r="DL2300" s="4"/>
      <c r="DM2300" s="4"/>
      <c r="DN2300" s="4"/>
      <c r="DO2300" s="4"/>
      <c r="DP2300" s="4"/>
      <c r="DQ2300" s="4"/>
      <c r="DR2300" s="4"/>
      <c r="DS2300" s="4"/>
      <c r="DT2300" s="4"/>
      <c r="DU2300" s="4"/>
      <c r="DV2300" s="4"/>
      <c r="DW2300" s="4"/>
      <c r="DX2300" s="4"/>
      <c r="DY2300" s="4"/>
      <c r="DZ2300" s="4"/>
      <c r="EA2300" s="4"/>
      <c r="EB2300" s="4"/>
      <c r="EC2300" s="4"/>
      <c r="ED2300" s="4"/>
      <c r="EE2300" s="4"/>
      <c r="EF2300" s="4"/>
      <c r="EG2300" s="4"/>
      <c r="EH2300" s="4"/>
      <c r="EI2300" s="4"/>
      <c r="EJ2300" s="4"/>
      <c r="EK2300" s="4"/>
      <c r="EL2300" s="4"/>
      <c r="EM2300" s="4"/>
      <c r="EN2300" s="4"/>
      <c r="EO2300" s="4"/>
      <c r="EP2300" s="4"/>
      <c r="EQ2300" s="4"/>
      <c r="ER2300" s="4"/>
      <c r="ES2300" s="4"/>
      <c r="ET2300" s="4"/>
      <c r="EU2300" s="4"/>
      <c r="EV2300" s="4"/>
      <c r="EW2300" s="4"/>
      <c r="EX2300" s="4"/>
      <c r="EY2300" s="4"/>
      <c r="EZ2300" s="4"/>
      <c r="FA2300" s="4"/>
      <c r="FB2300" s="4"/>
      <c r="FC2300" s="4"/>
      <c r="FD2300" s="4"/>
      <c r="FE2300" s="4"/>
      <c r="FF2300" s="4"/>
      <c r="FG2300" s="4"/>
      <c r="FH2300" s="4"/>
      <c r="FI2300" s="4"/>
      <c r="FJ2300" s="4"/>
      <c r="FK2300" s="4"/>
      <c r="FL2300" s="4"/>
      <c r="FM2300" s="4"/>
      <c r="FN2300" s="4"/>
      <c r="FO2300" s="4"/>
      <c r="FP2300" s="4"/>
      <c r="FQ2300" s="4"/>
      <c r="FR2300" s="4"/>
      <c r="FS2300" s="4"/>
      <c r="FT2300" s="4"/>
      <c r="FU2300" s="4"/>
      <c r="FV2300" s="4"/>
      <c r="FW2300" s="4"/>
      <c r="FX2300" s="4"/>
      <c r="FY2300" s="4"/>
      <c r="FZ2300" s="4"/>
      <c r="GA2300" s="4"/>
      <c r="GB2300" s="4"/>
      <c r="GC2300" s="4"/>
      <c r="GD2300" s="4"/>
      <c r="GE2300" s="4"/>
      <c r="GF2300" s="4"/>
      <c r="GG2300" s="4"/>
      <c r="GH2300" s="4"/>
      <c r="GI2300" s="4"/>
      <c r="GJ2300" s="4"/>
      <c r="GK2300" s="4"/>
      <c r="GL2300" s="4"/>
      <c r="GM2300" s="4"/>
      <c r="GN2300" s="4"/>
      <c r="GO2300" s="4"/>
      <c r="GP2300" s="4"/>
      <c r="GQ2300" s="4"/>
      <c r="GR2300" s="4"/>
      <c r="GS2300" s="4"/>
      <c r="GT2300" s="4"/>
      <c r="GU2300" s="4"/>
      <c r="GV2300" s="4"/>
      <c r="GW2300" s="4"/>
      <c r="GX2300" s="4"/>
      <c r="GY2300" s="4"/>
      <c r="GZ2300" s="4"/>
      <c r="HA2300" s="4"/>
      <c r="HB2300" s="4"/>
      <c r="HC2300" s="4"/>
      <c r="HD2300" s="4"/>
      <c r="HE2300" s="4"/>
    </row>
    <row r="2301">
      <c r="A2301" s="2" t="s">
        <v>10771</v>
      </c>
      <c r="B2301" s="2" t="s">
        <v>223</v>
      </c>
      <c r="C2301" s="2" t="s">
        <v>3635</v>
      </c>
      <c r="D2301" s="2" t="s">
        <v>1407</v>
      </c>
      <c r="E2301" s="2" t="s">
        <v>6106</v>
      </c>
      <c r="F2301" s="2" t="s">
        <v>10716</v>
      </c>
      <c r="G2301" s="2" t="s">
        <v>10716</v>
      </c>
      <c r="H2301" s="2" t="s">
        <v>10716</v>
      </c>
      <c r="I2301" s="2" t="s">
        <v>10717</v>
      </c>
      <c r="J2301" s="2" t="s">
        <v>289</v>
      </c>
      <c r="K2301" s="2" t="s">
        <v>10767</v>
      </c>
      <c r="L2301" s="3">
        <v>83.06</v>
      </c>
      <c r="M2301" s="3">
        <v>87.21</v>
      </c>
      <c r="N2301" s="3">
        <v>129.99</v>
      </c>
      <c r="O2301" s="2" t="s">
        <v>461</v>
      </c>
      <c r="P2301" s="2" t="s">
        <v>1116</v>
      </c>
      <c r="Q2301" s="2" t="s">
        <v>234</v>
      </c>
      <c r="R2301" s="2" t="s">
        <v>727</v>
      </c>
      <c r="S2301" s="2" t="s">
        <v>228</v>
      </c>
      <c r="T2301" s="2" t="s">
        <v>228</v>
      </c>
      <c r="U2301" s="2" t="s">
        <v>416</v>
      </c>
      <c r="V2301" s="2" t="s">
        <v>236</v>
      </c>
      <c r="W2301" s="2" t="s">
        <v>228</v>
      </c>
      <c r="X2301" s="2" t="s">
        <v>228</v>
      </c>
      <c r="Y2301" s="2" t="s">
        <v>2773</v>
      </c>
      <c r="Z2301" s="4">
        <v>178</v>
      </c>
      <c r="AA2301" s="4">
        <f>=ROUNDDOWN(178,0)</f>
      </c>
      <c r="AB2301" s="5">
        <v>1</v>
      </c>
      <c r="AC2301" s="2" t="s">
        <v>228</v>
      </c>
      <c r="AD2301" s="4"/>
      <c r="AE2301" s="4"/>
      <c r="AF2301" s="6">
        <v>65</v>
      </c>
      <c r="AG2301" s="6"/>
      <c r="AH2301" s="7">
        <v>1</v>
      </c>
      <c r="AI2301" s="4"/>
      <c r="AJ2301" s="4">
        <f>=ROUNDDOWN({0},0)</f>
      </c>
      <c r="AK2301" s="5"/>
      <c r="AL2301" s="2" t="s">
        <v>228</v>
      </c>
      <c r="AM2301" s="4"/>
      <c r="AN2301" s="4"/>
      <c r="AO2301" s="7"/>
      <c r="AP2301" s="4"/>
      <c r="AQ2301" s="8"/>
      <c r="AR2301" s="4"/>
      <c r="AS2301" s="8"/>
      <c r="AT2301" s="7"/>
      <c r="AU2301" s="7"/>
      <c r="AV2301" s="4" t="s">
        <v>228</v>
      </c>
      <c r="AW2301" s="8" t="s">
        <v>228</v>
      </c>
      <c r="AX2301" s="4" t="s">
        <v>228</v>
      </c>
      <c r="AY2301" s="8" t="s">
        <v>228</v>
      </c>
      <c r="AZ2301" s="7" t="s">
        <v>228</v>
      </c>
      <c r="BA2301" s="7" t="s">
        <v>228</v>
      </c>
      <c r="BB2301" s="7"/>
      <c r="BC2301" s="4" t="s">
        <v>228</v>
      </c>
      <c r="BD2301" s="8" t="s">
        <v>228</v>
      </c>
      <c r="BE2301" s="4" t="s">
        <v>228</v>
      </c>
      <c r="BF2301" s="8" t="s">
        <v>228</v>
      </c>
      <c r="BG2301" s="7" t="s">
        <v>228</v>
      </c>
      <c r="BH2301" s="7" t="s">
        <v>228</v>
      </c>
      <c r="BI2301" s="7"/>
      <c r="BJ2301" s="4"/>
      <c r="BK2301" s="8"/>
      <c r="BL2301" s="2" t="s">
        <v>228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10772</v>
      </c>
      <c r="BV2301" s="2" t="s">
        <v>228</v>
      </c>
      <c r="BW2301" s="2" t="s">
        <v>228</v>
      </c>
      <c r="BX2301" s="2" t="s">
        <v>273</v>
      </c>
      <c r="BY2301" s="2" t="s">
        <v>274</v>
      </c>
      <c r="BZ2301" s="2" t="s">
        <v>240</v>
      </c>
      <c r="CA2301" s="2" t="s">
        <v>1554</v>
      </c>
      <c r="CB2301" s="2" t="s">
        <v>228</v>
      </c>
      <c r="CC2301" s="2" t="s">
        <v>241</v>
      </c>
      <c r="CD2301" s="2" t="s">
        <v>228</v>
      </c>
      <c r="CE2301" s="4">
        <v>178</v>
      </c>
      <c r="CF2301" s="4"/>
      <c r="CG2301" s="4"/>
      <c r="CH2301" s="4"/>
      <c r="CI2301" s="4"/>
      <c r="CJ2301" s="4"/>
      <c r="CK2301" s="4"/>
      <c r="CL2301" s="4"/>
      <c r="CM2301" s="4"/>
      <c r="CN2301" s="4"/>
      <c r="CO2301" s="4"/>
      <c r="CP2301" s="4"/>
      <c r="CQ2301" s="4"/>
      <c r="CR2301" s="4"/>
      <c r="CS2301" s="4"/>
      <c r="CT2301" s="4"/>
      <c r="CU2301" s="4"/>
      <c r="CV2301" s="4"/>
      <c r="CW2301" s="4"/>
      <c r="CX2301" s="4"/>
      <c r="CY2301" s="4"/>
      <c r="CZ2301" s="4"/>
      <c r="DA2301" s="4"/>
      <c r="DB2301" s="4"/>
      <c r="DC2301" s="4"/>
      <c r="DD2301" s="4"/>
      <c r="DE2301" s="4"/>
      <c r="DF2301" s="4"/>
      <c r="DG2301" s="4"/>
      <c r="DH2301" s="4"/>
      <c r="DI2301" s="4"/>
      <c r="DJ2301" s="4"/>
      <c r="DK2301" s="4"/>
      <c r="DL2301" s="4"/>
      <c r="DM2301" s="4"/>
      <c r="DN2301" s="4"/>
      <c r="DO2301" s="4"/>
      <c r="DP2301" s="4"/>
      <c r="DQ2301" s="4"/>
      <c r="DR2301" s="4"/>
      <c r="DS2301" s="4"/>
      <c r="DT2301" s="4"/>
      <c r="DU2301" s="4"/>
      <c r="DV2301" s="4"/>
      <c r="DW2301" s="4"/>
      <c r="DX2301" s="4"/>
      <c r="DY2301" s="4"/>
      <c r="DZ2301" s="4"/>
      <c r="EA2301" s="4"/>
      <c r="EB2301" s="4"/>
      <c r="EC2301" s="4"/>
      <c r="ED2301" s="4"/>
      <c r="EE2301" s="4"/>
      <c r="EF2301" s="4"/>
      <c r="EG2301" s="4"/>
      <c r="EH2301" s="4"/>
      <c r="EI2301" s="4"/>
      <c r="EJ2301" s="4"/>
      <c r="EK2301" s="4"/>
      <c r="EL2301" s="4"/>
      <c r="EM2301" s="4"/>
      <c r="EN2301" s="4"/>
      <c r="EO2301" s="4"/>
      <c r="EP2301" s="4"/>
      <c r="EQ2301" s="4"/>
      <c r="ER2301" s="4"/>
      <c r="ES2301" s="4"/>
      <c r="ET2301" s="4"/>
      <c r="EU2301" s="4"/>
      <c r="EV2301" s="4"/>
      <c r="EW2301" s="4"/>
      <c r="EX2301" s="4"/>
      <c r="EY2301" s="4"/>
      <c r="EZ2301" s="4"/>
      <c r="FA2301" s="4"/>
      <c r="FB2301" s="4"/>
      <c r="FC2301" s="4"/>
      <c r="FD2301" s="4"/>
      <c r="FE2301" s="4"/>
      <c r="FF2301" s="4"/>
      <c r="FG2301" s="4"/>
      <c r="FH2301" s="4"/>
      <c r="FI2301" s="4"/>
      <c r="FJ2301" s="4"/>
      <c r="FK2301" s="4"/>
      <c r="FL2301" s="4"/>
      <c r="FM2301" s="4"/>
      <c r="FN2301" s="4"/>
      <c r="FO2301" s="4"/>
      <c r="FP2301" s="4"/>
      <c r="FQ2301" s="4"/>
      <c r="FR2301" s="4"/>
      <c r="FS2301" s="4"/>
      <c r="FT2301" s="4"/>
      <c r="FU2301" s="4"/>
      <c r="FV2301" s="4"/>
      <c r="FW2301" s="4"/>
      <c r="FX2301" s="4"/>
      <c r="FY2301" s="4"/>
      <c r="FZ2301" s="4"/>
      <c r="GA2301" s="4"/>
      <c r="GB2301" s="4"/>
      <c r="GC2301" s="4"/>
      <c r="GD2301" s="4"/>
      <c r="GE2301" s="4"/>
      <c r="GF2301" s="4"/>
      <c r="GG2301" s="4"/>
      <c r="GH2301" s="4"/>
      <c r="GI2301" s="4"/>
      <c r="GJ2301" s="4"/>
      <c r="GK2301" s="4"/>
      <c r="GL2301" s="4"/>
      <c r="GM2301" s="4"/>
      <c r="GN2301" s="4"/>
      <c r="GO2301" s="4"/>
      <c r="GP2301" s="4"/>
      <c r="GQ2301" s="4"/>
      <c r="GR2301" s="4"/>
      <c r="GS2301" s="4"/>
      <c r="GT2301" s="4"/>
      <c r="GU2301" s="4"/>
      <c r="GV2301" s="4"/>
      <c r="GW2301" s="4"/>
      <c r="GX2301" s="4"/>
      <c r="GY2301" s="4"/>
      <c r="GZ2301" s="4"/>
      <c r="HA2301" s="4"/>
      <c r="HB2301" s="4"/>
      <c r="HC2301" s="4"/>
      <c r="HD2301" s="4"/>
      <c r="HE2301" s="4"/>
    </row>
    <row r="2302">
      <c r="A2302" s="2" t="s">
        <v>10773</v>
      </c>
      <c r="B2302" s="2" t="s">
        <v>223</v>
      </c>
      <c r="C2302" s="2" t="s">
        <v>3635</v>
      </c>
      <c r="D2302" s="2" t="s">
        <v>1407</v>
      </c>
      <c r="E2302" s="2" t="s">
        <v>6106</v>
      </c>
      <c r="F2302" s="2" t="s">
        <v>10716</v>
      </c>
      <c r="G2302" s="2" t="s">
        <v>10716</v>
      </c>
      <c r="H2302" s="2" t="s">
        <v>10716</v>
      </c>
      <c r="I2302" s="2" t="s">
        <v>10717</v>
      </c>
      <c r="J2302" s="2" t="s">
        <v>294</v>
      </c>
      <c r="K2302" s="2" t="s">
        <v>10767</v>
      </c>
      <c r="L2302" s="3">
        <v>89.45</v>
      </c>
      <c r="M2302" s="3">
        <v>93.92</v>
      </c>
      <c r="N2302" s="3">
        <v>139.99</v>
      </c>
      <c r="O2302" s="2" t="s">
        <v>461</v>
      </c>
      <c r="P2302" s="2" t="s">
        <v>1116</v>
      </c>
      <c r="Q2302" s="2" t="s">
        <v>234</v>
      </c>
      <c r="R2302" s="2" t="s">
        <v>727</v>
      </c>
      <c r="S2302" s="2" t="s">
        <v>228</v>
      </c>
      <c r="T2302" s="2" t="s">
        <v>228</v>
      </c>
      <c r="U2302" s="2" t="s">
        <v>416</v>
      </c>
      <c r="V2302" s="2" t="s">
        <v>236</v>
      </c>
      <c r="W2302" s="2" t="s">
        <v>228</v>
      </c>
      <c r="X2302" s="2" t="s">
        <v>228</v>
      </c>
      <c r="Y2302" s="2" t="s">
        <v>2773</v>
      </c>
      <c r="Z2302" s="4">
        <v>203</v>
      </c>
      <c r="AA2302" s="4">
        <f>=ROUNDDOWN(203,0)</f>
      </c>
      <c r="AB2302" s="5">
        <v>1</v>
      </c>
      <c r="AC2302" s="2" t="s">
        <v>228</v>
      </c>
      <c r="AD2302" s="4"/>
      <c r="AE2302" s="4"/>
      <c r="AF2302" s="6">
        <v>65</v>
      </c>
      <c r="AG2302" s="6"/>
      <c r="AH2302" s="7">
        <v>1</v>
      </c>
      <c r="AI2302" s="4"/>
      <c r="AJ2302" s="4">
        <f>=ROUNDDOWN({0},0)</f>
      </c>
      <c r="AK2302" s="5"/>
      <c r="AL2302" s="2" t="s">
        <v>228</v>
      </c>
      <c r="AM2302" s="4"/>
      <c r="AN2302" s="4"/>
      <c r="AO2302" s="7"/>
      <c r="AP2302" s="4"/>
      <c r="AQ2302" s="8"/>
      <c r="AR2302" s="4"/>
      <c r="AS2302" s="8"/>
      <c r="AT2302" s="7"/>
      <c r="AU2302" s="7"/>
      <c r="AV2302" s="4" t="s">
        <v>228</v>
      </c>
      <c r="AW2302" s="8" t="s">
        <v>228</v>
      </c>
      <c r="AX2302" s="4" t="s">
        <v>228</v>
      </c>
      <c r="AY2302" s="8" t="s">
        <v>228</v>
      </c>
      <c r="AZ2302" s="7" t="s">
        <v>228</v>
      </c>
      <c r="BA2302" s="7" t="s">
        <v>228</v>
      </c>
      <c r="BB2302" s="7"/>
      <c r="BC2302" s="4" t="s">
        <v>228</v>
      </c>
      <c r="BD2302" s="8" t="s">
        <v>228</v>
      </c>
      <c r="BE2302" s="4" t="s">
        <v>228</v>
      </c>
      <c r="BF2302" s="8" t="s">
        <v>228</v>
      </c>
      <c r="BG2302" s="7" t="s">
        <v>228</v>
      </c>
      <c r="BH2302" s="7" t="s">
        <v>228</v>
      </c>
      <c r="BI2302" s="7"/>
      <c r="BJ2302" s="4"/>
      <c r="BK2302" s="8"/>
      <c r="BL2302" s="2" t="s">
        <v>228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10774</v>
      </c>
      <c r="BV2302" s="2" t="s">
        <v>228</v>
      </c>
      <c r="BW2302" s="2" t="s">
        <v>228</v>
      </c>
      <c r="BX2302" s="2" t="s">
        <v>273</v>
      </c>
      <c r="BY2302" s="2" t="s">
        <v>274</v>
      </c>
      <c r="BZ2302" s="2" t="s">
        <v>240</v>
      </c>
      <c r="CA2302" s="2" t="s">
        <v>1554</v>
      </c>
      <c r="CB2302" s="2" t="s">
        <v>228</v>
      </c>
      <c r="CC2302" s="2" t="s">
        <v>241</v>
      </c>
      <c r="CD2302" s="2" t="s">
        <v>228</v>
      </c>
      <c r="CE2302" s="4">
        <v>203</v>
      </c>
      <c r="CF2302" s="4"/>
      <c r="CG2302" s="4"/>
      <c r="CH2302" s="4"/>
      <c r="CI2302" s="4"/>
      <c r="CJ2302" s="4"/>
      <c r="CK2302" s="4"/>
      <c r="CL2302" s="4"/>
      <c r="CM2302" s="4"/>
      <c r="CN2302" s="4"/>
      <c r="CO2302" s="4"/>
      <c r="CP2302" s="4"/>
      <c r="CQ2302" s="4"/>
      <c r="CR2302" s="4"/>
      <c r="CS2302" s="4"/>
      <c r="CT2302" s="4"/>
      <c r="CU2302" s="4"/>
      <c r="CV2302" s="4"/>
      <c r="CW2302" s="4"/>
      <c r="CX2302" s="4"/>
      <c r="CY2302" s="4"/>
      <c r="CZ2302" s="4"/>
      <c r="DA2302" s="4"/>
      <c r="DB2302" s="4"/>
      <c r="DC2302" s="4"/>
      <c r="DD2302" s="4"/>
      <c r="DE2302" s="4"/>
      <c r="DF2302" s="4"/>
      <c r="DG2302" s="4"/>
      <c r="DH2302" s="4"/>
      <c r="DI2302" s="4"/>
      <c r="DJ2302" s="4"/>
      <c r="DK2302" s="4"/>
      <c r="DL2302" s="4"/>
      <c r="DM2302" s="4"/>
      <c r="DN2302" s="4"/>
      <c r="DO2302" s="4"/>
      <c r="DP2302" s="4"/>
      <c r="DQ2302" s="4"/>
      <c r="DR2302" s="4"/>
      <c r="DS2302" s="4"/>
      <c r="DT2302" s="4"/>
      <c r="DU2302" s="4"/>
      <c r="DV2302" s="4"/>
      <c r="DW2302" s="4"/>
      <c r="DX2302" s="4"/>
      <c r="DY2302" s="4"/>
      <c r="DZ2302" s="4"/>
      <c r="EA2302" s="4"/>
      <c r="EB2302" s="4"/>
      <c r="EC2302" s="4"/>
      <c r="ED2302" s="4"/>
      <c r="EE2302" s="4"/>
      <c r="EF2302" s="4"/>
      <c r="EG2302" s="4"/>
      <c r="EH2302" s="4"/>
      <c r="EI2302" s="4"/>
      <c r="EJ2302" s="4"/>
      <c r="EK2302" s="4"/>
      <c r="EL2302" s="4"/>
      <c r="EM2302" s="4"/>
      <c r="EN2302" s="4"/>
      <c r="EO2302" s="4"/>
      <c r="EP2302" s="4"/>
      <c r="EQ2302" s="4"/>
      <c r="ER2302" s="4"/>
      <c r="ES2302" s="4"/>
      <c r="ET2302" s="4"/>
      <c r="EU2302" s="4"/>
      <c r="EV2302" s="4"/>
      <c r="EW2302" s="4"/>
      <c r="EX2302" s="4"/>
      <c r="EY2302" s="4"/>
      <c r="EZ2302" s="4"/>
      <c r="FA2302" s="4"/>
      <c r="FB2302" s="4"/>
      <c r="FC2302" s="4"/>
      <c r="FD2302" s="4"/>
      <c r="FE2302" s="4"/>
      <c r="FF2302" s="4"/>
      <c r="FG2302" s="4"/>
      <c r="FH2302" s="4"/>
      <c r="FI2302" s="4"/>
      <c r="FJ2302" s="4"/>
      <c r="FK2302" s="4"/>
      <c r="FL2302" s="4"/>
      <c r="FM2302" s="4"/>
      <c r="FN2302" s="4"/>
      <c r="FO2302" s="4"/>
      <c r="FP2302" s="4"/>
      <c r="FQ2302" s="4"/>
      <c r="FR2302" s="4"/>
      <c r="FS2302" s="4"/>
      <c r="FT2302" s="4"/>
      <c r="FU2302" s="4"/>
      <c r="FV2302" s="4"/>
      <c r="FW2302" s="4"/>
      <c r="FX2302" s="4"/>
      <c r="FY2302" s="4"/>
      <c r="FZ2302" s="4"/>
      <c r="GA2302" s="4"/>
      <c r="GB2302" s="4"/>
      <c r="GC2302" s="4"/>
      <c r="GD2302" s="4"/>
      <c r="GE2302" s="4"/>
      <c r="GF2302" s="4"/>
      <c r="GG2302" s="4"/>
      <c r="GH2302" s="4"/>
      <c r="GI2302" s="4"/>
      <c r="GJ2302" s="4"/>
      <c r="GK2302" s="4"/>
      <c r="GL2302" s="4"/>
      <c r="GM2302" s="4"/>
      <c r="GN2302" s="4"/>
      <c r="GO2302" s="4"/>
      <c r="GP2302" s="4"/>
      <c r="GQ2302" s="4"/>
      <c r="GR2302" s="4"/>
      <c r="GS2302" s="4"/>
      <c r="GT2302" s="4"/>
      <c r="GU2302" s="4"/>
      <c r="GV2302" s="4"/>
      <c r="GW2302" s="4"/>
      <c r="GX2302" s="4"/>
      <c r="GY2302" s="4"/>
      <c r="GZ2302" s="4"/>
      <c r="HA2302" s="4"/>
      <c r="HB2302" s="4"/>
      <c r="HC2302" s="4"/>
      <c r="HD2302" s="4"/>
      <c r="HE2302" s="4"/>
    </row>
    <row r="2303">
      <c r="A2303" s="2" t="s">
        <v>10775</v>
      </c>
      <c r="B2303" s="2" t="s">
        <v>834</v>
      </c>
      <c r="C2303" s="2" t="s">
        <v>835</v>
      </c>
      <c r="D2303" s="2" t="s">
        <v>1101</v>
      </c>
      <c r="E2303" s="2" t="s">
        <v>1102</v>
      </c>
      <c r="F2303" s="2" t="s">
        <v>10776</v>
      </c>
      <c r="G2303" s="2" t="s">
        <v>10776</v>
      </c>
      <c r="H2303" s="2" t="s">
        <v>10776</v>
      </c>
      <c r="I2303" s="2" t="s">
        <v>5256</v>
      </c>
      <c r="J2303" s="2" t="s">
        <v>840</v>
      </c>
      <c r="K2303" s="2" t="s">
        <v>316</v>
      </c>
      <c r="L2303" s="3">
        <v>39.2</v>
      </c>
      <c r="M2303" s="3">
        <v>41.16</v>
      </c>
      <c r="N2303" s="3">
        <v>79.99</v>
      </c>
      <c r="O2303" s="2" t="s">
        <v>240</v>
      </c>
      <c r="P2303" s="2" t="s">
        <v>233</v>
      </c>
      <c r="Q2303" s="2" t="s">
        <v>234</v>
      </c>
      <c r="R2303" s="2" t="s">
        <v>228</v>
      </c>
      <c r="S2303" s="2" t="s">
        <v>228</v>
      </c>
      <c r="T2303" s="2" t="s">
        <v>228</v>
      </c>
      <c r="U2303" s="2" t="s">
        <v>416</v>
      </c>
      <c r="V2303" s="2" t="s">
        <v>842</v>
      </c>
      <c r="W2303" s="2" t="s">
        <v>269</v>
      </c>
      <c r="X2303" s="2" t="s">
        <v>417</v>
      </c>
      <c r="Y2303" s="2" t="s">
        <v>10777</v>
      </c>
      <c r="Z2303" s="4">
        <v>100</v>
      </c>
      <c r="AA2303" s="4">
        <f>=ROUNDDOWN({0},0)</f>
      </c>
      <c r="AB2303" s="5"/>
      <c r="AC2303" s="2" t="s">
        <v>228</v>
      </c>
      <c r="AD2303" s="4"/>
      <c r="AE2303" s="4"/>
      <c r="AF2303" s="6">
        <v>65</v>
      </c>
      <c r="AG2303" s="6"/>
      <c r="AH2303" s="7">
        <v>1</v>
      </c>
      <c r="AI2303" s="4"/>
      <c r="AJ2303" s="4">
        <f>=ROUNDDOWN({0},0)</f>
      </c>
      <c r="AK2303" s="5"/>
      <c r="AL2303" s="2" t="s">
        <v>228</v>
      </c>
      <c r="AM2303" s="4"/>
      <c r="AN2303" s="4"/>
      <c r="AO2303" s="7"/>
      <c r="AP2303" s="4"/>
      <c r="AQ2303" s="8"/>
      <c r="AR2303" s="4"/>
      <c r="AS2303" s="8"/>
      <c r="AT2303" s="7"/>
      <c r="AU2303" s="7"/>
      <c r="AV2303" s="4"/>
      <c r="AW2303" s="8"/>
      <c r="AX2303" s="4"/>
      <c r="AY2303" s="8"/>
      <c r="AZ2303" s="7"/>
      <c r="BA2303" s="7"/>
      <c r="BB2303" s="7"/>
      <c r="BC2303" s="4"/>
      <c r="BD2303" s="8"/>
      <c r="BE2303" s="4"/>
      <c r="BF2303" s="8"/>
      <c r="BG2303" s="7"/>
      <c r="BH2303" s="7"/>
      <c r="BI2303" s="7"/>
      <c r="BJ2303" s="4"/>
      <c r="BK2303" s="8"/>
      <c r="BL2303" s="2" t="s">
        <v>228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10778</v>
      </c>
      <c r="BV2303" s="2" t="s">
        <v>228</v>
      </c>
      <c r="BW2303" s="2" t="s">
        <v>228</v>
      </c>
      <c r="BX2303" s="2" t="s">
        <v>238</v>
      </c>
      <c r="BY2303" s="2" t="s">
        <v>274</v>
      </c>
      <c r="BZ2303" s="2" t="s">
        <v>240</v>
      </c>
      <c r="CA2303" s="2" t="s">
        <v>228</v>
      </c>
      <c r="CB2303" s="2" t="s">
        <v>228</v>
      </c>
      <c r="CC2303" s="2" t="s">
        <v>241</v>
      </c>
      <c r="CD2303" s="2" t="s">
        <v>228</v>
      </c>
      <c r="CE2303" s="4"/>
      <c r="CF2303" s="4">
        <v>100</v>
      </c>
      <c r="CG2303" s="4"/>
      <c r="CH2303" s="4"/>
      <c r="CI2303" s="4"/>
      <c r="CJ2303" s="4"/>
      <c r="CK2303" s="4"/>
      <c r="CL2303" s="4"/>
      <c r="CM2303" s="4"/>
      <c r="CN2303" s="4"/>
      <c r="CO2303" s="4"/>
      <c r="CP2303" s="4"/>
      <c r="CQ2303" s="4"/>
      <c r="CR2303" s="4"/>
      <c r="CS2303" s="4"/>
      <c r="CT2303" s="4"/>
      <c r="CU2303" s="4"/>
      <c r="CV2303" s="4"/>
      <c r="CW2303" s="4"/>
      <c r="CX2303" s="4"/>
      <c r="CY2303" s="4"/>
      <c r="CZ2303" s="4"/>
      <c r="DA2303" s="4"/>
      <c r="DB2303" s="4"/>
      <c r="DC2303" s="4"/>
      <c r="DD2303" s="4"/>
      <c r="DE2303" s="4"/>
      <c r="DF2303" s="4"/>
      <c r="DG2303" s="4"/>
      <c r="DH2303" s="4"/>
      <c r="DI2303" s="4"/>
      <c r="DJ2303" s="4"/>
      <c r="DK2303" s="4"/>
      <c r="DL2303" s="4"/>
      <c r="DM2303" s="4"/>
      <c r="DN2303" s="4"/>
      <c r="DO2303" s="4"/>
      <c r="DP2303" s="4"/>
      <c r="DQ2303" s="4"/>
      <c r="DR2303" s="4"/>
      <c r="DS2303" s="4"/>
      <c r="DT2303" s="4"/>
      <c r="DU2303" s="4"/>
      <c r="DV2303" s="4"/>
      <c r="DW2303" s="4"/>
      <c r="DX2303" s="4"/>
      <c r="DY2303" s="4"/>
      <c r="DZ2303" s="4"/>
      <c r="EA2303" s="4"/>
      <c r="EB2303" s="4"/>
      <c r="EC2303" s="4"/>
      <c r="ED2303" s="4"/>
      <c r="EE2303" s="4"/>
      <c r="EF2303" s="4"/>
      <c r="EG2303" s="4"/>
      <c r="EH2303" s="4"/>
      <c r="EI2303" s="4"/>
      <c r="EJ2303" s="4"/>
      <c r="EK2303" s="4"/>
      <c r="EL2303" s="4"/>
      <c r="EM2303" s="4"/>
      <c r="EN2303" s="4"/>
      <c r="EO2303" s="4"/>
      <c r="EP2303" s="4"/>
      <c r="EQ2303" s="4"/>
      <c r="ER2303" s="4"/>
      <c r="ES2303" s="4"/>
      <c r="ET2303" s="4"/>
      <c r="EU2303" s="4"/>
      <c r="EV2303" s="4"/>
      <c r="EW2303" s="4"/>
      <c r="EX2303" s="4"/>
      <c r="EY2303" s="4"/>
      <c r="EZ2303" s="4"/>
      <c r="FA2303" s="4"/>
      <c r="FB2303" s="4"/>
      <c r="FC2303" s="4"/>
      <c r="FD2303" s="4"/>
      <c r="FE2303" s="4"/>
      <c r="FF2303" s="4"/>
      <c r="FG2303" s="4"/>
      <c r="FH2303" s="4"/>
      <c r="FI2303" s="4"/>
      <c r="FJ2303" s="4"/>
      <c r="FK2303" s="4"/>
      <c r="FL2303" s="4"/>
      <c r="FM2303" s="4"/>
      <c r="FN2303" s="4"/>
      <c r="FO2303" s="4"/>
      <c r="FP2303" s="4"/>
      <c r="FQ2303" s="4"/>
      <c r="FR2303" s="4"/>
      <c r="FS2303" s="4"/>
      <c r="FT2303" s="4"/>
      <c r="FU2303" s="4"/>
      <c r="FV2303" s="4"/>
      <c r="FW2303" s="4"/>
      <c r="FX2303" s="4"/>
      <c r="FY2303" s="4"/>
      <c r="FZ2303" s="4"/>
      <c r="GA2303" s="4"/>
      <c r="GB2303" s="4"/>
      <c r="GC2303" s="4"/>
      <c r="GD2303" s="4"/>
      <c r="GE2303" s="4"/>
      <c r="GF2303" s="4"/>
      <c r="GG2303" s="4"/>
      <c r="GH2303" s="4"/>
      <c r="GI2303" s="4"/>
      <c r="GJ2303" s="4"/>
      <c r="GK2303" s="4"/>
      <c r="GL2303" s="4"/>
      <c r="GM2303" s="4"/>
      <c r="GN2303" s="4"/>
      <c r="GO2303" s="4"/>
      <c r="GP2303" s="4"/>
      <c r="GQ2303" s="4"/>
      <c r="GR2303" s="4"/>
      <c r="GS2303" s="4"/>
      <c r="GT2303" s="4"/>
      <c r="GU2303" s="4"/>
      <c r="GV2303" s="4"/>
      <c r="GW2303" s="4"/>
      <c r="GX2303" s="4"/>
      <c r="GY2303" s="4"/>
      <c r="GZ2303" s="4"/>
      <c r="HA2303" s="4"/>
      <c r="HB2303" s="4"/>
      <c r="HC2303" s="4"/>
      <c r="HD2303" s="4"/>
      <c r="HE2303" s="4"/>
    </row>
    <row r="2304">
      <c r="A2304" s="2" t="s">
        <v>10779</v>
      </c>
      <c r="B2304" s="2" t="s">
        <v>1196</v>
      </c>
      <c r="C2304" s="2" t="s">
        <v>1197</v>
      </c>
      <c r="D2304" s="2" t="s">
        <v>1198</v>
      </c>
      <c r="E2304" s="2" t="s">
        <v>1199</v>
      </c>
      <c r="F2304" s="2" t="s">
        <v>10780</v>
      </c>
      <c r="G2304" s="2" t="s">
        <v>10780</v>
      </c>
      <c r="H2304" s="2" t="s">
        <v>10780</v>
      </c>
      <c r="I2304" s="2" t="s">
        <v>10781</v>
      </c>
      <c r="J2304" s="2" t="s">
        <v>2536</v>
      </c>
      <c r="K2304" s="2" t="s">
        <v>3761</v>
      </c>
      <c r="L2304" s="3">
        <v>9.27</v>
      </c>
      <c r="M2304" s="3">
        <v>9.73</v>
      </c>
      <c r="N2304" s="3">
        <v>19.99</v>
      </c>
      <c r="O2304" s="2" t="s">
        <v>240</v>
      </c>
      <c r="P2304" s="2" t="s">
        <v>889</v>
      </c>
      <c r="Q2304" s="2" t="s">
        <v>234</v>
      </c>
      <c r="R2304" s="2" t="s">
        <v>228</v>
      </c>
      <c r="S2304" s="2" t="s">
        <v>228</v>
      </c>
      <c r="T2304" s="2" t="s">
        <v>228</v>
      </c>
      <c r="U2304" s="2" t="s">
        <v>416</v>
      </c>
      <c r="V2304" s="2" t="s">
        <v>842</v>
      </c>
      <c r="W2304" s="2" t="s">
        <v>269</v>
      </c>
      <c r="X2304" s="2" t="s">
        <v>228</v>
      </c>
      <c r="Y2304" s="2" t="s">
        <v>2850</v>
      </c>
      <c r="Z2304" s="4">
        <v>83</v>
      </c>
      <c r="AA2304" s="4">
        <f>=ROUNDDOWN(3.77272727272727,0)</f>
      </c>
      <c r="AB2304" s="5">
        <v>22</v>
      </c>
      <c r="AC2304" s="2" t="s">
        <v>156</v>
      </c>
      <c r="AD2304" s="4">
        <v>552</v>
      </c>
      <c r="AE2304" s="4">
        <v>642</v>
      </c>
      <c r="AF2304" s="6">
        <v>65</v>
      </c>
      <c r="AG2304" s="6"/>
      <c r="AH2304" s="7">
        <v>0.3871</v>
      </c>
      <c r="AI2304" s="4"/>
      <c r="AJ2304" s="4">
        <f>=ROUNDDOWN({0},0)</f>
      </c>
      <c r="AK2304" s="5"/>
      <c r="AL2304" s="2" t="s">
        <v>228</v>
      </c>
      <c r="AM2304" s="4"/>
      <c r="AN2304" s="4"/>
      <c r="AO2304" s="7"/>
      <c r="AP2304" s="4"/>
      <c r="AQ2304" s="8"/>
      <c r="AR2304" s="4"/>
      <c r="AS2304" s="8"/>
      <c r="AT2304" s="7"/>
      <c r="AU2304" s="7"/>
      <c r="AV2304" s="4" t="s">
        <v>228</v>
      </c>
      <c r="AW2304" s="8" t="s">
        <v>228</v>
      </c>
      <c r="AX2304" s="4" t="s">
        <v>228</v>
      </c>
      <c r="AY2304" s="8" t="s">
        <v>228</v>
      </c>
      <c r="AZ2304" s="7" t="s">
        <v>228</v>
      </c>
      <c r="BA2304" s="7" t="s">
        <v>228</v>
      </c>
      <c r="BB2304" s="7"/>
      <c r="BC2304" s="4" t="s">
        <v>228</v>
      </c>
      <c r="BD2304" s="8" t="s">
        <v>228</v>
      </c>
      <c r="BE2304" s="4" t="s">
        <v>228</v>
      </c>
      <c r="BF2304" s="8" t="s">
        <v>228</v>
      </c>
      <c r="BG2304" s="7" t="s">
        <v>228</v>
      </c>
      <c r="BH2304" s="7" t="s">
        <v>228</v>
      </c>
      <c r="BI2304" s="7"/>
      <c r="BJ2304" s="4">
        <v>30</v>
      </c>
      <c r="BK2304" s="8">
        <v>319.8</v>
      </c>
      <c r="BL2304" s="2" t="s">
        <v>1222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10782</v>
      </c>
      <c r="BV2304" s="2" t="s">
        <v>228</v>
      </c>
      <c r="BW2304" s="2" t="s">
        <v>228</v>
      </c>
      <c r="BX2304" s="2" t="s">
        <v>273</v>
      </c>
      <c r="BY2304" s="2" t="s">
        <v>274</v>
      </c>
      <c r="BZ2304" s="2" t="s">
        <v>240</v>
      </c>
      <c r="CA2304" s="2" t="s">
        <v>6481</v>
      </c>
      <c r="CB2304" s="2" t="s">
        <v>228</v>
      </c>
      <c r="CC2304" s="2" t="s">
        <v>241</v>
      </c>
      <c r="CD2304" s="2" t="s">
        <v>228</v>
      </c>
      <c r="CE2304" s="4">
        <v>78</v>
      </c>
      <c r="CF2304" s="4">
        <v>3</v>
      </c>
      <c r="CG2304" s="4"/>
      <c r="CH2304" s="4">
        <v>2</v>
      </c>
      <c r="CI2304" s="4"/>
      <c r="CJ2304" s="4"/>
      <c r="CK2304" s="4"/>
      <c r="CL2304" s="4"/>
      <c r="CM2304" s="4"/>
      <c r="CN2304" s="4"/>
      <c r="CO2304" s="4"/>
      <c r="CP2304" s="4"/>
      <c r="CQ2304" s="4"/>
      <c r="CR2304" s="4"/>
      <c r="CS2304" s="4"/>
      <c r="CT2304" s="4"/>
      <c r="CU2304" s="4"/>
      <c r="CV2304" s="4"/>
      <c r="CW2304" s="4"/>
      <c r="CX2304" s="4"/>
      <c r="CY2304" s="4"/>
      <c r="CZ2304" s="4"/>
      <c r="DA2304" s="4"/>
      <c r="DB2304" s="4"/>
      <c r="DC2304" s="4"/>
      <c r="DD2304" s="4"/>
      <c r="DE2304" s="4"/>
      <c r="DF2304" s="4"/>
      <c r="DG2304" s="4"/>
      <c r="DH2304" s="4"/>
      <c r="DI2304" s="4"/>
      <c r="DJ2304" s="4"/>
      <c r="DK2304" s="4"/>
      <c r="DL2304" s="4"/>
      <c r="DM2304" s="4"/>
      <c r="DN2304" s="4"/>
      <c r="DO2304" s="4"/>
      <c r="DP2304" s="4"/>
      <c r="DQ2304" s="4"/>
      <c r="DR2304" s="4"/>
      <c r="DS2304" s="4"/>
      <c r="DT2304" s="4"/>
      <c r="DU2304" s="4"/>
      <c r="DV2304" s="4"/>
      <c r="DW2304" s="4"/>
      <c r="DX2304" s="4"/>
      <c r="DY2304" s="4"/>
      <c r="DZ2304" s="4"/>
      <c r="EA2304" s="4"/>
      <c r="EB2304" s="4"/>
      <c r="EC2304" s="4"/>
      <c r="ED2304" s="4"/>
      <c r="EE2304" s="4"/>
      <c r="EF2304" s="4"/>
      <c r="EG2304" s="4"/>
      <c r="EH2304" s="4"/>
      <c r="EI2304" s="4"/>
      <c r="EJ2304" s="4"/>
      <c r="EK2304" s="4"/>
      <c r="EL2304" s="4"/>
      <c r="EM2304" s="4"/>
      <c r="EN2304" s="4"/>
      <c r="EO2304" s="4"/>
      <c r="EP2304" s="4"/>
      <c r="EQ2304" s="4"/>
      <c r="ER2304" s="4">
        <v>552</v>
      </c>
      <c r="ES2304" s="4"/>
      <c r="ET2304" s="4"/>
      <c r="EU2304" s="4"/>
      <c r="EV2304" s="4"/>
      <c r="EW2304" s="4"/>
      <c r="EX2304" s="4"/>
      <c r="EY2304" s="4"/>
      <c r="EZ2304" s="4"/>
      <c r="FA2304" s="4"/>
      <c r="FB2304" s="4"/>
      <c r="FC2304" s="4"/>
      <c r="FD2304" s="4"/>
      <c r="FE2304" s="4"/>
      <c r="FF2304" s="4"/>
      <c r="FG2304" s="4"/>
      <c r="FH2304" s="4"/>
      <c r="FI2304" s="4"/>
      <c r="FJ2304" s="4"/>
      <c r="FK2304" s="4"/>
      <c r="FL2304" s="4"/>
      <c r="FM2304" s="4"/>
      <c r="FN2304" s="4"/>
      <c r="FO2304" s="4"/>
      <c r="FP2304" s="4"/>
      <c r="FQ2304" s="4"/>
      <c r="FR2304" s="4"/>
      <c r="FS2304" s="4"/>
      <c r="FT2304" s="4"/>
      <c r="FU2304" s="4"/>
      <c r="FV2304" s="4"/>
      <c r="FW2304" s="4"/>
      <c r="FX2304" s="4"/>
      <c r="FY2304" s="4"/>
      <c r="FZ2304" s="4"/>
      <c r="GA2304" s="4"/>
      <c r="GB2304" s="4"/>
      <c r="GC2304" s="4"/>
      <c r="GD2304" s="4"/>
      <c r="GE2304" s="4"/>
      <c r="GF2304" s="4"/>
      <c r="GG2304" s="4"/>
      <c r="GH2304" s="4"/>
      <c r="GI2304" s="4"/>
      <c r="GJ2304" s="4"/>
      <c r="GK2304" s="4"/>
      <c r="GL2304" s="4"/>
      <c r="GM2304" s="4"/>
      <c r="GN2304" s="4"/>
      <c r="GO2304" s="4"/>
      <c r="GP2304" s="4"/>
      <c r="GQ2304" s="4"/>
      <c r="GR2304" s="4"/>
      <c r="GS2304" s="4">
        <v>90</v>
      </c>
      <c r="GT2304" s="4"/>
      <c r="GU2304" s="4"/>
      <c r="GV2304" s="4"/>
      <c r="GW2304" s="4"/>
      <c r="GX2304" s="4"/>
      <c r="GY2304" s="4"/>
      <c r="GZ2304" s="4"/>
      <c r="HA2304" s="4"/>
      <c r="HB2304" s="4"/>
      <c r="HC2304" s="4"/>
      <c r="HD2304" s="4"/>
      <c r="HE2304" s="4"/>
    </row>
    <row r="2305">
      <c r="A2305" s="2" t="s">
        <v>10783</v>
      </c>
      <c r="B2305" s="2" t="s">
        <v>1196</v>
      </c>
      <c r="C2305" s="2" t="s">
        <v>1197</v>
      </c>
      <c r="D2305" s="2" t="s">
        <v>1198</v>
      </c>
      <c r="E2305" s="2" t="s">
        <v>1199</v>
      </c>
      <c r="F2305" s="2" t="s">
        <v>10780</v>
      </c>
      <c r="G2305" s="2" t="s">
        <v>10780</v>
      </c>
      <c r="H2305" s="2" t="s">
        <v>10780</v>
      </c>
      <c r="I2305" s="2" t="s">
        <v>10781</v>
      </c>
      <c r="J2305" s="2" t="s">
        <v>1202</v>
      </c>
      <c r="K2305" s="2" t="s">
        <v>3761</v>
      </c>
      <c r="L2305" s="3">
        <v>11.12</v>
      </c>
      <c r="M2305" s="3">
        <v>11.68</v>
      </c>
      <c r="N2305" s="3">
        <v>25.99</v>
      </c>
      <c r="O2305" s="2" t="s">
        <v>240</v>
      </c>
      <c r="P2305" s="2" t="s">
        <v>889</v>
      </c>
      <c r="Q2305" s="2" t="s">
        <v>234</v>
      </c>
      <c r="R2305" s="2" t="s">
        <v>228</v>
      </c>
      <c r="S2305" s="2" t="s">
        <v>228</v>
      </c>
      <c r="T2305" s="2" t="s">
        <v>228</v>
      </c>
      <c r="U2305" s="2" t="s">
        <v>416</v>
      </c>
      <c r="V2305" s="2" t="s">
        <v>842</v>
      </c>
      <c r="W2305" s="2" t="s">
        <v>269</v>
      </c>
      <c r="X2305" s="2" t="s">
        <v>228</v>
      </c>
      <c r="Y2305" s="2" t="s">
        <v>2850</v>
      </c>
      <c r="Z2305" s="4">
        <v>287</v>
      </c>
      <c r="AA2305" s="4">
        <f>=ROUNDDOWN(9.25806451612903,0)</f>
      </c>
      <c r="AB2305" s="5">
        <v>31</v>
      </c>
      <c r="AC2305" s="2" t="s">
        <v>156</v>
      </c>
      <c r="AD2305" s="4">
        <v>450</v>
      </c>
      <c r="AE2305" s="4">
        <v>720</v>
      </c>
      <c r="AF2305" s="6">
        <v>65</v>
      </c>
      <c r="AG2305" s="6"/>
      <c r="AH2305" s="7">
        <v>0.1613</v>
      </c>
      <c r="AI2305" s="4"/>
      <c r="AJ2305" s="4">
        <f>=ROUNDDOWN({0},0)</f>
      </c>
      <c r="AK2305" s="5"/>
      <c r="AL2305" s="2" t="s">
        <v>228</v>
      </c>
      <c r="AM2305" s="4"/>
      <c r="AN2305" s="4"/>
      <c r="AO2305" s="7"/>
      <c r="AP2305" s="4"/>
      <c r="AQ2305" s="8"/>
      <c r="AR2305" s="4"/>
      <c r="AS2305" s="8"/>
      <c r="AT2305" s="7"/>
      <c r="AU2305" s="7"/>
      <c r="AV2305" s="4" t="s">
        <v>228</v>
      </c>
      <c r="AW2305" s="8" t="s">
        <v>228</v>
      </c>
      <c r="AX2305" s="4" t="s">
        <v>228</v>
      </c>
      <c r="AY2305" s="8" t="s">
        <v>228</v>
      </c>
      <c r="AZ2305" s="7" t="s">
        <v>228</v>
      </c>
      <c r="BA2305" s="7" t="s">
        <v>228</v>
      </c>
      <c r="BB2305" s="7"/>
      <c r="BC2305" s="4" t="s">
        <v>228</v>
      </c>
      <c r="BD2305" s="8" t="s">
        <v>228</v>
      </c>
      <c r="BE2305" s="4" t="s">
        <v>228</v>
      </c>
      <c r="BF2305" s="8" t="s">
        <v>228</v>
      </c>
      <c r="BG2305" s="7" t="s">
        <v>228</v>
      </c>
      <c r="BH2305" s="7" t="s">
        <v>228</v>
      </c>
      <c r="BI2305" s="7"/>
      <c r="BJ2305" s="4">
        <v>5</v>
      </c>
      <c r="BK2305" s="8">
        <v>63.9</v>
      </c>
      <c r="BL2305" s="2" t="s">
        <v>3307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10784</v>
      </c>
      <c r="BV2305" s="2" t="s">
        <v>228</v>
      </c>
      <c r="BW2305" s="2" t="s">
        <v>228</v>
      </c>
      <c r="BX2305" s="2" t="s">
        <v>273</v>
      </c>
      <c r="BY2305" s="2" t="s">
        <v>274</v>
      </c>
      <c r="BZ2305" s="2" t="s">
        <v>240</v>
      </c>
      <c r="CA2305" s="2" t="s">
        <v>6481</v>
      </c>
      <c r="CB2305" s="2" t="s">
        <v>228</v>
      </c>
      <c r="CC2305" s="2" t="s">
        <v>241</v>
      </c>
      <c r="CD2305" s="2" t="s">
        <v>228</v>
      </c>
      <c r="CE2305" s="4">
        <v>285</v>
      </c>
      <c r="CF2305" s="4">
        <v>1</v>
      </c>
      <c r="CG2305" s="4"/>
      <c r="CH2305" s="4">
        <v>1</v>
      </c>
      <c r="CI2305" s="4"/>
      <c r="CJ2305" s="4"/>
      <c r="CK2305" s="4"/>
      <c r="CL2305" s="4"/>
      <c r="CM2305" s="4"/>
      <c r="CN2305" s="4"/>
      <c r="CO2305" s="4"/>
      <c r="CP2305" s="4"/>
      <c r="CQ2305" s="4"/>
      <c r="CR2305" s="4"/>
      <c r="CS2305" s="4"/>
      <c r="CT2305" s="4"/>
      <c r="CU2305" s="4"/>
      <c r="CV2305" s="4"/>
      <c r="CW2305" s="4"/>
      <c r="CX2305" s="4"/>
      <c r="CY2305" s="4"/>
      <c r="CZ2305" s="4"/>
      <c r="DA2305" s="4"/>
      <c r="DB2305" s="4"/>
      <c r="DC2305" s="4"/>
      <c r="DD2305" s="4"/>
      <c r="DE2305" s="4"/>
      <c r="DF2305" s="4"/>
      <c r="DG2305" s="4"/>
      <c r="DH2305" s="4"/>
      <c r="DI2305" s="4"/>
      <c r="DJ2305" s="4"/>
      <c r="DK2305" s="4"/>
      <c r="DL2305" s="4"/>
      <c r="DM2305" s="4"/>
      <c r="DN2305" s="4"/>
      <c r="DO2305" s="4"/>
      <c r="DP2305" s="4"/>
      <c r="DQ2305" s="4"/>
      <c r="DR2305" s="4"/>
      <c r="DS2305" s="4"/>
      <c r="DT2305" s="4"/>
      <c r="DU2305" s="4"/>
      <c r="DV2305" s="4"/>
      <c r="DW2305" s="4"/>
      <c r="DX2305" s="4"/>
      <c r="DY2305" s="4"/>
      <c r="DZ2305" s="4"/>
      <c r="EA2305" s="4"/>
      <c r="EB2305" s="4"/>
      <c r="EC2305" s="4"/>
      <c r="ED2305" s="4"/>
      <c r="EE2305" s="4"/>
      <c r="EF2305" s="4"/>
      <c r="EG2305" s="4"/>
      <c r="EH2305" s="4"/>
      <c r="EI2305" s="4"/>
      <c r="EJ2305" s="4"/>
      <c r="EK2305" s="4"/>
      <c r="EL2305" s="4"/>
      <c r="EM2305" s="4"/>
      <c r="EN2305" s="4"/>
      <c r="EO2305" s="4"/>
      <c r="EP2305" s="4"/>
      <c r="EQ2305" s="4"/>
      <c r="ER2305" s="4">
        <v>450</v>
      </c>
      <c r="ES2305" s="4"/>
      <c r="ET2305" s="4"/>
      <c r="EU2305" s="4"/>
      <c r="EV2305" s="4"/>
      <c r="EW2305" s="4"/>
      <c r="EX2305" s="4"/>
      <c r="EY2305" s="4"/>
      <c r="EZ2305" s="4"/>
      <c r="FA2305" s="4"/>
      <c r="FB2305" s="4"/>
      <c r="FC2305" s="4"/>
      <c r="FD2305" s="4"/>
      <c r="FE2305" s="4"/>
      <c r="FF2305" s="4"/>
      <c r="FG2305" s="4"/>
      <c r="FH2305" s="4"/>
      <c r="FI2305" s="4"/>
      <c r="FJ2305" s="4"/>
      <c r="FK2305" s="4"/>
      <c r="FL2305" s="4"/>
      <c r="FM2305" s="4"/>
      <c r="FN2305" s="4"/>
      <c r="FO2305" s="4"/>
      <c r="FP2305" s="4"/>
      <c r="FQ2305" s="4"/>
      <c r="FR2305" s="4"/>
      <c r="FS2305" s="4"/>
      <c r="FT2305" s="4"/>
      <c r="FU2305" s="4"/>
      <c r="FV2305" s="4"/>
      <c r="FW2305" s="4"/>
      <c r="FX2305" s="4"/>
      <c r="FY2305" s="4"/>
      <c r="FZ2305" s="4"/>
      <c r="GA2305" s="4"/>
      <c r="GB2305" s="4"/>
      <c r="GC2305" s="4"/>
      <c r="GD2305" s="4"/>
      <c r="GE2305" s="4"/>
      <c r="GF2305" s="4"/>
      <c r="GG2305" s="4"/>
      <c r="GH2305" s="4"/>
      <c r="GI2305" s="4"/>
      <c r="GJ2305" s="4"/>
      <c r="GK2305" s="4"/>
      <c r="GL2305" s="4"/>
      <c r="GM2305" s="4"/>
      <c r="GN2305" s="4"/>
      <c r="GO2305" s="4"/>
      <c r="GP2305" s="4"/>
      <c r="GQ2305" s="4"/>
      <c r="GR2305" s="4"/>
      <c r="GS2305" s="4">
        <v>270</v>
      </c>
      <c r="GT2305" s="4"/>
      <c r="GU2305" s="4"/>
      <c r="GV2305" s="4"/>
      <c r="GW2305" s="4"/>
      <c r="GX2305" s="4"/>
      <c r="GY2305" s="4"/>
      <c r="GZ2305" s="4"/>
      <c r="HA2305" s="4"/>
      <c r="HB2305" s="4"/>
      <c r="HC2305" s="4"/>
      <c r="HD2305" s="4"/>
      <c r="HE2305" s="4"/>
    </row>
    <row r="2306">
      <c r="A2306" s="2" t="s">
        <v>10785</v>
      </c>
      <c r="B2306" s="2" t="s">
        <v>1196</v>
      </c>
      <c r="C2306" s="2" t="s">
        <v>1197</v>
      </c>
      <c r="D2306" s="2" t="s">
        <v>1198</v>
      </c>
      <c r="E2306" s="2" t="s">
        <v>1199</v>
      </c>
      <c r="F2306" s="2" t="s">
        <v>10780</v>
      </c>
      <c r="G2306" s="2" t="s">
        <v>10780</v>
      </c>
      <c r="H2306" s="2" t="s">
        <v>10780</v>
      </c>
      <c r="I2306" s="2" t="s">
        <v>10781</v>
      </c>
      <c r="J2306" s="2" t="s">
        <v>1208</v>
      </c>
      <c r="K2306" s="2" t="s">
        <v>3761</v>
      </c>
      <c r="L2306" s="3">
        <v>14.04</v>
      </c>
      <c r="M2306" s="3">
        <v>14.74</v>
      </c>
      <c r="N2306" s="3">
        <v>29.99</v>
      </c>
      <c r="O2306" s="2" t="s">
        <v>240</v>
      </c>
      <c r="P2306" s="2" t="s">
        <v>889</v>
      </c>
      <c r="Q2306" s="2" t="s">
        <v>234</v>
      </c>
      <c r="R2306" s="2" t="s">
        <v>228</v>
      </c>
      <c r="S2306" s="2" t="s">
        <v>228</v>
      </c>
      <c r="T2306" s="2" t="s">
        <v>228</v>
      </c>
      <c r="U2306" s="2" t="s">
        <v>416</v>
      </c>
      <c r="V2306" s="2" t="s">
        <v>842</v>
      </c>
      <c r="W2306" s="2" t="s">
        <v>269</v>
      </c>
      <c r="X2306" s="2" t="s">
        <v>228</v>
      </c>
      <c r="Y2306" s="2" t="s">
        <v>2850</v>
      </c>
      <c r="Z2306" s="4">
        <v>744</v>
      </c>
      <c r="AA2306" s="4">
        <f>=ROUNDDOWN(72.2330097087379,0)</f>
      </c>
      <c r="AB2306" s="5">
        <v>10.3</v>
      </c>
      <c r="AC2306" s="2" t="s">
        <v>228</v>
      </c>
      <c r="AD2306" s="4"/>
      <c r="AE2306" s="4"/>
      <c r="AF2306" s="6">
        <v>65</v>
      </c>
      <c r="AG2306" s="6"/>
      <c r="AH2306" s="7">
        <v>1</v>
      </c>
      <c r="AI2306" s="4"/>
      <c r="AJ2306" s="4">
        <f>=ROUNDDOWN({0},0)</f>
      </c>
      <c r="AK2306" s="5"/>
      <c r="AL2306" s="2" t="s">
        <v>228</v>
      </c>
      <c r="AM2306" s="4"/>
      <c r="AN2306" s="4"/>
      <c r="AO2306" s="7"/>
      <c r="AP2306" s="4"/>
      <c r="AQ2306" s="8"/>
      <c r="AR2306" s="4"/>
      <c r="AS2306" s="8"/>
      <c r="AT2306" s="7"/>
      <c r="AU2306" s="7"/>
      <c r="AV2306" s="4" t="s">
        <v>228</v>
      </c>
      <c r="AW2306" s="8" t="s">
        <v>228</v>
      </c>
      <c r="AX2306" s="4" t="s">
        <v>228</v>
      </c>
      <c r="AY2306" s="8" t="s">
        <v>228</v>
      </c>
      <c r="AZ2306" s="7" t="s">
        <v>228</v>
      </c>
      <c r="BA2306" s="7" t="s">
        <v>228</v>
      </c>
      <c r="BB2306" s="7"/>
      <c r="BC2306" s="4" t="s">
        <v>228</v>
      </c>
      <c r="BD2306" s="8" t="s">
        <v>228</v>
      </c>
      <c r="BE2306" s="4" t="s">
        <v>228</v>
      </c>
      <c r="BF2306" s="8" t="s">
        <v>228</v>
      </c>
      <c r="BG2306" s="7" t="s">
        <v>228</v>
      </c>
      <c r="BH2306" s="7" t="s">
        <v>228</v>
      </c>
      <c r="BI2306" s="7"/>
      <c r="BJ2306" s="4">
        <v>1</v>
      </c>
      <c r="BK2306" s="8">
        <v>14.74</v>
      </c>
      <c r="BL2306" s="2" t="s">
        <v>3307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10786</v>
      </c>
      <c r="BV2306" s="2" t="s">
        <v>228</v>
      </c>
      <c r="BW2306" s="2" t="s">
        <v>228</v>
      </c>
      <c r="BX2306" s="2" t="s">
        <v>273</v>
      </c>
      <c r="BY2306" s="2" t="s">
        <v>274</v>
      </c>
      <c r="BZ2306" s="2" t="s">
        <v>240</v>
      </c>
      <c r="CA2306" s="2" t="s">
        <v>6481</v>
      </c>
      <c r="CB2306" s="2" t="s">
        <v>228</v>
      </c>
      <c r="CC2306" s="2" t="s">
        <v>241</v>
      </c>
      <c r="CD2306" s="2" t="s">
        <v>228</v>
      </c>
      <c r="CE2306" s="4">
        <v>360</v>
      </c>
      <c r="CF2306" s="4">
        <v>209</v>
      </c>
      <c r="CG2306" s="4"/>
      <c r="CH2306" s="4">
        <v>175</v>
      </c>
      <c r="CI2306" s="4"/>
      <c r="CJ2306" s="4"/>
      <c r="CK2306" s="4"/>
      <c r="CL2306" s="4"/>
      <c r="CM2306" s="4"/>
      <c r="CN2306" s="4"/>
      <c r="CO2306" s="4"/>
      <c r="CP2306" s="4"/>
      <c r="CQ2306" s="4"/>
      <c r="CR2306" s="4"/>
      <c r="CS2306" s="4"/>
      <c r="CT2306" s="4"/>
      <c r="CU2306" s="4"/>
      <c r="CV2306" s="4"/>
      <c r="CW2306" s="4"/>
      <c r="CX2306" s="4"/>
      <c r="CY2306" s="4"/>
      <c r="CZ2306" s="4"/>
      <c r="DA2306" s="4"/>
      <c r="DB2306" s="4"/>
      <c r="DC2306" s="4"/>
      <c r="DD2306" s="4"/>
      <c r="DE2306" s="4"/>
      <c r="DF2306" s="4"/>
      <c r="DG2306" s="4"/>
      <c r="DH2306" s="4"/>
      <c r="DI2306" s="4"/>
      <c r="DJ2306" s="4"/>
      <c r="DK2306" s="4"/>
      <c r="DL2306" s="4"/>
      <c r="DM2306" s="4"/>
      <c r="DN2306" s="4"/>
      <c r="DO2306" s="4"/>
      <c r="DP2306" s="4"/>
      <c r="DQ2306" s="4"/>
      <c r="DR2306" s="4"/>
      <c r="DS2306" s="4"/>
      <c r="DT2306" s="4"/>
      <c r="DU2306" s="4"/>
      <c r="DV2306" s="4"/>
      <c r="DW2306" s="4"/>
      <c r="DX2306" s="4"/>
      <c r="DY2306" s="4"/>
      <c r="DZ2306" s="4"/>
      <c r="EA2306" s="4"/>
      <c r="EB2306" s="4"/>
      <c r="EC2306" s="4"/>
      <c r="ED2306" s="4"/>
      <c r="EE2306" s="4"/>
      <c r="EF2306" s="4"/>
      <c r="EG2306" s="4"/>
      <c r="EH2306" s="4"/>
      <c r="EI2306" s="4"/>
      <c r="EJ2306" s="4"/>
      <c r="EK2306" s="4"/>
      <c r="EL2306" s="4"/>
      <c r="EM2306" s="4"/>
      <c r="EN2306" s="4"/>
      <c r="EO2306" s="4"/>
      <c r="EP2306" s="4"/>
      <c r="EQ2306" s="4"/>
      <c r="ER2306" s="4"/>
      <c r="ES2306" s="4"/>
      <c r="ET2306" s="4"/>
      <c r="EU2306" s="4"/>
      <c r="EV2306" s="4"/>
      <c r="EW2306" s="4"/>
      <c r="EX2306" s="4"/>
      <c r="EY2306" s="4"/>
      <c r="EZ2306" s="4"/>
      <c r="FA2306" s="4"/>
      <c r="FB2306" s="4"/>
      <c r="FC2306" s="4"/>
      <c r="FD2306" s="4"/>
      <c r="FE2306" s="4"/>
      <c r="FF2306" s="4"/>
      <c r="FG2306" s="4"/>
      <c r="FH2306" s="4"/>
      <c r="FI2306" s="4"/>
      <c r="FJ2306" s="4"/>
      <c r="FK2306" s="4"/>
      <c r="FL2306" s="4"/>
      <c r="FM2306" s="4"/>
      <c r="FN2306" s="4"/>
      <c r="FO2306" s="4"/>
      <c r="FP2306" s="4"/>
      <c r="FQ2306" s="4"/>
      <c r="FR2306" s="4"/>
      <c r="FS2306" s="4"/>
      <c r="FT2306" s="4"/>
      <c r="FU2306" s="4"/>
      <c r="FV2306" s="4"/>
      <c r="FW2306" s="4"/>
      <c r="FX2306" s="4"/>
      <c r="FY2306" s="4"/>
      <c r="FZ2306" s="4"/>
      <c r="GA2306" s="4"/>
      <c r="GB2306" s="4"/>
      <c r="GC2306" s="4"/>
      <c r="GD2306" s="4"/>
      <c r="GE2306" s="4"/>
      <c r="GF2306" s="4"/>
      <c r="GG2306" s="4"/>
      <c r="GH2306" s="4"/>
      <c r="GI2306" s="4"/>
      <c r="GJ2306" s="4"/>
      <c r="GK2306" s="4"/>
      <c r="GL2306" s="4"/>
      <c r="GM2306" s="4"/>
      <c r="GN2306" s="4"/>
      <c r="GO2306" s="4"/>
      <c r="GP2306" s="4"/>
      <c r="GQ2306" s="4"/>
      <c r="GR2306" s="4"/>
      <c r="GS2306" s="4"/>
      <c r="GT2306" s="4"/>
      <c r="GU2306" s="4"/>
      <c r="GV2306" s="4"/>
      <c r="GW2306" s="4"/>
      <c r="GX2306" s="4"/>
      <c r="GY2306" s="4"/>
      <c r="GZ2306" s="4"/>
      <c r="HA2306" s="4"/>
      <c r="HB2306" s="4"/>
      <c r="HC2306" s="4"/>
      <c r="HD2306" s="4"/>
      <c r="HE2306" s="4"/>
    </row>
    <row r="2307">
      <c r="A2307" s="2" t="s">
        <v>10787</v>
      </c>
      <c r="B2307" s="2" t="s">
        <v>1196</v>
      </c>
      <c r="C2307" s="2" t="s">
        <v>1197</v>
      </c>
      <c r="D2307" s="2" t="s">
        <v>1198</v>
      </c>
      <c r="E2307" s="2" t="s">
        <v>1199</v>
      </c>
      <c r="F2307" s="2" t="s">
        <v>10780</v>
      </c>
      <c r="G2307" s="2" t="s">
        <v>10780</v>
      </c>
      <c r="H2307" s="2" t="s">
        <v>10780</v>
      </c>
      <c r="I2307" s="2" t="s">
        <v>10781</v>
      </c>
      <c r="J2307" s="2" t="s">
        <v>1213</v>
      </c>
      <c r="K2307" s="2" t="s">
        <v>3761</v>
      </c>
      <c r="L2307" s="3">
        <v>16.45</v>
      </c>
      <c r="M2307" s="3">
        <v>17.27</v>
      </c>
      <c r="N2307" s="3">
        <v>34.99</v>
      </c>
      <c r="O2307" s="2" t="s">
        <v>240</v>
      </c>
      <c r="P2307" s="2" t="s">
        <v>889</v>
      </c>
      <c r="Q2307" s="2" t="s">
        <v>234</v>
      </c>
      <c r="R2307" s="2" t="s">
        <v>228</v>
      </c>
      <c r="S2307" s="2" t="s">
        <v>228</v>
      </c>
      <c r="T2307" s="2" t="s">
        <v>228</v>
      </c>
      <c r="U2307" s="2" t="s">
        <v>416</v>
      </c>
      <c r="V2307" s="2" t="s">
        <v>842</v>
      </c>
      <c r="W2307" s="2" t="s">
        <v>269</v>
      </c>
      <c r="X2307" s="2" t="s">
        <v>228</v>
      </c>
      <c r="Y2307" s="2" t="s">
        <v>2850</v>
      </c>
      <c r="Z2307" s="4">
        <v>87</v>
      </c>
      <c r="AA2307" s="4">
        <f>=ROUNDDOWN(5.4375,0)</f>
      </c>
      <c r="AB2307" s="5">
        <v>16</v>
      </c>
      <c r="AC2307" s="2" t="s">
        <v>156</v>
      </c>
      <c r="AD2307" s="4">
        <v>204</v>
      </c>
      <c r="AE2307" s="4">
        <v>474</v>
      </c>
      <c r="AF2307" s="6">
        <v>65</v>
      </c>
      <c r="AG2307" s="6"/>
      <c r="AH2307" s="7">
        <v>1</v>
      </c>
      <c r="AI2307" s="4"/>
      <c r="AJ2307" s="4">
        <f>=ROUNDDOWN({0},0)</f>
      </c>
      <c r="AK2307" s="5"/>
      <c r="AL2307" s="2" t="s">
        <v>228</v>
      </c>
      <c r="AM2307" s="4"/>
      <c r="AN2307" s="4"/>
      <c r="AO2307" s="7"/>
      <c r="AP2307" s="4"/>
      <c r="AQ2307" s="8"/>
      <c r="AR2307" s="4"/>
      <c r="AS2307" s="8"/>
      <c r="AT2307" s="7"/>
      <c r="AU2307" s="7"/>
      <c r="AV2307" s="4" t="s">
        <v>228</v>
      </c>
      <c r="AW2307" s="8" t="s">
        <v>228</v>
      </c>
      <c r="AX2307" s="4" t="s">
        <v>228</v>
      </c>
      <c r="AY2307" s="8" t="s">
        <v>228</v>
      </c>
      <c r="AZ2307" s="7" t="s">
        <v>228</v>
      </c>
      <c r="BA2307" s="7" t="s">
        <v>228</v>
      </c>
      <c r="BB2307" s="7"/>
      <c r="BC2307" s="4" t="s">
        <v>228</v>
      </c>
      <c r="BD2307" s="8" t="s">
        <v>228</v>
      </c>
      <c r="BE2307" s="4" t="s">
        <v>228</v>
      </c>
      <c r="BF2307" s="8" t="s">
        <v>228</v>
      </c>
      <c r="BG2307" s="7" t="s">
        <v>228</v>
      </c>
      <c r="BH2307" s="7" t="s">
        <v>228</v>
      </c>
      <c r="BI2307" s="7"/>
      <c r="BJ2307" s="4">
        <v>90</v>
      </c>
      <c r="BK2307" s="8">
        <v>1701.9</v>
      </c>
      <c r="BL2307" s="2" t="s">
        <v>1222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10788</v>
      </c>
      <c r="BV2307" s="2" t="s">
        <v>228</v>
      </c>
      <c r="BW2307" s="2" t="s">
        <v>228</v>
      </c>
      <c r="BX2307" s="2" t="s">
        <v>273</v>
      </c>
      <c r="BY2307" s="2" t="s">
        <v>274</v>
      </c>
      <c r="BZ2307" s="2" t="s">
        <v>240</v>
      </c>
      <c r="CA2307" s="2" t="s">
        <v>6481</v>
      </c>
      <c r="CB2307" s="2" t="s">
        <v>228</v>
      </c>
      <c r="CC2307" s="2" t="s">
        <v>241</v>
      </c>
      <c r="CD2307" s="2" t="s">
        <v>228</v>
      </c>
      <c r="CE2307" s="4">
        <v>60</v>
      </c>
      <c r="CF2307" s="4">
        <v>26</v>
      </c>
      <c r="CG2307" s="4"/>
      <c r="CH2307" s="4">
        <v>1</v>
      </c>
      <c r="CI2307" s="4"/>
      <c r="CJ2307" s="4"/>
      <c r="CK2307" s="4"/>
      <c r="CL2307" s="4"/>
      <c r="CM2307" s="4"/>
      <c r="CN2307" s="4"/>
      <c r="CO2307" s="4"/>
      <c r="CP2307" s="4"/>
      <c r="CQ2307" s="4"/>
      <c r="CR2307" s="4"/>
      <c r="CS2307" s="4"/>
      <c r="CT2307" s="4"/>
      <c r="CU2307" s="4"/>
      <c r="CV2307" s="4"/>
      <c r="CW2307" s="4"/>
      <c r="CX2307" s="4"/>
      <c r="CY2307" s="4"/>
      <c r="CZ2307" s="4"/>
      <c r="DA2307" s="4"/>
      <c r="DB2307" s="4"/>
      <c r="DC2307" s="4"/>
      <c r="DD2307" s="4"/>
      <c r="DE2307" s="4"/>
      <c r="DF2307" s="4"/>
      <c r="DG2307" s="4"/>
      <c r="DH2307" s="4"/>
      <c r="DI2307" s="4"/>
      <c r="DJ2307" s="4"/>
      <c r="DK2307" s="4"/>
      <c r="DL2307" s="4"/>
      <c r="DM2307" s="4"/>
      <c r="DN2307" s="4"/>
      <c r="DO2307" s="4"/>
      <c r="DP2307" s="4"/>
      <c r="DQ2307" s="4"/>
      <c r="DR2307" s="4"/>
      <c r="DS2307" s="4"/>
      <c r="DT2307" s="4"/>
      <c r="DU2307" s="4"/>
      <c r="DV2307" s="4"/>
      <c r="DW2307" s="4"/>
      <c r="DX2307" s="4"/>
      <c r="DY2307" s="4"/>
      <c r="DZ2307" s="4"/>
      <c r="EA2307" s="4"/>
      <c r="EB2307" s="4"/>
      <c r="EC2307" s="4"/>
      <c r="ED2307" s="4"/>
      <c r="EE2307" s="4"/>
      <c r="EF2307" s="4"/>
      <c r="EG2307" s="4"/>
      <c r="EH2307" s="4"/>
      <c r="EI2307" s="4"/>
      <c r="EJ2307" s="4"/>
      <c r="EK2307" s="4"/>
      <c r="EL2307" s="4"/>
      <c r="EM2307" s="4"/>
      <c r="EN2307" s="4"/>
      <c r="EO2307" s="4"/>
      <c r="EP2307" s="4"/>
      <c r="EQ2307" s="4"/>
      <c r="ER2307" s="4">
        <v>204</v>
      </c>
      <c r="ES2307" s="4"/>
      <c r="ET2307" s="4"/>
      <c r="EU2307" s="4"/>
      <c r="EV2307" s="4"/>
      <c r="EW2307" s="4"/>
      <c r="EX2307" s="4"/>
      <c r="EY2307" s="4"/>
      <c r="EZ2307" s="4"/>
      <c r="FA2307" s="4"/>
      <c r="FB2307" s="4"/>
      <c r="FC2307" s="4"/>
      <c r="FD2307" s="4"/>
      <c r="FE2307" s="4"/>
      <c r="FF2307" s="4"/>
      <c r="FG2307" s="4"/>
      <c r="FH2307" s="4"/>
      <c r="FI2307" s="4"/>
      <c r="FJ2307" s="4"/>
      <c r="FK2307" s="4"/>
      <c r="FL2307" s="4"/>
      <c r="FM2307" s="4"/>
      <c r="FN2307" s="4"/>
      <c r="FO2307" s="4"/>
      <c r="FP2307" s="4"/>
      <c r="FQ2307" s="4"/>
      <c r="FR2307" s="4"/>
      <c r="FS2307" s="4"/>
      <c r="FT2307" s="4"/>
      <c r="FU2307" s="4"/>
      <c r="FV2307" s="4"/>
      <c r="FW2307" s="4"/>
      <c r="FX2307" s="4"/>
      <c r="FY2307" s="4"/>
      <c r="FZ2307" s="4"/>
      <c r="GA2307" s="4"/>
      <c r="GB2307" s="4"/>
      <c r="GC2307" s="4"/>
      <c r="GD2307" s="4"/>
      <c r="GE2307" s="4"/>
      <c r="GF2307" s="4"/>
      <c r="GG2307" s="4"/>
      <c r="GH2307" s="4"/>
      <c r="GI2307" s="4"/>
      <c r="GJ2307" s="4"/>
      <c r="GK2307" s="4"/>
      <c r="GL2307" s="4"/>
      <c r="GM2307" s="4"/>
      <c r="GN2307" s="4"/>
      <c r="GO2307" s="4"/>
      <c r="GP2307" s="4"/>
      <c r="GQ2307" s="4"/>
      <c r="GR2307" s="4"/>
      <c r="GS2307" s="4">
        <v>270</v>
      </c>
      <c r="GT2307" s="4"/>
      <c r="GU2307" s="4"/>
      <c r="GV2307" s="4"/>
      <c r="GW2307" s="4"/>
      <c r="GX2307" s="4"/>
      <c r="GY2307" s="4"/>
      <c r="GZ2307" s="4"/>
      <c r="HA2307" s="4"/>
      <c r="HB2307" s="4"/>
      <c r="HC2307" s="4"/>
      <c r="HD2307" s="4"/>
      <c r="HE2307" s="4"/>
    </row>
    <row r="2308">
      <c r="A2308" s="2" t="s">
        <v>10789</v>
      </c>
      <c r="B2308" s="2" t="s">
        <v>772</v>
      </c>
      <c r="C2308" s="2" t="s">
        <v>773</v>
      </c>
      <c r="D2308" s="2" t="s">
        <v>774</v>
      </c>
      <c r="E2308" s="2" t="s">
        <v>775</v>
      </c>
      <c r="F2308" s="2" t="s">
        <v>10790</v>
      </c>
      <c r="G2308" s="2" t="s">
        <v>10790</v>
      </c>
      <c r="H2308" s="2" t="s">
        <v>10790</v>
      </c>
      <c r="I2308" s="2" t="s">
        <v>10791</v>
      </c>
      <c r="J2308" s="2" t="s">
        <v>10792</v>
      </c>
      <c r="K2308" s="2" t="s">
        <v>1466</v>
      </c>
      <c r="L2308" s="3">
        <v>33.6</v>
      </c>
      <c r="M2308" s="3">
        <v>35.28</v>
      </c>
      <c r="N2308" s="3">
        <v>69.99</v>
      </c>
      <c r="O2308" s="2" t="s">
        <v>240</v>
      </c>
      <c r="P2308" s="2" t="s">
        <v>779</v>
      </c>
      <c r="Q2308" s="2" t="s">
        <v>234</v>
      </c>
      <c r="R2308" s="2" t="s">
        <v>228</v>
      </c>
      <c r="S2308" s="2" t="s">
        <v>10793</v>
      </c>
      <c r="T2308" s="2" t="s">
        <v>350</v>
      </c>
      <c r="U2308" s="2" t="s">
        <v>520</v>
      </c>
      <c r="V2308" s="2" t="s">
        <v>236</v>
      </c>
      <c r="W2308" s="2" t="s">
        <v>269</v>
      </c>
      <c r="X2308" s="2" t="s">
        <v>228</v>
      </c>
      <c r="Y2308" s="2" t="s">
        <v>1157</v>
      </c>
      <c r="Z2308" s="4">
        <v>556</v>
      </c>
      <c r="AA2308" s="4">
        <f>=ROUNDDOWN(29.2631578947368,0)</f>
      </c>
      <c r="AB2308" s="5">
        <v>19</v>
      </c>
      <c r="AC2308" s="2" t="s">
        <v>228</v>
      </c>
      <c r="AD2308" s="4"/>
      <c r="AE2308" s="4"/>
      <c r="AF2308" s="6">
        <v>69</v>
      </c>
      <c r="AG2308" s="6"/>
      <c r="AH2308" s="7">
        <v>1</v>
      </c>
      <c r="AI2308" s="4"/>
      <c r="AJ2308" s="4">
        <f>=ROUNDDOWN({0},0)</f>
      </c>
      <c r="AK2308" s="5"/>
      <c r="AL2308" s="2" t="s">
        <v>228</v>
      </c>
      <c r="AM2308" s="4"/>
      <c r="AN2308" s="4"/>
      <c r="AO2308" s="7"/>
      <c r="AP2308" s="4"/>
      <c r="AQ2308" s="8"/>
      <c r="AR2308" s="4"/>
      <c r="AS2308" s="8"/>
      <c r="AT2308" s="7"/>
      <c r="AU2308" s="7"/>
      <c r="AV2308" s="4"/>
      <c r="AW2308" s="8"/>
      <c r="AX2308" s="4"/>
      <c r="AY2308" s="8"/>
      <c r="AZ2308" s="7"/>
      <c r="BA2308" s="7"/>
      <c r="BB2308" s="7"/>
      <c r="BC2308" s="4" t="s">
        <v>228</v>
      </c>
      <c r="BD2308" s="8" t="s">
        <v>228</v>
      </c>
      <c r="BE2308" s="4" t="s">
        <v>228</v>
      </c>
      <c r="BF2308" s="8" t="s">
        <v>228</v>
      </c>
      <c r="BG2308" s="7" t="s">
        <v>228</v>
      </c>
      <c r="BH2308" s="7" t="s">
        <v>228</v>
      </c>
      <c r="BI2308" s="7"/>
      <c r="BJ2308" s="4">
        <v>10</v>
      </c>
      <c r="BK2308" s="8">
        <v>383.7</v>
      </c>
      <c r="BL2308" s="2" t="s">
        <v>10794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10795</v>
      </c>
      <c r="BV2308" s="2" t="s">
        <v>228</v>
      </c>
      <c r="BW2308" s="2" t="s">
        <v>228</v>
      </c>
      <c r="BX2308" s="2" t="s">
        <v>238</v>
      </c>
      <c r="BY2308" s="2" t="s">
        <v>274</v>
      </c>
      <c r="BZ2308" s="2" t="s">
        <v>240</v>
      </c>
      <c r="CA2308" s="2" t="s">
        <v>1191</v>
      </c>
      <c r="CB2308" s="2" t="s">
        <v>228</v>
      </c>
      <c r="CC2308" s="2" t="s">
        <v>241</v>
      </c>
      <c r="CD2308" s="2" t="s">
        <v>228</v>
      </c>
      <c r="CE2308" s="4">
        <v>556</v>
      </c>
      <c r="CF2308" s="4"/>
      <c r="CG2308" s="4"/>
      <c r="CH2308" s="4"/>
      <c r="CI2308" s="4"/>
      <c r="CJ2308" s="4"/>
      <c r="CK2308" s="4"/>
      <c r="CL2308" s="4"/>
      <c r="CM2308" s="4"/>
      <c r="CN2308" s="4"/>
      <c r="CO2308" s="4"/>
      <c r="CP2308" s="4"/>
      <c r="CQ2308" s="4"/>
      <c r="CR2308" s="4"/>
      <c r="CS2308" s="4"/>
      <c r="CT2308" s="4"/>
      <c r="CU2308" s="4"/>
      <c r="CV2308" s="4"/>
      <c r="CW2308" s="4"/>
      <c r="CX2308" s="4"/>
      <c r="CY2308" s="4"/>
      <c r="CZ2308" s="4"/>
      <c r="DA2308" s="4"/>
      <c r="DB2308" s="4"/>
      <c r="DC2308" s="4"/>
      <c r="DD2308" s="4"/>
      <c r="DE2308" s="4"/>
      <c r="DF2308" s="4"/>
      <c r="DG2308" s="4"/>
      <c r="DH2308" s="4"/>
      <c r="DI2308" s="4"/>
      <c r="DJ2308" s="4"/>
      <c r="DK2308" s="4"/>
      <c r="DL2308" s="4"/>
      <c r="DM2308" s="4"/>
      <c r="DN2308" s="4"/>
      <c r="DO2308" s="4"/>
      <c r="DP2308" s="4"/>
      <c r="DQ2308" s="4"/>
      <c r="DR2308" s="4"/>
      <c r="DS2308" s="4"/>
      <c r="DT2308" s="4"/>
      <c r="DU2308" s="4"/>
      <c r="DV2308" s="4"/>
      <c r="DW2308" s="4"/>
      <c r="DX2308" s="4"/>
      <c r="DY2308" s="4"/>
      <c r="DZ2308" s="4"/>
      <c r="EA2308" s="4"/>
      <c r="EB2308" s="4"/>
      <c r="EC2308" s="4"/>
      <c r="ED2308" s="4"/>
      <c r="EE2308" s="4"/>
      <c r="EF2308" s="4"/>
      <c r="EG2308" s="4"/>
      <c r="EH2308" s="4"/>
      <c r="EI2308" s="4"/>
      <c r="EJ2308" s="4"/>
      <c r="EK2308" s="4"/>
      <c r="EL2308" s="4"/>
      <c r="EM2308" s="4"/>
      <c r="EN2308" s="4"/>
      <c r="EO2308" s="4"/>
      <c r="EP2308" s="4"/>
      <c r="EQ2308" s="4"/>
      <c r="ER2308" s="4"/>
      <c r="ES2308" s="4"/>
      <c r="ET2308" s="4"/>
      <c r="EU2308" s="4"/>
      <c r="EV2308" s="4"/>
      <c r="EW2308" s="4"/>
      <c r="EX2308" s="4"/>
      <c r="EY2308" s="4"/>
      <c r="EZ2308" s="4"/>
      <c r="FA2308" s="4"/>
      <c r="FB2308" s="4"/>
      <c r="FC2308" s="4"/>
      <c r="FD2308" s="4"/>
      <c r="FE2308" s="4"/>
      <c r="FF2308" s="4"/>
      <c r="FG2308" s="4"/>
      <c r="FH2308" s="4"/>
      <c r="FI2308" s="4"/>
      <c r="FJ2308" s="4"/>
      <c r="FK2308" s="4"/>
      <c r="FL2308" s="4"/>
      <c r="FM2308" s="4"/>
      <c r="FN2308" s="4"/>
      <c r="FO2308" s="4"/>
      <c r="FP2308" s="4"/>
      <c r="FQ2308" s="4"/>
      <c r="FR2308" s="4"/>
      <c r="FS2308" s="4"/>
      <c r="FT2308" s="4"/>
      <c r="FU2308" s="4"/>
      <c r="FV2308" s="4"/>
      <c r="FW2308" s="4"/>
      <c r="FX2308" s="4"/>
      <c r="FY2308" s="4"/>
      <c r="FZ2308" s="4"/>
      <c r="GA2308" s="4"/>
      <c r="GB2308" s="4"/>
      <c r="GC2308" s="4"/>
      <c r="GD2308" s="4"/>
      <c r="GE2308" s="4"/>
      <c r="GF2308" s="4"/>
      <c r="GG2308" s="4"/>
      <c r="GH2308" s="4"/>
      <c r="GI2308" s="4"/>
      <c r="GJ2308" s="4"/>
      <c r="GK2308" s="4"/>
      <c r="GL2308" s="4"/>
      <c r="GM2308" s="4"/>
      <c r="GN2308" s="4"/>
      <c r="GO2308" s="4"/>
      <c r="GP2308" s="4"/>
      <c r="GQ2308" s="4"/>
      <c r="GR2308" s="4"/>
      <c r="GS2308" s="4"/>
      <c r="GT2308" s="4"/>
      <c r="GU2308" s="4"/>
      <c r="GV2308" s="4"/>
      <c r="GW2308" s="4"/>
      <c r="GX2308" s="4"/>
      <c r="GY2308" s="4"/>
      <c r="GZ2308" s="4"/>
      <c r="HA2308" s="4"/>
      <c r="HB2308" s="4"/>
      <c r="HC2308" s="4"/>
      <c r="HD2308" s="4"/>
      <c r="HE2308" s="4"/>
    </row>
    <row r="2309">
      <c r="A2309" s="2" t="s">
        <v>10796</v>
      </c>
      <c r="B2309" s="2" t="s">
        <v>772</v>
      </c>
      <c r="C2309" s="2" t="s">
        <v>773</v>
      </c>
      <c r="D2309" s="2" t="s">
        <v>774</v>
      </c>
      <c r="E2309" s="2" t="s">
        <v>775</v>
      </c>
      <c r="F2309" s="2" t="s">
        <v>10790</v>
      </c>
      <c r="G2309" s="2" t="s">
        <v>10790</v>
      </c>
      <c r="H2309" s="2" t="s">
        <v>10790</v>
      </c>
      <c r="I2309" s="2" t="s">
        <v>10797</v>
      </c>
      <c r="J2309" s="2" t="s">
        <v>1053</v>
      </c>
      <c r="K2309" s="2" t="s">
        <v>460</v>
      </c>
      <c r="L2309" s="3">
        <v>33.6</v>
      </c>
      <c r="M2309" s="3">
        <v>35.28</v>
      </c>
      <c r="N2309" s="3">
        <v>69.99</v>
      </c>
      <c r="O2309" s="2" t="s">
        <v>240</v>
      </c>
      <c r="P2309" s="2" t="s">
        <v>779</v>
      </c>
      <c r="Q2309" s="2" t="s">
        <v>234</v>
      </c>
      <c r="R2309" s="2" t="s">
        <v>228</v>
      </c>
      <c r="S2309" s="2" t="s">
        <v>10798</v>
      </c>
      <c r="T2309" s="2" t="s">
        <v>350</v>
      </c>
      <c r="U2309" s="2" t="s">
        <v>1054</v>
      </c>
      <c r="V2309" s="2" t="s">
        <v>236</v>
      </c>
      <c r="W2309" s="2" t="s">
        <v>463</v>
      </c>
      <c r="X2309" s="2" t="s">
        <v>228</v>
      </c>
      <c r="Y2309" s="2" t="s">
        <v>781</v>
      </c>
      <c r="Z2309" s="4">
        <v>1728</v>
      </c>
      <c r="AA2309" s="4">
        <f>=ROUNDDOWN(24,0)</f>
      </c>
      <c r="AB2309" s="5">
        <v>72</v>
      </c>
      <c r="AC2309" s="2" t="s">
        <v>228</v>
      </c>
      <c r="AD2309" s="4"/>
      <c r="AE2309" s="4"/>
      <c r="AF2309" s="6">
        <v>69</v>
      </c>
      <c r="AG2309" s="6"/>
      <c r="AH2309" s="7">
        <v>1</v>
      </c>
      <c r="AI2309" s="4"/>
      <c r="AJ2309" s="4">
        <f>=ROUNDDOWN({0},0)</f>
      </c>
      <c r="AK2309" s="5"/>
      <c r="AL2309" s="2" t="s">
        <v>228</v>
      </c>
      <c r="AM2309" s="4"/>
      <c r="AN2309" s="4"/>
      <c r="AO2309" s="7"/>
      <c r="AP2309" s="4"/>
      <c r="AQ2309" s="8"/>
      <c r="AR2309" s="4"/>
      <c r="AS2309" s="8"/>
      <c r="AT2309" s="7"/>
      <c r="AU2309" s="7"/>
      <c r="AV2309" s="4"/>
      <c r="AW2309" s="8"/>
      <c r="AX2309" s="4"/>
      <c r="AY2309" s="8"/>
      <c r="AZ2309" s="7"/>
      <c r="BA2309" s="7"/>
      <c r="BB2309" s="7"/>
      <c r="BC2309" s="4" t="s">
        <v>228</v>
      </c>
      <c r="BD2309" s="8" t="s">
        <v>228</v>
      </c>
      <c r="BE2309" s="4" t="s">
        <v>228</v>
      </c>
      <c r="BF2309" s="8" t="s">
        <v>228</v>
      </c>
      <c r="BG2309" s="7" t="s">
        <v>228</v>
      </c>
      <c r="BH2309" s="7" t="s">
        <v>228</v>
      </c>
      <c r="BI2309" s="7"/>
      <c r="BJ2309" s="4">
        <v>19</v>
      </c>
      <c r="BK2309" s="8">
        <v>760.97</v>
      </c>
      <c r="BL2309" s="2" t="s">
        <v>10799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10800</v>
      </c>
      <c r="BV2309" s="2" t="s">
        <v>228</v>
      </c>
      <c r="BW2309" s="2" t="s">
        <v>228</v>
      </c>
      <c r="BX2309" s="2" t="s">
        <v>238</v>
      </c>
      <c r="BY2309" s="2" t="s">
        <v>274</v>
      </c>
      <c r="BZ2309" s="2" t="s">
        <v>240</v>
      </c>
      <c r="CA2309" s="2" t="s">
        <v>2102</v>
      </c>
      <c r="CB2309" s="2" t="s">
        <v>228</v>
      </c>
      <c r="CC2309" s="2" t="s">
        <v>241</v>
      </c>
      <c r="CD2309" s="2" t="s">
        <v>228</v>
      </c>
      <c r="CE2309" s="4">
        <v>1728</v>
      </c>
      <c r="CF2309" s="4"/>
      <c r="CG2309" s="4"/>
      <c r="CH2309" s="4"/>
      <c r="CI2309" s="4"/>
      <c r="CJ2309" s="4"/>
      <c r="CK2309" s="4"/>
      <c r="CL2309" s="4"/>
      <c r="CM2309" s="4"/>
      <c r="CN2309" s="4"/>
      <c r="CO2309" s="4"/>
      <c r="CP2309" s="4"/>
      <c r="CQ2309" s="4"/>
      <c r="CR2309" s="4"/>
      <c r="CS2309" s="4"/>
      <c r="CT2309" s="4"/>
      <c r="CU2309" s="4"/>
      <c r="CV2309" s="4"/>
      <c r="CW2309" s="4"/>
      <c r="CX2309" s="4"/>
      <c r="CY2309" s="4"/>
      <c r="CZ2309" s="4"/>
      <c r="DA2309" s="4"/>
      <c r="DB2309" s="4"/>
      <c r="DC2309" s="4"/>
      <c r="DD2309" s="4"/>
      <c r="DE2309" s="4"/>
      <c r="DF2309" s="4"/>
      <c r="DG2309" s="4"/>
      <c r="DH2309" s="4"/>
      <c r="DI2309" s="4"/>
      <c r="DJ2309" s="4"/>
      <c r="DK2309" s="4"/>
      <c r="DL2309" s="4"/>
      <c r="DM2309" s="4"/>
      <c r="DN2309" s="4"/>
      <c r="DO2309" s="4"/>
      <c r="DP2309" s="4"/>
      <c r="DQ2309" s="4"/>
      <c r="DR2309" s="4"/>
      <c r="DS2309" s="4"/>
      <c r="DT2309" s="4"/>
      <c r="DU2309" s="4"/>
      <c r="DV2309" s="4"/>
      <c r="DW2309" s="4"/>
      <c r="DX2309" s="4"/>
      <c r="DY2309" s="4"/>
      <c r="DZ2309" s="4"/>
      <c r="EA2309" s="4"/>
      <c r="EB2309" s="4"/>
      <c r="EC2309" s="4"/>
      <c r="ED2309" s="4"/>
      <c r="EE2309" s="4"/>
      <c r="EF2309" s="4"/>
      <c r="EG2309" s="4"/>
      <c r="EH2309" s="4"/>
      <c r="EI2309" s="4"/>
      <c r="EJ2309" s="4"/>
      <c r="EK2309" s="4"/>
      <c r="EL2309" s="4"/>
      <c r="EM2309" s="4"/>
      <c r="EN2309" s="4"/>
      <c r="EO2309" s="4"/>
      <c r="EP2309" s="4"/>
      <c r="EQ2309" s="4"/>
      <c r="ER2309" s="4"/>
      <c r="ES2309" s="4"/>
      <c r="ET2309" s="4"/>
      <c r="EU2309" s="4"/>
      <c r="EV2309" s="4"/>
      <c r="EW2309" s="4"/>
      <c r="EX2309" s="4"/>
      <c r="EY2309" s="4"/>
      <c r="EZ2309" s="4"/>
      <c r="FA2309" s="4"/>
      <c r="FB2309" s="4"/>
      <c r="FC2309" s="4"/>
      <c r="FD2309" s="4"/>
      <c r="FE2309" s="4"/>
      <c r="FF2309" s="4"/>
      <c r="FG2309" s="4"/>
      <c r="FH2309" s="4"/>
      <c r="FI2309" s="4"/>
      <c r="FJ2309" s="4"/>
      <c r="FK2309" s="4"/>
      <c r="FL2309" s="4"/>
      <c r="FM2309" s="4"/>
      <c r="FN2309" s="4"/>
      <c r="FO2309" s="4"/>
      <c r="FP2309" s="4"/>
      <c r="FQ2309" s="4"/>
      <c r="FR2309" s="4"/>
      <c r="FS2309" s="4"/>
      <c r="FT2309" s="4"/>
      <c r="FU2309" s="4"/>
      <c r="FV2309" s="4"/>
      <c r="FW2309" s="4"/>
      <c r="FX2309" s="4"/>
      <c r="FY2309" s="4"/>
      <c r="FZ2309" s="4"/>
      <c r="GA2309" s="4"/>
      <c r="GB2309" s="4"/>
      <c r="GC2309" s="4"/>
      <c r="GD2309" s="4"/>
      <c r="GE2309" s="4"/>
      <c r="GF2309" s="4"/>
      <c r="GG2309" s="4"/>
      <c r="GH2309" s="4"/>
      <c r="GI2309" s="4"/>
      <c r="GJ2309" s="4"/>
      <c r="GK2309" s="4"/>
      <c r="GL2309" s="4"/>
      <c r="GM2309" s="4"/>
      <c r="GN2309" s="4"/>
      <c r="GO2309" s="4"/>
      <c r="GP2309" s="4"/>
      <c r="GQ2309" s="4"/>
      <c r="GR2309" s="4"/>
      <c r="GS2309" s="4"/>
      <c r="GT2309" s="4"/>
      <c r="GU2309" s="4"/>
      <c r="GV2309" s="4"/>
      <c r="GW2309" s="4"/>
      <c r="GX2309" s="4"/>
      <c r="GY2309" s="4"/>
      <c r="GZ2309" s="4"/>
      <c r="HA2309" s="4"/>
      <c r="HB2309" s="4"/>
      <c r="HC2309" s="4"/>
      <c r="HD2309" s="4"/>
      <c r="HE2309" s="4"/>
    </row>
    <row r="2310">
      <c r="A2310" s="2" t="s">
        <v>10801</v>
      </c>
      <c r="B2310" s="2" t="s">
        <v>772</v>
      </c>
      <c r="C2310" s="2" t="s">
        <v>773</v>
      </c>
      <c r="D2310" s="2" t="s">
        <v>774</v>
      </c>
      <c r="E2310" s="2" t="s">
        <v>775</v>
      </c>
      <c r="F2310" s="2" t="s">
        <v>10790</v>
      </c>
      <c r="G2310" s="2" t="s">
        <v>10790</v>
      </c>
      <c r="H2310" s="2" t="s">
        <v>10790</v>
      </c>
      <c r="I2310" s="2" t="s">
        <v>10791</v>
      </c>
      <c r="J2310" s="2" t="s">
        <v>10792</v>
      </c>
      <c r="K2310" s="2" t="s">
        <v>249</v>
      </c>
      <c r="L2310" s="3">
        <v>33.6</v>
      </c>
      <c r="M2310" s="3">
        <v>35.28</v>
      </c>
      <c r="N2310" s="3">
        <v>69.99</v>
      </c>
      <c r="O2310" s="2" t="s">
        <v>240</v>
      </c>
      <c r="P2310" s="2" t="s">
        <v>779</v>
      </c>
      <c r="Q2310" s="2" t="s">
        <v>234</v>
      </c>
      <c r="R2310" s="2" t="s">
        <v>228</v>
      </c>
      <c r="S2310" s="2" t="s">
        <v>10793</v>
      </c>
      <c r="T2310" s="2" t="s">
        <v>350</v>
      </c>
      <c r="U2310" s="2" t="s">
        <v>520</v>
      </c>
      <c r="V2310" s="2" t="s">
        <v>236</v>
      </c>
      <c r="W2310" s="2" t="s">
        <v>269</v>
      </c>
      <c r="X2310" s="2" t="s">
        <v>228</v>
      </c>
      <c r="Y2310" s="2" t="s">
        <v>1157</v>
      </c>
      <c r="Z2310" s="4">
        <v>653</v>
      </c>
      <c r="AA2310" s="4">
        <f>=ROUNDDOWN(65.3,0)</f>
      </c>
      <c r="AB2310" s="5">
        <v>10</v>
      </c>
      <c r="AC2310" s="2" t="s">
        <v>228</v>
      </c>
      <c r="AD2310" s="4"/>
      <c r="AE2310" s="4"/>
      <c r="AF2310" s="6">
        <v>69</v>
      </c>
      <c r="AG2310" s="6"/>
      <c r="AH2310" s="7">
        <v>1</v>
      </c>
      <c r="AI2310" s="4"/>
      <c r="AJ2310" s="4">
        <f>=ROUNDDOWN({0},0)</f>
      </c>
      <c r="AK2310" s="5"/>
      <c r="AL2310" s="2" t="s">
        <v>228</v>
      </c>
      <c r="AM2310" s="4"/>
      <c r="AN2310" s="4"/>
      <c r="AO2310" s="7"/>
      <c r="AP2310" s="4"/>
      <c r="AQ2310" s="8"/>
      <c r="AR2310" s="4"/>
      <c r="AS2310" s="8"/>
      <c r="AT2310" s="7"/>
      <c r="AU2310" s="7"/>
      <c r="AV2310" s="4"/>
      <c r="AW2310" s="8"/>
      <c r="AX2310" s="4"/>
      <c r="AY2310" s="8"/>
      <c r="AZ2310" s="7"/>
      <c r="BA2310" s="7"/>
      <c r="BB2310" s="7"/>
      <c r="BC2310" s="4" t="s">
        <v>228</v>
      </c>
      <c r="BD2310" s="8" t="s">
        <v>228</v>
      </c>
      <c r="BE2310" s="4" t="s">
        <v>228</v>
      </c>
      <c r="BF2310" s="8" t="s">
        <v>228</v>
      </c>
      <c r="BG2310" s="7" t="s">
        <v>228</v>
      </c>
      <c r="BH2310" s="7" t="s">
        <v>228</v>
      </c>
      <c r="BI2310" s="7"/>
      <c r="BJ2310" s="4">
        <v>7</v>
      </c>
      <c r="BK2310" s="8">
        <v>268.32</v>
      </c>
      <c r="BL2310" s="2" t="s">
        <v>10794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10802</v>
      </c>
      <c r="BV2310" s="2" t="s">
        <v>228</v>
      </c>
      <c r="BW2310" s="2" t="s">
        <v>228</v>
      </c>
      <c r="BX2310" s="2" t="s">
        <v>238</v>
      </c>
      <c r="BY2310" s="2" t="s">
        <v>274</v>
      </c>
      <c r="BZ2310" s="2" t="s">
        <v>240</v>
      </c>
      <c r="CA2310" s="2" t="s">
        <v>1191</v>
      </c>
      <c r="CB2310" s="2" t="s">
        <v>228</v>
      </c>
      <c r="CC2310" s="2" t="s">
        <v>241</v>
      </c>
      <c r="CD2310" s="2" t="s">
        <v>228</v>
      </c>
      <c r="CE2310" s="4">
        <v>653</v>
      </c>
      <c r="CF2310" s="4"/>
      <c r="CG2310" s="4"/>
      <c r="CH2310" s="4"/>
      <c r="CI2310" s="4"/>
      <c r="CJ2310" s="4"/>
      <c r="CK2310" s="4"/>
      <c r="CL2310" s="4"/>
      <c r="CM2310" s="4"/>
      <c r="CN2310" s="4"/>
      <c r="CO2310" s="4"/>
      <c r="CP2310" s="4"/>
      <c r="CQ2310" s="4"/>
      <c r="CR2310" s="4"/>
      <c r="CS2310" s="4"/>
      <c r="CT2310" s="4"/>
      <c r="CU2310" s="4"/>
      <c r="CV2310" s="4"/>
      <c r="CW2310" s="4"/>
      <c r="CX2310" s="4"/>
      <c r="CY2310" s="4"/>
      <c r="CZ2310" s="4"/>
      <c r="DA2310" s="4"/>
      <c r="DB2310" s="4"/>
      <c r="DC2310" s="4"/>
      <c r="DD2310" s="4"/>
      <c r="DE2310" s="4"/>
      <c r="DF2310" s="4"/>
      <c r="DG2310" s="4"/>
      <c r="DH2310" s="4"/>
      <c r="DI2310" s="4"/>
      <c r="DJ2310" s="4"/>
      <c r="DK2310" s="4"/>
      <c r="DL2310" s="4"/>
      <c r="DM2310" s="4"/>
      <c r="DN2310" s="4"/>
      <c r="DO2310" s="4"/>
      <c r="DP2310" s="4"/>
      <c r="DQ2310" s="4"/>
      <c r="DR2310" s="4"/>
      <c r="DS2310" s="4"/>
      <c r="DT2310" s="4"/>
      <c r="DU2310" s="4"/>
      <c r="DV2310" s="4"/>
      <c r="DW2310" s="4"/>
      <c r="DX2310" s="4"/>
      <c r="DY2310" s="4"/>
      <c r="DZ2310" s="4"/>
      <c r="EA2310" s="4"/>
      <c r="EB2310" s="4"/>
      <c r="EC2310" s="4"/>
      <c r="ED2310" s="4"/>
      <c r="EE2310" s="4"/>
      <c r="EF2310" s="4"/>
      <c r="EG2310" s="4"/>
      <c r="EH2310" s="4"/>
      <c r="EI2310" s="4"/>
      <c r="EJ2310" s="4"/>
      <c r="EK2310" s="4"/>
      <c r="EL2310" s="4"/>
      <c r="EM2310" s="4"/>
      <c r="EN2310" s="4"/>
      <c r="EO2310" s="4"/>
      <c r="EP2310" s="4"/>
      <c r="EQ2310" s="4"/>
      <c r="ER2310" s="4"/>
      <c r="ES2310" s="4"/>
      <c r="ET2310" s="4"/>
      <c r="EU2310" s="4"/>
      <c r="EV2310" s="4"/>
      <c r="EW2310" s="4"/>
      <c r="EX2310" s="4"/>
      <c r="EY2310" s="4"/>
      <c r="EZ2310" s="4"/>
      <c r="FA2310" s="4"/>
      <c r="FB2310" s="4"/>
      <c r="FC2310" s="4"/>
      <c r="FD2310" s="4"/>
      <c r="FE2310" s="4"/>
      <c r="FF2310" s="4"/>
      <c r="FG2310" s="4"/>
      <c r="FH2310" s="4"/>
      <c r="FI2310" s="4"/>
      <c r="FJ2310" s="4"/>
      <c r="FK2310" s="4"/>
      <c r="FL2310" s="4"/>
      <c r="FM2310" s="4"/>
      <c r="FN2310" s="4"/>
      <c r="FO2310" s="4"/>
      <c r="FP2310" s="4"/>
      <c r="FQ2310" s="4"/>
      <c r="FR2310" s="4"/>
      <c r="FS2310" s="4"/>
      <c r="FT2310" s="4"/>
      <c r="FU2310" s="4"/>
      <c r="FV2310" s="4"/>
      <c r="FW2310" s="4"/>
      <c r="FX2310" s="4"/>
      <c r="FY2310" s="4"/>
      <c r="FZ2310" s="4"/>
      <c r="GA2310" s="4"/>
      <c r="GB2310" s="4"/>
      <c r="GC2310" s="4"/>
      <c r="GD2310" s="4"/>
      <c r="GE2310" s="4"/>
      <c r="GF2310" s="4"/>
      <c r="GG2310" s="4"/>
      <c r="GH2310" s="4"/>
      <c r="GI2310" s="4"/>
      <c r="GJ2310" s="4"/>
      <c r="GK2310" s="4"/>
      <c r="GL2310" s="4"/>
      <c r="GM2310" s="4"/>
      <c r="GN2310" s="4"/>
      <c r="GO2310" s="4"/>
      <c r="GP2310" s="4"/>
      <c r="GQ2310" s="4"/>
      <c r="GR2310" s="4"/>
      <c r="GS2310" s="4"/>
      <c r="GT2310" s="4"/>
      <c r="GU2310" s="4"/>
      <c r="GV2310" s="4"/>
      <c r="GW2310" s="4"/>
      <c r="GX2310" s="4"/>
      <c r="GY2310" s="4"/>
      <c r="GZ2310" s="4"/>
      <c r="HA2310" s="4"/>
      <c r="HB2310" s="4"/>
      <c r="HC2310" s="4"/>
      <c r="HD2310" s="4"/>
      <c r="HE2310" s="4"/>
    </row>
    <row r="2311">
      <c r="A2311" s="2" t="s">
        <v>10803</v>
      </c>
      <c r="B2311" s="2" t="s">
        <v>772</v>
      </c>
      <c r="C2311" s="2" t="s">
        <v>773</v>
      </c>
      <c r="D2311" s="2" t="s">
        <v>774</v>
      </c>
      <c r="E2311" s="2" t="s">
        <v>775</v>
      </c>
      <c r="F2311" s="2" t="s">
        <v>10790</v>
      </c>
      <c r="G2311" s="2" t="s">
        <v>10790</v>
      </c>
      <c r="H2311" s="2" t="s">
        <v>10790</v>
      </c>
      <c r="I2311" s="2" t="s">
        <v>10791</v>
      </c>
      <c r="J2311" s="2" t="s">
        <v>10792</v>
      </c>
      <c r="K2311" s="2" t="s">
        <v>1357</v>
      </c>
      <c r="L2311" s="3">
        <v>33.6</v>
      </c>
      <c r="M2311" s="3">
        <v>35.28</v>
      </c>
      <c r="N2311" s="3">
        <v>69.99</v>
      </c>
      <c r="O2311" s="2" t="s">
        <v>240</v>
      </c>
      <c r="P2311" s="2" t="s">
        <v>779</v>
      </c>
      <c r="Q2311" s="2" t="s">
        <v>234</v>
      </c>
      <c r="R2311" s="2" t="s">
        <v>228</v>
      </c>
      <c r="S2311" s="2" t="s">
        <v>10793</v>
      </c>
      <c r="T2311" s="2" t="s">
        <v>350</v>
      </c>
      <c r="U2311" s="2" t="s">
        <v>520</v>
      </c>
      <c r="V2311" s="2" t="s">
        <v>236</v>
      </c>
      <c r="W2311" s="2" t="s">
        <v>269</v>
      </c>
      <c r="X2311" s="2" t="s">
        <v>228</v>
      </c>
      <c r="Y2311" s="2" t="s">
        <v>1157</v>
      </c>
      <c r="Z2311" s="4">
        <v>664</v>
      </c>
      <c r="AA2311" s="4">
        <f>=ROUNDDOWN(60.3636363636364,0)</f>
      </c>
      <c r="AB2311" s="5">
        <v>11</v>
      </c>
      <c r="AC2311" s="2" t="s">
        <v>228</v>
      </c>
      <c r="AD2311" s="4"/>
      <c r="AE2311" s="4"/>
      <c r="AF2311" s="6">
        <v>69</v>
      </c>
      <c r="AG2311" s="6"/>
      <c r="AH2311" s="7">
        <v>1</v>
      </c>
      <c r="AI2311" s="4"/>
      <c r="AJ2311" s="4">
        <f>=ROUNDDOWN({0},0)</f>
      </c>
      <c r="AK2311" s="5"/>
      <c r="AL2311" s="2" t="s">
        <v>228</v>
      </c>
      <c r="AM2311" s="4"/>
      <c r="AN2311" s="4"/>
      <c r="AO2311" s="7"/>
      <c r="AP2311" s="4"/>
      <c r="AQ2311" s="8"/>
      <c r="AR2311" s="4"/>
      <c r="AS2311" s="8"/>
      <c r="AT2311" s="7"/>
      <c r="AU2311" s="7"/>
      <c r="AV2311" s="4"/>
      <c r="AW2311" s="8"/>
      <c r="AX2311" s="4"/>
      <c r="AY2311" s="8"/>
      <c r="AZ2311" s="7"/>
      <c r="BA2311" s="7"/>
      <c r="BB2311" s="7"/>
      <c r="BC2311" s="4" t="s">
        <v>228</v>
      </c>
      <c r="BD2311" s="8" t="s">
        <v>228</v>
      </c>
      <c r="BE2311" s="4" t="s">
        <v>228</v>
      </c>
      <c r="BF2311" s="8" t="s">
        <v>228</v>
      </c>
      <c r="BG2311" s="7" t="s">
        <v>228</v>
      </c>
      <c r="BH2311" s="7" t="s">
        <v>228</v>
      </c>
      <c r="BI2311" s="7"/>
      <c r="BJ2311" s="4">
        <v>2</v>
      </c>
      <c r="BK2311" s="8">
        <v>76.2</v>
      </c>
      <c r="BL2311" s="2" t="s">
        <v>4746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10804</v>
      </c>
      <c r="BV2311" s="2" t="s">
        <v>228</v>
      </c>
      <c r="BW2311" s="2" t="s">
        <v>228</v>
      </c>
      <c r="BX2311" s="2" t="s">
        <v>238</v>
      </c>
      <c r="BY2311" s="2" t="s">
        <v>274</v>
      </c>
      <c r="BZ2311" s="2" t="s">
        <v>240</v>
      </c>
      <c r="CA2311" s="2" t="s">
        <v>1191</v>
      </c>
      <c r="CB2311" s="2" t="s">
        <v>228</v>
      </c>
      <c r="CC2311" s="2" t="s">
        <v>241</v>
      </c>
      <c r="CD2311" s="2" t="s">
        <v>228</v>
      </c>
      <c r="CE2311" s="4">
        <v>664</v>
      </c>
      <c r="CF2311" s="4"/>
      <c r="CG2311" s="4"/>
      <c r="CH2311" s="4"/>
      <c r="CI2311" s="4"/>
      <c r="CJ2311" s="4"/>
      <c r="CK2311" s="4"/>
      <c r="CL2311" s="4"/>
      <c r="CM2311" s="4"/>
      <c r="CN2311" s="4"/>
      <c r="CO2311" s="4"/>
      <c r="CP2311" s="4"/>
      <c r="CQ2311" s="4"/>
      <c r="CR2311" s="4"/>
      <c r="CS2311" s="4"/>
      <c r="CT2311" s="4"/>
      <c r="CU2311" s="4"/>
      <c r="CV2311" s="4"/>
      <c r="CW2311" s="4"/>
      <c r="CX2311" s="4"/>
      <c r="CY2311" s="4"/>
      <c r="CZ2311" s="4"/>
      <c r="DA2311" s="4"/>
      <c r="DB2311" s="4"/>
      <c r="DC2311" s="4"/>
      <c r="DD2311" s="4"/>
      <c r="DE2311" s="4"/>
      <c r="DF2311" s="4"/>
      <c r="DG2311" s="4"/>
      <c r="DH2311" s="4"/>
      <c r="DI2311" s="4"/>
      <c r="DJ2311" s="4"/>
      <c r="DK2311" s="4"/>
      <c r="DL2311" s="4"/>
      <c r="DM2311" s="4"/>
      <c r="DN2311" s="4"/>
      <c r="DO2311" s="4"/>
      <c r="DP2311" s="4"/>
      <c r="DQ2311" s="4"/>
      <c r="DR2311" s="4"/>
      <c r="DS2311" s="4"/>
      <c r="DT2311" s="4"/>
      <c r="DU2311" s="4"/>
      <c r="DV2311" s="4"/>
      <c r="DW2311" s="4"/>
      <c r="DX2311" s="4"/>
      <c r="DY2311" s="4"/>
      <c r="DZ2311" s="4"/>
      <c r="EA2311" s="4"/>
      <c r="EB2311" s="4"/>
      <c r="EC2311" s="4"/>
      <c r="ED2311" s="4"/>
      <c r="EE2311" s="4"/>
      <c r="EF2311" s="4"/>
      <c r="EG2311" s="4"/>
      <c r="EH2311" s="4"/>
      <c r="EI2311" s="4"/>
      <c r="EJ2311" s="4"/>
      <c r="EK2311" s="4"/>
      <c r="EL2311" s="4"/>
      <c r="EM2311" s="4"/>
      <c r="EN2311" s="4"/>
      <c r="EO2311" s="4"/>
      <c r="EP2311" s="4"/>
      <c r="EQ2311" s="4"/>
      <c r="ER2311" s="4"/>
      <c r="ES2311" s="4"/>
      <c r="ET2311" s="4"/>
      <c r="EU2311" s="4"/>
      <c r="EV2311" s="4"/>
      <c r="EW2311" s="4"/>
      <c r="EX2311" s="4"/>
      <c r="EY2311" s="4"/>
      <c r="EZ2311" s="4"/>
      <c r="FA2311" s="4"/>
      <c r="FB2311" s="4"/>
      <c r="FC2311" s="4"/>
      <c r="FD2311" s="4"/>
      <c r="FE2311" s="4"/>
      <c r="FF2311" s="4"/>
      <c r="FG2311" s="4"/>
      <c r="FH2311" s="4"/>
      <c r="FI2311" s="4"/>
      <c r="FJ2311" s="4"/>
      <c r="FK2311" s="4"/>
      <c r="FL2311" s="4"/>
      <c r="FM2311" s="4"/>
      <c r="FN2311" s="4"/>
      <c r="FO2311" s="4"/>
      <c r="FP2311" s="4"/>
      <c r="FQ2311" s="4"/>
      <c r="FR2311" s="4"/>
      <c r="FS2311" s="4"/>
      <c r="FT2311" s="4"/>
      <c r="FU2311" s="4"/>
      <c r="FV2311" s="4"/>
      <c r="FW2311" s="4"/>
      <c r="FX2311" s="4"/>
      <c r="FY2311" s="4"/>
      <c r="FZ2311" s="4"/>
      <c r="GA2311" s="4"/>
      <c r="GB2311" s="4"/>
      <c r="GC2311" s="4"/>
      <c r="GD2311" s="4"/>
      <c r="GE2311" s="4"/>
      <c r="GF2311" s="4"/>
      <c r="GG2311" s="4"/>
      <c r="GH2311" s="4"/>
      <c r="GI2311" s="4"/>
      <c r="GJ2311" s="4"/>
      <c r="GK2311" s="4"/>
      <c r="GL2311" s="4"/>
      <c r="GM2311" s="4"/>
      <c r="GN2311" s="4"/>
      <c r="GO2311" s="4"/>
      <c r="GP2311" s="4"/>
      <c r="GQ2311" s="4"/>
      <c r="GR2311" s="4"/>
      <c r="GS2311" s="4"/>
      <c r="GT2311" s="4"/>
      <c r="GU2311" s="4"/>
      <c r="GV2311" s="4"/>
      <c r="GW2311" s="4"/>
      <c r="GX2311" s="4"/>
      <c r="GY2311" s="4"/>
      <c r="GZ2311" s="4"/>
      <c r="HA2311" s="4"/>
      <c r="HB2311" s="4"/>
      <c r="HC2311" s="4"/>
      <c r="HD2311" s="4"/>
      <c r="HE2311" s="4"/>
    </row>
    <row r="2312">
      <c r="A2312" s="2" t="s">
        <v>10805</v>
      </c>
      <c r="B2312" s="2" t="s">
        <v>772</v>
      </c>
      <c r="C2312" s="2" t="s">
        <v>773</v>
      </c>
      <c r="D2312" s="2" t="s">
        <v>774</v>
      </c>
      <c r="E2312" s="2" t="s">
        <v>775</v>
      </c>
      <c r="F2312" s="2" t="s">
        <v>10790</v>
      </c>
      <c r="G2312" s="2" t="s">
        <v>10790</v>
      </c>
      <c r="H2312" s="2" t="s">
        <v>10790</v>
      </c>
      <c r="I2312" s="2" t="s">
        <v>10791</v>
      </c>
      <c r="J2312" s="2" t="s">
        <v>10792</v>
      </c>
      <c r="K2312" s="2" t="s">
        <v>316</v>
      </c>
      <c r="L2312" s="3">
        <v>33.6</v>
      </c>
      <c r="M2312" s="3">
        <v>35.28</v>
      </c>
      <c r="N2312" s="3">
        <v>69.99</v>
      </c>
      <c r="O2312" s="2" t="s">
        <v>240</v>
      </c>
      <c r="P2312" s="2" t="s">
        <v>779</v>
      </c>
      <c r="Q2312" s="2" t="s">
        <v>234</v>
      </c>
      <c r="R2312" s="2" t="s">
        <v>228</v>
      </c>
      <c r="S2312" s="2" t="s">
        <v>10793</v>
      </c>
      <c r="T2312" s="2" t="s">
        <v>350</v>
      </c>
      <c r="U2312" s="2" t="s">
        <v>520</v>
      </c>
      <c r="V2312" s="2" t="s">
        <v>236</v>
      </c>
      <c r="W2312" s="2" t="s">
        <v>269</v>
      </c>
      <c r="X2312" s="2" t="s">
        <v>228</v>
      </c>
      <c r="Y2312" s="2" t="s">
        <v>1157</v>
      </c>
      <c r="Z2312" s="4">
        <v>837</v>
      </c>
      <c r="AA2312" s="4">
        <f>=ROUNDDOWN(69.75,0)</f>
      </c>
      <c r="AB2312" s="5">
        <v>12</v>
      </c>
      <c r="AC2312" s="2" t="s">
        <v>228</v>
      </c>
      <c r="AD2312" s="4"/>
      <c r="AE2312" s="4"/>
      <c r="AF2312" s="6">
        <v>69</v>
      </c>
      <c r="AG2312" s="6"/>
      <c r="AH2312" s="7">
        <v>1</v>
      </c>
      <c r="AI2312" s="4"/>
      <c r="AJ2312" s="4">
        <f>=ROUNDDOWN({0},0)</f>
      </c>
      <c r="AK2312" s="5"/>
      <c r="AL2312" s="2" t="s">
        <v>228</v>
      </c>
      <c r="AM2312" s="4"/>
      <c r="AN2312" s="4"/>
      <c r="AO2312" s="7"/>
      <c r="AP2312" s="4"/>
      <c r="AQ2312" s="8"/>
      <c r="AR2312" s="4"/>
      <c r="AS2312" s="8"/>
      <c r="AT2312" s="7"/>
      <c r="AU2312" s="7"/>
      <c r="AV2312" s="4"/>
      <c r="AW2312" s="8"/>
      <c r="AX2312" s="4"/>
      <c r="AY2312" s="8"/>
      <c r="AZ2312" s="7"/>
      <c r="BA2312" s="7"/>
      <c r="BB2312" s="7"/>
      <c r="BC2312" s="4" t="s">
        <v>228</v>
      </c>
      <c r="BD2312" s="8" t="s">
        <v>228</v>
      </c>
      <c r="BE2312" s="4" t="s">
        <v>228</v>
      </c>
      <c r="BF2312" s="8" t="s">
        <v>228</v>
      </c>
      <c r="BG2312" s="7" t="s">
        <v>228</v>
      </c>
      <c r="BH2312" s="7" t="s">
        <v>228</v>
      </c>
      <c r="BI2312" s="7"/>
      <c r="BJ2312" s="4">
        <v>8</v>
      </c>
      <c r="BK2312" s="8">
        <v>305.9</v>
      </c>
      <c r="BL2312" s="2" t="s">
        <v>10806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10807</v>
      </c>
      <c r="BV2312" s="2" t="s">
        <v>228</v>
      </c>
      <c r="BW2312" s="2" t="s">
        <v>228</v>
      </c>
      <c r="BX2312" s="2" t="s">
        <v>238</v>
      </c>
      <c r="BY2312" s="2" t="s">
        <v>274</v>
      </c>
      <c r="BZ2312" s="2" t="s">
        <v>240</v>
      </c>
      <c r="CA2312" s="2" t="s">
        <v>1191</v>
      </c>
      <c r="CB2312" s="2" t="s">
        <v>228</v>
      </c>
      <c r="CC2312" s="2" t="s">
        <v>241</v>
      </c>
      <c r="CD2312" s="2" t="s">
        <v>228</v>
      </c>
      <c r="CE2312" s="4">
        <v>837</v>
      </c>
      <c r="CF2312" s="4"/>
      <c r="CG2312" s="4"/>
      <c r="CH2312" s="4"/>
      <c r="CI2312" s="4"/>
      <c r="CJ2312" s="4"/>
      <c r="CK2312" s="4"/>
      <c r="CL2312" s="4"/>
      <c r="CM2312" s="4"/>
      <c r="CN2312" s="4"/>
      <c r="CO2312" s="4"/>
      <c r="CP2312" s="4"/>
      <c r="CQ2312" s="4"/>
      <c r="CR2312" s="4"/>
      <c r="CS2312" s="4"/>
      <c r="CT2312" s="4"/>
      <c r="CU2312" s="4"/>
      <c r="CV2312" s="4"/>
      <c r="CW2312" s="4"/>
      <c r="CX2312" s="4"/>
      <c r="CY2312" s="4"/>
      <c r="CZ2312" s="4"/>
      <c r="DA2312" s="4"/>
      <c r="DB2312" s="4"/>
      <c r="DC2312" s="4"/>
      <c r="DD2312" s="4"/>
      <c r="DE2312" s="4"/>
      <c r="DF2312" s="4"/>
      <c r="DG2312" s="4"/>
      <c r="DH2312" s="4"/>
      <c r="DI2312" s="4"/>
      <c r="DJ2312" s="4"/>
      <c r="DK2312" s="4"/>
      <c r="DL2312" s="4"/>
      <c r="DM2312" s="4"/>
      <c r="DN2312" s="4"/>
      <c r="DO2312" s="4"/>
      <c r="DP2312" s="4"/>
      <c r="DQ2312" s="4"/>
      <c r="DR2312" s="4"/>
      <c r="DS2312" s="4"/>
      <c r="DT2312" s="4"/>
      <c r="DU2312" s="4"/>
      <c r="DV2312" s="4"/>
      <c r="DW2312" s="4"/>
      <c r="DX2312" s="4"/>
      <c r="DY2312" s="4"/>
      <c r="DZ2312" s="4"/>
      <c r="EA2312" s="4"/>
      <c r="EB2312" s="4"/>
      <c r="EC2312" s="4"/>
      <c r="ED2312" s="4"/>
      <c r="EE2312" s="4"/>
      <c r="EF2312" s="4"/>
      <c r="EG2312" s="4"/>
      <c r="EH2312" s="4"/>
      <c r="EI2312" s="4"/>
      <c r="EJ2312" s="4"/>
      <c r="EK2312" s="4"/>
      <c r="EL2312" s="4"/>
      <c r="EM2312" s="4"/>
      <c r="EN2312" s="4"/>
      <c r="EO2312" s="4"/>
      <c r="EP2312" s="4"/>
      <c r="EQ2312" s="4"/>
      <c r="ER2312" s="4"/>
      <c r="ES2312" s="4"/>
      <c r="ET2312" s="4"/>
      <c r="EU2312" s="4"/>
      <c r="EV2312" s="4"/>
      <c r="EW2312" s="4"/>
      <c r="EX2312" s="4"/>
      <c r="EY2312" s="4"/>
      <c r="EZ2312" s="4"/>
      <c r="FA2312" s="4"/>
      <c r="FB2312" s="4"/>
      <c r="FC2312" s="4"/>
      <c r="FD2312" s="4"/>
      <c r="FE2312" s="4"/>
      <c r="FF2312" s="4"/>
      <c r="FG2312" s="4"/>
      <c r="FH2312" s="4"/>
      <c r="FI2312" s="4"/>
      <c r="FJ2312" s="4"/>
      <c r="FK2312" s="4"/>
      <c r="FL2312" s="4"/>
      <c r="FM2312" s="4"/>
      <c r="FN2312" s="4"/>
      <c r="FO2312" s="4"/>
      <c r="FP2312" s="4"/>
      <c r="FQ2312" s="4"/>
      <c r="FR2312" s="4"/>
      <c r="FS2312" s="4"/>
      <c r="FT2312" s="4"/>
      <c r="FU2312" s="4"/>
      <c r="FV2312" s="4"/>
      <c r="FW2312" s="4"/>
      <c r="FX2312" s="4"/>
      <c r="FY2312" s="4"/>
      <c r="FZ2312" s="4"/>
      <c r="GA2312" s="4"/>
      <c r="GB2312" s="4"/>
      <c r="GC2312" s="4"/>
      <c r="GD2312" s="4"/>
      <c r="GE2312" s="4"/>
      <c r="GF2312" s="4"/>
      <c r="GG2312" s="4"/>
      <c r="GH2312" s="4"/>
      <c r="GI2312" s="4"/>
      <c r="GJ2312" s="4"/>
      <c r="GK2312" s="4"/>
      <c r="GL2312" s="4"/>
      <c r="GM2312" s="4"/>
      <c r="GN2312" s="4"/>
      <c r="GO2312" s="4"/>
      <c r="GP2312" s="4"/>
      <c r="GQ2312" s="4"/>
      <c r="GR2312" s="4"/>
      <c r="GS2312" s="4"/>
      <c r="GT2312" s="4"/>
      <c r="GU2312" s="4"/>
      <c r="GV2312" s="4"/>
      <c r="GW2312" s="4"/>
      <c r="GX2312" s="4"/>
      <c r="GY2312" s="4"/>
      <c r="GZ2312" s="4"/>
      <c r="HA2312" s="4"/>
      <c r="HB2312" s="4"/>
      <c r="HC2312" s="4"/>
      <c r="HD2312" s="4"/>
      <c r="HE2312" s="4"/>
    </row>
    <row r="2313">
      <c r="A2313" s="2" t="s">
        <v>10808</v>
      </c>
      <c r="B2313" s="2" t="s">
        <v>1150</v>
      </c>
      <c r="C2313" s="2" t="s">
        <v>300</v>
      </c>
      <c r="D2313" s="2" t="s">
        <v>1316</v>
      </c>
      <c r="E2313" s="2" t="s">
        <v>1317</v>
      </c>
      <c r="F2313" s="2" t="s">
        <v>10809</v>
      </c>
      <c r="G2313" s="2" t="s">
        <v>10810</v>
      </c>
      <c r="H2313" s="2" t="s">
        <v>10811</v>
      </c>
      <c r="I2313" s="2" t="s">
        <v>10812</v>
      </c>
      <c r="J2313" s="2" t="s">
        <v>1189</v>
      </c>
      <c r="K2313" s="2" t="s">
        <v>598</v>
      </c>
      <c r="L2313" s="3">
        <v>42.3</v>
      </c>
      <c r="M2313" s="3">
        <v>44.42</v>
      </c>
      <c r="N2313" s="3">
        <v>89.99</v>
      </c>
      <c r="O2313" s="2" t="s">
        <v>240</v>
      </c>
      <c r="P2313" s="2" t="s">
        <v>233</v>
      </c>
      <c r="Q2313" s="2" t="s">
        <v>234</v>
      </c>
      <c r="R2313" s="2" t="s">
        <v>228</v>
      </c>
      <c r="S2313" s="2" t="s">
        <v>10813</v>
      </c>
      <c r="T2313" s="2" t="s">
        <v>415</v>
      </c>
      <c r="U2313" s="2" t="s">
        <v>500</v>
      </c>
      <c r="V2313" s="2" t="s">
        <v>236</v>
      </c>
      <c r="W2313" s="2" t="s">
        <v>1268</v>
      </c>
      <c r="X2313" s="2" t="s">
        <v>10814</v>
      </c>
      <c r="Y2313" s="2" t="s">
        <v>10815</v>
      </c>
      <c r="Z2313" s="4"/>
      <c r="AA2313" s="4">
        <f>=ROUNDDOWN({0},0)</f>
      </c>
      <c r="AB2313" s="5"/>
      <c r="AC2313" s="2" t="s">
        <v>1481</v>
      </c>
      <c r="AD2313" s="4">
        <v>450</v>
      </c>
      <c r="AE2313" s="4">
        <v>900</v>
      </c>
      <c r="AF2313" s="6">
        <v>65</v>
      </c>
      <c r="AG2313" s="6"/>
      <c r="AH2313" s="7"/>
      <c r="AI2313" s="4"/>
      <c r="AJ2313" s="4">
        <f>=ROUNDDOWN({0},0)</f>
      </c>
      <c r="AK2313" s="5"/>
      <c r="AL2313" s="2" t="s">
        <v>228</v>
      </c>
      <c r="AM2313" s="4"/>
      <c r="AN2313" s="4"/>
      <c r="AO2313" s="7"/>
      <c r="AP2313" s="4"/>
      <c r="AQ2313" s="8"/>
      <c r="AR2313" s="4"/>
      <c r="AS2313" s="8"/>
      <c r="AT2313" s="7"/>
      <c r="AU2313" s="7"/>
      <c r="AV2313" s="4" t="s">
        <v>228</v>
      </c>
      <c r="AW2313" s="8" t="s">
        <v>228</v>
      </c>
      <c r="AX2313" s="4" t="s">
        <v>228</v>
      </c>
      <c r="AY2313" s="8" t="s">
        <v>228</v>
      </c>
      <c r="AZ2313" s="7" t="s">
        <v>228</v>
      </c>
      <c r="BA2313" s="7" t="s">
        <v>228</v>
      </c>
      <c r="BB2313" s="7"/>
      <c r="BC2313" s="4" t="s">
        <v>228</v>
      </c>
      <c r="BD2313" s="8" t="s">
        <v>228</v>
      </c>
      <c r="BE2313" s="4" t="s">
        <v>228</v>
      </c>
      <c r="BF2313" s="8" t="s">
        <v>228</v>
      </c>
      <c r="BG2313" s="7" t="s">
        <v>228</v>
      </c>
      <c r="BH2313" s="7" t="s">
        <v>228</v>
      </c>
      <c r="BI2313" s="7"/>
      <c r="BJ2313" s="4"/>
      <c r="BK2313" s="8"/>
      <c r="BL2313" s="2" t="s">
        <v>228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10816</v>
      </c>
      <c r="BV2313" s="2" t="s">
        <v>228</v>
      </c>
      <c r="BW2313" s="2" t="s">
        <v>228</v>
      </c>
      <c r="BX2313" s="2" t="s">
        <v>238</v>
      </c>
      <c r="BY2313" s="2" t="s">
        <v>274</v>
      </c>
      <c r="BZ2313" s="2" t="s">
        <v>240</v>
      </c>
      <c r="CA2313" s="2" t="s">
        <v>228</v>
      </c>
      <c r="CB2313" s="2" t="s">
        <v>228</v>
      </c>
      <c r="CC2313" s="2" t="s">
        <v>241</v>
      </c>
      <c r="CD2313" s="2" t="s">
        <v>228</v>
      </c>
      <c r="CE2313" s="4"/>
      <c r="CF2313" s="4"/>
      <c r="CG2313" s="4"/>
      <c r="CH2313" s="4"/>
      <c r="CI2313" s="4"/>
      <c r="CJ2313" s="4"/>
      <c r="CK2313" s="4"/>
      <c r="CL2313" s="4"/>
      <c r="CM2313" s="4"/>
      <c r="CN2313" s="4"/>
      <c r="CO2313" s="4"/>
      <c r="CP2313" s="4"/>
      <c r="CQ2313" s="4"/>
      <c r="CR2313" s="4"/>
      <c r="CS2313" s="4"/>
      <c r="CT2313" s="4"/>
      <c r="CU2313" s="4">
        <v>450</v>
      </c>
      <c r="CV2313" s="4"/>
      <c r="CW2313" s="4"/>
      <c r="CX2313" s="4"/>
      <c r="CY2313" s="4"/>
      <c r="CZ2313" s="4"/>
      <c r="DA2313" s="4"/>
      <c r="DB2313" s="4"/>
      <c r="DC2313" s="4"/>
      <c r="DD2313" s="4">
        <v>450</v>
      </c>
      <c r="DE2313" s="4"/>
      <c r="DF2313" s="4"/>
      <c r="DG2313" s="4"/>
      <c r="DH2313" s="4"/>
      <c r="DI2313" s="4"/>
      <c r="DJ2313" s="4"/>
      <c r="DK2313" s="4"/>
      <c r="DL2313" s="4"/>
      <c r="DM2313" s="4"/>
      <c r="DN2313" s="4"/>
      <c r="DO2313" s="4"/>
      <c r="DP2313" s="4"/>
      <c r="DQ2313" s="4"/>
      <c r="DR2313" s="4"/>
      <c r="DS2313" s="4"/>
      <c r="DT2313" s="4"/>
      <c r="DU2313" s="4"/>
      <c r="DV2313" s="4"/>
      <c r="DW2313" s="4"/>
      <c r="DX2313" s="4"/>
      <c r="DY2313" s="4"/>
      <c r="DZ2313" s="4"/>
      <c r="EA2313" s="4"/>
      <c r="EB2313" s="4"/>
      <c r="EC2313" s="4"/>
      <c r="ED2313" s="4"/>
      <c r="EE2313" s="4"/>
      <c r="EF2313" s="4"/>
      <c r="EG2313" s="4"/>
      <c r="EH2313" s="4"/>
      <c r="EI2313" s="4"/>
      <c r="EJ2313" s="4"/>
      <c r="EK2313" s="4"/>
      <c r="EL2313" s="4"/>
      <c r="EM2313" s="4"/>
      <c r="EN2313" s="4"/>
      <c r="EO2313" s="4"/>
      <c r="EP2313" s="4"/>
      <c r="EQ2313" s="4"/>
      <c r="ER2313" s="4"/>
      <c r="ES2313" s="4"/>
      <c r="ET2313" s="4"/>
      <c r="EU2313" s="4"/>
      <c r="EV2313" s="4"/>
      <c r="EW2313" s="4"/>
      <c r="EX2313" s="4"/>
      <c r="EY2313" s="4"/>
      <c r="EZ2313" s="4"/>
      <c r="FA2313" s="4"/>
      <c r="FB2313" s="4"/>
      <c r="FC2313" s="4"/>
      <c r="FD2313" s="4"/>
      <c r="FE2313" s="4"/>
      <c r="FF2313" s="4"/>
      <c r="FG2313" s="4"/>
      <c r="FH2313" s="4"/>
      <c r="FI2313" s="4"/>
      <c r="FJ2313" s="4"/>
      <c r="FK2313" s="4"/>
      <c r="FL2313" s="4"/>
      <c r="FM2313" s="4"/>
      <c r="FN2313" s="4"/>
      <c r="FO2313" s="4"/>
      <c r="FP2313" s="4"/>
      <c r="FQ2313" s="4"/>
      <c r="FR2313" s="4"/>
      <c r="FS2313" s="4"/>
      <c r="FT2313" s="4"/>
      <c r="FU2313" s="4"/>
      <c r="FV2313" s="4"/>
      <c r="FW2313" s="4"/>
      <c r="FX2313" s="4"/>
      <c r="FY2313" s="4"/>
      <c r="FZ2313" s="4"/>
      <c r="GA2313" s="4"/>
      <c r="GB2313" s="4"/>
      <c r="GC2313" s="4"/>
      <c r="GD2313" s="4"/>
      <c r="GE2313" s="4"/>
      <c r="GF2313" s="4"/>
      <c r="GG2313" s="4"/>
      <c r="GH2313" s="4"/>
      <c r="GI2313" s="4"/>
      <c r="GJ2313" s="4"/>
      <c r="GK2313" s="4"/>
      <c r="GL2313" s="4"/>
      <c r="GM2313" s="4"/>
      <c r="GN2313" s="4"/>
      <c r="GO2313" s="4"/>
      <c r="GP2313" s="4"/>
      <c r="GQ2313" s="4"/>
      <c r="GR2313" s="4"/>
      <c r="GS2313" s="4"/>
      <c r="GT2313" s="4"/>
      <c r="GU2313" s="4"/>
      <c r="GV2313" s="4"/>
      <c r="GW2313" s="4"/>
      <c r="GX2313" s="4"/>
      <c r="GY2313" s="4"/>
      <c r="GZ2313" s="4"/>
      <c r="HA2313" s="4"/>
      <c r="HB2313" s="4"/>
      <c r="HC2313" s="4"/>
      <c r="HD2313" s="4"/>
      <c r="HE2313" s="4"/>
    </row>
    <row r="2314">
      <c r="A2314" s="2" t="s">
        <v>10817</v>
      </c>
      <c r="B2314" s="2" t="s">
        <v>1150</v>
      </c>
      <c r="C2314" s="2" t="s">
        <v>300</v>
      </c>
      <c r="D2314" s="2" t="s">
        <v>1316</v>
      </c>
      <c r="E2314" s="2" t="s">
        <v>1317</v>
      </c>
      <c r="F2314" s="2" t="s">
        <v>10809</v>
      </c>
      <c r="G2314" s="2" t="s">
        <v>10810</v>
      </c>
      <c r="H2314" s="2" t="s">
        <v>10811</v>
      </c>
      <c r="I2314" s="2" t="s">
        <v>10812</v>
      </c>
      <c r="J2314" s="2" t="s">
        <v>1043</v>
      </c>
      <c r="K2314" s="2" t="s">
        <v>598</v>
      </c>
      <c r="L2314" s="3">
        <v>47</v>
      </c>
      <c r="M2314" s="3">
        <v>49.35</v>
      </c>
      <c r="N2314" s="3">
        <v>99.99</v>
      </c>
      <c r="O2314" s="2" t="s">
        <v>240</v>
      </c>
      <c r="P2314" s="2" t="s">
        <v>233</v>
      </c>
      <c r="Q2314" s="2" t="s">
        <v>234</v>
      </c>
      <c r="R2314" s="2" t="s">
        <v>228</v>
      </c>
      <c r="S2314" s="2" t="s">
        <v>10813</v>
      </c>
      <c r="T2314" s="2" t="s">
        <v>415</v>
      </c>
      <c r="U2314" s="2" t="s">
        <v>500</v>
      </c>
      <c r="V2314" s="2" t="s">
        <v>236</v>
      </c>
      <c r="W2314" s="2" t="s">
        <v>1268</v>
      </c>
      <c r="X2314" s="2" t="s">
        <v>10814</v>
      </c>
      <c r="Y2314" s="2" t="s">
        <v>10815</v>
      </c>
      <c r="Z2314" s="4"/>
      <c r="AA2314" s="4">
        <f>=ROUNDDOWN({0},0)</f>
      </c>
      <c r="AB2314" s="5"/>
      <c r="AC2314" s="2" t="s">
        <v>1481</v>
      </c>
      <c r="AD2314" s="4">
        <v>450</v>
      </c>
      <c r="AE2314" s="4">
        <v>900</v>
      </c>
      <c r="AF2314" s="6">
        <v>65</v>
      </c>
      <c r="AG2314" s="6"/>
      <c r="AH2314" s="7"/>
      <c r="AI2314" s="4"/>
      <c r="AJ2314" s="4">
        <f>=ROUNDDOWN({0},0)</f>
      </c>
      <c r="AK2314" s="5"/>
      <c r="AL2314" s="2" t="s">
        <v>228</v>
      </c>
      <c r="AM2314" s="4"/>
      <c r="AN2314" s="4"/>
      <c r="AO2314" s="7"/>
      <c r="AP2314" s="4"/>
      <c r="AQ2314" s="8"/>
      <c r="AR2314" s="4"/>
      <c r="AS2314" s="8"/>
      <c r="AT2314" s="7"/>
      <c r="AU2314" s="7"/>
      <c r="AV2314" s="4" t="s">
        <v>228</v>
      </c>
      <c r="AW2314" s="8" t="s">
        <v>228</v>
      </c>
      <c r="AX2314" s="4" t="s">
        <v>228</v>
      </c>
      <c r="AY2314" s="8" t="s">
        <v>228</v>
      </c>
      <c r="AZ2314" s="7" t="s">
        <v>228</v>
      </c>
      <c r="BA2314" s="7" t="s">
        <v>228</v>
      </c>
      <c r="BB2314" s="7"/>
      <c r="BC2314" s="4" t="s">
        <v>228</v>
      </c>
      <c r="BD2314" s="8" t="s">
        <v>228</v>
      </c>
      <c r="BE2314" s="4" t="s">
        <v>228</v>
      </c>
      <c r="BF2314" s="8" t="s">
        <v>228</v>
      </c>
      <c r="BG2314" s="7" t="s">
        <v>228</v>
      </c>
      <c r="BH2314" s="7" t="s">
        <v>228</v>
      </c>
      <c r="BI2314" s="7"/>
      <c r="BJ2314" s="4"/>
      <c r="BK2314" s="8"/>
      <c r="BL2314" s="2" t="s">
        <v>228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10818</v>
      </c>
      <c r="BV2314" s="2" t="s">
        <v>228</v>
      </c>
      <c r="BW2314" s="2" t="s">
        <v>228</v>
      </c>
      <c r="BX2314" s="2" t="s">
        <v>238</v>
      </c>
      <c r="BY2314" s="2" t="s">
        <v>274</v>
      </c>
      <c r="BZ2314" s="2" t="s">
        <v>240</v>
      </c>
      <c r="CA2314" s="2" t="s">
        <v>228</v>
      </c>
      <c r="CB2314" s="2" t="s">
        <v>228</v>
      </c>
      <c r="CC2314" s="2" t="s">
        <v>241</v>
      </c>
      <c r="CD2314" s="2" t="s">
        <v>228</v>
      </c>
      <c r="CE2314" s="4"/>
      <c r="CF2314" s="4"/>
      <c r="CG2314" s="4"/>
      <c r="CH2314" s="4"/>
      <c r="CI2314" s="4"/>
      <c r="CJ2314" s="4"/>
      <c r="CK2314" s="4"/>
      <c r="CL2314" s="4"/>
      <c r="CM2314" s="4"/>
      <c r="CN2314" s="4"/>
      <c r="CO2314" s="4"/>
      <c r="CP2314" s="4"/>
      <c r="CQ2314" s="4"/>
      <c r="CR2314" s="4"/>
      <c r="CS2314" s="4"/>
      <c r="CT2314" s="4"/>
      <c r="CU2314" s="4">
        <v>450</v>
      </c>
      <c r="CV2314" s="4"/>
      <c r="CW2314" s="4"/>
      <c r="CX2314" s="4"/>
      <c r="CY2314" s="4"/>
      <c r="CZ2314" s="4"/>
      <c r="DA2314" s="4"/>
      <c r="DB2314" s="4"/>
      <c r="DC2314" s="4"/>
      <c r="DD2314" s="4">
        <v>450</v>
      </c>
      <c r="DE2314" s="4"/>
      <c r="DF2314" s="4"/>
      <c r="DG2314" s="4"/>
      <c r="DH2314" s="4"/>
      <c r="DI2314" s="4"/>
      <c r="DJ2314" s="4"/>
      <c r="DK2314" s="4"/>
      <c r="DL2314" s="4"/>
      <c r="DM2314" s="4"/>
      <c r="DN2314" s="4"/>
      <c r="DO2314" s="4"/>
      <c r="DP2314" s="4"/>
      <c r="DQ2314" s="4"/>
      <c r="DR2314" s="4"/>
      <c r="DS2314" s="4"/>
      <c r="DT2314" s="4"/>
      <c r="DU2314" s="4"/>
      <c r="DV2314" s="4"/>
      <c r="DW2314" s="4"/>
      <c r="DX2314" s="4"/>
      <c r="DY2314" s="4"/>
      <c r="DZ2314" s="4"/>
      <c r="EA2314" s="4"/>
      <c r="EB2314" s="4"/>
      <c r="EC2314" s="4"/>
      <c r="ED2314" s="4"/>
      <c r="EE2314" s="4"/>
      <c r="EF2314" s="4"/>
      <c r="EG2314" s="4"/>
      <c r="EH2314" s="4"/>
      <c r="EI2314" s="4"/>
      <c r="EJ2314" s="4"/>
      <c r="EK2314" s="4"/>
      <c r="EL2314" s="4"/>
      <c r="EM2314" s="4"/>
      <c r="EN2314" s="4"/>
      <c r="EO2314" s="4"/>
      <c r="EP2314" s="4"/>
      <c r="EQ2314" s="4"/>
      <c r="ER2314" s="4"/>
      <c r="ES2314" s="4"/>
      <c r="ET2314" s="4"/>
      <c r="EU2314" s="4"/>
      <c r="EV2314" s="4"/>
      <c r="EW2314" s="4"/>
      <c r="EX2314" s="4"/>
      <c r="EY2314" s="4"/>
      <c r="EZ2314" s="4"/>
      <c r="FA2314" s="4"/>
      <c r="FB2314" s="4"/>
      <c r="FC2314" s="4"/>
      <c r="FD2314" s="4"/>
      <c r="FE2314" s="4"/>
      <c r="FF2314" s="4"/>
      <c r="FG2314" s="4"/>
      <c r="FH2314" s="4"/>
      <c r="FI2314" s="4"/>
      <c r="FJ2314" s="4"/>
      <c r="FK2314" s="4"/>
      <c r="FL2314" s="4"/>
      <c r="FM2314" s="4"/>
      <c r="FN2314" s="4"/>
      <c r="FO2314" s="4"/>
      <c r="FP2314" s="4"/>
      <c r="FQ2314" s="4"/>
      <c r="FR2314" s="4"/>
      <c r="FS2314" s="4"/>
      <c r="FT2314" s="4"/>
      <c r="FU2314" s="4"/>
      <c r="FV2314" s="4"/>
      <c r="FW2314" s="4"/>
      <c r="FX2314" s="4"/>
      <c r="FY2314" s="4"/>
      <c r="FZ2314" s="4"/>
      <c r="GA2314" s="4"/>
      <c r="GB2314" s="4"/>
      <c r="GC2314" s="4"/>
      <c r="GD2314" s="4"/>
      <c r="GE2314" s="4"/>
      <c r="GF2314" s="4"/>
      <c r="GG2314" s="4"/>
      <c r="GH2314" s="4"/>
      <c r="GI2314" s="4"/>
      <c r="GJ2314" s="4"/>
      <c r="GK2314" s="4"/>
      <c r="GL2314" s="4"/>
      <c r="GM2314" s="4"/>
      <c r="GN2314" s="4"/>
      <c r="GO2314" s="4"/>
      <c r="GP2314" s="4"/>
      <c r="GQ2314" s="4"/>
      <c r="GR2314" s="4"/>
      <c r="GS2314" s="4"/>
      <c r="GT2314" s="4"/>
      <c r="GU2314" s="4"/>
      <c r="GV2314" s="4"/>
      <c r="GW2314" s="4"/>
      <c r="GX2314" s="4"/>
      <c r="GY2314" s="4"/>
      <c r="GZ2314" s="4"/>
      <c r="HA2314" s="4"/>
      <c r="HB2314" s="4"/>
      <c r="HC2314" s="4"/>
      <c r="HD2314" s="4"/>
      <c r="HE2314" s="4"/>
    </row>
    <row r="2315">
      <c r="A2315" s="2" t="s">
        <v>10819</v>
      </c>
      <c r="B2315" s="2" t="s">
        <v>1150</v>
      </c>
      <c r="C2315" s="2" t="s">
        <v>300</v>
      </c>
      <c r="D2315" s="2" t="s">
        <v>1601</v>
      </c>
      <c r="E2315" s="2" t="s">
        <v>1602</v>
      </c>
      <c r="F2315" s="2" t="s">
        <v>10809</v>
      </c>
      <c r="G2315" s="2" t="s">
        <v>10810</v>
      </c>
      <c r="H2315" s="2" t="s">
        <v>10811</v>
      </c>
      <c r="I2315" s="2" t="s">
        <v>10820</v>
      </c>
      <c r="J2315" s="2" t="s">
        <v>10821</v>
      </c>
      <c r="K2315" s="2" t="s">
        <v>598</v>
      </c>
      <c r="L2315" s="3">
        <v>19.2</v>
      </c>
      <c r="M2315" s="3">
        <v>20.15</v>
      </c>
      <c r="N2315" s="3">
        <v>39.99</v>
      </c>
      <c r="O2315" s="2" t="s">
        <v>240</v>
      </c>
      <c r="P2315" s="2" t="s">
        <v>266</v>
      </c>
      <c r="Q2315" s="2" t="s">
        <v>234</v>
      </c>
      <c r="R2315" s="2" t="s">
        <v>228</v>
      </c>
      <c r="S2315" s="2" t="s">
        <v>10822</v>
      </c>
      <c r="T2315" s="2" t="s">
        <v>415</v>
      </c>
      <c r="U2315" s="2" t="s">
        <v>416</v>
      </c>
      <c r="V2315" s="2" t="s">
        <v>1156</v>
      </c>
      <c r="W2315" s="2" t="s">
        <v>1268</v>
      </c>
      <c r="X2315" s="2" t="s">
        <v>269</v>
      </c>
      <c r="Y2315" s="2" t="s">
        <v>270</v>
      </c>
      <c r="Z2315" s="4">
        <v>677</v>
      </c>
      <c r="AA2315" s="4">
        <f>=ROUNDDOWN(19.3428571428571,0)</f>
      </c>
      <c r="AB2315" s="5">
        <v>35</v>
      </c>
      <c r="AC2315" s="2" t="s">
        <v>173</v>
      </c>
      <c r="AD2315" s="4">
        <v>450</v>
      </c>
      <c r="AE2315" s="4">
        <v>450</v>
      </c>
      <c r="AF2315" s="6">
        <v>64</v>
      </c>
      <c r="AG2315" s="6"/>
      <c r="AH2315" s="7">
        <v>1</v>
      </c>
      <c r="AI2315" s="4"/>
      <c r="AJ2315" s="4">
        <f>=ROUNDDOWN({0},0)</f>
      </c>
      <c r="AK2315" s="5"/>
      <c r="AL2315" s="2" t="s">
        <v>228</v>
      </c>
      <c r="AM2315" s="4"/>
      <c r="AN2315" s="4"/>
      <c r="AO2315" s="7"/>
      <c r="AP2315" s="4"/>
      <c r="AQ2315" s="8"/>
      <c r="AR2315" s="4"/>
      <c r="AS2315" s="8"/>
      <c r="AT2315" s="7"/>
      <c r="AU2315" s="7"/>
      <c r="AV2315" s="4" t="s">
        <v>228</v>
      </c>
      <c r="AW2315" s="8" t="s">
        <v>228</v>
      </c>
      <c r="AX2315" s="4" t="s">
        <v>228</v>
      </c>
      <c r="AY2315" s="8" t="s">
        <v>228</v>
      </c>
      <c r="AZ2315" s="7" t="s">
        <v>228</v>
      </c>
      <c r="BA2315" s="7" t="s">
        <v>228</v>
      </c>
      <c r="BB2315" s="7"/>
      <c r="BC2315" s="4" t="s">
        <v>228</v>
      </c>
      <c r="BD2315" s="8" t="s">
        <v>228</v>
      </c>
      <c r="BE2315" s="4" t="s">
        <v>228</v>
      </c>
      <c r="BF2315" s="8" t="s">
        <v>228</v>
      </c>
      <c r="BG2315" s="7" t="s">
        <v>228</v>
      </c>
      <c r="BH2315" s="7" t="s">
        <v>228</v>
      </c>
      <c r="BI2315" s="7"/>
      <c r="BJ2315" s="4">
        <v>112</v>
      </c>
      <c r="BK2315" s="8">
        <v>2288.23</v>
      </c>
      <c r="BL2315" s="2" t="s">
        <v>10823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10824</v>
      </c>
      <c r="BV2315" s="2" t="s">
        <v>228</v>
      </c>
      <c r="BW2315" s="2" t="s">
        <v>228</v>
      </c>
      <c r="BX2315" s="2" t="s">
        <v>273</v>
      </c>
      <c r="BY2315" s="2" t="s">
        <v>274</v>
      </c>
      <c r="BZ2315" s="2" t="s">
        <v>240</v>
      </c>
      <c r="CA2315" s="2" t="s">
        <v>7350</v>
      </c>
      <c r="CB2315" s="2" t="s">
        <v>10825</v>
      </c>
      <c r="CC2315" s="2" t="s">
        <v>241</v>
      </c>
      <c r="CD2315" s="2" t="s">
        <v>228</v>
      </c>
      <c r="CE2315" s="4">
        <v>227</v>
      </c>
      <c r="CF2315" s="4"/>
      <c r="CG2315" s="4"/>
      <c r="CH2315" s="4"/>
      <c r="CI2315" s="4"/>
      <c r="CJ2315" s="4"/>
      <c r="CK2315" s="4">
        <v>450</v>
      </c>
      <c r="CL2315" s="4"/>
      <c r="CM2315" s="4"/>
      <c r="CN2315" s="4"/>
      <c r="CO2315" s="4"/>
      <c r="CP2315" s="4"/>
      <c r="CQ2315" s="4"/>
      <c r="CR2315" s="4"/>
      <c r="CS2315" s="4"/>
      <c r="CT2315" s="4"/>
      <c r="CU2315" s="4"/>
      <c r="CV2315" s="4"/>
      <c r="CW2315" s="4"/>
      <c r="CX2315" s="4"/>
      <c r="CY2315" s="4"/>
      <c r="CZ2315" s="4"/>
      <c r="DA2315" s="4"/>
      <c r="DB2315" s="4"/>
      <c r="DC2315" s="4"/>
      <c r="DD2315" s="4"/>
      <c r="DE2315" s="4"/>
      <c r="DF2315" s="4"/>
      <c r="DG2315" s="4"/>
      <c r="DH2315" s="4"/>
      <c r="DI2315" s="4"/>
      <c r="DJ2315" s="4"/>
      <c r="DK2315" s="4"/>
      <c r="DL2315" s="4"/>
      <c r="DM2315" s="4"/>
      <c r="DN2315" s="4"/>
      <c r="DO2315" s="4"/>
      <c r="DP2315" s="4"/>
      <c r="DQ2315" s="4"/>
      <c r="DR2315" s="4"/>
      <c r="DS2315" s="4"/>
      <c r="DT2315" s="4"/>
      <c r="DU2315" s="4"/>
      <c r="DV2315" s="4"/>
      <c r="DW2315" s="4"/>
      <c r="DX2315" s="4"/>
      <c r="DY2315" s="4"/>
      <c r="DZ2315" s="4"/>
      <c r="EA2315" s="4"/>
      <c r="EB2315" s="4"/>
      <c r="EC2315" s="4"/>
      <c r="ED2315" s="4"/>
      <c r="EE2315" s="4"/>
      <c r="EF2315" s="4"/>
      <c r="EG2315" s="4"/>
      <c r="EH2315" s="4"/>
      <c r="EI2315" s="4"/>
      <c r="EJ2315" s="4"/>
      <c r="EK2315" s="4"/>
      <c r="EL2315" s="4"/>
      <c r="EM2315" s="4"/>
      <c r="EN2315" s="4"/>
      <c r="EO2315" s="4"/>
      <c r="EP2315" s="4"/>
      <c r="EQ2315" s="4"/>
      <c r="ER2315" s="4"/>
      <c r="ES2315" s="4"/>
      <c r="ET2315" s="4"/>
      <c r="EU2315" s="4"/>
      <c r="EV2315" s="4"/>
      <c r="EW2315" s="4"/>
      <c r="EX2315" s="4"/>
      <c r="EY2315" s="4"/>
      <c r="EZ2315" s="4"/>
      <c r="FA2315" s="4"/>
      <c r="FB2315" s="4"/>
      <c r="FC2315" s="4"/>
      <c r="FD2315" s="4"/>
      <c r="FE2315" s="4"/>
      <c r="FF2315" s="4"/>
      <c r="FG2315" s="4"/>
      <c r="FH2315" s="4"/>
      <c r="FI2315" s="4">
        <v>450</v>
      </c>
      <c r="FJ2315" s="4"/>
      <c r="FK2315" s="4"/>
      <c r="FL2315" s="4"/>
      <c r="FM2315" s="4"/>
      <c r="FN2315" s="4"/>
      <c r="FO2315" s="4"/>
      <c r="FP2315" s="4"/>
      <c r="FQ2315" s="4"/>
      <c r="FR2315" s="4"/>
      <c r="FS2315" s="4"/>
      <c r="FT2315" s="4"/>
      <c r="FU2315" s="4"/>
      <c r="FV2315" s="4"/>
      <c r="FW2315" s="4"/>
      <c r="FX2315" s="4"/>
      <c r="FY2315" s="4"/>
      <c r="FZ2315" s="4"/>
      <c r="GA2315" s="4"/>
      <c r="GB2315" s="4"/>
      <c r="GC2315" s="4"/>
      <c r="GD2315" s="4"/>
      <c r="GE2315" s="4"/>
      <c r="GF2315" s="4"/>
      <c r="GG2315" s="4"/>
      <c r="GH2315" s="4"/>
      <c r="GI2315" s="4"/>
      <c r="GJ2315" s="4"/>
      <c r="GK2315" s="4"/>
      <c r="GL2315" s="4"/>
      <c r="GM2315" s="4"/>
      <c r="GN2315" s="4"/>
      <c r="GO2315" s="4"/>
      <c r="GP2315" s="4"/>
      <c r="GQ2315" s="4"/>
      <c r="GR2315" s="4"/>
      <c r="GS2315" s="4"/>
      <c r="GT2315" s="4"/>
      <c r="GU2315" s="4"/>
      <c r="GV2315" s="4"/>
      <c r="GW2315" s="4"/>
      <c r="GX2315" s="4"/>
      <c r="GY2315" s="4"/>
      <c r="GZ2315" s="4"/>
      <c r="HA2315" s="4"/>
      <c r="HB2315" s="4"/>
      <c r="HC2315" s="4"/>
      <c r="HD2315" s="4"/>
      <c r="HE2315" s="4"/>
    </row>
    <row r="2316">
      <c r="A2316" s="2" t="s">
        <v>10826</v>
      </c>
      <c r="B2316" s="2" t="s">
        <v>1150</v>
      </c>
      <c r="C2316" s="2" t="s">
        <v>300</v>
      </c>
      <c r="D2316" s="2" t="s">
        <v>1316</v>
      </c>
      <c r="E2316" s="2" t="s">
        <v>9660</v>
      </c>
      <c r="F2316" s="2" t="s">
        <v>10809</v>
      </c>
      <c r="G2316" s="2" t="s">
        <v>10810</v>
      </c>
      <c r="H2316" s="2" t="s">
        <v>10811</v>
      </c>
      <c r="I2316" s="2" t="s">
        <v>10827</v>
      </c>
      <c r="J2316" s="2" t="s">
        <v>9665</v>
      </c>
      <c r="K2316" s="2" t="s">
        <v>598</v>
      </c>
      <c r="L2316" s="3">
        <v>47</v>
      </c>
      <c r="M2316" s="3">
        <v>49.35</v>
      </c>
      <c r="N2316" s="3">
        <v>99.99</v>
      </c>
      <c r="O2316" s="2" t="s">
        <v>240</v>
      </c>
      <c r="P2316" s="2" t="s">
        <v>233</v>
      </c>
      <c r="Q2316" s="2" t="s">
        <v>234</v>
      </c>
      <c r="R2316" s="2" t="s">
        <v>228</v>
      </c>
      <c r="S2316" s="2" t="s">
        <v>10813</v>
      </c>
      <c r="T2316" s="2" t="s">
        <v>415</v>
      </c>
      <c r="U2316" s="2" t="s">
        <v>1054</v>
      </c>
      <c r="V2316" s="2" t="s">
        <v>236</v>
      </c>
      <c r="W2316" s="2" t="s">
        <v>1268</v>
      </c>
      <c r="X2316" s="2" t="s">
        <v>4537</v>
      </c>
      <c r="Y2316" s="2" t="s">
        <v>10331</v>
      </c>
      <c r="Z2316" s="4">
        <v>360</v>
      </c>
      <c r="AA2316" s="4">
        <f>=ROUNDDOWN({0},0)</f>
      </c>
      <c r="AB2316" s="5"/>
      <c r="AC2316" s="2" t="s">
        <v>1191</v>
      </c>
      <c r="AD2316" s="4">
        <v>600</v>
      </c>
      <c r="AE2316" s="4">
        <v>600</v>
      </c>
      <c r="AF2316" s="6">
        <v>65</v>
      </c>
      <c r="AG2316" s="6"/>
      <c r="AH2316" s="7">
        <v>1</v>
      </c>
      <c r="AI2316" s="4"/>
      <c r="AJ2316" s="4">
        <f>=ROUNDDOWN({0},0)</f>
      </c>
      <c r="AK2316" s="5"/>
      <c r="AL2316" s="2" t="s">
        <v>228</v>
      </c>
      <c r="AM2316" s="4"/>
      <c r="AN2316" s="4"/>
      <c r="AO2316" s="7"/>
      <c r="AP2316" s="4"/>
      <c r="AQ2316" s="8"/>
      <c r="AR2316" s="4"/>
      <c r="AS2316" s="8"/>
      <c r="AT2316" s="7"/>
      <c r="AU2316" s="7"/>
      <c r="AV2316" s="4" t="s">
        <v>228</v>
      </c>
      <c r="AW2316" s="8" t="s">
        <v>228</v>
      </c>
      <c r="AX2316" s="4" t="s">
        <v>228</v>
      </c>
      <c r="AY2316" s="8" t="s">
        <v>228</v>
      </c>
      <c r="AZ2316" s="7" t="s">
        <v>228</v>
      </c>
      <c r="BA2316" s="7" t="s">
        <v>228</v>
      </c>
      <c r="BB2316" s="7"/>
      <c r="BC2316" s="4" t="s">
        <v>228</v>
      </c>
      <c r="BD2316" s="8" t="s">
        <v>228</v>
      </c>
      <c r="BE2316" s="4" t="s">
        <v>228</v>
      </c>
      <c r="BF2316" s="8" t="s">
        <v>228</v>
      </c>
      <c r="BG2316" s="7" t="s">
        <v>228</v>
      </c>
      <c r="BH2316" s="7" t="s">
        <v>228</v>
      </c>
      <c r="BI2316" s="7"/>
      <c r="BJ2316" s="4"/>
      <c r="BK2316" s="8"/>
      <c r="BL2316" s="2" t="s">
        <v>228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10828</v>
      </c>
      <c r="BV2316" s="2" t="s">
        <v>228</v>
      </c>
      <c r="BW2316" s="2" t="s">
        <v>228</v>
      </c>
      <c r="BX2316" s="2" t="s">
        <v>238</v>
      </c>
      <c r="BY2316" s="2" t="s">
        <v>274</v>
      </c>
      <c r="BZ2316" s="2" t="s">
        <v>240</v>
      </c>
      <c r="CA2316" s="2" t="s">
        <v>228</v>
      </c>
      <c r="CB2316" s="2" t="s">
        <v>228</v>
      </c>
      <c r="CC2316" s="2" t="s">
        <v>241</v>
      </c>
      <c r="CD2316" s="2" t="s">
        <v>228</v>
      </c>
      <c r="CE2316" s="4">
        <v>360</v>
      </c>
      <c r="CF2316" s="4"/>
      <c r="CG2316" s="4"/>
      <c r="CH2316" s="4"/>
      <c r="CI2316" s="4"/>
      <c r="CJ2316" s="4"/>
      <c r="CK2316" s="4"/>
      <c r="CL2316" s="4"/>
      <c r="CM2316" s="4"/>
      <c r="CN2316" s="4"/>
      <c r="CO2316" s="4"/>
      <c r="CP2316" s="4"/>
      <c r="CQ2316" s="4"/>
      <c r="CR2316" s="4"/>
      <c r="CS2316" s="4"/>
      <c r="CT2316" s="4"/>
      <c r="CU2316" s="4"/>
      <c r="CV2316" s="4"/>
      <c r="CW2316" s="4"/>
      <c r="CX2316" s="4"/>
      <c r="CY2316" s="4"/>
      <c r="CZ2316" s="4"/>
      <c r="DA2316" s="4"/>
      <c r="DB2316" s="4"/>
      <c r="DC2316" s="4"/>
      <c r="DD2316" s="4">
        <v>600</v>
      </c>
      <c r="DE2316" s="4"/>
      <c r="DF2316" s="4"/>
      <c r="DG2316" s="4"/>
      <c r="DH2316" s="4"/>
      <c r="DI2316" s="4"/>
      <c r="DJ2316" s="4"/>
      <c r="DK2316" s="4"/>
      <c r="DL2316" s="4"/>
      <c r="DM2316" s="4"/>
      <c r="DN2316" s="4"/>
      <c r="DO2316" s="4"/>
      <c r="DP2316" s="4"/>
      <c r="DQ2316" s="4"/>
      <c r="DR2316" s="4"/>
      <c r="DS2316" s="4"/>
      <c r="DT2316" s="4"/>
      <c r="DU2316" s="4"/>
      <c r="DV2316" s="4"/>
      <c r="DW2316" s="4"/>
      <c r="DX2316" s="4"/>
      <c r="DY2316" s="4"/>
      <c r="DZ2316" s="4"/>
      <c r="EA2316" s="4"/>
      <c r="EB2316" s="4"/>
      <c r="EC2316" s="4"/>
      <c r="ED2316" s="4"/>
      <c r="EE2316" s="4"/>
      <c r="EF2316" s="4"/>
      <c r="EG2316" s="4"/>
      <c r="EH2316" s="4"/>
      <c r="EI2316" s="4"/>
      <c r="EJ2316" s="4"/>
      <c r="EK2316" s="4"/>
      <c r="EL2316" s="4"/>
      <c r="EM2316" s="4"/>
      <c r="EN2316" s="4"/>
      <c r="EO2316" s="4"/>
      <c r="EP2316" s="4"/>
      <c r="EQ2316" s="4"/>
      <c r="ER2316" s="4"/>
      <c r="ES2316" s="4"/>
      <c r="ET2316" s="4"/>
      <c r="EU2316" s="4"/>
      <c r="EV2316" s="4"/>
      <c r="EW2316" s="4"/>
      <c r="EX2316" s="4"/>
      <c r="EY2316" s="4"/>
      <c r="EZ2316" s="4"/>
      <c r="FA2316" s="4"/>
      <c r="FB2316" s="4"/>
      <c r="FC2316" s="4"/>
      <c r="FD2316" s="4"/>
      <c r="FE2316" s="4"/>
      <c r="FF2316" s="4"/>
      <c r="FG2316" s="4"/>
      <c r="FH2316" s="4"/>
      <c r="FI2316" s="4"/>
      <c r="FJ2316" s="4"/>
      <c r="FK2316" s="4"/>
      <c r="FL2316" s="4"/>
      <c r="FM2316" s="4"/>
      <c r="FN2316" s="4"/>
      <c r="FO2316" s="4"/>
      <c r="FP2316" s="4"/>
      <c r="FQ2316" s="4"/>
      <c r="FR2316" s="4"/>
      <c r="FS2316" s="4"/>
      <c r="FT2316" s="4"/>
      <c r="FU2316" s="4"/>
      <c r="FV2316" s="4"/>
      <c r="FW2316" s="4"/>
      <c r="FX2316" s="4"/>
      <c r="FY2316" s="4"/>
      <c r="FZ2316" s="4"/>
      <c r="GA2316" s="4"/>
      <c r="GB2316" s="4"/>
      <c r="GC2316" s="4"/>
      <c r="GD2316" s="4"/>
      <c r="GE2316" s="4"/>
      <c r="GF2316" s="4"/>
      <c r="GG2316" s="4"/>
      <c r="GH2316" s="4"/>
      <c r="GI2316" s="4"/>
      <c r="GJ2316" s="4"/>
      <c r="GK2316" s="4"/>
      <c r="GL2316" s="4"/>
      <c r="GM2316" s="4"/>
      <c r="GN2316" s="4"/>
      <c r="GO2316" s="4"/>
      <c r="GP2316" s="4"/>
      <c r="GQ2316" s="4"/>
      <c r="GR2316" s="4"/>
      <c r="GS2316" s="4"/>
      <c r="GT2316" s="4"/>
      <c r="GU2316" s="4"/>
      <c r="GV2316" s="4"/>
      <c r="GW2316" s="4"/>
      <c r="GX2316" s="4"/>
      <c r="GY2316" s="4"/>
      <c r="GZ2316" s="4"/>
      <c r="HA2316" s="4"/>
      <c r="HB2316" s="4"/>
      <c r="HC2316" s="4"/>
      <c r="HD2316" s="4"/>
      <c r="HE2316" s="4"/>
    </row>
    <row r="2317">
      <c r="A2317" s="2" t="s">
        <v>10829</v>
      </c>
      <c r="B2317" s="2" t="s">
        <v>958</v>
      </c>
      <c r="C2317" s="2" t="s">
        <v>300</v>
      </c>
      <c r="D2317" s="2" t="s">
        <v>1006</v>
      </c>
      <c r="E2317" s="2" t="s">
        <v>1007</v>
      </c>
      <c r="F2317" s="2" t="s">
        <v>10830</v>
      </c>
      <c r="G2317" s="2" t="s">
        <v>10831</v>
      </c>
      <c r="H2317" s="2" t="s">
        <v>6350</v>
      </c>
      <c r="I2317" s="2" t="s">
        <v>1011</v>
      </c>
      <c r="J2317" s="2" t="s">
        <v>840</v>
      </c>
      <c r="K2317" s="2" t="s">
        <v>1606</v>
      </c>
      <c r="L2317" s="3">
        <v>207</v>
      </c>
      <c r="M2317" s="3">
        <v>217.35</v>
      </c>
      <c r="N2317" s="3">
        <v>439</v>
      </c>
      <c r="O2317" s="2" t="s">
        <v>240</v>
      </c>
      <c r="P2317" s="2" t="s">
        <v>266</v>
      </c>
      <c r="Q2317" s="2" t="s">
        <v>234</v>
      </c>
      <c r="R2317" s="2" t="s">
        <v>228</v>
      </c>
      <c r="S2317" s="2" t="s">
        <v>228</v>
      </c>
      <c r="T2317" s="2" t="s">
        <v>228</v>
      </c>
      <c r="U2317" s="2" t="s">
        <v>228</v>
      </c>
      <c r="V2317" s="2" t="s">
        <v>236</v>
      </c>
      <c r="W2317" s="2" t="s">
        <v>463</v>
      </c>
      <c r="X2317" s="2" t="s">
        <v>228</v>
      </c>
      <c r="Y2317" s="2" t="s">
        <v>1055</v>
      </c>
      <c r="Z2317" s="4">
        <v>308</v>
      </c>
      <c r="AA2317" s="4">
        <f>=ROUNDDOWN(38.5,0)</f>
      </c>
      <c r="AB2317" s="5">
        <v>8</v>
      </c>
      <c r="AC2317" s="2" t="s">
        <v>228</v>
      </c>
      <c r="AD2317" s="4"/>
      <c r="AE2317" s="4"/>
      <c r="AF2317" s="6">
        <v>74</v>
      </c>
      <c r="AG2317" s="6"/>
      <c r="AH2317" s="7">
        <v>1</v>
      </c>
      <c r="AI2317" s="4"/>
      <c r="AJ2317" s="4">
        <f>=ROUNDDOWN({0},0)</f>
      </c>
      <c r="AK2317" s="5"/>
      <c r="AL2317" s="2" t="s">
        <v>228</v>
      </c>
      <c r="AM2317" s="4"/>
      <c r="AN2317" s="4"/>
      <c r="AO2317" s="7"/>
      <c r="AP2317" s="4"/>
      <c r="AQ2317" s="8"/>
      <c r="AR2317" s="4"/>
      <c r="AS2317" s="8"/>
      <c r="AT2317" s="7"/>
      <c r="AU2317" s="7"/>
      <c r="AV2317" s="4"/>
      <c r="AW2317" s="8"/>
      <c r="AX2317" s="4"/>
      <c r="AY2317" s="8"/>
      <c r="AZ2317" s="7"/>
      <c r="BA2317" s="7"/>
      <c r="BB2317" s="7"/>
      <c r="BC2317" s="4"/>
      <c r="BD2317" s="8"/>
      <c r="BE2317" s="4"/>
      <c r="BF2317" s="8"/>
      <c r="BG2317" s="7"/>
      <c r="BH2317" s="7"/>
      <c r="BI2317" s="7"/>
      <c r="BJ2317" s="4">
        <v>45</v>
      </c>
      <c r="BK2317" s="8">
        <v>9035.24</v>
      </c>
      <c r="BL2317" s="2" t="s">
        <v>10832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10833</v>
      </c>
      <c r="BV2317" s="2" t="s">
        <v>228</v>
      </c>
      <c r="BW2317" s="2" t="s">
        <v>228</v>
      </c>
      <c r="BX2317" s="2" t="s">
        <v>735</v>
      </c>
      <c r="BY2317" s="2" t="s">
        <v>274</v>
      </c>
      <c r="BZ2317" s="2" t="s">
        <v>240</v>
      </c>
      <c r="CA2317" s="2" t="s">
        <v>4550</v>
      </c>
      <c r="CB2317" s="2" t="s">
        <v>10834</v>
      </c>
      <c r="CC2317" s="2" t="s">
        <v>241</v>
      </c>
      <c r="CD2317" s="2" t="s">
        <v>228</v>
      </c>
      <c r="CE2317" s="4"/>
      <c r="CF2317" s="4">
        <v>308</v>
      </c>
      <c r="CG2317" s="4"/>
      <c r="CH2317" s="4"/>
      <c r="CI2317" s="4"/>
      <c r="CJ2317" s="4"/>
      <c r="CK2317" s="4"/>
      <c r="CL2317" s="4"/>
      <c r="CM2317" s="4"/>
      <c r="CN2317" s="4"/>
      <c r="CO2317" s="4"/>
      <c r="CP2317" s="4"/>
      <c r="CQ2317" s="4"/>
      <c r="CR2317" s="4"/>
      <c r="CS2317" s="4"/>
      <c r="CT2317" s="4"/>
      <c r="CU2317" s="4"/>
      <c r="CV2317" s="4"/>
      <c r="CW2317" s="4"/>
      <c r="CX2317" s="4"/>
      <c r="CY2317" s="4"/>
      <c r="CZ2317" s="4"/>
      <c r="DA2317" s="4"/>
      <c r="DB2317" s="4"/>
      <c r="DC2317" s="4"/>
      <c r="DD2317" s="4"/>
      <c r="DE2317" s="4"/>
      <c r="DF2317" s="4"/>
      <c r="DG2317" s="4"/>
      <c r="DH2317" s="4"/>
      <c r="DI2317" s="4"/>
      <c r="DJ2317" s="4"/>
      <c r="DK2317" s="4"/>
      <c r="DL2317" s="4"/>
      <c r="DM2317" s="4"/>
      <c r="DN2317" s="4"/>
      <c r="DO2317" s="4"/>
      <c r="DP2317" s="4"/>
      <c r="DQ2317" s="4"/>
      <c r="DR2317" s="4"/>
      <c r="DS2317" s="4"/>
      <c r="DT2317" s="4"/>
      <c r="DU2317" s="4"/>
      <c r="DV2317" s="4"/>
      <c r="DW2317" s="4"/>
      <c r="DX2317" s="4"/>
      <c r="DY2317" s="4"/>
      <c r="DZ2317" s="4"/>
      <c r="EA2317" s="4"/>
      <c r="EB2317" s="4"/>
      <c r="EC2317" s="4"/>
      <c r="ED2317" s="4"/>
      <c r="EE2317" s="4"/>
      <c r="EF2317" s="4"/>
      <c r="EG2317" s="4"/>
      <c r="EH2317" s="4"/>
      <c r="EI2317" s="4"/>
      <c r="EJ2317" s="4"/>
      <c r="EK2317" s="4"/>
      <c r="EL2317" s="4"/>
      <c r="EM2317" s="4"/>
      <c r="EN2317" s="4"/>
      <c r="EO2317" s="4"/>
      <c r="EP2317" s="4"/>
      <c r="EQ2317" s="4"/>
      <c r="ER2317" s="4"/>
      <c r="ES2317" s="4"/>
      <c r="ET2317" s="4"/>
      <c r="EU2317" s="4"/>
      <c r="EV2317" s="4"/>
      <c r="EW2317" s="4"/>
      <c r="EX2317" s="4"/>
      <c r="EY2317" s="4"/>
      <c r="EZ2317" s="4"/>
      <c r="FA2317" s="4"/>
      <c r="FB2317" s="4"/>
      <c r="FC2317" s="4"/>
      <c r="FD2317" s="4"/>
      <c r="FE2317" s="4"/>
      <c r="FF2317" s="4"/>
      <c r="FG2317" s="4"/>
      <c r="FH2317" s="4"/>
      <c r="FI2317" s="4"/>
      <c r="FJ2317" s="4"/>
      <c r="FK2317" s="4"/>
      <c r="FL2317" s="4"/>
      <c r="FM2317" s="4"/>
      <c r="FN2317" s="4"/>
      <c r="FO2317" s="4"/>
      <c r="FP2317" s="4"/>
      <c r="FQ2317" s="4"/>
      <c r="FR2317" s="4"/>
      <c r="FS2317" s="4"/>
      <c r="FT2317" s="4"/>
      <c r="FU2317" s="4"/>
      <c r="FV2317" s="4"/>
      <c r="FW2317" s="4"/>
      <c r="FX2317" s="4"/>
      <c r="FY2317" s="4"/>
      <c r="FZ2317" s="4"/>
      <c r="GA2317" s="4"/>
      <c r="GB2317" s="4"/>
      <c r="GC2317" s="4"/>
      <c r="GD2317" s="4"/>
      <c r="GE2317" s="4"/>
      <c r="GF2317" s="4"/>
      <c r="GG2317" s="4"/>
      <c r="GH2317" s="4"/>
      <c r="GI2317" s="4"/>
      <c r="GJ2317" s="4"/>
      <c r="GK2317" s="4"/>
      <c r="GL2317" s="4"/>
      <c r="GM2317" s="4"/>
      <c r="GN2317" s="4"/>
      <c r="GO2317" s="4"/>
      <c r="GP2317" s="4"/>
      <c r="GQ2317" s="4"/>
      <c r="GR2317" s="4"/>
      <c r="GS2317" s="4"/>
      <c r="GT2317" s="4"/>
      <c r="GU2317" s="4"/>
      <c r="GV2317" s="4"/>
      <c r="GW2317" s="4"/>
      <c r="GX2317" s="4"/>
      <c r="GY2317" s="4"/>
      <c r="GZ2317" s="4"/>
      <c r="HA2317" s="4"/>
      <c r="HB2317" s="4"/>
      <c r="HC2317" s="4"/>
      <c r="HD2317" s="4"/>
      <c r="HE2317" s="4"/>
    </row>
    <row r="2318">
      <c r="A2318" s="2" t="s">
        <v>10835</v>
      </c>
      <c r="B2318" s="2" t="s">
        <v>223</v>
      </c>
      <c r="C2318" s="2" t="s">
        <v>4000</v>
      </c>
      <c r="D2318" s="2" t="s">
        <v>1407</v>
      </c>
      <c r="E2318" s="2" t="s">
        <v>3636</v>
      </c>
      <c r="F2318" s="2" t="s">
        <v>10836</v>
      </c>
      <c r="G2318" s="2" t="s">
        <v>10836</v>
      </c>
      <c r="H2318" s="2" t="s">
        <v>10836</v>
      </c>
      <c r="I2318" s="2" t="s">
        <v>10837</v>
      </c>
      <c r="J2318" s="2" t="s">
        <v>264</v>
      </c>
      <c r="K2318" s="2" t="s">
        <v>265</v>
      </c>
      <c r="L2318" s="3">
        <v>56.69</v>
      </c>
      <c r="M2318" s="3">
        <v>59.52</v>
      </c>
      <c r="N2318" s="3">
        <v>104.99</v>
      </c>
      <c r="O2318" s="2" t="s">
        <v>232</v>
      </c>
      <c r="P2318" s="2" t="s">
        <v>922</v>
      </c>
      <c r="Q2318" s="2" t="s">
        <v>234</v>
      </c>
      <c r="R2318" s="2" t="s">
        <v>228</v>
      </c>
      <c r="S2318" s="2" t="s">
        <v>10838</v>
      </c>
      <c r="T2318" s="2" t="s">
        <v>1266</v>
      </c>
      <c r="U2318" s="2" t="s">
        <v>228</v>
      </c>
      <c r="V2318" s="2" t="s">
        <v>236</v>
      </c>
      <c r="W2318" s="2" t="s">
        <v>269</v>
      </c>
      <c r="X2318" s="2" t="s">
        <v>228</v>
      </c>
      <c r="Y2318" s="2" t="s">
        <v>3790</v>
      </c>
      <c r="Z2318" s="4"/>
      <c r="AA2318" s="4">
        <f>=ROUNDDOWN({0},0)</f>
      </c>
      <c r="AB2318" s="5">
        <v>5</v>
      </c>
      <c r="AC2318" s="2" t="s">
        <v>228</v>
      </c>
      <c r="AD2318" s="4"/>
      <c r="AE2318" s="4"/>
      <c r="AF2318" s="6">
        <v>61</v>
      </c>
      <c r="AG2318" s="6"/>
      <c r="AH2318" s="7">
        <v>0</v>
      </c>
      <c r="AI2318" s="4"/>
      <c r="AJ2318" s="4">
        <f>=ROUNDDOWN({0},0)</f>
      </c>
      <c r="AK2318" s="5"/>
      <c r="AL2318" s="2" t="s">
        <v>228</v>
      </c>
      <c r="AM2318" s="4"/>
      <c r="AN2318" s="4"/>
      <c r="AO2318" s="7"/>
      <c r="AP2318" s="4"/>
      <c r="AQ2318" s="8"/>
      <c r="AR2318" s="4"/>
      <c r="AS2318" s="8"/>
      <c r="AT2318" s="7"/>
      <c r="AU2318" s="7"/>
      <c r="AV2318" s="4" t="s">
        <v>228</v>
      </c>
      <c r="AW2318" s="8" t="s">
        <v>228</v>
      </c>
      <c r="AX2318" s="4" t="s">
        <v>228</v>
      </c>
      <c r="AY2318" s="8" t="s">
        <v>228</v>
      </c>
      <c r="AZ2318" s="7" t="s">
        <v>228</v>
      </c>
      <c r="BA2318" s="7" t="s">
        <v>228</v>
      </c>
      <c r="BB2318" s="7"/>
      <c r="BC2318" s="4" t="s">
        <v>228</v>
      </c>
      <c r="BD2318" s="8" t="s">
        <v>228</v>
      </c>
      <c r="BE2318" s="4" t="s">
        <v>228</v>
      </c>
      <c r="BF2318" s="8" t="s">
        <v>228</v>
      </c>
      <c r="BG2318" s="7" t="s">
        <v>228</v>
      </c>
      <c r="BH2318" s="7" t="s">
        <v>228</v>
      </c>
      <c r="BI2318" s="7"/>
      <c r="BJ2318" s="4"/>
      <c r="BK2318" s="8"/>
      <c r="BL2318" s="2" t="s">
        <v>6412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10839</v>
      </c>
      <c r="BV2318" s="2" t="s">
        <v>228</v>
      </c>
      <c r="BW2318" s="2" t="s">
        <v>228</v>
      </c>
      <c r="BX2318" s="2" t="s">
        <v>337</v>
      </c>
      <c r="BY2318" s="2" t="s">
        <v>274</v>
      </c>
      <c r="BZ2318" s="2" t="s">
        <v>240</v>
      </c>
      <c r="CA2318" s="2" t="s">
        <v>6222</v>
      </c>
      <c r="CB2318" s="2" t="s">
        <v>3861</v>
      </c>
      <c r="CC2318" s="2" t="s">
        <v>241</v>
      </c>
      <c r="CD2318" s="2" t="s">
        <v>228</v>
      </c>
      <c r="CE2318" s="4"/>
      <c r="CF2318" s="4"/>
      <c r="CG2318" s="4"/>
      <c r="CH2318" s="4"/>
      <c r="CI2318" s="4"/>
      <c r="CJ2318" s="4"/>
      <c r="CK2318" s="4"/>
      <c r="CL2318" s="4"/>
      <c r="CM2318" s="4"/>
      <c r="CN2318" s="4"/>
      <c r="CO2318" s="4"/>
      <c r="CP2318" s="4"/>
      <c r="CQ2318" s="4"/>
      <c r="CR2318" s="4"/>
      <c r="CS2318" s="4"/>
      <c r="CT2318" s="4"/>
      <c r="CU2318" s="4"/>
      <c r="CV2318" s="4"/>
      <c r="CW2318" s="4"/>
      <c r="CX2318" s="4"/>
      <c r="CY2318" s="4"/>
      <c r="CZ2318" s="4"/>
      <c r="DA2318" s="4"/>
      <c r="DB2318" s="4"/>
      <c r="DC2318" s="4"/>
      <c r="DD2318" s="4"/>
      <c r="DE2318" s="4"/>
      <c r="DF2318" s="4"/>
      <c r="DG2318" s="4"/>
      <c r="DH2318" s="4"/>
      <c r="DI2318" s="4"/>
      <c r="DJ2318" s="4"/>
      <c r="DK2318" s="4"/>
      <c r="DL2318" s="4"/>
      <c r="DM2318" s="4"/>
      <c r="DN2318" s="4"/>
      <c r="DO2318" s="4"/>
      <c r="DP2318" s="4"/>
      <c r="DQ2318" s="4"/>
      <c r="DR2318" s="4"/>
      <c r="DS2318" s="4"/>
      <c r="DT2318" s="4"/>
      <c r="DU2318" s="4"/>
      <c r="DV2318" s="4"/>
      <c r="DW2318" s="4"/>
      <c r="DX2318" s="4"/>
      <c r="DY2318" s="4"/>
      <c r="DZ2318" s="4"/>
      <c r="EA2318" s="4"/>
      <c r="EB2318" s="4"/>
      <c r="EC2318" s="4"/>
      <c r="ED2318" s="4"/>
      <c r="EE2318" s="4"/>
      <c r="EF2318" s="4"/>
      <c r="EG2318" s="4"/>
      <c r="EH2318" s="4"/>
      <c r="EI2318" s="4"/>
      <c r="EJ2318" s="4"/>
      <c r="EK2318" s="4"/>
      <c r="EL2318" s="4"/>
      <c r="EM2318" s="4"/>
      <c r="EN2318" s="4"/>
      <c r="EO2318" s="4"/>
      <c r="EP2318" s="4"/>
      <c r="EQ2318" s="4"/>
      <c r="ER2318" s="4"/>
      <c r="ES2318" s="4"/>
      <c r="ET2318" s="4"/>
      <c r="EU2318" s="4"/>
      <c r="EV2318" s="4"/>
      <c r="EW2318" s="4"/>
      <c r="EX2318" s="4"/>
      <c r="EY2318" s="4"/>
      <c r="EZ2318" s="4"/>
      <c r="FA2318" s="4"/>
      <c r="FB2318" s="4"/>
      <c r="FC2318" s="4"/>
      <c r="FD2318" s="4"/>
      <c r="FE2318" s="4"/>
      <c r="FF2318" s="4"/>
      <c r="FG2318" s="4"/>
      <c r="FH2318" s="4"/>
      <c r="FI2318" s="4"/>
      <c r="FJ2318" s="4"/>
      <c r="FK2318" s="4"/>
      <c r="FL2318" s="4"/>
      <c r="FM2318" s="4"/>
      <c r="FN2318" s="4"/>
      <c r="FO2318" s="4"/>
      <c r="FP2318" s="4"/>
      <c r="FQ2318" s="4"/>
      <c r="FR2318" s="4"/>
      <c r="FS2318" s="4"/>
      <c r="FT2318" s="4"/>
      <c r="FU2318" s="4"/>
      <c r="FV2318" s="4"/>
      <c r="FW2318" s="4"/>
      <c r="FX2318" s="4"/>
      <c r="FY2318" s="4"/>
      <c r="FZ2318" s="4"/>
      <c r="GA2318" s="4"/>
      <c r="GB2318" s="4"/>
      <c r="GC2318" s="4"/>
      <c r="GD2318" s="4"/>
      <c r="GE2318" s="4"/>
      <c r="GF2318" s="4"/>
      <c r="GG2318" s="4"/>
      <c r="GH2318" s="4"/>
      <c r="GI2318" s="4"/>
      <c r="GJ2318" s="4"/>
      <c r="GK2318" s="4"/>
      <c r="GL2318" s="4"/>
      <c r="GM2318" s="4"/>
      <c r="GN2318" s="4"/>
      <c r="GO2318" s="4"/>
      <c r="GP2318" s="4"/>
      <c r="GQ2318" s="4"/>
      <c r="GR2318" s="4"/>
      <c r="GS2318" s="4"/>
      <c r="GT2318" s="4"/>
      <c r="GU2318" s="4"/>
      <c r="GV2318" s="4"/>
      <c r="GW2318" s="4"/>
      <c r="GX2318" s="4"/>
      <c r="GY2318" s="4"/>
      <c r="GZ2318" s="4"/>
      <c r="HA2318" s="4"/>
      <c r="HB2318" s="4"/>
      <c r="HC2318" s="4"/>
      <c r="HD2318" s="4"/>
      <c r="HE2318" s="4"/>
    </row>
    <row r="2319">
      <c r="A2319" s="2" t="s">
        <v>10840</v>
      </c>
      <c r="B2319" s="2" t="s">
        <v>223</v>
      </c>
      <c r="C2319" s="2" t="s">
        <v>4000</v>
      </c>
      <c r="D2319" s="2" t="s">
        <v>1407</v>
      </c>
      <c r="E2319" s="2" t="s">
        <v>3636</v>
      </c>
      <c r="F2319" s="2" t="s">
        <v>10836</v>
      </c>
      <c r="G2319" s="2" t="s">
        <v>10836</v>
      </c>
      <c r="H2319" s="2" t="s">
        <v>10836</v>
      </c>
      <c r="I2319" s="2" t="s">
        <v>10837</v>
      </c>
      <c r="J2319" s="2" t="s">
        <v>284</v>
      </c>
      <c r="K2319" s="2" t="s">
        <v>265</v>
      </c>
      <c r="L2319" s="3">
        <v>62.09</v>
      </c>
      <c r="M2319" s="3">
        <v>65.19</v>
      </c>
      <c r="N2319" s="3">
        <v>114.99</v>
      </c>
      <c r="O2319" s="2" t="s">
        <v>461</v>
      </c>
      <c r="P2319" s="2" t="s">
        <v>922</v>
      </c>
      <c r="Q2319" s="2" t="s">
        <v>234</v>
      </c>
      <c r="R2319" s="2" t="s">
        <v>228</v>
      </c>
      <c r="S2319" s="2" t="s">
        <v>10838</v>
      </c>
      <c r="T2319" s="2" t="s">
        <v>1266</v>
      </c>
      <c r="U2319" s="2" t="s">
        <v>228</v>
      </c>
      <c r="V2319" s="2" t="s">
        <v>236</v>
      </c>
      <c r="W2319" s="2" t="s">
        <v>269</v>
      </c>
      <c r="X2319" s="2" t="s">
        <v>228</v>
      </c>
      <c r="Y2319" s="2" t="s">
        <v>3790</v>
      </c>
      <c r="Z2319" s="4"/>
      <c r="AA2319" s="4">
        <f>=ROUNDDOWN({0},0)</f>
      </c>
      <c r="AB2319" s="5">
        <v>6</v>
      </c>
      <c r="AC2319" s="2" t="s">
        <v>228</v>
      </c>
      <c r="AD2319" s="4"/>
      <c r="AE2319" s="4"/>
      <c r="AF2319" s="6">
        <v>61</v>
      </c>
      <c r="AG2319" s="6"/>
      <c r="AH2319" s="7">
        <v>0</v>
      </c>
      <c r="AI2319" s="4"/>
      <c r="AJ2319" s="4">
        <f>=ROUNDDOWN({0},0)</f>
      </c>
      <c r="AK2319" s="5"/>
      <c r="AL2319" s="2" t="s">
        <v>228</v>
      </c>
      <c r="AM2319" s="4"/>
      <c r="AN2319" s="4"/>
      <c r="AO2319" s="7"/>
      <c r="AP2319" s="4"/>
      <c r="AQ2319" s="8"/>
      <c r="AR2319" s="4"/>
      <c r="AS2319" s="8"/>
      <c r="AT2319" s="7"/>
      <c r="AU2319" s="7"/>
      <c r="AV2319" s="4" t="s">
        <v>228</v>
      </c>
      <c r="AW2319" s="8" t="s">
        <v>228</v>
      </c>
      <c r="AX2319" s="4" t="s">
        <v>228</v>
      </c>
      <c r="AY2319" s="8" t="s">
        <v>228</v>
      </c>
      <c r="AZ2319" s="7" t="s">
        <v>228</v>
      </c>
      <c r="BA2319" s="7" t="s">
        <v>228</v>
      </c>
      <c r="BB2319" s="7"/>
      <c r="BC2319" s="4" t="s">
        <v>228</v>
      </c>
      <c r="BD2319" s="8" t="s">
        <v>228</v>
      </c>
      <c r="BE2319" s="4" t="s">
        <v>228</v>
      </c>
      <c r="BF2319" s="8" t="s">
        <v>228</v>
      </c>
      <c r="BG2319" s="7" t="s">
        <v>228</v>
      </c>
      <c r="BH2319" s="7" t="s">
        <v>228</v>
      </c>
      <c r="BI2319" s="7"/>
      <c r="BJ2319" s="4"/>
      <c r="BK2319" s="8"/>
      <c r="BL2319" s="2" t="s">
        <v>3646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10841</v>
      </c>
      <c r="BV2319" s="2" t="s">
        <v>228</v>
      </c>
      <c r="BW2319" s="2" t="s">
        <v>228</v>
      </c>
      <c r="BX2319" s="2" t="s">
        <v>337</v>
      </c>
      <c r="BY2319" s="2" t="s">
        <v>274</v>
      </c>
      <c r="BZ2319" s="2" t="s">
        <v>240</v>
      </c>
      <c r="CA2319" s="2" t="s">
        <v>6222</v>
      </c>
      <c r="CB2319" s="2" t="s">
        <v>10842</v>
      </c>
      <c r="CC2319" s="2" t="s">
        <v>241</v>
      </c>
      <c r="CD2319" s="2" t="s">
        <v>228</v>
      </c>
      <c r="CE2319" s="4"/>
      <c r="CF2319" s="4"/>
      <c r="CG2319" s="4"/>
      <c r="CH2319" s="4"/>
      <c r="CI2319" s="4"/>
      <c r="CJ2319" s="4"/>
      <c r="CK2319" s="4"/>
      <c r="CL2319" s="4"/>
      <c r="CM2319" s="4"/>
      <c r="CN2319" s="4"/>
      <c r="CO2319" s="4"/>
      <c r="CP2319" s="4"/>
      <c r="CQ2319" s="4"/>
      <c r="CR2319" s="4"/>
      <c r="CS2319" s="4"/>
      <c r="CT2319" s="4"/>
      <c r="CU2319" s="4"/>
      <c r="CV2319" s="4"/>
      <c r="CW2319" s="4"/>
      <c r="CX2319" s="4"/>
      <c r="CY2319" s="4"/>
      <c r="CZ2319" s="4"/>
      <c r="DA2319" s="4"/>
      <c r="DB2319" s="4"/>
      <c r="DC2319" s="4"/>
      <c r="DD2319" s="4"/>
      <c r="DE2319" s="4"/>
      <c r="DF2319" s="4"/>
      <c r="DG2319" s="4"/>
      <c r="DH2319" s="4"/>
      <c r="DI2319" s="4"/>
      <c r="DJ2319" s="4"/>
      <c r="DK2319" s="4"/>
      <c r="DL2319" s="4"/>
      <c r="DM2319" s="4"/>
      <c r="DN2319" s="4"/>
      <c r="DO2319" s="4"/>
      <c r="DP2319" s="4"/>
      <c r="DQ2319" s="4"/>
      <c r="DR2319" s="4"/>
      <c r="DS2319" s="4"/>
      <c r="DT2319" s="4"/>
      <c r="DU2319" s="4"/>
      <c r="DV2319" s="4"/>
      <c r="DW2319" s="4"/>
      <c r="DX2319" s="4"/>
      <c r="DY2319" s="4"/>
      <c r="DZ2319" s="4"/>
      <c r="EA2319" s="4"/>
      <c r="EB2319" s="4"/>
      <c r="EC2319" s="4"/>
      <c r="ED2319" s="4"/>
      <c r="EE2319" s="4"/>
      <c r="EF2319" s="4"/>
      <c r="EG2319" s="4"/>
      <c r="EH2319" s="4"/>
      <c r="EI2319" s="4"/>
      <c r="EJ2319" s="4"/>
      <c r="EK2319" s="4"/>
      <c r="EL2319" s="4"/>
      <c r="EM2319" s="4"/>
      <c r="EN2319" s="4"/>
      <c r="EO2319" s="4"/>
      <c r="EP2319" s="4"/>
      <c r="EQ2319" s="4"/>
      <c r="ER2319" s="4"/>
      <c r="ES2319" s="4"/>
      <c r="ET2319" s="4"/>
      <c r="EU2319" s="4"/>
      <c r="EV2319" s="4"/>
      <c r="EW2319" s="4"/>
      <c r="EX2319" s="4"/>
      <c r="EY2319" s="4"/>
      <c r="EZ2319" s="4"/>
      <c r="FA2319" s="4"/>
      <c r="FB2319" s="4"/>
      <c r="FC2319" s="4"/>
      <c r="FD2319" s="4"/>
      <c r="FE2319" s="4"/>
      <c r="FF2319" s="4"/>
      <c r="FG2319" s="4"/>
      <c r="FH2319" s="4"/>
      <c r="FI2319" s="4"/>
      <c r="FJ2319" s="4"/>
      <c r="FK2319" s="4"/>
      <c r="FL2319" s="4"/>
      <c r="FM2319" s="4"/>
      <c r="FN2319" s="4"/>
      <c r="FO2319" s="4"/>
      <c r="FP2319" s="4"/>
      <c r="FQ2319" s="4"/>
      <c r="FR2319" s="4"/>
      <c r="FS2319" s="4"/>
      <c r="FT2319" s="4"/>
      <c r="FU2319" s="4"/>
      <c r="FV2319" s="4"/>
      <c r="FW2319" s="4"/>
      <c r="FX2319" s="4"/>
      <c r="FY2319" s="4"/>
      <c r="FZ2319" s="4"/>
      <c r="GA2319" s="4"/>
      <c r="GB2319" s="4"/>
      <c r="GC2319" s="4"/>
      <c r="GD2319" s="4"/>
      <c r="GE2319" s="4"/>
      <c r="GF2319" s="4"/>
      <c r="GG2319" s="4"/>
      <c r="GH2319" s="4"/>
      <c r="GI2319" s="4"/>
      <c r="GJ2319" s="4"/>
      <c r="GK2319" s="4"/>
      <c r="GL2319" s="4"/>
      <c r="GM2319" s="4"/>
      <c r="GN2319" s="4"/>
      <c r="GO2319" s="4"/>
      <c r="GP2319" s="4"/>
      <c r="GQ2319" s="4"/>
      <c r="GR2319" s="4"/>
      <c r="GS2319" s="4"/>
      <c r="GT2319" s="4"/>
      <c r="GU2319" s="4"/>
      <c r="GV2319" s="4"/>
      <c r="GW2319" s="4"/>
      <c r="GX2319" s="4"/>
      <c r="GY2319" s="4"/>
      <c r="GZ2319" s="4"/>
      <c r="HA2319" s="4"/>
      <c r="HB2319" s="4"/>
      <c r="HC2319" s="4"/>
      <c r="HD2319" s="4"/>
      <c r="HE2319" s="4"/>
    </row>
    <row r="2320">
      <c r="A2320" s="2" t="s">
        <v>10843</v>
      </c>
      <c r="B2320" s="2" t="s">
        <v>223</v>
      </c>
      <c r="C2320" s="2" t="s">
        <v>4000</v>
      </c>
      <c r="D2320" s="2" t="s">
        <v>1407</v>
      </c>
      <c r="E2320" s="2" t="s">
        <v>3636</v>
      </c>
      <c r="F2320" s="2" t="s">
        <v>10836</v>
      </c>
      <c r="G2320" s="2" t="s">
        <v>10836</v>
      </c>
      <c r="H2320" s="2" t="s">
        <v>10836</v>
      </c>
      <c r="I2320" s="2" t="s">
        <v>10837</v>
      </c>
      <c r="J2320" s="2" t="s">
        <v>289</v>
      </c>
      <c r="K2320" s="2" t="s">
        <v>265</v>
      </c>
      <c r="L2320" s="3">
        <v>83.69</v>
      </c>
      <c r="M2320" s="3">
        <v>87.87</v>
      </c>
      <c r="N2320" s="3">
        <v>154.99</v>
      </c>
      <c r="O2320" s="2" t="s">
        <v>461</v>
      </c>
      <c r="P2320" s="2" t="s">
        <v>922</v>
      </c>
      <c r="Q2320" s="2" t="s">
        <v>234</v>
      </c>
      <c r="R2320" s="2" t="s">
        <v>228</v>
      </c>
      <c r="S2320" s="2" t="s">
        <v>10838</v>
      </c>
      <c r="T2320" s="2" t="s">
        <v>1266</v>
      </c>
      <c r="U2320" s="2" t="s">
        <v>228</v>
      </c>
      <c r="V2320" s="2" t="s">
        <v>236</v>
      </c>
      <c r="W2320" s="2" t="s">
        <v>269</v>
      </c>
      <c r="X2320" s="2" t="s">
        <v>228</v>
      </c>
      <c r="Y2320" s="2" t="s">
        <v>3790</v>
      </c>
      <c r="Z2320" s="4">
        <v>62</v>
      </c>
      <c r="AA2320" s="4">
        <f>=ROUNDDOWN(12.4,0)</f>
      </c>
      <c r="AB2320" s="5">
        <v>5</v>
      </c>
      <c r="AC2320" s="2" t="s">
        <v>228</v>
      </c>
      <c r="AD2320" s="4"/>
      <c r="AE2320" s="4"/>
      <c r="AF2320" s="6">
        <v>61</v>
      </c>
      <c r="AG2320" s="6"/>
      <c r="AH2320" s="7">
        <v>1</v>
      </c>
      <c r="AI2320" s="4"/>
      <c r="AJ2320" s="4">
        <f>=ROUNDDOWN({0},0)</f>
      </c>
      <c r="AK2320" s="5"/>
      <c r="AL2320" s="2" t="s">
        <v>228</v>
      </c>
      <c r="AM2320" s="4"/>
      <c r="AN2320" s="4"/>
      <c r="AO2320" s="7"/>
      <c r="AP2320" s="4"/>
      <c r="AQ2320" s="8"/>
      <c r="AR2320" s="4"/>
      <c r="AS2320" s="8"/>
      <c r="AT2320" s="7"/>
      <c r="AU2320" s="7"/>
      <c r="AV2320" s="4" t="s">
        <v>228</v>
      </c>
      <c r="AW2320" s="8" t="s">
        <v>228</v>
      </c>
      <c r="AX2320" s="4" t="s">
        <v>228</v>
      </c>
      <c r="AY2320" s="8" t="s">
        <v>228</v>
      </c>
      <c r="AZ2320" s="7" t="s">
        <v>228</v>
      </c>
      <c r="BA2320" s="7" t="s">
        <v>228</v>
      </c>
      <c r="BB2320" s="7"/>
      <c r="BC2320" s="4" t="s">
        <v>228</v>
      </c>
      <c r="BD2320" s="8" t="s">
        <v>228</v>
      </c>
      <c r="BE2320" s="4" t="s">
        <v>228</v>
      </c>
      <c r="BF2320" s="8" t="s">
        <v>228</v>
      </c>
      <c r="BG2320" s="7" t="s">
        <v>228</v>
      </c>
      <c r="BH2320" s="7" t="s">
        <v>228</v>
      </c>
      <c r="BI2320" s="7"/>
      <c r="BJ2320" s="4">
        <v>18</v>
      </c>
      <c r="BK2320" s="8">
        <v>722.83</v>
      </c>
      <c r="BL2320" s="2" t="s">
        <v>527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10844</v>
      </c>
      <c r="BV2320" s="2" t="s">
        <v>228</v>
      </c>
      <c r="BW2320" s="2" t="s">
        <v>228</v>
      </c>
      <c r="BX2320" s="2" t="s">
        <v>337</v>
      </c>
      <c r="BY2320" s="2" t="s">
        <v>274</v>
      </c>
      <c r="BZ2320" s="2" t="s">
        <v>240</v>
      </c>
      <c r="CA2320" s="2" t="s">
        <v>6222</v>
      </c>
      <c r="CB2320" s="2" t="s">
        <v>3948</v>
      </c>
      <c r="CC2320" s="2" t="s">
        <v>241</v>
      </c>
      <c r="CD2320" s="2" t="s">
        <v>228</v>
      </c>
      <c r="CE2320" s="4">
        <v>62</v>
      </c>
      <c r="CF2320" s="4"/>
      <c r="CG2320" s="4"/>
      <c r="CH2320" s="4"/>
      <c r="CI2320" s="4"/>
      <c r="CJ2320" s="4"/>
      <c r="CK2320" s="4"/>
      <c r="CL2320" s="4"/>
      <c r="CM2320" s="4"/>
      <c r="CN2320" s="4"/>
      <c r="CO2320" s="4"/>
      <c r="CP2320" s="4"/>
      <c r="CQ2320" s="4"/>
      <c r="CR2320" s="4"/>
      <c r="CS2320" s="4"/>
      <c r="CT2320" s="4"/>
      <c r="CU2320" s="4"/>
      <c r="CV2320" s="4"/>
      <c r="CW2320" s="4"/>
      <c r="CX2320" s="4"/>
      <c r="CY2320" s="4"/>
      <c r="CZ2320" s="4"/>
      <c r="DA2320" s="4"/>
      <c r="DB2320" s="4"/>
      <c r="DC2320" s="4"/>
      <c r="DD2320" s="4"/>
      <c r="DE2320" s="4"/>
      <c r="DF2320" s="4"/>
      <c r="DG2320" s="4"/>
      <c r="DH2320" s="4"/>
      <c r="DI2320" s="4"/>
      <c r="DJ2320" s="4"/>
      <c r="DK2320" s="4"/>
      <c r="DL2320" s="4"/>
      <c r="DM2320" s="4"/>
      <c r="DN2320" s="4"/>
      <c r="DO2320" s="4"/>
      <c r="DP2320" s="4"/>
      <c r="DQ2320" s="4"/>
      <c r="DR2320" s="4"/>
      <c r="DS2320" s="4"/>
      <c r="DT2320" s="4"/>
      <c r="DU2320" s="4"/>
      <c r="DV2320" s="4"/>
      <c r="DW2320" s="4"/>
      <c r="DX2320" s="4"/>
      <c r="DY2320" s="4"/>
      <c r="DZ2320" s="4"/>
      <c r="EA2320" s="4"/>
      <c r="EB2320" s="4"/>
      <c r="EC2320" s="4"/>
      <c r="ED2320" s="4"/>
      <c r="EE2320" s="4"/>
      <c r="EF2320" s="4"/>
      <c r="EG2320" s="4"/>
      <c r="EH2320" s="4"/>
      <c r="EI2320" s="4"/>
      <c r="EJ2320" s="4"/>
      <c r="EK2320" s="4"/>
      <c r="EL2320" s="4"/>
      <c r="EM2320" s="4"/>
      <c r="EN2320" s="4"/>
      <c r="EO2320" s="4"/>
      <c r="EP2320" s="4"/>
      <c r="EQ2320" s="4"/>
      <c r="ER2320" s="4"/>
      <c r="ES2320" s="4"/>
      <c r="ET2320" s="4"/>
      <c r="EU2320" s="4"/>
      <c r="EV2320" s="4"/>
      <c r="EW2320" s="4"/>
      <c r="EX2320" s="4"/>
      <c r="EY2320" s="4"/>
      <c r="EZ2320" s="4"/>
      <c r="FA2320" s="4"/>
      <c r="FB2320" s="4"/>
      <c r="FC2320" s="4"/>
      <c r="FD2320" s="4"/>
      <c r="FE2320" s="4"/>
      <c r="FF2320" s="4"/>
      <c r="FG2320" s="4"/>
      <c r="FH2320" s="4"/>
      <c r="FI2320" s="4"/>
      <c r="FJ2320" s="4"/>
      <c r="FK2320" s="4"/>
      <c r="FL2320" s="4"/>
      <c r="FM2320" s="4"/>
      <c r="FN2320" s="4"/>
      <c r="FO2320" s="4"/>
      <c r="FP2320" s="4"/>
      <c r="FQ2320" s="4"/>
      <c r="FR2320" s="4"/>
      <c r="FS2320" s="4"/>
      <c r="FT2320" s="4"/>
      <c r="FU2320" s="4"/>
      <c r="FV2320" s="4"/>
      <c r="FW2320" s="4"/>
      <c r="FX2320" s="4"/>
      <c r="FY2320" s="4"/>
      <c r="FZ2320" s="4"/>
      <c r="GA2320" s="4"/>
      <c r="GB2320" s="4"/>
      <c r="GC2320" s="4"/>
      <c r="GD2320" s="4"/>
      <c r="GE2320" s="4"/>
      <c r="GF2320" s="4"/>
      <c r="GG2320" s="4"/>
      <c r="GH2320" s="4"/>
      <c r="GI2320" s="4"/>
      <c r="GJ2320" s="4"/>
      <c r="GK2320" s="4"/>
      <c r="GL2320" s="4"/>
      <c r="GM2320" s="4"/>
      <c r="GN2320" s="4"/>
      <c r="GO2320" s="4"/>
      <c r="GP2320" s="4"/>
      <c r="GQ2320" s="4"/>
      <c r="GR2320" s="4"/>
      <c r="GS2320" s="4"/>
      <c r="GT2320" s="4"/>
      <c r="GU2320" s="4"/>
      <c r="GV2320" s="4"/>
      <c r="GW2320" s="4"/>
      <c r="GX2320" s="4"/>
      <c r="GY2320" s="4"/>
      <c r="GZ2320" s="4"/>
      <c r="HA2320" s="4"/>
      <c r="HB2320" s="4"/>
      <c r="HC2320" s="4"/>
      <c r="HD2320" s="4"/>
      <c r="HE2320" s="4"/>
    </row>
    <row r="2321">
      <c r="A2321" s="2" t="s">
        <v>10845</v>
      </c>
      <c r="B2321" s="2" t="s">
        <v>223</v>
      </c>
      <c r="C2321" s="2" t="s">
        <v>4000</v>
      </c>
      <c r="D2321" s="2" t="s">
        <v>1407</v>
      </c>
      <c r="E2321" s="2" t="s">
        <v>3636</v>
      </c>
      <c r="F2321" s="2" t="s">
        <v>10836</v>
      </c>
      <c r="G2321" s="2" t="s">
        <v>10836</v>
      </c>
      <c r="H2321" s="2" t="s">
        <v>10836</v>
      </c>
      <c r="I2321" s="2" t="s">
        <v>10837</v>
      </c>
      <c r="J2321" s="2" t="s">
        <v>264</v>
      </c>
      <c r="K2321" s="2" t="s">
        <v>1421</v>
      </c>
      <c r="L2321" s="3">
        <v>56.69</v>
      </c>
      <c r="M2321" s="3">
        <v>59.52</v>
      </c>
      <c r="N2321" s="3">
        <v>104.99</v>
      </c>
      <c r="O2321" s="2" t="s">
        <v>461</v>
      </c>
      <c r="P2321" s="2" t="s">
        <v>922</v>
      </c>
      <c r="Q2321" s="2" t="s">
        <v>234</v>
      </c>
      <c r="R2321" s="2" t="s">
        <v>228</v>
      </c>
      <c r="S2321" s="2" t="s">
        <v>10846</v>
      </c>
      <c r="T2321" s="2" t="s">
        <v>3112</v>
      </c>
      <c r="U2321" s="2" t="s">
        <v>416</v>
      </c>
      <c r="V2321" s="2" t="s">
        <v>236</v>
      </c>
      <c r="W2321" s="2" t="s">
        <v>269</v>
      </c>
      <c r="X2321" s="2" t="s">
        <v>228</v>
      </c>
      <c r="Y2321" s="2" t="s">
        <v>6687</v>
      </c>
      <c r="Z2321" s="4">
        <v>164</v>
      </c>
      <c r="AA2321" s="4">
        <f>=ROUNDDOWN(164,0)</f>
      </c>
      <c r="AB2321" s="5">
        <v>1</v>
      </c>
      <c r="AC2321" s="2" t="s">
        <v>228</v>
      </c>
      <c r="AD2321" s="4"/>
      <c r="AE2321" s="4"/>
      <c r="AF2321" s="6">
        <v>61</v>
      </c>
      <c r="AG2321" s="6"/>
      <c r="AH2321" s="7">
        <v>1</v>
      </c>
      <c r="AI2321" s="4"/>
      <c r="AJ2321" s="4">
        <f>=ROUNDDOWN({0},0)</f>
      </c>
      <c r="AK2321" s="5"/>
      <c r="AL2321" s="2" t="s">
        <v>228</v>
      </c>
      <c r="AM2321" s="4"/>
      <c r="AN2321" s="4"/>
      <c r="AO2321" s="7"/>
      <c r="AP2321" s="4"/>
      <c r="AQ2321" s="8"/>
      <c r="AR2321" s="4"/>
      <c r="AS2321" s="8"/>
      <c r="AT2321" s="7"/>
      <c r="AU2321" s="7"/>
      <c r="AV2321" s="4" t="s">
        <v>228</v>
      </c>
      <c r="AW2321" s="8" t="s">
        <v>228</v>
      </c>
      <c r="AX2321" s="4" t="s">
        <v>228</v>
      </c>
      <c r="AY2321" s="8" t="s">
        <v>228</v>
      </c>
      <c r="AZ2321" s="7" t="s">
        <v>228</v>
      </c>
      <c r="BA2321" s="7" t="s">
        <v>228</v>
      </c>
      <c r="BB2321" s="7"/>
      <c r="BC2321" s="4" t="s">
        <v>228</v>
      </c>
      <c r="BD2321" s="8" t="s">
        <v>228</v>
      </c>
      <c r="BE2321" s="4" t="s">
        <v>228</v>
      </c>
      <c r="BF2321" s="8" t="s">
        <v>228</v>
      </c>
      <c r="BG2321" s="7" t="s">
        <v>228</v>
      </c>
      <c r="BH2321" s="7" t="s">
        <v>228</v>
      </c>
      <c r="BI2321" s="7"/>
      <c r="BJ2321" s="4">
        <v>4</v>
      </c>
      <c r="BK2321" s="8">
        <v>102.6</v>
      </c>
      <c r="BL2321" s="2" t="s">
        <v>622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10847</v>
      </c>
      <c r="BV2321" s="2" t="s">
        <v>228</v>
      </c>
      <c r="BW2321" s="2" t="s">
        <v>228</v>
      </c>
      <c r="BX2321" s="2" t="s">
        <v>337</v>
      </c>
      <c r="BY2321" s="2" t="s">
        <v>274</v>
      </c>
      <c r="BZ2321" s="2" t="s">
        <v>240</v>
      </c>
      <c r="CA2321" s="2" t="s">
        <v>5645</v>
      </c>
      <c r="CB2321" s="2" t="s">
        <v>10848</v>
      </c>
      <c r="CC2321" s="2" t="s">
        <v>241</v>
      </c>
      <c r="CD2321" s="2" t="s">
        <v>228</v>
      </c>
      <c r="CE2321" s="4">
        <v>164</v>
      </c>
      <c r="CF2321" s="4"/>
      <c r="CG2321" s="4"/>
      <c r="CH2321" s="4"/>
      <c r="CI2321" s="4"/>
      <c r="CJ2321" s="4"/>
      <c r="CK2321" s="4"/>
      <c r="CL2321" s="4"/>
      <c r="CM2321" s="4"/>
      <c r="CN2321" s="4"/>
      <c r="CO2321" s="4"/>
      <c r="CP2321" s="4"/>
      <c r="CQ2321" s="4"/>
      <c r="CR2321" s="4"/>
      <c r="CS2321" s="4"/>
      <c r="CT2321" s="4"/>
      <c r="CU2321" s="4"/>
      <c r="CV2321" s="4"/>
      <c r="CW2321" s="4"/>
      <c r="CX2321" s="4"/>
      <c r="CY2321" s="4"/>
      <c r="CZ2321" s="4"/>
      <c r="DA2321" s="4"/>
      <c r="DB2321" s="4"/>
      <c r="DC2321" s="4"/>
      <c r="DD2321" s="4"/>
      <c r="DE2321" s="4"/>
      <c r="DF2321" s="4"/>
      <c r="DG2321" s="4"/>
      <c r="DH2321" s="4"/>
      <c r="DI2321" s="4"/>
      <c r="DJ2321" s="4"/>
      <c r="DK2321" s="4"/>
      <c r="DL2321" s="4"/>
      <c r="DM2321" s="4"/>
      <c r="DN2321" s="4"/>
      <c r="DO2321" s="4"/>
      <c r="DP2321" s="4"/>
      <c r="DQ2321" s="4"/>
      <c r="DR2321" s="4"/>
      <c r="DS2321" s="4"/>
      <c r="DT2321" s="4"/>
      <c r="DU2321" s="4"/>
      <c r="DV2321" s="4"/>
      <c r="DW2321" s="4"/>
      <c r="DX2321" s="4"/>
      <c r="DY2321" s="4"/>
      <c r="DZ2321" s="4"/>
      <c r="EA2321" s="4"/>
      <c r="EB2321" s="4"/>
      <c r="EC2321" s="4"/>
      <c r="ED2321" s="4"/>
      <c r="EE2321" s="4"/>
      <c r="EF2321" s="4"/>
      <c r="EG2321" s="4"/>
      <c r="EH2321" s="4"/>
      <c r="EI2321" s="4"/>
      <c r="EJ2321" s="4"/>
      <c r="EK2321" s="4"/>
      <c r="EL2321" s="4"/>
      <c r="EM2321" s="4"/>
      <c r="EN2321" s="4"/>
      <c r="EO2321" s="4"/>
      <c r="EP2321" s="4"/>
      <c r="EQ2321" s="4"/>
      <c r="ER2321" s="4"/>
      <c r="ES2321" s="4"/>
      <c r="ET2321" s="4"/>
      <c r="EU2321" s="4"/>
      <c r="EV2321" s="4"/>
      <c r="EW2321" s="4"/>
      <c r="EX2321" s="4"/>
      <c r="EY2321" s="4"/>
      <c r="EZ2321" s="4"/>
      <c r="FA2321" s="4"/>
      <c r="FB2321" s="4"/>
      <c r="FC2321" s="4"/>
      <c r="FD2321" s="4"/>
      <c r="FE2321" s="4"/>
      <c r="FF2321" s="4"/>
      <c r="FG2321" s="4"/>
      <c r="FH2321" s="4"/>
      <c r="FI2321" s="4"/>
      <c r="FJ2321" s="4"/>
      <c r="FK2321" s="4"/>
      <c r="FL2321" s="4"/>
      <c r="FM2321" s="4"/>
      <c r="FN2321" s="4"/>
      <c r="FO2321" s="4"/>
      <c r="FP2321" s="4"/>
      <c r="FQ2321" s="4"/>
      <c r="FR2321" s="4"/>
      <c r="FS2321" s="4"/>
      <c r="FT2321" s="4"/>
      <c r="FU2321" s="4"/>
      <c r="FV2321" s="4"/>
      <c r="FW2321" s="4"/>
      <c r="FX2321" s="4"/>
      <c r="FY2321" s="4"/>
      <c r="FZ2321" s="4"/>
      <c r="GA2321" s="4"/>
      <c r="GB2321" s="4"/>
      <c r="GC2321" s="4"/>
      <c r="GD2321" s="4"/>
      <c r="GE2321" s="4"/>
      <c r="GF2321" s="4"/>
      <c r="GG2321" s="4"/>
      <c r="GH2321" s="4"/>
      <c r="GI2321" s="4"/>
      <c r="GJ2321" s="4"/>
      <c r="GK2321" s="4"/>
      <c r="GL2321" s="4"/>
      <c r="GM2321" s="4"/>
      <c r="GN2321" s="4"/>
      <c r="GO2321" s="4"/>
      <c r="GP2321" s="4"/>
      <c r="GQ2321" s="4"/>
      <c r="GR2321" s="4"/>
      <c r="GS2321" s="4"/>
      <c r="GT2321" s="4"/>
      <c r="GU2321" s="4"/>
      <c r="GV2321" s="4"/>
      <c r="GW2321" s="4"/>
      <c r="GX2321" s="4"/>
      <c r="GY2321" s="4"/>
      <c r="GZ2321" s="4"/>
      <c r="HA2321" s="4"/>
      <c r="HB2321" s="4"/>
      <c r="HC2321" s="4"/>
      <c r="HD2321" s="4"/>
      <c r="HE2321" s="4"/>
    </row>
    <row r="2322">
      <c r="A2322" s="2" t="s">
        <v>10849</v>
      </c>
      <c r="B2322" s="2" t="s">
        <v>223</v>
      </c>
      <c r="C2322" s="2" t="s">
        <v>4000</v>
      </c>
      <c r="D2322" s="2" t="s">
        <v>1407</v>
      </c>
      <c r="E2322" s="2" t="s">
        <v>3636</v>
      </c>
      <c r="F2322" s="2" t="s">
        <v>10836</v>
      </c>
      <c r="G2322" s="2" t="s">
        <v>10836</v>
      </c>
      <c r="H2322" s="2" t="s">
        <v>10836</v>
      </c>
      <c r="I2322" s="2" t="s">
        <v>10837</v>
      </c>
      <c r="J2322" s="2" t="s">
        <v>284</v>
      </c>
      <c r="K2322" s="2" t="s">
        <v>1421</v>
      </c>
      <c r="L2322" s="3">
        <v>62.09</v>
      </c>
      <c r="M2322" s="3">
        <v>65.19</v>
      </c>
      <c r="N2322" s="3">
        <v>114.99</v>
      </c>
      <c r="O2322" s="2" t="s">
        <v>461</v>
      </c>
      <c r="P2322" s="2" t="s">
        <v>922</v>
      </c>
      <c r="Q2322" s="2" t="s">
        <v>234</v>
      </c>
      <c r="R2322" s="2" t="s">
        <v>228</v>
      </c>
      <c r="S2322" s="2" t="s">
        <v>10846</v>
      </c>
      <c r="T2322" s="2" t="s">
        <v>3112</v>
      </c>
      <c r="U2322" s="2" t="s">
        <v>416</v>
      </c>
      <c r="V2322" s="2" t="s">
        <v>236</v>
      </c>
      <c r="W2322" s="2" t="s">
        <v>269</v>
      </c>
      <c r="X2322" s="2" t="s">
        <v>228</v>
      </c>
      <c r="Y2322" s="2" t="s">
        <v>10850</v>
      </c>
      <c r="Z2322" s="4">
        <v>199</v>
      </c>
      <c r="AA2322" s="4">
        <f>=ROUNDDOWN(99.5,0)</f>
      </c>
      <c r="AB2322" s="5">
        <v>2</v>
      </c>
      <c r="AC2322" s="2" t="s">
        <v>228</v>
      </c>
      <c r="AD2322" s="4"/>
      <c r="AE2322" s="4"/>
      <c r="AF2322" s="6">
        <v>61</v>
      </c>
      <c r="AG2322" s="6"/>
      <c r="AH2322" s="7">
        <v>1</v>
      </c>
      <c r="AI2322" s="4"/>
      <c r="AJ2322" s="4">
        <f>=ROUNDDOWN({0},0)</f>
      </c>
      <c r="AK2322" s="5"/>
      <c r="AL2322" s="2" t="s">
        <v>228</v>
      </c>
      <c r="AM2322" s="4"/>
      <c r="AN2322" s="4"/>
      <c r="AO2322" s="7"/>
      <c r="AP2322" s="4"/>
      <c r="AQ2322" s="8"/>
      <c r="AR2322" s="4"/>
      <c r="AS2322" s="8"/>
      <c r="AT2322" s="7"/>
      <c r="AU2322" s="7"/>
      <c r="AV2322" s="4" t="s">
        <v>228</v>
      </c>
      <c r="AW2322" s="8" t="s">
        <v>228</v>
      </c>
      <c r="AX2322" s="4" t="s">
        <v>228</v>
      </c>
      <c r="AY2322" s="8" t="s">
        <v>228</v>
      </c>
      <c r="AZ2322" s="7" t="s">
        <v>228</v>
      </c>
      <c r="BA2322" s="7" t="s">
        <v>228</v>
      </c>
      <c r="BB2322" s="7"/>
      <c r="BC2322" s="4" t="s">
        <v>228</v>
      </c>
      <c r="BD2322" s="8" t="s">
        <v>228</v>
      </c>
      <c r="BE2322" s="4" t="s">
        <v>228</v>
      </c>
      <c r="BF2322" s="8" t="s">
        <v>228</v>
      </c>
      <c r="BG2322" s="7" t="s">
        <v>228</v>
      </c>
      <c r="BH2322" s="7" t="s">
        <v>228</v>
      </c>
      <c r="BI2322" s="7"/>
      <c r="BJ2322" s="4">
        <v>5</v>
      </c>
      <c r="BK2322" s="8">
        <v>142.5</v>
      </c>
      <c r="BL2322" s="2" t="s">
        <v>622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10851</v>
      </c>
      <c r="BV2322" s="2" t="s">
        <v>228</v>
      </c>
      <c r="BW2322" s="2" t="s">
        <v>228</v>
      </c>
      <c r="BX2322" s="2" t="s">
        <v>337</v>
      </c>
      <c r="BY2322" s="2" t="s">
        <v>274</v>
      </c>
      <c r="BZ2322" s="2" t="s">
        <v>240</v>
      </c>
      <c r="CA2322" s="2" t="s">
        <v>5645</v>
      </c>
      <c r="CB2322" s="2" t="s">
        <v>10852</v>
      </c>
      <c r="CC2322" s="2" t="s">
        <v>241</v>
      </c>
      <c r="CD2322" s="2" t="s">
        <v>228</v>
      </c>
      <c r="CE2322" s="4">
        <v>199</v>
      </c>
      <c r="CF2322" s="4"/>
      <c r="CG2322" s="4"/>
      <c r="CH2322" s="4"/>
      <c r="CI2322" s="4"/>
      <c r="CJ2322" s="4"/>
      <c r="CK2322" s="4"/>
      <c r="CL2322" s="4"/>
      <c r="CM2322" s="4"/>
      <c r="CN2322" s="4"/>
      <c r="CO2322" s="4"/>
      <c r="CP2322" s="4"/>
      <c r="CQ2322" s="4"/>
      <c r="CR2322" s="4"/>
      <c r="CS2322" s="4"/>
      <c r="CT2322" s="4"/>
      <c r="CU2322" s="4"/>
      <c r="CV2322" s="4"/>
      <c r="CW2322" s="4"/>
      <c r="CX2322" s="4"/>
      <c r="CY2322" s="4"/>
      <c r="CZ2322" s="4"/>
      <c r="DA2322" s="4"/>
      <c r="DB2322" s="4"/>
      <c r="DC2322" s="4"/>
      <c r="DD2322" s="4"/>
      <c r="DE2322" s="4"/>
      <c r="DF2322" s="4"/>
      <c r="DG2322" s="4"/>
      <c r="DH2322" s="4"/>
      <c r="DI2322" s="4"/>
      <c r="DJ2322" s="4"/>
      <c r="DK2322" s="4"/>
      <c r="DL2322" s="4"/>
      <c r="DM2322" s="4"/>
      <c r="DN2322" s="4"/>
      <c r="DO2322" s="4"/>
      <c r="DP2322" s="4"/>
      <c r="DQ2322" s="4"/>
      <c r="DR2322" s="4"/>
      <c r="DS2322" s="4"/>
      <c r="DT2322" s="4"/>
      <c r="DU2322" s="4"/>
      <c r="DV2322" s="4"/>
      <c r="DW2322" s="4"/>
      <c r="DX2322" s="4"/>
      <c r="DY2322" s="4"/>
      <c r="DZ2322" s="4"/>
      <c r="EA2322" s="4"/>
      <c r="EB2322" s="4"/>
      <c r="EC2322" s="4"/>
      <c r="ED2322" s="4"/>
      <c r="EE2322" s="4"/>
      <c r="EF2322" s="4"/>
      <c r="EG2322" s="4"/>
      <c r="EH2322" s="4"/>
      <c r="EI2322" s="4"/>
      <c r="EJ2322" s="4"/>
      <c r="EK2322" s="4"/>
      <c r="EL2322" s="4"/>
      <c r="EM2322" s="4"/>
      <c r="EN2322" s="4"/>
      <c r="EO2322" s="4"/>
      <c r="EP2322" s="4"/>
      <c r="EQ2322" s="4"/>
      <c r="ER2322" s="4"/>
      <c r="ES2322" s="4"/>
      <c r="ET2322" s="4"/>
      <c r="EU2322" s="4"/>
      <c r="EV2322" s="4"/>
      <c r="EW2322" s="4"/>
      <c r="EX2322" s="4"/>
      <c r="EY2322" s="4"/>
      <c r="EZ2322" s="4"/>
      <c r="FA2322" s="4"/>
      <c r="FB2322" s="4"/>
      <c r="FC2322" s="4"/>
      <c r="FD2322" s="4"/>
      <c r="FE2322" s="4"/>
      <c r="FF2322" s="4"/>
      <c r="FG2322" s="4"/>
      <c r="FH2322" s="4"/>
      <c r="FI2322" s="4"/>
      <c r="FJ2322" s="4"/>
      <c r="FK2322" s="4"/>
      <c r="FL2322" s="4"/>
      <c r="FM2322" s="4"/>
      <c r="FN2322" s="4"/>
      <c r="FO2322" s="4"/>
      <c r="FP2322" s="4"/>
      <c r="FQ2322" s="4"/>
      <c r="FR2322" s="4"/>
      <c r="FS2322" s="4"/>
      <c r="FT2322" s="4"/>
      <c r="FU2322" s="4"/>
      <c r="FV2322" s="4"/>
      <c r="FW2322" s="4"/>
      <c r="FX2322" s="4"/>
      <c r="FY2322" s="4"/>
      <c r="FZ2322" s="4"/>
      <c r="GA2322" s="4"/>
      <c r="GB2322" s="4"/>
      <c r="GC2322" s="4"/>
      <c r="GD2322" s="4"/>
      <c r="GE2322" s="4"/>
      <c r="GF2322" s="4"/>
      <c r="GG2322" s="4"/>
      <c r="GH2322" s="4"/>
      <c r="GI2322" s="4"/>
      <c r="GJ2322" s="4"/>
      <c r="GK2322" s="4"/>
      <c r="GL2322" s="4"/>
      <c r="GM2322" s="4"/>
      <c r="GN2322" s="4"/>
      <c r="GO2322" s="4"/>
      <c r="GP2322" s="4"/>
      <c r="GQ2322" s="4"/>
      <c r="GR2322" s="4"/>
      <c r="GS2322" s="4"/>
      <c r="GT2322" s="4"/>
      <c r="GU2322" s="4"/>
      <c r="GV2322" s="4"/>
      <c r="GW2322" s="4"/>
      <c r="GX2322" s="4"/>
      <c r="GY2322" s="4"/>
      <c r="GZ2322" s="4"/>
      <c r="HA2322" s="4"/>
      <c r="HB2322" s="4"/>
      <c r="HC2322" s="4"/>
      <c r="HD2322" s="4"/>
      <c r="HE2322" s="4"/>
    </row>
    <row r="2323">
      <c r="A2323" s="2" t="s">
        <v>10853</v>
      </c>
      <c r="B2323" s="2" t="s">
        <v>223</v>
      </c>
      <c r="C2323" s="2" t="s">
        <v>4000</v>
      </c>
      <c r="D2323" s="2" t="s">
        <v>1407</v>
      </c>
      <c r="E2323" s="2" t="s">
        <v>3636</v>
      </c>
      <c r="F2323" s="2" t="s">
        <v>10836</v>
      </c>
      <c r="G2323" s="2" t="s">
        <v>10836</v>
      </c>
      <c r="H2323" s="2" t="s">
        <v>10836</v>
      </c>
      <c r="I2323" s="2" t="s">
        <v>10837</v>
      </c>
      <c r="J2323" s="2" t="s">
        <v>289</v>
      </c>
      <c r="K2323" s="2" t="s">
        <v>1421</v>
      </c>
      <c r="L2323" s="3">
        <v>83.69</v>
      </c>
      <c r="M2323" s="3">
        <v>87.87</v>
      </c>
      <c r="N2323" s="3">
        <v>154.99</v>
      </c>
      <c r="O2323" s="2" t="s">
        <v>461</v>
      </c>
      <c r="P2323" s="2" t="s">
        <v>922</v>
      </c>
      <c r="Q2323" s="2" t="s">
        <v>234</v>
      </c>
      <c r="R2323" s="2" t="s">
        <v>228</v>
      </c>
      <c r="S2323" s="2" t="s">
        <v>10846</v>
      </c>
      <c r="T2323" s="2" t="s">
        <v>3112</v>
      </c>
      <c r="U2323" s="2" t="s">
        <v>416</v>
      </c>
      <c r="V2323" s="2" t="s">
        <v>236</v>
      </c>
      <c r="W2323" s="2" t="s">
        <v>269</v>
      </c>
      <c r="X2323" s="2" t="s">
        <v>228</v>
      </c>
      <c r="Y2323" s="2" t="s">
        <v>10850</v>
      </c>
      <c r="Z2323" s="4">
        <v>116</v>
      </c>
      <c r="AA2323" s="4">
        <f>=ROUNDDOWN(38.6666666666667,0)</f>
      </c>
      <c r="AB2323" s="5">
        <v>3</v>
      </c>
      <c r="AC2323" s="2" t="s">
        <v>228</v>
      </c>
      <c r="AD2323" s="4"/>
      <c r="AE2323" s="4"/>
      <c r="AF2323" s="6">
        <v>61</v>
      </c>
      <c r="AG2323" s="6"/>
      <c r="AH2323" s="7">
        <v>1</v>
      </c>
      <c r="AI2323" s="4"/>
      <c r="AJ2323" s="4">
        <f>=ROUNDDOWN({0},0)</f>
      </c>
      <c r="AK2323" s="5"/>
      <c r="AL2323" s="2" t="s">
        <v>228</v>
      </c>
      <c r="AM2323" s="4"/>
      <c r="AN2323" s="4"/>
      <c r="AO2323" s="7"/>
      <c r="AP2323" s="4"/>
      <c r="AQ2323" s="8"/>
      <c r="AR2323" s="4"/>
      <c r="AS2323" s="8"/>
      <c r="AT2323" s="7"/>
      <c r="AU2323" s="7"/>
      <c r="AV2323" s="4" t="s">
        <v>228</v>
      </c>
      <c r="AW2323" s="8" t="s">
        <v>228</v>
      </c>
      <c r="AX2323" s="4" t="s">
        <v>228</v>
      </c>
      <c r="AY2323" s="8" t="s">
        <v>228</v>
      </c>
      <c r="AZ2323" s="7" t="s">
        <v>228</v>
      </c>
      <c r="BA2323" s="7" t="s">
        <v>228</v>
      </c>
      <c r="BB2323" s="7"/>
      <c r="BC2323" s="4" t="s">
        <v>228</v>
      </c>
      <c r="BD2323" s="8" t="s">
        <v>228</v>
      </c>
      <c r="BE2323" s="4" t="s">
        <v>228</v>
      </c>
      <c r="BF2323" s="8" t="s">
        <v>228</v>
      </c>
      <c r="BG2323" s="7" t="s">
        <v>228</v>
      </c>
      <c r="BH2323" s="7" t="s">
        <v>228</v>
      </c>
      <c r="BI2323" s="7"/>
      <c r="BJ2323" s="4">
        <v>5</v>
      </c>
      <c r="BK2323" s="8">
        <v>194.75</v>
      </c>
      <c r="BL2323" s="2" t="s">
        <v>2507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10854</v>
      </c>
      <c r="BV2323" s="2" t="s">
        <v>228</v>
      </c>
      <c r="BW2323" s="2" t="s">
        <v>228</v>
      </c>
      <c r="BX2323" s="2" t="s">
        <v>337</v>
      </c>
      <c r="BY2323" s="2" t="s">
        <v>274</v>
      </c>
      <c r="BZ2323" s="2" t="s">
        <v>240</v>
      </c>
      <c r="CA2323" s="2" t="s">
        <v>5645</v>
      </c>
      <c r="CB2323" s="2" t="s">
        <v>10855</v>
      </c>
      <c r="CC2323" s="2" t="s">
        <v>241</v>
      </c>
      <c r="CD2323" s="2" t="s">
        <v>228</v>
      </c>
      <c r="CE2323" s="4">
        <v>116</v>
      </c>
      <c r="CF2323" s="4"/>
      <c r="CG2323" s="4"/>
      <c r="CH2323" s="4"/>
      <c r="CI2323" s="4"/>
      <c r="CJ2323" s="4"/>
      <c r="CK2323" s="4"/>
      <c r="CL2323" s="4"/>
      <c r="CM2323" s="4"/>
      <c r="CN2323" s="4"/>
      <c r="CO2323" s="4"/>
      <c r="CP2323" s="4"/>
      <c r="CQ2323" s="4"/>
      <c r="CR2323" s="4"/>
      <c r="CS2323" s="4"/>
      <c r="CT2323" s="4"/>
      <c r="CU2323" s="4"/>
      <c r="CV2323" s="4"/>
      <c r="CW2323" s="4"/>
      <c r="CX2323" s="4"/>
      <c r="CY2323" s="4"/>
      <c r="CZ2323" s="4"/>
      <c r="DA2323" s="4"/>
      <c r="DB2323" s="4"/>
      <c r="DC2323" s="4"/>
      <c r="DD2323" s="4"/>
      <c r="DE2323" s="4"/>
      <c r="DF2323" s="4"/>
      <c r="DG2323" s="4"/>
      <c r="DH2323" s="4"/>
      <c r="DI2323" s="4"/>
      <c r="DJ2323" s="4"/>
      <c r="DK2323" s="4"/>
      <c r="DL2323" s="4"/>
      <c r="DM2323" s="4"/>
      <c r="DN2323" s="4"/>
      <c r="DO2323" s="4"/>
      <c r="DP2323" s="4"/>
      <c r="DQ2323" s="4"/>
      <c r="DR2323" s="4"/>
      <c r="DS2323" s="4"/>
      <c r="DT2323" s="4"/>
      <c r="DU2323" s="4"/>
      <c r="DV2323" s="4"/>
      <c r="DW2323" s="4"/>
      <c r="DX2323" s="4"/>
      <c r="DY2323" s="4"/>
      <c r="DZ2323" s="4"/>
      <c r="EA2323" s="4"/>
      <c r="EB2323" s="4"/>
      <c r="EC2323" s="4"/>
      <c r="ED2323" s="4"/>
      <c r="EE2323" s="4"/>
      <c r="EF2323" s="4"/>
      <c r="EG2323" s="4"/>
      <c r="EH2323" s="4"/>
      <c r="EI2323" s="4"/>
      <c r="EJ2323" s="4"/>
      <c r="EK2323" s="4"/>
      <c r="EL2323" s="4"/>
      <c r="EM2323" s="4"/>
      <c r="EN2323" s="4"/>
      <c r="EO2323" s="4"/>
      <c r="EP2323" s="4"/>
      <c r="EQ2323" s="4"/>
      <c r="ER2323" s="4"/>
      <c r="ES2323" s="4"/>
      <c r="ET2323" s="4"/>
      <c r="EU2323" s="4"/>
      <c r="EV2323" s="4"/>
      <c r="EW2323" s="4"/>
      <c r="EX2323" s="4"/>
      <c r="EY2323" s="4"/>
      <c r="EZ2323" s="4"/>
      <c r="FA2323" s="4"/>
      <c r="FB2323" s="4"/>
      <c r="FC2323" s="4"/>
      <c r="FD2323" s="4"/>
      <c r="FE2323" s="4"/>
      <c r="FF2323" s="4"/>
      <c r="FG2323" s="4"/>
      <c r="FH2323" s="4"/>
      <c r="FI2323" s="4"/>
      <c r="FJ2323" s="4"/>
      <c r="FK2323" s="4"/>
      <c r="FL2323" s="4"/>
      <c r="FM2323" s="4"/>
      <c r="FN2323" s="4"/>
      <c r="FO2323" s="4"/>
      <c r="FP2323" s="4"/>
      <c r="FQ2323" s="4"/>
      <c r="FR2323" s="4"/>
      <c r="FS2323" s="4"/>
      <c r="FT2323" s="4"/>
      <c r="FU2323" s="4"/>
      <c r="FV2323" s="4"/>
      <c r="FW2323" s="4"/>
      <c r="FX2323" s="4"/>
      <c r="FY2323" s="4"/>
      <c r="FZ2323" s="4"/>
      <c r="GA2323" s="4"/>
      <c r="GB2323" s="4"/>
      <c r="GC2323" s="4"/>
      <c r="GD2323" s="4"/>
      <c r="GE2323" s="4"/>
      <c r="GF2323" s="4"/>
      <c r="GG2323" s="4"/>
      <c r="GH2323" s="4"/>
      <c r="GI2323" s="4"/>
      <c r="GJ2323" s="4"/>
      <c r="GK2323" s="4"/>
      <c r="GL2323" s="4"/>
      <c r="GM2323" s="4"/>
      <c r="GN2323" s="4"/>
      <c r="GO2323" s="4"/>
      <c r="GP2323" s="4"/>
      <c r="GQ2323" s="4"/>
      <c r="GR2323" s="4"/>
      <c r="GS2323" s="4"/>
      <c r="GT2323" s="4"/>
      <c r="GU2323" s="4"/>
      <c r="GV2323" s="4"/>
      <c r="GW2323" s="4"/>
      <c r="GX2323" s="4"/>
      <c r="GY2323" s="4"/>
      <c r="GZ2323" s="4"/>
      <c r="HA2323" s="4"/>
      <c r="HB2323" s="4"/>
      <c r="HC2323" s="4"/>
      <c r="HD2323" s="4"/>
      <c r="HE2323" s="4"/>
    </row>
    <row r="2324">
      <c r="A2324" s="2" t="s">
        <v>10856</v>
      </c>
      <c r="B2324" s="2" t="s">
        <v>223</v>
      </c>
      <c r="C2324" s="2" t="s">
        <v>4000</v>
      </c>
      <c r="D2324" s="2" t="s">
        <v>1407</v>
      </c>
      <c r="E2324" s="2" t="s">
        <v>3636</v>
      </c>
      <c r="F2324" s="2" t="s">
        <v>10836</v>
      </c>
      <c r="G2324" s="2" t="s">
        <v>10836</v>
      </c>
      <c r="H2324" s="2" t="s">
        <v>10836</v>
      </c>
      <c r="I2324" s="2" t="s">
        <v>10837</v>
      </c>
      <c r="J2324" s="2" t="s">
        <v>284</v>
      </c>
      <c r="K2324" s="2" t="s">
        <v>249</v>
      </c>
      <c r="L2324" s="3">
        <v>62.09</v>
      </c>
      <c r="M2324" s="3">
        <v>65.19</v>
      </c>
      <c r="N2324" s="3">
        <v>114.99</v>
      </c>
      <c r="O2324" s="2" t="s">
        <v>461</v>
      </c>
      <c r="P2324" s="2" t="s">
        <v>922</v>
      </c>
      <c r="Q2324" s="2" t="s">
        <v>234</v>
      </c>
      <c r="R2324" s="2" t="s">
        <v>228</v>
      </c>
      <c r="S2324" s="2" t="s">
        <v>10857</v>
      </c>
      <c r="T2324" s="2" t="s">
        <v>1266</v>
      </c>
      <c r="U2324" s="2" t="s">
        <v>228</v>
      </c>
      <c r="V2324" s="2" t="s">
        <v>236</v>
      </c>
      <c r="W2324" s="2" t="s">
        <v>269</v>
      </c>
      <c r="X2324" s="2" t="s">
        <v>228</v>
      </c>
      <c r="Y2324" s="2" t="s">
        <v>3790</v>
      </c>
      <c r="Z2324" s="4">
        <v>170</v>
      </c>
      <c r="AA2324" s="4">
        <f>=ROUNDDOWN(28.3333333333333,0)</f>
      </c>
      <c r="AB2324" s="5">
        <v>6</v>
      </c>
      <c r="AC2324" s="2" t="s">
        <v>228</v>
      </c>
      <c r="AD2324" s="4"/>
      <c r="AE2324" s="4"/>
      <c r="AF2324" s="6">
        <v>61</v>
      </c>
      <c r="AG2324" s="6"/>
      <c r="AH2324" s="7">
        <v>1</v>
      </c>
      <c r="AI2324" s="4"/>
      <c r="AJ2324" s="4">
        <f>=ROUNDDOWN({0},0)</f>
      </c>
      <c r="AK2324" s="5"/>
      <c r="AL2324" s="2" t="s">
        <v>228</v>
      </c>
      <c r="AM2324" s="4"/>
      <c r="AN2324" s="4"/>
      <c r="AO2324" s="7"/>
      <c r="AP2324" s="4"/>
      <c r="AQ2324" s="8"/>
      <c r="AR2324" s="4"/>
      <c r="AS2324" s="8"/>
      <c r="AT2324" s="7"/>
      <c r="AU2324" s="7"/>
      <c r="AV2324" s="4" t="s">
        <v>228</v>
      </c>
      <c r="AW2324" s="8" t="s">
        <v>228</v>
      </c>
      <c r="AX2324" s="4" t="s">
        <v>228</v>
      </c>
      <c r="AY2324" s="8" t="s">
        <v>228</v>
      </c>
      <c r="AZ2324" s="7" t="s">
        <v>228</v>
      </c>
      <c r="BA2324" s="7" t="s">
        <v>228</v>
      </c>
      <c r="BB2324" s="7"/>
      <c r="BC2324" s="4" t="s">
        <v>228</v>
      </c>
      <c r="BD2324" s="8" t="s">
        <v>228</v>
      </c>
      <c r="BE2324" s="4" t="s">
        <v>228</v>
      </c>
      <c r="BF2324" s="8" t="s">
        <v>228</v>
      </c>
      <c r="BG2324" s="7" t="s">
        <v>228</v>
      </c>
      <c r="BH2324" s="7" t="s">
        <v>228</v>
      </c>
      <c r="BI2324" s="7"/>
      <c r="BJ2324" s="4">
        <v>8</v>
      </c>
      <c r="BK2324" s="8">
        <v>270.3</v>
      </c>
      <c r="BL2324" s="2" t="s">
        <v>8185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10858</v>
      </c>
      <c r="BV2324" s="2" t="s">
        <v>228</v>
      </c>
      <c r="BW2324" s="2" t="s">
        <v>228</v>
      </c>
      <c r="BX2324" s="2" t="s">
        <v>337</v>
      </c>
      <c r="BY2324" s="2" t="s">
        <v>274</v>
      </c>
      <c r="BZ2324" s="2" t="s">
        <v>240</v>
      </c>
      <c r="CA2324" s="2" t="s">
        <v>6222</v>
      </c>
      <c r="CB2324" s="2" t="s">
        <v>4200</v>
      </c>
      <c r="CC2324" s="2" t="s">
        <v>241</v>
      </c>
      <c r="CD2324" s="2" t="s">
        <v>228</v>
      </c>
      <c r="CE2324" s="4">
        <v>170</v>
      </c>
      <c r="CF2324" s="4"/>
      <c r="CG2324" s="4"/>
      <c r="CH2324" s="4"/>
      <c r="CI2324" s="4"/>
      <c r="CJ2324" s="4"/>
      <c r="CK2324" s="4"/>
      <c r="CL2324" s="4"/>
      <c r="CM2324" s="4"/>
      <c r="CN2324" s="4"/>
      <c r="CO2324" s="4"/>
      <c r="CP2324" s="4"/>
      <c r="CQ2324" s="4"/>
      <c r="CR2324" s="4"/>
      <c r="CS2324" s="4"/>
      <c r="CT2324" s="4"/>
      <c r="CU2324" s="4"/>
      <c r="CV2324" s="4"/>
      <c r="CW2324" s="4"/>
      <c r="CX2324" s="4"/>
      <c r="CY2324" s="4"/>
      <c r="CZ2324" s="4"/>
      <c r="DA2324" s="4"/>
      <c r="DB2324" s="4"/>
      <c r="DC2324" s="4"/>
      <c r="DD2324" s="4"/>
      <c r="DE2324" s="4"/>
      <c r="DF2324" s="4"/>
      <c r="DG2324" s="4"/>
      <c r="DH2324" s="4"/>
      <c r="DI2324" s="4"/>
      <c r="DJ2324" s="4"/>
      <c r="DK2324" s="4"/>
      <c r="DL2324" s="4"/>
      <c r="DM2324" s="4"/>
      <c r="DN2324" s="4"/>
      <c r="DO2324" s="4"/>
      <c r="DP2324" s="4"/>
      <c r="DQ2324" s="4"/>
      <c r="DR2324" s="4"/>
      <c r="DS2324" s="4"/>
      <c r="DT2324" s="4"/>
      <c r="DU2324" s="4"/>
      <c r="DV2324" s="4"/>
      <c r="DW2324" s="4"/>
      <c r="DX2324" s="4"/>
      <c r="DY2324" s="4"/>
      <c r="DZ2324" s="4"/>
      <c r="EA2324" s="4"/>
      <c r="EB2324" s="4"/>
      <c r="EC2324" s="4"/>
      <c r="ED2324" s="4"/>
      <c r="EE2324" s="4"/>
      <c r="EF2324" s="4"/>
      <c r="EG2324" s="4"/>
      <c r="EH2324" s="4"/>
      <c r="EI2324" s="4"/>
      <c r="EJ2324" s="4"/>
      <c r="EK2324" s="4"/>
      <c r="EL2324" s="4"/>
      <c r="EM2324" s="4"/>
      <c r="EN2324" s="4"/>
      <c r="EO2324" s="4"/>
      <c r="EP2324" s="4"/>
      <c r="EQ2324" s="4"/>
      <c r="ER2324" s="4"/>
      <c r="ES2324" s="4"/>
      <c r="ET2324" s="4"/>
      <c r="EU2324" s="4"/>
      <c r="EV2324" s="4"/>
      <c r="EW2324" s="4"/>
      <c r="EX2324" s="4"/>
      <c r="EY2324" s="4"/>
      <c r="EZ2324" s="4"/>
      <c r="FA2324" s="4"/>
      <c r="FB2324" s="4"/>
      <c r="FC2324" s="4"/>
      <c r="FD2324" s="4"/>
      <c r="FE2324" s="4"/>
      <c r="FF2324" s="4"/>
      <c r="FG2324" s="4"/>
      <c r="FH2324" s="4"/>
      <c r="FI2324" s="4"/>
      <c r="FJ2324" s="4"/>
      <c r="FK2324" s="4"/>
      <c r="FL2324" s="4"/>
      <c r="FM2324" s="4"/>
      <c r="FN2324" s="4"/>
      <c r="FO2324" s="4"/>
      <c r="FP2324" s="4"/>
      <c r="FQ2324" s="4"/>
      <c r="FR2324" s="4"/>
      <c r="FS2324" s="4"/>
      <c r="FT2324" s="4"/>
      <c r="FU2324" s="4"/>
      <c r="FV2324" s="4"/>
      <c r="FW2324" s="4"/>
      <c r="FX2324" s="4"/>
      <c r="FY2324" s="4"/>
      <c r="FZ2324" s="4"/>
      <c r="GA2324" s="4"/>
      <c r="GB2324" s="4"/>
      <c r="GC2324" s="4"/>
      <c r="GD2324" s="4"/>
      <c r="GE2324" s="4"/>
      <c r="GF2324" s="4"/>
      <c r="GG2324" s="4"/>
      <c r="GH2324" s="4"/>
      <c r="GI2324" s="4"/>
      <c r="GJ2324" s="4"/>
      <c r="GK2324" s="4"/>
      <c r="GL2324" s="4"/>
      <c r="GM2324" s="4"/>
      <c r="GN2324" s="4"/>
      <c r="GO2324" s="4"/>
      <c r="GP2324" s="4"/>
      <c r="GQ2324" s="4"/>
      <c r="GR2324" s="4"/>
      <c r="GS2324" s="4"/>
      <c r="GT2324" s="4"/>
      <c r="GU2324" s="4"/>
      <c r="GV2324" s="4"/>
      <c r="GW2324" s="4"/>
      <c r="GX2324" s="4"/>
      <c r="GY2324" s="4"/>
      <c r="GZ2324" s="4"/>
      <c r="HA2324" s="4"/>
      <c r="HB2324" s="4"/>
      <c r="HC2324" s="4"/>
      <c r="HD2324" s="4"/>
      <c r="HE2324" s="4"/>
    </row>
    <row r="2325">
      <c r="A2325" s="2" t="s">
        <v>10859</v>
      </c>
      <c r="B2325" s="2" t="s">
        <v>223</v>
      </c>
      <c r="C2325" s="2" t="s">
        <v>4000</v>
      </c>
      <c r="D2325" s="2" t="s">
        <v>1407</v>
      </c>
      <c r="E2325" s="2" t="s">
        <v>3636</v>
      </c>
      <c r="F2325" s="2" t="s">
        <v>10836</v>
      </c>
      <c r="G2325" s="2" t="s">
        <v>10836</v>
      </c>
      <c r="H2325" s="2" t="s">
        <v>10836</v>
      </c>
      <c r="I2325" s="2" t="s">
        <v>10837</v>
      </c>
      <c r="J2325" s="2" t="s">
        <v>294</v>
      </c>
      <c r="K2325" s="2" t="s">
        <v>249</v>
      </c>
      <c r="L2325" s="3">
        <v>94.49</v>
      </c>
      <c r="M2325" s="3">
        <v>99.21</v>
      </c>
      <c r="N2325" s="3">
        <v>174.99</v>
      </c>
      <c r="O2325" s="2" t="s">
        <v>461</v>
      </c>
      <c r="P2325" s="2" t="s">
        <v>922</v>
      </c>
      <c r="Q2325" s="2" t="s">
        <v>234</v>
      </c>
      <c r="R2325" s="2" t="s">
        <v>228</v>
      </c>
      <c r="S2325" s="2" t="s">
        <v>10857</v>
      </c>
      <c r="T2325" s="2" t="s">
        <v>1266</v>
      </c>
      <c r="U2325" s="2" t="s">
        <v>228</v>
      </c>
      <c r="V2325" s="2" t="s">
        <v>236</v>
      </c>
      <c r="W2325" s="2" t="s">
        <v>269</v>
      </c>
      <c r="X2325" s="2" t="s">
        <v>228</v>
      </c>
      <c r="Y2325" s="2" t="s">
        <v>3790</v>
      </c>
      <c r="Z2325" s="4">
        <v>137</v>
      </c>
      <c r="AA2325" s="4">
        <f>=ROUNDDOWN(22.8333333333333,0)</f>
      </c>
      <c r="AB2325" s="5">
        <v>6</v>
      </c>
      <c r="AC2325" s="2" t="s">
        <v>228</v>
      </c>
      <c r="AD2325" s="4"/>
      <c r="AE2325" s="4"/>
      <c r="AF2325" s="6">
        <v>61</v>
      </c>
      <c r="AG2325" s="6"/>
      <c r="AH2325" s="7">
        <v>1</v>
      </c>
      <c r="AI2325" s="4"/>
      <c r="AJ2325" s="4">
        <f>=ROUNDDOWN({0},0)</f>
      </c>
      <c r="AK2325" s="5"/>
      <c r="AL2325" s="2" t="s">
        <v>228</v>
      </c>
      <c r="AM2325" s="4"/>
      <c r="AN2325" s="4"/>
      <c r="AO2325" s="7"/>
      <c r="AP2325" s="4"/>
      <c r="AQ2325" s="8"/>
      <c r="AR2325" s="4"/>
      <c r="AS2325" s="8"/>
      <c r="AT2325" s="7"/>
      <c r="AU2325" s="7"/>
      <c r="AV2325" s="4" t="s">
        <v>228</v>
      </c>
      <c r="AW2325" s="8" t="s">
        <v>228</v>
      </c>
      <c r="AX2325" s="4" t="s">
        <v>228</v>
      </c>
      <c r="AY2325" s="8" t="s">
        <v>228</v>
      </c>
      <c r="AZ2325" s="7" t="s">
        <v>228</v>
      </c>
      <c r="BA2325" s="7" t="s">
        <v>228</v>
      </c>
      <c r="BB2325" s="7"/>
      <c r="BC2325" s="4" t="s">
        <v>228</v>
      </c>
      <c r="BD2325" s="8" t="s">
        <v>228</v>
      </c>
      <c r="BE2325" s="4" t="s">
        <v>228</v>
      </c>
      <c r="BF2325" s="8" t="s">
        <v>228</v>
      </c>
      <c r="BG2325" s="7" t="s">
        <v>228</v>
      </c>
      <c r="BH2325" s="7" t="s">
        <v>228</v>
      </c>
      <c r="BI2325" s="7"/>
      <c r="BJ2325" s="4">
        <v>21</v>
      </c>
      <c r="BK2325" s="8">
        <v>959.96</v>
      </c>
      <c r="BL2325" s="2" t="s">
        <v>3145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10860</v>
      </c>
      <c r="BV2325" s="2" t="s">
        <v>228</v>
      </c>
      <c r="BW2325" s="2" t="s">
        <v>228</v>
      </c>
      <c r="BX2325" s="2" t="s">
        <v>337</v>
      </c>
      <c r="BY2325" s="2" t="s">
        <v>274</v>
      </c>
      <c r="BZ2325" s="2" t="s">
        <v>240</v>
      </c>
      <c r="CA2325" s="2" t="s">
        <v>6222</v>
      </c>
      <c r="CB2325" s="2" t="s">
        <v>10861</v>
      </c>
      <c r="CC2325" s="2" t="s">
        <v>241</v>
      </c>
      <c r="CD2325" s="2" t="s">
        <v>228</v>
      </c>
      <c r="CE2325" s="4">
        <v>137</v>
      </c>
      <c r="CF2325" s="4"/>
      <c r="CG2325" s="4"/>
      <c r="CH2325" s="4"/>
      <c r="CI2325" s="4"/>
      <c r="CJ2325" s="4"/>
      <c r="CK2325" s="4"/>
      <c r="CL2325" s="4"/>
      <c r="CM2325" s="4"/>
      <c r="CN2325" s="4"/>
      <c r="CO2325" s="4"/>
      <c r="CP2325" s="4"/>
      <c r="CQ2325" s="4"/>
      <c r="CR2325" s="4"/>
      <c r="CS2325" s="4"/>
      <c r="CT2325" s="4"/>
      <c r="CU2325" s="4"/>
      <c r="CV2325" s="4"/>
      <c r="CW2325" s="4"/>
      <c r="CX2325" s="4"/>
      <c r="CY2325" s="4"/>
      <c r="CZ2325" s="4"/>
      <c r="DA2325" s="4"/>
      <c r="DB2325" s="4"/>
      <c r="DC2325" s="4"/>
      <c r="DD2325" s="4"/>
      <c r="DE2325" s="4"/>
      <c r="DF2325" s="4"/>
      <c r="DG2325" s="4"/>
      <c r="DH2325" s="4"/>
      <c r="DI2325" s="4"/>
      <c r="DJ2325" s="4"/>
      <c r="DK2325" s="4"/>
      <c r="DL2325" s="4"/>
      <c r="DM2325" s="4"/>
      <c r="DN2325" s="4"/>
      <c r="DO2325" s="4"/>
      <c r="DP2325" s="4"/>
      <c r="DQ2325" s="4"/>
      <c r="DR2325" s="4"/>
      <c r="DS2325" s="4"/>
      <c r="DT2325" s="4"/>
      <c r="DU2325" s="4"/>
      <c r="DV2325" s="4"/>
      <c r="DW2325" s="4"/>
      <c r="DX2325" s="4"/>
      <c r="DY2325" s="4"/>
      <c r="DZ2325" s="4"/>
      <c r="EA2325" s="4"/>
      <c r="EB2325" s="4"/>
      <c r="EC2325" s="4"/>
      <c r="ED2325" s="4"/>
      <c r="EE2325" s="4"/>
      <c r="EF2325" s="4"/>
      <c r="EG2325" s="4"/>
      <c r="EH2325" s="4"/>
      <c r="EI2325" s="4"/>
      <c r="EJ2325" s="4"/>
      <c r="EK2325" s="4"/>
      <c r="EL2325" s="4"/>
      <c r="EM2325" s="4"/>
      <c r="EN2325" s="4"/>
      <c r="EO2325" s="4"/>
      <c r="EP2325" s="4"/>
      <c r="EQ2325" s="4"/>
      <c r="ER2325" s="4"/>
      <c r="ES2325" s="4"/>
      <c r="ET2325" s="4"/>
      <c r="EU2325" s="4"/>
      <c r="EV2325" s="4"/>
      <c r="EW2325" s="4"/>
      <c r="EX2325" s="4"/>
      <c r="EY2325" s="4"/>
      <c r="EZ2325" s="4"/>
      <c r="FA2325" s="4"/>
      <c r="FB2325" s="4"/>
      <c r="FC2325" s="4"/>
      <c r="FD2325" s="4"/>
      <c r="FE2325" s="4"/>
      <c r="FF2325" s="4"/>
      <c r="FG2325" s="4"/>
      <c r="FH2325" s="4"/>
      <c r="FI2325" s="4"/>
      <c r="FJ2325" s="4"/>
      <c r="FK2325" s="4"/>
      <c r="FL2325" s="4"/>
      <c r="FM2325" s="4"/>
      <c r="FN2325" s="4"/>
      <c r="FO2325" s="4"/>
      <c r="FP2325" s="4"/>
      <c r="FQ2325" s="4"/>
      <c r="FR2325" s="4"/>
      <c r="FS2325" s="4"/>
      <c r="FT2325" s="4"/>
      <c r="FU2325" s="4"/>
      <c r="FV2325" s="4"/>
      <c r="FW2325" s="4"/>
      <c r="FX2325" s="4"/>
      <c r="FY2325" s="4"/>
      <c r="FZ2325" s="4"/>
      <c r="GA2325" s="4"/>
      <c r="GB2325" s="4"/>
      <c r="GC2325" s="4"/>
      <c r="GD2325" s="4"/>
      <c r="GE2325" s="4"/>
      <c r="GF2325" s="4"/>
      <c r="GG2325" s="4"/>
      <c r="GH2325" s="4"/>
      <c r="GI2325" s="4"/>
      <c r="GJ2325" s="4"/>
      <c r="GK2325" s="4"/>
      <c r="GL2325" s="4"/>
      <c r="GM2325" s="4"/>
      <c r="GN2325" s="4"/>
      <c r="GO2325" s="4"/>
      <c r="GP2325" s="4"/>
      <c r="GQ2325" s="4"/>
      <c r="GR2325" s="4"/>
      <c r="GS2325" s="4"/>
      <c r="GT2325" s="4"/>
      <c r="GU2325" s="4"/>
      <c r="GV2325" s="4"/>
      <c r="GW2325" s="4"/>
      <c r="GX2325" s="4"/>
      <c r="GY2325" s="4"/>
      <c r="GZ2325" s="4"/>
      <c r="HA2325" s="4"/>
      <c r="HB2325" s="4"/>
      <c r="HC2325" s="4"/>
      <c r="HD2325" s="4"/>
      <c r="HE2325" s="4"/>
    </row>
    <row r="2326">
      <c r="A2326" s="2" t="s">
        <v>10862</v>
      </c>
      <c r="B2326" s="2" t="s">
        <v>223</v>
      </c>
      <c r="C2326" s="2" t="s">
        <v>4000</v>
      </c>
      <c r="D2326" s="2" t="s">
        <v>1407</v>
      </c>
      <c r="E2326" s="2" t="s">
        <v>3636</v>
      </c>
      <c r="F2326" s="2" t="s">
        <v>10836</v>
      </c>
      <c r="G2326" s="2" t="s">
        <v>10836</v>
      </c>
      <c r="H2326" s="2" t="s">
        <v>10836</v>
      </c>
      <c r="I2326" s="2" t="s">
        <v>10837</v>
      </c>
      <c r="J2326" s="2" t="s">
        <v>284</v>
      </c>
      <c r="K2326" s="2" t="s">
        <v>2303</v>
      </c>
      <c r="L2326" s="3">
        <v>62.09</v>
      </c>
      <c r="M2326" s="3">
        <v>65.19</v>
      </c>
      <c r="N2326" s="3">
        <v>114.99</v>
      </c>
      <c r="O2326" s="2" t="s">
        <v>461</v>
      </c>
      <c r="P2326" s="2" t="s">
        <v>922</v>
      </c>
      <c r="Q2326" s="2" t="s">
        <v>234</v>
      </c>
      <c r="R2326" s="2" t="s">
        <v>228</v>
      </c>
      <c r="S2326" s="2" t="s">
        <v>10863</v>
      </c>
      <c r="T2326" s="2" t="s">
        <v>3112</v>
      </c>
      <c r="U2326" s="2" t="s">
        <v>416</v>
      </c>
      <c r="V2326" s="2" t="s">
        <v>236</v>
      </c>
      <c r="W2326" s="2" t="s">
        <v>269</v>
      </c>
      <c r="X2326" s="2" t="s">
        <v>228</v>
      </c>
      <c r="Y2326" s="2" t="s">
        <v>10850</v>
      </c>
      <c r="Z2326" s="4">
        <v>46</v>
      </c>
      <c r="AA2326" s="4">
        <f>=ROUNDDOWN(15.3333333333333,0)</f>
      </c>
      <c r="AB2326" s="5">
        <v>3</v>
      </c>
      <c r="AC2326" s="2" t="s">
        <v>228</v>
      </c>
      <c r="AD2326" s="4"/>
      <c r="AE2326" s="4"/>
      <c r="AF2326" s="6">
        <v>61</v>
      </c>
      <c r="AG2326" s="6"/>
      <c r="AH2326" s="7">
        <v>1</v>
      </c>
      <c r="AI2326" s="4"/>
      <c r="AJ2326" s="4">
        <f>=ROUNDDOWN({0},0)</f>
      </c>
      <c r="AK2326" s="5"/>
      <c r="AL2326" s="2" t="s">
        <v>228</v>
      </c>
      <c r="AM2326" s="4"/>
      <c r="AN2326" s="4"/>
      <c r="AO2326" s="7"/>
      <c r="AP2326" s="4"/>
      <c r="AQ2326" s="8"/>
      <c r="AR2326" s="4"/>
      <c r="AS2326" s="8"/>
      <c r="AT2326" s="7"/>
      <c r="AU2326" s="7"/>
      <c r="AV2326" s="4" t="s">
        <v>228</v>
      </c>
      <c r="AW2326" s="8" t="s">
        <v>228</v>
      </c>
      <c r="AX2326" s="4" t="s">
        <v>228</v>
      </c>
      <c r="AY2326" s="8" t="s">
        <v>228</v>
      </c>
      <c r="AZ2326" s="7" t="s">
        <v>228</v>
      </c>
      <c r="BA2326" s="7" t="s">
        <v>228</v>
      </c>
      <c r="BB2326" s="7"/>
      <c r="BC2326" s="4" t="s">
        <v>228</v>
      </c>
      <c r="BD2326" s="8" t="s">
        <v>228</v>
      </c>
      <c r="BE2326" s="4" t="s">
        <v>228</v>
      </c>
      <c r="BF2326" s="8" t="s">
        <v>228</v>
      </c>
      <c r="BG2326" s="7" t="s">
        <v>228</v>
      </c>
      <c r="BH2326" s="7" t="s">
        <v>228</v>
      </c>
      <c r="BI2326" s="7"/>
      <c r="BJ2326" s="4">
        <v>8</v>
      </c>
      <c r="BK2326" s="8">
        <v>270.3</v>
      </c>
      <c r="BL2326" s="2" t="s">
        <v>10864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10865</v>
      </c>
      <c r="BV2326" s="2" t="s">
        <v>228</v>
      </c>
      <c r="BW2326" s="2" t="s">
        <v>228</v>
      </c>
      <c r="BX2326" s="2" t="s">
        <v>337</v>
      </c>
      <c r="BY2326" s="2" t="s">
        <v>274</v>
      </c>
      <c r="BZ2326" s="2" t="s">
        <v>240</v>
      </c>
      <c r="CA2326" s="2" t="s">
        <v>5645</v>
      </c>
      <c r="CB2326" s="2" t="s">
        <v>2212</v>
      </c>
      <c r="CC2326" s="2" t="s">
        <v>241</v>
      </c>
      <c r="CD2326" s="2" t="s">
        <v>228</v>
      </c>
      <c r="CE2326" s="4">
        <v>46</v>
      </c>
      <c r="CF2326" s="4"/>
      <c r="CG2326" s="4"/>
      <c r="CH2326" s="4"/>
      <c r="CI2326" s="4"/>
      <c r="CJ2326" s="4"/>
      <c r="CK2326" s="4"/>
      <c r="CL2326" s="4"/>
      <c r="CM2326" s="4"/>
      <c r="CN2326" s="4"/>
      <c r="CO2326" s="4"/>
      <c r="CP2326" s="4"/>
      <c r="CQ2326" s="4"/>
      <c r="CR2326" s="4"/>
      <c r="CS2326" s="4"/>
      <c r="CT2326" s="4"/>
      <c r="CU2326" s="4"/>
      <c r="CV2326" s="4"/>
      <c r="CW2326" s="4"/>
      <c r="CX2326" s="4"/>
      <c r="CY2326" s="4"/>
      <c r="CZ2326" s="4"/>
      <c r="DA2326" s="4"/>
      <c r="DB2326" s="4"/>
      <c r="DC2326" s="4"/>
      <c r="DD2326" s="4"/>
      <c r="DE2326" s="4"/>
      <c r="DF2326" s="4"/>
      <c r="DG2326" s="4"/>
      <c r="DH2326" s="4"/>
      <c r="DI2326" s="4"/>
      <c r="DJ2326" s="4"/>
      <c r="DK2326" s="4"/>
      <c r="DL2326" s="4"/>
      <c r="DM2326" s="4"/>
      <c r="DN2326" s="4"/>
      <c r="DO2326" s="4"/>
      <c r="DP2326" s="4"/>
      <c r="DQ2326" s="4"/>
      <c r="DR2326" s="4"/>
      <c r="DS2326" s="4"/>
      <c r="DT2326" s="4"/>
      <c r="DU2326" s="4"/>
      <c r="DV2326" s="4"/>
      <c r="DW2326" s="4"/>
      <c r="DX2326" s="4"/>
      <c r="DY2326" s="4"/>
      <c r="DZ2326" s="4"/>
      <c r="EA2326" s="4"/>
      <c r="EB2326" s="4"/>
      <c r="EC2326" s="4"/>
      <c r="ED2326" s="4"/>
      <c r="EE2326" s="4"/>
      <c r="EF2326" s="4"/>
      <c r="EG2326" s="4"/>
      <c r="EH2326" s="4"/>
      <c r="EI2326" s="4"/>
      <c r="EJ2326" s="4"/>
      <c r="EK2326" s="4"/>
      <c r="EL2326" s="4"/>
      <c r="EM2326" s="4"/>
      <c r="EN2326" s="4"/>
      <c r="EO2326" s="4"/>
      <c r="EP2326" s="4"/>
      <c r="EQ2326" s="4"/>
      <c r="ER2326" s="4"/>
      <c r="ES2326" s="4"/>
      <c r="ET2326" s="4"/>
      <c r="EU2326" s="4"/>
      <c r="EV2326" s="4"/>
      <c r="EW2326" s="4"/>
      <c r="EX2326" s="4"/>
      <c r="EY2326" s="4"/>
      <c r="EZ2326" s="4"/>
      <c r="FA2326" s="4"/>
      <c r="FB2326" s="4"/>
      <c r="FC2326" s="4"/>
      <c r="FD2326" s="4"/>
      <c r="FE2326" s="4"/>
      <c r="FF2326" s="4"/>
      <c r="FG2326" s="4"/>
      <c r="FH2326" s="4"/>
      <c r="FI2326" s="4"/>
      <c r="FJ2326" s="4"/>
      <c r="FK2326" s="4"/>
      <c r="FL2326" s="4"/>
      <c r="FM2326" s="4"/>
      <c r="FN2326" s="4"/>
      <c r="FO2326" s="4"/>
      <c r="FP2326" s="4"/>
      <c r="FQ2326" s="4"/>
      <c r="FR2326" s="4"/>
      <c r="FS2326" s="4"/>
      <c r="FT2326" s="4"/>
      <c r="FU2326" s="4"/>
      <c r="FV2326" s="4"/>
      <c r="FW2326" s="4"/>
      <c r="FX2326" s="4"/>
      <c r="FY2326" s="4"/>
      <c r="FZ2326" s="4"/>
      <c r="GA2326" s="4"/>
      <c r="GB2326" s="4"/>
      <c r="GC2326" s="4"/>
      <c r="GD2326" s="4"/>
      <c r="GE2326" s="4"/>
      <c r="GF2326" s="4"/>
      <c r="GG2326" s="4"/>
      <c r="GH2326" s="4"/>
      <c r="GI2326" s="4"/>
      <c r="GJ2326" s="4"/>
      <c r="GK2326" s="4"/>
      <c r="GL2326" s="4"/>
      <c r="GM2326" s="4"/>
      <c r="GN2326" s="4"/>
      <c r="GO2326" s="4"/>
      <c r="GP2326" s="4"/>
      <c r="GQ2326" s="4"/>
      <c r="GR2326" s="4"/>
      <c r="GS2326" s="4"/>
      <c r="GT2326" s="4"/>
      <c r="GU2326" s="4"/>
      <c r="GV2326" s="4"/>
      <c r="GW2326" s="4"/>
      <c r="GX2326" s="4"/>
      <c r="GY2326" s="4"/>
      <c r="GZ2326" s="4"/>
      <c r="HA2326" s="4"/>
      <c r="HB2326" s="4"/>
      <c r="HC2326" s="4"/>
      <c r="HD2326" s="4"/>
      <c r="HE2326" s="4"/>
    </row>
    <row r="2327">
      <c r="A2327" s="2" t="s">
        <v>10866</v>
      </c>
      <c r="B2327" s="2" t="s">
        <v>223</v>
      </c>
      <c r="C2327" s="2" t="s">
        <v>4000</v>
      </c>
      <c r="D2327" s="2" t="s">
        <v>1407</v>
      </c>
      <c r="E2327" s="2" t="s">
        <v>3636</v>
      </c>
      <c r="F2327" s="2" t="s">
        <v>10836</v>
      </c>
      <c r="G2327" s="2" t="s">
        <v>10836</v>
      </c>
      <c r="H2327" s="2" t="s">
        <v>10836</v>
      </c>
      <c r="I2327" s="2" t="s">
        <v>10837</v>
      </c>
      <c r="J2327" s="2" t="s">
        <v>289</v>
      </c>
      <c r="K2327" s="2" t="s">
        <v>2303</v>
      </c>
      <c r="L2327" s="3">
        <v>83.69</v>
      </c>
      <c r="M2327" s="3">
        <v>87.87</v>
      </c>
      <c r="N2327" s="3">
        <v>154.99</v>
      </c>
      <c r="O2327" s="2" t="s">
        <v>461</v>
      </c>
      <c r="P2327" s="2" t="s">
        <v>922</v>
      </c>
      <c r="Q2327" s="2" t="s">
        <v>234</v>
      </c>
      <c r="R2327" s="2" t="s">
        <v>228</v>
      </c>
      <c r="S2327" s="2" t="s">
        <v>10863</v>
      </c>
      <c r="T2327" s="2" t="s">
        <v>3112</v>
      </c>
      <c r="U2327" s="2" t="s">
        <v>416</v>
      </c>
      <c r="V2327" s="2" t="s">
        <v>236</v>
      </c>
      <c r="W2327" s="2" t="s">
        <v>269</v>
      </c>
      <c r="X2327" s="2" t="s">
        <v>228</v>
      </c>
      <c r="Y2327" s="2" t="s">
        <v>10850</v>
      </c>
      <c r="Z2327" s="4">
        <v>9</v>
      </c>
      <c r="AA2327" s="4">
        <f>=ROUNDDOWN(2.25,0)</f>
      </c>
      <c r="AB2327" s="5">
        <v>4</v>
      </c>
      <c r="AC2327" s="2" t="s">
        <v>228</v>
      </c>
      <c r="AD2327" s="4"/>
      <c r="AE2327" s="4"/>
      <c r="AF2327" s="6">
        <v>61</v>
      </c>
      <c r="AG2327" s="6"/>
      <c r="AH2327" s="7">
        <v>0.7097</v>
      </c>
      <c r="AI2327" s="4"/>
      <c r="AJ2327" s="4">
        <f>=ROUNDDOWN({0},0)</f>
      </c>
      <c r="AK2327" s="5"/>
      <c r="AL2327" s="2" t="s">
        <v>228</v>
      </c>
      <c r="AM2327" s="4"/>
      <c r="AN2327" s="4"/>
      <c r="AO2327" s="7"/>
      <c r="AP2327" s="4"/>
      <c r="AQ2327" s="8"/>
      <c r="AR2327" s="4"/>
      <c r="AS2327" s="8"/>
      <c r="AT2327" s="7"/>
      <c r="AU2327" s="7"/>
      <c r="AV2327" s="4" t="s">
        <v>228</v>
      </c>
      <c r="AW2327" s="8" t="s">
        <v>228</v>
      </c>
      <c r="AX2327" s="4" t="s">
        <v>228</v>
      </c>
      <c r="AY2327" s="8" t="s">
        <v>228</v>
      </c>
      <c r="AZ2327" s="7" t="s">
        <v>228</v>
      </c>
      <c r="BA2327" s="7" t="s">
        <v>228</v>
      </c>
      <c r="BB2327" s="7"/>
      <c r="BC2327" s="4" t="s">
        <v>228</v>
      </c>
      <c r="BD2327" s="8" t="s">
        <v>228</v>
      </c>
      <c r="BE2327" s="4" t="s">
        <v>228</v>
      </c>
      <c r="BF2327" s="8" t="s">
        <v>228</v>
      </c>
      <c r="BG2327" s="7" t="s">
        <v>228</v>
      </c>
      <c r="BH2327" s="7" t="s">
        <v>228</v>
      </c>
      <c r="BI2327" s="7"/>
      <c r="BJ2327" s="4">
        <v>5</v>
      </c>
      <c r="BK2327" s="8">
        <v>310.51</v>
      </c>
      <c r="BL2327" s="2" t="s">
        <v>10867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10868</v>
      </c>
      <c r="BV2327" s="2" t="s">
        <v>228</v>
      </c>
      <c r="BW2327" s="2" t="s">
        <v>228</v>
      </c>
      <c r="BX2327" s="2" t="s">
        <v>337</v>
      </c>
      <c r="BY2327" s="2" t="s">
        <v>274</v>
      </c>
      <c r="BZ2327" s="2" t="s">
        <v>240</v>
      </c>
      <c r="CA2327" s="2" t="s">
        <v>5645</v>
      </c>
      <c r="CB2327" s="2" t="s">
        <v>6162</v>
      </c>
      <c r="CC2327" s="2" t="s">
        <v>241</v>
      </c>
      <c r="CD2327" s="2" t="s">
        <v>228</v>
      </c>
      <c r="CE2327" s="4"/>
      <c r="CF2327" s="4"/>
      <c r="CG2327" s="4"/>
      <c r="CH2327" s="4"/>
      <c r="CI2327" s="4"/>
      <c r="CJ2327" s="4"/>
      <c r="CK2327" s="4"/>
      <c r="CL2327" s="4"/>
      <c r="CM2327" s="4"/>
      <c r="CN2327" s="4"/>
      <c r="CO2327" s="4"/>
      <c r="CP2327" s="4">
        <v>9</v>
      </c>
      <c r="CQ2327" s="4"/>
      <c r="CR2327" s="4"/>
      <c r="CS2327" s="4"/>
      <c r="CT2327" s="4"/>
      <c r="CU2327" s="4"/>
      <c r="CV2327" s="4"/>
      <c r="CW2327" s="4"/>
      <c r="CX2327" s="4"/>
      <c r="CY2327" s="4"/>
      <c r="CZ2327" s="4"/>
      <c r="DA2327" s="4"/>
      <c r="DB2327" s="4"/>
      <c r="DC2327" s="4"/>
      <c r="DD2327" s="4"/>
      <c r="DE2327" s="4"/>
      <c r="DF2327" s="4"/>
      <c r="DG2327" s="4"/>
      <c r="DH2327" s="4"/>
      <c r="DI2327" s="4"/>
      <c r="DJ2327" s="4"/>
      <c r="DK2327" s="4"/>
      <c r="DL2327" s="4"/>
      <c r="DM2327" s="4"/>
      <c r="DN2327" s="4"/>
      <c r="DO2327" s="4"/>
      <c r="DP2327" s="4"/>
      <c r="DQ2327" s="4"/>
      <c r="DR2327" s="4"/>
      <c r="DS2327" s="4"/>
      <c r="DT2327" s="4"/>
      <c r="DU2327" s="4"/>
      <c r="DV2327" s="4"/>
      <c r="DW2327" s="4"/>
      <c r="DX2327" s="4"/>
      <c r="DY2327" s="4"/>
      <c r="DZ2327" s="4"/>
      <c r="EA2327" s="4"/>
      <c r="EB2327" s="4"/>
      <c r="EC2327" s="4"/>
      <c r="ED2327" s="4"/>
      <c r="EE2327" s="4"/>
      <c r="EF2327" s="4"/>
      <c r="EG2327" s="4"/>
      <c r="EH2327" s="4"/>
      <c r="EI2327" s="4"/>
      <c r="EJ2327" s="4"/>
      <c r="EK2327" s="4"/>
      <c r="EL2327" s="4"/>
      <c r="EM2327" s="4"/>
      <c r="EN2327" s="4"/>
      <c r="EO2327" s="4"/>
      <c r="EP2327" s="4"/>
      <c r="EQ2327" s="4"/>
      <c r="ER2327" s="4"/>
      <c r="ES2327" s="4"/>
      <c r="ET2327" s="4"/>
      <c r="EU2327" s="4"/>
      <c r="EV2327" s="4"/>
      <c r="EW2327" s="4"/>
      <c r="EX2327" s="4"/>
      <c r="EY2327" s="4"/>
      <c r="EZ2327" s="4"/>
      <c r="FA2327" s="4"/>
      <c r="FB2327" s="4"/>
      <c r="FC2327" s="4"/>
      <c r="FD2327" s="4"/>
      <c r="FE2327" s="4"/>
      <c r="FF2327" s="4"/>
      <c r="FG2327" s="4"/>
      <c r="FH2327" s="4"/>
      <c r="FI2327" s="4"/>
      <c r="FJ2327" s="4"/>
      <c r="FK2327" s="4"/>
      <c r="FL2327" s="4"/>
      <c r="FM2327" s="4"/>
      <c r="FN2327" s="4"/>
      <c r="FO2327" s="4"/>
      <c r="FP2327" s="4"/>
      <c r="FQ2327" s="4"/>
      <c r="FR2327" s="4"/>
      <c r="FS2327" s="4"/>
      <c r="FT2327" s="4"/>
      <c r="FU2327" s="4"/>
      <c r="FV2327" s="4"/>
      <c r="FW2327" s="4"/>
      <c r="FX2327" s="4"/>
      <c r="FY2327" s="4"/>
      <c r="FZ2327" s="4"/>
      <c r="GA2327" s="4"/>
      <c r="GB2327" s="4"/>
      <c r="GC2327" s="4"/>
      <c r="GD2327" s="4"/>
      <c r="GE2327" s="4"/>
      <c r="GF2327" s="4"/>
      <c r="GG2327" s="4"/>
      <c r="GH2327" s="4"/>
      <c r="GI2327" s="4"/>
      <c r="GJ2327" s="4"/>
      <c r="GK2327" s="4"/>
      <c r="GL2327" s="4"/>
      <c r="GM2327" s="4"/>
      <c r="GN2327" s="4"/>
      <c r="GO2327" s="4"/>
      <c r="GP2327" s="4"/>
      <c r="GQ2327" s="4"/>
      <c r="GR2327" s="4"/>
      <c r="GS2327" s="4"/>
      <c r="GT2327" s="4"/>
      <c r="GU2327" s="4"/>
      <c r="GV2327" s="4"/>
      <c r="GW2327" s="4"/>
      <c r="GX2327" s="4"/>
      <c r="GY2327" s="4"/>
      <c r="GZ2327" s="4"/>
      <c r="HA2327" s="4"/>
      <c r="HB2327" s="4"/>
      <c r="HC2327" s="4"/>
      <c r="HD2327" s="4"/>
      <c r="HE2327" s="4"/>
    </row>
    <row r="2328">
      <c r="A2328" s="2" t="s">
        <v>10869</v>
      </c>
      <c r="B2328" s="2" t="s">
        <v>223</v>
      </c>
      <c r="C2328" s="2" t="s">
        <v>4000</v>
      </c>
      <c r="D2328" s="2" t="s">
        <v>1407</v>
      </c>
      <c r="E2328" s="2" t="s">
        <v>3636</v>
      </c>
      <c r="F2328" s="2" t="s">
        <v>10836</v>
      </c>
      <c r="G2328" s="2" t="s">
        <v>10836</v>
      </c>
      <c r="H2328" s="2" t="s">
        <v>10836</v>
      </c>
      <c r="I2328" s="2" t="s">
        <v>10837</v>
      </c>
      <c r="J2328" s="2" t="s">
        <v>294</v>
      </c>
      <c r="K2328" s="2" t="s">
        <v>2303</v>
      </c>
      <c r="L2328" s="3">
        <v>94.49</v>
      </c>
      <c r="M2328" s="3">
        <v>99.21</v>
      </c>
      <c r="N2328" s="3">
        <v>174.99</v>
      </c>
      <c r="O2328" s="2" t="s">
        <v>461</v>
      </c>
      <c r="P2328" s="2" t="s">
        <v>922</v>
      </c>
      <c r="Q2328" s="2" t="s">
        <v>234</v>
      </c>
      <c r="R2328" s="2" t="s">
        <v>228</v>
      </c>
      <c r="S2328" s="2" t="s">
        <v>10863</v>
      </c>
      <c r="T2328" s="2" t="s">
        <v>3112</v>
      </c>
      <c r="U2328" s="2" t="s">
        <v>416</v>
      </c>
      <c r="V2328" s="2" t="s">
        <v>236</v>
      </c>
      <c r="W2328" s="2" t="s">
        <v>269</v>
      </c>
      <c r="X2328" s="2" t="s">
        <v>228</v>
      </c>
      <c r="Y2328" s="2" t="s">
        <v>10850</v>
      </c>
      <c r="Z2328" s="4">
        <v>27</v>
      </c>
      <c r="AA2328" s="4">
        <f>=ROUNDDOWN(9,0)</f>
      </c>
      <c r="AB2328" s="5">
        <v>3</v>
      </c>
      <c r="AC2328" s="2" t="s">
        <v>228</v>
      </c>
      <c r="AD2328" s="4"/>
      <c r="AE2328" s="4"/>
      <c r="AF2328" s="6">
        <v>61</v>
      </c>
      <c r="AG2328" s="6"/>
      <c r="AH2328" s="7">
        <v>1</v>
      </c>
      <c r="AI2328" s="4"/>
      <c r="AJ2328" s="4">
        <f>=ROUNDDOWN({0},0)</f>
      </c>
      <c r="AK2328" s="5"/>
      <c r="AL2328" s="2" t="s">
        <v>228</v>
      </c>
      <c r="AM2328" s="4"/>
      <c r="AN2328" s="4"/>
      <c r="AO2328" s="7"/>
      <c r="AP2328" s="4"/>
      <c r="AQ2328" s="8"/>
      <c r="AR2328" s="4"/>
      <c r="AS2328" s="8"/>
      <c r="AT2328" s="7"/>
      <c r="AU2328" s="7"/>
      <c r="AV2328" s="4" t="s">
        <v>228</v>
      </c>
      <c r="AW2328" s="8" t="s">
        <v>228</v>
      </c>
      <c r="AX2328" s="4" t="s">
        <v>228</v>
      </c>
      <c r="AY2328" s="8" t="s">
        <v>228</v>
      </c>
      <c r="AZ2328" s="7" t="s">
        <v>228</v>
      </c>
      <c r="BA2328" s="7" t="s">
        <v>228</v>
      </c>
      <c r="BB2328" s="7"/>
      <c r="BC2328" s="4" t="s">
        <v>228</v>
      </c>
      <c r="BD2328" s="8" t="s">
        <v>228</v>
      </c>
      <c r="BE2328" s="4" t="s">
        <v>228</v>
      </c>
      <c r="BF2328" s="8" t="s">
        <v>228</v>
      </c>
      <c r="BG2328" s="7" t="s">
        <v>228</v>
      </c>
      <c r="BH2328" s="7" t="s">
        <v>228</v>
      </c>
      <c r="BI2328" s="7"/>
      <c r="BJ2328" s="4">
        <v>2</v>
      </c>
      <c r="BK2328" s="8">
        <v>110.83</v>
      </c>
      <c r="BL2328" s="2" t="s">
        <v>4746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10870</v>
      </c>
      <c r="BV2328" s="2" t="s">
        <v>228</v>
      </c>
      <c r="BW2328" s="2" t="s">
        <v>228</v>
      </c>
      <c r="BX2328" s="2" t="s">
        <v>337</v>
      </c>
      <c r="BY2328" s="2" t="s">
        <v>274</v>
      </c>
      <c r="BZ2328" s="2" t="s">
        <v>240</v>
      </c>
      <c r="CA2328" s="2" t="s">
        <v>5645</v>
      </c>
      <c r="CB2328" s="2" t="s">
        <v>8767</v>
      </c>
      <c r="CC2328" s="2" t="s">
        <v>241</v>
      </c>
      <c r="CD2328" s="2" t="s">
        <v>228</v>
      </c>
      <c r="CE2328" s="4">
        <v>27</v>
      </c>
      <c r="CF2328" s="4"/>
      <c r="CG2328" s="4"/>
      <c r="CH2328" s="4"/>
      <c r="CI2328" s="4"/>
      <c r="CJ2328" s="4"/>
      <c r="CK2328" s="4"/>
      <c r="CL2328" s="4"/>
      <c r="CM2328" s="4"/>
      <c r="CN2328" s="4"/>
      <c r="CO2328" s="4"/>
      <c r="CP2328" s="4"/>
      <c r="CQ2328" s="4"/>
      <c r="CR2328" s="4"/>
      <c r="CS2328" s="4"/>
      <c r="CT2328" s="4"/>
      <c r="CU2328" s="4"/>
      <c r="CV2328" s="4"/>
      <c r="CW2328" s="4"/>
      <c r="CX2328" s="4"/>
      <c r="CY2328" s="4"/>
      <c r="CZ2328" s="4"/>
      <c r="DA2328" s="4"/>
      <c r="DB2328" s="4"/>
      <c r="DC2328" s="4"/>
      <c r="DD2328" s="4"/>
      <c r="DE2328" s="4"/>
      <c r="DF2328" s="4"/>
      <c r="DG2328" s="4"/>
      <c r="DH2328" s="4"/>
      <c r="DI2328" s="4"/>
      <c r="DJ2328" s="4"/>
      <c r="DK2328" s="4"/>
      <c r="DL2328" s="4"/>
      <c r="DM2328" s="4"/>
      <c r="DN2328" s="4"/>
      <c r="DO2328" s="4"/>
      <c r="DP2328" s="4"/>
      <c r="DQ2328" s="4"/>
      <c r="DR2328" s="4"/>
      <c r="DS2328" s="4"/>
      <c r="DT2328" s="4"/>
      <c r="DU2328" s="4"/>
      <c r="DV2328" s="4"/>
      <c r="DW2328" s="4"/>
      <c r="DX2328" s="4"/>
      <c r="DY2328" s="4"/>
      <c r="DZ2328" s="4"/>
      <c r="EA2328" s="4"/>
      <c r="EB2328" s="4"/>
      <c r="EC2328" s="4"/>
      <c r="ED2328" s="4"/>
      <c r="EE2328" s="4"/>
      <c r="EF2328" s="4"/>
      <c r="EG2328" s="4"/>
      <c r="EH2328" s="4"/>
      <c r="EI2328" s="4"/>
      <c r="EJ2328" s="4"/>
      <c r="EK2328" s="4"/>
      <c r="EL2328" s="4"/>
      <c r="EM2328" s="4"/>
      <c r="EN2328" s="4"/>
      <c r="EO2328" s="4"/>
      <c r="EP2328" s="4"/>
      <c r="EQ2328" s="4"/>
      <c r="ER2328" s="4"/>
      <c r="ES2328" s="4"/>
      <c r="ET2328" s="4"/>
      <c r="EU2328" s="4"/>
      <c r="EV2328" s="4"/>
      <c r="EW2328" s="4"/>
      <c r="EX2328" s="4"/>
      <c r="EY2328" s="4"/>
      <c r="EZ2328" s="4"/>
      <c r="FA2328" s="4"/>
      <c r="FB2328" s="4"/>
      <c r="FC2328" s="4"/>
      <c r="FD2328" s="4"/>
      <c r="FE2328" s="4"/>
      <c r="FF2328" s="4"/>
      <c r="FG2328" s="4"/>
      <c r="FH2328" s="4"/>
      <c r="FI2328" s="4"/>
      <c r="FJ2328" s="4"/>
      <c r="FK2328" s="4"/>
      <c r="FL2328" s="4"/>
      <c r="FM2328" s="4"/>
      <c r="FN2328" s="4"/>
      <c r="FO2328" s="4"/>
      <c r="FP2328" s="4"/>
      <c r="FQ2328" s="4"/>
      <c r="FR2328" s="4"/>
      <c r="FS2328" s="4"/>
      <c r="FT2328" s="4"/>
      <c r="FU2328" s="4"/>
      <c r="FV2328" s="4"/>
      <c r="FW2328" s="4"/>
      <c r="FX2328" s="4"/>
      <c r="FY2328" s="4"/>
      <c r="FZ2328" s="4"/>
      <c r="GA2328" s="4"/>
      <c r="GB2328" s="4"/>
      <c r="GC2328" s="4"/>
      <c r="GD2328" s="4"/>
      <c r="GE2328" s="4"/>
      <c r="GF2328" s="4"/>
      <c r="GG2328" s="4"/>
      <c r="GH2328" s="4"/>
      <c r="GI2328" s="4"/>
      <c r="GJ2328" s="4"/>
      <c r="GK2328" s="4"/>
      <c r="GL2328" s="4"/>
      <c r="GM2328" s="4"/>
      <c r="GN2328" s="4"/>
      <c r="GO2328" s="4"/>
      <c r="GP2328" s="4"/>
      <c r="GQ2328" s="4"/>
      <c r="GR2328" s="4"/>
      <c r="GS2328" s="4"/>
      <c r="GT2328" s="4"/>
      <c r="GU2328" s="4"/>
      <c r="GV2328" s="4"/>
      <c r="GW2328" s="4"/>
      <c r="GX2328" s="4"/>
      <c r="GY2328" s="4"/>
      <c r="GZ2328" s="4"/>
      <c r="HA2328" s="4"/>
      <c r="HB2328" s="4"/>
      <c r="HC2328" s="4"/>
      <c r="HD2328" s="4"/>
      <c r="HE2328" s="4"/>
    </row>
    <row r="2329">
      <c r="A2329" s="2" t="s">
        <v>10871</v>
      </c>
      <c r="B2329" s="2" t="s">
        <v>223</v>
      </c>
      <c r="C2329" s="2" t="s">
        <v>4000</v>
      </c>
      <c r="D2329" s="2" t="s">
        <v>1407</v>
      </c>
      <c r="E2329" s="2" t="s">
        <v>3636</v>
      </c>
      <c r="F2329" s="2" t="s">
        <v>10836</v>
      </c>
      <c r="G2329" s="2" t="s">
        <v>10836</v>
      </c>
      <c r="H2329" s="2" t="s">
        <v>10836</v>
      </c>
      <c r="I2329" s="2" t="s">
        <v>10837</v>
      </c>
      <c r="J2329" s="2" t="s">
        <v>264</v>
      </c>
      <c r="K2329" s="2" t="s">
        <v>480</v>
      </c>
      <c r="L2329" s="3">
        <v>56.69</v>
      </c>
      <c r="M2329" s="3">
        <v>59.52</v>
      </c>
      <c r="N2329" s="3">
        <v>104.99</v>
      </c>
      <c r="O2329" s="2" t="s">
        <v>232</v>
      </c>
      <c r="P2329" s="2" t="s">
        <v>922</v>
      </c>
      <c r="Q2329" s="2" t="s">
        <v>234</v>
      </c>
      <c r="R2329" s="2" t="s">
        <v>228</v>
      </c>
      <c r="S2329" s="2" t="s">
        <v>10872</v>
      </c>
      <c r="T2329" s="2" t="s">
        <v>1266</v>
      </c>
      <c r="U2329" s="2" t="s">
        <v>228</v>
      </c>
      <c r="V2329" s="2" t="s">
        <v>236</v>
      </c>
      <c r="W2329" s="2" t="s">
        <v>269</v>
      </c>
      <c r="X2329" s="2" t="s">
        <v>228</v>
      </c>
      <c r="Y2329" s="2" t="s">
        <v>3790</v>
      </c>
      <c r="Z2329" s="4"/>
      <c r="AA2329" s="4">
        <f>=ROUNDDOWN({0},0)</f>
      </c>
      <c r="AB2329" s="5">
        <v>4</v>
      </c>
      <c r="AC2329" s="2" t="s">
        <v>228</v>
      </c>
      <c r="AD2329" s="4"/>
      <c r="AE2329" s="4"/>
      <c r="AF2329" s="6">
        <v>61</v>
      </c>
      <c r="AG2329" s="6"/>
      <c r="AH2329" s="7">
        <v>0</v>
      </c>
      <c r="AI2329" s="4"/>
      <c r="AJ2329" s="4">
        <f>=ROUNDDOWN({0},0)</f>
      </c>
      <c r="AK2329" s="5"/>
      <c r="AL2329" s="2" t="s">
        <v>228</v>
      </c>
      <c r="AM2329" s="4"/>
      <c r="AN2329" s="4"/>
      <c r="AO2329" s="7"/>
      <c r="AP2329" s="4"/>
      <c r="AQ2329" s="8"/>
      <c r="AR2329" s="4"/>
      <c r="AS2329" s="8"/>
      <c r="AT2329" s="7"/>
      <c r="AU2329" s="7"/>
      <c r="AV2329" s="4" t="s">
        <v>228</v>
      </c>
      <c r="AW2329" s="8" t="s">
        <v>228</v>
      </c>
      <c r="AX2329" s="4" t="s">
        <v>228</v>
      </c>
      <c r="AY2329" s="8" t="s">
        <v>228</v>
      </c>
      <c r="AZ2329" s="7" t="s">
        <v>228</v>
      </c>
      <c r="BA2329" s="7" t="s">
        <v>228</v>
      </c>
      <c r="BB2329" s="7"/>
      <c r="BC2329" s="4" t="s">
        <v>228</v>
      </c>
      <c r="BD2329" s="8" t="s">
        <v>228</v>
      </c>
      <c r="BE2329" s="4" t="s">
        <v>228</v>
      </c>
      <c r="BF2329" s="8" t="s">
        <v>228</v>
      </c>
      <c r="BG2329" s="7" t="s">
        <v>228</v>
      </c>
      <c r="BH2329" s="7" t="s">
        <v>228</v>
      </c>
      <c r="BI2329" s="7"/>
      <c r="BJ2329" s="4"/>
      <c r="BK2329" s="8"/>
      <c r="BL2329" s="2" t="s">
        <v>2061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10873</v>
      </c>
      <c r="BV2329" s="2" t="s">
        <v>228</v>
      </c>
      <c r="BW2329" s="2" t="s">
        <v>228</v>
      </c>
      <c r="BX2329" s="2" t="s">
        <v>337</v>
      </c>
      <c r="BY2329" s="2" t="s">
        <v>274</v>
      </c>
      <c r="BZ2329" s="2" t="s">
        <v>240</v>
      </c>
      <c r="CA2329" s="2" t="s">
        <v>6222</v>
      </c>
      <c r="CB2329" s="2" t="s">
        <v>10874</v>
      </c>
      <c r="CC2329" s="2" t="s">
        <v>241</v>
      </c>
      <c r="CD2329" s="2" t="s">
        <v>228</v>
      </c>
      <c r="CE2329" s="4"/>
      <c r="CF2329" s="4"/>
      <c r="CG2329" s="4"/>
      <c r="CH2329" s="4"/>
      <c r="CI2329" s="4"/>
      <c r="CJ2329" s="4"/>
      <c r="CK2329" s="4"/>
      <c r="CL2329" s="4"/>
      <c r="CM2329" s="4"/>
      <c r="CN2329" s="4"/>
      <c r="CO2329" s="4"/>
      <c r="CP2329" s="4"/>
      <c r="CQ2329" s="4"/>
      <c r="CR2329" s="4"/>
      <c r="CS2329" s="4"/>
      <c r="CT2329" s="4"/>
      <c r="CU2329" s="4"/>
      <c r="CV2329" s="4"/>
      <c r="CW2329" s="4"/>
      <c r="CX2329" s="4"/>
      <c r="CY2329" s="4"/>
      <c r="CZ2329" s="4"/>
      <c r="DA2329" s="4"/>
      <c r="DB2329" s="4"/>
      <c r="DC2329" s="4"/>
      <c r="DD2329" s="4"/>
      <c r="DE2329" s="4"/>
      <c r="DF2329" s="4"/>
      <c r="DG2329" s="4"/>
      <c r="DH2329" s="4"/>
      <c r="DI2329" s="4"/>
      <c r="DJ2329" s="4"/>
      <c r="DK2329" s="4"/>
      <c r="DL2329" s="4"/>
      <c r="DM2329" s="4"/>
      <c r="DN2329" s="4"/>
      <c r="DO2329" s="4"/>
      <c r="DP2329" s="4"/>
      <c r="DQ2329" s="4"/>
      <c r="DR2329" s="4"/>
      <c r="DS2329" s="4"/>
      <c r="DT2329" s="4"/>
      <c r="DU2329" s="4"/>
      <c r="DV2329" s="4"/>
      <c r="DW2329" s="4"/>
      <c r="DX2329" s="4"/>
      <c r="DY2329" s="4"/>
      <c r="DZ2329" s="4"/>
      <c r="EA2329" s="4"/>
      <c r="EB2329" s="4"/>
      <c r="EC2329" s="4"/>
      <c r="ED2329" s="4"/>
      <c r="EE2329" s="4"/>
      <c r="EF2329" s="4"/>
      <c r="EG2329" s="4"/>
      <c r="EH2329" s="4"/>
      <c r="EI2329" s="4"/>
      <c r="EJ2329" s="4"/>
      <c r="EK2329" s="4"/>
      <c r="EL2329" s="4"/>
      <c r="EM2329" s="4"/>
      <c r="EN2329" s="4"/>
      <c r="EO2329" s="4"/>
      <c r="EP2329" s="4"/>
      <c r="EQ2329" s="4"/>
      <c r="ER2329" s="4"/>
      <c r="ES2329" s="4"/>
      <c r="ET2329" s="4"/>
      <c r="EU2329" s="4"/>
      <c r="EV2329" s="4"/>
      <c r="EW2329" s="4"/>
      <c r="EX2329" s="4"/>
      <c r="EY2329" s="4"/>
      <c r="EZ2329" s="4"/>
      <c r="FA2329" s="4"/>
      <c r="FB2329" s="4"/>
      <c r="FC2329" s="4"/>
      <c r="FD2329" s="4"/>
      <c r="FE2329" s="4"/>
      <c r="FF2329" s="4"/>
      <c r="FG2329" s="4"/>
      <c r="FH2329" s="4"/>
      <c r="FI2329" s="4"/>
      <c r="FJ2329" s="4"/>
      <c r="FK2329" s="4"/>
      <c r="FL2329" s="4"/>
      <c r="FM2329" s="4"/>
      <c r="FN2329" s="4"/>
      <c r="FO2329" s="4"/>
      <c r="FP2329" s="4"/>
      <c r="FQ2329" s="4"/>
      <c r="FR2329" s="4"/>
      <c r="FS2329" s="4"/>
      <c r="FT2329" s="4"/>
      <c r="FU2329" s="4"/>
      <c r="FV2329" s="4"/>
      <c r="FW2329" s="4"/>
      <c r="FX2329" s="4"/>
      <c r="FY2329" s="4"/>
      <c r="FZ2329" s="4"/>
      <c r="GA2329" s="4"/>
      <c r="GB2329" s="4"/>
      <c r="GC2329" s="4"/>
      <c r="GD2329" s="4"/>
      <c r="GE2329" s="4"/>
      <c r="GF2329" s="4"/>
      <c r="GG2329" s="4"/>
      <c r="GH2329" s="4"/>
      <c r="GI2329" s="4"/>
      <c r="GJ2329" s="4"/>
      <c r="GK2329" s="4"/>
      <c r="GL2329" s="4"/>
      <c r="GM2329" s="4"/>
      <c r="GN2329" s="4"/>
      <c r="GO2329" s="4"/>
      <c r="GP2329" s="4"/>
      <c r="GQ2329" s="4"/>
      <c r="GR2329" s="4"/>
      <c r="GS2329" s="4"/>
      <c r="GT2329" s="4"/>
      <c r="GU2329" s="4"/>
      <c r="GV2329" s="4"/>
      <c r="GW2329" s="4"/>
      <c r="GX2329" s="4"/>
      <c r="GY2329" s="4"/>
      <c r="GZ2329" s="4"/>
      <c r="HA2329" s="4"/>
      <c r="HB2329" s="4"/>
      <c r="HC2329" s="4"/>
      <c r="HD2329" s="4"/>
      <c r="HE2329" s="4"/>
    </row>
    <row r="2330">
      <c r="A2330" s="2" t="s">
        <v>10875</v>
      </c>
      <c r="B2330" s="2" t="s">
        <v>223</v>
      </c>
      <c r="C2330" s="2" t="s">
        <v>4000</v>
      </c>
      <c r="D2330" s="2" t="s">
        <v>1407</v>
      </c>
      <c r="E2330" s="2" t="s">
        <v>3636</v>
      </c>
      <c r="F2330" s="2" t="s">
        <v>10836</v>
      </c>
      <c r="G2330" s="2" t="s">
        <v>10836</v>
      </c>
      <c r="H2330" s="2" t="s">
        <v>10836</v>
      </c>
      <c r="I2330" s="2" t="s">
        <v>10837</v>
      </c>
      <c r="J2330" s="2" t="s">
        <v>289</v>
      </c>
      <c r="K2330" s="2" t="s">
        <v>480</v>
      </c>
      <c r="L2330" s="3">
        <v>83.69</v>
      </c>
      <c r="M2330" s="3">
        <v>87.87</v>
      </c>
      <c r="N2330" s="3">
        <v>154.99</v>
      </c>
      <c r="O2330" s="2" t="s">
        <v>461</v>
      </c>
      <c r="P2330" s="2" t="s">
        <v>922</v>
      </c>
      <c r="Q2330" s="2" t="s">
        <v>234</v>
      </c>
      <c r="R2330" s="2" t="s">
        <v>228</v>
      </c>
      <c r="S2330" s="2" t="s">
        <v>10872</v>
      </c>
      <c r="T2330" s="2" t="s">
        <v>1266</v>
      </c>
      <c r="U2330" s="2" t="s">
        <v>228</v>
      </c>
      <c r="V2330" s="2" t="s">
        <v>236</v>
      </c>
      <c r="W2330" s="2" t="s">
        <v>269</v>
      </c>
      <c r="X2330" s="2" t="s">
        <v>228</v>
      </c>
      <c r="Y2330" s="2" t="s">
        <v>3790</v>
      </c>
      <c r="Z2330" s="4">
        <v>239</v>
      </c>
      <c r="AA2330" s="4">
        <f>=ROUNDDOWN(47.8,0)</f>
      </c>
      <c r="AB2330" s="5">
        <v>5</v>
      </c>
      <c r="AC2330" s="2" t="s">
        <v>228</v>
      </c>
      <c r="AD2330" s="4"/>
      <c r="AE2330" s="4"/>
      <c r="AF2330" s="6">
        <v>61</v>
      </c>
      <c r="AG2330" s="6"/>
      <c r="AH2330" s="7">
        <v>1</v>
      </c>
      <c r="AI2330" s="4"/>
      <c r="AJ2330" s="4">
        <f>=ROUNDDOWN({0},0)</f>
      </c>
      <c r="AK2330" s="5"/>
      <c r="AL2330" s="2" t="s">
        <v>228</v>
      </c>
      <c r="AM2330" s="4"/>
      <c r="AN2330" s="4"/>
      <c r="AO2330" s="7"/>
      <c r="AP2330" s="4"/>
      <c r="AQ2330" s="8"/>
      <c r="AR2330" s="4"/>
      <c r="AS2330" s="8"/>
      <c r="AT2330" s="7"/>
      <c r="AU2330" s="7"/>
      <c r="AV2330" s="4" t="s">
        <v>228</v>
      </c>
      <c r="AW2330" s="8" t="s">
        <v>228</v>
      </c>
      <c r="AX2330" s="4" t="s">
        <v>228</v>
      </c>
      <c r="AY2330" s="8" t="s">
        <v>228</v>
      </c>
      <c r="AZ2330" s="7" t="s">
        <v>228</v>
      </c>
      <c r="BA2330" s="7" t="s">
        <v>228</v>
      </c>
      <c r="BB2330" s="7"/>
      <c r="BC2330" s="4" t="s">
        <v>228</v>
      </c>
      <c r="BD2330" s="8" t="s">
        <v>228</v>
      </c>
      <c r="BE2330" s="4" t="s">
        <v>228</v>
      </c>
      <c r="BF2330" s="8" t="s">
        <v>228</v>
      </c>
      <c r="BG2330" s="7" t="s">
        <v>228</v>
      </c>
      <c r="BH2330" s="7" t="s">
        <v>228</v>
      </c>
      <c r="BI2330" s="7"/>
      <c r="BJ2330" s="4">
        <v>22</v>
      </c>
      <c r="BK2330" s="8">
        <v>993.41</v>
      </c>
      <c r="BL2330" s="2" t="s">
        <v>10876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10877</v>
      </c>
      <c r="BV2330" s="2" t="s">
        <v>228</v>
      </c>
      <c r="BW2330" s="2" t="s">
        <v>228</v>
      </c>
      <c r="BX2330" s="2" t="s">
        <v>337</v>
      </c>
      <c r="BY2330" s="2" t="s">
        <v>274</v>
      </c>
      <c r="BZ2330" s="2" t="s">
        <v>240</v>
      </c>
      <c r="CA2330" s="2" t="s">
        <v>6222</v>
      </c>
      <c r="CB2330" s="2" t="s">
        <v>3838</v>
      </c>
      <c r="CC2330" s="2" t="s">
        <v>241</v>
      </c>
      <c r="CD2330" s="2" t="s">
        <v>228</v>
      </c>
      <c r="CE2330" s="4">
        <v>239</v>
      </c>
      <c r="CF2330" s="4"/>
      <c r="CG2330" s="4"/>
      <c r="CH2330" s="4"/>
      <c r="CI2330" s="4"/>
      <c r="CJ2330" s="4"/>
      <c r="CK2330" s="4"/>
      <c r="CL2330" s="4"/>
      <c r="CM2330" s="4"/>
      <c r="CN2330" s="4"/>
      <c r="CO2330" s="4"/>
      <c r="CP2330" s="4"/>
      <c r="CQ2330" s="4"/>
      <c r="CR2330" s="4"/>
      <c r="CS2330" s="4"/>
      <c r="CT2330" s="4"/>
      <c r="CU2330" s="4"/>
      <c r="CV2330" s="4"/>
      <c r="CW2330" s="4"/>
      <c r="CX2330" s="4"/>
      <c r="CY2330" s="4"/>
      <c r="CZ2330" s="4"/>
      <c r="DA2330" s="4"/>
      <c r="DB2330" s="4"/>
      <c r="DC2330" s="4"/>
      <c r="DD2330" s="4"/>
      <c r="DE2330" s="4"/>
      <c r="DF2330" s="4"/>
      <c r="DG2330" s="4"/>
      <c r="DH2330" s="4"/>
      <c r="DI2330" s="4"/>
      <c r="DJ2330" s="4"/>
      <c r="DK2330" s="4"/>
      <c r="DL2330" s="4"/>
      <c r="DM2330" s="4"/>
      <c r="DN2330" s="4"/>
      <c r="DO2330" s="4"/>
      <c r="DP2330" s="4"/>
      <c r="DQ2330" s="4"/>
      <c r="DR2330" s="4"/>
      <c r="DS2330" s="4"/>
      <c r="DT2330" s="4"/>
      <c r="DU2330" s="4"/>
      <c r="DV2330" s="4"/>
      <c r="DW2330" s="4"/>
      <c r="DX2330" s="4"/>
      <c r="DY2330" s="4"/>
      <c r="DZ2330" s="4"/>
      <c r="EA2330" s="4"/>
      <c r="EB2330" s="4"/>
      <c r="EC2330" s="4"/>
      <c r="ED2330" s="4"/>
      <c r="EE2330" s="4"/>
      <c r="EF2330" s="4"/>
      <c r="EG2330" s="4"/>
      <c r="EH2330" s="4"/>
      <c r="EI2330" s="4"/>
      <c r="EJ2330" s="4"/>
      <c r="EK2330" s="4"/>
      <c r="EL2330" s="4"/>
      <c r="EM2330" s="4"/>
      <c r="EN2330" s="4"/>
      <c r="EO2330" s="4"/>
      <c r="EP2330" s="4"/>
      <c r="EQ2330" s="4"/>
      <c r="ER2330" s="4"/>
      <c r="ES2330" s="4"/>
      <c r="ET2330" s="4"/>
      <c r="EU2330" s="4"/>
      <c r="EV2330" s="4"/>
      <c r="EW2330" s="4"/>
      <c r="EX2330" s="4"/>
      <c r="EY2330" s="4"/>
      <c r="EZ2330" s="4"/>
      <c r="FA2330" s="4"/>
      <c r="FB2330" s="4"/>
      <c r="FC2330" s="4"/>
      <c r="FD2330" s="4"/>
      <c r="FE2330" s="4"/>
      <c r="FF2330" s="4"/>
      <c r="FG2330" s="4"/>
      <c r="FH2330" s="4"/>
      <c r="FI2330" s="4"/>
      <c r="FJ2330" s="4"/>
      <c r="FK2330" s="4"/>
      <c r="FL2330" s="4"/>
      <c r="FM2330" s="4"/>
      <c r="FN2330" s="4"/>
      <c r="FO2330" s="4"/>
      <c r="FP2330" s="4"/>
      <c r="FQ2330" s="4"/>
      <c r="FR2330" s="4"/>
      <c r="FS2330" s="4"/>
      <c r="FT2330" s="4"/>
      <c r="FU2330" s="4"/>
      <c r="FV2330" s="4"/>
      <c r="FW2330" s="4"/>
      <c r="FX2330" s="4"/>
      <c r="FY2330" s="4"/>
      <c r="FZ2330" s="4"/>
      <c r="GA2330" s="4"/>
      <c r="GB2330" s="4"/>
      <c r="GC2330" s="4"/>
      <c r="GD2330" s="4"/>
      <c r="GE2330" s="4"/>
      <c r="GF2330" s="4"/>
      <c r="GG2330" s="4"/>
      <c r="GH2330" s="4"/>
      <c r="GI2330" s="4"/>
      <c r="GJ2330" s="4"/>
      <c r="GK2330" s="4"/>
      <c r="GL2330" s="4"/>
      <c r="GM2330" s="4"/>
      <c r="GN2330" s="4"/>
      <c r="GO2330" s="4"/>
      <c r="GP2330" s="4"/>
      <c r="GQ2330" s="4"/>
      <c r="GR2330" s="4"/>
      <c r="GS2330" s="4"/>
      <c r="GT2330" s="4"/>
      <c r="GU2330" s="4"/>
      <c r="GV2330" s="4"/>
      <c r="GW2330" s="4"/>
      <c r="GX2330" s="4"/>
      <c r="GY2330" s="4"/>
      <c r="GZ2330" s="4"/>
      <c r="HA2330" s="4"/>
      <c r="HB2330" s="4"/>
      <c r="HC2330" s="4"/>
      <c r="HD2330" s="4"/>
      <c r="HE2330" s="4"/>
    </row>
    <row r="2331">
      <c r="A2331" s="2" t="s">
        <v>10878</v>
      </c>
      <c r="B2331" s="2" t="s">
        <v>223</v>
      </c>
      <c r="C2331" s="2" t="s">
        <v>4000</v>
      </c>
      <c r="D2331" s="2" t="s">
        <v>1407</v>
      </c>
      <c r="E2331" s="2" t="s">
        <v>3636</v>
      </c>
      <c r="F2331" s="2" t="s">
        <v>10836</v>
      </c>
      <c r="G2331" s="2" t="s">
        <v>10836</v>
      </c>
      <c r="H2331" s="2" t="s">
        <v>10836</v>
      </c>
      <c r="I2331" s="2" t="s">
        <v>10837</v>
      </c>
      <c r="J2331" s="2" t="s">
        <v>264</v>
      </c>
      <c r="K2331" s="2" t="s">
        <v>1478</v>
      </c>
      <c r="L2331" s="3">
        <v>56.69</v>
      </c>
      <c r="M2331" s="3">
        <v>59.52</v>
      </c>
      <c r="N2331" s="3">
        <v>104.99</v>
      </c>
      <c r="O2331" s="2" t="s">
        <v>232</v>
      </c>
      <c r="P2331" s="2" t="s">
        <v>922</v>
      </c>
      <c r="Q2331" s="2" t="s">
        <v>234</v>
      </c>
      <c r="R2331" s="2" t="s">
        <v>228</v>
      </c>
      <c r="S2331" s="2" t="s">
        <v>10879</v>
      </c>
      <c r="T2331" s="2" t="s">
        <v>1266</v>
      </c>
      <c r="U2331" s="2" t="s">
        <v>228</v>
      </c>
      <c r="V2331" s="2" t="s">
        <v>236</v>
      </c>
      <c r="W2331" s="2" t="s">
        <v>269</v>
      </c>
      <c r="X2331" s="2" t="s">
        <v>228</v>
      </c>
      <c r="Y2331" s="2" t="s">
        <v>3790</v>
      </c>
      <c r="Z2331" s="4"/>
      <c r="AA2331" s="4">
        <f>=ROUNDDOWN({0},0)</f>
      </c>
      <c r="AB2331" s="5">
        <v>4</v>
      </c>
      <c r="AC2331" s="2" t="s">
        <v>228</v>
      </c>
      <c r="AD2331" s="4"/>
      <c r="AE2331" s="4"/>
      <c r="AF2331" s="6">
        <v>61</v>
      </c>
      <c r="AG2331" s="6"/>
      <c r="AH2331" s="7">
        <v>0</v>
      </c>
      <c r="AI2331" s="4"/>
      <c r="AJ2331" s="4">
        <f>=ROUNDDOWN({0},0)</f>
      </c>
      <c r="AK2331" s="5"/>
      <c r="AL2331" s="2" t="s">
        <v>228</v>
      </c>
      <c r="AM2331" s="4"/>
      <c r="AN2331" s="4"/>
      <c r="AO2331" s="7"/>
      <c r="AP2331" s="4"/>
      <c r="AQ2331" s="8"/>
      <c r="AR2331" s="4"/>
      <c r="AS2331" s="8"/>
      <c r="AT2331" s="7"/>
      <c r="AU2331" s="7"/>
      <c r="AV2331" s="4" t="s">
        <v>228</v>
      </c>
      <c r="AW2331" s="8" t="s">
        <v>228</v>
      </c>
      <c r="AX2331" s="4" t="s">
        <v>228</v>
      </c>
      <c r="AY2331" s="8" t="s">
        <v>228</v>
      </c>
      <c r="AZ2331" s="7" t="s">
        <v>228</v>
      </c>
      <c r="BA2331" s="7" t="s">
        <v>228</v>
      </c>
      <c r="BB2331" s="7"/>
      <c r="BC2331" s="4" t="s">
        <v>228</v>
      </c>
      <c r="BD2331" s="8" t="s">
        <v>228</v>
      </c>
      <c r="BE2331" s="4" t="s">
        <v>228</v>
      </c>
      <c r="BF2331" s="8" t="s">
        <v>228</v>
      </c>
      <c r="BG2331" s="7" t="s">
        <v>228</v>
      </c>
      <c r="BH2331" s="7" t="s">
        <v>228</v>
      </c>
      <c r="BI2331" s="7"/>
      <c r="BJ2331" s="4"/>
      <c r="BK2331" s="8"/>
      <c r="BL2331" s="2" t="s">
        <v>484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10880</v>
      </c>
      <c r="BV2331" s="2" t="s">
        <v>228</v>
      </c>
      <c r="BW2331" s="2" t="s">
        <v>228</v>
      </c>
      <c r="BX2331" s="2" t="s">
        <v>337</v>
      </c>
      <c r="BY2331" s="2" t="s">
        <v>274</v>
      </c>
      <c r="BZ2331" s="2" t="s">
        <v>240</v>
      </c>
      <c r="CA2331" s="2" t="s">
        <v>6222</v>
      </c>
      <c r="CB2331" s="2" t="s">
        <v>3861</v>
      </c>
      <c r="CC2331" s="2" t="s">
        <v>241</v>
      </c>
      <c r="CD2331" s="2" t="s">
        <v>228</v>
      </c>
      <c r="CE2331" s="4"/>
      <c r="CF2331" s="4"/>
      <c r="CG2331" s="4"/>
      <c r="CH2331" s="4"/>
      <c r="CI2331" s="4"/>
      <c r="CJ2331" s="4"/>
      <c r="CK2331" s="4"/>
      <c r="CL2331" s="4"/>
      <c r="CM2331" s="4"/>
      <c r="CN2331" s="4"/>
      <c r="CO2331" s="4"/>
      <c r="CP2331" s="4"/>
      <c r="CQ2331" s="4"/>
      <c r="CR2331" s="4"/>
      <c r="CS2331" s="4"/>
      <c r="CT2331" s="4"/>
      <c r="CU2331" s="4"/>
      <c r="CV2331" s="4"/>
      <c r="CW2331" s="4"/>
      <c r="CX2331" s="4"/>
      <c r="CY2331" s="4"/>
      <c r="CZ2331" s="4"/>
      <c r="DA2331" s="4"/>
      <c r="DB2331" s="4"/>
      <c r="DC2331" s="4"/>
      <c r="DD2331" s="4"/>
      <c r="DE2331" s="4"/>
      <c r="DF2331" s="4"/>
      <c r="DG2331" s="4"/>
      <c r="DH2331" s="4"/>
      <c r="DI2331" s="4"/>
      <c r="DJ2331" s="4"/>
      <c r="DK2331" s="4"/>
      <c r="DL2331" s="4"/>
      <c r="DM2331" s="4"/>
      <c r="DN2331" s="4"/>
      <c r="DO2331" s="4"/>
      <c r="DP2331" s="4"/>
      <c r="DQ2331" s="4"/>
      <c r="DR2331" s="4"/>
      <c r="DS2331" s="4"/>
      <c r="DT2331" s="4"/>
      <c r="DU2331" s="4"/>
      <c r="DV2331" s="4"/>
      <c r="DW2331" s="4"/>
      <c r="DX2331" s="4"/>
      <c r="DY2331" s="4"/>
      <c r="DZ2331" s="4"/>
      <c r="EA2331" s="4"/>
      <c r="EB2331" s="4"/>
      <c r="EC2331" s="4"/>
      <c r="ED2331" s="4"/>
      <c r="EE2331" s="4"/>
      <c r="EF2331" s="4"/>
      <c r="EG2331" s="4"/>
      <c r="EH2331" s="4"/>
      <c r="EI2331" s="4"/>
      <c r="EJ2331" s="4"/>
      <c r="EK2331" s="4"/>
      <c r="EL2331" s="4"/>
      <c r="EM2331" s="4"/>
      <c r="EN2331" s="4"/>
      <c r="EO2331" s="4"/>
      <c r="EP2331" s="4"/>
      <c r="EQ2331" s="4"/>
      <c r="ER2331" s="4"/>
      <c r="ES2331" s="4"/>
      <c r="ET2331" s="4"/>
      <c r="EU2331" s="4"/>
      <c r="EV2331" s="4"/>
      <c r="EW2331" s="4"/>
      <c r="EX2331" s="4"/>
      <c r="EY2331" s="4"/>
      <c r="EZ2331" s="4"/>
      <c r="FA2331" s="4"/>
      <c r="FB2331" s="4"/>
      <c r="FC2331" s="4"/>
      <c r="FD2331" s="4"/>
      <c r="FE2331" s="4"/>
      <c r="FF2331" s="4"/>
      <c r="FG2331" s="4"/>
      <c r="FH2331" s="4"/>
      <c r="FI2331" s="4"/>
      <c r="FJ2331" s="4"/>
      <c r="FK2331" s="4"/>
      <c r="FL2331" s="4"/>
      <c r="FM2331" s="4"/>
      <c r="FN2331" s="4"/>
      <c r="FO2331" s="4"/>
      <c r="FP2331" s="4"/>
      <c r="FQ2331" s="4"/>
      <c r="FR2331" s="4"/>
      <c r="FS2331" s="4"/>
      <c r="FT2331" s="4"/>
      <c r="FU2331" s="4"/>
      <c r="FV2331" s="4"/>
      <c r="FW2331" s="4"/>
      <c r="FX2331" s="4"/>
      <c r="FY2331" s="4"/>
      <c r="FZ2331" s="4"/>
      <c r="GA2331" s="4"/>
      <c r="GB2331" s="4"/>
      <c r="GC2331" s="4"/>
      <c r="GD2331" s="4"/>
      <c r="GE2331" s="4"/>
      <c r="GF2331" s="4"/>
      <c r="GG2331" s="4"/>
      <c r="GH2331" s="4"/>
      <c r="GI2331" s="4"/>
      <c r="GJ2331" s="4"/>
      <c r="GK2331" s="4"/>
      <c r="GL2331" s="4"/>
      <c r="GM2331" s="4"/>
      <c r="GN2331" s="4"/>
      <c r="GO2331" s="4"/>
      <c r="GP2331" s="4"/>
      <c r="GQ2331" s="4"/>
      <c r="GR2331" s="4"/>
      <c r="GS2331" s="4"/>
      <c r="GT2331" s="4"/>
      <c r="GU2331" s="4"/>
      <c r="GV2331" s="4"/>
      <c r="GW2331" s="4"/>
      <c r="GX2331" s="4"/>
      <c r="GY2331" s="4"/>
      <c r="GZ2331" s="4"/>
      <c r="HA2331" s="4"/>
      <c r="HB2331" s="4"/>
      <c r="HC2331" s="4"/>
      <c r="HD2331" s="4"/>
      <c r="HE2331" s="4"/>
    </row>
    <row r="2332">
      <c r="A2332" s="2" t="s">
        <v>10881</v>
      </c>
      <c r="B2332" s="2" t="s">
        <v>223</v>
      </c>
      <c r="C2332" s="2" t="s">
        <v>4000</v>
      </c>
      <c r="D2332" s="2" t="s">
        <v>1407</v>
      </c>
      <c r="E2332" s="2" t="s">
        <v>3636</v>
      </c>
      <c r="F2332" s="2" t="s">
        <v>10836</v>
      </c>
      <c r="G2332" s="2" t="s">
        <v>10836</v>
      </c>
      <c r="H2332" s="2" t="s">
        <v>10836</v>
      </c>
      <c r="I2332" s="2" t="s">
        <v>10837</v>
      </c>
      <c r="J2332" s="2" t="s">
        <v>294</v>
      </c>
      <c r="K2332" s="2" t="s">
        <v>1478</v>
      </c>
      <c r="L2332" s="3">
        <v>94.49</v>
      </c>
      <c r="M2332" s="3">
        <v>99.21</v>
      </c>
      <c r="N2332" s="3">
        <v>174.99</v>
      </c>
      <c r="O2332" s="2" t="s">
        <v>461</v>
      </c>
      <c r="P2332" s="2" t="s">
        <v>922</v>
      </c>
      <c r="Q2332" s="2" t="s">
        <v>234</v>
      </c>
      <c r="R2332" s="2" t="s">
        <v>228</v>
      </c>
      <c r="S2332" s="2" t="s">
        <v>10879</v>
      </c>
      <c r="T2332" s="2" t="s">
        <v>1266</v>
      </c>
      <c r="U2332" s="2" t="s">
        <v>228</v>
      </c>
      <c r="V2332" s="2" t="s">
        <v>236</v>
      </c>
      <c r="W2332" s="2" t="s">
        <v>269</v>
      </c>
      <c r="X2332" s="2" t="s">
        <v>228</v>
      </c>
      <c r="Y2332" s="2" t="s">
        <v>3790</v>
      </c>
      <c r="Z2332" s="4">
        <v>64</v>
      </c>
      <c r="AA2332" s="4">
        <f>=ROUNDDOWN(16,0)</f>
      </c>
      <c r="AB2332" s="5">
        <v>4</v>
      </c>
      <c r="AC2332" s="2" t="s">
        <v>228</v>
      </c>
      <c r="AD2332" s="4"/>
      <c r="AE2332" s="4"/>
      <c r="AF2332" s="6">
        <v>61</v>
      </c>
      <c r="AG2332" s="6"/>
      <c r="AH2332" s="7">
        <v>1</v>
      </c>
      <c r="AI2332" s="4"/>
      <c r="AJ2332" s="4">
        <f>=ROUNDDOWN({0},0)</f>
      </c>
      <c r="AK2332" s="5"/>
      <c r="AL2332" s="2" t="s">
        <v>228</v>
      </c>
      <c r="AM2332" s="4"/>
      <c r="AN2332" s="4"/>
      <c r="AO2332" s="7"/>
      <c r="AP2332" s="4"/>
      <c r="AQ2332" s="8"/>
      <c r="AR2332" s="4"/>
      <c r="AS2332" s="8"/>
      <c r="AT2332" s="7"/>
      <c r="AU2332" s="7"/>
      <c r="AV2332" s="4" t="s">
        <v>228</v>
      </c>
      <c r="AW2332" s="8" t="s">
        <v>228</v>
      </c>
      <c r="AX2332" s="4" t="s">
        <v>228</v>
      </c>
      <c r="AY2332" s="8" t="s">
        <v>228</v>
      </c>
      <c r="AZ2332" s="7" t="s">
        <v>228</v>
      </c>
      <c r="BA2332" s="7" t="s">
        <v>228</v>
      </c>
      <c r="BB2332" s="7"/>
      <c r="BC2332" s="4" t="s">
        <v>228</v>
      </c>
      <c r="BD2332" s="8" t="s">
        <v>228</v>
      </c>
      <c r="BE2332" s="4" t="s">
        <v>228</v>
      </c>
      <c r="BF2332" s="8" t="s">
        <v>228</v>
      </c>
      <c r="BG2332" s="7" t="s">
        <v>228</v>
      </c>
      <c r="BH2332" s="7" t="s">
        <v>228</v>
      </c>
      <c r="BI2332" s="7"/>
      <c r="BJ2332" s="4">
        <v>11</v>
      </c>
      <c r="BK2332" s="8">
        <v>659.21</v>
      </c>
      <c r="BL2332" s="2" t="s">
        <v>10882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10883</v>
      </c>
      <c r="BV2332" s="2" t="s">
        <v>228</v>
      </c>
      <c r="BW2332" s="2" t="s">
        <v>228</v>
      </c>
      <c r="BX2332" s="2" t="s">
        <v>337</v>
      </c>
      <c r="BY2332" s="2" t="s">
        <v>274</v>
      </c>
      <c r="BZ2332" s="2" t="s">
        <v>240</v>
      </c>
      <c r="CA2332" s="2" t="s">
        <v>6222</v>
      </c>
      <c r="CB2332" s="2" t="s">
        <v>1055</v>
      </c>
      <c r="CC2332" s="2" t="s">
        <v>241</v>
      </c>
      <c r="CD2332" s="2" t="s">
        <v>228</v>
      </c>
      <c r="CE2332" s="4">
        <v>64</v>
      </c>
      <c r="CF2332" s="4"/>
      <c r="CG2332" s="4"/>
      <c r="CH2332" s="4"/>
      <c r="CI2332" s="4"/>
      <c r="CJ2332" s="4"/>
      <c r="CK2332" s="4"/>
      <c r="CL2332" s="4"/>
      <c r="CM2332" s="4"/>
      <c r="CN2332" s="4"/>
      <c r="CO2332" s="4"/>
      <c r="CP2332" s="4"/>
      <c r="CQ2332" s="4"/>
      <c r="CR2332" s="4"/>
      <c r="CS2332" s="4"/>
      <c r="CT2332" s="4"/>
      <c r="CU2332" s="4"/>
      <c r="CV2332" s="4"/>
      <c r="CW2332" s="4"/>
      <c r="CX2332" s="4"/>
      <c r="CY2332" s="4"/>
      <c r="CZ2332" s="4"/>
      <c r="DA2332" s="4"/>
      <c r="DB2332" s="4"/>
      <c r="DC2332" s="4"/>
      <c r="DD2332" s="4"/>
      <c r="DE2332" s="4"/>
      <c r="DF2332" s="4"/>
      <c r="DG2332" s="4"/>
      <c r="DH2332" s="4"/>
      <c r="DI2332" s="4"/>
      <c r="DJ2332" s="4"/>
      <c r="DK2332" s="4"/>
      <c r="DL2332" s="4"/>
      <c r="DM2332" s="4"/>
      <c r="DN2332" s="4"/>
      <c r="DO2332" s="4"/>
      <c r="DP2332" s="4"/>
      <c r="DQ2332" s="4"/>
      <c r="DR2332" s="4"/>
      <c r="DS2332" s="4"/>
      <c r="DT2332" s="4"/>
      <c r="DU2332" s="4"/>
      <c r="DV2332" s="4"/>
      <c r="DW2332" s="4"/>
      <c r="DX2332" s="4"/>
      <c r="DY2332" s="4"/>
      <c r="DZ2332" s="4"/>
      <c r="EA2332" s="4"/>
      <c r="EB2332" s="4"/>
      <c r="EC2332" s="4"/>
      <c r="ED2332" s="4"/>
      <c r="EE2332" s="4"/>
      <c r="EF2332" s="4"/>
      <c r="EG2332" s="4"/>
      <c r="EH2332" s="4"/>
      <c r="EI2332" s="4"/>
      <c r="EJ2332" s="4"/>
      <c r="EK2332" s="4"/>
      <c r="EL2332" s="4"/>
      <c r="EM2332" s="4"/>
      <c r="EN2332" s="4"/>
      <c r="EO2332" s="4"/>
      <c r="EP2332" s="4"/>
      <c r="EQ2332" s="4"/>
      <c r="ER2332" s="4"/>
      <c r="ES2332" s="4"/>
      <c r="ET2332" s="4"/>
      <c r="EU2332" s="4"/>
      <c r="EV2332" s="4"/>
      <c r="EW2332" s="4"/>
      <c r="EX2332" s="4"/>
      <c r="EY2332" s="4"/>
      <c r="EZ2332" s="4"/>
      <c r="FA2332" s="4"/>
      <c r="FB2332" s="4"/>
      <c r="FC2332" s="4"/>
      <c r="FD2332" s="4"/>
      <c r="FE2332" s="4"/>
      <c r="FF2332" s="4"/>
      <c r="FG2332" s="4"/>
      <c r="FH2332" s="4"/>
      <c r="FI2332" s="4"/>
      <c r="FJ2332" s="4"/>
      <c r="FK2332" s="4"/>
      <c r="FL2332" s="4"/>
      <c r="FM2332" s="4"/>
      <c r="FN2332" s="4"/>
      <c r="FO2332" s="4"/>
      <c r="FP2332" s="4"/>
      <c r="FQ2332" s="4"/>
      <c r="FR2332" s="4"/>
      <c r="FS2332" s="4"/>
      <c r="FT2332" s="4"/>
      <c r="FU2332" s="4"/>
      <c r="FV2332" s="4"/>
      <c r="FW2332" s="4"/>
      <c r="FX2332" s="4"/>
      <c r="FY2332" s="4"/>
      <c r="FZ2332" s="4"/>
      <c r="GA2332" s="4"/>
      <c r="GB2332" s="4"/>
      <c r="GC2332" s="4"/>
      <c r="GD2332" s="4"/>
      <c r="GE2332" s="4"/>
      <c r="GF2332" s="4"/>
      <c r="GG2332" s="4"/>
      <c r="GH2332" s="4"/>
      <c r="GI2332" s="4"/>
      <c r="GJ2332" s="4"/>
      <c r="GK2332" s="4"/>
      <c r="GL2332" s="4"/>
      <c r="GM2332" s="4"/>
      <c r="GN2332" s="4"/>
      <c r="GO2332" s="4"/>
      <c r="GP2332" s="4"/>
      <c r="GQ2332" s="4"/>
      <c r="GR2332" s="4"/>
      <c r="GS2332" s="4"/>
      <c r="GT2332" s="4"/>
      <c r="GU2332" s="4"/>
      <c r="GV2332" s="4"/>
      <c r="GW2332" s="4"/>
      <c r="GX2332" s="4"/>
      <c r="GY2332" s="4"/>
      <c r="GZ2332" s="4"/>
      <c r="HA2332" s="4"/>
      <c r="HB2332" s="4"/>
      <c r="HC2332" s="4"/>
      <c r="HD2332" s="4"/>
      <c r="HE2332" s="4"/>
    </row>
    <row r="2333">
      <c r="A2333" s="2" t="s">
        <v>10884</v>
      </c>
      <c r="B2333" s="2" t="s">
        <v>1150</v>
      </c>
      <c r="C2333" s="2" t="s">
        <v>773</v>
      </c>
      <c r="D2333" s="2" t="s">
        <v>1112</v>
      </c>
      <c r="E2333" s="2" t="s">
        <v>1165</v>
      </c>
      <c r="F2333" s="2" t="s">
        <v>10885</v>
      </c>
      <c r="G2333" s="2" t="s">
        <v>10885</v>
      </c>
      <c r="H2333" s="2" t="s">
        <v>10885</v>
      </c>
      <c r="I2333" s="2" t="s">
        <v>1115</v>
      </c>
      <c r="J2333" s="2" t="s">
        <v>289</v>
      </c>
      <c r="K2333" s="2" t="s">
        <v>6094</v>
      </c>
      <c r="L2333" s="3">
        <v>172.2</v>
      </c>
      <c r="M2333" s="3">
        <v>180.81</v>
      </c>
      <c r="N2333" s="3">
        <v>409.99</v>
      </c>
      <c r="O2333" s="2" t="s">
        <v>240</v>
      </c>
      <c r="P2333" s="2" t="s">
        <v>233</v>
      </c>
      <c r="Q2333" s="2" t="s">
        <v>234</v>
      </c>
      <c r="R2333" s="2" t="s">
        <v>228</v>
      </c>
      <c r="S2333" s="2" t="s">
        <v>10886</v>
      </c>
      <c r="T2333" s="2" t="s">
        <v>350</v>
      </c>
      <c r="U2333" s="2" t="s">
        <v>791</v>
      </c>
      <c r="V2333" s="2" t="s">
        <v>1438</v>
      </c>
      <c r="W2333" s="2" t="s">
        <v>1761</v>
      </c>
      <c r="X2333" s="2" t="s">
        <v>10887</v>
      </c>
      <c r="Y2333" s="2" t="s">
        <v>4474</v>
      </c>
      <c r="Z2333" s="4"/>
      <c r="AA2333" s="4">
        <f>=ROUNDDOWN({0},0)</f>
      </c>
      <c r="AB2333" s="5"/>
      <c r="AC2333" s="2" t="s">
        <v>1788</v>
      </c>
      <c r="AD2333" s="4">
        <v>130</v>
      </c>
      <c r="AE2333" s="4">
        <v>290</v>
      </c>
      <c r="AF2333" s="6">
        <v>67</v>
      </c>
      <c r="AG2333" s="6"/>
      <c r="AH2333" s="7"/>
      <c r="AI2333" s="4"/>
      <c r="AJ2333" s="4">
        <f>=ROUNDDOWN({0},0)</f>
      </c>
      <c r="AK2333" s="5"/>
      <c r="AL2333" s="2" t="s">
        <v>228</v>
      </c>
      <c r="AM2333" s="4"/>
      <c r="AN2333" s="4"/>
      <c r="AO2333" s="7"/>
      <c r="AP2333" s="4"/>
      <c r="AQ2333" s="8"/>
      <c r="AR2333" s="4"/>
      <c r="AS2333" s="8"/>
      <c r="AT2333" s="7"/>
      <c r="AU2333" s="7"/>
      <c r="AV2333" s="4" t="s">
        <v>228</v>
      </c>
      <c r="AW2333" s="8" t="s">
        <v>228</v>
      </c>
      <c r="AX2333" s="4" t="s">
        <v>228</v>
      </c>
      <c r="AY2333" s="8" t="s">
        <v>228</v>
      </c>
      <c r="AZ2333" s="7" t="s">
        <v>228</v>
      </c>
      <c r="BA2333" s="7" t="s">
        <v>228</v>
      </c>
      <c r="BB2333" s="7"/>
      <c r="BC2333" s="4" t="s">
        <v>228</v>
      </c>
      <c r="BD2333" s="8" t="s">
        <v>228</v>
      </c>
      <c r="BE2333" s="4" t="s">
        <v>228</v>
      </c>
      <c r="BF2333" s="8" t="s">
        <v>228</v>
      </c>
      <c r="BG2333" s="7" t="s">
        <v>228</v>
      </c>
      <c r="BH2333" s="7" t="s">
        <v>228</v>
      </c>
      <c r="BI2333" s="7"/>
      <c r="BJ2333" s="4"/>
      <c r="BK2333" s="8"/>
      <c r="BL2333" s="2" t="s">
        <v>228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238</v>
      </c>
      <c r="BV2333" s="2" t="s">
        <v>228</v>
      </c>
      <c r="BW2333" s="2" t="s">
        <v>228</v>
      </c>
      <c r="BX2333" s="2" t="s">
        <v>238</v>
      </c>
      <c r="BY2333" s="2" t="s">
        <v>239</v>
      </c>
      <c r="BZ2333" s="2" t="s">
        <v>240</v>
      </c>
      <c r="CA2333" s="2" t="s">
        <v>228</v>
      </c>
      <c r="CB2333" s="2" t="s">
        <v>228</v>
      </c>
      <c r="CC2333" s="2" t="s">
        <v>241</v>
      </c>
      <c r="CD2333" s="2" t="s">
        <v>228</v>
      </c>
      <c r="CE2333" s="4"/>
      <c r="CF2333" s="4"/>
      <c r="CG2333" s="4"/>
      <c r="CH2333" s="4"/>
      <c r="CI2333" s="4"/>
      <c r="CJ2333" s="4"/>
      <c r="CK2333" s="4"/>
      <c r="CL2333" s="4"/>
      <c r="CM2333" s="4"/>
      <c r="CN2333" s="4"/>
      <c r="CO2333" s="4"/>
      <c r="CP2333" s="4"/>
      <c r="CQ2333" s="4"/>
      <c r="CR2333" s="4"/>
      <c r="CS2333" s="4"/>
      <c r="CT2333" s="4"/>
      <c r="CU2333" s="4"/>
      <c r="CV2333" s="4"/>
      <c r="CW2333" s="4"/>
      <c r="CX2333" s="4"/>
      <c r="CY2333" s="4"/>
      <c r="CZ2333" s="4"/>
      <c r="DA2333" s="4"/>
      <c r="DB2333" s="4"/>
      <c r="DC2333" s="4"/>
      <c r="DD2333" s="4"/>
      <c r="DE2333" s="4"/>
      <c r="DF2333" s="4">
        <v>130</v>
      </c>
      <c r="DG2333" s="4"/>
      <c r="DH2333" s="4"/>
      <c r="DI2333" s="4"/>
      <c r="DJ2333" s="4"/>
      <c r="DK2333" s="4"/>
      <c r="DL2333" s="4"/>
      <c r="DM2333" s="4"/>
      <c r="DN2333" s="4"/>
      <c r="DO2333" s="4"/>
      <c r="DP2333" s="4"/>
      <c r="DQ2333" s="4"/>
      <c r="DR2333" s="4"/>
      <c r="DS2333" s="4"/>
      <c r="DT2333" s="4"/>
      <c r="DU2333" s="4"/>
      <c r="DV2333" s="4"/>
      <c r="DW2333" s="4"/>
      <c r="DX2333" s="4"/>
      <c r="DY2333" s="4"/>
      <c r="DZ2333" s="4"/>
      <c r="EA2333" s="4"/>
      <c r="EB2333" s="4"/>
      <c r="EC2333" s="4"/>
      <c r="ED2333" s="4"/>
      <c r="EE2333" s="4"/>
      <c r="EF2333" s="4"/>
      <c r="EG2333" s="4"/>
      <c r="EH2333" s="4"/>
      <c r="EI2333" s="4"/>
      <c r="EJ2333" s="4"/>
      <c r="EK2333" s="4"/>
      <c r="EL2333" s="4"/>
      <c r="EM2333" s="4"/>
      <c r="EN2333" s="4"/>
      <c r="EO2333" s="4"/>
      <c r="EP2333" s="4"/>
      <c r="EQ2333" s="4"/>
      <c r="ER2333" s="4"/>
      <c r="ES2333" s="4"/>
      <c r="ET2333" s="4"/>
      <c r="EU2333" s="4"/>
      <c r="EV2333" s="4"/>
      <c r="EW2333" s="4"/>
      <c r="EX2333" s="4"/>
      <c r="EY2333" s="4"/>
      <c r="EZ2333" s="4"/>
      <c r="FA2333" s="4"/>
      <c r="FB2333" s="4"/>
      <c r="FC2333" s="4">
        <v>160</v>
      </c>
      <c r="FD2333" s="4"/>
      <c r="FE2333" s="4"/>
      <c r="FF2333" s="4"/>
      <c r="FG2333" s="4"/>
      <c r="FH2333" s="4"/>
      <c r="FI2333" s="4"/>
      <c r="FJ2333" s="4"/>
      <c r="FK2333" s="4"/>
      <c r="FL2333" s="4"/>
      <c r="FM2333" s="4"/>
      <c r="FN2333" s="4"/>
      <c r="FO2333" s="4"/>
      <c r="FP2333" s="4"/>
      <c r="FQ2333" s="4"/>
      <c r="FR2333" s="4"/>
      <c r="FS2333" s="4"/>
      <c r="FT2333" s="4"/>
      <c r="FU2333" s="4"/>
      <c r="FV2333" s="4"/>
      <c r="FW2333" s="4"/>
      <c r="FX2333" s="4"/>
      <c r="FY2333" s="4"/>
      <c r="FZ2333" s="4"/>
      <c r="GA2333" s="4"/>
      <c r="GB2333" s="4"/>
      <c r="GC2333" s="4"/>
      <c r="GD2333" s="4"/>
      <c r="GE2333" s="4"/>
      <c r="GF2333" s="4"/>
      <c r="GG2333" s="4"/>
      <c r="GH2333" s="4"/>
      <c r="GI2333" s="4"/>
      <c r="GJ2333" s="4"/>
      <c r="GK2333" s="4"/>
      <c r="GL2333" s="4"/>
      <c r="GM2333" s="4"/>
      <c r="GN2333" s="4"/>
      <c r="GO2333" s="4"/>
      <c r="GP2333" s="4"/>
      <c r="GQ2333" s="4"/>
      <c r="GR2333" s="4"/>
      <c r="GS2333" s="4"/>
      <c r="GT2333" s="4"/>
      <c r="GU2333" s="4"/>
      <c r="GV2333" s="4"/>
      <c r="GW2333" s="4"/>
      <c r="GX2333" s="4"/>
      <c r="GY2333" s="4"/>
      <c r="GZ2333" s="4"/>
      <c r="HA2333" s="4"/>
      <c r="HB2333" s="4"/>
      <c r="HC2333" s="4"/>
      <c r="HD2333" s="4"/>
      <c r="HE2333" s="4"/>
    </row>
    <row r="2334">
      <c r="A2334" s="2" t="s">
        <v>10888</v>
      </c>
      <c r="B2334" s="2" t="s">
        <v>1150</v>
      </c>
      <c r="C2334" s="2" t="s">
        <v>773</v>
      </c>
      <c r="D2334" s="2" t="s">
        <v>1112</v>
      </c>
      <c r="E2334" s="2" t="s">
        <v>1165</v>
      </c>
      <c r="F2334" s="2" t="s">
        <v>10885</v>
      </c>
      <c r="G2334" s="2" t="s">
        <v>10885</v>
      </c>
      <c r="H2334" s="2" t="s">
        <v>10885</v>
      </c>
      <c r="I2334" s="2" t="s">
        <v>1115</v>
      </c>
      <c r="J2334" s="2" t="s">
        <v>294</v>
      </c>
      <c r="K2334" s="2" t="s">
        <v>6094</v>
      </c>
      <c r="L2334" s="3">
        <v>202.4</v>
      </c>
      <c r="M2334" s="3">
        <v>212.52</v>
      </c>
      <c r="N2334" s="3">
        <v>459.99</v>
      </c>
      <c r="O2334" s="2" t="s">
        <v>240</v>
      </c>
      <c r="P2334" s="2" t="s">
        <v>233</v>
      </c>
      <c r="Q2334" s="2" t="s">
        <v>234</v>
      </c>
      <c r="R2334" s="2" t="s">
        <v>228</v>
      </c>
      <c r="S2334" s="2" t="s">
        <v>10886</v>
      </c>
      <c r="T2334" s="2" t="s">
        <v>350</v>
      </c>
      <c r="U2334" s="2" t="s">
        <v>1162</v>
      </c>
      <c r="V2334" s="2" t="s">
        <v>1438</v>
      </c>
      <c r="W2334" s="2" t="s">
        <v>1761</v>
      </c>
      <c r="X2334" s="2" t="s">
        <v>10887</v>
      </c>
      <c r="Y2334" s="2" t="s">
        <v>4474</v>
      </c>
      <c r="Z2334" s="4"/>
      <c r="AA2334" s="4">
        <f>=ROUNDDOWN({0},0)</f>
      </c>
      <c r="AB2334" s="5"/>
      <c r="AC2334" s="2" t="s">
        <v>1788</v>
      </c>
      <c r="AD2334" s="4">
        <v>160</v>
      </c>
      <c r="AE2334" s="4">
        <v>360</v>
      </c>
      <c r="AF2334" s="6">
        <v>67</v>
      </c>
      <c r="AG2334" s="6"/>
      <c r="AH2334" s="7"/>
      <c r="AI2334" s="4"/>
      <c r="AJ2334" s="4">
        <f>=ROUNDDOWN({0},0)</f>
      </c>
      <c r="AK2334" s="5"/>
      <c r="AL2334" s="2" t="s">
        <v>228</v>
      </c>
      <c r="AM2334" s="4"/>
      <c r="AN2334" s="4"/>
      <c r="AO2334" s="7"/>
      <c r="AP2334" s="4"/>
      <c r="AQ2334" s="8"/>
      <c r="AR2334" s="4"/>
      <c r="AS2334" s="8"/>
      <c r="AT2334" s="7"/>
      <c r="AU2334" s="7"/>
      <c r="AV2334" s="4" t="s">
        <v>228</v>
      </c>
      <c r="AW2334" s="8" t="s">
        <v>228</v>
      </c>
      <c r="AX2334" s="4" t="s">
        <v>228</v>
      </c>
      <c r="AY2334" s="8" t="s">
        <v>228</v>
      </c>
      <c r="AZ2334" s="7" t="s">
        <v>228</v>
      </c>
      <c r="BA2334" s="7" t="s">
        <v>228</v>
      </c>
      <c r="BB2334" s="7"/>
      <c r="BC2334" s="4" t="s">
        <v>228</v>
      </c>
      <c r="BD2334" s="8" t="s">
        <v>228</v>
      </c>
      <c r="BE2334" s="4" t="s">
        <v>228</v>
      </c>
      <c r="BF2334" s="8" t="s">
        <v>228</v>
      </c>
      <c r="BG2334" s="7" t="s">
        <v>228</v>
      </c>
      <c r="BH2334" s="7" t="s">
        <v>228</v>
      </c>
      <c r="BI2334" s="7"/>
      <c r="BJ2334" s="4"/>
      <c r="BK2334" s="8"/>
      <c r="BL2334" s="2" t="s">
        <v>228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238</v>
      </c>
      <c r="BV2334" s="2" t="s">
        <v>228</v>
      </c>
      <c r="BW2334" s="2" t="s">
        <v>228</v>
      </c>
      <c r="BX2334" s="2" t="s">
        <v>238</v>
      </c>
      <c r="BY2334" s="2" t="s">
        <v>239</v>
      </c>
      <c r="BZ2334" s="2" t="s">
        <v>240</v>
      </c>
      <c r="CA2334" s="2" t="s">
        <v>228</v>
      </c>
      <c r="CB2334" s="2" t="s">
        <v>228</v>
      </c>
      <c r="CC2334" s="2" t="s">
        <v>241</v>
      </c>
      <c r="CD2334" s="2" t="s">
        <v>228</v>
      </c>
      <c r="CE2334" s="4"/>
      <c r="CF2334" s="4"/>
      <c r="CG2334" s="4"/>
      <c r="CH2334" s="4"/>
      <c r="CI2334" s="4"/>
      <c r="CJ2334" s="4"/>
      <c r="CK2334" s="4"/>
      <c r="CL2334" s="4"/>
      <c r="CM2334" s="4"/>
      <c r="CN2334" s="4"/>
      <c r="CO2334" s="4"/>
      <c r="CP2334" s="4"/>
      <c r="CQ2334" s="4"/>
      <c r="CR2334" s="4"/>
      <c r="CS2334" s="4"/>
      <c r="CT2334" s="4"/>
      <c r="CU2334" s="4"/>
      <c r="CV2334" s="4"/>
      <c r="CW2334" s="4"/>
      <c r="CX2334" s="4"/>
      <c r="CY2334" s="4"/>
      <c r="CZ2334" s="4"/>
      <c r="DA2334" s="4"/>
      <c r="DB2334" s="4"/>
      <c r="DC2334" s="4"/>
      <c r="DD2334" s="4"/>
      <c r="DE2334" s="4"/>
      <c r="DF2334" s="4">
        <v>160</v>
      </c>
      <c r="DG2334" s="4"/>
      <c r="DH2334" s="4"/>
      <c r="DI2334" s="4"/>
      <c r="DJ2334" s="4"/>
      <c r="DK2334" s="4"/>
      <c r="DL2334" s="4"/>
      <c r="DM2334" s="4"/>
      <c r="DN2334" s="4"/>
      <c r="DO2334" s="4"/>
      <c r="DP2334" s="4"/>
      <c r="DQ2334" s="4"/>
      <c r="DR2334" s="4"/>
      <c r="DS2334" s="4"/>
      <c r="DT2334" s="4"/>
      <c r="DU2334" s="4"/>
      <c r="DV2334" s="4"/>
      <c r="DW2334" s="4"/>
      <c r="DX2334" s="4"/>
      <c r="DY2334" s="4"/>
      <c r="DZ2334" s="4"/>
      <c r="EA2334" s="4"/>
      <c r="EB2334" s="4"/>
      <c r="EC2334" s="4"/>
      <c r="ED2334" s="4"/>
      <c r="EE2334" s="4"/>
      <c r="EF2334" s="4"/>
      <c r="EG2334" s="4"/>
      <c r="EH2334" s="4"/>
      <c r="EI2334" s="4"/>
      <c r="EJ2334" s="4"/>
      <c r="EK2334" s="4"/>
      <c r="EL2334" s="4"/>
      <c r="EM2334" s="4"/>
      <c r="EN2334" s="4"/>
      <c r="EO2334" s="4"/>
      <c r="EP2334" s="4"/>
      <c r="EQ2334" s="4"/>
      <c r="ER2334" s="4"/>
      <c r="ES2334" s="4"/>
      <c r="ET2334" s="4"/>
      <c r="EU2334" s="4"/>
      <c r="EV2334" s="4"/>
      <c r="EW2334" s="4"/>
      <c r="EX2334" s="4"/>
      <c r="EY2334" s="4"/>
      <c r="EZ2334" s="4"/>
      <c r="FA2334" s="4"/>
      <c r="FB2334" s="4"/>
      <c r="FC2334" s="4">
        <v>200</v>
      </c>
      <c r="FD2334" s="4"/>
      <c r="FE2334" s="4"/>
      <c r="FF2334" s="4"/>
      <c r="FG2334" s="4"/>
      <c r="FH2334" s="4"/>
      <c r="FI2334" s="4"/>
      <c r="FJ2334" s="4"/>
      <c r="FK2334" s="4"/>
      <c r="FL2334" s="4"/>
      <c r="FM2334" s="4"/>
      <c r="FN2334" s="4"/>
      <c r="FO2334" s="4"/>
      <c r="FP2334" s="4"/>
      <c r="FQ2334" s="4"/>
      <c r="FR2334" s="4"/>
      <c r="FS2334" s="4"/>
      <c r="FT2334" s="4"/>
      <c r="FU2334" s="4"/>
      <c r="FV2334" s="4"/>
      <c r="FW2334" s="4"/>
      <c r="FX2334" s="4"/>
      <c r="FY2334" s="4"/>
      <c r="FZ2334" s="4"/>
      <c r="GA2334" s="4"/>
      <c r="GB2334" s="4"/>
      <c r="GC2334" s="4"/>
      <c r="GD2334" s="4"/>
      <c r="GE2334" s="4"/>
      <c r="GF2334" s="4"/>
      <c r="GG2334" s="4"/>
      <c r="GH2334" s="4"/>
      <c r="GI2334" s="4"/>
      <c r="GJ2334" s="4"/>
      <c r="GK2334" s="4"/>
      <c r="GL2334" s="4"/>
      <c r="GM2334" s="4"/>
      <c r="GN2334" s="4"/>
      <c r="GO2334" s="4"/>
      <c r="GP2334" s="4"/>
      <c r="GQ2334" s="4"/>
      <c r="GR2334" s="4"/>
      <c r="GS2334" s="4"/>
      <c r="GT2334" s="4"/>
      <c r="GU2334" s="4"/>
      <c r="GV2334" s="4"/>
      <c r="GW2334" s="4"/>
      <c r="GX2334" s="4"/>
      <c r="GY2334" s="4"/>
      <c r="GZ2334" s="4"/>
      <c r="HA2334" s="4"/>
      <c r="HB2334" s="4"/>
      <c r="HC2334" s="4"/>
      <c r="HD2334" s="4"/>
      <c r="HE2334" s="4"/>
    </row>
    <row r="2335">
      <c r="A2335" s="2" t="s">
        <v>10889</v>
      </c>
      <c r="B2335" s="2" t="s">
        <v>834</v>
      </c>
      <c r="C2335" s="2" t="s">
        <v>835</v>
      </c>
      <c r="D2335" s="2" t="s">
        <v>1101</v>
      </c>
      <c r="E2335" s="2" t="s">
        <v>1102</v>
      </c>
      <c r="F2335" s="2" t="s">
        <v>10890</v>
      </c>
      <c r="G2335" s="2" t="s">
        <v>10890</v>
      </c>
      <c r="H2335" s="2" t="s">
        <v>10890</v>
      </c>
      <c r="I2335" s="2" t="s">
        <v>10891</v>
      </c>
      <c r="J2335" s="2" t="s">
        <v>840</v>
      </c>
      <c r="K2335" s="2" t="s">
        <v>316</v>
      </c>
      <c r="L2335" s="3">
        <v>40.5</v>
      </c>
      <c r="M2335" s="3">
        <v>42.53</v>
      </c>
      <c r="N2335" s="3">
        <v>84.99</v>
      </c>
      <c r="O2335" s="2" t="s">
        <v>240</v>
      </c>
      <c r="P2335" s="2" t="s">
        <v>233</v>
      </c>
      <c r="Q2335" s="2" t="s">
        <v>234</v>
      </c>
      <c r="R2335" s="2" t="s">
        <v>228</v>
      </c>
      <c r="S2335" s="2" t="s">
        <v>228</v>
      </c>
      <c r="T2335" s="2" t="s">
        <v>228</v>
      </c>
      <c r="U2335" s="2" t="s">
        <v>416</v>
      </c>
      <c r="V2335" s="2" t="s">
        <v>842</v>
      </c>
      <c r="W2335" s="2" t="s">
        <v>417</v>
      </c>
      <c r="X2335" s="2" t="s">
        <v>269</v>
      </c>
      <c r="Y2335" s="2" t="s">
        <v>228</v>
      </c>
      <c r="Z2335" s="4"/>
      <c r="AA2335" s="4">
        <f>=ROUNDDOWN({0},0)</f>
      </c>
      <c r="AB2335" s="5"/>
      <c r="AC2335" s="2" t="s">
        <v>3556</v>
      </c>
      <c r="AD2335" s="4">
        <v>100</v>
      </c>
      <c r="AE2335" s="4">
        <v>100</v>
      </c>
      <c r="AF2335" s="6">
        <v>65</v>
      </c>
      <c r="AG2335" s="6"/>
      <c r="AH2335" s="7"/>
      <c r="AI2335" s="4"/>
      <c r="AJ2335" s="4">
        <f>=ROUNDDOWN({0},0)</f>
      </c>
      <c r="AK2335" s="5"/>
      <c r="AL2335" s="2" t="s">
        <v>228</v>
      </c>
      <c r="AM2335" s="4"/>
      <c r="AN2335" s="4"/>
      <c r="AO2335" s="7"/>
      <c r="AP2335" s="4"/>
      <c r="AQ2335" s="8"/>
      <c r="AR2335" s="4"/>
      <c r="AS2335" s="8"/>
      <c r="AT2335" s="7"/>
      <c r="AU2335" s="7"/>
      <c r="AV2335" s="4"/>
      <c r="AW2335" s="8"/>
      <c r="AX2335" s="4"/>
      <c r="AY2335" s="8"/>
      <c r="AZ2335" s="7"/>
      <c r="BA2335" s="7"/>
      <c r="BB2335" s="7"/>
      <c r="BC2335" s="4"/>
      <c r="BD2335" s="8"/>
      <c r="BE2335" s="4"/>
      <c r="BF2335" s="8"/>
      <c r="BG2335" s="7"/>
      <c r="BH2335" s="7"/>
      <c r="BI2335" s="7"/>
      <c r="BJ2335" s="4"/>
      <c r="BK2335" s="8"/>
      <c r="BL2335" s="2" t="s">
        <v>228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238</v>
      </c>
      <c r="BV2335" s="2" t="s">
        <v>228</v>
      </c>
      <c r="BW2335" s="2" t="s">
        <v>228</v>
      </c>
      <c r="BX2335" s="2" t="s">
        <v>238</v>
      </c>
      <c r="BY2335" s="2" t="s">
        <v>239</v>
      </c>
      <c r="BZ2335" s="2" t="s">
        <v>240</v>
      </c>
      <c r="CA2335" s="2" t="s">
        <v>228</v>
      </c>
      <c r="CB2335" s="2" t="s">
        <v>228</v>
      </c>
      <c r="CC2335" s="2" t="s">
        <v>241</v>
      </c>
      <c r="CD2335" s="2" t="s">
        <v>228</v>
      </c>
      <c r="CE2335" s="4"/>
      <c r="CF2335" s="4"/>
      <c r="CG2335" s="4"/>
      <c r="CH2335" s="4"/>
      <c r="CI2335" s="4"/>
      <c r="CJ2335" s="4"/>
      <c r="CK2335" s="4"/>
      <c r="CL2335" s="4"/>
      <c r="CM2335" s="4"/>
      <c r="CN2335" s="4"/>
      <c r="CO2335" s="4"/>
      <c r="CP2335" s="4"/>
      <c r="CQ2335" s="4"/>
      <c r="CR2335" s="4"/>
      <c r="CS2335" s="4"/>
      <c r="CT2335" s="4"/>
      <c r="CU2335" s="4"/>
      <c r="CV2335" s="4"/>
      <c r="CW2335" s="4"/>
      <c r="CX2335" s="4"/>
      <c r="CY2335" s="4"/>
      <c r="CZ2335" s="4"/>
      <c r="DA2335" s="4"/>
      <c r="DB2335" s="4"/>
      <c r="DC2335" s="4"/>
      <c r="DD2335" s="4"/>
      <c r="DE2335" s="4"/>
      <c r="DF2335" s="4"/>
      <c r="DG2335" s="4"/>
      <c r="DH2335" s="4"/>
      <c r="DI2335" s="4"/>
      <c r="DJ2335" s="4"/>
      <c r="DK2335" s="4">
        <v>100</v>
      </c>
      <c r="DL2335" s="4"/>
      <c r="DM2335" s="4"/>
      <c r="DN2335" s="4"/>
      <c r="DO2335" s="4"/>
      <c r="DP2335" s="4"/>
      <c r="DQ2335" s="4"/>
      <c r="DR2335" s="4"/>
      <c r="DS2335" s="4"/>
      <c r="DT2335" s="4"/>
      <c r="DU2335" s="4"/>
      <c r="DV2335" s="4"/>
      <c r="DW2335" s="4"/>
      <c r="DX2335" s="4"/>
      <c r="DY2335" s="4"/>
      <c r="DZ2335" s="4"/>
      <c r="EA2335" s="4"/>
      <c r="EB2335" s="4"/>
      <c r="EC2335" s="4"/>
      <c r="ED2335" s="4"/>
      <c r="EE2335" s="4"/>
      <c r="EF2335" s="4"/>
      <c r="EG2335" s="4"/>
      <c r="EH2335" s="4"/>
      <c r="EI2335" s="4"/>
      <c r="EJ2335" s="4"/>
      <c r="EK2335" s="4"/>
      <c r="EL2335" s="4"/>
      <c r="EM2335" s="4"/>
      <c r="EN2335" s="4"/>
      <c r="EO2335" s="4"/>
      <c r="EP2335" s="4"/>
      <c r="EQ2335" s="4"/>
      <c r="ER2335" s="4"/>
      <c r="ES2335" s="4"/>
      <c r="ET2335" s="4"/>
      <c r="EU2335" s="4"/>
      <c r="EV2335" s="4"/>
      <c r="EW2335" s="4"/>
      <c r="EX2335" s="4"/>
      <c r="EY2335" s="4"/>
      <c r="EZ2335" s="4"/>
      <c r="FA2335" s="4"/>
      <c r="FB2335" s="4"/>
      <c r="FC2335" s="4"/>
      <c r="FD2335" s="4"/>
      <c r="FE2335" s="4"/>
      <c r="FF2335" s="4"/>
      <c r="FG2335" s="4"/>
      <c r="FH2335" s="4"/>
      <c r="FI2335" s="4"/>
      <c r="FJ2335" s="4"/>
      <c r="FK2335" s="4"/>
      <c r="FL2335" s="4"/>
      <c r="FM2335" s="4"/>
      <c r="FN2335" s="4"/>
      <c r="FO2335" s="4"/>
      <c r="FP2335" s="4"/>
      <c r="FQ2335" s="4"/>
      <c r="FR2335" s="4"/>
      <c r="FS2335" s="4"/>
      <c r="FT2335" s="4"/>
      <c r="FU2335" s="4"/>
      <c r="FV2335" s="4"/>
      <c r="FW2335" s="4"/>
      <c r="FX2335" s="4"/>
      <c r="FY2335" s="4"/>
      <c r="FZ2335" s="4"/>
      <c r="GA2335" s="4"/>
      <c r="GB2335" s="4"/>
      <c r="GC2335" s="4"/>
      <c r="GD2335" s="4"/>
      <c r="GE2335" s="4"/>
      <c r="GF2335" s="4"/>
      <c r="GG2335" s="4"/>
      <c r="GH2335" s="4"/>
      <c r="GI2335" s="4"/>
      <c r="GJ2335" s="4"/>
      <c r="GK2335" s="4"/>
      <c r="GL2335" s="4"/>
      <c r="GM2335" s="4"/>
      <c r="GN2335" s="4"/>
      <c r="GO2335" s="4"/>
      <c r="GP2335" s="4"/>
      <c r="GQ2335" s="4"/>
      <c r="GR2335" s="4"/>
      <c r="GS2335" s="4"/>
      <c r="GT2335" s="4"/>
      <c r="GU2335" s="4"/>
      <c r="GV2335" s="4"/>
      <c r="GW2335" s="4"/>
      <c r="GX2335" s="4"/>
      <c r="GY2335" s="4"/>
      <c r="GZ2335" s="4"/>
      <c r="HA2335" s="4"/>
      <c r="HB2335" s="4"/>
      <c r="HC2335" s="4"/>
      <c r="HD2335" s="4"/>
      <c r="HE2335" s="4"/>
    </row>
    <row r="2336">
      <c r="A2336" s="2" t="s">
        <v>10892</v>
      </c>
      <c r="B2336" s="2" t="s">
        <v>223</v>
      </c>
      <c r="C2336" s="2" t="s">
        <v>849</v>
      </c>
      <c r="D2336" s="2" t="s">
        <v>1112</v>
      </c>
      <c r="E2336" s="2" t="s">
        <v>1113</v>
      </c>
      <c r="F2336" s="2" t="s">
        <v>10893</v>
      </c>
      <c r="G2336" s="2" t="s">
        <v>10893</v>
      </c>
      <c r="H2336" s="2" t="s">
        <v>10893</v>
      </c>
      <c r="I2336" s="2" t="s">
        <v>10894</v>
      </c>
      <c r="J2336" s="2" t="s">
        <v>264</v>
      </c>
      <c r="K2336" s="2" t="s">
        <v>2780</v>
      </c>
      <c r="L2336" s="3">
        <v>33.33</v>
      </c>
      <c r="M2336" s="3">
        <v>35</v>
      </c>
      <c r="N2336" s="3">
        <v>69.99</v>
      </c>
      <c r="O2336" s="2" t="s">
        <v>240</v>
      </c>
      <c r="P2336" s="2" t="s">
        <v>266</v>
      </c>
      <c r="Q2336" s="2" t="s">
        <v>234</v>
      </c>
      <c r="R2336" s="2" t="s">
        <v>228</v>
      </c>
      <c r="S2336" s="2" t="s">
        <v>10895</v>
      </c>
      <c r="T2336" s="2" t="s">
        <v>3400</v>
      </c>
      <c r="U2336" s="2" t="s">
        <v>520</v>
      </c>
      <c r="V2336" s="2" t="s">
        <v>236</v>
      </c>
      <c r="W2336" s="2" t="s">
        <v>269</v>
      </c>
      <c r="X2336" s="2" t="s">
        <v>228</v>
      </c>
      <c r="Y2336" s="2" t="s">
        <v>3120</v>
      </c>
      <c r="Z2336" s="4">
        <v>233</v>
      </c>
      <c r="AA2336" s="4">
        <f>=ROUNDDOWN(58.25,0)</f>
      </c>
      <c r="AB2336" s="5">
        <v>4</v>
      </c>
      <c r="AC2336" s="2" t="s">
        <v>194</v>
      </c>
      <c r="AD2336" s="4">
        <v>50</v>
      </c>
      <c r="AE2336" s="4">
        <v>100</v>
      </c>
      <c r="AF2336" s="6">
        <v>65</v>
      </c>
      <c r="AG2336" s="6"/>
      <c r="AH2336" s="7">
        <v>1</v>
      </c>
      <c r="AI2336" s="4"/>
      <c r="AJ2336" s="4">
        <f>=ROUNDDOWN({0},0)</f>
      </c>
      <c r="AK2336" s="5"/>
      <c r="AL2336" s="2" t="s">
        <v>228</v>
      </c>
      <c r="AM2336" s="4"/>
      <c r="AN2336" s="4"/>
      <c r="AO2336" s="7"/>
      <c r="AP2336" s="4"/>
      <c r="AQ2336" s="8"/>
      <c r="AR2336" s="4"/>
      <c r="AS2336" s="8"/>
      <c r="AT2336" s="7"/>
      <c r="AU2336" s="7"/>
      <c r="AV2336" s="4" t="s">
        <v>228</v>
      </c>
      <c r="AW2336" s="8" t="s">
        <v>228</v>
      </c>
      <c r="AX2336" s="4" t="s">
        <v>228</v>
      </c>
      <c r="AY2336" s="8" t="s">
        <v>228</v>
      </c>
      <c r="AZ2336" s="7" t="s">
        <v>228</v>
      </c>
      <c r="BA2336" s="7" t="s">
        <v>228</v>
      </c>
      <c r="BB2336" s="7"/>
      <c r="BC2336" s="4" t="s">
        <v>228</v>
      </c>
      <c r="BD2336" s="8" t="s">
        <v>228</v>
      </c>
      <c r="BE2336" s="4" t="s">
        <v>228</v>
      </c>
      <c r="BF2336" s="8" t="s">
        <v>228</v>
      </c>
      <c r="BG2336" s="7" t="s">
        <v>228</v>
      </c>
      <c r="BH2336" s="7" t="s">
        <v>228</v>
      </c>
      <c r="BI2336" s="7"/>
      <c r="BJ2336" s="4">
        <v>3</v>
      </c>
      <c r="BK2336" s="8">
        <v>109.55</v>
      </c>
      <c r="BL2336" s="2" t="s">
        <v>2606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10896</v>
      </c>
      <c r="BV2336" s="2" t="s">
        <v>228</v>
      </c>
      <c r="BW2336" s="2" t="s">
        <v>228</v>
      </c>
      <c r="BX2336" s="2" t="s">
        <v>273</v>
      </c>
      <c r="BY2336" s="2" t="s">
        <v>274</v>
      </c>
      <c r="BZ2336" s="2" t="s">
        <v>240</v>
      </c>
      <c r="CA2336" s="2" t="s">
        <v>2997</v>
      </c>
      <c r="CB2336" s="2" t="s">
        <v>228</v>
      </c>
      <c r="CC2336" s="2" t="s">
        <v>241</v>
      </c>
      <c r="CD2336" s="2" t="s">
        <v>228</v>
      </c>
      <c r="CE2336" s="4">
        <v>233</v>
      </c>
      <c r="CF2336" s="4"/>
      <c r="CG2336" s="4"/>
      <c r="CH2336" s="4"/>
      <c r="CI2336" s="4"/>
      <c r="CJ2336" s="4"/>
      <c r="CK2336" s="4"/>
      <c r="CL2336" s="4"/>
      <c r="CM2336" s="4"/>
      <c r="CN2336" s="4"/>
      <c r="CO2336" s="4"/>
      <c r="CP2336" s="4"/>
      <c r="CQ2336" s="4"/>
      <c r="CR2336" s="4"/>
      <c r="CS2336" s="4"/>
      <c r="CT2336" s="4"/>
      <c r="CU2336" s="4"/>
      <c r="CV2336" s="4"/>
      <c r="CW2336" s="4"/>
      <c r="CX2336" s="4"/>
      <c r="CY2336" s="4"/>
      <c r="CZ2336" s="4"/>
      <c r="DA2336" s="4"/>
      <c r="DB2336" s="4"/>
      <c r="DC2336" s="4"/>
      <c r="DD2336" s="4"/>
      <c r="DE2336" s="4"/>
      <c r="DF2336" s="4"/>
      <c r="DG2336" s="4"/>
      <c r="DH2336" s="4"/>
      <c r="DI2336" s="4"/>
      <c r="DJ2336" s="4"/>
      <c r="DK2336" s="4"/>
      <c r="DL2336" s="4"/>
      <c r="DM2336" s="4"/>
      <c r="DN2336" s="4"/>
      <c r="DO2336" s="4"/>
      <c r="DP2336" s="4"/>
      <c r="DQ2336" s="4"/>
      <c r="DR2336" s="4"/>
      <c r="DS2336" s="4"/>
      <c r="DT2336" s="4"/>
      <c r="DU2336" s="4"/>
      <c r="DV2336" s="4"/>
      <c r="DW2336" s="4"/>
      <c r="DX2336" s="4"/>
      <c r="DY2336" s="4"/>
      <c r="DZ2336" s="4"/>
      <c r="EA2336" s="4"/>
      <c r="EB2336" s="4"/>
      <c r="EC2336" s="4"/>
      <c r="ED2336" s="4"/>
      <c r="EE2336" s="4"/>
      <c r="EF2336" s="4"/>
      <c r="EG2336" s="4"/>
      <c r="EH2336" s="4"/>
      <c r="EI2336" s="4"/>
      <c r="EJ2336" s="4"/>
      <c r="EK2336" s="4"/>
      <c r="EL2336" s="4"/>
      <c r="EM2336" s="4"/>
      <c r="EN2336" s="4"/>
      <c r="EO2336" s="4"/>
      <c r="EP2336" s="4"/>
      <c r="EQ2336" s="4"/>
      <c r="ER2336" s="4"/>
      <c r="ES2336" s="4"/>
      <c r="ET2336" s="4"/>
      <c r="EU2336" s="4"/>
      <c r="EV2336" s="4"/>
      <c r="EW2336" s="4"/>
      <c r="EX2336" s="4"/>
      <c r="EY2336" s="4"/>
      <c r="EZ2336" s="4"/>
      <c r="FA2336" s="4"/>
      <c r="FB2336" s="4"/>
      <c r="FC2336" s="4"/>
      <c r="FD2336" s="4"/>
      <c r="FE2336" s="4"/>
      <c r="FF2336" s="4"/>
      <c r="FG2336" s="4"/>
      <c r="FH2336" s="4"/>
      <c r="FI2336" s="4"/>
      <c r="FJ2336" s="4"/>
      <c r="FK2336" s="4"/>
      <c r="FL2336" s="4"/>
      <c r="FM2336" s="4"/>
      <c r="FN2336" s="4"/>
      <c r="FO2336" s="4"/>
      <c r="FP2336" s="4"/>
      <c r="FQ2336" s="4"/>
      <c r="FR2336" s="4"/>
      <c r="FS2336" s="4"/>
      <c r="FT2336" s="4"/>
      <c r="FU2336" s="4"/>
      <c r="FV2336" s="4"/>
      <c r="FW2336" s="4"/>
      <c r="FX2336" s="4"/>
      <c r="FY2336" s="4"/>
      <c r="FZ2336" s="4"/>
      <c r="GA2336" s="4"/>
      <c r="GB2336" s="4"/>
      <c r="GC2336" s="4"/>
      <c r="GD2336" s="4">
        <v>50</v>
      </c>
      <c r="GE2336" s="4"/>
      <c r="GF2336" s="4"/>
      <c r="GG2336" s="4"/>
      <c r="GH2336" s="4"/>
      <c r="GI2336" s="4"/>
      <c r="GJ2336" s="4"/>
      <c r="GK2336" s="4"/>
      <c r="GL2336" s="4"/>
      <c r="GM2336" s="4"/>
      <c r="GN2336" s="4"/>
      <c r="GO2336" s="4"/>
      <c r="GP2336" s="4"/>
      <c r="GQ2336" s="4"/>
      <c r="GR2336" s="4"/>
      <c r="GS2336" s="4"/>
      <c r="GT2336" s="4"/>
      <c r="GU2336" s="4"/>
      <c r="GV2336" s="4"/>
      <c r="GW2336" s="4"/>
      <c r="GX2336" s="4"/>
      <c r="GY2336" s="4"/>
      <c r="GZ2336" s="4"/>
      <c r="HA2336" s="4"/>
      <c r="HB2336" s="4">
        <v>50</v>
      </c>
      <c r="HC2336" s="4"/>
      <c r="HD2336" s="4"/>
      <c r="HE2336" s="4"/>
    </row>
    <row r="2337">
      <c r="A2337" s="2" t="s">
        <v>10897</v>
      </c>
      <c r="B2337" s="2" t="s">
        <v>223</v>
      </c>
      <c r="C2337" s="2" t="s">
        <v>849</v>
      </c>
      <c r="D2337" s="2" t="s">
        <v>1112</v>
      </c>
      <c r="E2337" s="2" t="s">
        <v>1113</v>
      </c>
      <c r="F2337" s="2" t="s">
        <v>10893</v>
      </c>
      <c r="G2337" s="2" t="s">
        <v>10893</v>
      </c>
      <c r="H2337" s="2" t="s">
        <v>10893</v>
      </c>
      <c r="I2337" s="2" t="s">
        <v>10898</v>
      </c>
      <c r="J2337" s="2" t="s">
        <v>1189</v>
      </c>
      <c r="K2337" s="2" t="s">
        <v>2780</v>
      </c>
      <c r="L2337" s="3">
        <v>42.85</v>
      </c>
      <c r="M2337" s="3">
        <v>44.99</v>
      </c>
      <c r="N2337" s="3">
        <v>89.99</v>
      </c>
      <c r="O2337" s="2" t="s">
        <v>240</v>
      </c>
      <c r="P2337" s="2" t="s">
        <v>266</v>
      </c>
      <c r="Q2337" s="2" t="s">
        <v>234</v>
      </c>
      <c r="R2337" s="2" t="s">
        <v>228</v>
      </c>
      <c r="S2337" s="2" t="s">
        <v>10895</v>
      </c>
      <c r="T2337" s="2" t="s">
        <v>3400</v>
      </c>
      <c r="U2337" s="2" t="s">
        <v>500</v>
      </c>
      <c r="V2337" s="2" t="s">
        <v>236</v>
      </c>
      <c r="W2337" s="2" t="s">
        <v>269</v>
      </c>
      <c r="X2337" s="2" t="s">
        <v>228</v>
      </c>
      <c r="Y2337" s="2" t="s">
        <v>2295</v>
      </c>
      <c r="Z2337" s="4">
        <v>309</v>
      </c>
      <c r="AA2337" s="4">
        <f>=ROUNDDOWN(38.625,0)</f>
      </c>
      <c r="AB2337" s="5">
        <v>8</v>
      </c>
      <c r="AC2337" s="2" t="s">
        <v>194</v>
      </c>
      <c r="AD2337" s="4">
        <v>100</v>
      </c>
      <c r="AE2337" s="4">
        <v>430</v>
      </c>
      <c r="AF2337" s="6">
        <v>65</v>
      </c>
      <c r="AG2337" s="6"/>
      <c r="AH2337" s="7">
        <v>1</v>
      </c>
      <c r="AI2337" s="4"/>
      <c r="AJ2337" s="4">
        <f>=ROUNDDOWN({0},0)</f>
      </c>
      <c r="AK2337" s="5"/>
      <c r="AL2337" s="2" t="s">
        <v>228</v>
      </c>
      <c r="AM2337" s="4"/>
      <c r="AN2337" s="4"/>
      <c r="AO2337" s="7"/>
      <c r="AP2337" s="4"/>
      <c r="AQ2337" s="8"/>
      <c r="AR2337" s="4"/>
      <c r="AS2337" s="8"/>
      <c r="AT2337" s="7"/>
      <c r="AU2337" s="7"/>
      <c r="AV2337" s="4" t="s">
        <v>228</v>
      </c>
      <c r="AW2337" s="8" t="s">
        <v>228</v>
      </c>
      <c r="AX2337" s="4" t="s">
        <v>228</v>
      </c>
      <c r="AY2337" s="8" t="s">
        <v>228</v>
      </c>
      <c r="AZ2337" s="7" t="s">
        <v>228</v>
      </c>
      <c r="BA2337" s="7" t="s">
        <v>228</v>
      </c>
      <c r="BB2337" s="7"/>
      <c r="BC2337" s="4" t="s">
        <v>228</v>
      </c>
      <c r="BD2337" s="8" t="s">
        <v>228</v>
      </c>
      <c r="BE2337" s="4" t="s">
        <v>228</v>
      </c>
      <c r="BF2337" s="8" t="s">
        <v>228</v>
      </c>
      <c r="BG2337" s="7" t="s">
        <v>228</v>
      </c>
      <c r="BH2337" s="7" t="s">
        <v>228</v>
      </c>
      <c r="BI2337" s="7"/>
      <c r="BJ2337" s="4">
        <v>21</v>
      </c>
      <c r="BK2337" s="8">
        <v>1009.5</v>
      </c>
      <c r="BL2337" s="2" t="s">
        <v>381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10899</v>
      </c>
      <c r="BV2337" s="2" t="s">
        <v>228</v>
      </c>
      <c r="BW2337" s="2" t="s">
        <v>228</v>
      </c>
      <c r="BX2337" s="2" t="s">
        <v>273</v>
      </c>
      <c r="BY2337" s="2" t="s">
        <v>274</v>
      </c>
      <c r="BZ2337" s="2" t="s">
        <v>240</v>
      </c>
      <c r="CA2337" s="2" t="s">
        <v>2997</v>
      </c>
      <c r="CB2337" s="2" t="s">
        <v>1026</v>
      </c>
      <c r="CC2337" s="2" t="s">
        <v>241</v>
      </c>
      <c r="CD2337" s="2" t="s">
        <v>228</v>
      </c>
      <c r="CE2337" s="4">
        <v>309</v>
      </c>
      <c r="CF2337" s="4"/>
      <c r="CG2337" s="4"/>
      <c r="CH2337" s="4"/>
      <c r="CI2337" s="4"/>
      <c r="CJ2337" s="4"/>
      <c r="CK2337" s="4"/>
      <c r="CL2337" s="4"/>
      <c r="CM2337" s="4"/>
      <c r="CN2337" s="4"/>
      <c r="CO2337" s="4"/>
      <c r="CP2337" s="4"/>
      <c r="CQ2337" s="4"/>
      <c r="CR2337" s="4"/>
      <c r="CS2337" s="4"/>
      <c r="CT2337" s="4"/>
      <c r="CU2337" s="4"/>
      <c r="CV2337" s="4"/>
      <c r="CW2337" s="4"/>
      <c r="CX2337" s="4"/>
      <c r="CY2337" s="4"/>
      <c r="CZ2337" s="4"/>
      <c r="DA2337" s="4"/>
      <c r="DB2337" s="4"/>
      <c r="DC2337" s="4"/>
      <c r="DD2337" s="4"/>
      <c r="DE2337" s="4"/>
      <c r="DF2337" s="4"/>
      <c r="DG2337" s="4"/>
      <c r="DH2337" s="4"/>
      <c r="DI2337" s="4"/>
      <c r="DJ2337" s="4"/>
      <c r="DK2337" s="4"/>
      <c r="DL2337" s="4"/>
      <c r="DM2337" s="4"/>
      <c r="DN2337" s="4"/>
      <c r="DO2337" s="4"/>
      <c r="DP2337" s="4"/>
      <c r="DQ2337" s="4"/>
      <c r="DR2337" s="4"/>
      <c r="DS2337" s="4"/>
      <c r="DT2337" s="4"/>
      <c r="DU2337" s="4"/>
      <c r="DV2337" s="4"/>
      <c r="DW2337" s="4"/>
      <c r="DX2337" s="4"/>
      <c r="DY2337" s="4"/>
      <c r="DZ2337" s="4"/>
      <c r="EA2337" s="4"/>
      <c r="EB2337" s="4"/>
      <c r="EC2337" s="4"/>
      <c r="ED2337" s="4"/>
      <c r="EE2337" s="4"/>
      <c r="EF2337" s="4"/>
      <c r="EG2337" s="4"/>
      <c r="EH2337" s="4"/>
      <c r="EI2337" s="4"/>
      <c r="EJ2337" s="4"/>
      <c r="EK2337" s="4"/>
      <c r="EL2337" s="4"/>
      <c r="EM2337" s="4"/>
      <c r="EN2337" s="4"/>
      <c r="EO2337" s="4"/>
      <c r="EP2337" s="4"/>
      <c r="EQ2337" s="4"/>
      <c r="ER2337" s="4"/>
      <c r="ES2337" s="4"/>
      <c r="ET2337" s="4"/>
      <c r="EU2337" s="4"/>
      <c r="EV2337" s="4"/>
      <c r="EW2337" s="4"/>
      <c r="EX2337" s="4"/>
      <c r="EY2337" s="4"/>
      <c r="EZ2337" s="4"/>
      <c r="FA2337" s="4"/>
      <c r="FB2337" s="4"/>
      <c r="FC2337" s="4"/>
      <c r="FD2337" s="4"/>
      <c r="FE2337" s="4"/>
      <c r="FF2337" s="4"/>
      <c r="FG2337" s="4"/>
      <c r="FH2337" s="4"/>
      <c r="FI2337" s="4"/>
      <c r="FJ2337" s="4"/>
      <c r="FK2337" s="4"/>
      <c r="FL2337" s="4"/>
      <c r="FM2337" s="4"/>
      <c r="FN2337" s="4"/>
      <c r="FO2337" s="4"/>
      <c r="FP2337" s="4"/>
      <c r="FQ2337" s="4"/>
      <c r="FR2337" s="4"/>
      <c r="FS2337" s="4"/>
      <c r="FT2337" s="4"/>
      <c r="FU2337" s="4"/>
      <c r="FV2337" s="4"/>
      <c r="FW2337" s="4"/>
      <c r="FX2337" s="4"/>
      <c r="FY2337" s="4"/>
      <c r="FZ2337" s="4"/>
      <c r="GA2337" s="4"/>
      <c r="GB2337" s="4"/>
      <c r="GC2337" s="4"/>
      <c r="GD2337" s="4">
        <v>100</v>
      </c>
      <c r="GE2337" s="4"/>
      <c r="GF2337" s="4"/>
      <c r="GG2337" s="4"/>
      <c r="GH2337" s="4"/>
      <c r="GI2337" s="4"/>
      <c r="GJ2337" s="4"/>
      <c r="GK2337" s="4"/>
      <c r="GL2337" s="4"/>
      <c r="GM2337" s="4"/>
      <c r="GN2337" s="4"/>
      <c r="GO2337" s="4"/>
      <c r="GP2337" s="4">
        <v>150</v>
      </c>
      <c r="GQ2337" s="4"/>
      <c r="GR2337" s="4"/>
      <c r="GS2337" s="4"/>
      <c r="GT2337" s="4"/>
      <c r="GU2337" s="4"/>
      <c r="GV2337" s="4"/>
      <c r="GW2337" s="4"/>
      <c r="GX2337" s="4"/>
      <c r="GY2337" s="4"/>
      <c r="GZ2337" s="4"/>
      <c r="HA2337" s="4"/>
      <c r="HB2337" s="4">
        <v>180</v>
      </c>
      <c r="HC2337" s="4"/>
      <c r="HD2337" s="4"/>
      <c r="HE2337" s="4"/>
    </row>
    <row r="2338">
      <c r="A2338" s="2" t="s">
        <v>10900</v>
      </c>
      <c r="B2338" s="2" t="s">
        <v>223</v>
      </c>
      <c r="C2338" s="2" t="s">
        <v>849</v>
      </c>
      <c r="D2338" s="2" t="s">
        <v>1112</v>
      </c>
      <c r="E2338" s="2" t="s">
        <v>1113</v>
      </c>
      <c r="F2338" s="2" t="s">
        <v>10893</v>
      </c>
      <c r="G2338" s="2" t="s">
        <v>10893</v>
      </c>
      <c r="H2338" s="2" t="s">
        <v>10893</v>
      </c>
      <c r="I2338" s="2" t="s">
        <v>10898</v>
      </c>
      <c r="J2338" s="2" t="s">
        <v>294</v>
      </c>
      <c r="K2338" s="2" t="s">
        <v>2780</v>
      </c>
      <c r="L2338" s="3">
        <v>47.61</v>
      </c>
      <c r="M2338" s="3">
        <v>49.99</v>
      </c>
      <c r="N2338" s="3">
        <v>99.99</v>
      </c>
      <c r="O2338" s="2" t="s">
        <v>240</v>
      </c>
      <c r="P2338" s="2" t="s">
        <v>266</v>
      </c>
      <c r="Q2338" s="2" t="s">
        <v>234</v>
      </c>
      <c r="R2338" s="2" t="s">
        <v>228</v>
      </c>
      <c r="S2338" s="2" t="s">
        <v>10895</v>
      </c>
      <c r="T2338" s="2" t="s">
        <v>3400</v>
      </c>
      <c r="U2338" s="2" t="s">
        <v>500</v>
      </c>
      <c r="V2338" s="2" t="s">
        <v>236</v>
      </c>
      <c r="W2338" s="2" t="s">
        <v>269</v>
      </c>
      <c r="X2338" s="2" t="s">
        <v>228</v>
      </c>
      <c r="Y2338" s="2" t="s">
        <v>3120</v>
      </c>
      <c r="Z2338" s="4">
        <v>153</v>
      </c>
      <c r="AA2338" s="4">
        <f>=ROUNDDOWN(25.5,0)</f>
      </c>
      <c r="AB2338" s="5">
        <v>6</v>
      </c>
      <c r="AC2338" s="2" t="s">
        <v>194</v>
      </c>
      <c r="AD2338" s="4">
        <v>70</v>
      </c>
      <c r="AE2338" s="4">
        <v>250</v>
      </c>
      <c r="AF2338" s="6">
        <v>65</v>
      </c>
      <c r="AG2338" s="6"/>
      <c r="AH2338" s="7">
        <v>1</v>
      </c>
      <c r="AI2338" s="4"/>
      <c r="AJ2338" s="4">
        <f>=ROUNDDOWN({0},0)</f>
      </c>
      <c r="AK2338" s="5"/>
      <c r="AL2338" s="2" t="s">
        <v>228</v>
      </c>
      <c r="AM2338" s="4"/>
      <c r="AN2338" s="4"/>
      <c r="AO2338" s="7"/>
      <c r="AP2338" s="4"/>
      <c r="AQ2338" s="8"/>
      <c r="AR2338" s="4"/>
      <c r="AS2338" s="8"/>
      <c r="AT2338" s="7"/>
      <c r="AU2338" s="7"/>
      <c r="AV2338" s="4" t="s">
        <v>228</v>
      </c>
      <c r="AW2338" s="8" t="s">
        <v>228</v>
      </c>
      <c r="AX2338" s="4" t="s">
        <v>228</v>
      </c>
      <c r="AY2338" s="8" t="s">
        <v>228</v>
      </c>
      <c r="AZ2338" s="7" t="s">
        <v>228</v>
      </c>
      <c r="BA2338" s="7" t="s">
        <v>228</v>
      </c>
      <c r="BB2338" s="7"/>
      <c r="BC2338" s="4" t="s">
        <v>228</v>
      </c>
      <c r="BD2338" s="8" t="s">
        <v>228</v>
      </c>
      <c r="BE2338" s="4" t="s">
        <v>228</v>
      </c>
      <c r="BF2338" s="8" t="s">
        <v>228</v>
      </c>
      <c r="BG2338" s="7" t="s">
        <v>228</v>
      </c>
      <c r="BH2338" s="7" t="s">
        <v>228</v>
      </c>
      <c r="BI2338" s="7"/>
      <c r="BJ2338" s="4">
        <v>10</v>
      </c>
      <c r="BK2338" s="8">
        <v>535.18</v>
      </c>
      <c r="BL2338" s="2" t="s">
        <v>7979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10901</v>
      </c>
      <c r="BV2338" s="2" t="s">
        <v>228</v>
      </c>
      <c r="BW2338" s="2" t="s">
        <v>228</v>
      </c>
      <c r="BX2338" s="2" t="s">
        <v>273</v>
      </c>
      <c r="BY2338" s="2" t="s">
        <v>274</v>
      </c>
      <c r="BZ2338" s="2" t="s">
        <v>240</v>
      </c>
      <c r="CA2338" s="2" t="s">
        <v>2997</v>
      </c>
      <c r="CB2338" s="2" t="s">
        <v>7560</v>
      </c>
      <c r="CC2338" s="2" t="s">
        <v>241</v>
      </c>
      <c r="CD2338" s="2" t="s">
        <v>228</v>
      </c>
      <c r="CE2338" s="4">
        <v>153</v>
      </c>
      <c r="CF2338" s="4"/>
      <c r="CG2338" s="4"/>
      <c r="CH2338" s="4"/>
      <c r="CI2338" s="4"/>
      <c r="CJ2338" s="4"/>
      <c r="CK2338" s="4"/>
      <c r="CL2338" s="4"/>
      <c r="CM2338" s="4"/>
      <c r="CN2338" s="4"/>
      <c r="CO2338" s="4"/>
      <c r="CP2338" s="4"/>
      <c r="CQ2338" s="4"/>
      <c r="CR2338" s="4"/>
      <c r="CS2338" s="4"/>
      <c r="CT2338" s="4"/>
      <c r="CU2338" s="4"/>
      <c r="CV2338" s="4"/>
      <c r="CW2338" s="4"/>
      <c r="CX2338" s="4"/>
      <c r="CY2338" s="4"/>
      <c r="CZ2338" s="4"/>
      <c r="DA2338" s="4"/>
      <c r="DB2338" s="4"/>
      <c r="DC2338" s="4"/>
      <c r="DD2338" s="4"/>
      <c r="DE2338" s="4"/>
      <c r="DF2338" s="4"/>
      <c r="DG2338" s="4"/>
      <c r="DH2338" s="4"/>
      <c r="DI2338" s="4"/>
      <c r="DJ2338" s="4"/>
      <c r="DK2338" s="4"/>
      <c r="DL2338" s="4"/>
      <c r="DM2338" s="4"/>
      <c r="DN2338" s="4"/>
      <c r="DO2338" s="4"/>
      <c r="DP2338" s="4"/>
      <c r="DQ2338" s="4"/>
      <c r="DR2338" s="4"/>
      <c r="DS2338" s="4"/>
      <c r="DT2338" s="4"/>
      <c r="DU2338" s="4"/>
      <c r="DV2338" s="4"/>
      <c r="DW2338" s="4"/>
      <c r="DX2338" s="4"/>
      <c r="DY2338" s="4"/>
      <c r="DZ2338" s="4"/>
      <c r="EA2338" s="4"/>
      <c r="EB2338" s="4"/>
      <c r="EC2338" s="4"/>
      <c r="ED2338" s="4"/>
      <c r="EE2338" s="4"/>
      <c r="EF2338" s="4"/>
      <c r="EG2338" s="4"/>
      <c r="EH2338" s="4"/>
      <c r="EI2338" s="4"/>
      <c r="EJ2338" s="4"/>
      <c r="EK2338" s="4"/>
      <c r="EL2338" s="4"/>
      <c r="EM2338" s="4"/>
      <c r="EN2338" s="4"/>
      <c r="EO2338" s="4"/>
      <c r="EP2338" s="4"/>
      <c r="EQ2338" s="4"/>
      <c r="ER2338" s="4"/>
      <c r="ES2338" s="4"/>
      <c r="ET2338" s="4"/>
      <c r="EU2338" s="4"/>
      <c r="EV2338" s="4"/>
      <c r="EW2338" s="4"/>
      <c r="EX2338" s="4"/>
      <c r="EY2338" s="4"/>
      <c r="EZ2338" s="4"/>
      <c r="FA2338" s="4"/>
      <c r="FB2338" s="4"/>
      <c r="FC2338" s="4"/>
      <c r="FD2338" s="4"/>
      <c r="FE2338" s="4"/>
      <c r="FF2338" s="4"/>
      <c r="FG2338" s="4"/>
      <c r="FH2338" s="4"/>
      <c r="FI2338" s="4"/>
      <c r="FJ2338" s="4"/>
      <c r="FK2338" s="4"/>
      <c r="FL2338" s="4"/>
      <c r="FM2338" s="4"/>
      <c r="FN2338" s="4"/>
      <c r="FO2338" s="4"/>
      <c r="FP2338" s="4"/>
      <c r="FQ2338" s="4"/>
      <c r="FR2338" s="4"/>
      <c r="FS2338" s="4"/>
      <c r="FT2338" s="4"/>
      <c r="FU2338" s="4"/>
      <c r="FV2338" s="4"/>
      <c r="FW2338" s="4"/>
      <c r="FX2338" s="4"/>
      <c r="FY2338" s="4"/>
      <c r="FZ2338" s="4"/>
      <c r="GA2338" s="4"/>
      <c r="GB2338" s="4"/>
      <c r="GC2338" s="4"/>
      <c r="GD2338" s="4">
        <v>70</v>
      </c>
      <c r="GE2338" s="4"/>
      <c r="GF2338" s="4"/>
      <c r="GG2338" s="4"/>
      <c r="GH2338" s="4"/>
      <c r="GI2338" s="4"/>
      <c r="GJ2338" s="4"/>
      <c r="GK2338" s="4"/>
      <c r="GL2338" s="4"/>
      <c r="GM2338" s="4"/>
      <c r="GN2338" s="4"/>
      <c r="GO2338" s="4"/>
      <c r="GP2338" s="4">
        <v>80</v>
      </c>
      <c r="GQ2338" s="4"/>
      <c r="GR2338" s="4"/>
      <c r="GS2338" s="4"/>
      <c r="GT2338" s="4"/>
      <c r="GU2338" s="4"/>
      <c r="GV2338" s="4"/>
      <c r="GW2338" s="4"/>
      <c r="GX2338" s="4"/>
      <c r="GY2338" s="4"/>
      <c r="GZ2338" s="4"/>
      <c r="HA2338" s="4"/>
      <c r="HB2338" s="4">
        <v>100</v>
      </c>
      <c r="HC2338" s="4"/>
      <c r="HD2338" s="4"/>
      <c r="HE2338" s="4"/>
    </row>
    <row r="2339">
      <c r="A2339" s="2" t="s">
        <v>10902</v>
      </c>
      <c r="B2339" s="2" t="s">
        <v>223</v>
      </c>
      <c r="C2339" s="2" t="s">
        <v>849</v>
      </c>
      <c r="D2339" s="2" t="s">
        <v>1112</v>
      </c>
      <c r="E2339" s="2" t="s">
        <v>1113</v>
      </c>
      <c r="F2339" s="2" t="s">
        <v>10893</v>
      </c>
      <c r="G2339" s="2" t="s">
        <v>10893</v>
      </c>
      <c r="H2339" s="2" t="s">
        <v>10893</v>
      </c>
      <c r="I2339" s="2" t="s">
        <v>10894</v>
      </c>
      <c r="J2339" s="2" t="s">
        <v>264</v>
      </c>
      <c r="K2339" s="2" t="s">
        <v>1478</v>
      </c>
      <c r="L2339" s="3">
        <v>33.33</v>
      </c>
      <c r="M2339" s="3">
        <v>35</v>
      </c>
      <c r="N2339" s="3">
        <v>69.99</v>
      </c>
      <c r="O2339" s="2" t="s">
        <v>240</v>
      </c>
      <c r="P2339" s="2" t="s">
        <v>266</v>
      </c>
      <c r="Q2339" s="2" t="s">
        <v>234</v>
      </c>
      <c r="R2339" s="2" t="s">
        <v>228</v>
      </c>
      <c r="S2339" s="2" t="s">
        <v>10903</v>
      </c>
      <c r="T2339" s="2" t="s">
        <v>3400</v>
      </c>
      <c r="U2339" s="2" t="s">
        <v>520</v>
      </c>
      <c r="V2339" s="2" t="s">
        <v>236</v>
      </c>
      <c r="W2339" s="2" t="s">
        <v>269</v>
      </c>
      <c r="X2339" s="2" t="s">
        <v>228</v>
      </c>
      <c r="Y2339" s="2" t="s">
        <v>3120</v>
      </c>
      <c r="Z2339" s="4">
        <v>240</v>
      </c>
      <c r="AA2339" s="4">
        <f>=ROUNDDOWN(60,0)</f>
      </c>
      <c r="AB2339" s="5">
        <v>4</v>
      </c>
      <c r="AC2339" s="2" t="s">
        <v>194</v>
      </c>
      <c r="AD2339" s="4">
        <v>50</v>
      </c>
      <c r="AE2339" s="4">
        <v>150</v>
      </c>
      <c r="AF2339" s="6">
        <v>65</v>
      </c>
      <c r="AG2339" s="6"/>
      <c r="AH2339" s="7">
        <v>1</v>
      </c>
      <c r="AI2339" s="4"/>
      <c r="AJ2339" s="4">
        <f>=ROUNDDOWN({0},0)</f>
      </c>
      <c r="AK2339" s="5"/>
      <c r="AL2339" s="2" t="s">
        <v>228</v>
      </c>
      <c r="AM2339" s="4"/>
      <c r="AN2339" s="4"/>
      <c r="AO2339" s="7"/>
      <c r="AP2339" s="4"/>
      <c r="AQ2339" s="8"/>
      <c r="AR2339" s="4"/>
      <c r="AS2339" s="8"/>
      <c r="AT2339" s="7"/>
      <c r="AU2339" s="7"/>
      <c r="AV2339" s="4" t="s">
        <v>228</v>
      </c>
      <c r="AW2339" s="8" t="s">
        <v>228</v>
      </c>
      <c r="AX2339" s="4" t="s">
        <v>228</v>
      </c>
      <c r="AY2339" s="8" t="s">
        <v>228</v>
      </c>
      <c r="AZ2339" s="7" t="s">
        <v>228</v>
      </c>
      <c r="BA2339" s="7" t="s">
        <v>228</v>
      </c>
      <c r="BB2339" s="7"/>
      <c r="BC2339" s="4" t="s">
        <v>228</v>
      </c>
      <c r="BD2339" s="8" t="s">
        <v>228</v>
      </c>
      <c r="BE2339" s="4" t="s">
        <v>228</v>
      </c>
      <c r="BF2339" s="8" t="s">
        <v>228</v>
      </c>
      <c r="BG2339" s="7" t="s">
        <v>228</v>
      </c>
      <c r="BH2339" s="7" t="s">
        <v>228</v>
      </c>
      <c r="BI2339" s="7"/>
      <c r="BJ2339" s="4">
        <v>9</v>
      </c>
      <c r="BK2339" s="8">
        <v>334.96</v>
      </c>
      <c r="BL2339" s="2" t="s">
        <v>3165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10904</v>
      </c>
      <c r="BV2339" s="2" t="s">
        <v>228</v>
      </c>
      <c r="BW2339" s="2" t="s">
        <v>228</v>
      </c>
      <c r="BX2339" s="2" t="s">
        <v>273</v>
      </c>
      <c r="BY2339" s="2" t="s">
        <v>274</v>
      </c>
      <c r="BZ2339" s="2" t="s">
        <v>240</v>
      </c>
      <c r="CA2339" s="2" t="s">
        <v>2997</v>
      </c>
      <c r="CB2339" s="2" t="s">
        <v>497</v>
      </c>
      <c r="CC2339" s="2" t="s">
        <v>241</v>
      </c>
      <c r="CD2339" s="2" t="s">
        <v>228</v>
      </c>
      <c r="CE2339" s="4">
        <v>240</v>
      </c>
      <c r="CF2339" s="4"/>
      <c r="CG2339" s="4"/>
      <c r="CH2339" s="4"/>
      <c r="CI2339" s="4"/>
      <c r="CJ2339" s="4"/>
      <c r="CK2339" s="4"/>
      <c r="CL2339" s="4"/>
      <c r="CM2339" s="4"/>
      <c r="CN2339" s="4"/>
      <c r="CO2339" s="4"/>
      <c r="CP2339" s="4"/>
      <c r="CQ2339" s="4"/>
      <c r="CR2339" s="4"/>
      <c r="CS2339" s="4"/>
      <c r="CT2339" s="4"/>
      <c r="CU2339" s="4"/>
      <c r="CV2339" s="4"/>
      <c r="CW2339" s="4"/>
      <c r="CX2339" s="4"/>
      <c r="CY2339" s="4"/>
      <c r="CZ2339" s="4"/>
      <c r="DA2339" s="4"/>
      <c r="DB2339" s="4"/>
      <c r="DC2339" s="4"/>
      <c r="DD2339" s="4"/>
      <c r="DE2339" s="4"/>
      <c r="DF2339" s="4"/>
      <c r="DG2339" s="4"/>
      <c r="DH2339" s="4"/>
      <c r="DI2339" s="4"/>
      <c r="DJ2339" s="4"/>
      <c r="DK2339" s="4"/>
      <c r="DL2339" s="4"/>
      <c r="DM2339" s="4"/>
      <c r="DN2339" s="4"/>
      <c r="DO2339" s="4"/>
      <c r="DP2339" s="4"/>
      <c r="DQ2339" s="4"/>
      <c r="DR2339" s="4"/>
      <c r="DS2339" s="4"/>
      <c r="DT2339" s="4"/>
      <c r="DU2339" s="4"/>
      <c r="DV2339" s="4"/>
      <c r="DW2339" s="4"/>
      <c r="DX2339" s="4"/>
      <c r="DY2339" s="4"/>
      <c r="DZ2339" s="4"/>
      <c r="EA2339" s="4"/>
      <c r="EB2339" s="4"/>
      <c r="EC2339" s="4"/>
      <c r="ED2339" s="4"/>
      <c r="EE2339" s="4"/>
      <c r="EF2339" s="4"/>
      <c r="EG2339" s="4"/>
      <c r="EH2339" s="4"/>
      <c r="EI2339" s="4"/>
      <c r="EJ2339" s="4"/>
      <c r="EK2339" s="4"/>
      <c r="EL2339" s="4"/>
      <c r="EM2339" s="4"/>
      <c r="EN2339" s="4"/>
      <c r="EO2339" s="4"/>
      <c r="EP2339" s="4"/>
      <c r="EQ2339" s="4"/>
      <c r="ER2339" s="4"/>
      <c r="ES2339" s="4"/>
      <c r="ET2339" s="4"/>
      <c r="EU2339" s="4"/>
      <c r="EV2339" s="4"/>
      <c r="EW2339" s="4"/>
      <c r="EX2339" s="4"/>
      <c r="EY2339" s="4"/>
      <c r="EZ2339" s="4"/>
      <c r="FA2339" s="4"/>
      <c r="FB2339" s="4"/>
      <c r="FC2339" s="4"/>
      <c r="FD2339" s="4"/>
      <c r="FE2339" s="4"/>
      <c r="FF2339" s="4"/>
      <c r="FG2339" s="4"/>
      <c r="FH2339" s="4"/>
      <c r="FI2339" s="4"/>
      <c r="FJ2339" s="4"/>
      <c r="FK2339" s="4"/>
      <c r="FL2339" s="4"/>
      <c r="FM2339" s="4"/>
      <c r="FN2339" s="4"/>
      <c r="FO2339" s="4"/>
      <c r="FP2339" s="4"/>
      <c r="FQ2339" s="4"/>
      <c r="FR2339" s="4"/>
      <c r="FS2339" s="4"/>
      <c r="FT2339" s="4"/>
      <c r="FU2339" s="4"/>
      <c r="FV2339" s="4"/>
      <c r="FW2339" s="4"/>
      <c r="FX2339" s="4"/>
      <c r="FY2339" s="4"/>
      <c r="FZ2339" s="4"/>
      <c r="GA2339" s="4"/>
      <c r="GB2339" s="4"/>
      <c r="GC2339" s="4"/>
      <c r="GD2339" s="4">
        <v>50</v>
      </c>
      <c r="GE2339" s="4"/>
      <c r="GF2339" s="4"/>
      <c r="GG2339" s="4"/>
      <c r="GH2339" s="4"/>
      <c r="GI2339" s="4"/>
      <c r="GJ2339" s="4"/>
      <c r="GK2339" s="4"/>
      <c r="GL2339" s="4"/>
      <c r="GM2339" s="4"/>
      <c r="GN2339" s="4"/>
      <c r="GO2339" s="4"/>
      <c r="GP2339" s="4">
        <v>50</v>
      </c>
      <c r="GQ2339" s="4"/>
      <c r="GR2339" s="4"/>
      <c r="GS2339" s="4"/>
      <c r="GT2339" s="4"/>
      <c r="GU2339" s="4"/>
      <c r="GV2339" s="4"/>
      <c r="GW2339" s="4"/>
      <c r="GX2339" s="4"/>
      <c r="GY2339" s="4"/>
      <c r="GZ2339" s="4"/>
      <c r="HA2339" s="4"/>
      <c r="HB2339" s="4">
        <v>50</v>
      </c>
      <c r="HC2339" s="4"/>
      <c r="HD2339" s="4"/>
      <c r="HE2339" s="4"/>
    </row>
    <row r="2340">
      <c r="A2340" s="2" t="s">
        <v>10905</v>
      </c>
      <c r="B2340" s="2" t="s">
        <v>223</v>
      </c>
      <c r="C2340" s="2" t="s">
        <v>849</v>
      </c>
      <c r="D2340" s="2" t="s">
        <v>1112</v>
      </c>
      <c r="E2340" s="2" t="s">
        <v>1113</v>
      </c>
      <c r="F2340" s="2" t="s">
        <v>10893</v>
      </c>
      <c r="G2340" s="2" t="s">
        <v>10893</v>
      </c>
      <c r="H2340" s="2" t="s">
        <v>10893</v>
      </c>
      <c r="I2340" s="2" t="s">
        <v>10898</v>
      </c>
      <c r="J2340" s="2" t="s">
        <v>294</v>
      </c>
      <c r="K2340" s="2" t="s">
        <v>1478</v>
      </c>
      <c r="L2340" s="3">
        <v>47.61</v>
      </c>
      <c r="M2340" s="3">
        <v>49.99</v>
      </c>
      <c r="N2340" s="3">
        <v>99.99</v>
      </c>
      <c r="O2340" s="2" t="s">
        <v>240</v>
      </c>
      <c r="P2340" s="2" t="s">
        <v>266</v>
      </c>
      <c r="Q2340" s="2" t="s">
        <v>234</v>
      </c>
      <c r="R2340" s="2" t="s">
        <v>228</v>
      </c>
      <c r="S2340" s="2" t="s">
        <v>10903</v>
      </c>
      <c r="T2340" s="2" t="s">
        <v>3400</v>
      </c>
      <c r="U2340" s="2" t="s">
        <v>500</v>
      </c>
      <c r="V2340" s="2" t="s">
        <v>236</v>
      </c>
      <c r="W2340" s="2" t="s">
        <v>269</v>
      </c>
      <c r="X2340" s="2" t="s">
        <v>228</v>
      </c>
      <c r="Y2340" s="2" t="s">
        <v>2295</v>
      </c>
      <c r="Z2340" s="4">
        <v>138</v>
      </c>
      <c r="AA2340" s="4">
        <f>=ROUNDDOWN(23,0)</f>
      </c>
      <c r="AB2340" s="5">
        <v>6</v>
      </c>
      <c r="AC2340" s="2" t="s">
        <v>194</v>
      </c>
      <c r="AD2340" s="4">
        <v>70</v>
      </c>
      <c r="AE2340" s="4">
        <v>200</v>
      </c>
      <c r="AF2340" s="6">
        <v>65</v>
      </c>
      <c r="AG2340" s="6"/>
      <c r="AH2340" s="7">
        <v>1</v>
      </c>
      <c r="AI2340" s="4"/>
      <c r="AJ2340" s="4">
        <f>=ROUNDDOWN({0},0)</f>
      </c>
      <c r="AK2340" s="5"/>
      <c r="AL2340" s="2" t="s">
        <v>228</v>
      </c>
      <c r="AM2340" s="4"/>
      <c r="AN2340" s="4"/>
      <c r="AO2340" s="7"/>
      <c r="AP2340" s="4"/>
      <c r="AQ2340" s="8"/>
      <c r="AR2340" s="4"/>
      <c r="AS2340" s="8"/>
      <c r="AT2340" s="7"/>
      <c r="AU2340" s="7"/>
      <c r="AV2340" s="4" t="s">
        <v>228</v>
      </c>
      <c r="AW2340" s="8" t="s">
        <v>228</v>
      </c>
      <c r="AX2340" s="4" t="s">
        <v>228</v>
      </c>
      <c r="AY2340" s="8" t="s">
        <v>228</v>
      </c>
      <c r="AZ2340" s="7" t="s">
        <v>228</v>
      </c>
      <c r="BA2340" s="7" t="s">
        <v>228</v>
      </c>
      <c r="BB2340" s="7"/>
      <c r="BC2340" s="4" t="s">
        <v>228</v>
      </c>
      <c r="BD2340" s="8" t="s">
        <v>228</v>
      </c>
      <c r="BE2340" s="4" t="s">
        <v>228</v>
      </c>
      <c r="BF2340" s="8" t="s">
        <v>228</v>
      </c>
      <c r="BG2340" s="7" t="s">
        <v>228</v>
      </c>
      <c r="BH2340" s="7" t="s">
        <v>228</v>
      </c>
      <c r="BI2340" s="7"/>
      <c r="BJ2340" s="4">
        <v>19</v>
      </c>
      <c r="BK2340" s="8">
        <v>1015.85</v>
      </c>
      <c r="BL2340" s="2" t="s">
        <v>381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10906</v>
      </c>
      <c r="BV2340" s="2" t="s">
        <v>228</v>
      </c>
      <c r="BW2340" s="2" t="s">
        <v>228</v>
      </c>
      <c r="BX2340" s="2" t="s">
        <v>273</v>
      </c>
      <c r="BY2340" s="2" t="s">
        <v>274</v>
      </c>
      <c r="BZ2340" s="2" t="s">
        <v>240</v>
      </c>
      <c r="CA2340" s="2" t="s">
        <v>2997</v>
      </c>
      <c r="CB2340" s="2" t="s">
        <v>812</v>
      </c>
      <c r="CC2340" s="2" t="s">
        <v>241</v>
      </c>
      <c r="CD2340" s="2" t="s">
        <v>228</v>
      </c>
      <c r="CE2340" s="4">
        <v>138</v>
      </c>
      <c r="CF2340" s="4"/>
      <c r="CG2340" s="4"/>
      <c r="CH2340" s="4"/>
      <c r="CI2340" s="4"/>
      <c r="CJ2340" s="4"/>
      <c r="CK2340" s="4"/>
      <c r="CL2340" s="4"/>
      <c r="CM2340" s="4"/>
      <c r="CN2340" s="4"/>
      <c r="CO2340" s="4"/>
      <c r="CP2340" s="4"/>
      <c r="CQ2340" s="4"/>
      <c r="CR2340" s="4"/>
      <c r="CS2340" s="4"/>
      <c r="CT2340" s="4"/>
      <c r="CU2340" s="4"/>
      <c r="CV2340" s="4"/>
      <c r="CW2340" s="4"/>
      <c r="CX2340" s="4"/>
      <c r="CY2340" s="4"/>
      <c r="CZ2340" s="4"/>
      <c r="DA2340" s="4"/>
      <c r="DB2340" s="4"/>
      <c r="DC2340" s="4"/>
      <c r="DD2340" s="4"/>
      <c r="DE2340" s="4"/>
      <c r="DF2340" s="4"/>
      <c r="DG2340" s="4"/>
      <c r="DH2340" s="4"/>
      <c r="DI2340" s="4"/>
      <c r="DJ2340" s="4"/>
      <c r="DK2340" s="4"/>
      <c r="DL2340" s="4"/>
      <c r="DM2340" s="4"/>
      <c r="DN2340" s="4"/>
      <c r="DO2340" s="4"/>
      <c r="DP2340" s="4"/>
      <c r="DQ2340" s="4"/>
      <c r="DR2340" s="4"/>
      <c r="DS2340" s="4"/>
      <c r="DT2340" s="4"/>
      <c r="DU2340" s="4"/>
      <c r="DV2340" s="4"/>
      <c r="DW2340" s="4"/>
      <c r="DX2340" s="4"/>
      <c r="DY2340" s="4"/>
      <c r="DZ2340" s="4"/>
      <c r="EA2340" s="4"/>
      <c r="EB2340" s="4"/>
      <c r="EC2340" s="4"/>
      <c r="ED2340" s="4"/>
      <c r="EE2340" s="4"/>
      <c r="EF2340" s="4"/>
      <c r="EG2340" s="4"/>
      <c r="EH2340" s="4"/>
      <c r="EI2340" s="4"/>
      <c r="EJ2340" s="4"/>
      <c r="EK2340" s="4"/>
      <c r="EL2340" s="4"/>
      <c r="EM2340" s="4"/>
      <c r="EN2340" s="4"/>
      <c r="EO2340" s="4"/>
      <c r="EP2340" s="4"/>
      <c r="EQ2340" s="4"/>
      <c r="ER2340" s="4"/>
      <c r="ES2340" s="4"/>
      <c r="ET2340" s="4"/>
      <c r="EU2340" s="4"/>
      <c r="EV2340" s="4"/>
      <c r="EW2340" s="4"/>
      <c r="EX2340" s="4"/>
      <c r="EY2340" s="4"/>
      <c r="EZ2340" s="4"/>
      <c r="FA2340" s="4"/>
      <c r="FB2340" s="4"/>
      <c r="FC2340" s="4"/>
      <c r="FD2340" s="4"/>
      <c r="FE2340" s="4"/>
      <c r="FF2340" s="4"/>
      <c r="FG2340" s="4"/>
      <c r="FH2340" s="4"/>
      <c r="FI2340" s="4"/>
      <c r="FJ2340" s="4"/>
      <c r="FK2340" s="4"/>
      <c r="FL2340" s="4"/>
      <c r="FM2340" s="4"/>
      <c r="FN2340" s="4"/>
      <c r="FO2340" s="4"/>
      <c r="FP2340" s="4"/>
      <c r="FQ2340" s="4"/>
      <c r="FR2340" s="4"/>
      <c r="FS2340" s="4"/>
      <c r="FT2340" s="4"/>
      <c r="FU2340" s="4"/>
      <c r="FV2340" s="4"/>
      <c r="FW2340" s="4"/>
      <c r="FX2340" s="4"/>
      <c r="FY2340" s="4"/>
      <c r="FZ2340" s="4"/>
      <c r="GA2340" s="4"/>
      <c r="GB2340" s="4"/>
      <c r="GC2340" s="4"/>
      <c r="GD2340" s="4">
        <v>70</v>
      </c>
      <c r="GE2340" s="4"/>
      <c r="GF2340" s="4"/>
      <c r="GG2340" s="4"/>
      <c r="GH2340" s="4"/>
      <c r="GI2340" s="4"/>
      <c r="GJ2340" s="4"/>
      <c r="GK2340" s="4"/>
      <c r="GL2340" s="4"/>
      <c r="GM2340" s="4"/>
      <c r="GN2340" s="4"/>
      <c r="GO2340" s="4"/>
      <c r="GP2340" s="4">
        <v>80</v>
      </c>
      <c r="GQ2340" s="4"/>
      <c r="GR2340" s="4"/>
      <c r="GS2340" s="4"/>
      <c r="GT2340" s="4"/>
      <c r="GU2340" s="4"/>
      <c r="GV2340" s="4"/>
      <c r="GW2340" s="4"/>
      <c r="GX2340" s="4"/>
      <c r="GY2340" s="4"/>
      <c r="GZ2340" s="4"/>
      <c r="HA2340" s="4"/>
      <c r="HB2340" s="4">
        <v>50</v>
      </c>
      <c r="HC2340" s="4"/>
      <c r="HD2340" s="4"/>
      <c r="HE2340" s="4"/>
    </row>
    <row r="2341">
      <c r="A2341" s="2" t="s">
        <v>10907</v>
      </c>
      <c r="B2341" s="2" t="s">
        <v>223</v>
      </c>
      <c r="C2341" s="2" t="s">
        <v>849</v>
      </c>
      <c r="D2341" s="2" t="s">
        <v>1112</v>
      </c>
      <c r="E2341" s="2" t="s">
        <v>1113</v>
      </c>
      <c r="F2341" s="2" t="s">
        <v>10893</v>
      </c>
      <c r="G2341" s="2" t="s">
        <v>10893</v>
      </c>
      <c r="H2341" s="2" t="s">
        <v>10893</v>
      </c>
      <c r="I2341" s="2" t="s">
        <v>10898</v>
      </c>
      <c r="J2341" s="2" t="s">
        <v>1189</v>
      </c>
      <c r="K2341" s="2" t="s">
        <v>650</v>
      </c>
      <c r="L2341" s="3">
        <v>42.85</v>
      </c>
      <c r="M2341" s="3">
        <v>44.99</v>
      </c>
      <c r="N2341" s="3">
        <v>89.99</v>
      </c>
      <c r="O2341" s="2" t="s">
        <v>240</v>
      </c>
      <c r="P2341" s="2" t="s">
        <v>266</v>
      </c>
      <c r="Q2341" s="2" t="s">
        <v>234</v>
      </c>
      <c r="R2341" s="2" t="s">
        <v>228</v>
      </c>
      <c r="S2341" s="2" t="s">
        <v>10908</v>
      </c>
      <c r="T2341" s="2" t="s">
        <v>3400</v>
      </c>
      <c r="U2341" s="2" t="s">
        <v>500</v>
      </c>
      <c r="V2341" s="2" t="s">
        <v>236</v>
      </c>
      <c r="W2341" s="2" t="s">
        <v>269</v>
      </c>
      <c r="X2341" s="2" t="s">
        <v>228</v>
      </c>
      <c r="Y2341" s="2" t="s">
        <v>3120</v>
      </c>
      <c r="Z2341" s="4">
        <v>326</v>
      </c>
      <c r="AA2341" s="4">
        <f>=ROUNDDOWN(40.75,0)</f>
      </c>
      <c r="AB2341" s="5">
        <v>8</v>
      </c>
      <c r="AC2341" s="2" t="s">
        <v>194</v>
      </c>
      <c r="AD2341" s="4">
        <v>120</v>
      </c>
      <c r="AE2341" s="4">
        <v>430</v>
      </c>
      <c r="AF2341" s="6">
        <v>65</v>
      </c>
      <c r="AG2341" s="6"/>
      <c r="AH2341" s="7">
        <v>1</v>
      </c>
      <c r="AI2341" s="4"/>
      <c r="AJ2341" s="4">
        <f>=ROUNDDOWN({0},0)</f>
      </c>
      <c r="AK2341" s="5"/>
      <c r="AL2341" s="2" t="s">
        <v>228</v>
      </c>
      <c r="AM2341" s="4"/>
      <c r="AN2341" s="4"/>
      <c r="AO2341" s="7"/>
      <c r="AP2341" s="4"/>
      <c r="AQ2341" s="8"/>
      <c r="AR2341" s="4"/>
      <c r="AS2341" s="8"/>
      <c r="AT2341" s="7"/>
      <c r="AU2341" s="7"/>
      <c r="AV2341" s="4" t="s">
        <v>228</v>
      </c>
      <c r="AW2341" s="8" t="s">
        <v>228</v>
      </c>
      <c r="AX2341" s="4" t="s">
        <v>228</v>
      </c>
      <c r="AY2341" s="8" t="s">
        <v>228</v>
      </c>
      <c r="AZ2341" s="7" t="s">
        <v>228</v>
      </c>
      <c r="BA2341" s="7" t="s">
        <v>228</v>
      </c>
      <c r="BB2341" s="7"/>
      <c r="BC2341" s="4" t="s">
        <v>228</v>
      </c>
      <c r="BD2341" s="8" t="s">
        <v>228</v>
      </c>
      <c r="BE2341" s="4" t="s">
        <v>228</v>
      </c>
      <c r="BF2341" s="8" t="s">
        <v>228</v>
      </c>
      <c r="BG2341" s="7" t="s">
        <v>228</v>
      </c>
      <c r="BH2341" s="7" t="s">
        <v>228</v>
      </c>
      <c r="BI2341" s="7"/>
      <c r="BJ2341" s="4">
        <v>13</v>
      </c>
      <c r="BK2341" s="8">
        <v>621.35</v>
      </c>
      <c r="BL2341" s="2" t="s">
        <v>10909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10910</v>
      </c>
      <c r="BV2341" s="2" t="s">
        <v>228</v>
      </c>
      <c r="BW2341" s="2" t="s">
        <v>228</v>
      </c>
      <c r="BX2341" s="2" t="s">
        <v>273</v>
      </c>
      <c r="BY2341" s="2" t="s">
        <v>274</v>
      </c>
      <c r="BZ2341" s="2" t="s">
        <v>240</v>
      </c>
      <c r="CA2341" s="2" t="s">
        <v>2997</v>
      </c>
      <c r="CB2341" s="2" t="s">
        <v>228</v>
      </c>
      <c r="CC2341" s="2" t="s">
        <v>241</v>
      </c>
      <c r="CD2341" s="2" t="s">
        <v>228</v>
      </c>
      <c r="CE2341" s="4">
        <v>326</v>
      </c>
      <c r="CF2341" s="4"/>
      <c r="CG2341" s="4"/>
      <c r="CH2341" s="4"/>
      <c r="CI2341" s="4"/>
      <c r="CJ2341" s="4"/>
      <c r="CK2341" s="4"/>
      <c r="CL2341" s="4"/>
      <c r="CM2341" s="4"/>
      <c r="CN2341" s="4"/>
      <c r="CO2341" s="4"/>
      <c r="CP2341" s="4"/>
      <c r="CQ2341" s="4"/>
      <c r="CR2341" s="4"/>
      <c r="CS2341" s="4"/>
      <c r="CT2341" s="4"/>
      <c r="CU2341" s="4"/>
      <c r="CV2341" s="4"/>
      <c r="CW2341" s="4"/>
      <c r="CX2341" s="4"/>
      <c r="CY2341" s="4"/>
      <c r="CZ2341" s="4"/>
      <c r="DA2341" s="4"/>
      <c r="DB2341" s="4"/>
      <c r="DC2341" s="4"/>
      <c r="DD2341" s="4"/>
      <c r="DE2341" s="4"/>
      <c r="DF2341" s="4"/>
      <c r="DG2341" s="4"/>
      <c r="DH2341" s="4"/>
      <c r="DI2341" s="4"/>
      <c r="DJ2341" s="4"/>
      <c r="DK2341" s="4"/>
      <c r="DL2341" s="4"/>
      <c r="DM2341" s="4"/>
      <c r="DN2341" s="4"/>
      <c r="DO2341" s="4"/>
      <c r="DP2341" s="4"/>
      <c r="DQ2341" s="4"/>
      <c r="DR2341" s="4"/>
      <c r="DS2341" s="4"/>
      <c r="DT2341" s="4"/>
      <c r="DU2341" s="4"/>
      <c r="DV2341" s="4"/>
      <c r="DW2341" s="4"/>
      <c r="DX2341" s="4"/>
      <c r="DY2341" s="4"/>
      <c r="DZ2341" s="4"/>
      <c r="EA2341" s="4"/>
      <c r="EB2341" s="4"/>
      <c r="EC2341" s="4"/>
      <c r="ED2341" s="4"/>
      <c r="EE2341" s="4"/>
      <c r="EF2341" s="4"/>
      <c r="EG2341" s="4"/>
      <c r="EH2341" s="4"/>
      <c r="EI2341" s="4"/>
      <c r="EJ2341" s="4"/>
      <c r="EK2341" s="4"/>
      <c r="EL2341" s="4"/>
      <c r="EM2341" s="4"/>
      <c r="EN2341" s="4"/>
      <c r="EO2341" s="4"/>
      <c r="EP2341" s="4"/>
      <c r="EQ2341" s="4"/>
      <c r="ER2341" s="4"/>
      <c r="ES2341" s="4"/>
      <c r="ET2341" s="4"/>
      <c r="EU2341" s="4"/>
      <c r="EV2341" s="4"/>
      <c r="EW2341" s="4"/>
      <c r="EX2341" s="4"/>
      <c r="EY2341" s="4"/>
      <c r="EZ2341" s="4"/>
      <c r="FA2341" s="4"/>
      <c r="FB2341" s="4"/>
      <c r="FC2341" s="4"/>
      <c r="FD2341" s="4"/>
      <c r="FE2341" s="4"/>
      <c r="FF2341" s="4"/>
      <c r="FG2341" s="4"/>
      <c r="FH2341" s="4"/>
      <c r="FI2341" s="4"/>
      <c r="FJ2341" s="4"/>
      <c r="FK2341" s="4"/>
      <c r="FL2341" s="4"/>
      <c r="FM2341" s="4"/>
      <c r="FN2341" s="4"/>
      <c r="FO2341" s="4"/>
      <c r="FP2341" s="4"/>
      <c r="FQ2341" s="4"/>
      <c r="FR2341" s="4"/>
      <c r="FS2341" s="4"/>
      <c r="FT2341" s="4"/>
      <c r="FU2341" s="4"/>
      <c r="FV2341" s="4"/>
      <c r="FW2341" s="4"/>
      <c r="FX2341" s="4"/>
      <c r="FY2341" s="4"/>
      <c r="FZ2341" s="4"/>
      <c r="GA2341" s="4"/>
      <c r="GB2341" s="4"/>
      <c r="GC2341" s="4"/>
      <c r="GD2341" s="4">
        <v>120</v>
      </c>
      <c r="GE2341" s="4"/>
      <c r="GF2341" s="4"/>
      <c r="GG2341" s="4"/>
      <c r="GH2341" s="4"/>
      <c r="GI2341" s="4"/>
      <c r="GJ2341" s="4"/>
      <c r="GK2341" s="4"/>
      <c r="GL2341" s="4"/>
      <c r="GM2341" s="4"/>
      <c r="GN2341" s="4"/>
      <c r="GO2341" s="4"/>
      <c r="GP2341" s="4">
        <v>230</v>
      </c>
      <c r="GQ2341" s="4"/>
      <c r="GR2341" s="4"/>
      <c r="GS2341" s="4"/>
      <c r="GT2341" s="4"/>
      <c r="GU2341" s="4"/>
      <c r="GV2341" s="4"/>
      <c r="GW2341" s="4"/>
      <c r="GX2341" s="4"/>
      <c r="GY2341" s="4"/>
      <c r="GZ2341" s="4"/>
      <c r="HA2341" s="4"/>
      <c r="HB2341" s="4">
        <v>80</v>
      </c>
      <c r="HC2341" s="4"/>
      <c r="HD2341" s="4"/>
      <c r="HE2341" s="4"/>
    </row>
    <row r="2342">
      <c r="A2342" s="2" t="s">
        <v>10911</v>
      </c>
      <c r="B2342" s="2" t="s">
        <v>223</v>
      </c>
      <c r="C2342" s="2" t="s">
        <v>849</v>
      </c>
      <c r="D2342" s="2" t="s">
        <v>1112</v>
      </c>
      <c r="E2342" s="2" t="s">
        <v>1113</v>
      </c>
      <c r="F2342" s="2" t="s">
        <v>10893</v>
      </c>
      <c r="G2342" s="2" t="s">
        <v>10893</v>
      </c>
      <c r="H2342" s="2" t="s">
        <v>10893</v>
      </c>
      <c r="I2342" s="2" t="s">
        <v>10898</v>
      </c>
      <c r="J2342" s="2" t="s">
        <v>294</v>
      </c>
      <c r="K2342" s="2" t="s">
        <v>650</v>
      </c>
      <c r="L2342" s="3">
        <v>47.61</v>
      </c>
      <c r="M2342" s="3">
        <v>49.99</v>
      </c>
      <c r="N2342" s="3">
        <v>99.99</v>
      </c>
      <c r="O2342" s="2" t="s">
        <v>240</v>
      </c>
      <c r="P2342" s="2" t="s">
        <v>266</v>
      </c>
      <c r="Q2342" s="2" t="s">
        <v>234</v>
      </c>
      <c r="R2342" s="2" t="s">
        <v>228</v>
      </c>
      <c r="S2342" s="2" t="s">
        <v>10908</v>
      </c>
      <c r="T2342" s="2" t="s">
        <v>3400</v>
      </c>
      <c r="U2342" s="2" t="s">
        <v>500</v>
      </c>
      <c r="V2342" s="2" t="s">
        <v>236</v>
      </c>
      <c r="W2342" s="2" t="s">
        <v>269</v>
      </c>
      <c r="X2342" s="2" t="s">
        <v>228</v>
      </c>
      <c r="Y2342" s="2" t="s">
        <v>2295</v>
      </c>
      <c r="Z2342" s="4">
        <v>153</v>
      </c>
      <c r="AA2342" s="4">
        <f>=ROUNDDOWN(25.5,0)</f>
      </c>
      <c r="AB2342" s="5">
        <v>6</v>
      </c>
      <c r="AC2342" s="2" t="s">
        <v>194</v>
      </c>
      <c r="AD2342" s="4">
        <v>80</v>
      </c>
      <c r="AE2342" s="4">
        <v>270</v>
      </c>
      <c r="AF2342" s="6">
        <v>65</v>
      </c>
      <c r="AG2342" s="6"/>
      <c r="AH2342" s="7">
        <v>1</v>
      </c>
      <c r="AI2342" s="4"/>
      <c r="AJ2342" s="4">
        <f>=ROUNDDOWN({0},0)</f>
      </c>
      <c r="AK2342" s="5"/>
      <c r="AL2342" s="2" t="s">
        <v>228</v>
      </c>
      <c r="AM2342" s="4"/>
      <c r="AN2342" s="4"/>
      <c r="AO2342" s="7"/>
      <c r="AP2342" s="4"/>
      <c r="AQ2342" s="8"/>
      <c r="AR2342" s="4"/>
      <c r="AS2342" s="8"/>
      <c r="AT2342" s="7"/>
      <c r="AU2342" s="7"/>
      <c r="AV2342" s="4" t="s">
        <v>228</v>
      </c>
      <c r="AW2342" s="8" t="s">
        <v>228</v>
      </c>
      <c r="AX2342" s="4" t="s">
        <v>228</v>
      </c>
      <c r="AY2342" s="8" t="s">
        <v>228</v>
      </c>
      <c r="AZ2342" s="7" t="s">
        <v>228</v>
      </c>
      <c r="BA2342" s="7" t="s">
        <v>228</v>
      </c>
      <c r="BB2342" s="7"/>
      <c r="BC2342" s="4" t="s">
        <v>228</v>
      </c>
      <c r="BD2342" s="8" t="s">
        <v>228</v>
      </c>
      <c r="BE2342" s="4" t="s">
        <v>228</v>
      </c>
      <c r="BF2342" s="8" t="s">
        <v>228</v>
      </c>
      <c r="BG2342" s="7" t="s">
        <v>228</v>
      </c>
      <c r="BH2342" s="7" t="s">
        <v>228</v>
      </c>
      <c r="BI2342" s="7"/>
      <c r="BJ2342" s="4">
        <v>12</v>
      </c>
      <c r="BK2342" s="8">
        <v>643.41</v>
      </c>
      <c r="BL2342" s="2" t="s">
        <v>398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10912</v>
      </c>
      <c r="BV2342" s="2" t="s">
        <v>228</v>
      </c>
      <c r="BW2342" s="2" t="s">
        <v>228</v>
      </c>
      <c r="BX2342" s="2" t="s">
        <v>273</v>
      </c>
      <c r="BY2342" s="2" t="s">
        <v>274</v>
      </c>
      <c r="BZ2342" s="2" t="s">
        <v>240</v>
      </c>
      <c r="CA2342" s="2" t="s">
        <v>2997</v>
      </c>
      <c r="CB2342" s="2" t="s">
        <v>228</v>
      </c>
      <c r="CC2342" s="2" t="s">
        <v>241</v>
      </c>
      <c r="CD2342" s="2" t="s">
        <v>228</v>
      </c>
      <c r="CE2342" s="4">
        <v>153</v>
      </c>
      <c r="CF2342" s="4"/>
      <c r="CG2342" s="4"/>
      <c r="CH2342" s="4"/>
      <c r="CI2342" s="4"/>
      <c r="CJ2342" s="4"/>
      <c r="CK2342" s="4"/>
      <c r="CL2342" s="4"/>
      <c r="CM2342" s="4"/>
      <c r="CN2342" s="4"/>
      <c r="CO2342" s="4"/>
      <c r="CP2342" s="4"/>
      <c r="CQ2342" s="4"/>
      <c r="CR2342" s="4"/>
      <c r="CS2342" s="4"/>
      <c r="CT2342" s="4"/>
      <c r="CU2342" s="4"/>
      <c r="CV2342" s="4"/>
      <c r="CW2342" s="4"/>
      <c r="CX2342" s="4"/>
      <c r="CY2342" s="4"/>
      <c r="CZ2342" s="4"/>
      <c r="DA2342" s="4"/>
      <c r="DB2342" s="4"/>
      <c r="DC2342" s="4"/>
      <c r="DD2342" s="4"/>
      <c r="DE2342" s="4"/>
      <c r="DF2342" s="4"/>
      <c r="DG2342" s="4"/>
      <c r="DH2342" s="4"/>
      <c r="DI2342" s="4"/>
      <c r="DJ2342" s="4"/>
      <c r="DK2342" s="4"/>
      <c r="DL2342" s="4"/>
      <c r="DM2342" s="4"/>
      <c r="DN2342" s="4"/>
      <c r="DO2342" s="4"/>
      <c r="DP2342" s="4"/>
      <c r="DQ2342" s="4"/>
      <c r="DR2342" s="4"/>
      <c r="DS2342" s="4"/>
      <c r="DT2342" s="4"/>
      <c r="DU2342" s="4"/>
      <c r="DV2342" s="4"/>
      <c r="DW2342" s="4"/>
      <c r="DX2342" s="4"/>
      <c r="DY2342" s="4"/>
      <c r="DZ2342" s="4"/>
      <c r="EA2342" s="4"/>
      <c r="EB2342" s="4"/>
      <c r="EC2342" s="4"/>
      <c r="ED2342" s="4"/>
      <c r="EE2342" s="4"/>
      <c r="EF2342" s="4"/>
      <c r="EG2342" s="4"/>
      <c r="EH2342" s="4"/>
      <c r="EI2342" s="4"/>
      <c r="EJ2342" s="4"/>
      <c r="EK2342" s="4"/>
      <c r="EL2342" s="4"/>
      <c r="EM2342" s="4"/>
      <c r="EN2342" s="4"/>
      <c r="EO2342" s="4"/>
      <c r="EP2342" s="4"/>
      <c r="EQ2342" s="4"/>
      <c r="ER2342" s="4"/>
      <c r="ES2342" s="4"/>
      <c r="ET2342" s="4"/>
      <c r="EU2342" s="4"/>
      <c r="EV2342" s="4"/>
      <c r="EW2342" s="4"/>
      <c r="EX2342" s="4"/>
      <c r="EY2342" s="4"/>
      <c r="EZ2342" s="4"/>
      <c r="FA2342" s="4"/>
      <c r="FB2342" s="4"/>
      <c r="FC2342" s="4"/>
      <c r="FD2342" s="4"/>
      <c r="FE2342" s="4"/>
      <c r="FF2342" s="4"/>
      <c r="FG2342" s="4"/>
      <c r="FH2342" s="4"/>
      <c r="FI2342" s="4"/>
      <c r="FJ2342" s="4"/>
      <c r="FK2342" s="4"/>
      <c r="FL2342" s="4"/>
      <c r="FM2342" s="4"/>
      <c r="FN2342" s="4"/>
      <c r="FO2342" s="4"/>
      <c r="FP2342" s="4"/>
      <c r="FQ2342" s="4"/>
      <c r="FR2342" s="4"/>
      <c r="FS2342" s="4"/>
      <c r="FT2342" s="4"/>
      <c r="FU2342" s="4"/>
      <c r="FV2342" s="4"/>
      <c r="FW2342" s="4"/>
      <c r="FX2342" s="4"/>
      <c r="FY2342" s="4"/>
      <c r="FZ2342" s="4"/>
      <c r="GA2342" s="4"/>
      <c r="GB2342" s="4"/>
      <c r="GC2342" s="4"/>
      <c r="GD2342" s="4">
        <v>80</v>
      </c>
      <c r="GE2342" s="4"/>
      <c r="GF2342" s="4"/>
      <c r="GG2342" s="4"/>
      <c r="GH2342" s="4"/>
      <c r="GI2342" s="4"/>
      <c r="GJ2342" s="4"/>
      <c r="GK2342" s="4"/>
      <c r="GL2342" s="4"/>
      <c r="GM2342" s="4"/>
      <c r="GN2342" s="4"/>
      <c r="GO2342" s="4"/>
      <c r="GP2342" s="4">
        <v>120</v>
      </c>
      <c r="GQ2342" s="4"/>
      <c r="GR2342" s="4"/>
      <c r="GS2342" s="4"/>
      <c r="GT2342" s="4"/>
      <c r="GU2342" s="4"/>
      <c r="GV2342" s="4"/>
      <c r="GW2342" s="4"/>
      <c r="GX2342" s="4"/>
      <c r="GY2342" s="4"/>
      <c r="GZ2342" s="4"/>
      <c r="HA2342" s="4"/>
      <c r="HB2342" s="4">
        <v>70</v>
      </c>
      <c r="HC2342" s="4"/>
      <c r="HD2342" s="4"/>
      <c r="HE2342" s="4"/>
    </row>
    <row r="2343">
      <c r="A2343" s="2" t="s">
        <v>10913</v>
      </c>
      <c r="B2343" s="2" t="s">
        <v>958</v>
      </c>
      <c r="C2343" s="2" t="s">
        <v>835</v>
      </c>
      <c r="D2343" s="2" t="s">
        <v>959</v>
      </c>
      <c r="E2343" s="2" t="s">
        <v>960</v>
      </c>
      <c r="F2343" s="2" t="s">
        <v>10914</v>
      </c>
      <c r="G2343" s="2" t="s">
        <v>10914</v>
      </c>
      <c r="H2343" s="2" t="s">
        <v>10914</v>
      </c>
      <c r="I2343" s="2" t="s">
        <v>2560</v>
      </c>
      <c r="J2343" s="2" t="s">
        <v>840</v>
      </c>
      <c r="K2343" s="2" t="s">
        <v>249</v>
      </c>
      <c r="L2343" s="3">
        <v>172.98</v>
      </c>
      <c r="M2343" s="3">
        <v>181.63</v>
      </c>
      <c r="N2343" s="3">
        <v>369</v>
      </c>
      <c r="O2343" s="2" t="s">
        <v>240</v>
      </c>
      <c r="P2343" s="2" t="s">
        <v>333</v>
      </c>
      <c r="Q2343" s="2" t="s">
        <v>234</v>
      </c>
      <c r="R2343" s="2" t="s">
        <v>228</v>
      </c>
      <c r="S2343" s="2" t="s">
        <v>228</v>
      </c>
      <c r="T2343" s="2" t="s">
        <v>228</v>
      </c>
      <c r="U2343" s="2" t="s">
        <v>228</v>
      </c>
      <c r="V2343" s="2" t="s">
        <v>236</v>
      </c>
      <c r="W2343" s="2" t="s">
        <v>843</v>
      </c>
      <c r="X2343" s="2" t="s">
        <v>228</v>
      </c>
      <c r="Y2343" s="2" t="s">
        <v>10915</v>
      </c>
      <c r="Z2343" s="4">
        <v>84</v>
      </c>
      <c r="AA2343" s="4">
        <f>=ROUNDDOWN(42,0)</f>
      </c>
      <c r="AB2343" s="5">
        <v>2</v>
      </c>
      <c r="AC2343" s="2" t="s">
        <v>228</v>
      </c>
      <c r="AD2343" s="4"/>
      <c r="AE2343" s="4"/>
      <c r="AF2343" s="6">
        <v>66</v>
      </c>
      <c r="AG2343" s="6"/>
      <c r="AH2343" s="7">
        <v>1</v>
      </c>
      <c r="AI2343" s="4"/>
      <c r="AJ2343" s="4">
        <f>=ROUNDDOWN({0},0)</f>
      </c>
      <c r="AK2343" s="5"/>
      <c r="AL2343" s="2" t="s">
        <v>228</v>
      </c>
      <c r="AM2343" s="4"/>
      <c r="AN2343" s="4"/>
      <c r="AO2343" s="7"/>
      <c r="AP2343" s="4"/>
      <c r="AQ2343" s="8"/>
      <c r="AR2343" s="4"/>
      <c r="AS2343" s="8"/>
      <c r="AT2343" s="7"/>
      <c r="AU2343" s="7"/>
      <c r="AV2343" s="4"/>
      <c r="AW2343" s="8"/>
      <c r="AX2343" s="4"/>
      <c r="AY2343" s="8"/>
      <c r="AZ2343" s="7"/>
      <c r="BA2343" s="7"/>
      <c r="BB2343" s="7"/>
      <c r="BC2343" s="4"/>
      <c r="BD2343" s="8"/>
      <c r="BE2343" s="4"/>
      <c r="BF2343" s="8"/>
      <c r="BG2343" s="7"/>
      <c r="BH2343" s="7"/>
      <c r="BI2343" s="7"/>
      <c r="BJ2343" s="4">
        <v>6</v>
      </c>
      <c r="BK2343" s="8">
        <v>684.68</v>
      </c>
      <c r="BL2343" s="2" t="s">
        <v>10916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10917</v>
      </c>
      <c r="BV2343" s="2" t="s">
        <v>228</v>
      </c>
      <c r="BW2343" s="2" t="s">
        <v>228</v>
      </c>
      <c r="BX2343" s="2" t="s">
        <v>337</v>
      </c>
      <c r="BY2343" s="2" t="s">
        <v>274</v>
      </c>
      <c r="BZ2343" s="2" t="s">
        <v>240</v>
      </c>
      <c r="CA2343" s="2" t="s">
        <v>4771</v>
      </c>
      <c r="CB2343" s="2" t="s">
        <v>9502</v>
      </c>
      <c r="CC2343" s="2" t="s">
        <v>241</v>
      </c>
      <c r="CD2343" s="2" t="s">
        <v>228</v>
      </c>
      <c r="CE2343" s="4"/>
      <c r="CF2343" s="4">
        <v>84</v>
      </c>
      <c r="CG2343" s="4"/>
      <c r="CH2343" s="4"/>
      <c r="CI2343" s="4"/>
      <c r="CJ2343" s="4"/>
      <c r="CK2343" s="4"/>
      <c r="CL2343" s="4"/>
      <c r="CM2343" s="4"/>
      <c r="CN2343" s="4"/>
      <c r="CO2343" s="4"/>
      <c r="CP2343" s="4"/>
      <c r="CQ2343" s="4"/>
      <c r="CR2343" s="4"/>
      <c r="CS2343" s="4"/>
      <c r="CT2343" s="4"/>
      <c r="CU2343" s="4"/>
      <c r="CV2343" s="4"/>
      <c r="CW2343" s="4"/>
      <c r="CX2343" s="4"/>
      <c r="CY2343" s="4"/>
      <c r="CZ2343" s="4"/>
      <c r="DA2343" s="4"/>
      <c r="DB2343" s="4"/>
      <c r="DC2343" s="4"/>
      <c r="DD2343" s="4"/>
      <c r="DE2343" s="4"/>
      <c r="DF2343" s="4"/>
      <c r="DG2343" s="4"/>
      <c r="DH2343" s="4"/>
      <c r="DI2343" s="4"/>
      <c r="DJ2343" s="4"/>
      <c r="DK2343" s="4"/>
      <c r="DL2343" s="4"/>
      <c r="DM2343" s="4"/>
      <c r="DN2343" s="4"/>
      <c r="DO2343" s="4"/>
      <c r="DP2343" s="4"/>
      <c r="DQ2343" s="4"/>
      <c r="DR2343" s="4"/>
      <c r="DS2343" s="4"/>
      <c r="DT2343" s="4"/>
      <c r="DU2343" s="4"/>
      <c r="DV2343" s="4"/>
      <c r="DW2343" s="4"/>
      <c r="DX2343" s="4"/>
      <c r="DY2343" s="4"/>
      <c r="DZ2343" s="4"/>
      <c r="EA2343" s="4"/>
      <c r="EB2343" s="4"/>
      <c r="EC2343" s="4"/>
      <c r="ED2343" s="4"/>
      <c r="EE2343" s="4"/>
      <c r="EF2343" s="4"/>
      <c r="EG2343" s="4"/>
      <c r="EH2343" s="4"/>
      <c r="EI2343" s="4"/>
      <c r="EJ2343" s="4"/>
      <c r="EK2343" s="4"/>
      <c r="EL2343" s="4"/>
      <c r="EM2343" s="4"/>
      <c r="EN2343" s="4"/>
      <c r="EO2343" s="4"/>
      <c r="EP2343" s="4"/>
      <c r="EQ2343" s="4"/>
      <c r="ER2343" s="4"/>
      <c r="ES2343" s="4"/>
      <c r="ET2343" s="4"/>
      <c r="EU2343" s="4"/>
      <c r="EV2343" s="4"/>
      <c r="EW2343" s="4"/>
      <c r="EX2343" s="4"/>
      <c r="EY2343" s="4"/>
      <c r="EZ2343" s="4"/>
      <c r="FA2343" s="4"/>
      <c r="FB2343" s="4"/>
      <c r="FC2343" s="4"/>
      <c r="FD2343" s="4"/>
      <c r="FE2343" s="4"/>
      <c r="FF2343" s="4"/>
      <c r="FG2343" s="4"/>
      <c r="FH2343" s="4"/>
      <c r="FI2343" s="4"/>
      <c r="FJ2343" s="4"/>
      <c r="FK2343" s="4"/>
      <c r="FL2343" s="4"/>
      <c r="FM2343" s="4"/>
      <c r="FN2343" s="4"/>
      <c r="FO2343" s="4"/>
      <c r="FP2343" s="4"/>
      <c r="FQ2343" s="4"/>
      <c r="FR2343" s="4"/>
      <c r="FS2343" s="4"/>
      <c r="FT2343" s="4"/>
      <c r="FU2343" s="4"/>
      <c r="FV2343" s="4"/>
      <c r="FW2343" s="4"/>
      <c r="FX2343" s="4"/>
      <c r="FY2343" s="4"/>
      <c r="FZ2343" s="4"/>
      <c r="GA2343" s="4"/>
      <c r="GB2343" s="4"/>
      <c r="GC2343" s="4"/>
      <c r="GD2343" s="4"/>
      <c r="GE2343" s="4"/>
      <c r="GF2343" s="4"/>
      <c r="GG2343" s="4"/>
      <c r="GH2343" s="4"/>
      <c r="GI2343" s="4"/>
      <c r="GJ2343" s="4"/>
      <c r="GK2343" s="4"/>
      <c r="GL2343" s="4"/>
      <c r="GM2343" s="4"/>
      <c r="GN2343" s="4"/>
      <c r="GO2343" s="4"/>
      <c r="GP2343" s="4"/>
      <c r="GQ2343" s="4"/>
      <c r="GR2343" s="4"/>
      <c r="GS2343" s="4"/>
      <c r="GT2343" s="4"/>
      <c r="GU2343" s="4"/>
      <c r="GV2343" s="4"/>
      <c r="GW2343" s="4"/>
      <c r="GX2343" s="4"/>
      <c r="GY2343" s="4"/>
      <c r="GZ2343" s="4"/>
      <c r="HA2343" s="4"/>
      <c r="HB2343" s="4"/>
      <c r="HC2343" s="4"/>
      <c r="HD2343" s="4"/>
      <c r="HE2343" s="4"/>
    </row>
    <row r="2344">
      <c r="A2344" s="2" t="s">
        <v>10918</v>
      </c>
      <c r="B2344" s="2" t="s">
        <v>970</v>
      </c>
      <c r="C2344" s="2" t="s">
        <v>300</v>
      </c>
      <c r="D2344" s="2" t="s">
        <v>971</v>
      </c>
      <c r="E2344" s="2" t="s">
        <v>972</v>
      </c>
      <c r="F2344" s="2" t="s">
        <v>10919</v>
      </c>
      <c r="G2344" s="2" t="s">
        <v>3179</v>
      </c>
      <c r="H2344" s="2" t="s">
        <v>10920</v>
      </c>
      <c r="I2344" s="2" t="s">
        <v>9865</v>
      </c>
      <c r="J2344" s="2" t="s">
        <v>977</v>
      </c>
      <c r="K2344" s="2" t="s">
        <v>10921</v>
      </c>
      <c r="L2344" s="3">
        <v>15.45</v>
      </c>
      <c r="M2344" s="3">
        <v>16.22</v>
      </c>
      <c r="N2344" s="3">
        <v>34.99</v>
      </c>
      <c r="O2344" s="2" t="s">
        <v>240</v>
      </c>
      <c r="P2344" s="2" t="s">
        <v>233</v>
      </c>
      <c r="Q2344" s="2" t="s">
        <v>234</v>
      </c>
      <c r="R2344" s="2" t="s">
        <v>228</v>
      </c>
      <c r="S2344" s="2" t="s">
        <v>10922</v>
      </c>
      <c r="T2344" s="2" t="s">
        <v>228</v>
      </c>
      <c r="U2344" s="2" t="s">
        <v>416</v>
      </c>
      <c r="V2344" s="2" t="s">
        <v>3007</v>
      </c>
      <c r="W2344" s="2" t="s">
        <v>228</v>
      </c>
      <c r="X2344" s="2" t="s">
        <v>228</v>
      </c>
      <c r="Y2344" s="2" t="s">
        <v>4841</v>
      </c>
      <c r="Z2344" s="4">
        <v>414</v>
      </c>
      <c r="AA2344" s="4">
        <f>=ROUNDDOWN(230,0)</f>
      </c>
      <c r="AB2344" s="5">
        <v>1.8</v>
      </c>
      <c r="AC2344" s="2" t="s">
        <v>200</v>
      </c>
      <c r="AD2344" s="4">
        <v>436</v>
      </c>
      <c r="AE2344" s="4">
        <v>1308</v>
      </c>
      <c r="AF2344" s="6">
        <v>65</v>
      </c>
      <c r="AG2344" s="6"/>
      <c r="AH2344" s="7">
        <v>1</v>
      </c>
      <c r="AI2344" s="4"/>
      <c r="AJ2344" s="4">
        <f>=ROUNDDOWN({0},0)</f>
      </c>
      <c r="AK2344" s="5"/>
      <c r="AL2344" s="2" t="s">
        <v>228</v>
      </c>
      <c r="AM2344" s="4"/>
      <c r="AN2344" s="4"/>
      <c r="AO2344" s="7"/>
      <c r="AP2344" s="4"/>
      <c r="AQ2344" s="8"/>
      <c r="AR2344" s="4"/>
      <c r="AS2344" s="8"/>
      <c r="AT2344" s="7"/>
      <c r="AU2344" s="7"/>
      <c r="AV2344" s="4" t="s">
        <v>228</v>
      </c>
      <c r="AW2344" s="8" t="s">
        <v>228</v>
      </c>
      <c r="AX2344" s="4" t="s">
        <v>228</v>
      </c>
      <c r="AY2344" s="8" t="s">
        <v>228</v>
      </c>
      <c r="AZ2344" s="7" t="s">
        <v>228</v>
      </c>
      <c r="BA2344" s="7" t="s">
        <v>228</v>
      </c>
      <c r="BB2344" s="7"/>
      <c r="BC2344" s="4" t="s">
        <v>228</v>
      </c>
      <c r="BD2344" s="8" t="s">
        <v>228</v>
      </c>
      <c r="BE2344" s="4" t="s">
        <v>228</v>
      </c>
      <c r="BF2344" s="8" t="s">
        <v>228</v>
      </c>
      <c r="BG2344" s="7" t="s">
        <v>228</v>
      </c>
      <c r="BH2344" s="7" t="s">
        <v>228</v>
      </c>
      <c r="BI2344" s="7"/>
      <c r="BJ2344" s="4">
        <v>8</v>
      </c>
      <c r="BK2344" s="8">
        <v>142.16</v>
      </c>
      <c r="BL2344" s="2" t="s">
        <v>727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10923</v>
      </c>
      <c r="BV2344" s="2" t="s">
        <v>228</v>
      </c>
      <c r="BW2344" s="2" t="s">
        <v>228</v>
      </c>
      <c r="BX2344" s="2" t="s">
        <v>238</v>
      </c>
      <c r="BY2344" s="2" t="s">
        <v>274</v>
      </c>
      <c r="BZ2344" s="2" t="s">
        <v>240</v>
      </c>
      <c r="CA2344" s="2" t="s">
        <v>9914</v>
      </c>
      <c r="CB2344" s="2" t="s">
        <v>228</v>
      </c>
      <c r="CC2344" s="2" t="s">
        <v>241</v>
      </c>
      <c r="CD2344" s="2" t="s">
        <v>228</v>
      </c>
      <c r="CE2344" s="4"/>
      <c r="CF2344" s="4"/>
      <c r="CG2344" s="4"/>
      <c r="CH2344" s="4">
        <v>414</v>
      </c>
      <c r="CI2344" s="4"/>
      <c r="CJ2344" s="4"/>
      <c r="CK2344" s="4"/>
      <c r="CL2344" s="4"/>
      <c r="CM2344" s="4"/>
      <c r="CN2344" s="4"/>
      <c r="CO2344" s="4"/>
      <c r="CP2344" s="4"/>
      <c r="CQ2344" s="4"/>
      <c r="CR2344" s="4"/>
      <c r="CS2344" s="4"/>
      <c r="CT2344" s="4"/>
      <c r="CU2344" s="4"/>
      <c r="CV2344" s="4"/>
      <c r="CW2344" s="4"/>
      <c r="CX2344" s="4"/>
      <c r="CY2344" s="4"/>
      <c r="CZ2344" s="4"/>
      <c r="DA2344" s="4"/>
      <c r="DB2344" s="4"/>
      <c r="DC2344" s="4"/>
      <c r="DD2344" s="4"/>
      <c r="DE2344" s="4"/>
      <c r="DF2344" s="4"/>
      <c r="DG2344" s="4"/>
      <c r="DH2344" s="4"/>
      <c r="DI2344" s="4"/>
      <c r="DJ2344" s="4"/>
      <c r="DK2344" s="4"/>
      <c r="DL2344" s="4"/>
      <c r="DM2344" s="4"/>
      <c r="DN2344" s="4"/>
      <c r="DO2344" s="4"/>
      <c r="DP2344" s="4"/>
      <c r="DQ2344" s="4"/>
      <c r="DR2344" s="4"/>
      <c r="DS2344" s="4"/>
      <c r="DT2344" s="4"/>
      <c r="DU2344" s="4"/>
      <c r="DV2344" s="4"/>
      <c r="DW2344" s="4"/>
      <c r="DX2344" s="4"/>
      <c r="DY2344" s="4"/>
      <c r="DZ2344" s="4"/>
      <c r="EA2344" s="4"/>
      <c r="EB2344" s="4"/>
      <c r="EC2344" s="4"/>
      <c r="ED2344" s="4"/>
      <c r="EE2344" s="4"/>
      <c r="EF2344" s="4"/>
      <c r="EG2344" s="4"/>
      <c r="EH2344" s="4"/>
      <c r="EI2344" s="4"/>
      <c r="EJ2344" s="4"/>
      <c r="EK2344" s="4"/>
      <c r="EL2344" s="4"/>
      <c r="EM2344" s="4"/>
      <c r="EN2344" s="4"/>
      <c r="EO2344" s="4"/>
      <c r="EP2344" s="4"/>
      <c r="EQ2344" s="4"/>
      <c r="ER2344" s="4"/>
      <c r="ES2344" s="4"/>
      <c r="ET2344" s="4"/>
      <c r="EU2344" s="4"/>
      <c r="EV2344" s="4"/>
      <c r="EW2344" s="4"/>
      <c r="EX2344" s="4"/>
      <c r="EY2344" s="4"/>
      <c r="EZ2344" s="4"/>
      <c r="FA2344" s="4"/>
      <c r="FB2344" s="4"/>
      <c r="FC2344" s="4"/>
      <c r="FD2344" s="4"/>
      <c r="FE2344" s="4"/>
      <c r="FF2344" s="4"/>
      <c r="FG2344" s="4"/>
      <c r="FH2344" s="4"/>
      <c r="FI2344" s="4"/>
      <c r="FJ2344" s="4"/>
      <c r="FK2344" s="4"/>
      <c r="FL2344" s="4"/>
      <c r="FM2344" s="4"/>
      <c r="FN2344" s="4"/>
      <c r="FO2344" s="4"/>
      <c r="FP2344" s="4"/>
      <c r="FQ2344" s="4"/>
      <c r="FR2344" s="4"/>
      <c r="FS2344" s="4"/>
      <c r="FT2344" s="4"/>
      <c r="FU2344" s="4"/>
      <c r="FV2344" s="4"/>
      <c r="FW2344" s="4"/>
      <c r="FX2344" s="4"/>
      <c r="FY2344" s="4"/>
      <c r="FZ2344" s="4"/>
      <c r="GA2344" s="4"/>
      <c r="GB2344" s="4"/>
      <c r="GC2344" s="4"/>
      <c r="GD2344" s="4"/>
      <c r="GE2344" s="4"/>
      <c r="GF2344" s="4"/>
      <c r="GG2344" s="4"/>
      <c r="GH2344" s="4"/>
      <c r="GI2344" s="4"/>
      <c r="GJ2344" s="4">
        <v>436</v>
      </c>
      <c r="GK2344" s="4"/>
      <c r="GL2344" s="4"/>
      <c r="GM2344" s="4"/>
      <c r="GN2344" s="4"/>
      <c r="GO2344" s="4"/>
      <c r="GP2344" s="4"/>
      <c r="GQ2344" s="4"/>
      <c r="GR2344" s="4">
        <v>872</v>
      </c>
      <c r="GS2344" s="4"/>
      <c r="GT2344" s="4"/>
      <c r="GU2344" s="4"/>
      <c r="GV2344" s="4"/>
      <c r="GW2344" s="4"/>
      <c r="GX2344" s="4"/>
      <c r="GY2344" s="4"/>
      <c r="GZ2344" s="4"/>
      <c r="HA2344" s="4"/>
      <c r="HB2344" s="4"/>
      <c r="HC2344" s="4"/>
      <c r="HD2344" s="4"/>
      <c r="HE2344" s="4"/>
    </row>
    <row r="2345">
      <c r="A2345" s="2" t="s">
        <v>10924</v>
      </c>
      <c r="B2345" s="2" t="s">
        <v>970</v>
      </c>
      <c r="C2345" s="2" t="s">
        <v>300</v>
      </c>
      <c r="D2345" s="2" t="s">
        <v>971</v>
      </c>
      <c r="E2345" s="2" t="s">
        <v>972</v>
      </c>
      <c r="F2345" s="2" t="s">
        <v>10919</v>
      </c>
      <c r="G2345" s="2" t="s">
        <v>3179</v>
      </c>
      <c r="H2345" s="2" t="s">
        <v>10920</v>
      </c>
      <c r="I2345" s="2" t="s">
        <v>9865</v>
      </c>
      <c r="J2345" s="2" t="s">
        <v>1300</v>
      </c>
      <c r="K2345" s="2" t="s">
        <v>10921</v>
      </c>
      <c r="L2345" s="3">
        <v>17.47</v>
      </c>
      <c r="M2345" s="3">
        <v>18.34</v>
      </c>
      <c r="N2345" s="3">
        <v>39.99</v>
      </c>
      <c r="O2345" s="2" t="s">
        <v>240</v>
      </c>
      <c r="P2345" s="2" t="s">
        <v>233</v>
      </c>
      <c r="Q2345" s="2" t="s">
        <v>234</v>
      </c>
      <c r="R2345" s="2" t="s">
        <v>228</v>
      </c>
      <c r="S2345" s="2" t="s">
        <v>10922</v>
      </c>
      <c r="T2345" s="2" t="s">
        <v>228</v>
      </c>
      <c r="U2345" s="2" t="s">
        <v>416</v>
      </c>
      <c r="V2345" s="2" t="s">
        <v>3007</v>
      </c>
      <c r="W2345" s="2" t="s">
        <v>228</v>
      </c>
      <c r="X2345" s="2" t="s">
        <v>228</v>
      </c>
      <c r="Y2345" s="2" t="s">
        <v>4841</v>
      </c>
      <c r="Z2345" s="4">
        <v>196</v>
      </c>
      <c r="AA2345" s="4">
        <f>=ROUNDDOWN({0},0)</f>
      </c>
      <c r="AB2345" s="5"/>
      <c r="AC2345" s="2" t="s">
        <v>200</v>
      </c>
      <c r="AD2345" s="4">
        <v>222</v>
      </c>
      <c r="AE2345" s="4">
        <v>666</v>
      </c>
      <c r="AF2345" s="6">
        <v>65</v>
      </c>
      <c r="AG2345" s="6"/>
      <c r="AH2345" s="7">
        <v>1</v>
      </c>
      <c r="AI2345" s="4"/>
      <c r="AJ2345" s="4">
        <f>=ROUNDDOWN({0},0)</f>
      </c>
      <c r="AK2345" s="5"/>
      <c r="AL2345" s="2" t="s">
        <v>228</v>
      </c>
      <c r="AM2345" s="4"/>
      <c r="AN2345" s="4"/>
      <c r="AO2345" s="7"/>
      <c r="AP2345" s="4"/>
      <c r="AQ2345" s="8"/>
      <c r="AR2345" s="4"/>
      <c r="AS2345" s="8"/>
      <c r="AT2345" s="7"/>
      <c r="AU2345" s="7"/>
      <c r="AV2345" s="4" t="s">
        <v>228</v>
      </c>
      <c r="AW2345" s="8" t="s">
        <v>228</v>
      </c>
      <c r="AX2345" s="4" t="s">
        <v>228</v>
      </c>
      <c r="AY2345" s="8" t="s">
        <v>228</v>
      </c>
      <c r="AZ2345" s="7" t="s">
        <v>228</v>
      </c>
      <c r="BA2345" s="7" t="s">
        <v>228</v>
      </c>
      <c r="BB2345" s="7"/>
      <c r="BC2345" s="4" t="s">
        <v>228</v>
      </c>
      <c r="BD2345" s="8" t="s">
        <v>228</v>
      </c>
      <c r="BE2345" s="4" t="s">
        <v>228</v>
      </c>
      <c r="BF2345" s="8" t="s">
        <v>228</v>
      </c>
      <c r="BG2345" s="7" t="s">
        <v>228</v>
      </c>
      <c r="BH2345" s="7" t="s">
        <v>228</v>
      </c>
      <c r="BI2345" s="7"/>
      <c r="BJ2345" s="4"/>
      <c r="BK2345" s="8"/>
      <c r="BL2345" s="2" t="s">
        <v>228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10925</v>
      </c>
      <c r="BV2345" s="2" t="s">
        <v>228</v>
      </c>
      <c r="BW2345" s="2" t="s">
        <v>228</v>
      </c>
      <c r="BX2345" s="2" t="s">
        <v>238</v>
      </c>
      <c r="BY2345" s="2" t="s">
        <v>274</v>
      </c>
      <c r="BZ2345" s="2" t="s">
        <v>240</v>
      </c>
      <c r="CA2345" s="2" t="s">
        <v>9914</v>
      </c>
      <c r="CB2345" s="2" t="s">
        <v>228</v>
      </c>
      <c r="CC2345" s="2" t="s">
        <v>241</v>
      </c>
      <c r="CD2345" s="2" t="s">
        <v>228</v>
      </c>
      <c r="CE2345" s="4"/>
      <c r="CF2345" s="4"/>
      <c r="CG2345" s="4"/>
      <c r="CH2345" s="4">
        <v>196</v>
      </c>
      <c r="CI2345" s="4"/>
      <c r="CJ2345" s="4"/>
      <c r="CK2345" s="4"/>
      <c r="CL2345" s="4"/>
      <c r="CM2345" s="4"/>
      <c r="CN2345" s="4"/>
      <c r="CO2345" s="4"/>
      <c r="CP2345" s="4"/>
      <c r="CQ2345" s="4"/>
      <c r="CR2345" s="4"/>
      <c r="CS2345" s="4"/>
      <c r="CT2345" s="4"/>
      <c r="CU2345" s="4"/>
      <c r="CV2345" s="4"/>
      <c r="CW2345" s="4"/>
      <c r="CX2345" s="4"/>
      <c r="CY2345" s="4"/>
      <c r="CZ2345" s="4"/>
      <c r="DA2345" s="4"/>
      <c r="DB2345" s="4"/>
      <c r="DC2345" s="4"/>
      <c r="DD2345" s="4"/>
      <c r="DE2345" s="4"/>
      <c r="DF2345" s="4"/>
      <c r="DG2345" s="4"/>
      <c r="DH2345" s="4"/>
      <c r="DI2345" s="4"/>
      <c r="DJ2345" s="4"/>
      <c r="DK2345" s="4"/>
      <c r="DL2345" s="4"/>
      <c r="DM2345" s="4"/>
      <c r="DN2345" s="4"/>
      <c r="DO2345" s="4"/>
      <c r="DP2345" s="4"/>
      <c r="DQ2345" s="4"/>
      <c r="DR2345" s="4"/>
      <c r="DS2345" s="4"/>
      <c r="DT2345" s="4"/>
      <c r="DU2345" s="4"/>
      <c r="DV2345" s="4"/>
      <c r="DW2345" s="4"/>
      <c r="DX2345" s="4"/>
      <c r="DY2345" s="4"/>
      <c r="DZ2345" s="4"/>
      <c r="EA2345" s="4"/>
      <c r="EB2345" s="4"/>
      <c r="EC2345" s="4"/>
      <c r="ED2345" s="4"/>
      <c r="EE2345" s="4"/>
      <c r="EF2345" s="4"/>
      <c r="EG2345" s="4"/>
      <c r="EH2345" s="4"/>
      <c r="EI2345" s="4"/>
      <c r="EJ2345" s="4"/>
      <c r="EK2345" s="4"/>
      <c r="EL2345" s="4"/>
      <c r="EM2345" s="4"/>
      <c r="EN2345" s="4"/>
      <c r="EO2345" s="4"/>
      <c r="EP2345" s="4"/>
      <c r="EQ2345" s="4"/>
      <c r="ER2345" s="4"/>
      <c r="ES2345" s="4"/>
      <c r="ET2345" s="4"/>
      <c r="EU2345" s="4"/>
      <c r="EV2345" s="4"/>
      <c r="EW2345" s="4"/>
      <c r="EX2345" s="4"/>
      <c r="EY2345" s="4"/>
      <c r="EZ2345" s="4"/>
      <c r="FA2345" s="4"/>
      <c r="FB2345" s="4"/>
      <c r="FC2345" s="4"/>
      <c r="FD2345" s="4"/>
      <c r="FE2345" s="4"/>
      <c r="FF2345" s="4"/>
      <c r="FG2345" s="4"/>
      <c r="FH2345" s="4"/>
      <c r="FI2345" s="4"/>
      <c r="FJ2345" s="4"/>
      <c r="FK2345" s="4"/>
      <c r="FL2345" s="4"/>
      <c r="FM2345" s="4"/>
      <c r="FN2345" s="4"/>
      <c r="FO2345" s="4"/>
      <c r="FP2345" s="4"/>
      <c r="FQ2345" s="4"/>
      <c r="FR2345" s="4"/>
      <c r="FS2345" s="4"/>
      <c r="FT2345" s="4"/>
      <c r="FU2345" s="4"/>
      <c r="FV2345" s="4"/>
      <c r="FW2345" s="4"/>
      <c r="FX2345" s="4"/>
      <c r="FY2345" s="4"/>
      <c r="FZ2345" s="4"/>
      <c r="GA2345" s="4"/>
      <c r="GB2345" s="4"/>
      <c r="GC2345" s="4"/>
      <c r="GD2345" s="4"/>
      <c r="GE2345" s="4"/>
      <c r="GF2345" s="4"/>
      <c r="GG2345" s="4"/>
      <c r="GH2345" s="4"/>
      <c r="GI2345" s="4"/>
      <c r="GJ2345" s="4">
        <v>222</v>
      </c>
      <c r="GK2345" s="4"/>
      <c r="GL2345" s="4"/>
      <c r="GM2345" s="4"/>
      <c r="GN2345" s="4"/>
      <c r="GO2345" s="4"/>
      <c r="GP2345" s="4"/>
      <c r="GQ2345" s="4"/>
      <c r="GR2345" s="4">
        <v>444</v>
      </c>
      <c r="GS2345" s="4"/>
      <c r="GT2345" s="4"/>
      <c r="GU2345" s="4"/>
      <c r="GV2345" s="4"/>
      <c r="GW2345" s="4"/>
      <c r="GX2345" s="4"/>
      <c r="GY2345" s="4"/>
      <c r="GZ2345" s="4"/>
      <c r="HA2345" s="4"/>
      <c r="HB2345" s="4"/>
      <c r="HC2345" s="4"/>
      <c r="HD2345" s="4"/>
      <c r="HE2345" s="4"/>
    </row>
    <row r="2346">
      <c r="A2346" s="2" t="s">
        <v>10926</v>
      </c>
      <c r="B2346" s="2" t="s">
        <v>1150</v>
      </c>
      <c r="C2346" s="2" t="s">
        <v>1861</v>
      </c>
      <c r="D2346" s="2" t="s">
        <v>1316</v>
      </c>
      <c r="E2346" s="2" t="s">
        <v>2396</v>
      </c>
      <c r="F2346" s="2" t="s">
        <v>10927</v>
      </c>
      <c r="G2346" s="2" t="s">
        <v>10927</v>
      </c>
      <c r="H2346" s="2" t="s">
        <v>10927</v>
      </c>
      <c r="I2346" s="2" t="s">
        <v>10928</v>
      </c>
      <c r="J2346" s="2" t="s">
        <v>294</v>
      </c>
      <c r="K2346" s="2" t="s">
        <v>1967</v>
      </c>
      <c r="L2346" s="3">
        <v>102.14</v>
      </c>
      <c r="M2346" s="3">
        <v>107.25</v>
      </c>
      <c r="N2346" s="3">
        <v>299.99</v>
      </c>
      <c r="O2346" s="2" t="s">
        <v>240</v>
      </c>
      <c r="P2346" s="2" t="s">
        <v>922</v>
      </c>
      <c r="Q2346" s="2" t="s">
        <v>234</v>
      </c>
      <c r="R2346" s="2" t="s">
        <v>228</v>
      </c>
      <c r="S2346" s="2" t="s">
        <v>228</v>
      </c>
      <c r="T2346" s="2" t="s">
        <v>228</v>
      </c>
      <c r="U2346" s="2" t="s">
        <v>500</v>
      </c>
      <c r="V2346" s="2" t="s">
        <v>236</v>
      </c>
      <c r="W2346" s="2" t="s">
        <v>743</v>
      </c>
      <c r="X2346" s="2" t="s">
        <v>228</v>
      </c>
      <c r="Y2346" s="2" t="s">
        <v>2219</v>
      </c>
      <c r="Z2346" s="4">
        <v>188</v>
      </c>
      <c r="AA2346" s="4">
        <f>=ROUNDDOWN(134.285714285714,0)</f>
      </c>
      <c r="AB2346" s="5">
        <v>1.4</v>
      </c>
      <c r="AC2346" s="2" t="s">
        <v>228</v>
      </c>
      <c r="AD2346" s="4"/>
      <c r="AE2346" s="4"/>
      <c r="AF2346" s="6">
        <v>65</v>
      </c>
      <c r="AG2346" s="6"/>
      <c r="AH2346" s="7">
        <v>1</v>
      </c>
      <c r="AI2346" s="4"/>
      <c r="AJ2346" s="4">
        <f>=ROUNDDOWN({0},0)</f>
      </c>
      <c r="AK2346" s="5"/>
      <c r="AL2346" s="2" t="s">
        <v>228</v>
      </c>
      <c r="AM2346" s="4"/>
      <c r="AN2346" s="4"/>
      <c r="AO2346" s="7"/>
      <c r="AP2346" s="4"/>
      <c r="AQ2346" s="8"/>
      <c r="AR2346" s="4"/>
      <c r="AS2346" s="8"/>
      <c r="AT2346" s="7"/>
      <c r="AU2346" s="7"/>
      <c r="AV2346" s="4"/>
      <c r="AW2346" s="8"/>
      <c r="AX2346" s="4"/>
      <c r="AY2346" s="8"/>
      <c r="AZ2346" s="7"/>
      <c r="BA2346" s="7"/>
      <c r="BB2346" s="7"/>
      <c r="BC2346" s="4"/>
      <c r="BD2346" s="8"/>
      <c r="BE2346" s="4"/>
      <c r="BF2346" s="8"/>
      <c r="BG2346" s="7"/>
      <c r="BH2346" s="7"/>
      <c r="BI2346" s="7"/>
      <c r="BJ2346" s="4">
        <v>7</v>
      </c>
      <c r="BK2346" s="8">
        <v>772.08</v>
      </c>
      <c r="BL2346" s="2" t="s">
        <v>952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10929</v>
      </c>
      <c r="BV2346" s="2" t="s">
        <v>228</v>
      </c>
      <c r="BW2346" s="2" t="s">
        <v>228</v>
      </c>
      <c r="BX2346" s="2" t="s">
        <v>337</v>
      </c>
      <c r="BY2346" s="2" t="s">
        <v>274</v>
      </c>
      <c r="BZ2346" s="2" t="s">
        <v>240</v>
      </c>
      <c r="CA2346" s="2" t="s">
        <v>5733</v>
      </c>
      <c r="CB2346" s="2" t="s">
        <v>723</v>
      </c>
      <c r="CC2346" s="2" t="s">
        <v>241</v>
      </c>
      <c r="CD2346" s="2" t="s">
        <v>228</v>
      </c>
      <c r="CE2346" s="4">
        <v>188</v>
      </c>
      <c r="CF2346" s="4"/>
      <c r="CG2346" s="4"/>
      <c r="CH2346" s="4"/>
      <c r="CI2346" s="4"/>
      <c r="CJ2346" s="4"/>
      <c r="CK2346" s="4"/>
      <c r="CL2346" s="4"/>
      <c r="CM2346" s="4"/>
      <c r="CN2346" s="4"/>
      <c r="CO2346" s="4"/>
      <c r="CP2346" s="4"/>
      <c r="CQ2346" s="4"/>
      <c r="CR2346" s="4"/>
      <c r="CS2346" s="4"/>
      <c r="CT2346" s="4"/>
      <c r="CU2346" s="4"/>
      <c r="CV2346" s="4"/>
      <c r="CW2346" s="4"/>
      <c r="CX2346" s="4"/>
      <c r="CY2346" s="4"/>
      <c r="CZ2346" s="4"/>
      <c r="DA2346" s="4"/>
      <c r="DB2346" s="4"/>
      <c r="DC2346" s="4"/>
      <c r="DD2346" s="4"/>
      <c r="DE2346" s="4"/>
      <c r="DF2346" s="4"/>
      <c r="DG2346" s="4"/>
      <c r="DH2346" s="4"/>
      <c r="DI2346" s="4"/>
      <c r="DJ2346" s="4"/>
      <c r="DK2346" s="4"/>
      <c r="DL2346" s="4"/>
      <c r="DM2346" s="4"/>
      <c r="DN2346" s="4"/>
      <c r="DO2346" s="4"/>
      <c r="DP2346" s="4"/>
      <c r="DQ2346" s="4"/>
      <c r="DR2346" s="4"/>
      <c r="DS2346" s="4"/>
      <c r="DT2346" s="4"/>
      <c r="DU2346" s="4"/>
      <c r="DV2346" s="4"/>
      <c r="DW2346" s="4"/>
      <c r="DX2346" s="4"/>
      <c r="DY2346" s="4"/>
      <c r="DZ2346" s="4"/>
      <c r="EA2346" s="4"/>
      <c r="EB2346" s="4"/>
      <c r="EC2346" s="4"/>
      <c r="ED2346" s="4"/>
      <c r="EE2346" s="4"/>
      <c r="EF2346" s="4"/>
      <c r="EG2346" s="4"/>
      <c r="EH2346" s="4"/>
      <c r="EI2346" s="4"/>
      <c r="EJ2346" s="4"/>
      <c r="EK2346" s="4"/>
      <c r="EL2346" s="4"/>
      <c r="EM2346" s="4"/>
      <c r="EN2346" s="4"/>
      <c r="EO2346" s="4"/>
      <c r="EP2346" s="4"/>
      <c r="EQ2346" s="4"/>
      <c r="ER2346" s="4"/>
      <c r="ES2346" s="4"/>
      <c r="ET2346" s="4"/>
      <c r="EU2346" s="4"/>
      <c r="EV2346" s="4"/>
      <c r="EW2346" s="4"/>
      <c r="EX2346" s="4"/>
      <c r="EY2346" s="4"/>
      <c r="EZ2346" s="4"/>
      <c r="FA2346" s="4"/>
      <c r="FB2346" s="4"/>
      <c r="FC2346" s="4"/>
      <c r="FD2346" s="4"/>
      <c r="FE2346" s="4"/>
      <c r="FF2346" s="4"/>
      <c r="FG2346" s="4"/>
      <c r="FH2346" s="4"/>
      <c r="FI2346" s="4"/>
      <c r="FJ2346" s="4"/>
      <c r="FK2346" s="4"/>
      <c r="FL2346" s="4"/>
      <c r="FM2346" s="4"/>
      <c r="FN2346" s="4"/>
      <c r="FO2346" s="4"/>
      <c r="FP2346" s="4"/>
      <c r="FQ2346" s="4"/>
      <c r="FR2346" s="4"/>
      <c r="FS2346" s="4"/>
      <c r="FT2346" s="4"/>
      <c r="FU2346" s="4"/>
      <c r="FV2346" s="4"/>
      <c r="FW2346" s="4"/>
      <c r="FX2346" s="4"/>
      <c r="FY2346" s="4"/>
      <c r="FZ2346" s="4"/>
      <c r="GA2346" s="4"/>
      <c r="GB2346" s="4"/>
      <c r="GC2346" s="4"/>
      <c r="GD2346" s="4"/>
      <c r="GE2346" s="4"/>
      <c r="GF2346" s="4"/>
      <c r="GG2346" s="4"/>
      <c r="GH2346" s="4"/>
      <c r="GI2346" s="4"/>
      <c r="GJ2346" s="4"/>
      <c r="GK2346" s="4"/>
      <c r="GL2346" s="4"/>
      <c r="GM2346" s="4"/>
      <c r="GN2346" s="4"/>
      <c r="GO2346" s="4"/>
      <c r="GP2346" s="4"/>
      <c r="GQ2346" s="4"/>
      <c r="GR2346" s="4"/>
      <c r="GS2346" s="4"/>
      <c r="GT2346" s="4"/>
      <c r="GU2346" s="4"/>
      <c r="GV2346" s="4"/>
      <c r="GW2346" s="4"/>
      <c r="GX2346" s="4"/>
      <c r="GY2346" s="4"/>
      <c r="GZ2346" s="4"/>
      <c r="HA2346" s="4"/>
      <c r="HB2346" s="4"/>
      <c r="HC2346" s="4"/>
      <c r="HD2346" s="4"/>
      <c r="HE2346" s="4"/>
    </row>
    <row r="2347">
      <c r="A2347" s="2" t="s">
        <v>10930</v>
      </c>
      <c r="B2347" s="2" t="s">
        <v>970</v>
      </c>
      <c r="C2347" s="2" t="s">
        <v>1861</v>
      </c>
      <c r="D2347" s="2" t="s">
        <v>971</v>
      </c>
      <c r="E2347" s="2" t="s">
        <v>972</v>
      </c>
      <c r="F2347" s="2" t="s">
        <v>10931</v>
      </c>
      <c r="G2347" s="2" t="s">
        <v>10931</v>
      </c>
      <c r="H2347" s="2" t="s">
        <v>10931</v>
      </c>
      <c r="I2347" s="2" t="s">
        <v>10932</v>
      </c>
      <c r="J2347" s="2" t="s">
        <v>3672</v>
      </c>
      <c r="K2347" s="2" t="s">
        <v>10933</v>
      </c>
      <c r="L2347" s="3">
        <v>20.43</v>
      </c>
      <c r="M2347" s="3">
        <v>21.45</v>
      </c>
      <c r="N2347" s="3">
        <v>59.99</v>
      </c>
      <c r="O2347" s="2" t="s">
        <v>240</v>
      </c>
      <c r="P2347" s="2" t="s">
        <v>333</v>
      </c>
      <c r="Q2347" s="2" t="s">
        <v>234</v>
      </c>
      <c r="R2347" s="2" t="s">
        <v>228</v>
      </c>
      <c r="S2347" s="2" t="s">
        <v>228</v>
      </c>
      <c r="T2347" s="2" t="s">
        <v>228</v>
      </c>
      <c r="U2347" s="2" t="s">
        <v>416</v>
      </c>
      <c r="V2347" s="2" t="s">
        <v>1344</v>
      </c>
      <c r="W2347" s="2" t="s">
        <v>309</v>
      </c>
      <c r="X2347" s="2" t="s">
        <v>228</v>
      </c>
      <c r="Y2347" s="2" t="s">
        <v>1467</v>
      </c>
      <c r="Z2347" s="4">
        <v>19</v>
      </c>
      <c r="AA2347" s="4">
        <f>=ROUNDDOWN(27.1428571428571,0)</f>
      </c>
      <c r="AB2347" s="5">
        <v>0.7</v>
      </c>
      <c r="AC2347" s="2" t="s">
        <v>228</v>
      </c>
      <c r="AD2347" s="4"/>
      <c r="AE2347" s="4"/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228</v>
      </c>
      <c r="AM2347" s="4"/>
      <c r="AN2347" s="4"/>
      <c r="AO2347" s="7"/>
      <c r="AP2347" s="4"/>
      <c r="AQ2347" s="8"/>
      <c r="AR2347" s="4"/>
      <c r="AS2347" s="8"/>
      <c r="AT2347" s="7"/>
      <c r="AU2347" s="7"/>
      <c r="AV2347" s="4"/>
      <c r="AW2347" s="8"/>
      <c r="AX2347" s="4"/>
      <c r="AY2347" s="8"/>
      <c r="AZ2347" s="7"/>
      <c r="BA2347" s="7"/>
      <c r="BB2347" s="7"/>
      <c r="BC2347" s="4"/>
      <c r="BD2347" s="8"/>
      <c r="BE2347" s="4"/>
      <c r="BF2347" s="8"/>
      <c r="BG2347" s="7"/>
      <c r="BH2347" s="7"/>
      <c r="BI2347" s="7"/>
      <c r="BJ2347" s="4">
        <v>2</v>
      </c>
      <c r="BK2347" s="8">
        <v>101.98</v>
      </c>
      <c r="BL2347" s="2" t="s">
        <v>1968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10934</v>
      </c>
      <c r="BV2347" s="2" t="s">
        <v>228</v>
      </c>
      <c r="BW2347" s="2" t="s">
        <v>228</v>
      </c>
      <c r="BX2347" s="2" t="s">
        <v>337</v>
      </c>
      <c r="BY2347" s="2" t="s">
        <v>274</v>
      </c>
      <c r="BZ2347" s="2" t="s">
        <v>240</v>
      </c>
      <c r="CA2347" s="2" t="s">
        <v>1963</v>
      </c>
      <c r="CB2347" s="2" t="s">
        <v>2923</v>
      </c>
      <c r="CC2347" s="2" t="s">
        <v>241</v>
      </c>
      <c r="CD2347" s="2" t="s">
        <v>228</v>
      </c>
      <c r="CE2347" s="4">
        <v>19</v>
      </c>
      <c r="CF2347" s="4"/>
      <c r="CG2347" s="4"/>
      <c r="CH2347" s="4"/>
      <c r="CI2347" s="4"/>
      <c r="CJ2347" s="4"/>
      <c r="CK2347" s="4"/>
      <c r="CL2347" s="4"/>
      <c r="CM2347" s="4"/>
      <c r="CN2347" s="4"/>
      <c r="CO2347" s="4"/>
      <c r="CP2347" s="4"/>
      <c r="CQ2347" s="4"/>
      <c r="CR2347" s="4"/>
      <c r="CS2347" s="4"/>
      <c r="CT2347" s="4"/>
      <c r="CU2347" s="4"/>
      <c r="CV2347" s="4"/>
      <c r="CW2347" s="4"/>
      <c r="CX2347" s="4"/>
      <c r="CY2347" s="4"/>
      <c r="CZ2347" s="4"/>
      <c r="DA2347" s="4"/>
      <c r="DB2347" s="4"/>
      <c r="DC2347" s="4"/>
      <c r="DD2347" s="4"/>
      <c r="DE2347" s="4"/>
      <c r="DF2347" s="4"/>
      <c r="DG2347" s="4"/>
      <c r="DH2347" s="4"/>
      <c r="DI2347" s="4"/>
      <c r="DJ2347" s="4"/>
      <c r="DK2347" s="4"/>
      <c r="DL2347" s="4"/>
      <c r="DM2347" s="4"/>
      <c r="DN2347" s="4"/>
      <c r="DO2347" s="4"/>
      <c r="DP2347" s="4"/>
      <c r="DQ2347" s="4"/>
      <c r="DR2347" s="4"/>
      <c r="DS2347" s="4"/>
      <c r="DT2347" s="4"/>
      <c r="DU2347" s="4"/>
      <c r="DV2347" s="4"/>
      <c r="DW2347" s="4"/>
      <c r="DX2347" s="4"/>
      <c r="DY2347" s="4"/>
      <c r="DZ2347" s="4"/>
      <c r="EA2347" s="4"/>
      <c r="EB2347" s="4"/>
      <c r="EC2347" s="4"/>
      <c r="ED2347" s="4"/>
      <c r="EE2347" s="4"/>
      <c r="EF2347" s="4"/>
      <c r="EG2347" s="4"/>
      <c r="EH2347" s="4"/>
      <c r="EI2347" s="4"/>
      <c r="EJ2347" s="4"/>
      <c r="EK2347" s="4"/>
      <c r="EL2347" s="4"/>
      <c r="EM2347" s="4"/>
      <c r="EN2347" s="4"/>
      <c r="EO2347" s="4"/>
      <c r="EP2347" s="4"/>
      <c r="EQ2347" s="4"/>
      <c r="ER2347" s="4"/>
      <c r="ES2347" s="4"/>
      <c r="ET2347" s="4"/>
      <c r="EU2347" s="4"/>
      <c r="EV2347" s="4"/>
      <c r="EW2347" s="4"/>
      <c r="EX2347" s="4"/>
      <c r="EY2347" s="4"/>
      <c r="EZ2347" s="4"/>
      <c r="FA2347" s="4"/>
      <c r="FB2347" s="4"/>
      <c r="FC2347" s="4"/>
      <c r="FD2347" s="4"/>
      <c r="FE2347" s="4"/>
      <c r="FF2347" s="4"/>
      <c r="FG2347" s="4"/>
      <c r="FH2347" s="4"/>
      <c r="FI2347" s="4"/>
      <c r="FJ2347" s="4"/>
      <c r="FK2347" s="4"/>
      <c r="FL2347" s="4"/>
      <c r="FM2347" s="4"/>
      <c r="FN2347" s="4"/>
      <c r="FO2347" s="4"/>
      <c r="FP2347" s="4"/>
      <c r="FQ2347" s="4"/>
      <c r="FR2347" s="4"/>
      <c r="FS2347" s="4"/>
      <c r="FT2347" s="4"/>
      <c r="FU2347" s="4"/>
      <c r="FV2347" s="4"/>
      <c r="FW2347" s="4"/>
      <c r="FX2347" s="4"/>
      <c r="FY2347" s="4"/>
      <c r="FZ2347" s="4"/>
      <c r="GA2347" s="4"/>
      <c r="GB2347" s="4"/>
      <c r="GC2347" s="4"/>
      <c r="GD2347" s="4"/>
      <c r="GE2347" s="4"/>
      <c r="GF2347" s="4"/>
      <c r="GG2347" s="4"/>
      <c r="GH2347" s="4"/>
      <c r="GI2347" s="4"/>
      <c r="GJ2347" s="4"/>
      <c r="GK2347" s="4"/>
      <c r="GL2347" s="4"/>
      <c r="GM2347" s="4"/>
      <c r="GN2347" s="4"/>
      <c r="GO2347" s="4"/>
      <c r="GP2347" s="4"/>
      <c r="GQ2347" s="4"/>
      <c r="GR2347" s="4"/>
      <c r="GS2347" s="4"/>
      <c r="GT2347" s="4"/>
      <c r="GU2347" s="4"/>
      <c r="GV2347" s="4"/>
      <c r="GW2347" s="4"/>
      <c r="GX2347" s="4"/>
      <c r="GY2347" s="4"/>
      <c r="GZ2347" s="4"/>
      <c r="HA2347" s="4"/>
      <c r="HB2347" s="4"/>
      <c r="HC2347" s="4"/>
      <c r="HD2347" s="4"/>
      <c r="HE2347" s="4"/>
    </row>
    <row r="2348">
      <c r="A2348" s="2" t="s">
        <v>10935</v>
      </c>
      <c r="B2348" s="2" t="s">
        <v>970</v>
      </c>
      <c r="C2348" s="2" t="s">
        <v>1296</v>
      </c>
      <c r="D2348" s="2" t="s">
        <v>971</v>
      </c>
      <c r="E2348" s="2" t="s">
        <v>972</v>
      </c>
      <c r="F2348" s="2" t="s">
        <v>10936</v>
      </c>
      <c r="G2348" s="2" t="s">
        <v>2181</v>
      </c>
      <c r="H2348" s="2" t="s">
        <v>10937</v>
      </c>
      <c r="I2348" s="2" t="s">
        <v>10938</v>
      </c>
      <c r="J2348" s="2" t="s">
        <v>1300</v>
      </c>
      <c r="K2348" s="2" t="s">
        <v>480</v>
      </c>
      <c r="L2348" s="3">
        <v>22.5</v>
      </c>
      <c r="M2348" s="3">
        <v>23.62</v>
      </c>
      <c r="N2348" s="3">
        <v>49.99</v>
      </c>
      <c r="O2348" s="2" t="s">
        <v>240</v>
      </c>
      <c r="P2348" s="2" t="s">
        <v>266</v>
      </c>
      <c r="Q2348" s="2" t="s">
        <v>234</v>
      </c>
      <c r="R2348" s="2" t="s">
        <v>228</v>
      </c>
      <c r="S2348" s="2" t="s">
        <v>10939</v>
      </c>
      <c r="T2348" s="2" t="s">
        <v>228</v>
      </c>
      <c r="U2348" s="2" t="s">
        <v>228</v>
      </c>
      <c r="V2348" s="2" t="s">
        <v>1644</v>
      </c>
      <c r="W2348" s="2" t="s">
        <v>417</v>
      </c>
      <c r="X2348" s="2" t="s">
        <v>981</v>
      </c>
      <c r="Y2348" s="2" t="s">
        <v>3915</v>
      </c>
      <c r="Z2348" s="4">
        <v>491</v>
      </c>
      <c r="AA2348" s="4">
        <f>=ROUNDDOWN(40.9166666666667,0)</f>
      </c>
      <c r="AB2348" s="5">
        <v>12</v>
      </c>
      <c r="AC2348" s="2" t="s">
        <v>228</v>
      </c>
      <c r="AD2348" s="4"/>
      <c r="AE2348" s="4"/>
      <c r="AF2348" s="6">
        <v>65</v>
      </c>
      <c r="AG2348" s="6"/>
      <c r="AH2348" s="7">
        <v>1</v>
      </c>
      <c r="AI2348" s="4"/>
      <c r="AJ2348" s="4">
        <f>=ROUNDDOWN({0},0)</f>
      </c>
      <c r="AK2348" s="5"/>
      <c r="AL2348" s="2" t="s">
        <v>228</v>
      </c>
      <c r="AM2348" s="4"/>
      <c r="AN2348" s="4"/>
      <c r="AO2348" s="7"/>
      <c r="AP2348" s="4"/>
      <c r="AQ2348" s="8"/>
      <c r="AR2348" s="4"/>
      <c r="AS2348" s="8"/>
      <c r="AT2348" s="7"/>
      <c r="AU2348" s="7"/>
      <c r="AV2348" s="4" t="s">
        <v>228</v>
      </c>
      <c r="AW2348" s="8" t="s">
        <v>228</v>
      </c>
      <c r="AX2348" s="4" t="s">
        <v>228</v>
      </c>
      <c r="AY2348" s="8" t="s">
        <v>228</v>
      </c>
      <c r="AZ2348" s="7" t="s">
        <v>228</v>
      </c>
      <c r="BA2348" s="7" t="s">
        <v>228</v>
      </c>
      <c r="BB2348" s="7"/>
      <c r="BC2348" s="4" t="s">
        <v>228</v>
      </c>
      <c r="BD2348" s="8" t="s">
        <v>228</v>
      </c>
      <c r="BE2348" s="4" t="s">
        <v>228</v>
      </c>
      <c r="BF2348" s="8" t="s">
        <v>228</v>
      </c>
      <c r="BG2348" s="7" t="s">
        <v>228</v>
      </c>
      <c r="BH2348" s="7" t="s">
        <v>228</v>
      </c>
      <c r="BI2348" s="7"/>
      <c r="BJ2348" s="4">
        <v>14</v>
      </c>
      <c r="BK2348" s="8">
        <v>325.45</v>
      </c>
      <c r="BL2348" s="2" t="s">
        <v>4440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10940</v>
      </c>
      <c r="BV2348" s="2" t="s">
        <v>228</v>
      </c>
      <c r="BW2348" s="2" t="s">
        <v>228</v>
      </c>
      <c r="BX2348" s="2" t="s">
        <v>273</v>
      </c>
      <c r="BY2348" s="2" t="s">
        <v>274</v>
      </c>
      <c r="BZ2348" s="2" t="s">
        <v>240</v>
      </c>
      <c r="CA2348" s="2" t="s">
        <v>4606</v>
      </c>
      <c r="CB2348" s="2" t="s">
        <v>10941</v>
      </c>
      <c r="CC2348" s="2" t="s">
        <v>241</v>
      </c>
      <c r="CD2348" s="2" t="s">
        <v>228</v>
      </c>
      <c r="CE2348" s="4">
        <v>491</v>
      </c>
      <c r="CF2348" s="4"/>
      <c r="CG2348" s="4"/>
      <c r="CH2348" s="4"/>
      <c r="CI2348" s="4"/>
      <c r="CJ2348" s="4"/>
      <c r="CK2348" s="4"/>
      <c r="CL2348" s="4"/>
      <c r="CM2348" s="4"/>
      <c r="CN2348" s="4"/>
      <c r="CO2348" s="4"/>
      <c r="CP2348" s="4"/>
      <c r="CQ2348" s="4"/>
      <c r="CR2348" s="4"/>
      <c r="CS2348" s="4"/>
      <c r="CT2348" s="4"/>
      <c r="CU2348" s="4"/>
      <c r="CV2348" s="4"/>
      <c r="CW2348" s="4"/>
      <c r="CX2348" s="4"/>
      <c r="CY2348" s="4"/>
      <c r="CZ2348" s="4"/>
      <c r="DA2348" s="4"/>
      <c r="DB2348" s="4"/>
      <c r="DC2348" s="4"/>
      <c r="DD2348" s="4"/>
      <c r="DE2348" s="4"/>
      <c r="DF2348" s="4"/>
      <c r="DG2348" s="4"/>
      <c r="DH2348" s="4"/>
      <c r="DI2348" s="4"/>
      <c r="DJ2348" s="4"/>
      <c r="DK2348" s="4"/>
      <c r="DL2348" s="4"/>
      <c r="DM2348" s="4"/>
      <c r="DN2348" s="4"/>
      <c r="DO2348" s="4"/>
      <c r="DP2348" s="4"/>
      <c r="DQ2348" s="4"/>
      <c r="DR2348" s="4"/>
      <c r="DS2348" s="4"/>
      <c r="DT2348" s="4"/>
      <c r="DU2348" s="4"/>
      <c r="DV2348" s="4"/>
      <c r="DW2348" s="4"/>
      <c r="DX2348" s="4"/>
      <c r="DY2348" s="4"/>
      <c r="DZ2348" s="4"/>
      <c r="EA2348" s="4"/>
      <c r="EB2348" s="4"/>
      <c r="EC2348" s="4"/>
      <c r="ED2348" s="4"/>
      <c r="EE2348" s="4"/>
      <c r="EF2348" s="4"/>
      <c r="EG2348" s="4"/>
      <c r="EH2348" s="4"/>
      <c r="EI2348" s="4"/>
      <c r="EJ2348" s="4"/>
      <c r="EK2348" s="4"/>
      <c r="EL2348" s="4"/>
      <c r="EM2348" s="4"/>
      <c r="EN2348" s="4"/>
      <c r="EO2348" s="4"/>
      <c r="EP2348" s="4"/>
      <c r="EQ2348" s="4"/>
      <c r="ER2348" s="4"/>
      <c r="ES2348" s="4"/>
      <c r="ET2348" s="4"/>
      <c r="EU2348" s="4"/>
      <c r="EV2348" s="4"/>
      <c r="EW2348" s="4"/>
      <c r="EX2348" s="4"/>
      <c r="EY2348" s="4"/>
      <c r="EZ2348" s="4"/>
      <c r="FA2348" s="4"/>
      <c r="FB2348" s="4"/>
      <c r="FC2348" s="4"/>
      <c r="FD2348" s="4"/>
      <c r="FE2348" s="4"/>
      <c r="FF2348" s="4"/>
      <c r="FG2348" s="4"/>
      <c r="FH2348" s="4"/>
      <c r="FI2348" s="4"/>
      <c r="FJ2348" s="4"/>
      <c r="FK2348" s="4"/>
      <c r="FL2348" s="4"/>
      <c r="FM2348" s="4"/>
      <c r="FN2348" s="4"/>
      <c r="FO2348" s="4"/>
      <c r="FP2348" s="4"/>
      <c r="FQ2348" s="4"/>
      <c r="FR2348" s="4"/>
      <c r="FS2348" s="4"/>
      <c r="FT2348" s="4"/>
      <c r="FU2348" s="4"/>
      <c r="FV2348" s="4"/>
      <c r="FW2348" s="4"/>
      <c r="FX2348" s="4"/>
      <c r="FY2348" s="4"/>
      <c r="FZ2348" s="4"/>
      <c r="GA2348" s="4"/>
      <c r="GB2348" s="4"/>
      <c r="GC2348" s="4"/>
      <c r="GD2348" s="4"/>
      <c r="GE2348" s="4"/>
      <c r="GF2348" s="4"/>
      <c r="GG2348" s="4"/>
      <c r="GH2348" s="4"/>
      <c r="GI2348" s="4"/>
      <c r="GJ2348" s="4"/>
      <c r="GK2348" s="4"/>
      <c r="GL2348" s="4"/>
      <c r="GM2348" s="4"/>
      <c r="GN2348" s="4"/>
      <c r="GO2348" s="4"/>
      <c r="GP2348" s="4"/>
      <c r="GQ2348" s="4"/>
      <c r="GR2348" s="4"/>
      <c r="GS2348" s="4"/>
      <c r="GT2348" s="4"/>
      <c r="GU2348" s="4"/>
      <c r="GV2348" s="4"/>
      <c r="GW2348" s="4"/>
      <c r="GX2348" s="4"/>
      <c r="GY2348" s="4"/>
      <c r="GZ2348" s="4"/>
      <c r="HA2348" s="4"/>
      <c r="HB2348" s="4"/>
      <c r="HC2348" s="4"/>
      <c r="HD2348" s="4"/>
      <c r="HE2348" s="4"/>
    </row>
    <row r="2349">
      <c r="A2349" s="2" t="s">
        <v>10942</v>
      </c>
      <c r="B2349" s="2" t="s">
        <v>970</v>
      </c>
      <c r="C2349" s="2" t="s">
        <v>1296</v>
      </c>
      <c r="D2349" s="2" t="s">
        <v>971</v>
      </c>
      <c r="E2349" s="2" t="s">
        <v>972</v>
      </c>
      <c r="F2349" s="2" t="s">
        <v>10936</v>
      </c>
      <c r="G2349" s="2" t="s">
        <v>2181</v>
      </c>
      <c r="H2349" s="2" t="s">
        <v>10937</v>
      </c>
      <c r="I2349" s="2" t="s">
        <v>10938</v>
      </c>
      <c r="J2349" s="2" t="s">
        <v>1309</v>
      </c>
      <c r="K2349" s="2" t="s">
        <v>480</v>
      </c>
      <c r="L2349" s="3">
        <v>24.75</v>
      </c>
      <c r="M2349" s="3">
        <v>25.99</v>
      </c>
      <c r="N2349" s="3">
        <v>54.99</v>
      </c>
      <c r="O2349" s="2" t="s">
        <v>240</v>
      </c>
      <c r="P2349" s="2" t="s">
        <v>266</v>
      </c>
      <c r="Q2349" s="2" t="s">
        <v>234</v>
      </c>
      <c r="R2349" s="2" t="s">
        <v>228</v>
      </c>
      <c r="S2349" s="2" t="s">
        <v>10939</v>
      </c>
      <c r="T2349" s="2" t="s">
        <v>228</v>
      </c>
      <c r="U2349" s="2" t="s">
        <v>416</v>
      </c>
      <c r="V2349" s="2" t="s">
        <v>1644</v>
      </c>
      <c r="W2349" s="2" t="s">
        <v>417</v>
      </c>
      <c r="X2349" s="2" t="s">
        <v>981</v>
      </c>
      <c r="Y2349" s="2" t="s">
        <v>3915</v>
      </c>
      <c r="Z2349" s="4">
        <v>174</v>
      </c>
      <c r="AA2349" s="4">
        <f>=ROUNDDOWN(14.5,0)</f>
      </c>
      <c r="AB2349" s="5">
        <v>12</v>
      </c>
      <c r="AC2349" s="2" t="s">
        <v>173</v>
      </c>
      <c r="AD2349" s="4">
        <v>168</v>
      </c>
      <c r="AE2349" s="4">
        <v>168</v>
      </c>
      <c r="AF2349" s="6">
        <v>65</v>
      </c>
      <c r="AG2349" s="6"/>
      <c r="AH2349" s="7">
        <v>0.7742</v>
      </c>
      <c r="AI2349" s="4"/>
      <c r="AJ2349" s="4">
        <f>=ROUNDDOWN({0},0)</f>
      </c>
      <c r="AK2349" s="5"/>
      <c r="AL2349" s="2" t="s">
        <v>228</v>
      </c>
      <c r="AM2349" s="4"/>
      <c r="AN2349" s="4"/>
      <c r="AO2349" s="7"/>
      <c r="AP2349" s="4"/>
      <c r="AQ2349" s="8"/>
      <c r="AR2349" s="4"/>
      <c r="AS2349" s="8"/>
      <c r="AT2349" s="7"/>
      <c r="AU2349" s="7"/>
      <c r="AV2349" s="4" t="s">
        <v>228</v>
      </c>
      <c r="AW2349" s="8" t="s">
        <v>228</v>
      </c>
      <c r="AX2349" s="4" t="s">
        <v>228</v>
      </c>
      <c r="AY2349" s="8" t="s">
        <v>228</v>
      </c>
      <c r="AZ2349" s="7" t="s">
        <v>228</v>
      </c>
      <c r="BA2349" s="7" t="s">
        <v>228</v>
      </c>
      <c r="BB2349" s="7"/>
      <c r="BC2349" s="4" t="s">
        <v>228</v>
      </c>
      <c r="BD2349" s="8" t="s">
        <v>228</v>
      </c>
      <c r="BE2349" s="4" t="s">
        <v>228</v>
      </c>
      <c r="BF2349" s="8" t="s">
        <v>228</v>
      </c>
      <c r="BG2349" s="7" t="s">
        <v>228</v>
      </c>
      <c r="BH2349" s="7" t="s">
        <v>228</v>
      </c>
      <c r="BI2349" s="7"/>
      <c r="BJ2349" s="4">
        <v>30</v>
      </c>
      <c r="BK2349" s="8">
        <v>774.48</v>
      </c>
      <c r="BL2349" s="2" t="s">
        <v>3798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10943</v>
      </c>
      <c r="BV2349" s="2" t="s">
        <v>228</v>
      </c>
      <c r="BW2349" s="2" t="s">
        <v>228</v>
      </c>
      <c r="BX2349" s="2" t="s">
        <v>273</v>
      </c>
      <c r="BY2349" s="2" t="s">
        <v>274</v>
      </c>
      <c r="BZ2349" s="2" t="s">
        <v>240</v>
      </c>
      <c r="CA2349" s="2" t="s">
        <v>4609</v>
      </c>
      <c r="CB2349" s="2" t="s">
        <v>10944</v>
      </c>
      <c r="CC2349" s="2" t="s">
        <v>241</v>
      </c>
      <c r="CD2349" s="2" t="s">
        <v>228</v>
      </c>
      <c r="CE2349" s="4">
        <v>174</v>
      </c>
      <c r="CF2349" s="4"/>
      <c r="CG2349" s="4"/>
      <c r="CH2349" s="4"/>
      <c r="CI2349" s="4"/>
      <c r="CJ2349" s="4"/>
      <c r="CK2349" s="4"/>
      <c r="CL2349" s="4"/>
      <c r="CM2349" s="4"/>
      <c r="CN2349" s="4"/>
      <c r="CO2349" s="4"/>
      <c r="CP2349" s="4"/>
      <c r="CQ2349" s="4"/>
      <c r="CR2349" s="4"/>
      <c r="CS2349" s="4"/>
      <c r="CT2349" s="4"/>
      <c r="CU2349" s="4"/>
      <c r="CV2349" s="4"/>
      <c r="CW2349" s="4"/>
      <c r="CX2349" s="4"/>
      <c r="CY2349" s="4"/>
      <c r="CZ2349" s="4"/>
      <c r="DA2349" s="4"/>
      <c r="DB2349" s="4"/>
      <c r="DC2349" s="4"/>
      <c r="DD2349" s="4"/>
      <c r="DE2349" s="4"/>
      <c r="DF2349" s="4"/>
      <c r="DG2349" s="4"/>
      <c r="DH2349" s="4"/>
      <c r="DI2349" s="4"/>
      <c r="DJ2349" s="4"/>
      <c r="DK2349" s="4"/>
      <c r="DL2349" s="4"/>
      <c r="DM2349" s="4"/>
      <c r="DN2349" s="4"/>
      <c r="DO2349" s="4"/>
      <c r="DP2349" s="4"/>
      <c r="DQ2349" s="4"/>
      <c r="DR2349" s="4"/>
      <c r="DS2349" s="4"/>
      <c r="DT2349" s="4"/>
      <c r="DU2349" s="4"/>
      <c r="DV2349" s="4"/>
      <c r="DW2349" s="4"/>
      <c r="DX2349" s="4"/>
      <c r="DY2349" s="4"/>
      <c r="DZ2349" s="4"/>
      <c r="EA2349" s="4"/>
      <c r="EB2349" s="4"/>
      <c r="EC2349" s="4"/>
      <c r="ED2349" s="4"/>
      <c r="EE2349" s="4"/>
      <c r="EF2349" s="4"/>
      <c r="EG2349" s="4"/>
      <c r="EH2349" s="4"/>
      <c r="EI2349" s="4"/>
      <c r="EJ2349" s="4"/>
      <c r="EK2349" s="4"/>
      <c r="EL2349" s="4"/>
      <c r="EM2349" s="4"/>
      <c r="EN2349" s="4"/>
      <c r="EO2349" s="4"/>
      <c r="EP2349" s="4"/>
      <c r="EQ2349" s="4"/>
      <c r="ER2349" s="4"/>
      <c r="ES2349" s="4"/>
      <c r="ET2349" s="4"/>
      <c r="EU2349" s="4"/>
      <c r="EV2349" s="4"/>
      <c r="EW2349" s="4"/>
      <c r="EX2349" s="4"/>
      <c r="EY2349" s="4"/>
      <c r="EZ2349" s="4"/>
      <c r="FA2349" s="4"/>
      <c r="FB2349" s="4"/>
      <c r="FC2349" s="4"/>
      <c r="FD2349" s="4"/>
      <c r="FE2349" s="4"/>
      <c r="FF2349" s="4"/>
      <c r="FG2349" s="4"/>
      <c r="FH2349" s="4"/>
      <c r="FI2349" s="4">
        <v>168</v>
      </c>
      <c r="FJ2349" s="4"/>
      <c r="FK2349" s="4"/>
      <c r="FL2349" s="4"/>
      <c r="FM2349" s="4"/>
      <c r="FN2349" s="4"/>
      <c r="FO2349" s="4"/>
      <c r="FP2349" s="4"/>
      <c r="FQ2349" s="4"/>
      <c r="FR2349" s="4"/>
      <c r="FS2349" s="4"/>
      <c r="FT2349" s="4"/>
      <c r="FU2349" s="4"/>
      <c r="FV2349" s="4"/>
      <c r="FW2349" s="4"/>
      <c r="FX2349" s="4"/>
      <c r="FY2349" s="4"/>
      <c r="FZ2349" s="4"/>
      <c r="GA2349" s="4"/>
      <c r="GB2349" s="4"/>
      <c r="GC2349" s="4"/>
      <c r="GD2349" s="4"/>
      <c r="GE2349" s="4"/>
      <c r="GF2349" s="4"/>
      <c r="GG2349" s="4"/>
      <c r="GH2349" s="4"/>
      <c r="GI2349" s="4"/>
      <c r="GJ2349" s="4"/>
      <c r="GK2349" s="4"/>
      <c r="GL2349" s="4"/>
      <c r="GM2349" s="4"/>
      <c r="GN2349" s="4"/>
      <c r="GO2349" s="4"/>
      <c r="GP2349" s="4"/>
      <c r="GQ2349" s="4"/>
      <c r="GR2349" s="4"/>
      <c r="GS2349" s="4"/>
      <c r="GT2349" s="4"/>
      <c r="GU2349" s="4"/>
      <c r="GV2349" s="4"/>
      <c r="GW2349" s="4"/>
      <c r="GX2349" s="4"/>
      <c r="GY2349" s="4"/>
      <c r="GZ2349" s="4"/>
      <c r="HA2349" s="4"/>
      <c r="HB2349" s="4"/>
      <c r="HC2349" s="4"/>
      <c r="HD2349" s="4"/>
      <c r="HE2349" s="4"/>
    </row>
    <row r="2350">
      <c r="A2350" s="2" t="s">
        <v>10945</v>
      </c>
      <c r="B2350" s="2" t="s">
        <v>1150</v>
      </c>
      <c r="C2350" s="2" t="s">
        <v>300</v>
      </c>
      <c r="D2350" s="2" t="s">
        <v>1316</v>
      </c>
      <c r="E2350" s="2" t="s">
        <v>2876</v>
      </c>
      <c r="F2350" s="2" t="s">
        <v>10946</v>
      </c>
      <c r="G2350" s="2" t="s">
        <v>10947</v>
      </c>
      <c r="H2350" s="2" t="s">
        <v>989</v>
      </c>
      <c r="I2350" s="2" t="s">
        <v>7384</v>
      </c>
      <c r="J2350" s="2" t="s">
        <v>1043</v>
      </c>
      <c r="K2350" s="2" t="s">
        <v>305</v>
      </c>
      <c r="L2350" s="3">
        <v>68.6</v>
      </c>
      <c r="M2350" s="3">
        <v>72.02</v>
      </c>
      <c r="N2350" s="3">
        <v>139.99</v>
      </c>
      <c r="O2350" s="2" t="s">
        <v>240</v>
      </c>
      <c r="P2350" s="2" t="s">
        <v>266</v>
      </c>
      <c r="Q2350" s="2" t="s">
        <v>234</v>
      </c>
      <c r="R2350" s="2" t="s">
        <v>228</v>
      </c>
      <c r="S2350" s="2" t="s">
        <v>10948</v>
      </c>
      <c r="T2350" s="2" t="s">
        <v>350</v>
      </c>
      <c r="U2350" s="2" t="s">
        <v>1054</v>
      </c>
      <c r="V2350" s="2" t="s">
        <v>1302</v>
      </c>
      <c r="W2350" s="2" t="s">
        <v>463</v>
      </c>
      <c r="X2350" s="2" t="s">
        <v>4473</v>
      </c>
      <c r="Y2350" s="2" t="s">
        <v>2246</v>
      </c>
      <c r="Z2350" s="4">
        <v>169</v>
      </c>
      <c r="AA2350" s="4">
        <f>=ROUNDDOWN(42.25,0)</f>
      </c>
      <c r="AB2350" s="5">
        <v>4</v>
      </c>
      <c r="AC2350" s="2" t="s">
        <v>3815</v>
      </c>
      <c r="AD2350" s="4">
        <v>20</v>
      </c>
      <c r="AE2350" s="4">
        <v>70</v>
      </c>
      <c r="AF2350" s="6">
        <v>65</v>
      </c>
      <c r="AG2350" s="6"/>
      <c r="AH2350" s="7">
        <v>1</v>
      </c>
      <c r="AI2350" s="4"/>
      <c r="AJ2350" s="4">
        <f>=ROUNDDOWN({0},0)</f>
      </c>
      <c r="AK2350" s="5"/>
      <c r="AL2350" s="2" t="s">
        <v>228</v>
      </c>
      <c r="AM2350" s="4"/>
      <c r="AN2350" s="4"/>
      <c r="AO2350" s="7"/>
      <c r="AP2350" s="4"/>
      <c r="AQ2350" s="8"/>
      <c r="AR2350" s="4"/>
      <c r="AS2350" s="8"/>
      <c r="AT2350" s="7"/>
      <c r="AU2350" s="7"/>
      <c r="AV2350" s="4"/>
      <c r="AW2350" s="8"/>
      <c r="AX2350" s="4"/>
      <c r="AY2350" s="8"/>
      <c r="AZ2350" s="7"/>
      <c r="BA2350" s="7"/>
      <c r="BB2350" s="7"/>
      <c r="BC2350" s="4"/>
      <c r="BD2350" s="8"/>
      <c r="BE2350" s="4"/>
      <c r="BF2350" s="8"/>
      <c r="BG2350" s="7"/>
      <c r="BH2350" s="7"/>
      <c r="BI2350" s="7"/>
      <c r="BJ2350" s="4">
        <v>19</v>
      </c>
      <c r="BK2350" s="8">
        <v>1359.75</v>
      </c>
      <c r="BL2350" s="2" t="s">
        <v>527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10949</v>
      </c>
      <c r="BV2350" s="2" t="s">
        <v>228</v>
      </c>
      <c r="BW2350" s="2" t="s">
        <v>228</v>
      </c>
      <c r="BX2350" s="2" t="s">
        <v>273</v>
      </c>
      <c r="BY2350" s="2" t="s">
        <v>274</v>
      </c>
      <c r="BZ2350" s="2" t="s">
        <v>240</v>
      </c>
      <c r="CA2350" s="2" t="s">
        <v>8861</v>
      </c>
      <c r="CB2350" s="2" t="s">
        <v>10950</v>
      </c>
      <c r="CC2350" s="2" t="s">
        <v>241</v>
      </c>
      <c r="CD2350" s="2" t="s">
        <v>228</v>
      </c>
      <c r="CE2350" s="4">
        <v>169</v>
      </c>
      <c r="CF2350" s="4"/>
      <c r="CG2350" s="4"/>
      <c r="CH2350" s="4"/>
      <c r="CI2350" s="4"/>
      <c r="CJ2350" s="4"/>
      <c r="CK2350" s="4"/>
      <c r="CL2350" s="4"/>
      <c r="CM2350" s="4"/>
      <c r="CN2350" s="4"/>
      <c r="CO2350" s="4"/>
      <c r="CP2350" s="4"/>
      <c r="CQ2350" s="4"/>
      <c r="CR2350" s="4"/>
      <c r="CS2350" s="4"/>
      <c r="CT2350" s="4"/>
      <c r="CU2350" s="4"/>
      <c r="CV2350" s="4"/>
      <c r="CW2350" s="4"/>
      <c r="CX2350" s="4"/>
      <c r="CY2350" s="4"/>
      <c r="CZ2350" s="4"/>
      <c r="DA2350" s="4"/>
      <c r="DB2350" s="4"/>
      <c r="DC2350" s="4"/>
      <c r="DD2350" s="4"/>
      <c r="DE2350" s="4"/>
      <c r="DF2350" s="4"/>
      <c r="DG2350" s="4"/>
      <c r="DH2350" s="4"/>
      <c r="DI2350" s="4"/>
      <c r="DJ2350" s="4"/>
      <c r="DK2350" s="4"/>
      <c r="DL2350" s="4"/>
      <c r="DM2350" s="4"/>
      <c r="DN2350" s="4"/>
      <c r="DO2350" s="4"/>
      <c r="DP2350" s="4"/>
      <c r="DQ2350" s="4"/>
      <c r="DR2350" s="4"/>
      <c r="DS2350" s="4"/>
      <c r="DT2350" s="4"/>
      <c r="DU2350" s="4"/>
      <c r="DV2350" s="4"/>
      <c r="DW2350" s="4"/>
      <c r="DX2350" s="4"/>
      <c r="DY2350" s="4"/>
      <c r="DZ2350" s="4"/>
      <c r="EA2350" s="4"/>
      <c r="EB2350" s="4"/>
      <c r="EC2350" s="4"/>
      <c r="ED2350" s="4"/>
      <c r="EE2350" s="4">
        <v>20</v>
      </c>
      <c r="EF2350" s="4"/>
      <c r="EG2350" s="4"/>
      <c r="EH2350" s="4"/>
      <c r="EI2350" s="4"/>
      <c r="EJ2350" s="4"/>
      <c r="EK2350" s="4"/>
      <c r="EL2350" s="4"/>
      <c r="EM2350" s="4"/>
      <c r="EN2350" s="4"/>
      <c r="EO2350" s="4"/>
      <c r="EP2350" s="4"/>
      <c r="EQ2350" s="4"/>
      <c r="ER2350" s="4"/>
      <c r="ES2350" s="4"/>
      <c r="ET2350" s="4"/>
      <c r="EU2350" s="4"/>
      <c r="EV2350" s="4"/>
      <c r="EW2350" s="4"/>
      <c r="EX2350" s="4"/>
      <c r="EY2350" s="4"/>
      <c r="EZ2350" s="4"/>
      <c r="FA2350" s="4"/>
      <c r="FB2350" s="4"/>
      <c r="FC2350" s="4"/>
      <c r="FD2350" s="4"/>
      <c r="FE2350" s="4"/>
      <c r="FF2350" s="4"/>
      <c r="FG2350" s="4"/>
      <c r="FH2350" s="4"/>
      <c r="FI2350" s="4"/>
      <c r="FJ2350" s="4"/>
      <c r="FK2350" s="4"/>
      <c r="FL2350" s="4"/>
      <c r="FM2350" s="4"/>
      <c r="FN2350" s="4"/>
      <c r="FO2350" s="4"/>
      <c r="FP2350" s="4"/>
      <c r="FQ2350" s="4"/>
      <c r="FR2350" s="4"/>
      <c r="FS2350" s="4"/>
      <c r="FT2350" s="4"/>
      <c r="FU2350" s="4"/>
      <c r="FV2350" s="4"/>
      <c r="FW2350" s="4"/>
      <c r="FX2350" s="4"/>
      <c r="FY2350" s="4"/>
      <c r="FZ2350" s="4"/>
      <c r="GA2350" s="4"/>
      <c r="GB2350" s="4"/>
      <c r="GC2350" s="4"/>
      <c r="GD2350" s="4"/>
      <c r="GE2350" s="4"/>
      <c r="GF2350" s="4"/>
      <c r="GG2350" s="4"/>
      <c r="GH2350" s="4"/>
      <c r="GI2350" s="4"/>
      <c r="GJ2350" s="4"/>
      <c r="GK2350" s="4"/>
      <c r="GL2350" s="4"/>
      <c r="GM2350" s="4"/>
      <c r="GN2350" s="4"/>
      <c r="GO2350" s="4"/>
      <c r="GP2350" s="4"/>
      <c r="GQ2350" s="4">
        <v>50</v>
      </c>
      <c r="GR2350" s="4"/>
      <c r="GS2350" s="4"/>
      <c r="GT2350" s="4"/>
      <c r="GU2350" s="4"/>
      <c r="GV2350" s="4"/>
      <c r="GW2350" s="4"/>
      <c r="GX2350" s="4"/>
      <c r="GY2350" s="4"/>
      <c r="GZ2350" s="4"/>
      <c r="HA2350" s="4"/>
      <c r="HB2350" s="4"/>
      <c r="HC2350" s="4"/>
      <c r="HD2350" s="4"/>
      <c r="HE2350" s="4"/>
    </row>
    <row r="2351">
      <c r="A2351" s="2" t="s">
        <v>10951</v>
      </c>
      <c r="B2351" s="2" t="s">
        <v>1150</v>
      </c>
      <c r="C2351" s="2" t="s">
        <v>2217</v>
      </c>
      <c r="D2351" s="2" t="s">
        <v>850</v>
      </c>
      <c r="E2351" s="2" t="s">
        <v>851</v>
      </c>
      <c r="F2351" s="2" t="s">
        <v>10952</v>
      </c>
      <c r="G2351" s="2" t="s">
        <v>10952</v>
      </c>
      <c r="H2351" s="2" t="s">
        <v>10952</v>
      </c>
      <c r="I2351" s="2" t="s">
        <v>10953</v>
      </c>
      <c r="J2351" s="2" t="s">
        <v>1189</v>
      </c>
      <c r="K2351" s="2" t="s">
        <v>10954</v>
      </c>
      <c r="L2351" s="3">
        <v>102.14</v>
      </c>
      <c r="M2351" s="3">
        <v>107.25</v>
      </c>
      <c r="N2351" s="3">
        <v>299.99</v>
      </c>
      <c r="O2351" s="2" t="s">
        <v>240</v>
      </c>
      <c r="P2351" s="2" t="s">
        <v>333</v>
      </c>
      <c r="Q2351" s="2" t="s">
        <v>234</v>
      </c>
      <c r="R2351" s="2" t="s">
        <v>228</v>
      </c>
      <c r="S2351" s="2" t="s">
        <v>228</v>
      </c>
      <c r="T2351" s="2" t="s">
        <v>4823</v>
      </c>
      <c r="U2351" s="2" t="s">
        <v>228</v>
      </c>
      <c r="V2351" s="2" t="s">
        <v>236</v>
      </c>
      <c r="W2351" s="2" t="s">
        <v>417</v>
      </c>
      <c r="X2351" s="2" t="s">
        <v>228</v>
      </c>
      <c r="Y2351" s="2" t="s">
        <v>3012</v>
      </c>
      <c r="Z2351" s="4">
        <v>49</v>
      </c>
      <c r="AA2351" s="4">
        <f>=ROUNDDOWN(49,0)</f>
      </c>
      <c r="AB2351" s="5">
        <v>1</v>
      </c>
      <c r="AC2351" s="2" t="s">
        <v>228</v>
      </c>
      <c r="AD2351" s="4"/>
      <c r="AE2351" s="4"/>
      <c r="AF2351" s="6">
        <v>65</v>
      </c>
      <c r="AG2351" s="6"/>
      <c r="AH2351" s="7">
        <v>1</v>
      </c>
      <c r="AI2351" s="4"/>
      <c r="AJ2351" s="4">
        <f>=ROUNDDOWN({0},0)</f>
      </c>
      <c r="AK2351" s="5"/>
      <c r="AL2351" s="2" t="s">
        <v>228</v>
      </c>
      <c r="AM2351" s="4"/>
      <c r="AN2351" s="4"/>
      <c r="AO2351" s="7"/>
      <c r="AP2351" s="4"/>
      <c r="AQ2351" s="8"/>
      <c r="AR2351" s="4"/>
      <c r="AS2351" s="8"/>
      <c r="AT2351" s="7"/>
      <c r="AU2351" s="7"/>
      <c r="AV2351" s="4"/>
      <c r="AW2351" s="8"/>
      <c r="AX2351" s="4"/>
      <c r="AY2351" s="8"/>
      <c r="AZ2351" s="7"/>
      <c r="BA2351" s="7"/>
      <c r="BB2351" s="7"/>
      <c r="BC2351" s="4"/>
      <c r="BD2351" s="8"/>
      <c r="BE2351" s="4"/>
      <c r="BF2351" s="8"/>
      <c r="BG2351" s="7"/>
      <c r="BH2351" s="7"/>
      <c r="BI2351" s="7"/>
      <c r="BJ2351" s="4">
        <v>3</v>
      </c>
      <c r="BK2351" s="8">
        <v>180.18</v>
      </c>
      <c r="BL2351" s="2" t="s">
        <v>934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10955</v>
      </c>
      <c r="BV2351" s="2" t="s">
        <v>228</v>
      </c>
      <c r="BW2351" s="2" t="s">
        <v>228</v>
      </c>
      <c r="BX2351" s="2" t="s">
        <v>337</v>
      </c>
      <c r="BY2351" s="2" t="s">
        <v>274</v>
      </c>
      <c r="BZ2351" s="2" t="s">
        <v>240</v>
      </c>
      <c r="CA2351" s="2" t="s">
        <v>1469</v>
      </c>
      <c r="CB2351" s="2" t="s">
        <v>5478</v>
      </c>
      <c r="CC2351" s="2" t="s">
        <v>241</v>
      </c>
      <c r="CD2351" s="2" t="s">
        <v>228</v>
      </c>
      <c r="CE2351" s="4">
        <v>49</v>
      </c>
      <c r="CF2351" s="4"/>
      <c r="CG2351" s="4"/>
      <c r="CH2351" s="4"/>
      <c r="CI2351" s="4"/>
      <c r="CJ2351" s="4"/>
      <c r="CK2351" s="4"/>
      <c r="CL2351" s="4"/>
      <c r="CM2351" s="4"/>
      <c r="CN2351" s="4"/>
      <c r="CO2351" s="4"/>
      <c r="CP2351" s="4"/>
      <c r="CQ2351" s="4"/>
      <c r="CR2351" s="4"/>
      <c r="CS2351" s="4"/>
      <c r="CT2351" s="4"/>
      <c r="CU2351" s="4"/>
      <c r="CV2351" s="4"/>
      <c r="CW2351" s="4"/>
      <c r="CX2351" s="4"/>
      <c r="CY2351" s="4"/>
      <c r="CZ2351" s="4"/>
      <c r="DA2351" s="4"/>
      <c r="DB2351" s="4"/>
      <c r="DC2351" s="4"/>
      <c r="DD2351" s="4"/>
      <c r="DE2351" s="4"/>
      <c r="DF2351" s="4"/>
      <c r="DG2351" s="4"/>
      <c r="DH2351" s="4"/>
      <c r="DI2351" s="4"/>
      <c r="DJ2351" s="4"/>
      <c r="DK2351" s="4"/>
      <c r="DL2351" s="4"/>
      <c r="DM2351" s="4"/>
      <c r="DN2351" s="4"/>
      <c r="DO2351" s="4"/>
      <c r="DP2351" s="4"/>
      <c r="DQ2351" s="4"/>
      <c r="DR2351" s="4"/>
      <c r="DS2351" s="4"/>
      <c r="DT2351" s="4"/>
      <c r="DU2351" s="4"/>
      <c r="DV2351" s="4"/>
      <c r="DW2351" s="4"/>
      <c r="DX2351" s="4"/>
      <c r="DY2351" s="4"/>
      <c r="DZ2351" s="4"/>
      <c r="EA2351" s="4"/>
      <c r="EB2351" s="4"/>
      <c r="EC2351" s="4"/>
      <c r="ED2351" s="4"/>
      <c r="EE2351" s="4"/>
      <c r="EF2351" s="4"/>
      <c r="EG2351" s="4"/>
      <c r="EH2351" s="4"/>
      <c r="EI2351" s="4"/>
      <c r="EJ2351" s="4"/>
      <c r="EK2351" s="4"/>
      <c r="EL2351" s="4"/>
      <c r="EM2351" s="4"/>
      <c r="EN2351" s="4"/>
      <c r="EO2351" s="4"/>
      <c r="EP2351" s="4"/>
      <c r="EQ2351" s="4"/>
      <c r="ER2351" s="4"/>
      <c r="ES2351" s="4"/>
      <c r="ET2351" s="4"/>
      <c r="EU2351" s="4"/>
      <c r="EV2351" s="4"/>
      <c r="EW2351" s="4"/>
      <c r="EX2351" s="4"/>
      <c r="EY2351" s="4"/>
      <c r="EZ2351" s="4"/>
      <c r="FA2351" s="4"/>
      <c r="FB2351" s="4"/>
      <c r="FC2351" s="4"/>
      <c r="FD2351" s="4"/>
      <c r="FE2351" s="4"/>
      <c r="FF2351" s="4"/>
      <c r="FG2351" s="4"/>
      <c r="FH2351" s="4"/>
      <c r="FI2351" s="4"/>
      <c r="FJ2351" s="4"/>
      <c r="FK2351" s="4"/>
      <c r="FL2351" s="4"/>
      <c r="FM2351" s="4"/>
      <c r="FN2351" s="4"/>
      <c r="FO2351" s="4"/>
      <c r="FP2351" s="4"/>
      <c r="FQ2351" s="4"/>
      <c r="FR2351" s="4"/>
      <c r="FS2351" s="4"/>
      <c r="FT2351" s="4"/>
      <c r="FU2351" s="4"/>
      <c r="FV2351" s="4"/>
      <c r="FW2351" s="4"/>
      <c r="FX2351" s="4"/>
      <c r="FY2351" s="4"/>
      <c r="FZ2351" s="4"/>
      <c r="GA2351" s="4"/>
      <c r="GB2351" s="4"/>
      <c r="GC2351" s="4"/>
      <c r="GD2351" s="4"/>
      <c r="GE2351" s="4"/>
      <c r="GF2351" s="4"/>
      <c r="GG2351" s="4"/>
      <c r="GH2351" s="4"/>
      <c r="GI2351" s="4"/>
      <c r="GJ2351" s="4"/>
      <c r="GK2351" s="4"/>
      <c r="GL2351" s="4"/>
      <c r="GM2351" s="4"/>
      <c r="GN2351" s="4"/>
      <c r="GO2351" s="4"/>
      <c r="GP2351" s="4"/>
      <c r="GQ2351" s="4"/>
      <c r="GR2351" s="4"/>
      <c r="GS2351" s="4"/>
      <c r="GT2351" s="4"/>
      <c r="GU2351" s="4"/>
      <c r="GV2351" s="4"/>
      <c r="GW2351" s="4"/>
      <c r="GX2351" s="4"/>
      <c r="GY2351" s="4"/>
      <c r="GZ2351" s="4"/>
      <c r="HA2351" s="4"/>
      <c r="HB2351" s="4"/>
      <c r="HC2351" s="4"/>
      <c r="HD2351" s="4"/>
      <c r="HE2351" s="4"/>
    </row>
    <row r="2352">
      <c r="A2352" s="2" t="s">
        <v>10956</v>
      </c>
      <c r="B2352" s="2" t="s">
        <v>866</v>
      </c>
      <c r="C2352" s="2" t="s">
        <v>885</v>
      </c>
      <c r="D2352" s="2" t="s">
        <v>899</v>
      </c>
      <c r="E2352" s="2" t="s">
        <v>877</v>
      </c>
      <c r="F2352" s="2" t="s">
        <v>10957</v>
      </c>
      <c r="G2352" s="2" t="s">
        <v>10957</v>
      </c>
      <c r="H2352" s="2" t="s">
        <v>10957</v>
      </c>
      <c r="I2352" s="2" t="s">
        <v>10958</v>
      </c>
      <c r="J2352" s="2" t="s">
        <v>840</v>
      </c>
      <c r="K2352" s="2" t="s">
        <v>888</v>
      </c>
      <c r="L2352" s="3">
        <v>87.35</v>
      </c>
      <c r="M2352" s="3">
        <v>91.72</v>
      </c>
      <c r="N2352" s="3">
        <v>161.49</v>
      </c>
      <c r="O2352" s="2" t="s">
        <v>240</v>
      </c>
      <c r="P2352" s="2" t="s">
        <v>815</v>
      </c>
      <c r="Q2352" s="2" t="s">
        <v>234</v>
      </c>
      <c r="R2352" s="2" t="s">
        <v>228</v>
      </c>
      <c r="S2352" s="2" t="s">
        <v>10959</v>
      </c>
      <c r="T2352" s="2" t="s">
        <v>228</v>
      </c>
      <c r="U2352" s="2" t="s">
        <v>1170</v>
      </c>
      <c r="V2352" s="2" t="s">
        <v>891</v>
      </c>
      <c r="W2352" s="2" t="s">
        <v>463</v>
      </c>
      <c r="X2352" s="2" t="s">
        <v>892</v>
      </c>
      <c r="Y2352" s="2" t="s">
        <v>10960</v>
      </c>
      <c r="Z2352" s="4">
        <v>101</v>
      </c>
      <c r="AA2352" s="4">
        <f>=ROUNDDOWN(12.625,0)</f>
      </c>
      <c r="AB2352" s="5">
        <v>8</v>
      </c>
      <c r="AC2352" s="2" t="s">
        <v>157</v>
      </c>
      <c r="AD2352" s="4">
        <v>110</v>
      </c>
      <c r="AE2352" s="4">
        <v>110</v>
      </c>
      <c r="AF2352" s="6">
        <v>63</v>
      </c>
      <c r="AG2352" s="6"/>
      <c r="AH2352" s="7">
        <v>1</v>
      </c>
      <c r="AI2352" s="4"/>
      <c r="AJ2352" s="4">
        <f>=ROUNDDOWN({0},0)</f>
      </c>
      <c r="AK2352" s="5"/>
      <c r="AL2352" s="2" t="s">
        <v>228</v>
      </c>
      <c r="AM2352" s="4"/>
      <c r="AN2352" s="4"/>
      <c r="AO2352" s="7"/>
      <c r="AP2352" s="4"/>
      <c r="AQ2352" s="8"/>
      <c r="AR2352" s="4"/>
      <c r="AS2352" s="8"/>
      <c r="AT2352" s="7"/>
      <c r="AU2352" s="7"/>
      <c r="AV2352" s="4"/>
      <c r="AW2352" s="8"/>
      <c r="AX2352" s="4"/>
      <c r="AY2352" s="8"/>
      <c r="AZ2352" s="7"/>
      <c r="BA2352" s="7"/>
      <c r="BB2352" s="7"/>
      <c r="BC2352" s="4"/>
      <c r="BD2352" s="8"/>
      <c r="BE2352" s="4"/>
      <c r="BF2352" s="8"/>
      <c r="BG2352" s="7"/>
      <c r="BH2352" s="7"/>
      <c r="BI2352" s="7"/>
      <c r="BJ2352" s="4">
        <v>27</v>
      </c>
      <c r="BK2352" s="8">
        <v>2670.84</v>
      </c>
      <c r="BL2352" s="2" t="s">
        <v>10961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10962</v>
      </c>
      <c r="BV2352" s="2" t="s">
        <v>228</v>
      </c>
      <c r="BW2352" s="2" t="s">
        <v>228</v>
      </c>
      <c r="BX2352" s="2" t="s">
        <v>273</v>
      </c>
      <c r="BY2352" s="2" t="s">
        <v>274</v>
      </c>
      <c r="BZ2352" s="2" t="s">
        <v>240</v>
      </c>
      <c r="CA2352" s="2" t="s">
        <v>10960</v>
      </c>
      <c r="CB2352" s="2" t="s">
        <v>10963</v>
      </c>
      <c r="CC2352" s="2" t="s">
        <v>241</v>
      </c>
      <c r="CD2352" s="2" t="s">
        <v>228</v>
      </c>
      <c r="CE2352" s="4"/>
      <c r="CF2352" s="4">
        <v>101</v>
      </c>
      <c r="CG2352" s="4"/>
      <c r="CH2352" s="4"/>
      <c r="CI2352" s="4"/>
      <c r="CJ2352" s="4"/>
      <c r="CK2352" s="4"/>
      <c r="CL2352" s="4"/>
      <c r="CM2352" s="4"/>
      <c r="CN2352" s="4"/>
      <c r="CO2352" s="4"/>
      <c r="CP2352" s="4"/>
      <c r="CQ2352" s="4"/>
      <c r="CR2352" s="4"/>
      <c r="CS2352" s="4"/>
      <c r="CT2352" s="4"/>
      <c r="CU2352" s="4"/>
      <c r="CV2352" s="4"/>
      <c r="CW2352" s="4"/>
      <c r="CX2352" s="4"/>
      <c r="CY2352" s="4"/>
      <c r="CZ2352" s="4"/>
      <c r="DA2352" s="4"/>
      <c r="DB2352" s="4"/>
      <c r="DC2352" s="4"/>
      <c r="DD2352" s="4"/>
      <c r="DE2352" s="4"/>
      <c r="DF2352" s="4"/>
      <c r="DG2352" s="4"/>
      <c r="DH2352" s="4"/>
      <c r="DI2352" s="4"/>
      <c r="DJ2352" s="4"/>
      <c r="DK2352" s="4"/>
      <c r="DL2352" s="4"/>
      <c r="DM2352" s="4"/>
      <c r="DN2352" s="4"/>
      <c r="DO2352" s="4"/>
      <c r="DP2352" s="4"/>
      <c r="DQ2352" s="4"/>
      <c r="DR2352" s="4"/>
      <c r="DS2352" s="4"/>
      <c r="DT2352" s="4"/>
      <c r="DU2352" s="4"/>
      <c r="DV2352" s="4"/>
      <c r="DW2352" s="4"/>
      <c r="DX2352" s="4"/>
      <c r="DY2352" s="4"/>
      <c r="DZ2352" s="4"/>
      <c r="EA2352" s="4"/>
      <c r="EB2352" s="4"/>
      <c r="EC2352" s="4"/>
      <c r="ED2352" s="4"/>
      <c r="EE2352" s="4"/>
      <c r="EF2352" s="4"/>
      <c r="EG2352" s="4"/>
      <c r="EH2352" s="4"/>
      <c r="EI2352" s="4"/>
      <c r="EJ2352" s="4"/>
      <c r="EK2352" s="4"/>
      <c r="EL2352" s="4"/>
      <c r="EM2352" s="4"/>
      <c r="EN2352" s="4"/>
      <c r="EO2352" s="4"/>
      <c r="EP2352" s="4"/>
      <c r="EQ2352" s="4"/>
      <c r="ER2352" s="4"/>
      <c r="ES2352" s="4">
        <v>110</v>
      </c>
      <c r="ET2352" s="4"/>
      <c r="EU2352" s="4"/>
      <c r="EV2352" s="4"/>
      <c r="EW2352" s="4"/>
      <c r="EX2352" s="4"/>
      <c r="EY2352" s="4"/>
      <c r="EZ2352" s="4"/>
      <c r="FA2352" s="4"/>
      <c r="FB2352" s="4"/>
      <c r="FC2352" s="4"/>
      <c r="FD2352" s="4"/>
      <c r="FE2352" s="4"/>
      <c r="FF2352" s="4"/>
      <c r="FG2352" s="4"/>
      <c r="FH2352" s="4"/>
      <c r="FI2352" s="4"/>
      <c r="FJ2352" s="4"/>
      <c r="FK2352" s="4"/>
      <c r="FL2352" s="4"/>
      <c r="FM2352" s="4"/>
      <c r="FN2352" s="4"/>
      <c r="FO2352" s="4"/>
      <c r="FP2352" s="4"/>
      <c r="FQ2352" s="4"/>
      <c r="FR2352" s="4"/>
      <c r="FS2352" s="4"/>
      <c r="FT2352" s="4"/>
      <c r="FU2352" s="4"/>
      <c r="FV2352" s="4"/>
      <c r="FW2352" s="4"/>
      <c r="FX2352" s="4"/>
      <c r="FY2352" s="4"/>
      <c r="FZ2352" s="4"/>
      <c r="GA2352" s="4"/>
      <c r="GB2352" s="4"/>
      <c r="GC2352" s="4"/>
      <c r="GD2352" s="4"/>
      <c r="GE2352" s="4"/>
      <c r="GF2352" s="4"/>
      <c r="GG2352" s="4"/>
      <c r="GH2352" s="4"/>
      <c r="GI2352" s="4"/>
      <c r="GJ2352" s="4"/>
      <c r="GK2352" s="4"/>
      <c r="GL2352" s="4"/>
      <c r="GM2352" s="4"/>
      <c r="GN2352" s="4"/>
      <c r="GO2352" s="4"/>
      <c r="GP2352" s="4"/>
      <c r="GQ2352" s="4"/>
      <c r="GR2352" s="4"/>
      <c r="GS2352" s="4"/>
      <c r="GT2352" s="4"/>
      <c r="GU2352" s="4"/>
      <c r="GV2352" s="4"/>
      <c r="GW2352" s="4"/>
      <c r="GX2352" s="4"/>
      <c r="GY2352" s="4"/>
      <c r="GZ2352" s="4"/>
      <c r="HA2352" s="4"/>
      <c r="HB2352" s="4"/>
      <c r="HC2352" s="4"/>
      <c r="HD2352" s="4"/>
      <c r="HE2352" s="4"/>
    </row>
    <row r="2353">
      <c r="A2353" s="2" t="s">
        <v>10964</v>
      </c>
      <c r="B2353" s="2" t="s">
        <v>970</v>
      </c>
      <c r="C2353" s="2" t="s">
        <v>1111</v>
      </c>
      <c r="D2353" s="2" t="s">
        <v>971</v>
      </c>
      <c r="E2353" s="2" t="s">
        <v>1121</v>
      </c>
      <c r="F2353" s="2" t="s">
        <v>7152</v>
      </c>
      <c r="G2353" s="2" t="s">
        <v>7152</v>
      </c>
      <c r="H2353" s="2" t="s">
        <v>7152</v>
      </c>
      <c r="I2353" s="2" t="s">
        <v>10965</v>
      </c>
      <c r="J2353" s="2" t="s">
        <v>10966</v>
      </c>
      <c r="K2353" s="2" t="s">
        <v>8523</v>
      </c>
      <c r="L2353" s="3">
        <v>30</v>
      </c>
      <c r="M2353" s="3">
        <v>31.5</v>
      </c>
      <c r="N2353" s="3">
        <v>59.99</v>
      </c>
      <c r="O2353" s="2" t="s">
        <v>461</v>
      </c>
      <c r="P2353" s="2" t="s">
        <v>1116</v>
      </c>
      <c r="Q2353" s="2" t="s">
        <v>234</v>
      </c>
      <c r="R2353" s="2" t="s">
        <v>727</v>
      </c>
      <c r="S2353" s="2" t="s">
        <v>228</v>
      </c>
      <c r="T2353" s="2" t="s">
        <v>228</v>
      </c>
      <c r="U2353" s="2" t="s">
        <v>520</v>
      </c>
      <c r="V2353" s="2" t="s">
        <v>842</v>
      </c>
      <c r="W2353" s="2" t="s">
        <v>228</v>
      </c>
      <c r="X2353" s="2" t="s">
        <v>228</v>
      </c>
      <c r="Y2353" s="2" t="s">
        <v>10967</v>
      </c>
      <c r="Z2353" s="4">
        <v>772</v>
      </c>
      <c r="AA2353" s="4">
        <f>=ROUNDDOWN(1544,0)</f>
      </c>
      <c r="AB2353" s="5">
        <v>0.5</v>
      </c>
      <c r="AC2353" s="2" t="s">
        <v>228</v>
      </c>
      <c r="AD2353" s="4"/>
      <c r="AE2353" s="4"/>
      <c r="AF2353" s="6">
        <v>64</v>
      </c>
      <c r="AG2353" s="6"/>
      <c r="AH2353" s="7">
        <v>1</v>
      </c>
      <c r="AI2353" s="4"/>
      <c r="AJ2353" s="4">
        <f>=ROUNDDOWN({0},0)</f>
      </c>
      <c r="AK2353" s="5"/>
      <c r="AL2353" s="2" t="s">
        <v>228</v>
      </c>
      <c r="AM2353" s="4"/>
      <c r="AN2353" s="4"/>
      <c r="AO2353" s="7"/>
      <c r="AP2353" s="4"/>
      <c r="AQ2353" s="8"/>
      <c r="AR2353" s="4"/>
      <c r="AS2353" s="8"/>
      <c r="AT2353" s="7"/>
      <c r="AU2353" s="7"/>
      <c r="AV2353" s="4" t="s">
        <v>228</v>
      </c>
      <c r="AW2353" s="8" t="s">
        <v>228</v>
      </c>
      <c r="AX2353" s="4" t="s">
        <v>228</v>
      </c>
      <c r="AY2353" s="8" t="s">
        <v>228</v>
      </c>
      <c r="AZ2353" s="7" t="s">
        <v>228</v>
      </c>
      <c r="BA2353" s="7" t="s">
        <v>228</v>
      </c>
      <c r="BB2353" s="7"/>
      <c r="BC2353" s="4" t="s">
        <v>228</v>
      </c>
      <c r="BD2353" s="8" t="s">
        <v>228</v>
      </c>
      <c r="BE2353" s="4" t="s">
        <v>228</v>
      </c>
      <c r="BF2353" s="8" t="s">
        <v>228</v>
      </c>
      <c r="BG2353" s="7" t="s">
        <v>228</v>
      </c>
      <c r="BH2353" s="7" t="s">
        <v>228</v>
      </c>
      <c r="BI2353" s="7"/>
      <c r="BJ2353" s="4">
        <v>2</v>
      </c>
      <c r="BK2353" s="8">
        <v>60</v>
      </c>
      <c r="BL2353" s="2" t="s">
        <v>699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10968</v>
      </c>
      <c r="BV2353" s="2" t="s">
        <v>228</v>
      </c>
      <c r="BW2353" s="2" t="s">
        <v>228</v>
      </c>
      <c r="BX2353" s="2" t="s">
        <v>273</v>
      </c>
      <c r="BY2353" s="2" t="s">
        <v>274</v>
      </c>
      <c r="BZ2353" s="2" t="s">
        <v>240</v>
      </c>
      <c r="CA2353" s="2" t="s">
        <v>3720</v>
      </c>
      <c r="CB2353" s="2" t="s">
        <v>228</v>
      </c>
      <c r="CC2353" s="2" t="s">
        <v>241</v>
      </c>
      <c r="CD2353" s="2" t="s">
        <v>228</v>
      </c>
      <c r="CE2353" s="4">
        <v>772</v>
      </c>
      <c r="CF2353" s="4"/>
      <c r="CG2353" s="4"/>
      <c r="CH2353" s="4"/>
      <c r="CI2353" s="4"/>
      <c r="CJ2353" s="4"/>
      <c r="CK2353" s="4"/>
      <c r="CL2353" s="4"/>
      <c r="CM2353" s="4"/>
      <c r="CN2353" s="4"/>
      <c r="CO2353" s="4"/>
      <c r="CP2353" s="4"/>
      <c r="CQ2353" s="4"/>
      <c r="CR2353" s="4"/>
      <c r="CS2353" s="4"/>
      <c r="CT2353" s="4"/>
      <c r="CU2353" s="4"/>
      <c r="CV2353" s="4"/>
      <c r="CW2353" s="4"/>
      <c r="CX2353" s="4"/>
      <c r="CY2353" s="4"/>
      <c r="CZ2353" s="4"/>
      <c r="DA2353" s="4"/>
      <c r="DB2353" s="4"/>
      <c r="DC2353" s="4"/>
      <c r="DD2353" s="4"/>
      <c r="DE2353" s="4"/>
      <c r="DF2353" s="4"/>
      <c r="DG2353" s="4"/>
      <c r="DH2353" s="4"/>
      <c r="DI2353" s="4"/>
      <c r="DJ2353" s="4"/>
      <c r="DK2353" s="4"/>
      <c r="DL2353" s="4"/>
      <c r="DM2353" s="4"/>
      <c r="DN2353" s="4"/>
      <c r="DO2353" s="4"/>
      <c r="DP2353" s="4"/>
      <c r="DQ2353" s="4"/>
      <c r="DR2353" s="4"/>
      <c r="DS2353" s="4"/>
      <c r="DT2353" s="4"/>
      <c r="DU2353" s="4"/>
      <c r="DV2353" s="4"/>
      <c r="DW2353" s="4"/>
      <c r="DX2353" s="4"/>
      <c r="DY2353" s="4"/>
      <c r="DZ2353" s="4"/>
      <c r="EA2353" s="4"/>
      <c r="EB2353" s="4"/>
      <c r="EC2353" s="4"/>
      <c r="ED2353" s="4"/>
      <c r="EE2353" s="4"/>
      <c r="EF2353" s="4"/>
      <c r="EG2353" s="4"/>
      <c r="EH2353" s="4"/>
      <c r="EI2353" s="4"/>
      <c r="EJ2353" s="4"/>
      <c r="EK2353" s="4"/>
      <c r="EL2353" s="4"/>
      <c r="EM2353" s="4"/>
      <c r="EN2353" s="4"/>
      <c r="EO2353" s="4"/>
      <c r="EP2353" s="4"/>
      <c r="EQ2353" s="4"/>
      <c r="ER2353" s="4"/>
      <c r="ES2353" s="4"/>
      <c r="ET2353" s="4"/>
      <c r="EU2353" s="4"/>
      <c r="EV2353" s="4"/>
      <c r="EW2353" s="4"/>
      <c r="EX2353" s="4"/>
      <c r="EY2353" s="4"/>
      <c r="EZ2353" s="4"/>
      <c r="FA2353" s="4"/>
      <c r="FB2353" s="4"/>
      <c r="FC2353" s="4"/>
      <c r="FD2353" s="4"/>
      <c r="FE2353" s="4"/>
      <c r="FF2353" s="4"/>
      <c r="FG2353" s="4"/>
      <c r="FH2353" s="4"/>
      <c r="FI2353" s="4"/>
      <c r="FJ2353" s="4"/>
      <c r="FK2353" s="4"/>
      <c r="FL2353" s="4"/>
      <c r="FM2353" s="4"/>
      <c r="FN2353" s="4"/>
      <c r="FO2353" s="4"/>
      <c r="FP2353" s="4"/>
      <c r="FQ2353" s="4"/>
      <c r="FR2353" s="4"/>
      <c r="FS2353" s="4"/>
      <c r="FT2353" s="4"/>
      <c r="FU2353" s="4"/>
      <c r="FV2353" s="4"/>
      <c r="FW2353" s="4"/>
      <c r="FX2353" s="4"/>
      <c r="FY2353" s="4"/>
      <c r="FZ2353" s="4"/>
      <c r="GA2353" s="4"/>
      <c r="GB2353" s="4"/>
      <c r="GC2353" s="4"/>
      <c r="GD2353" s="4"/>
      <c r="GE2353" s="4"/>
      <c r="GF2353" s="4"/>
      <c r="GG2353" s="4"/>
      <c r="GH2353" s="4"/>
      <c r="GI2353" s="4"/>
      <c r="GJ2353" s="4"/>
      <c r="GK2353" s="4"/>
      <c r="GL2353" s="4"/>
      <c r="GM2353" s="4"/>
      <c r="GN2353" s="4"/>
      <c r="GO2353" s="4"/>
      <c r="GP2353" s="4"/>
      <c r="GQ2353" s="4"/>
      <c r="GR2353" s="4"/>
      <c r="GS2353" s="4"/>
      <c r="GT2353" s="4"/>
      <c r="GU2353" s="4"/>
      <c r="GV2353" s="4"/>
      <c r="GW2353" s="4"/>
      <c r="GX2353" s="4"/>
      <c r="GY2353" s="4"/>
      <c r="GZ2353" s="4"/>
      <c r="HA2353" s="4"/>
      <c r="HB2353" s="4"/>
      <c r="HC2353" s="4"/>
      <c r="HD2353" s="4"/>
      <c r="HE2353" s="4"/>
    </row>
    <row r="2354">
      <c r="A2354" s="2" t="s">
        <v>10969</v>
      </c>
      <c r="B2354" s="2" t="s">
        <v>970</v>
      </c>
      <c r="C2354" s="2" t="s">
        <v>1111</v>
      </c>
      <c r="D2354" s="2" t="s">
        <v>971</v>
      </c>
      <c r="E2354" s="2" t="s">
        <v>1121</v>
      </c>
      <c r="F2354" s="2" t="s">
        <v>7152</v>
      </c>
      <c r="G2354" s="2" t="s">
        <v>7152</v>
      </c>
      <c r="H2354" s="2" t="s">
        <v>7152</v>
      </c>
      <c r="I2354" s="2" t="s">
        <v>10965</v>
      </c>
      <c r="J2354" s="2" t="s">
        <v>3190</v>
      </c>
      <c r="K2354" s="2" t="s">
        <v>8523</v>
      </c>
      <c r="L2354" s="3">
        <v>30</v>
      </c>
      <c r="M2354" s="3">
        <v>31.5</v>
      </c>
      <c r="N2354" s="3">
        <v>59.99</v>
      </c>
      <c r="O2354" s="2" t="s">
        <v>461</v>
      </c>
      <c r="P2354" s="2" t="s">
        <v>1116</v>
      </c>
      <c r="Q2354" s="2" t="s">
        <v>234</v>
      </c>
      <c r="R2354" s="2" t="s">
        <v>727</v>
      </c>
      <c r="S2354" s="2" t="s">
        <v>228</v>
      </c>
      <c r="T2354" s="2" t="s">
        <v>228</v>
      </c>
      <c r="U2354" s="2" t="s">
        <v>520</v>
      </c>
      <c r="V2354" s="2" t="s">
        <v>842</v>
      </c>
      <c r="W2354" s="2" t="s">
        <v>228</v>
      </c>
      <c r="X2354" s="2" t="s">
        <v>228</v>
      </c>
      <c r="Y2354" s="2" t="s">
        <v>10967</v>
      </c>
      <c r="Z2354" s="4">
        <v>203</v>
      </c>
      <c r="AA2354" s="4">
        <f>=ROUNDDOWN({0},0)</f>
      </c>
      <c r="AB2354" s="5"/>
      <c r="AC2354" s="2" t="s">
        <v>228</v>
      </c>
      <c r="AD2354" s="4"/>
      <c r="AE2354" s="4"/>
      <c r="AF2354" s="6">
        <v>64</v>
      </c>
      <c r="AG2354" s="6"/>
      <c r="AH2354" s="7">
        <v>1</v>
      </c>
      <c r="AI2354" s="4"/>
      <c r="AJ2354" s="4">
        <f>=ROUNDDOWN({0},0)</f>
      </c>
      <c r="AK2354" s="5"/>
      <c r="AL2354" s="2" t="s">
        <v>228</v>
      </c>
      <c r="AM2354" s="4"/>
      <c r="AN2354" s="4"/>
      <c r="AO2354" s="7"/>
      <c r="AP2354" s="4"/>
      <c r="AQ2354" s="8"/>
      <c r="AR2354" s="4"/>
      <c r="AS2354" s="8"/>
      <c r="AT2354" s="7"/>
      <c r="AU2354" s="7"/>
      <c r="AV2354" s="4" t="s">
        <v>228</v>
      </c>
      <c r="AW2354" s="8" t="s">
        <v>228</v>
      </c>
      <c r="AX2354" s="4" t="s">
        <v>228</v>
      </c>
      <c r="AY2354" s="8" t="s">
        <v>228</v>
      </c>
      <c r="AZ2354" s="7" t="s">
        <v>228</v>
      </c>
      <c r="BA2354" s="7" t="s">
        <v>228</v>
      </c>
      <c r="BB2354" s="7"/>
      <c r="BC2354" s="4" t="s">
        <v>228</v>
      </c>
      <c r="BD2354" s="8" t="s">
        <v>228</v>
      </c>
      <c r="BE2354" s="4" t="s">
        <v>228</v>
      </c>
      <c r="BF2354" s="8" t="s">
        <v>228</v>
      </c>
      <c r="BG2354" s="7" t="s">
        <v>228</v>
      </c>
      <c r="BH2354" s="7" t="s">
        <v>228</v>
      </c>
      <c r="BI2354" s="7"/>
      <c r="BJ2354" s="4"/>
      <c r="BK2354" s="8"/>
      <c r="BL2354" s="2" t="s">
        <v>228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10970</v>
      </c>
      <c r="BV2354" s="2" t="s">
        <v>228</v>
      </c>
      <c r="BW2354" s="2" t="s">
        <v>228</v>
      </c>
      <c r="BX2354" s="2" t="s">
        <v>273</v>
      </c>
      <c r="BY2354" s="2" t="s">
        <v>274</v>
      </c>
      <c r="BZ2354" s="2" t="s">
        <v>240</v>
      </c>
      <c r="CA2354" s="2" t="s">
        <v>3720</v>
      </c>
      <c r="CB2354" s="2" t="s">
        <v>228</v>
      </c>
      <c r="CC2354" s="2" t="s">
        <v>241</v>
      </c>
      <c r="CD2354" s="2" t="s">
        <v>228</v>
      </c>
      <c r="CE2354" s="4">
        <v>203</v>
      </c>
      <c r="CF2354" s="4"/>
      <c r="CG2354" s="4"/>
      <c r="CH2354" s="4"/>
      <c r="CI2354" s="4"/>
      <c r="CJ2354" s="4"/>
      <c r="CK2354" s="4"/>
      <c r="CL2354" s="4"/>
      <c r="CM2354" s="4"/>
      <c r="CN2354" s="4"/>
      <c r="CO2354" s="4"/>
      <c r="CP2354" s="4"/>
      <c r="CQ2354" s="4"/>
      <c r="CR2354" s="4"/>
      <c r="CS2354" s="4"/>
      <c r="CT2354" s="4"/>
      <c r="CU2354" s="4"/>
      <c r="CV2354" s="4"/>
      <c r="CW2354" s="4"/>
      <c r="CX2354" s="4"/>
      <c r="CY2354" s="4"/>
      <c r="CZ2354" s="4"/>
      <c r="DA2354" s="4"/>
      <c r="DB2354" s="4"/>
      <c r="DC2354" s="4"/>
      <c r="DD2354" s="4"/>
      <c r="DE2354" s="4"/>
      <c r="DF2354" s="4"/>
      <c r="DG2354" s="4"/>
      <c r="DH2354" s="4"/>
      <c r="DI2354" s="4"/>
      <c r="DJ2354" s="4"/>
      <c r="DK2354" s="4"/>
      <c r="DL2354" s="4"/>
      <c r="DM2354" s="4"/>
      <c r="DN2354" s="4"/>
      <c r="DO2354" s="4"/>
      <c r="DP2354" s="4"/>
      <c r="DQ2354" s="4"/>
      <c r="DR2354" s="4"/>
      <c r="DS2354" s="4"/>
      <c r="DT2354" s="4"/>
      <c r="DU2354" s="4"/>
      <c r="DV2354" s="4"/>
      <c r="DW2354" s="4"/>
      <c r="DX2354" s="4"/>
      <c r="DY2354" s="4"/>
      <c r="DZ2354" s="4"/>
      <c r="EA2354" s="4"/>
      <c r="EB2354" s="4"/>
      <c r="EC2354" s="4"/>
      <c r="ED2354" s="4"/>
      <c r="EE2354" s="4"/>
      <c r="EF2354" s="4"/>
      <c r="EG2354" s="4"/>
      <c r="EH2354" s="4"/>
      <c r="EI2354" s="4"/>
      <c r="EJ2354" s="4"/>
      <c r="EK2354" s="4"/>
      <c r="EL2354" s="4"/>
      <c r="EM2354" s="4"/>
      <c r="EN2354" s="4"/>
      <c r="EO2354" s="4"/>
      <c r="EP2354" s="4"/>
      <c r="EQ2354" s="4"/>
      <c r="ER2354" s="4"/>
      <c r="ES2354" s="4"/>
      <c r="ET2354" s="4"/>
      <c r="EU2354" s="4"/>
      <c r="EV2354" s="4"/>
      <c r="EW2354" s="4"/>
      <c r="EX2354" s="4"/>
      <c r="EY2354" s="4"/>
      <c r="EZ2354" s="4"/>
      <c r="FA2354" s="4"/>
      <c r="FB2354" s="4"/>
      <c r="FC2354" s="4"/>
      <c r="FD2354" s="4"/>
      <c r="FE2354" s="4"/>
      <c r="FF2354" s="4"/>
      <c r="FG2354" s="4"/>
      <c r="FH2354" s="4"/>
      <c r="FI2354" s="4"/>
      <c r="FJ2354" s="4"/>
      <c r="FK2354" s="4"/>
      <c r="FL2354" s="4"/>
      <c r="FM2354" s="4"/>
      <c r="FN2354" s="4"/>
      <c r="FO2354" s="4"/>
      <c r="FP2354" s="4"/>
      <c r="FQ2354" s="4"/>
      <c r="FR2354" s="4"/>
      <c r="FS2354" s="4"/>
      <c r="FT2354" s="4"/>
      <c r="FU2354" s="4"/>
      <c r="FV2354" s="4"/>
      <c r="FW2354" s="4"/>
      <c r="FX2354" s="4"/>
      <c r="FY2354" s="4"/>
      <c r="FZ2354" s="4"/>
      <c r="GA2354" s="4"/>
      <c r="GB2354" s="4"/>
      <c r="GC2354" s="4"/>
      <c r="GD2354" s="4"/>
      <c r="GE2354" s="4"/>
      <c r="GF2354" s="4"/>
      <c r="GG2354" s="4"/>
      <c r="GH2354" s="4"/>
      <c r="GI2354" s="4"/>
      <c r="GJ2354" s="4"/>
      <c r="GK2354" s="4"/>
      <c r="GL2354" s="4"/>
      <c r="GM2354" s="4"/>
      <c r="GN2354" s="4"/>
      <c r="GO2354" s="4"/>
      <c r="GP2354" s="4"/>
      <c r="GQ2354" s="4"/>
      <c r="GR2354" s="4"/>
      <c r="GS2354" s="4"/>
      <c r="GT2354" s="4"/>
      <c r="GU2354" s="4"/>
      <c r="GV2354" s="4"/>
      <c r="GW2354" s="4"/>
      <c r="GX2354" s="4"/>
      <c r="GY2354" s="4"/>
      <c r="GZ2354" s="4"/>
      <c r="HA2354" s="4"/>
      <c r="HB2354" s="4"/>
      <c r="HC2354" s="4"/>
      <c r="HD2354" s="4"/>
      <c r="HE2354" s="4"/>
    </row>
    <row r="2355">
      <c r="A2355" s="2" t="s">
        <v>10971</v>
      </c>
      <c r="B2355" s="2" t="s">
        <v>970</v>
      </c>
      <c r="C2355" s="2" t="s">
        <v>1111</v>
      </c>
      <c r="D2355" s="2" t="s">
        <v>971</v>
      </c>
      <c r="E2355" s="2" t="s">
        <v>1121</v>
      </c>
      <c r="F2355" s="2" t="s">
        <v>7152</v>
      </c>
      <c r="G2355" s="2" t="s">
        <v>7152</v>
      </c>
      <c r="H2355" s="2" t="s">
        <v>7152</v>
      </c>
      <c r="I2355" s="2" t="s">
        <v>10965</v>
      </c>
      <c r="J2355" s="2" t="s">
        <v>3190</v>
      </c>
      <c r="K2355" s="2" t="s">
        <v>7312</v>
      </c>
      <c r="L2355" s="3">
        <v>30</v>
      </c>
      <c r="M2355" s="3">
        <v>31.5</v>
      </c>
      <c r="N2355" s="3">
        <v>59.99</v>
      </c>
      <c r="O2355" s="2" t="s">
        <v>461</v>
      </c>
      <c r="P2355" s="2" t="s">
        <v>1116</v>
      </c>
      <c r="Q2355" s="2" t="s">
        <v>234</v>
      </c>
      <c r="R2355" s="2" t="s">
        <v>727</v>
      </c>
      <c r="S2355" s="2" t="s">
        <v>228</v>
      </c>
      <c r="T2355" s="2" t="s">
        <v>415</v>
      </c>
      <c r="U2355" s="2" t="s">
        <v>520</v>
      </c>
      <c r="V2355" s="2" t="s">
        <v>842</v>
      </c>
      <c r="W2355" s="2" t="s">
        <v>228</v>
      </c>
      <c r="X2355" s="2" t="s">
        <v>463</v>
      </c>
      <c r="Y2355" s="2" t="s">
        <v>10967</v>
      </c>
      <c r="Z2355" s="4">
        <v>101</v>
      </c>
      <c r="AA2355" s="4">
        <f>=ROUNDDOWN({0},0)</f>
      </c>
      <c r="AB2355" s="5"/>
      <c r="AC2355" s="2" t="s">
        <v>228</v>
      </c>
      <c r="AD2355" s="4"/>
      <c r="AE2355" s="4"/>
      <c r="AF2355" s="6">
        <v>64</v>
      </c>
      <c r="AG2355" s="6"/>
      <c r="AH2355" s="7">
        <v>1</v>
      </c>
      <c r="AI2355" s="4"/>
      <c r="AJ2355" s="4">
        <f>=ROUNDDOWN({0},0)</f>
      </c>
      <c r="AK2355" s="5"/>
      <c r="AL2355" s="2" t="s">
        <v>228</v>
      </c>
      <c r="AM2355" s="4"/>
      <c r="AN2355" s="4"/>
      <c r="AO2355" s="7"/>
      <c r="AP2355" s="4"/>
      <c r="AQ2355" s="8"/>
      <c r="AR2355" s="4"/>
      <c r="AS2355" s="8"/>
      <c r="AT2355" s="7"/>
      <c r="AU2355" s="7"/>
      <c r="AV2355" s="4"/>
      <c r="AW2355" s="8"/>
      <c r="AX2355" s="4"/>
      <c r="AY2355" s="8"/>
      <c r="AZ2355" s="7"/>
      <c r="BA2355" s="7"/>
      <c r="BB2355" s="7"/>
      <c r="BC2355" s="4" t="s">
        <v>228</v>
      </c>
      <c r="BD2355" s="8" t="s">
        <v>228</v>
      </c>
      <c r="BE2355" s="4" t="s">
        <v>228</v>
      </c>
      <c r="BF2355" s="8" t="s">
        <v>228</v>
      </c>
      <c r="BG2355" s="7" t="s">
        <v>228</v>
      </c>
      <c r="BH2355" s="7" t="s">
        <v>228</v>
      </c>
      <c r="BI2355" s="7"/>
      <c r="BJ2355" s="4">
        <v>4</v>
      </c>
      <c r="BK2355" s="8">
        <v>120</v>
      </c>
      <c r="BL2355" s="2" t="s">
        <v>727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10972</v>
      </c>
      <c r="BV2355" s="2" t="s">
        <v>228</v>
      </c>
      <c r="BW2355" s="2" t="s">
        <v>228</v>
      </c>
      <c r="BX2355" s="2" t="s">
        <v>273</v>
      </c>
      <c r="BY2355" s="2" t="s">
        <v>274</v>
      </c>
      <c r="BZ2355" s="2" t="s">
        <v>240</v>
      </c>
      <c r="CA2355" s="2" t="s">
        <v>3720</v>
      </c>
      <c r="CB2355" s="2" t="s">
        <v>228</v>
      </c>
      <c r="CC2355" s="2" t="s">
        <v>241</v>
      </c>
      <c r="CD2355" s="2" t="s">
        <v>228</v>
      </c>
      <c r="CE2355" s="4">
        <v>101</v>
      </c>
      <c r="CF2355" s="4"/>
      <c r="CG2355" s="4"/>
      <c r="CH2355" s="4"/>
      <c r="CI2355" s="4"/>
      <c r="CJ2355" s="4"/>
      <c r="CK2355" s="4"/>
      <c r="CL2355" s="4"/>
      <c r="CM2355" s="4"/>
      <c r="CN2355" s="4"/>
      <c r="CO2355" s="4"/>
      <c r="CP2355" s="4"/>
      <c r="CQ2355" s="4"/>
      <c r="CR2355" s="4"/>
      <c r="CS2355" s="4"/>
      <c r="CT2355" s="4"/>
      <c r="CU2355" s="4"/>
      <c r="CV2355" s="4"/>
      <c r="CW2355" s="4"/>
      <c r="CX2355" s="4"/>
      <c r="CY2355" s="4"/>
      <c r="CZ2355" s="4"/>
      <c r="DA2355" s="4"/>
      <c r="DB2355" s="4"/>
      <c r="DC2355" s="4"/>
      <c r="DD2355" s="4"/>
      <c r="DE2355" s="4"/>
      <c r="DF2355" s="4"/>
      <c r="DG2355" s="4"/>
      <c r="DH2355" s="4"/>
      <c r="DI2355" s="4"/>
      <c r="DJ2355" s="4"/>
      <c r="DK2355" s="4"/>
      <c r="DL2355" s="4"/>
      <c r="DM2355" s="4"/>
      <c r="DN2355" s="4"/>
      <c r="DO2355" s="4"/>
      <c r="DP2355" s="4"/>
      <c r="DQ2355" s="4"/>
      <c r="DR2355" s="4"/>
      <c r="DS2355" s="4"/>
      <c r="DT2355" s="4"/>
      <c r="DU2355" s="4"/>
      <c r="DV2355" s="4"/>
      <c r="DW2355" s="4"/>
      <c r="DX2355" s="4"/>
      <c r="DY2355" s="4"/>
      <c r="DZ2355" s="4"/>
      <c r="EA2355" s="4"/>
      <c r="EB2355" s="4"/>
      <c r="EC2355" s="4"/>
      <c r="ED2355" s="4"/>
      <c r="EE2355" s="4"/>
      <c r="EF2355" s="4"/>
      <c r="EG2355" s="4"/>
      <c r="EH2355" s="4"/>
      <c r="EI2355" s="4"/>
      <c r="EJ2355" s="4"/>
      <c r="EK2355" s="4"/>
      <c r="EL2355" s="4"/>
      <c r="EM2355" s="4"/>
      <c r="EN2355" s="4"/>
      <c r="EO2355" s="4"/>
      <c r="EP2355" s="4"/>
      <c r="EQ2355" s="4"/>
      <c r="ER2355" s="4"/>
      <c r="ES2355" s="4"/>
      <c r="ET2355" s="4"/>
      <c r="EU2355" s="4"/>
      <c r="EV2355" s="4"/>
      <c r="EW2355" s="4"/>
      <c r="EX2355" s="4"/>
      <c r="EY2355" s="4"/>
      <c r="EZ2355" s="4"/>
      <c r="FA2355" s="4"/>
      <c r="FB2355" s="4"/>
      <c r="FC2355" s="4"/>
      <c r="FD2355" s="4"/>
      <c r="FE2355" s="4"/>
      <c r="FF2355" s="4"/>
      <c r="FG2355" s="4"/>
      <c r="FH2355" s="4"/>
      <c r="FI2355" s="4"/>
      <c r="FJ2355" s="4"/>
      <c r="FK2355" s="4"/>
      <c r="FL2355" s="4"/>
      <c r="FM2355" s="4"/>
      <c r="FN2355" s="4"/>
      <c r="FO2355" s="4"/>
      <c r="FP2355" s="4"/>
      <c r="FQ2355" s="4"/>
      <c r="FR2355" s="4"/>
      <c r="FS2355" s="4"/>
      <c r="FT2355" s="4"/>
      <c r="FU2355" s="4"/>
      <c r="FV2355" s="4"/>
      <c r="FW2355" s="4"/>
      <c r="FX2355" s="4"/>
      <c r="FY2355" s="4"/>
      <c r="FZ2355" s="4"/>
      <c r="GA2355" s="4"/>
      <c r="GB2355" s="4"/>
      <c r="GC2355" s="4"/>
      <c r="GD2355" s="4"/>
      <c r="GE2355" s="4"/>
      <c r="GF2355" s="4"/>
      <c r="GG2355" s="4"/>
      <c r="GH2355" s="4"/>
      <c r="GI2355" s="4"/>
      <c r="GJ2355" s="4"/>
      <c r="GK2355" s="4"/>
      <c r="GL2355" s="4"/>
      <c r="GM2355" s="4"/>
      <c r="GN2355" s="4"/>
      <c r="GO2355" s="4"/>
      <c r="GP2355" s="4"/>
      <c r="GQ2355" s="4"/>
      <c r="GR2355" s="4"/>
      <c r="GS2355" s="4"/>
      <c r="GT2355" s="4"/>
      <c r="GU2355" s="4"/>
      <c r="GV2355" s="4"/>
      <c r="GW2355" s="4"/>
      <c r="GX2355" s="4"/>
      <c r="GY2355" s="4"/>
      <c r="GZ2355" s="4"/>
      <c r="HA2355" s="4"/>
      <c r="HB2355" s="4"/>
      <c r="HC2355" s="4"/>
      <c r="HD2355" s="4"/>
      <c r="HE2355" s="4"/>
    </row>
    <row r="2356">
      <c r="A2356" s="2" t="s">
        <v>10973</v>
      </c>
      <c r="B2356" s="2" t="s">
        <v>223</v>
      </c>
      <c r="C2356" s="2" t="s">
        <v>300</v>
      </c>
      <c r="D2356" s="2" t="s">
        <v>1601</v>
      </c>
      <c r="E2356" s="2" t="s">
        <v>2421</v>
      </c>
      <c r="F2356" s="2" t="s">
        <v>10974</v>
      </c>
      <c r="G2356" s="2" t="s">
        <v>10975</v>
      </c>
      <c r="H2356" s="2" t="s">
        <v>10975</v>
      </c>
      <c r="I2356" s="2" t="s">
        <v>4874</v>
      </c>
      <c r="J2356" s="2" t="s">
        <v>1412</v>
      </c>
      <c r="K2356" s="2" t="s">
        <v>480</v>
      </c>
      <c r="L2356" s="3">
        <v>20.57</v>
      </c>
      <c r="M2356" s="3">
        <v>21.6</v>
      </c>
      <c r="N2356" s="3">
        <v>44.99</v>
      </c>
      <c r="O2356" s="2" t="s">
        <v>240</v>
      </c>
      <c r="P2356" s="2" t="s">
        <v>266</v>
      </c>
      <c r="Q2356" s="2" t="s">
        <v>234</v>
      </c>
      <c r="R2356" s="2" t="s">
        <v>228</v>
      </c>
      <c r="S2356" s="2" t="s">
        <v>10976</v>
      </c>
      <c r="T2356" s="2" t="s">
        <v>1608</v>
      </c>
      <c r="U2356" s="2" t="s">
        <v>416</v>
      </c>
      <c r="V2356" s="2" t="s">
        <v>236</v>
      </c>
      <c r="W2356" s="2" t="s">
        <v>309</v>
      </c>
      <c r="X2356" s="2" t="s">
        <v>228</v>
      </c>
      <c r="Y2356" s="2" t="s">
        <v>2922</v>
      </c>
      <c r="Z2356" s="4">
        <v>636</v>
      </c>
      <c r="AA2356" s="4">
        <f>=ROUNDDOWN(37.4117647058823,0)</f>
      </c>
      <c r="AB2356" s="5">
        <v>17</v>
      </c>
      <c r="AC2356" s="2" t="s">
        <v>196</v>
      </c>
      <c r="AD2356" s="4">
        <v>500</v>
      </c>
      <c r="AE2356" s="4">
        <v>780</v>
      </c>
      <c r="AF2356" s="6">
        <v>64</v>
      </c>
      <c r="AG2356" s="6"/>
      <c r="AH2356" s="7">
        <v>1</v>
      </c>
      <c r="AI2356" s="4"/>
      <c r="AJ2356" s="4">
        <f>=ROUNDDOWN({0},0)</f>
      </c>
      <c r="AK2356" s="5"/>
      <c r="AL2356" s="2" t="s">
        <v>228</v>
      </c>
      <c r="AM2356" s="4"/>
      <c r="AN2356" s="4"/>
      <c r="AO2356" s="7"/>
      <c r="AP2356" s="4"/>
      <c r="AQ2356" s="8"/>
      <c r="AR2356" s="4"/>
      <c r="AS2356" s="8"/>
      <c r="AT2356" s="7"/>
      <c r="AU2356" s="7"/>
      <c r="AV2356" s="4"/>
      <c r="AW2356" s="8"/>
      <c r="AX2356" s="4"/>
      <c r="AY2356" s="8"/>
      <c r="AZ2356" s="7"/>
      <c r="BA2356" s="7"/>
      <c r="BB2356" s="7"/>
      <c r="BC2356" s="4"/>
      <c r="BD2356" s="8"/>
      <c r="BE2356" s="4"/>
      <c r="BF2356" s="8"/>
      <c r="BG2356" s="7"/>
      <c r="BH2356" s="7"/>
      <c r="BI2356" s="7"/>
      <c r="BJ2356" s="4">
        <v>74</v>
      </c>
      <c r="BK2356" s="8">
        <v>1756.05</v>
      </c>
      <c r="BL2356" s="2" t="s">
        <v>4805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10977</v>
      </c>
      <c r="BV2356" s="2" t="s">
        <v>228</v>
      </c>
      <c r="BW2356" s="2" t="s">
        <v>228</v>
      </c>
      <c r="BX2356" s="2" t="s">
        <v>273</v>
      </c>
      <c r="BY2356" s="2" t="s">
        <v>274</v>
      </c>
      <c r="BZ2356" s="2" t="s">
        <v>240</v>
      </c>
      <c r="CA2356" s="2" t="s">
        <v>2983</v>
      </c>
      <c r="CB2356" s="2" t="s">
        <v>3125</v>
      </c>
      <c r="CC2356" s="2" t="s">
        <v>241</v>
      </c>
      <c r="CD2356" s="2" t="s">
        <v>228</v>
      </c>
      <c r="CE2356" s="4">
        <v>636</v>
      </c>
      <c r="CF2356" s="4"/>
      <c r="CG2356" s="4"/>
      <c r="CH2356" s="4"/>
      <c r="CI2356" s="4"/>
      <c r="CJ2356" s="4"/>
      <c r="CK2356" s="4"/>
      <c r="CL2356" s="4"/>
      <c r="CM2356" s="4"/>
      <c r="CN2356" s="4"/>
      <c r="CO2356" s="4"/>
      <c r="CP2356" s="4"/>
      <c r="CQ2356" s="4"/>
      <c r="CR2356" s="4"/>
      <c r="CS2356" s="4"/>
      <c r="CT2356" s="4"/>
      <c r="CU2356" s="4"/>
      <c r="CV2356" s="4"/>
      <c r="CW2356" s="4"/>
      <c r="CX2356" s="4"/>
      <c r="CY2356" s="4"/>
      <c r="CZ2356" s="4"/>
      <c r="DA2356" s="4"/>
      <c r="DB2356" s="4"/>
      <c r="DC2356" s="4"/>
      <c r="DD2356" s="4"/>
      <c r="DE2356" s="4"/>
      <c r="DF2356" s="4"/>
      <c r="DG2356" s="4"/>
      <c r="DH2356" s="4"/>
      <c r="DI2356" s="4"/>
      <c r="DJ2356" s="4"/>
      <c r="DK2356" s="4"/>
      <c r="DL2356" s="4"/>
      <c r="DM2356" s="4"/>
      <c r="DN2356" s="4"/>
      <c r="DO2356" s="4"/>
      <c r="DP2356" s="4"/>
      <c r="DQ2356" s="4"/>
      <c r="DR2356" s="4"/>
      <c r="DS2356" s="4"/>
      <c r="DT2356" s="4"/>
      <c r="DU2356" s="4"/>
      <c r="DV2356" s="4"/>
      <c r="DW2356" s="4"/>
      <c r="DX2356" s="4"/>
      <c r="DY2356" s="4"/>
      <c r="DZ2356" s="4"/>
      <c r="EA2356" s="4"/>
      <c r="EB2356" s="4"/>
      <c r="EC2356" s="4"/>
      <c r="ED2356" s="4"/>
      <c r="EE2356" s="4"/>
      <c r="EF2356" s="4"/>
      <c r="EG2356" s="4"/>
      <c r="EH2356" s="4"/>
      <c r="EI2356" s="4"/>
      <c r="EJ2356" s="4"/>
      <c r="EK2356" s="4"/>
      <c r="EL2356" s="4"/>
      <c r="EM2356" s="4"/>
      <c r="EN2356" s="4"/>
      <c r="EO2356" s="4"/>
      <c r="EP2356" s="4"/>
      <c r="EQ2356" s="4"/>
      <c r="ER2356" s="4"/>
      <c r="ES2356" s="4"/>
      <c r="ET2356" s="4"/>
      <c r="EU2356" s="4"/>
      <c r="EV2356" s="4"/>
      <c r="EW2356" s="4"/>
      <c r="EX2356" s="4"/>
      <c r="EY2356" s="4"/>
      <c r="EZ2356" s="4"/>
      <c r="FA2356" s="4"/>
      <c r="FB2356" s="4"/>
      <c r="FC2356" s="4"/>
      <c r="FD2356" s="4"/>
      <c r="FE2356" s="4"/>
      <c r="FF2356" s="4"/>
      <c r="FG2356" s="4"/>
      <c r="FH2356" s="4"/>
      <c r="FI2356" s="4"/>
      <c r="FJ2356" s="4"/>
      <c r="FK2356" s="4"/>
      <c r="FL2356" s="4"/>
      <c r="FM2356" s="4"/>
      <c r="FN2356" s="4"/>
      <c r="FO2356" s="4"/>
      <c r="FP2356" s="4"/>
      <c r="FQ2356" s="4"/>
      <c r="FR2356" s="4"/>
      <c r="FS2356" s="4"/>
      <c r="FT2356" s="4"/>
      <c r="FU2356" s="4"/>
      <c r="FV2356" s="4"/>
      <c r="FW2356" s="4"/>
      <c r="FX2356" s="4"/>
      <c r="FY2356" s="4"/>
      <c r="FZ2356" s="4"/>
      <c r="GA2356" s="4"/>
      <c r="GB2356" s="4"/>
      <c r="GC2356" s="4"/>
      <c r="GD2356" s="4"/>
      <c r="GE2356" s="4"/>
      <c r="GF2356" s="4">
        <v>500</v>
      </c>
      <c r="GG2356" s="4"/>
      <c r="GH2356" s="4"/>
      <c r="GI2356" s="4"/>
      <c r="GJ2356" s="4"/>
      <c r="GK2356" s="4"/>
      <c r="GL2356" s="4"/>
      <c r="GM2356" s="4"/>
      <c r="GN2356" s="4"/>
      <c r="GO2356" s="4"/>
      <c r="GP2356" s="4"/>
      <c r="GQ2356" s="4"/>
      <c r="GR2356" s="4"/>
      <c r="GS2356" s="4"/>
      <c r="GT2356" s="4"/>
      <c r="GU2356" s="4"/>
      <c r="GV2356" s="4"/>
      <c r="GW2356" s="4"/>
      <c r="GX2356" s="4"/>
      <c r="GY2356" s="4"/>
      <c r="GZ2356" s="4">
        <v>280</v>
      </c>
      <c r="HA2356" s="4"/>
      <c r="HB2356" s="4"/>
      <c r="HC2356" s="4"/>
      <c r="HD2356" s="4"/>
      <c r="HE2356" s="4"/>
    </row>
    <row r="2357">
      <c r="A2357" s="2" t="s">
        <v>10978</v>
      </c>
      <c r="B2357" s="2" t="s">
        <v>1150</v>
      </c>
      <c r="C2357" s="2" t="s">
        <v>1111</v>
      </c>
      <c r="D2357" s="2" t="s">
        <v>1112</v>
      </c>
      <c r="E2357" s="2" t="s">
        <v>1113</v>
      </c>
      <c r="F2357" s="2" t="s">
        <v>10979</v>
      </c>
      <c r="G2357" s="2" t="s">
        <v>10980</v>
      </c>
      <c r="H2357" s="2" t="s">
        <v>10980</v>
      </c>
      <c r="I2357" s="2" t="s">
        <v>10981</v>
      </c>
      <c r="J2357" s="2" t="s">
        <v>1189</v>
      </c>
      <c r="K2357" s="2" t="s">
        <v>10982</v>
      </c>
      <c r="L2357" s="3">
        <v>22.7</v>
      </c>
      <c r="M2357" s="3">
        <v>23.84</v>
      </c>
      <c r="N2357" s="3">
        <v>39.99</v>
      </c>
      <c r="O2357" s="2" t="s">
        <v>461</v>
      </c>
      <c r="P2357" s="2" t="s">
        <v>1116</v>
      </c>
      <c r="Q2357" s="2" t="s">
        <v>234</v>
      </c>
      <c r="R2357" s="2" t="s">
        <v>727</v>
      </c>
      <c r="S2357" s="2" t="s">
        <v>10983</v>
      </c>
      <c r="T2357" s="2" t="s">
        <v>415</v>
      </c>
      <c r="U2357" s="2" t="s">
        <v>500</v>
      </c>
      <c r="V2357" s="2" t="s">
        <v>980</v>
      </c>
      <c r="W2357" s="2" t="s">
        <v>269</v>
      </c>
      <c r="X2357" s="2" t="s">
        <v>463</v>
      </c>
      <c r="Y2357" s="2" t="s">
        <v>6296</v>
      </c>
      <c r="Z2357" s="4">
        <v>2786</v>
      </c>
      <c r="AA2357" s="4">
        <f>=ROUNDDOWN(3980,0)</f>
      </c>
      <c r="AB2357" s="5">
        <v>0.7</v>
      </c>
      <c r="AC2357" s="2" t="s">
        <v>228</v>
      </c>
      <c r="AD2357" s="4"/>
      <c r="AE2357" s="4"/>
      <c r="AF2357" s="6">
        <v>64</v>
      </c>
      <c r="AG2357" s="6"/>
      <c r="AH2357" s="7">
        <v>1</v>
      </c>
      <c r="AI2357" s="4"/>
      <c r="AJ2357" s="4">
        <f>=ROUNDDOWN({0},0)</f>
      </c>
      <c r="AK2357" s="5"/>
      <c r="AL2357" s="2" t="s">
        <v>228</v>
      </c>
      <c r="AM2357" s="4"/>
      <c r="AN2357" s="4"/>
      <c r="AO2357" s="7"/>
      <c r="AP2357" s="4"/>
      <c r="AQ2357" s="8"/>
      <c r="AR2357" s="4"/>
      <c r="AS2357" s="8"/>
      <c r="AT2357" s="7"/>
      <c r="AU2357" s="7"/>
      <c r="AV2357" s="4"/>
      <c r="AW2357" s="8"/>
      <c r="AX2357" s="4"/>
      <c r="AY2357" s="8"/>
      <c r="AZ2357" s="7"/>
      <c r="BA2357" s="7"/>
      <c r="BB2357" s="7"/>
      <c r="BC2357" s="4"/>
      <c r="BD2357" s="8"/>
      <c r="BE2357" s="4"/>
      <c r="BF2357" s="8"/>
      <c r="BG2357" s="7"/>
      <c r="BH2357" s="7"/>
      <c r="BI2357" s="7"/>
      <c r="BJ2357" s="4">
        <v>2</v>
      </c>
      <c r="BK2357" s="8">
        <v>29.28</v>
      </c>
      <c r="BL2357" s="2" t="s">
        <v>4888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10984</v>
      </c>
      <c r="BV2357" s="2" t="s">
        <v>228</v>
      </c>
      <c r="BW2357" s="2" t="s">
        <v>228</v>
      </c>
      <c r="BX2357" s="2" t="s">
        <v>273</v>
      </c>
      <c r="BY2357" s="2" t="s">
        <v>274</v>
      </c>
      <c r="BZ2357" s="2" t="s">
        <v>240</v>
      </c>
      <c r="CA2357" s="2" t="s">
        <v>2209</v>
      </c>
      <c r="CB2357" s="2" t="s">
        <v>1659</v>
      </c>
      <c r="CC2357" s="2" t="s">
        <v>241</v>
      </c>
      <c r="CD2357" s="2" t="s">
        <v>228</v>
      </c>
      <c r="CE2357" s="4">
        <v>2786</v>
      </c>
      <c r="CF2357" s="4"/>
      <c r="CG2357" s="4"/>
      <c r="CH2357" s="4"/>
      <c r="CI2357" s="4"/>
      <c r="CJ2357" s="4"/>
      <c r="CK2357" s="4"/>
      <c r="CL2357" s="4"/>
      <c r="CM2357" s="4"/>
      <c r="CN2357" s="4"/>
      <c r="CO2357" s="4"/>
      <c r="CP2357" s="4"/>
      <c r="CQ2357" s="4"/>
      <c r="CR2357" s="4"/>
      <c r="CS2357" s="4"/>
      <c r="CT2357" s="4"/>
      <c r="CU2357" s="4"/>
      <c r="CV2357" s="4"/>
      <c r="CW2357" s="4"/>
      <c r="CX2357" s="4"/>
      <c r="CY2357" s="4"/>
      <c r="CZ2357" s="4"/>
      <c r="DA2357" s="4"/>
      <c r="DB2357" s="4"/>
      <c r="DC2357" s="4"/>
      <c r="DD2357" s="4"/>
      <c r="DE2357" s="4"/>
      <c r="DF2357" s="4"/>
      <c r="DG2357" s="4"/>
      <c r="DH2357" s="4"/>
      <c r="DI2357" s="4"/>
      <c r="DJ2357" s="4"/>
      <c r="DK2357" s="4"/>
      <c r="DL2357" s="4"/>
      <c r="DM2357" s="4"/>
      <c r="DN2357" s="4"/>
      <c r="DO2357" s="4"/>
      <c r="DP2357" s="4"/>
      <c r="DQ2357" s="4"/>
      <c r="DR2357" s="4"/>
      <c r="DS2357" s="4"/>
      <c r="DT2357" s="4"/>
      <c r="DU2357" s="4"/>
      <c r="DV2357" s="4"/>
      <c r="DW2357" s="4"/>
      <c r="DX2357" s="4"/>
      <c r="DY2357" s="4"/>
      <c r="DZ2357" s="4"/>
      <c r="EA2357" s="4"/>
      <c r="EB2357" s="4"/>
      <c r="EC2357" s="4"/>
      <c r="ED2357" s="4"/>
      <c r="EE2357" s="4"/>
      <c r="EF2357" s="4"/>
      <c r="EG2357" s="4"/>
      <c r="EH2357" s="4"/>
      <c r="EI2357" s="4"/>
      <c r="EJ2357" s="4"/>
      <c r="EK2357" s="4"/>
      <c r="EL2357" s="4"/>
      <c r="EM2357" s="4"/>
      <c r="EN2357" s="4"/>
      <c r="EO2357" s="4"/>
      <c r="EP2357" s="4"/>
      <c r="EQ2357" s="4"/>
      <c r="ER2357" s="4"/>
      <c r="ES2357" s="4"/>
      <c r="ET2357" s="4"/>
      <c r="EU2357" s="4"/>
      <c r="EV2357" s="4"/>
      <c r="EW2357" s="4"/>
      <c r="EX2357" s="4"/>
      <c r="EY2357" s="4"/>
      <c r="EZ2357" s="4"/>
      <c r="FA2357" s="4"/>
      <c r="FB2357" s="4"/>
      <c r="FC2357" s="4"/>
      <c r="FD2357" s="4"/>
      <c r="FE2357" s="4"/>
      <c r="FF2357" s="4"/>
      <c r="FG2357" s="4"/>
      <c r="FH2357" s="4"/>
      <c r="FI2357" s="4"/>
      <c r="FJ2357" s="4"/>
      <c r="FK2357" s="4"/>
      <c r="FL2357" s="4"/>
      <c r="FM2357" s="4"/>
      <c r="FN2357" s="4"/>
      <c r="FO2357" s="4"/>
      <c r="FP2357" s="4"/>
      <c r="FQ2357" s="4"/>
      <c r="FR2357" s="4"/>
      <c r="FS2357" s="4"/>
      <c r="FT2357" s="4"/>
      <c r="FU2357" s="4"/>
      <c r="FV2357" s="4"/>
      <c r="FW2357" s="4"/>
      <c r="FX2357" s="4"/>
      <c r="FY2357" s="4"/>
      <c r="FZ2357" s="4"/>
      <c r="GA2357" s="4"/>
      <c r="GB2357" s="4"/>
      <c r="GC2357" s="4"/>
      <c r="GD2357" s="4"/>
      <c r="GE2357" s="4"/>
      <c r="GF2357" s="4"/>
      <c r="GG2357" s="4"/>
      <c r="GH2357" s="4"/>
      <c r="GI2357" s="4"/>
      <c r="GJ2357" s="4"/>
      <c r="GK2357" s="4"/>
      <c r="GL2357" s="4"/>
      <c r="GM2357" s="4"/>
      <c r="GN2357" s="4"/>
      <c r="GO2357" s="4"/>
      <c r="GP2357" s="4"/>
      <c r="GQ2357" s="4"/>
      <c r="GR2357" s="4"/>
      <c r="GS2357" s="4"/>
      <c r="GT2357" s="4"/>
      <c r="GU2357" s="4"/>
      <c r="GV2357" s="4"/>
      <c r="GW2357" s="4"/>
      <c r="GX2357" s="4"/>
      <c r="GY2357" s="4"/>
      <c r="GZ2357" s="4"/>
      <c r="HA2357" s="4"/>
      <c r="HB2357" s="4"/>
      <c r="HC2357" s="4"/>
      <c r="HD2357" s="4"/>
      <c r="HE2357" s="4"/>
    </row>
    <row r="2358">
      <c r="A2358" s="2" t="s">
        <v>10985</v>
      </c>
      <c r="B2358" s="2" t="s">
        <v>848</v>
      </c>
      <c r="C2358" s="2" t="s">
        <v>1111</v>
      </c>
      <c r="D2358" s="2" t="s">
        <v>1112</v>
      </c>
      <c r="E2358" s="2" t="s">
        <v>1151</v>
      </c>
      <c r="F2358" s="2" t="s">
        <v>10986</v>
      </c>
      <c r="G2358" s="2" t="s">
        <v>228</v>
      </c>
      <c r="H2358" s="2" t="s">
        <v>228</v>
      </c>
      <c r="I2358" s="2" t="s">
        <v>10987</v>
      </c>
      <c r="J2358" s="2" t="s">
        <v>294</v>
      </c>
      <c r="K2358" s="2" t="s">
        <v>10988</v>
      </c>
      <c r="L2358" s="3">
        <v>40.59</v>
      </c>
      <c r="M2358" s="3">
        <v>42.62</v>
      </c>
      <c r="N2358" s="3">
        <v>69.99</v>
      </c>
      <c r="O2358" s="2" t="s">
        <v>461</v>
      </c>
      <c r="P2358" s="2" t="s">
        <v>1116</v>
      </c>
      <c r="Q2358" s="2" t="s">
        <v>234</v>
      </c>
      <c r="R2358" s="2" t="s">
        <v>727</v>
      </c>
      <c r="S2358" s="2" t="s">
        <v>228</v>
      </c>
      <c r="T2358" s="2" t="s">
        <v>415</v>
      </c>
      <c r="U2358" s="2" t="s">
        <v>1162</v>
      </c>
      <c r="V2358" s="2" t="s">
        <v>842</v>
      </c>
      <c r="W2358" s="2" t="s">
        <v>269</v>
      </c>
      <c r="X2358" s="2" t="s">
        <v>269</v>
      </c>
      <c r="Y2358" s="2" t="s">
        <v>10963</v>
      </c>
      <c r="Z2358" s="4">
        <v>810</v>
      </c>
      <c r="AA2358" s="4">
        <f>=ROUNDDOWN(2700,0)</f>
      </c>
      <c r="AB2358" s="5">
        <v>0.3</v>
      </c>
      <c r="AC2358" s="2" t="s">
        <v>228</v>
      </c>
      <c r="AD2358" s="4"/>
      <c r="AE2358" s="4"/>
      <c r="AF2358" s="6">
        <v>64</v>
      </c>
      <c r="AG2358" s="6"/>
      <c r="AH2358" s="7">
        <v>1</v>
      </c>
      <c r="AI2358" s="4"/>
      <c r="AJ2358" s="4">
        <f>=ROUNDDOWN({0},0)</f>
      </c>
      <c r="AK2358" s="5"/>
      <c r="AL2358" s="2" t="s">
        <v>228</v>
      </c>
      <c r="AM2358" s="4"/>
      <c r="AN2358" s="4"/>
      <c r="AO2358" s="7"/>
      <c r="AP2358" s="4"/>
      <c r="AQ2358" s="8"/>
      <c r="AR2358" s="4"/>
      <c r="AS2358" s="8"/>
      <c r="AT2358" s="7"/>
      <c r="AU2358" s="7"/>
      <c r="AV2358" s="4"/>
      <c r="AW2358" s="8"/>
      <c r="AX2358" s="4"/>
      <c r="AY2358" s="8"/>
      <c r="AZ2358" s="7"/>
      <c r="BA2358" s="7"/>
      <c r="BB2358" s="7"/>
      <c r="BC2358" s="4"/>
      <c r="BD2358" s="8"/>
      <c r="BE2358" s="4"/>
      <c r="BF2358" s="8"/>
      <c r="BG2358" s="7"/>
      <c r="BH2358" s="7"/>
      <c r="BI2358" s="7"/>
      <c r="BJ2358" s="4"/>
      <c r="BK2358" s="8"/>
      <c r="BL2358" s="2" t="s">
        <v>1118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10989</v>
      </c>
      <c r="BV2358" s="2" t="s">
        <v>228</v>
      </c>
      <c r="BW2358" s="2" t="s">
        <v>228</v>
      </c>
      <c r="BX2358" s="2" t="s">
        <v>273</v>
      </c>
      <c r="BY2358" s="2" t="s">
        <v>274</v>
      </c>
      <c r="BZ2358" s="2" t="s">
        <v>240</v>
      </c>
      <c r="CA2358" s="2" t="s">
        <v>1554</v>
      </c>
      <c r="CB2358" s="2" t="s">
        <v>228</v>
      </c>
      <c r="CC2358" s="2" t="s">
        <v>241</v>
      </c>
      <c r="CD2358" s="2" t="s">
        <v>228</v>
      </c>
      <c r="CE2358" s="4">
        <v>810</v>
      </c>
      <c r="CF2358" s="4"/>
      <c r="CG2358" s="4"/>
      <c r="CH2358" s="4"/>
      <c r="CI2358" s="4"/>
      <c r="CJ2358" s="4"/>
      <c r="CK2358" s="4"/>
      <c r="CL2358" s="4"/>
      <c r="CM2358" s="4"/>
      <c r="CN2358" s="4"/>
      <c r="CO2358" s="4"/>
      <c r="CP2358" s="4"/>
      <c r="CQ2358" s="4"/>
      <c r="CR2358" s="4"/>
      <c r="CS2358" s="4"/>
      <c r="CT2358" s="4"/>
      <c r="CU2358" s="4"/>
      <c r="CV2358" s="4"/>
      <c r="CW2358" s="4"/>
      <c r="CX2358" s="4"/>
      <c r="CY2358" s="4"/>
      <c r="CZ2358" s="4"/>
      <c r="DA2358" s="4"/>
      <c r="DB2358" s="4"/>
      <c r="DC2358" s="4"/>
      <c r="DD2358" s="4"/>
      <c r="DE2358" s="4"/>
      <c r="DF2358" s="4"/>
      <c r="DG2358" s="4"/>
      <c r="DH2358" s="4"/>
      <c r="DI2358" s="4"/>
      <c r="DJ2358" s="4"/>
      <c r="DK2358" s="4"/>
      <c r="DL2358" s="4"/>
      <c r="DM2358" s="4"/>
      <c r="DN2358" s="4"/>
      <c r="DO2358" s="4"/>
      <c r="DP2358" s="4"/>
      <c r="DQ2358" s="4"/>
      <c r="DR2358" s="4"/>
      <c r="DS2358" s="4"/>
      <c r="DT2358" s="4"/>
      <c r="DU2358" s="4"/>
      <c r="DV2358" s="4"/>
      <c r="DW2358" s="4"/>
      <c r="DX2358" s="4"/>
      <c r="DY2358" s="4"/>
      <c r="DZ2358" s="4"/>
      <c r="EA2358" s="4"/>
      <c r="EB2358" s="4"/>
      <c r="EC2358" s="4"/>
      <c r="ED2358" s="4"/>
      <c r="EE2358" s="4"/>
      <c r="EF2358" s="4"/>
      <c r="EG2358" s="4"/>
      <c r="EH2358" s="4"/>
      <c r="EI2358" s="4"/>
      <c r="EJ2358" s="4"/>
      <c r="EK2358" s="4"/>
      <c r="EL2358" s="4"/>
      <c r="EM2358" s="4"/>
      <c r="EN2358" s="4"/>
      <c r="EO2358" s="4"/>
      <c r="EP2358" s="4"/>
      <c r="EQ2358" s="4"/>
      <c r="ER2358" s="4"/>
      <c r="ES2358" s="4"/>
      <c r="ET2358" s="4"/>
      <c r="EU2358" s="4"/>
      <c r="EV2358" s="4"/>
      <c r="EW2358" s="4"/>
      <c r="EX2358" s="4"/>
      <c r="EY2358" s="4"/>
      <c r="EZ2358" s="4"/>
      <c r="FA2358" s="4"/>
      <c r="FB2358" s="4"/>
      <c r="FC2358" s="4"/>
      <c r="FD2358" s="4"/>
      <c r="FE2358" s="4"/>
      <c r="FF2358" s="4"/>
      <c r="FG2358" s="4"/>
      <c r="FH2358" s="4"/>
      <c r="FI2358" s="4"/>
      <c r="FJ2358" s="4"/>
      <c r="FK2358" s="4"/>
      <c r="FL2358" s="4"/>
      <c r="FM2358" s="4"/>
      <c r="FN2358" s="4"/>
      <c r="FO2358" s="4"/>
      <c r="FP2358" s="4"/>
      <c r="FQ2358" s="4"/>
      <c r="FR2358" s="4"/>
      <c r="FS2358" s="4"/>
      <c r="FT2358" s="4"/>
      <c r="FU2358" s="4"/>
      <c r="FV2358" s="4"/>
      <c r="FW2358" s="4"/>
      <c r="FX2358" s="4"/>
      <c r="FY2358" s="4"/>
      <c r="FZ2358" s="4"/>
      <c r="GA2358" s="4"/>
      <c r="GB2358" s="4"/>
      <c r="GC2358" s="4"/>
      <c r="GD2358" s="4"/>
      <c r="GE2358" s="4"/>
      <c r="GF2358" s="4"/>
      <c r="GG2358" s="4"/>
      <c r="GH2358" s="4"/>
      <c r="GI2358" s="4"/>
      <c r="GJ2358" s="4"/>
      <c r="GK2358" s="4"/>
      <c r="GL2358" s="4"/>
      <c r="GM2358" s="4"/>
      <c r="GN2358" s="4"/>
      <c r="GO2358" s="4"/>
      <c r="GP2358" s="4"/>
      <c r="GQ2358" s="4"/>
      <c r="GR2358" s="4"/>
      <c r="GS2358" s="4"/>
      <c r="GT2358" s="4"/>
      <c r="GU2358" s="4"/>
      <c r="GV2358" s="4"/>
      <c r="GW2358" s="4"/>
      <c r="GX2358" s="4"/>
      <c r="GY2358" s="4"/>
      <c r="GZ2358" s="4"/>
      <c r="HA2358" s="4"/>
      <c r="HB2358" s="4"/>
      <c r="HC2358" s="4"/>
      <c r="HD2358" s="4"/>
      <c r="HE2358" s="4"/>
    </row>
    <row r="2359">
      <c r="A2359" s="2" t="s">
        <v>10990</v>
      </c>
      <c r="B2359" s="2" t="s">
        <v>1150</v>
      </c>
      <c r="C2359" s="2" t="s">
        <v>300</v>
      </c>
      <c r="D2359" s="2" t="s">
        <v>1112</v>
      </c>
      <c r="E2359" s="2" t="s">
        <v>1165</v>
      </c>
      <c r="F2359" s="2" t="s">
        <v>10991</v>
      </c>
      <c r="G2359" s="2" t="s">
        <v>10992</v>
      </c>
      <c r="H2359" s="2" t="s">
        <v>10993</v>
      </c>
      <c r="I2359" s="2" t="s">
        <v>10994</v>
      </c>
      <c r="J2359" s="2" t="s">
        <v>312</v>
      </c>
      <c r="K2359" s="2" t="s">
        <v>829</v>
      </c>
      <c r="L2359" s="3">
        <v>63.7</v>
      </c>
      <c r="M2359" s="3">
        <v>66.88</v>
      </c>
      <c r="N2359" s="3">
        <v>129.99</v>
      </c>
      <c r="O2359" s="2" t="s">
        <v>240</v>
      </c>
      <c r="P2359" s="2" t="s">
        <v>266</v>
      </c>
      <c r="Q2359" s="2" t="s">
        <v>234</v>
      </c>
      <c r="R2359" s="2" t="s">
        <v>228</v>
      </c>
      <c r="S2359" s="2" t="s">
        <v>10995</v>
      </c>
      <c r="T2359" s="2" t="s">
        <v>228</v>
      </c>
      <c r="U2359" s="2" t="s">
        <v>1331</v>
      </c>
      <c r="V2359" s="2" t="s">
        <v>236</v>
      </c>
      <c r="W2359" s="2" t="s">
        <v>417</v>
      </c>
      <c r="X2359" s="2" t="s">
        <v>10996</v>
      </c>
      <c r="Y2359" s="2" t="s">
        <v>10997</v>
      </c>
      <c r="Z2359" s="4">
        <v>271</v>
      </c>
      <c r="AA2359" s="4">
        <f>=ROUNDDOWN(38.7142857142857,0)</f>
      </c>
      <c r="AB2359" s="5">
        <v>7</v>
      </c>
      <c r="AC2359" s="2" t="s">
        <v>228</v>
      </c>
      <c r="AD2359" s="4"/>
      <c r="AE2359" s="4"/>
      <c r="AF2359" s="6">
        <v>65</v>
      </c>
      <c r="AG2359" s="6"/>
      <c r="AH2359" s="7">
        <v>1</v>
      </c>
      <c r="AI2359" s="4"/>
      <c r="AJ2359" s="4">
        <f>=ROUNDDOWN({0},0)</f>
      </c>
      <c r="AK2359" s="5"/>
      <c r="AL2359" s="2" t="s">
        <v>228</v>
      </c>
      <c r="AM2359" s="4"/>
      <c r="AN2359" s="4"/>
      <c r="AO2359" s="7"/>
      <c r="AP2359" s="4"/>
      <c r="AQ2359" s="8"/>
      <c r="AR2359" s="4"/>
      <c r="AS2359" s="8"/>
      <c r="AT2359" s="7"/>
      <c r="AU2359" s="7"/>
      <c r="AV2359" s="4"/>
      <c r="AW2359" s="8"/>
      <c r="AX2359" s="4"/>
      <c r="AY2359" s="8"/>
      <c r="AZ2359" s="7"/>
      <c r="BA2359" s="7"/>
      <c r="BB2359" s="7"/>
      <c r="BC2359" s="4"/>
      <c r="BD2359" s="8"/>
      <c r="BE2359" s="4"/>
      <c r="BF2359" s="8"/>
      <c r="BG2359" s="7"/>
      <c r="BH2359" s="7"/>
      <c r="BI2359" s="7"/>
      <c r="BJ2359" s="4">
        <v>20</v>
      </c>
      <c r="BK2359" s="8">
        <v>1342.71</v>
      </c>
      <c r="BL2359" s="2" t="s">
        <v>10998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10999</v>
      </c>
      <c r="BV2359" s="2" t="s">
        <v>228</v>
      </c>
      <c r="BW2359" s="2" t="s">
        <v>228</v>
      </c>
      <c r="BX2359" s="2" t="s">
        <v>273</v>
      </c>
      <c r="BY2359" s="2" t="s">
        <v>274</v>
      </c>
      <c r="BZ2359" s="2" t="s">
        <v>240</v>
      </c>
      <c r="CA2359" s="2" t="s">
        <v>10997</v>
      </c>
      <c r="CB2359" s="2" t="s">
        <v>11000</v>
      </c>
      <c r="CC2359" s="2" t="s">
        <v>241</v>
      </c>
      <c r="CD2359" s="2" t="s">
        <v>228</v>
      </c>
      <c r="CE2359" s="4">
        <v>271</v>
      </c>
      <c r="CF2359" s="4"/>
      <c r="CG2359" s="4"/>
      <c r="CH2359" s="4"/>
      <c r="CI2359" s="4"/>
      <c r="CJ2359" s="4"/>
      <c r="CK2359" s="4"/>
      <c r="CL2359" s="4"/>
      <c r="CM2359" s="4"/>
      <c r="CN2359" s="4"/>
      <c r="CO2359" s="4"/>
      <c r="CP2359" s="4"/>
      <c r="CQ2359" s="4"/>
      <c r="CR2359" s="4"/>
      <c r="CS2359" s="4"/>
      <c r="CT2359" s="4"/>
      <c r="CU2359" s="4"/>
      <c r="CV2359" s="4"/>
      <c r="CW2359" s="4"/>
      <c r="CX2359" s="4"/>
      <c r="CY2359" s="4"/>
      <c r="CZ2359" s="4"/>
      <c r="DA2359" s="4"/>
      <c r="DB2359" s="4"/>
      <c r="DC2359" s="4"/>
      <c r="DD2359" s="4"/>
      <c r="DE2359" s="4"/>
      <c r="DF2359" s="4"/>
      <c r="DG2359" s="4"/>
      <c r="DH2359" s="4"/>
      <c r="DI2359" s="4"/>
      <c r="DJ2359" s="4"/>
      <c r="DK2359" s="4"/>
      <c r="DL2359" s="4"/>
      <c r="DM2359" s="4"/>
      <c r="DN2359" s="4"/>
      <c r="DO2359" s="4"/>
      <c r="DP2359" s="4"/>
      <c r="DQ2359" s="4"/>
      <c r="DR2359" s="4"/>
      <c r="DS2359" s="4"/>
      <c r="DT2359" s="4"/>
      <c r="DU2359" s="4"/>
      <c r="DV2359" s="4"/>
      <c r="DW2359" s="4"/>
      <c r="DX2359" s="4"/>
      <c r="DY2359" s="4"/>
      <c r="DZ2359" s="4"/>
      <c r="EA2359" s="4"/>
      <c r="EB2359" s="4"/>
      <c r="EC2359" s="4"/>
      <c r="ED2359" s="4"/>
      <c r="EE2359" s="4"/>
      <c r="EF2359" s="4"/>
      <c r="EG2359" s="4"/>
      <c r="EH2359" s="4"/>
      <c r="EI2359" s="4"/>
      <c r="EJ2359" s="4"/>
      <c r="EK2359" s="4"/>
      <c r="EL2359" s="4"/>
      <c r="EM2359" s="4"/>
      <c r="EN2359" s="4"/>
      <c r="EO2359" s="4"/>
      <c r="EP2359" s="4"/>
      <c r="EQ2359" s="4"/>
      <c r="ER2359" s="4"/>
      <c r="ES2359" s="4"/>
      <c r="ET2359" s="4"/>
      <c r="EU2359" s="4"/>
      <c r="EV2359" s="4"/>
      <c r="EW2359" s="4"/>
      <c r="EX2359" s="4"/>
      <c r="EY2359" s="4"/>
      <c r="EZ2359" s="4"/>
      <c r="FA2359" s="4"/>
      <c r="FB2359" s="4"/>
      <c r="FC2359" s="4"/>
      <c r="FD2359" s="4"/>
      <c r="FE2359" s="4"/>
      <c r="FF2359" s="4"/>
      <c r="FG2359" s="4"/>
      <c r="FH2359" s="4"/>
      <c r="FI2359" s="4"/>
      <c r="FJ2359" s="4"/>
      <c r="FK2359" s="4"/>
      <c r="FL2359" s="4"/>
      <c r="FM2359" s="4"/>
      <c r="FN2359" s="4"/>
      <c r="FO2359" s="4"/>
      <c r="FP2359" s="4"/>
      <c r="FQ2359" s="4"/>
      <c r="FR2359" s="4"/>
      <c r="FS2359" s="4"/>
      <c r="FT2359" s="4"/>
      <c r="FU2359" s="4"/>
      <c r="FV2359" s="4"/>
      <c r="FW2359" s="4"/>
      <c r="FX2359" s="4"/>
      <c r="FY2359" s="4"/>
      <c r="FZ2359" s="4"/>
      <c r="GA2359" s="4"/>
      <c r="GB2359" s="4"/>
      <c r="GC2359" s="4"/>
      <c r="GD2359" s="4"/>
      <c r="GE2359" s="4"/>
      <c r="GF2359" s="4"/>
      <c r="GG2359" s="4"/>
      <c r="GH2359" s="4"/>
      <c r="GI2359" s="4"/>
      <c r="GJ2359" s="4"/>
      <c r="GK2359" s="4"/>
      <c r="GL2359" s="4"/>
      <c r="GM2359" s="4"/>
      <c r="GN2359" s="4"/>
      <c r="GO2359" s="4"/>
      <c r="GP2359" s="4"/>
      <c r="GQ2359" s="4"/>
      <c r="GR2359" s="4"/>
      <c r="GS2359" s="4"/>
      <c r="GT2359" s="4"/>
      <c r="GU2359" s="4"/>
      <c r="GV2359" s="4"/>
      <c r="GW2359" s="4"/>
      <c r="GX2359" s="4"/>
      <c r="GY2359" s="4"/>
      <c r="GZ2359" s="4"/>
      <c r="HA2359" s="4"/>
      <c r="HB2359" s="4"/>
      <c r="HC2359" s="4"/>
      <c r="HD2359" s="4"/>
      <c r="HE2359" s="4"/>
    </row>
    <row r="2360">
      <c r="A2360" s="2" t="s">
        <v>11001</v>
      </c>
      <c r="B2360" s="2" t="s">
        <v>866</v>
      </c>
      <c r="C2360" s="2" t="s">
        <v>1037</v>
      </c>
      <c r="D2360" s="2" t="s">
        <v>899</v>
      </c>
      <c r="E2360" s="2" t="s">
        <v>1891</v>
      </c>
      <c r="F2360" s="2" t="s">
        <v>11002</v>
      </c>
      <c r="G2360" s="2" t="s">
        <v>11002</v>
      </c>
      <c r="H2360" s="2" t="s">
        <v>11002</v>
      </c>
      <c r="I2360" s="2" t="s">
        <v>11003</v>
      </c>
      <c r="J2360" s="2" t="s">
        <v>840</v>
      </c>
      <c r="K2360" s="2" t="s">
        <v>888</v>
      </c>
      <c r="L2360" s="3">
        <v>38.57</v>
      </c>
      <c r="M2360" s="3">
        <v>40.5</v>
      </c>
      <c r="N2360" s="3">
        <v>89.99</v>
      </c>
      <c r="O2360" s="2" t="s">
        <v>491</v>
      </c>
      <c r="P2360" s="2" t="s">
        <v>333</v>
      </c>
      <c r="Q2360" s="2" t="s">
        <v>234</v>
      </c>
      <c r="R2360" s="2" t="s">
        <v>228</v>
      </c>
      <c r="S2360" s="2" t="s">
        <v>11004</v>
      </c>
      <c r="T2360" s="2" t="s">
        <v>228</v>
      </c>
      <c r="U2360" s="2" t="s">
        <v>500</v>
      </c>
      <c r="V2360" s="2" t="s">
        <v>859</v>
      </c>
      <c r="W2360" s="2" t="s">
        <v>417</v>
      </c>
      <c r="X2360" s="2" t="s">
        <v>269</v>
      </c>
      <c r="Y2360" s="2" t="s">
        <v>1895</v>
      </c>
      <c r="Z2360" s="4">
        <v>56</v>
      </c>
      <c r="AA2360" s="4">
        <f>=ROUNDDOWN(186.666666666667,0)</f>
      </c>
      <c r="AB2360" s="5">
        <v>0.3</v>
      </c>
      <c r="AC2360" s="2" t="s">
        <v>228</v>
      </c>
      <c r="AD2360" s="4"/>
      <c r="AE2360" s="4"/>
      <c r="AF2360" s="6">
        <v>63</v>
      </c>
      <c r="AG2360" s="6"/>
      <c r="AH2360" s="7">
        <v>0.7742</v>
      </c>
      <c r="AI2360" s="4"/>
      <c r="AJ2360" s="4">
        <f>=ROUNDDOWN({0},0)</f>
      </c>
      <c r="AK2360" s="5"/>
      <c r="AL2360" s="2" t="s">
        <v>228</v>
      </c>
      <c r="AM2360" s="4"/>
      <c r="AN2360" s="4"/>
      <c r="AO2360" s="7"/>
      <c r="AP2360" s="4"/>
      <c r="AQ2360" s="8"/>
      <c r="AR2360" s="4"/>
      <c r="AS2360" s="8"/>
      <c r="AT2360" s="7"/>
      <c r="AU2360" s="7"/>
      <c r="AV2360" s="4"/>
      <c r="AW2360" s="8"/>
      <c r="AX2360" s="4"/>
      <c r="AY2360" s="8"/>
      <c r="AZ2360" s="7"/>
      <c r="BA2360" s="7"/>
      <c r="BB2360" s="7"/>
      <c r="BC2360" s="4"/>
      <c r="BD2360" s="8"/>
      <c r="BE2360" s="4"/>
      <c r="BF2360" s="8"/>
      <c r="BG2360" s="7"/>
      <c r="BH2360" s="7"/>
      <c r="BI2360" s="7"/>
      <c r="BJ2360" s="4">
        <v>1</v>
      </c>
      <c r="BK2360" s="8">
        <v>42.43</v>
      </c>
      <c r="BL2360" s="2" t="s">
        <v>2978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11005</v>
      </c>
      <c r="BV2360" s="2" t="s">
        <v>228</v>
      </c>
      <c r="BW2360" s="2" t="s">
        <v>228</v>
      </c>
      <c r="BX2360" s="2" t="s">
        <v>337</v>
      </c>
      <c r="BY2360" s="2" t="s">
        <v>274</v>
      </c>
      <c r="BZ2360" s="2" t="s">
        <v>240</v>
      </c>
      <c r="CA2360" s="2" t="s">
        <v>11006</v>
      </c>
      <c r="CB2360" s="2" t="s">
        <v>11007</v>
      </c>
      <c r="CC2360" s="2" t="s">
        <v>241</v>
      </c>
      <c r="CD2360" s="2" t="s">
        <v>228</v>
      </c>
      <c r="CE2360" s="4"/>
      <c r="CF2360" s="4">
        <v>56</v>
      </c>
      <c r="CG2360" s="4"/>
      <c r="CH2360" s="4"/>
      <c r="CI2360" s="4"/>
      <c r="CJ2360" s="4"/>
      <c r="CK2360" s="4"/>
      <c r="CL2360" s="4"/>
      <c r="CM2360" s="4"/>
      <c r="CN2360" s="4"/>
      <c r="CO2360" s="4"/>
      <c r="CP2360" s="4"/>
      <c r="CQ2360" s="4"/>
      <c r="CR2360" s="4"/>
      <c r="CS2360" s="4"/>
      <c r="CT2360" s="4"/>
      <c r="CU2360" s="4"/>
      <c r="CV2360" s="4"/>
      <c r="CW2360" s="4"/>
      <c r="CX2360" s="4"/>
      <c r="CY2360" s="4"/>
      <c r="CZ2360" s="4"/>
      <c r="DA2360" s="4"/>
      <c r="DB2360" s="4"/>
      <c r="DC2360" s="4"/>
      <c r="DD2360" s="4"/>
      <c r="DE2360" s="4"/>
      <c r="DF2360" s="4"/>
      <c r="DG2360" s="4"/>
      <c r="DH2360" s="4"/>
      <c r="DI2360" s="4"/>
      <c r="DJ2360" s="4"/>
      <c r="DK2360" s="4"/>
      <c r="DL2360" s="4"/>
      <c r="DM2360" s="4"/>
      <c r="DN2360" s="4"/>
      <c r="DO2360" s="4"/>
      <c r="DP2360" s="4"/>
      <c r="DQ2360" s="4"/>
      <c r="DR2360" s="4"/>
      <c r="DS2360" s="4"/>
      <c r="DT2360" s="4"/>
      <c r="DU2360" s="4"/>
      <c r="DV2360" s="4"/>
      <c r="DW2360" s="4"/>
      <c r="DX2360" s="4"/>
      <c r="DY2360" s="4"/>
      <c r="DZ2360" s="4"/>
      <c r="EA2360" s="4"/>
      <c r="EB2360" s="4"/>
      <c r="EC2360" s="4"/>
      <c r="ED2360" s="4"/>
      <c r="EE2360" s="4"/>
      <c r="EF2360" s="4"/>
      <c r="EG2360" s="4"/>
      <c r="EH2360" s="4"/>
      <c r="EI2360" s="4"/>
      <c r="EJ2360" s="4"/>
      <c r="EK2360" s="4"/>
      <c r="EL2360" s="4"/>
      <c r="EM2360" s="4"/>
      <c r="EN2360" s="4"/>
      <c r="EO2360" s="4"/>
      <c r="EP2360" s="4"/>
      <c r="EQ2360" s="4"/>
      <c r="ER2360" s="4"/>
      <c r="ES2360" s="4"/>
      <c r="ET2360" s="4"/>
      <c r="EU2360" s="4"/>
      <c r="EV2360" s="4"/>
      <c r="EW2360" s="4"/>
      <c r="EX2360" s="4"/>
      <c r="EY2360" s="4"/>
      <c r="EZ2360" s="4"/>
      <c r="FA2360" s="4"/>
      <c r="FB2360" s="4"/>
      <c r="FC2360" s="4"/>
      <c r="FD2360" s="4"/>
      <c r="FE2360" s="4"/>
      <c r="FF2360" s="4"/>
      <c r="FG2360" s="4"/>
      <c r="FH2360" s="4"/>
      <c r="FI2360" s="4"/>
      <c r="FJ2360" s="4"/>
      <c r="FK2360" s="4"/>
      <c r="FL2360" s="4"/>
      <c r="FM2360" s="4"/>
      <c r="FN2360" s="4"/>
      <c r="FO2360" s="4"/>
      <c r="FP2360" s="4"/>
      <c r="FQ2360" s="4"/>
      <c r="FR2360" s="4"/>
      <c r="FS2360" s="4"/>
      <c r="FT2360" s="4"/>
      <c r="FU2360" s="4"/>
      <c r="FV2360" s="4"/>
      <c r="FW2360" s="4"/>
      <c r="FX2360" s="4"/>
      <c r="FY2360" s="4"/>
      <c r="FZ2360" s="4"/>
      <c r="GA2360" s="4"/>
      <c r="GB2360" s="4"/>
      <c r="GC2360" s="4"/>
      <c r="GD2360" s="4"/>
      <c r="GE2360" s="4"/>
      <c r="GF2360" s="4"/>
      <c r="GG2360" s="4"/>
      <c r="GH2360" s="4"/>
      <c r="GI2360" s="4"/>
      <c r="GJ2360" s="4"/>
      <c r="GK2360" s="4"/>
      <c r="GL2360" s="4"/>
      <c r="GM2360" s="4"/>
      <c r="GN2360" s="4"/>
      <c r="GO2360" s="4"/>
      <c r="GP2360" s="4"/>
      <c r="GQ2360" s="4"/>
      <c r="GR2360" s="4"/>
      <c r="GS2360" s="4"/>
      <c r="GT2360" s="4"/>
      <c r="GU2360" s="4"/>
      <c r="GV2360" s="4"/>
      <c r="GW2360" s="4"/>
      <c r="GX2360" s="4"/>
      <c r="GY2360" s="4"/>
      <c r="GZ2360" s="4"/>
      <c r="HA2360" s="4"/>
      <c r="HB2360" s="4"/>
      <c r="HC2360" s="4"/>
      <c r="HD2360" s="4"/>
      <c r="HE2360" s="4"/>
    </row>
    <row r="2361">
      <c r="A2361" s="2" t="s">
        <v>11008</v>
      </c>
      <c r="B2361" s="2" t="s">
        <v>958</v>
      </c>
      <c r="C2361" s="2" t="s">
        <v>300</v>
      </c>
      <c r="D2361" s="2" t="s">
        <v>1564</v>
      </c>
      <c r="E2361" s="2" t="s">
        <v>1692</v>
      </c>
      <c r="F2361" s="2" t="s">
        <v>11009</v>
      </c>
      <c r="G2361" s="2" t="s">
        <v>11010</v>
      </c>
      <c r="H2361" s="2" t="s">
        <v>11011</v>
      </c>
      <c r="I2361" s="2" t="s">
        <v>1567</v>
      </c>
      <c r="J2361" s="2" t="s">
        <v>840</v>
      </c>
      <c r="K2361" s="2" t="s">
        <v>460</v>
      </c>
      <c r="L2361" s="3">
        <v>114</v>
      </c>
      <c r="M2361" s="3">
        <v>119.7</v>
      </c>
      <c r="N2361" s="3">
        <v>239</v>
      </c>
      <c r="O2361" s="2" t="s">
        <v>240</v>
      </c>
      <c r="P2361" s="2" t="s">
        <v>233</v>
      </c>
      <c r="Q2361" s="2" t="s">
        <v>234</v>
      </c>
      <c r="R2361" s="2" t="s">
        <v>228</v>
      </c>
      <c r="S2361" s="2" t="s">
        <v>11012</v>
      </c>
      <c r="T2361" s="2" t="s">
        <v>228</v>
      </c>
      <c r="U2361" s="2" t="s">
        <v>228</v>
      </c>
      <c r="V2361" s="2" t="s">
        <v>236</v>
      </c>
      <c r="W2361" s="2" t="s">
        <v>463</v>
      </c>
      <c r="X2361" s="2" t="s">
        <v>228</v>
      </c>
      <c r="Y2361" s="2" t="s">
        <v>228</v>
      </c>
      <c r="Z2361" s="4"/>
      <c r="AA2361" s="4">
        <f>=ROUNDDOWN({0},0)</f>
      </c>
      <c r="AB2361" s="5"/>
      <c r="AC2361" s="2" t="s">
        <v>159</v>
      </c>
      <c r="AD2361" s="4">
        <v>60</v>
      </c>
      <c r="AE2361" s="4">
        <v>173</v>
      </c>
      <c r="AF2361" s="6">
        <v>74</v>
      </c>
      <c r="AG2361" s="6"/>
      <c r="AH2361" s="7"/>
      <c r="AI2361" s="4"/>
      <c r="AJ2361" s="4">
        <f>=ROUNDDOWN({0},0)</f>
      </c>
      <c r="AK2361" s="5"/>
      <c r="AL2361" s="2" t="s">
        <v>228</v>
      </c>
      <c r="AM2361" s="4"/>
      <c r="AN2361" s="4"/>
      <c r="AO2361" s="7"/>
      <c r="AP2361" s="4"/>
      <c r="AQ2361" s="8"/>
      <c r="AR2361" s="4"/>
      <c r="AS2361" s="8"/>
      <c r="AT2361" s="7"/>
      <c r="AU2361" s="7"/>
      <c r="AV2361" s="4"/>
      <c r="AW2361" s="8"/>
      <c r="AX2361" s="4"/>
      <c r="AY2361" s="8"/>
      <c r="AZ2361" s="7"/>
      <c r="BA2361" s="7"/>
      <c r="BB2361" s="7"/>
      <c r="BC2361" s="4"/>
      <c r="BD2361" s="8"/>
      <c r="BE2361" s="4"/>
      <c r="BF2361" s="8"/>
      <c r="BG2361" s="7"/>
      <c r="BH2361" s="7"/>
      <c r="BI2361" s="7"/>
      <c r="BJ2361" s="4"/>
      <c r="BK2361" s="8"/>
      <c r="BL2361" s="2" t="s">
        <v>228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238</v>
      </c>
      <c r="BV2361" s="2" t="s">
        <v>228</v>
      </c>
      <c r="BW2361" s="2" t="s">
        <v>228</v>
      </c>
      <c r="BX2361" s="2" t="s">
        <v>2125</v>
      </c>
      <c r="BY2361" s="2" t="s">
        <v>239</v>
      </c>
      <c r="BZ2361" s="2" t="s">
        <v>240</v>
      </c>
      <c r="CA2361" s="2" t="s">
        <v>228</v>
      </c>
      <c r="CB2361" s="2" t="s">
        <v>228</v>
      </c>
      <c r="CC2361" s="2" t="s">
        <v>241</v>
      </c>
      <c r="CD2361" s="2" t="s">
        <v>228</v>
      </c>
      <c r="CE2361" s="4"/>
      <c r="CF2361" s="4"/>
      <c r="CG2361" s="4"/>
      <c r="CH2361" s="4"/>
      <c r="CI2361" s="4"/>
      <c r="CJ2361" s="4"/>
      <c r="CK2361" s="4"/>
      <c r="CL2361" s="4"/>
      <c r="CM2361" s="4"/>
      <c r="CN2361" s="4"/>
      <c r="CO2361" s="4"/>
      <c r="CP2361" s="4"/>
      <c r="CQ2361" s="4"/>
      <c r="CR2361" s="4"/>
      <c r="CS2361" s="4"/>
      <c r="CT2361" s="4"/>
      <c r="CU2361" s="4"/>
      <c r="CV2361" s="4"/>
      <c r="CW2361" s="4"/>
      <c r="CX2361" s="4"/>
      <c r="CY2361" s="4"/>
      <c r="CZ2361" s="4"/>
      <c r="DA2361" s="4"/>
      <c r="DB2361" s="4"/>
      <c r="DC2361" s="4"/>
      <c r="DD2361" s="4"/>
      <c r="DE2361" s="4"/>
      <c r="DF2361" s="4"/>
      <c r="DG2361" s="4"/>
      <c r="DH2361" s="4"/>
      <c r="DI2361" s="4"/>
      <c r="DJ2361" s="4"/>
      <c r="DK2361" s="4"/>
      <c r="DL2361" s="4"/>
      <c r="DM2361" s="4"/>
      <c r="DN2361" s="4"/>
      <c r="DO2361" s="4"/>
      <c r="DP2361" s="4"/>
      <c r="DQ2361" s="4"/>
      <c r="DR2361" s="4"/>
      <c r="DS2361" s="4"/>
      <c r="DT2361" s="4"/>
      <c r="DU2361" s="4"/>
      <c r="DV2361" s="4"/>
      <c r="DW2361" s="4"/>
      <c r="DX2361" s="4"/>
      <c r="DY2361" s="4"/>
      <c r="DZ2361" s="4"/>
      <c r="EA2361" s="4"/>
      <c r="EB2361" s="4"/>
      <c r="EC2361" s="4"/>
      <c r="ED2361" s="4"/>
      <c r="EE2361" s="4"/>
      <c r="EF2361" s="4"/>
      <c r="EG2361" s="4"/>
      <c r="EH2361" s="4"/>
      <c r="EI2361" s="4"/>
      <c r="EJ2361" s="4"/>
      <c r="EK2361" s="4"/>
      <c r="EL2361" s="4"/>
      <c r="EM2361" s="4"/>
      <c r="EN2361" s="4"/>
      <c r="EO2361" s="4"/>
      <c r="EP2361" s="4"/>
      <c r="EQ2361" s="4"/>
      <c r="ER2361" s="4"/>
      <c r="ES2361" s="4"/>
      <c r="ET2361" s="4"/>
      <c r="EU2361" s="4">
        <v>60</v>
      </c>
      <c r="EV2361" s="4"/>
      <c r="EW2361" s="4"/>
      <c r="EX2361" s="4"/>
      <c r="EY2361" s="4"/>
      <c r="EZ2361" s="4"/>
      <c r="FA2361" s="4"/>
      <c r="FB2361" s="4"/>
      <c r="FC2361" s="4"/>
      <c r="FD2361" s="4"/>
      <c r="FE2361" s="4"/>
      <c r="FF2361" s="4"/>
      <c r="FG2361" s="4">
        <v>40</v>
      </c>
      <c r="FH2361" s="4"/>
      <c r="FI2361" s="4"/>
      <c r="FJ2361" s="4"/>
      <c r="FK2361" s="4"/>
      <c r="FL2361" s="4"/>
      <c r="FM2361" s="4"/>
      <c r="FN2361" s="4"/>
      <c r="FO2361" s="4"/>
      <c r="FP2361" s="4"/>
      <c r="FQ2361" s="4"/>
      <c r="FR2361" s="4"/>
      <c r="FS2361" s="4"/>
      <c r="FT2361" s="4"/>
      <c r="FU2361" s="4"/>
      <c r="FV2361" s="4"/>
      <c r="FW2361" s="4"/>
      <c r="FX2361" s="4"/>
      <c r="FY2361" s="4"/>
      <c r="FZ2361" s="4">
        <v>25</v>
      </c>
      <c r="GA2361" s="4"/>
      <c r="GB2361" s="4"/>
      <c r="GC2361" s="4"/>
      <c r="GD2361" s="4"/>
      <c r="GE2361" s="4"/>
      <c r="GF2361" s="4">
        <v>48</v>
      </c>
      <c r="GG2361" s="4"/>
      <c r="GH2361" s="4"/>
      <c r="GI2361" s="4"/>
      <c r="GJ2361" s="4"/>
      <c r="GK2361" s="4"/>
      <c r="GL2361" s="4"/>
      <c r="GM2361" s="4"/>
      <c r="GN2361" s="4"/>
      <c r="GO2361" s="4"/>
      <c r="GP2361" s="4"/>
      <c r="GQ2361" s="4"/>
      <c r="GR2361" s="4"/>
      <c r="GS2361" s="4"/>
      <c r="GT2361" s="4"/>
      <c r="GU2361" s="4"/>
      <c r="GV2361" s="4"/>
      <c r="GW2361" s="4"/>
      <c r="GX2361" s="4"/>
      <c r="GY2361" s="4"/>
      <c r="GZ2361" s="4"/>
      <c r="HA2361" s="4"/>
      <c r="HB2361" s="4"/>
      <c r="HC2361" s="4"/>
      <c r="HD2361" s="4"/>
      <c r="HE2361" s="4"/>
    </row>
    <row r="2362">
      <c r="A2362" s="2" t="s">
        <v>11013</v>
      </c>
      <c r="B2362" s="2" t="s">
        <v>958</v>
      </c>
      <c r="C2362" s="2" t="s">
        <v>300</v>
      </c>
      <c r="D2362" s="2" t="s">
        <v>2164</v>
      </c>
      <c r="E2362" s="2" t="s">
        <v>2165</v>
      </c>
      <c r="F2362" s="2" t="s">
        <v>2010</v>
      </c>
      <c r="G2362" s="2" t="s">
        <v>3395</v>
      </c>
      <c r="H2362" s="2" t="s">
        <v>11014</v>
      </c>
      <c r="I2362" s="2" t="s">
        <v>11015</v>
      </c>
      <c r="J2362" s="2" t="s">
        <v>840</v>
      </c>
      <c r="K2362" s="2" t="s">
        <v>1421</v>
      </c>
      <c r="L2362" s="3">
        <v>380.97</v>
      </c>
      <c r="M2362" s="3">
        <v>400.02</v>
      </c>
      <c r="N2362" s="3">
        <v>799</v>
      </c>
      <c r="O2362" s="2" t="s">
        <v>240</v>
      </c>
      <c r="P2362" s="2" t="s">
        <v>333</v>
      </c>
      <c r="Q2362" s="2" t="s">
        <v>234</v>
      </c>
      <c r="R2362" s="2" t="s">
        <v>228</v>
      </c>
      <c r="S2362" s="2" t="s">
        <v>228</v>
      </c>
      <c r="T2362" s="2" t="s">
        <v>228</v>
      </c>
      <c r="U2362" s="2" t="s">
        <v>228</v>
      </c>
      <c r="V2362" s="2" t="s">
        <v>842</v>
      </c>
      <c r="W2362" s="2" t="s">
        <v>743</v>
      </c>
      <c r="X2362" s="2" t="s">
        <v>463</v>
      </c>
      <c r="Y2362" s="2" t="s">
        <v>2481</v>
      </c>
      <c r="Z2362" s="4">
        <v>84</v>
      </c>
      <c r="AA2362" s="4">
        <f>=ROUNDDOWN(840,0)</f>
      </c>
      <c r="AB2362" s="5">
        <v>0.1</v>
      </c>
      <c r="AC2362" s="2" t="s">
        <v>228</v>
      </c>
      <c r="AD2362" s="4"/>
      <c r="AE2362" s="4"/>
      <c r="AF2362" s="6">
        <v>74</v>
      </c>
      <c r="AG2362" s="6"/>
      <c r="AH2362" s="7">
        <v>1</v>
      </c>
      <c r="AI2362" s="4"/>
      <c r="AJ2362" s="4">
        <f>=ROUNDDOWN({0},0)</f>
      </c>
      <c r="AK2362" s="5"/>
      <c r="AL2362" s="2" t="s">
        <v>228</v>
      </c>
      <c r="AM2362" s="4"/>
      <c r="AN2362" s="4"/>
      <c r="AO2362" s="7"/>
      <c r="AP2362" s="4"/>
      <c r="AQ2362" s="8"/>
      <c r="AR2362" s="4"/>
      <c r="AS2362" s="8"/>
      <c r="AT2362" s="7"/>
      <c r="AU2362" s="7"/>
      <c r="AV2362" s="4"/>
      <c r="AW2362" s="8"/>
      <c r="AX2362" s="4"/>
      <c r="AY2362" s="8"/>
      <c r="AZ2362" s="7"/>
      <c r="BA2362" s="7"/>
      <c r="BB2362" s="7"/>
      <c r="BC2362" s="4"/>
      <c r="BD2362" s="8"/>
      <c r="BE2362" s="4"/>
      <c r="BF2362" s="8"/>
      <c r="BG2362" s="7"/>
      <c r="BH2362" s="7"/>
      <c r="BI2362" s="7"/>
      <c r="BJ2362" s="4"/>
      <c r="BK2362" s="8"/>
      <c r="BL2362" s="2" t="s">
        <v>228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11016</v>
      </c>
      <c r="BV2362" s="2" t="s">
        <v>228</v>
      </c>
      <c r="BW2362" s="2" t="s">
        <v>228</v>
      </c>
      <c r="BX2362" s="2" t="s">
        <v>337</v>
      </c>
      <c r="BY2362" s="2" t="s">
        <v>274</v>
      </c>
      <c r="BZ2362" s="2" t="s">
        <v>240</v>
      </c>
      <c r="CA2362" s="2" t="s">
        <v>2700</v>
      </c>
      <c r="CB2362" s="2" t="s">
        <v>228</v>
      </c>
      <c r="CC2362" s="2" t="s">
        <v>241</v>
      </c>
      <c r="CD2362" s="2" t="s">
        <v>228</v>
      </c>
      <c r="CE2362" s="4"/>
      <c r="CF2362" s="4">
        <v>84</v>
      </c>
      <c r="CG2362" s="4"/>
      <c r="CH2362" s="4"/>
      <c r="CI2362" s="4"/>
      <c r="CJ2362" s="4"/>
      <c r="CK2362" s="4"/>
      <c r="CL2362" s="4"/>
      <c r="CM2362" s="4"/>
      <c r="CN2362" s="4"/>
      <c r="CO2362" s="4"/>
      <c r="CP2362" s="4"/>
      <c r="CQ2362" s="4"/>
      <c r="CR2362" s="4"/>
      <c r="CS2362" s="4"/>
      <c r="CT2362" s="4"/>
      <c r="CU2362" s="4"/>
      <c r="CV2362" s="4"/>
      <c r="CW2362" s="4"/>
      <c r="CX2362" s="4"/>
      <c r="CY2362" s="4"/>
      <c r="CZ2362" s="4"/>
      <c r="DA2362" s="4"/>
      <c r="DB2362" s="4"/>
      <c r="DC2362" s="4"/>
      <c r="DD2362" s="4"/>
      <c r="DE2362" s="4"/>
      <c r="DF2362" s="4"/>
      <c r="DG2362" s="4"/>
      <c r="DH2362" s="4"/>
      <c r="DI2362" s="4"/>
      <c r="DJ2362" s="4"/>
      <c r="DK2362" s="4"/>
      <c r="DL2362" s="4"/>
      <c r="DM2362" s="4"/>
      <c r="DN2362" s="4"/>
      <c r="DO2362" s="4"/>
      <c r="DP2362" s="4"/>
      <c r="DQ2362" s="4"/>
      <c r="DR2362" s="4"/>
      <c r="DS2362" s="4"/>
      <c r="DT2362" s="4"/>
      <c r="DU2362" s="4"/>
      <c r="DV2362" s="4"/>
      <c r="DW2362" s="4"/>
      <c r="DX2362" s="4"/>
      <c r="DY2362" s="4"/>
      <c r="DZ2362" s="4"/>
      <c r="EA2362" s="4"/>
      <c r="EB2362" s="4"/>
      <c r="EC2362" s="4"/>
      <c r="ED2362" s="4"/>
      <c r="EE2362" s="4"/>
      <c r="EF2362" s="4"/>
      <c r="EG2362" s="4"/>
      <c r="EH2362" s="4"/>
      <c r="EI2362" s="4"/>
      <c r="EJ2362" s="4"/>
      <c r="EK2362" s="4"/>
      <c r="EL2362" s="4"/>
      <c r="EM2362" s="4"/>
      <c r="EN2362" s="4"/>
      <c r="EO2362" s="4"/>
      <c r="EP2362" s="4"/>
      <c r="EQ2362" s="4"/>
      <c r="ER2362" s="4"/>
      <c r="ES2362" s="4"/>
      <c r="ET2362" s="4"/>
      <c r="EU2362" s="4"/>
      <c r="EV2362" s="4"/>
      <c r="EW2362" s="4"/>
      <c r="EX2362" s="4"/>
      <c r="EY2362" s="4"/>
      <c r="EZ2362" s="4"/>
      <c r="FA2362" s="4"/>
      <c r="FB2362" s="4"/>
      <c r="FC2362" s="4"/>
      <c r="FD2362" s="4"/>
      <c r="FE2362" s="4"/>
      <c r="FF2362" s="4"/>
      <c r="FG2362" s="4"/>
      <c r="FH2362" s="4"/>
      <c r="FI2362" s="4"/>
      <c r="FJ2362" s="4"/>
      <c r="FK2362" s="4"/>
      <c r="FL2362" s="4"/>
      <c r="FM2362" s="4"/>
      <c r="FN2362" s="4"/>
      <c r="FO2362" s="4"/>
      <c r="FP2362" s="4"/>
      <c r="FQ2362" s="4"/>
      <c r="FR2362" s="4"/>
      <c r="FS2362" s="4"/>
      <c r="FT2362" s="4"/>
      <c r="FU2362" s="4"/>
      <c r="FV2362" s="4"/>
      <c r="FW2362" s="4"/>
      <c r="FX2362" s="4"/>
      <c r="FY2362" s="4"/>
      <c r="FZ2362" s="4"/>
      <c r="GA2362" s="4"/>
      <c r="GB2362" s="4"/>
      <c r="GC2362" s="4"/>
      <c r="GD2362" s="4"/>
      <c r="GE2362" s="4"/>
      <c r="GF2362" s="4"/>
      <c r="GG2362" s="4"/>
      <c r="GH2362" s="4"/>
      <c r="GI2362" s="4"/>
      <c r="GJ2362" s="4"/>
      <c r="GK2362" s="4"/>
      <c r="GL2362" s="4"/>
      <c r="GM2362" s="4"/>
      <c r="GN2362" s="4"/>
      <c r="GO2362" s="4"/>
      <c r="GP2362" s="4"/>
      <c r="GQ2362" s="4"/>
      <c r="GR2362" s="4"/>
      <c r="GS2362" s="4"/>
      <c r="GT2362" s="4"/>
      <c r="GU2362" s="4"/>
      <c r="GV2362" s="4"/>
      <c r="GW2362" s="4"/>
      <c r="GX2362" s="4"/>
      <c r="GY2362" s="4"/>
      <c r="GZ2362" s="4"/>
      <c r="HA2362" s="4"/>
      <c r="HB2362" s="4"/>
      <c r="HC2362" s="4"/>
      <c r="HD2362" s="4"/>
      <c r="HE2362" s="4"/>
    </row>
    <row r="2363">
      <c r="A2363" s="2" t="s">
        <v>11017</v>
      </c>
      <c r="B2363" s="2" t="s">
        <v>1150</v>
      </c>
      <c r="C2363" s="2" t="s">
        <v>300</v>
      </c>
      <c r="D2363" s="2" t="s">
        <v>1316</v>
      </c>
      <c r="E2363" s="2" t="s">
        <v>2876</v>
      </c>
      <c r="F2363" s="2" t="s">
        <v>11018</v>
      </c>
      <c r="G2363" s="2" t="s">
        <v>11019</v>
      </c>
      <c r="H2363" s="2" t="s">
        <v>1297</v>
      </c>
      <c r="I2363" s="2" t="s">
        <v>11020</v>
      </c>
      <c r="J2363" s="2" t="s">
        <v>1189</v>
      </c>
      <c r="K2363" s="2" t="s">
        <v>460</v>
      </c>
      <c r="L2363" s="3">
        <v>58.12</v>
      </c>
      <c r="M2363" s="3">
        <v>61.03</v>
      </c>
      <c r="N2363" s="3">
        <v>119.99</v>
      </c>
      <c r="O2363" s="2" t="s">
        <v>240</v>
      </c>
      <c r="P2363" s="2" t="s">
        <v>266</v>
      </c>
      <c r="Q2363" s="2" t="s">
        <v>234</v>
      </c>
      <c r="R2363" s="2" t="s">
        <v>228</v>
      </c>
      <c r="S2363" s="2" t="s">
        <v>11021</v>
      </c>
      <c r="T2363" s="2" t="s">
        <v>350</v>
      </c>
      <c r="U2363" s="2" t="s">
        <v>1054</v>
      </c>
      <c r="V2363" s="2" t="s">
        <v>1156</v>
      </c>
      <c r="W2363" s="2" t="s">
        <v>1268</v>
      </c>
      <c r="X2363" s="2" t="s">
        <v>9152</v>
      </c>
      <c r="Y2363" s="2" t="s">
        <v>270</v>
      </c>
      <c r="Z2363" s="4">
        <v>601</v>
      </c>
      <c r="AA2363" s="4">
        <f>=ROUNDDOWN(24.04,0)</f>
      </c>
      <c r="AB2363" s="5">
        <v>25</v>
      </c>
      <c r="AC2363" s="2" t="s">
        <v>192</v>
      </c>
      <c r="AD2363" s="4">
        <v>550</v>
      </c>
      <c r="AE2363" s="4">
        <v>550</v>
      </c>
      <c r="AF2363" s="6">
        <v>65</v>
      </c>
      <c r="AG2363" s="6"/>
      <c r="AH2363" s="7">
        <v>1</v>
      </c>
      <c r="AI2363" s="4"/>
      <c r="AJ2363" s="4">
        <f>=ROUNDDOWN({0},0)</f>
      </c>
      <c r="AK2363" s="5"/>
      <c r="AL2363" s="2" t="s">
        <v>228</v>
      </c>
      <c r="AM2363" s="4"/>
      <c r="AN2363" s="4"/>
      <c r="AO2363" s="7"/>
      <c r="AP2363" s="4"/>
      <c r="AQ2363" s="8"/>
      <c r="AR2363" s="4"/>
      <c r="AS2363" s="8"/>
      <c r="AT2363" s="7"/>
      <c r="AU2363" s="7"/>
      <c r="AV2363" s="4" t="s">
        <v>228</v>
      </c>
      <c r="AW2363" s="8" t="s">
        <v>228</v>
      </c>
      <c r="AX2363" s="4" t="s">
        <v>228</v>
      </c>
      <c r="AY2363" s="8" t="s">
        <v>228</v>
      </c>
      <c r="AZ2363" s="7" t="s">
        <v>228</v>
      </c>
      <c r="BA2363" s="7" t="s">
        <v>228</v>
      </c>
      <c r="BB2363" s="7"/>
      <c r="BC2363" s="4" t="s">
        <v>228</v>
      </c>
      <c r="BD2363" s="8" t="s">
        <v>228</v>
      </c>
      <c r="BE2363" s="4" t="s">
        <v>228</v>
      </c>
      <c r="BF2363" s="8" t="s">
        <v>228</v>
      </c>
      <c r="BG2363" s="7" t="s">
        <v>228</v>
      </c>
      <c r="BH2363" s="7" t="s">
        <v>228</v>
      </c>
      <c r="BI2363" s="7"/>
      <c r="BJ2363" s="4">
        <v>85</v>
      </c>
      <c r="BK2363" s="8">
        <v>5430.55</v>
      </c>
      <c r="BL2363" s="2" t="s">
        <v>11022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11023</v>
      </c>
      <c r="BV2363" s="2" t="s">
        <v>228</v>
      </c>
      <c r="BW2363" s="2" t="s">
        <v>228</v>
      </c>
      <c r="BX2363" s="2" t="s">
        <v>273</v>
      </c>
      <c r="BY2363" s="2" t="s">
        <v>274</v>
      </c>
      <c r="BZ2363" s="2" t="s">
        <v>240</v>
      </c>
      <c r="CA2363" s="2" t="s">
        <v>4976</v>
      </c>
      <c r="CB2363" s="2" t="s">
        <v>3312</v>
      </c>
      <c r="CC2363" s="2" t="s">
        <v>241</v>
      </c>
      <c r="CD2363" s="2" t="s">
        <v>228</v>
      </c>
      <c r="CE2363" s="4">
        <v>511</v>
      </c>
      <c r="CF2363" s="4"/>
      <c r="CG2363" s="4"/>
      <c r="CH2363" s="4">
        <v>90</v>
      </c>
      <c r="CI2363" s="4"/>
      <c r="CJ2363" s="4"/>
      <c r="CK2363" s="4"/>
      <c r="CL2363" s="4"/>
      <c r="CM2363" s="4"/>
      <c r="CN2363" s="4"/>
      <c r="CO2363" s="4"/>
      <c r="CP2363" s="4"/>
      <c r="CQ2363" s="4"/>
      <c r="CR2363" s="4"/>
      <c r="CS2363" s="4"/>
      <c r="CT2363" s="4"/>
      <c r="CU2363" s="4"/>
      <c r="CV2363" s="4"/>
      <c r="CW2363" s="4"/>
      <c r="CX2363" s="4"/>
      <c r="CY2363" s="4"/>
      <c r="CZ2363" s="4"/>
      <c r="DA2363" s="4"/>
      <c r="DB2363" s="4"/>
      <c r="DC2363" s="4"/>
      <c r="DD2363" s="4"/>
      <c r="DE2363" s="4"/>
      <c r="DF2363" s="4"/>
      <c r="DG2363" s="4"/>
      <c r="DH2363" s="4"/>
      <c r="DI2363" s="4"/>
      <c r="DJ2363" s="4"/>
      <c r="DK2363" s="4"/>
      <c r="DL2363" s="4"/>
      <c r="DM2363" s="4"/>
      <c r="DN2363" s="4"/>
      <c r="DO2363" s="4"/>
      <c r="DP2363" s="4"/>
      <c r="DQ2363" s="4"/>
      <c r="DR2363" s="4"/>
      <c r="DS2363" s="4"/>
      <c r="DT2363" s="4"/>
      <c r="DU2363" s="4"/>
      <c r="DV2363" s="4"/>
      <c r="DW2363" s="4"/>
      <c r="DX2363" s="4"/>
      <c r="DY2363" s="4"/>
      <c r="DZ2363" s="4"/>
      <c r="EA2363" s="4"/>
      <c r="EB2363" s="4"/>
      <c r="EC2363" s="4"/>
      <c r="ED2363" s="4"/>
      <c r="EE2363" s="4"/>
      <c r="EF2363" s="4"/>
      <c r="EG2363" s="4"/>
      <c r="EH2363" s="4"/>
      <c r="EI2363" s="4"/>
      <c r="EJ2363" s="4"/>
      <c r="EK2363" s="4"/>
      <c r="EL2363" s="4"/>
      <c r="EM2363" s="4"/>
      <c r="EN2363" s="4"/>
      <c r="EO2363" s="4"/>
      <c r="EP2363" s="4"/>
      <c r="EQ2363" s="4"/>
      <c r="ER2363" s="4"/>
      <c r="ES2363" s="4"/>
      <c r="ET2363" s="4"/>
      <c r="EU2363" s="4"/>
      <c r="EV2363" s="4"/>
      <c r="EW2363" s="4"/>
      <c r="EX2363" s="4"/>
      <c r="EY2363" s="4"/>
      <c r="EZ2363" s="4"/>
      <c r="FA2363" s="4"/>
      <c r="FB2363" s="4"/>
      <c r="FC2363" s="4"/>
      <c r="FD2363" s="4"/>
      <c r="FE2363" s="4"/>
      <c r="FF2363" s="4"/>
      <c r="FG2363" s="4"/>
      <c r="FH2363" s="4"/>
      <c r="FI2363" s="4"/>
      <c r="FJ2363" s="4"/>
      <c r="FK2363" s="4"/>
      <c r="FL2363" s="4"/>
      <c r="FM2363" s="4"/>
      <c r="FN2363" s="4"/>
      <c r="FO2363" s="4"/>
      <c r="FP2363" s="4"/>
      <c r="FQ2363" s="4"/>
      <c r="FR2363" s="4"/>
      <c r="FS2363" s="4"/>
      <c r="FT2363" s="4"/>
      <c r="FU2363" s="4"/>
      <c r="FV2363" s="4"/>
      <c r="FW2363" s="4"/>
      <c r="FX2363" s="4"/>
      <c r="FY2363" s="4"/>
      <c r="FZ2363" s="4"/>
      <c r="GA2363" s="4"/>
      <c r="GB2363" s="4">
        <v>550</v>
      </c>
      <c r="GC2363" s="4"/>
      <c r="GD2363" s="4"/>
      <c r="GE2363" s="4"/>
      <c r="GF2363" s="4"/>
      <c r="GG2363" s="4"/>
      <c r="GH2363" s="4"/>
      <c r="GI2363" s="4"/>
      <c r="GJ2363" s="4"/>
      <c r="GK2363" s="4"/>
      <c r="GL2363" s="4"/>
      <c r="GM2363" s="4"/>
      <c r="GN2363" s="4"/>
      <c r="GO2363" s="4"/>
      <c r="GP2363" s="4"/>
      <c r="GQ2363" s="4"/>
      <c r="GR2363" s="4"/>
      <c r="GS2363" s="4"/>
      <c r="GT2363" s="4"/>
      <c r="GU2363" s="4"/>
      <c r="GV2363" s="4"/>
      <c r="GW2363" s="4"/>
      <c r="GX2363" s="4"/>
      <c r="GY2363" s="4"/>
      <c r="GZ2363" s="4"/>
      <c r="HA2363" s="4"/>
      <c r="HB2363" s="4"/>
      <c r="HC2363" s="4"/>
      <c r="HD2363" s="4"/>
      <c r="HE2363" s="4"/>
    </row>
    <row r="2364">
      <c r="A2364" s="2" t="s">
        <v>11024</v>
      </c>
      <c r="B2364" s="2" t="s">
        <v>1150</v>
      </c>
      <c r="C2364" s="2" t="s">
        <v>300</v>
      </c>
      <c r="D2364" s="2" t="s">
        <v>1316</v>
      </c>
      <c r="E2364" s="2" t="s">
        <v>2876</v>
      </c>
      <c r="F2364" s="2" t="s">
        <v>11018</v>
      </c>
      <c r="G2364" s="2" t="s">
        <v>11019</v>
      </c>
      <c r="H2364" s="2" t="s">
        <v>1297</v>
      </c>
      <c r="I2364" s="2" t="s">
        <v>11020</v>
      </c>
      <c r="J2364" s="2" t="s">
        <v>1043</v>
      </c>
      <c r="K2364" s="2" t="s">
        <v>460</v>
      </c>
      <c r="L2364" s="3">
        <v>62.6</v>
      </c>
      <c r="M2364" s="3">
        <v>65.73</v>
      </c>
      <c r="N2364" s="3">
        <v>129.99</v>
      </c>
      <c r="O2364" s="2" t="s">
        <v>240</v>
      </c>
      <c r="P2364" s="2" t="s">
        <v>266</v>
      </c>
      <c r="Q2364" s="2" t="s">
        <v>234</v>
      </c>
      <c r="R2364" s="2" t="s">
        <v>228</v>
      </c>
      <c r="S2364" s="2" t="s">
        <v>11021</v>
      </c>
      <c r="T2364" s="2" t="s">
        <v>350</v>
      </c>
      <c r="U2364" s="2" t="s">
        <v>1054</v>
      </c>
      <c r="V2364" s="2" t="s">
        <v>1156</v>
      </c>
      <c r="W2364" s="2" t="s">
        <v>1268</v>
      </c>
      <c r="X2364" s="2" t="s">
        <v>9152</v>
      </c>
      <c r="Y2364" s="2" t="s">
        <v>270</v>
      </c>
      <c r="Z2364" s="4">
        <v>656</v>
      </c>
      <c r="AA2364" s="4">
        <f>=ROUNDDOWN(19.2941176470588,0)</f>
      </c>
      <c r="AB2364" s="5">
        <v>34</v>
      </c>
      <c r="AC2364" s="2" t="s">
        <v>192</v>
      </c>
      <c r="AD2364" s="4">
        <v>650</v>
      </c>
      <c r="AE2364" s="4">
        <v>650</v>
      </c>
      <c r="AF2364" s="6">
        <v>65</v>
      </c>
      <c r="AG2364" s="6"/>
      <c r="AH2364" s="7">
        <v>1</v>
      </c>
      <c r="AI2364" s="4"/>
      <c r="AJ2364" s="4">
        <f>=ROUNDDOWN({0},0)</f>
      </c>
      <c r="AK2364" s="5"/>
      <c r="AL2364" s="2" t="s">
        <v>228</v>
      </c>
      <c r="AM2364" s="4"/>
      <c r="AN2364" s="4"/>
      <c r="AO2364" s="7"/>
      <c r="AP2364" s="4"/>
      <c r="AQ2364" s="8"/>
      <c r="AR2364" s="4"/>
      <c r="AS2364" s="8"/>
      <c r="AT2364" s="7"/>
      <c r="AU2364" s="7"/>
      <c r="AV2364" s="4" t="s">
        <v>228</v>
      </c>
      <c r="AW2364" s="8" t="s">
        <v>228</v>
      </c>
      <c r="AX2364" s="4" t="s">
        <v>228</v>
      </c>
      <c r="AY2364" s="8" t="s">
        <v>228</v>
      </c>
      <c r="AZ2364" s="7" t="s">
        <v>228</v>
      </c>
      <c r="BA2364" s="7" t="s">
        <v>228</v>
      </c>
      <c r="BB2364" s="7"/>
      <c r="BC2364" s="4" t="s">
        <v>228</v>
      </c>
      <c r="BD2364" s="8" t="s">
        <v>228</v>
      </c>
      <c r="BE2364" s="4" t="s">
        <v>228</v>
      </c>
      <c r="BF2364" s="8" t="s">
        <v>228</v>
      </c>
      <c r="BG2364" s="7" t="s">
        <v>228</v>
      </c>
      <c r="BH2364" s="7" t="s">
        <v>228</v>
      </c>
      <c r="BI2364" s="7"/>
      <c r="BJ2364" s="4">
        <v>103</v>
      </c>
      <c r="BK2364" s="8">
        <v>7450.21</v>
      </c>
      <c r="BL2364" s="2" t="s">
        <v>11025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11026</v>
      </c>
      <c r="BV2364" s="2" t="s">
        <v>228</v>
      </c>
      <c r="BW2364" s="2" t="s">
        <v>228</v>
      </c>
      <c r="BX2364" s="2" t="s">
        <v>273</v>
      </c>
      <c r="BY2364" s="2" t="s">
        <v>274</v>
      </c>
      <c r="BZ2364" s="2" t="s">
        <v>240</v>
      </c>
      <c r="CA2364" s="2" t="s">
        <v>4976</v>
      </c>
      <c r="CB2364" s="2" t="s">
        <v>9056</v>
      </c>
      <c r="CC2364" s="2" t="s">
        <v>241</v>
      </c>
      <c r="CD2364" s="2" t="s">
        <v>228</v>
      </c>
      <c r="CE2364" s="4">
        <v>1</v>
      </c>
      <c r="CF2364" s="4">
        <v>655</v>
      </c>
      <c r="CG2364" s="4"/>
      <c r="CH2364" s="4"/>
      <c r="CI2364" s="4"/>
      <c r="CJ2364" s="4"/>
      <c r="CK2364" s="4"/>
      <c r="CL2364" s="4"/>
      <c r="CM2364" s="4"/>
      <c r="CN2364" s="4"/>
      <c r="CO2364" s="4"/>
      <c r="CP2364" s="4"/>
      <c r="CQ2364" s="4"/>
      <c r="CR2364" s="4"/>
      <c r="CS2364" s="4"/>
      <c r="CT2364" s="4"/>
      <c r="CU2364" s="4"/>
      <c r="CV2364" s="4"/>
      <c r="CW2364" s="4"/>
      <c r="CX2364" s="4"/>
      <c r="CY2364" s="4"/>
      <c r="CZ2364" s="4"/>
      <c r="DA2364" s="4"/>
      <c r="DB2364" s="4"/>
      <c r="DC2364" s="4"/>
      <c r="DD2364" s="4"/>
      <c r="DE2364" s="4"/>
      <c r="DF2364" s="4"/>
      <c r="DG2364" s="4"/>
      <c r="DH2364" s="4"/>
      <c r="DI2364" s="4"/>
      <c r="DJ2364" s="4"/>
      <c r="DK2364" s="4"/>
      <c r="DL2364" s="4"/>
      <c r="DM2364" s="4"/>
      <c r="DN2364" s="4"/>
      <c r="DO2364" s="4"/>
      <c r="DP2364" s="4"/>
      <c r="DQ2364" s="4"/>
      <c r="DR2364" s="4"/>
      <c r="DS2364" s="4"/>
      <c r="DT2364" s="4"/>
      <c r="DU2364" s="4"/>
      <c r="DV2364" s="4"/>
      <c r="DW2364" s="4"/>
      <c r="DX2364" s="4"/>
      <c r="DY2364" s="4"/>
      <c r="DZ2364" s="4"/>
      <c r="EA2364" s="4"/>
      <c r="EB2364" s="4"/>
      <c r="EC2364" s="4"/>
      <c r="ED2364" s="4"/>
      <c r="EE2364" s="4"/>
      <c r="EF2364" s="4"/>
      <c r="EG2364" s="4"/>
      <c r="EH2364" s="4"/>
      <c r="EI2364" s="4"/>
      <c r="EJ2364" s="4"/>
      <c r="EK2364" s="4"/>
      <c r="EL2364" s="4"/>
      <c r="EM2364" s="4"/>
      <c r="EN2364" s="4"/>
      <c r="EO2364" s="4"/>
      <c r="EP2364" s="4"/>
      <c r="EQ2364" s="4"/>
      <c r="ER2364" s="4"/>
      <c r="ES2364" s="4"/>
      <c r="ET2364" s="4"/>
      <c r="EU2364" s="4"/>
      <c r="EV2364" s="4"/>
      <c r="EW2364" s="4"/>
      <c r="EX2364" s="4"/>
      <c r="EY2364" s="4"/>
      <c r="EZ2364" s="4"/>
      <c r="FA2364" s="4"/>
      <c r="FB2364" s="4"/>
      <c r="FC2364" s="4"/>
      <c r="FD2364" s="4"/>
      <c r="FE2364" s="4"/>
      <c r="FF2364" s="4"/>
      <c r="FG2364" s="4"/>
      <c r="FH2364" s="4"/>
      <c r="FI2364" s="4"/>
      <c r="FJ2364" s="4"/>
      <c r="FK2364" s="4"/>
      <c r="FL2364" s="4"/>
      <c r="FM2364" s="4"/>
      <c r="FN2364" s="4"/>
      <c r="FO2364" s="4"/>
      <c r="FP2364" s="4"/>
      <c r="FQ2364" s="4"/>
      <c r="FR2364" s="4"/>
      <c r="FS2364" s="4"/>
      <c r="FT2364" s="4"/>
      <c r="FU2364" s="4"/>
      <c r="FV2364" s="4"/>
      <c r="FW2364" s="4"/>
      <c r="FX2364" s="4"/>
      <c r="FY2364" s="4"/>
      <c r="FZ2364" s="4"/>
      <c r="GA2364" s="4"/>
      <c r="GB2364" s="4">
        <v>650</v>
      </c>
      <c r="GC2364" s="4"/>
      <c r="GD2364" s="4"/>
      <c r="GE2364" s="4"/>
      <c r="GF2364" s="4"/>
      <c r="GG2364" s="4"/>
      <c r="GH2364" s="4"/>
      <c r="GI2364" s="4"/>
      <c r="GJ2364" s="4"/>
      <c r="GK2364" s="4"/>
      <c r="GL2364" s="4"/>
      <c r="GM2364" s="4"/>
      <c r="GN2364" s="4"/>
      <c r="GO2364" s="4"/>
      <c r="GP2364" s="4"/>
      <c r="GQ2364" s="4"/>
      <c r="GR2364" s="4"/>
      <c r="GS2364" s="4"/>
      <c r="GT2364" s="4"/>
      <c r="GU2364" s="4"/>
      <c r="GV2364" s="4"/>
      <c r="GW2364" s="4"/>
      <c r="GX2364" s="4"/>
      <c r="GY2364" s="4"/>
      <c r="GZ2364" s="4"/>
      <c r="HA2364" s="4"/>
      <c r="HB2364" s="4"/>
      <c r="HC2364" s="4"/>
      <c r="HD2364" s="4"/>
      <c r="HE2364" s="4"/>
    </row>
    <row r="2365">
      <c r="A2365" s="2" t="s">
        <v>11027</v>
      </c>
      <c r="B2365" s="2" t="s">
        <v>958</v>
      </c>
      <c r="C2365" s="2" t="s">
        <v>300</v>
      </c>
      <c r="D2365" s="2" t="s">
        <v>2144</v>
      </c>
      <c r="E2365" s="2" t="s">
        <v>6389</v>
      </c>
      <c r="F2365" s="2" t="s">
        <v>7522</v>
      </c>
      <c r="G2365" s="2" t="s">
        <v>11028</v>
      </c>
      <c r="H2365" s="2" t="s">
        <v>7088</v>
      </c>
      <c r="I2365" s="2" t="s">
        <v>11029</v>
      </c>
      <c r="J2365" s="2" t="s">
        <v>840</v>
      </c>
      <c r="K2365" s="2" t="s">
        <v>1357</v>
      </c>
      <c r="L2365" s="3">
        <v>198</v>
      </c>
      <c r="M2365" s="3">
        <v>207.9</v>
      </c>
      <c r="N2365" s="3">
        <v>419</v>
      </c>
      <c r="O2365" s="2" t="s">
        <v>461</v>
      </c>
      <c r="P2365" s="2" t="s">
        <v>333</v>
      </c>
      <c r="Q2365" s="2" t="s">
        <v>234</v>
      </c>
      <c r="R2365" s="2" t="s">
        <v>228</v>
      </c>
      <c r="S2365" s="2" t="s">
        <v>228</v>
      </c>
      <c r="T2365" s="2" t="s">
        <v>228</v>
      </c>
      <c r="U2365" s="2" t="s">
        <v>228</v>
      </c>
      <c r="V2365" s="2" t="s">
        <v>842</v>
      </c>
      <c r="W2365" s="2" t="s">
        <v>3057</v>
      </c>
      <c r="X2365" s="2" t="s">
        <v>269</v>
      </c>
      <c r="Y2365" s="2" t="s">
        <v>11030</v>
      </c>
      <c r="Z2365" s="4">
        <v>15</v>
      </c>
      <c r="AA2365" s="4">
        <f>=ROUNDDOWN(37.5,0)</f>
      </c>
      <c r="AB2365" s="5">
        <v>0.4</v>
      </c>
      <c r="AC2365" s="2" t="s">
        <v>228</v>
      </c>
      <c r="AD2365" s="4"/>
      <c r="AE2365" s="4"/>
      <c r="AF2365" s="6">
        <v>65</v>
      </c>
      <c r="AG2365" s="6"/>
      <c r="AH2365" s="7">
        <v>1</v>
      </c>
      <c r="AI2365" s="4"/>
      <c r="AJ2365" s="4">
        <f>=ROUNDDOWN({0},0)</f>
      </c>
      <c r="AK2365" s="5"/>
      <c r="AL2365" s="2" t="s">
        <v>228</v>
      </c>
      <c r="AM2365" s="4"/>
      <c r="AN2365" s="4"/>
      <c r="AO2365" s="7"/>
      <c r="AP2365" s="4"/>
      <c r="AQ2365" s="8"/>
      <c r="AR2365" s="4"/>
      <c r="AS2365" s="8"/>
      <c r="AT2365" s="7"/>
      <c r="AU2365" s="7"/>
      <c r="AV2365" s="4" t="s">
        <v>228</v>
      </c>
      <c r="AW2365" s="8" t="s">
        <v>228</v>
      </c>
      <c r="AX2365" s="4" t="s">
        <v>228</v>
      </c>
      <c r="AY2365" s="8" t="s">
        <v>228</v>
      </c>
      <c r="AZ2365" s="7" t="s">
        <v>228</v>
      </c>
      <c r="BA2365" s="7" t="s">
        <v>228</v>
      </c>
      <c r="BB2365" s="7" t="s">
        <v>228</v>
      </c>
      <c r="BC2365" s="4" t="s">
        <v>228</v>
      </c>
      <c r="BD2365" s="8" t="s">
        <v>228</v>
      </c>
      <c r="BE2365" s="4" t="s">
        <v>228</v>
      </c>
      <c r="BF2365" s="8" t="s">
        <v>228</v>
      </c>
      <c r="BG2365" s="7" t="s">
        <v>228</v>
      </c>
      <c r="BH2365" s="7" t="s">
        <v>228</v>
      </c>
      <c r="BI2365" s="7"/>
      <c r="BJ2365" s="4"/>
      <c r="BK2365" s="8"/>
      <c r="BL2365" s="2" t="s">
        <v>228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11031</v>
      </c>
      <c r="BV2365" s="2" t="s">
        <v>228</v>
      </c>
      <c r="BW2365" s="2" t="s">
        <v>228</v>
      </c>
      <c r="BX2365" s="2" t="s">
        <v>337</v>
      </c>
      <c r="BY2365" s="2" t="s">
        <v>274</v>
      </c>
      <c r="BZ2365" s="2" t="s">
        <v>240</v>
      </c>
      <c r="CA2365" s="2" t="s">
        <v>5286</v>
      </c>
      <c r="CB2365" s="2" t="s">
        <v>8156</v>
      </c>
      <c r="CC2365" s="2" t="s">
        <v>241</v>
      </c>
      <c r="CD2365" s="2" t="s">
        <v>228</v>
      </c>
      <c r="CE2365" s="4"/>
      <c r="CF2365" s="4">
        <v>15</v>
      </c>
      <c r="CG2365" s="4"/>
      <c r="CH2365" s="4"/>
      <c r="CI2365" s="4"/>
      <c r="CJ2365" s="4"/>
      <c r="CK2365" s="4"/>
      <c r="CL2365" s="4"/>
      <c r="CM2365" s="4"/>
      <c r="CN2365" s="4"/>
      <c r="CO2365" s="4"/>
      <c r="CP2365" s="4"/>
      <c r="CQ2365" s="4"/>
      <c r="CR2365" s="4"/>
      <c r="CS2365" s="4"/>
      <c r="CT2365" s="4"/>
      <c r="CU2365" s="4"/>
      <c r="CV2365" s="4"/>
      <c r="CW2365" s="4"/>
      <c r="CX2365" s="4"/>
      <c r="CY2365" s="4"/>
      <c r="CZ2365" s="4"/>
      <c r="DA2365" s="4"/>
      <c r="DB2365" s="4"/>
      <c r="DC2365" s="4"/>
      <c r="DD2365" s="4"/>
      <c r="DE2365" s="4"/>
      <c r="DF2365" s="4"/>
      <c r="DG2365" s="4"/>
      <c r="DH2365" s="4"/>
      <c r="DI2365" s="4"/>
      <c r="DJ2365" s="4"/>
      <c r="DK2365" s="4"/>
      <c r="DL2365" s="4"/>
      <c r="DM2365" s="4"/>
      <c r="DN2365" s="4"/>
      <c r="DO2365" s="4"/>
      <c r="DP2365" s="4"/>
      <c r="DQ2365" s="4"/>
      <c r="DR2365" s="4"/>
      <c r="DS2365" s="4"/>
      <c r="DT2365" s="4"/>
      <c r="DU2365" s="4"/>
      <c r="DV2365" s="4"/>
      <c r="DW2365" s="4"/>
      <c r="DX2365" s="4"/>
      <c r="DY2365" s="4"/>
      <c r="DZ2365" s="4"/>
      <c r="EA2365" s="4"/>
      <c r="EB2365" s="4"/>
      <c r="EC2365" s="4"/>
      <c r="ED2365" s="4"/>
      <c r="EE2365" s="4"/>
      <c r="EF2365" s="4"/>
      <c r="EG2365" s="4"/>
      <c r="EH2365" s="4"/>
      <c r="EI2365" s="4"/>
      <c r="EJ2365" s="4"/>
      <c r="EK2365" s="4"/>
      <c r="EL2365" s="4"/>
      <c r="EM2365" s="4"/>
      <c r="EN2365" s="4"/>
      <c r="EO2365" s="4"/>
      <c r="EP2365" s="4"/>
      <c r="EQ2365" s="4"/>
      <c r="ER2365" s="4"/>
      <c r="ES2365" s="4"/>
      <c r="ET2365" s="4"/>
      <c r="EU2365" s="4"/>
      <c r="EV2365" s="4"/>
      <c r="EW2365" s="4"/>
      <c r="EX2365" s="4"/>
      <c r="EY2365" s="4"/>
      <c r="EZ2365" s="4"/>
      <c r="FA2365" s="4"/>
      <c r="FB2365" s="4"/>
      <c r="FC2365" s="4"/>
      <c r="FD2365" s="4"/>
      <c r="FE2365" s="4"/>
      <c r="FF2365" s="4"/>
      <c r="FG2365" s="4"/>
      <c r="FH2365" s="4"/>
      <c r="FI2365" s="4"/>
      <c r="FJ2365" s="4"/>
      <c r="FK2365" s="4"/>
      <c r="FL2365" s="4"/>
      <c r="FM2365" s="4"/>
      <c r="FN2365" s="4"/>
      <c r="FO2365" s="4"/>
      <c r="FP2365" s="4"/>
      <c r="FQ2365" s="4"/>
      <c r="FR2365" s="4"/>
      <c r="FS2365" s="4"/>
      <c r="FT2365" s="4"/>
      <c r="FU2365" s="4"/>
      <c r="FV2365" s="4"/>
      <c r="FW2365" s="4"/>
      <c r="FX2365" s="4"/>
      <c r="FY2365" s="4"/>
      <c r="FZ2365" s="4"/>
      <c r="GA2365" s="4"/>
      <c r="GB2365" s="4"/>
      <c r="GC2365" s="4"/>
      <c r="GD2365" s="4"/>
      <c r="GE2365" s="4"/>
      <c r="GF2365" s="4"/>
      <c r="GG2365" s="4"/>
      <c r="GH2365" s="4"/>
      <c r="GI2365" s="4"/>
      <c r="GJ2365" s="4"/>
      <c r="GK2365" s="4"/>
      <c r="GL2365" s="4"/>
      <c r="GM2365" s="4"/>
      <c r="GN2365" s="4"/>
      <c r="GO2365" s="4"/>
      <c r="GP2365" s="4"/>
      <c r="GQ2365" s="4"/>
      <c r="GR2365" s="4"/>
      <c r="GS2365" s="4"/>
      <c r="GT2365" s="4"/>
      <c r="GU2365" s="4"/>
      <c r="GV2365" s="4"/>
      <c r="GW2365" s="4"/>
      <c r="GX2365" s="4"/>
      <c r="GY2365" s="4"/>
      <c r="GZ2365" s="4"/>
      <c r="HA2365" s="4"/>
      <c r="HB2365" s="4"/>
      <c r="HC2365" s="4"/>
      <c r="HD2365" s="4"/>
      <c r="HE2365" s="4"/>
    </row>
    <row r="2366">
      <c r="A2366" s="2" t="s">
        <v>11032</v>
      </c>
      <c r="B2366" s="2" t="s">
        <v>958</v>
      </c>
      <c r="C2366" s="2" t="s">
        <v>300</v>
      </c>
      <c r="D2366" s="2" t="s">
        <v>2144</v>
      </c>
      <c r="E2366" s="2" t="s">
        <v>3272</v>
      </c>
      <c r="F2366" s="2" t="s">
        <v>7522</v>
      </c>
      <c r="G2366" s="2" t="s">
        <v>11028</v>
      </c>
      <c r="H2366" s="2" t="s">
        <v>7088</v>
      </c>
      <c r="I2366" s="2" t="s">
        <v>3272</v>
      </c>
      <c r="J2366" s="2" t="s">
        <v>840</v>
      </c>
      <c r="K2366" s="2" t="s">
        <v>1357</v>
      </c>
      <c r="L2366" s="3">
        <v>118</v>
      </c>
      <c r="M2366" s="3">
        <v>123.9</v>
      </c>
      <c r="N2366" s="3">
        <v>249</v>
      </c>
      <c r="O2366" s="2" t="s">
        <v>461</v>
      </c>
      <c r="P2366" s="2" t="s">
        <v>333</v>
      </c>
      <c r="Q2366" s="2" t="s">
        <v>234</v>
      </c>
      <c r="R2366" s="2" t="s">
        <v>228</v>
      </c>
      <c r="S2366" s="2" t="s">
        <v>228</v>
      </c>
      <c r="T2366" s="2" t="s">
        <v>228</v>
      </c>
      <c r="U2366" s="2" t="s">
        <v>416</v>
      </c>
      <c r="V2366" s="2" t="s">
        <v>842</v>
      </c>
      <c r="W2366" s="2" t="s">
        <v>3057</v>
      </c>
      <c r="X2366" s="2" t="s">
        <v>269</v>
      </c>
      <c r="Y2366" s="2" t="s">
        <v>11030</v>
      </c>
      <c r="Z2366" s="4">
        <v>8</v>
      </c>
      <c r="AA2366" s="4">
        <f>=ROUNDDOWN(10,0)</f>
      </c>
      <c r="AB2366" s="5">
        <v>0.8</v>
      </c>
      <c r="AC2366" s="2" t="s">
        <v>228</v>
      </c>
      <c r="AD2366" s="4"/>
      <c r="AE2366" s="4"/>
      <c r="AF2366" s="6">
        <v>65</v>
      </c>
      <c r="AG2366" s="6"/>
      <c r="AH2366" s="7">
        <v>1</v>
      </c>
      <c r="AI2366" s="4"/>
      <c r="AJ2366" s="4">
        <f>=ROUNDDOWN({0},0)</f>
      </c>
      <c r="AK2366" s="5"/>
      <c r="AL2366" s="2" t="s">
        <v>228</v>
      </c>
      <c r="AM2366" s="4"/>
      <c r="AN2366" s="4"/>
      <c r="AO2366" s="7"/>
      <c r="AP2366" s="4"/>
      <c r="AQ2366" s="8"/>
      <c r="AR2366" s="4"/>
      <c r="AS2366" s="8"/>
      <c r="AT2366" s="7"/>
      <c r="AU2366" s="7"/>
      <c r="AV2366" s="4" t="s">
        <v>228</v>
      </c>
      <c r="AW2366" s="8" t="s">
        <v>228</v>
      </c>
      <c r="AX2366" s="4" t="s">
        <v>228</v>
      </c>
      <c r="AY2366" s="8" t="s">
        <v>228</v>
      </c>
      <c r="AZ2366" s="7" t="s">
        <v>228</v>
      </c>
      <c r="BA2366" s="7" t="s">
        <v>228</v>
      </c>
      <c r="BB2366" s="7" t="s">
        <v>228</v>
      </c>
      <c r="BC2366" s="4" t="s">
        <v>228</v>
      </c>
      <c r="BD2366" s="8" t="s">
        <v>228</v>
      </c>
      <c r="BE2366" s="4" t="s">
        <v>228</v>
      </c>
      <c r="BF2366" s="8" t="s">
        <v>228</v>
      </c>
      <c r="BG2366" s="7" t="s">
        <v>228</v>
      </c>
      <c r="BH2366" s="7" t="s">
        <v>228</v>
      </c>
      <c r="BI2366" s="7"/>
      <c r="BJ2366" s="4">
        <v>1</v>
      </c>
      <c r="BK2366" s="8">
        <v>37.17</v>
      </c>
      <c r="BL2366" s="2" t="s">
        <v>995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11033</v>
      </c>
      <c r="BV2366" s="2" t="s">
        <v>228</v>
      </c>
      <c r="BW2366" s="2" t="s">
        <v>228</v>
      </c>
      <c r="BX2366" s="2" t="s">
        <v>337</v>
      </c>
      <c r="BY2366" s="2" t="s">
        <v>274</v>
      </c>
      <c r="BZ2366" s="2" t="s">
        <v>240</v>
      </c>
      <c r="CA2366" s="2" t="s">
        <v>5286</v>
      </c>
      <c r="CB2366" s="2" t="s">
        <v>3502</v>
      </c>
      <c r="CC2366" s="2" t="s">
        <v>241</v>
      </c>
      <c r="CD2366" s="2" t="s">
        <v>228</v>
      </c>
      <c r="CE2366" s="4"/>
      <c r="CF2366" s="4">
        <v>8</v>
      </c>
      <c r="CG2366" s="4"/>
      <c r="CH2366" s="4"/>
      <c r="CI2366" s="4"/>
      <c r="CJ2366" s="4"/>
      <c r="CK2366" s="4"/>
      <c r="CL2366" s="4"/>
      <c r="CM2366" s="4"/>
      <c r="CN2366" s="4"/>
      <c r="CO2366" s="4"/>
      <c r="CP2366" s="4"/>
      <c r="CQ2366" s="4"/>
      <c r="CR2366" s="4"/>
      <c r="CS2366" s="4"/>
      <c r="CT2366" s="4"/>
      <c r="CU2366" s="4"/>
      <c r="CV2366" s="4"/>
      <c r="CW2366" s="4"/>
      <c r="CX2366" s="4"/>
      <c r="CY2366" s="4"/>
      <c r="CZ2366" s="4"/>
      <c r="DA2366" s="4"/>
      <c r="DB2366" s="4"/>
      <c r="DC2366" s="4"/>
      <c r="DD2366" s="4"/>
      <c r="DE2366" s="4"/>
      <c r="DF2366" s="4"/>
      <c r="DG2366" s="4"/>
      <c r="DH2366" s="4"/>
      <c r="DI2366" s="4"/>
      <c r="DJ2366" s="4"/>
      <c r="DK2366" s="4"/>
      <c r="DL2366" s="4"/>
      <c r="DM2366" s="4"/>
      <c r="DN2366" s="4"/>
      <c r="DO2366" s="4"/>
      <c r="DP2366" s="4"/>
      <c r="DQ2366" s="4"/>
      <c r="DR2366" s="4"/>
      <c r="DS2366" s="4"/>
      <c r="DT2366" s="4"/>
      <c r="DU2366" s="4"/>
      <c r="DV2366" s="4"/>
      <c r="DW2366" s="4"/>
      <c r="DX2366" s="4"/>
      <c r="DY2366" s="4"/>
      <c r="DZ2366" s="4"/>
      <c r="EA2366" s="4"/>
      <c r="EB2366" s="4"/>
      <c r="EC2366" s="4"/>
      <c r="ED2366" s="4"/>
      <c r="EE2366" s="4"/>
      <c r="EF2366" s="4"/>
      <c r="EG2366" s="4"/>
      <c r="EH2366" s="4"/>
      <c r="EI2366" s="4"/>
      <c r="EJ2366" s="4"/>
      <c r="EK2366" s="4"/>
      <c r="EL2366" s="4"/>
      <c r="EM2366" s="4"/>
      <c r="EN2366" s="4"/>
      <c r="EO2366" s="4"/>
      <c r="EP2366" s="4"/>
      <c r="EQ2366" s="4"/>
      <c r="ER2366" s="4"/>
      <c r="ES2366" s="4"/>
      <c r="ET2366" s="4"/>
      <c r="EU2366" s="4"/>
      <c r="EV2366" s="4"/>
      <c r="EW2366" s="4"/>
      <c r="EX2366" s="4"/>
      <c r="EY2366" s="4"/>
      <c r="EZ2366" s="4"/>
      <c r="FA2366" s="4"/>
      <c r="FB2366" s="4"/>
      <c r="FC2366" s="4"/>
      <c r="FD2366" s="4"/>
      <c r="FE2366" s="4"/>
      <c r="FF2366" s="4"/>
      <c r="FG2366" s="4"/>
      <c r="FH2366" s="4"/>
      <c r="FI2366" s="4"/>
      <c r="FJ2366" s="4"/>
      <c r="FK2366" s="4"/>
      <c r="FL2366" s="4"/>
      <c r="FM2366" s="4"/>
      <c r="FN2366" s="4"/>
      <c r="FO2366" s="4"/>
      <c r="FP2366" s="4"/>
      <c r="FQ2366" s="4"/>
      <c r="FR2366" s="4"/>
      <c r="FS2366" s="4"/>
      <c r="FT2366" s="4"/>
      <c r="FU2366" s="4"/>
      <c r="FV2366" s="4"/>
      <c r="FW2366" s="4"/>
      <c r="FX2366" s="4"/>
      <c r="FY2366" s="4"/>
      <c r="FZ2366" s="4"/>
      <c r="GA2366" s="4"/>
      <c r="GB2366" s="4"/>
      <c r="GC2366" s="4"/>
      <c r="GD2366" s="4"/>
      <c r="GE2366" s="4"/>
      <c r="GF2366" s="4"/>
      <c r="GG2366" s="4"/>
      <c r="GH2366" s="4"/>
      <c r="GI2366" s="4"/>
      <c r="GJ2366" s="4"/>
      <c r="GK2366" s="4"/>
      <c r="GL2366" s="4"/>
      <c r="GM2366" s="4"/>
      <c r="GN2366" s="4"/>
      <c r="GO2366" s="4"/>
      <c r="GP2366" s="4"/>
      <c r="GQ2366" s="4"/>
      <c r="GR2366" s="4"/>
      <c r="GS2366" s="4"/>
      <c r="GT2366" s="4"/>
      <c r="GU2366" s="4"/>
      <c r="GV2366" s="4"/>
      <c r="GW2366" s="4"/>
      <c r="GX2366" s="4"/>
      <c r="GY2366" s="4"/>
      <c r="GZ2366" s="4"/>
      <c r="HA2366" s="4"/>
      <c r="HB2366" s="4"/>
      <c r="HC2366" s="4"/>
      <c r="HD2366" s="4"/>
      <c r="HE2366" s="4"/>
    </row>
    <row r="2367">
      <c r="A2367" s="2" t="s">
        <v>11034</v>
      </c>
      <c r="B2367" s="2" t="s">
        <v>1150</v>
      </c>
      <c r="C2367" s="2" t="s">
        <v>1861</v>
      </c>
      <c r="D2367" s="2" t="s">
        <v>1862</v>
      </c>
      <c r="E2367" s="2" t="s">
        <v>1863</v>
      </c>
      <c r="F2367" s="2" t="s">
        <v>11035</v>
      </c>
      <c r="G2367" s="2" t="s">
        <v>11035</v>
      </c>
      <c r="H2367" s="2" t="s">
        <v>11035</v>
      </c>
      <c r="I2367" s="2" t="s">
        <v>2316</v>
      </c>
      <c r="J2367" s="2" t="s">
        <v>1991</v>
      </c>
      <c r="K2367" s="2" t="s">
        <v>1421</v>
      </c>
      <c r="L2367" s="3">
        <v>34.04</v>
      </c>
      <c r="M2367" s="3">
        <v>35.74</v>
      </c>
      <c r="N2367" s="3">
        <v>109.99</v>
      </c>
      <c r="O2367" s="2" t="s">
        <v>240</v>
      </c>
      <c r="P2367" s="2" t="s">
        <v>922</v>
      </c>
      <c r="Q2367" s="2" t="s">
        <v>234</v>
      </c>
      <c r="R2367" s="2" t="s">
        <v>228</v>
      </c>
      <c r="S2367" s="2" t="s">
        <v>228</v>
      </c>
      <c r="T2367" s="2" t="s">
        <v>228</v>
      </c>
      <c r="U2367" s="2" t="s">
        <v>416</v>
      </c>
      <c r="V2367" s="2" t="s">
        <v>236</v>
      </c>
      <c r="W2367" s="2" t="s">
        <v>743</v>
      </c>
      <c r="X2367" s="2" t="s">
        <v>228</v>
      </c>
      <c r="Y2367" s="2" t="s">
        <v>1520</v>
      </c>
      <c r="Z2367" s="4">
        <v>181</v>
      </c>
      <c r="AA2367" s="4">
        <f>=ROUNDDOWN(90.5,0)</f>
      </c>
      <c r="AB2367" s="5">
        <v>2</v>
      </c>
      <c r="AC2367" s="2" t="s">
        <v>228</v>
      </c>
      <c r="AD2367" s="4"/>
      <c r="AE2367" s="4"/>
      <c r="AF2367" s="6">
        <v>65</v>
      </c>
      <c r="AG2367" s="6"/>
      <c r="AH2367" s="7">
        <v>1</v>
      </c>
      <c r="AI2367" s="4"/>
      <c r="AJ2367" s="4">
        <f>=ROUNDDOWN({0},0)</f>
      </c>
      <c r="AK2367" s="5"/>
      <c r="AL2367" s="2" t="s">
        <v>228</v>
      </c>
      <c r="AM2367" s="4"/>
      <c r="AN2367" s="4"/>
      <c r="AO2367" s="7"/>
      <c r="AP2367" s="4"/>
      <c r="AQ2367" s="8"/>
      <c r="AR2367" s="4"/>
      <c r="AS2367" s="8"/>
      <c r="AT2367" s="7"/>
      <c r="AU2367" s="7"/>
      <c r="AV2367" s="4"/>
      <c r="AW2367" s="8"/>
      <c r="AX2367" s="4"/>
      <c r="AY2367" s="8"/>
      <c r="AZ2367" s="7"/>
      <c r="BA2367" s="7"/>
      <c r="BB2367" s="7"/>
      <c r="BC2367" s="4" t="s">
        <v>228</v>
      </c>
      <c r="BD2367" s="8" t="s">
        <v>228</v>
      </c>
      <c r="BE2367" s="4" t="s">
        <v>228</v>
      </c>
      <c r="BF2367" s="8" t="s">
        <v>228</v>
      </c>
      <c r="BG2367" s="7" t="s">
        <v>228</v>
      </c>
      <c r="BH2367" s="7" t="s">
        <v>228</v>
      </c>
      <c r="BI2367" s="7"/>
      <c r="BJ2367" s="4">
        <v>8</v>
      </c>
      <c r="BK2367" s="8">
        <v>366.44</v>
      </c>
      <c r="BL2367" s="2" t="s">
        <v>11036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11037</v>
      </c>
      <c r="BV2367" s="2" t="s">
        <v>228</v>
      </c>
      <c r="BW2367" s="2" t="s">
        <v>228</v>
      </c>
      <c r="BX2367" s="2" t="s">
        <v>337</v>
      </c>
      <c r="BY2367" s="2" t="s">
        <v>274</v>
      </c>
      <c r="BZ2367" s="2" t="s">
        <v>240</v>
      </c>
      <c r="CA2367" s="2" t="s">
        <v>1469</v>
      </c>
      <c r="CB2367" s="2" t="s">
        <v>2240</v>
      </c>
      <c r="CC2367" s="2" t="s">
        <v>241</v>
      </c>
      <c r="CD2367" s="2" t="s">
        <v>228</v>
      </c>
      <c r="CE2367" s="4">
        <v>181</v>
      </c>
      <c r="CF2367" s="4"/>
      <c r="CG2367" s="4"/>
      <c r="CH2367" s="4"/>
      <c r="CI2367" s="4"/>
      <c r="CJ2367" s="4"/>
      <c r="CK2367" s="4"/>
      <c r="CL2367" s="4"/>
      <c r="CM2367" s="4"/>
      <c r="CN2367" s="4"/>
      <c r="CO2367" s="4"/>
      <c r="CP2367" s="4"/>
      <c r="CQ2367" s="4"/>
      <c r="CR2367" s="4"/>
      <c r="CS2367" s="4"/>
      <c r="CT2367" s="4"/>
      <c r="CU2367" s="4"/>
      <c r="CV2367" s="4"/>
      <c r="CW2367" s="4"/>
      <c r="CX2367" s="4"/>
      <c r="CY2367" s="4"/>
      <c r="CZ2367" s="4"/>
      <c r="DA2367" s="4"/>
      <c r="DB2367" s="4"/>
      <c r="DC2367" s="4"/>
      <c r="DD2367" s="4"/>
      <c r="DE2367" s="4"/>
      <c r="DF2367" s="4"/>
      <c r="DG2367" s="4"/>
      <c r="DH2367" s="4"/>
      <c r="DI2367" s="4"/>
      <c r="DJ2367" s="4"/>
      <c r="DK2367" s="4"/>
      <c r="DL2367" s="4"/>
      <c r="DM2367" s="4"/>
      <c r="DN2367" s="4"/>
      <c r="DO2367" s="4"/>
      <c r="DP2367" s="4"/>
      <c r="DQ2367" s="4"/>
      <c r="DR2367" s="4"/>
      <c r="DS2367" s="4"/>
      <c r="DT2367" s="4"/>
      <c r="DU2367" s="4"/>
      <c r="DV2367" s="4"/>
      <c r="DW2367" s="4"/>
      <c r="DX2367" s="4"/>
      <c r="DY2367" s="4"/>
      <c r="DZ2367" s="4"/>
      <c r="EA2367" s="4"/>
      <c r="EB2367" s="4"/>
      <c r="EC2367" s="4"/>
      <c r="ED2367" s="4"/>
      <c r="EE2367" s="4"/>
      <c r="EF2367" s="4"/>
      <c r="EG2367" s="4"/>
      <c r="EH2367" s="4"/>
      <c r="EI2367" s="4"/>
      <c r="EJ2367" s="4"/>
      <c r="EK2367" s="4"/>
      <c r="EL2367" s="4"/>
      <c r="EM2367" s="4"/>
      <c r="EN2367" s="4"/>
      <c r="EO2367" s="4"/>
      <c r="EP2367" s="4"/>
      <c r="EQ2367" s="4"/>
      <c r="ER2367" s="4"/>
      <c r="ES2367" s="4"/>
      <c r="ET2367" s="4"/>
      <c r="EU2367" s="4"/>
      <c r="EV2367" s="4"/>
      <c r="EW2367" s="4"/>
      <c r="EX2367" s="4"/>
      <c r="EY2367" s="4"/>
      <c r="EZ2367" s="4"/>
      <c r="FA2367" s="4"/>
      <c r="FB2367" s="4"/>
      <c r="FC2367" s="4"/>
      <c r="FD2367" s="4"/>
      <c r="FE2367" s="4"/>
      <c r="FF2367" s="4"/>
      <c r="FG2367" s="4"/>
      <c r="FH2367" s="4"/>
      <c r="FI2367" s="4"/>
      <c r="FJ2367" s="4"/>
      <c r="FK2367" s="4"/>
      <c r="FL2367" s="4"/>
      <c r="FM2367" s="4"/>
      <c r="FN2367" s="4"/>
      <c r="FO2367" s="4"/>
      <c r="FP2367" s="4"/>
      <c r="FQ2367" s="4"/>
      <c r="FR2367" s="4"/>
      <c r="FS2367" s="4"/>
      <c r="FT2367" s="4"/>
      <c r="FU2367" s="4"/>
      <c r="FV2367" s="4"/>
      <c r="FW2367" s="4"/>
      <c r="FX2367" s="4"/>
      <c r="FY2367" s="4"/>
      <c r="FZ2367" s="4"/>
      <c r="GA2367" s="4"/>
      <c r="GB2367" s="4"/>
      <c r="GC2367" s="4"/>
      <c r="GD2367" s="4"/>
      <c r="GE2367" s="4"/>
      <c r="GF2367" s="4"/>
      <c r="GG2367" s="4"/>
      <c r="GH2367" s="4"/>
      <c r="GI2367" s="4"/>
      <c r="GJ2367" s="4"/>
      <c r="GK2367" s="4"/>
      <c r="GL2367" s="4"/>
      <c r="GM2367" s="4"/>
      <c r="GN2367" s="4"/>
      <c r="GO2367" s="4"/>
      <c r="GP2367" s="4"/>
      <c r="GQ2367" s="4"/>
      <c r="GR2367" s="4"/>
      <c r="GS2367" s="4"/>
      <c r="GT2367" s="4"/>
      <c r="GU2367" s="4"/>
      <c r="GV2367" s="4"/>
      <c r="GW2367" s="4"/>
      <c r="GX2367" s="4"/>
      <c r="GY2367" s="4"/>
      <c r="GZ2367" s="4"/>
      <c r="HA2367" s="4"/>
      <c r="HB2367" s="4"/>
      <c r="HC2367" s="4"/>
      <c r="HD2367" s="4"/>
      <c r="HE2367" s="4"/>
    </row>
    <row r="2368">
      <c r="A2368" s="2" t="s">
        <v>11038</v>
      </c>
      <c r="B2368" s="2" t="s">
        <v>1150</v>
      </c>
      <c r="C2368" s="2" t="s">
        <v>1861</v>
      </c>
      <c r="D2368" s="2" t="s">
        <v>1862</v>
      </c>
      <c r="E2368" s="2" t="s">
        <v>1863</v>
      </c>
      <c r="F2368" s="2" t="s">
        <v>11035</v>
      </c>
      <c r="G2368" s="2" t="s">
        <v>11035</v>
      </c>
      <c r="H2368" s="2" t="s">
        <v>11035</v>
      </c>
      <c r="I2368" s="2" t="s">
        <v>2316</v>
      </c>
      <c r="J2368" s="2" t="s">
        <v>1991</v>
      </c>
      <c r="K2368" s="2" t="s">
        <v>912</v>
      </c>
      <c r="L2368" s="3">
        <v>34.04</v>
      </c>
      <c r="M2368" s="3">
        <v>35.74</v>
      </c>
      <c r="N2368" s="3">
        <v>109.99</v>
      </c>
      <c r="O2368" s="2" t="s">
        <v>240</v>
      </c>
      <c r="P2368" s="2" t="s">
        <v>1012</v>
      </c>
      <c r="Q2368" s="2" t="s">
        <v>234</v>
      </c>
      <c r="R2368" s="2" t="s">
        <v>228</v>
      </c>
      <c r="S2368" s="2" t="s">
        <v>228</v>
      </c>
      <c r="T2368" s="2" t="s">
        <v>228</v>
      </c>
      <c r="U2368" s="2" t="s">
        <v>416</v>
      </c>
      <c r="V2368" s="2" t="s">
        <v>236</v>
      </c>
      <c r="W2368" s="2" t="s">
        <v>743</v>
      </c>
      <c r="X2368" s="2" t="s">
        <v>228</v>
      </c>
      <c r="Y2368" s="2" t="s">
        <v>1520</v>
      </c>
      <c r="Z2368" s="4">
        <v>135</v>
      </c>
      <c r="AA2368" s="4">
        <f>=ROUNDDOWN(45,0)</f>
      </c>
      <c r="AB2368" s="5">
        <v>3</v>
      </c>
      <c r="AC2368" s="2" t="s">
        <v>228</v>
      </c>
      <c r="AD2368" s="4"/>
      <c r="AE2368" s="4"/>
      <c r="AF2368" s="6">
        <v>65</v>
      </c>
      <c r="AG2368" s="6"/>
      <c r="AH2368" s="7">
        <v>1</v>
      </c>
      <c r="AI2368" s="4"/>
      <c r="AJ2368" s="4">
        <f>=ROUNDDOWN({0},0)</f>
      </c>
      <c r="AK2368" s="5"/>
      <c r="AL2368" s="2" t="s">
        <v>228</v>
      </c>
      <c r="AM2368" s="4"/>
      <c r="AN2368" s="4"/>
      <c r="AO2368" s="7"/>
      <c r="AP2368" s="4"/>
      <c r="AQ2368" s="8"/>
      <c r="AR2368" s="4"/>
      <c r="AS2368" s="8"/>
      <c r="AT2368" s="7"/>
      <c r="AU2368" s="7"/>
      <c r="AV2368" s="4"/>
      <c r="AW2368" s="8"/>
      <c r="AX2368" s="4"/>
      <c r="AY2368" s="8"/>
      <c r="AZ2368" s="7"/>
      <c r="BA2368" s="7"/>
      <c r="BB2368" s="7"/>
      <c r="BC2368" s="4" t="s">
        <v>228</v>
      </c>
      <c r="BD2368" s="8" t="s">
        <v>228</v>
      </c>
      <c r="BE2368" s="4" t="s">
        <v>228</v>
      </c>
      <c r="BF2368" s="8" t="s">
        <v>228</v>
      </c>
      <c r="BG2368" s="7" t="s">
        <v>228</v>
      </c>
      <c r="BH2368" s="7" t="s">
        <v>228</v>
      </c>
      <c r="BI2368" s="7"/>
      <c r="BJ2368" s="4">
        <v>14</v>
      </c>
      <c r="BK2368" s="8">
        <v>539.74</v>
      </c>
      <c r="BL2368" s="2" t="s">
        <v>11039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11040</v>
      </c>
      <c r="BV2368" s="2" t="s">
        <v>228</v>
      </c>
      <c r="BW2368" s="2" t="s">
        <v>228</v>
      </c>
      <c r="BX2368" s="2" t="s">
        <v>273</v>
      </c>
      <c r="BY2368" s="2" t="s">
        <v>274</v>
      </c>
      <c r="BZ2368" s="2" t="s">
        <v>240</v>
      </c>
      <c r="CA2368" s="2" t="s">
        <v>1469</v>
      </c>
      <c r="CB2368" s="2" t="s">
        <v>4962</v>
      </c>
      <c r="CC2368" s="2" t="s">
        <v>241</v>
      </c>
      <c r="CD2368" s="2" t="s">
        <v>228</v>
      </c>
      <c r="CE2368" s="4">
        <v>135</v>
      </c>
      <c r="CF2368" s="4"/>
      <c r="CG2368" s="4"/>
      <c r="CH2368" s="4"/>
      <c r="CI2368" s="4"/>
      <c r="CJ2368" s="4"/>
      <c r="CK2368" s="4"/>
      <c r="CL2368" s="4"/>
      <c r="CM2368" s="4"/>
      <c r="CN2368" s="4"/>
      <c r="CO2368" s="4"/>
      <c r="CP2368" s="4"/>
      <c r="CQ2368" s="4"/>
      <c r="CR2368" s="4"/>
      <c r="CS2368" s="4"/>
      <c r="CT2368" s="4"/>
      <c r="CU2368" s="4"/>
      <c r="CV2368" s="4"/>
      <c r="CW2368" s="4"/>
      <c r="CX2368" s="4"/>
      <c r="CY2368" s="4"/>
      <c r="CZ2368" s="4"/>
      <c r="DA2368" s="4"/>
      <c r="DB2368" s="4"/>
      <c r="DC2368" s="4"/>
      <c r="DD2368" s="4"/>
      <c r="DE2368" s="4"/>
      <c r="DF2368" s="4"/>
      <c r="DG2368" s="4"/>
      <c r="DH2368" s="4"/>
      <c r="DI2368" s="4"/>
      <c r="DJ2368" s="4"/>
      <c r="DK2368" s="4"/>
      <c r="DL2368" s="4"/>
      <c r="DM2368" s="4"/>
      <c r="DN2368" s="4"/>
      <c r="DO2368" s="4"/>
      <c r="DP2368" s="4"/>
      <c r="DQ2368" s="4"/>
      <c r="DR2368" s="4"/>
      <c r="DS2368" s="4"/>
      <c r="DT2368" s="4"/>
      <c r="DU2368" s="4"/>
      <c r="DV2368" s="4"/>
      <c r="DW2368" s="4"/>
      <c r="DX2368" s="4"/>
      <c r="DY2368" s="4"/>
      <c r="DZ2368" s="4"/>
      <c r="EA2368" s="4"/>
      <c r="EB2368" s="4"/>
      <c r="EC2368" s="4"/>
      <c r="ED2368" s="4"/>
      <c r="EE2368" s="4"/>
      <c r="EF2368" s="4"/>
      <c r="EG2368" s="4"/>
      <c r="EH2368" s="4"/>
      <c r="EI2368" s="4"/>
      <c r="EJ2368" s="4"/>
      <c r="EK2368" s="4"/>
      <c r="EL2368" s="4"/>
      <c r="EM2368" s="4"/>
      <c r="EN2368" s="4"/>
      <c r="EO2368" s="4"/>
      <c r="EP2368" s="4"/>
      <c r="EQ2368" s="4"/>
      <c r="ER2368" s="4"/>
      <c r="ES2368" s="4"/>
      <c r="ET2368" s="4"/>
      <c r="EU2368" s="4"/>
      <c r="EV2368" s="4"/>
      <c r="EW2368" s="4"/>
      <c r="EX2368" s="4"/>
      <c r="EY2368" s="4"/>
      <c r="EZ2368" s="4"/>
      <c r="FA2368" s="4"/>
      <c r="FB2368" s="4"/>
      <c r="FC2368" s="4"/>
      <c r="FD2368" s="4"/>
      <c r="FE2368" s="4"/>
      <c r="FF2368" s="4"/>
      <c r="FG2368" s="4"/>
      <c r="FH2368" s="4"/>
      <c r="FI2368" s="4"/>
      <c r="FJ2368" s="4"/>
      <c r="FK2368" s="4"/>
      <c r="FL2368" s="4"/>
      <c r="FM2368" s="4"/>
      <c r="FN2368" s="4"/>
      <c r="FO2368" s="4"/>
      <c r="FP2368" s="4"/>
      <c r="FQ2368" s="4"/>
      <c r="FR2368" s="4"/>
      <c r="FS2368" s="4"/>
      <c r="FT2368" s="4"/>
      <c r="FU2368" s="4"/>
      <c r="FV2368" s="4"/>
      <c r="FW2368" s="4"/>
      <c r="FX2368" s="4"/>
      <c r="FY2368" s="4"/>
      <c r="FZ2368" s="4"/>
      <c r="GA2368" s="4"/>
      <c r="GB2368" s="4"/>
      <c r="GC2368" s="4"/>
      <c r="GD2368" s="4"/>
      <c r="GE2368" s="4"/>
      <c r="GF2368" s="4"/>
      <c r="GG2368" s="4"/>
      <c r="GH2368" s="4"/>
      <c r="GI2368" s="4"/>
      <c r="GJ2368" s="4"/>
      <c r="GK2368" s="4"/>
      <c r="GL2368" s="4"/>
      <c r="GM2368" s="4"/>
      <c r="GN2368" s="4"/>
      <c r="GO2368" s="4"/>
      <c r="GP2368" s="4"/>
      <c r="GQ2368" s="4"/>
      <c r="GR2368" s="4"/>
      <c r="GS2368" s="4"/>
      <c r="GT2368" s="4"/>
      <c r="GU2368" s="4"/>
      <c r="GV2368" s="4"/>
      <c r="GW2368" s="4"/>
      <c r="GX2368" s="4"/>
      <c r="GY2368" s="4"/>
      <c r="GZ2368" s="4"/>
      <c r="HA2368" s="4"/>
      <c r="HB2368" s="4"/>
      <c r="HC2368" s="4"/>
      <c r="HD2368" s="4"/>
      <c r="HE2368" s="4"/>
    </row>
    <row r="2369">
      <c r="A2369" s="2" t="s">
        <v>11041</v>
      </c>
      <c r="B2369" s="2" t="s">
        <v>1150</v>
      </c>
      <c r="C2369" s="2" t="s">
        <v>1861</v>
      </c>
      <c r="D2369" s="2" t="s">
        <v>1862</v>
      </c>
      <c r="E2369" s="2" t="s">
        <v>1863</v>
      </c>
      <c r="F2369" s="2" t="s">
        <v>11035</v>
      </c>
      <c r="G2369" s="2" t="s">
        <v>11035</v>
      </c>
      <c r="H2369" s="2" t="s">
        <v>11035</v>
      </c>
      <c r="I2369" s="2" t="s">
        <v>2316</v>
      </c>
      <c r="J2369" s="2" t="s">
        <v>1991</v>
      </c>
      <c r="K2369" s="2" t="s">
        <v>251</v>
      </c>
      <c r="L2369" s="3">
        <v>34.04</v>
      </c>
      <c r="M2369" s="3">
        <v>35.74</v>
      </c>
      <c r="N2369" s="3">
        <v>109.99</v>
      </c>
      <c r="O2369" s="2" t="s">
        <v>240</v>
      </c>
      <c r="P2369" s="2" t="s">
        <v>266</v>
      </c>
      <c r="Q2369" s="2" t="s">
        <v>234</v>
      </c>
      <c r="R2369" s="2" t="s">
        <v>228</v>
      </c>
      <c r="S2369" s="2" t="s">
        <v>228</v>
      </c>
      <c r="T2369" s="2" t="s">
        <v>228</v>
      </c>
      <c r="U2369" s="2" t="s">
        <v>416</v>
      </c>
      <c r="V2369" s="2" t="s">
        <v>236</v>
      </c>
      <c r="W2369" s="2" t="s">
        <v>743</v>
      </c>
      <c r="X2369" s="2" t="s">
        <v>228</v>
      </c>
      <c r="Y2369" s="2" t="s">
        <v>1520</v>
      </c>
      <c r="Z2369" s="4">
        <v>165</v>
      </c>
      <c r="AA2369" s="4">
        <f>=ROUNDDOWN(55,0)</f>
      </c>
      <c r="AB2369" s="5">
        <v>3</v>
      </c>
      <c r="AC2369" s="2" t="s">
        <v>228</v>
      </c>
      <c r="AD2369" s="4"/>
      <c r="AE2369" s="4"/>
      <c r="AF2369" s="6">
        <v>65</v>
      </c>
      <c r="AG2369" s="6"/>
      <c r="AH2369" s="7">
        <v>1</v>
      </c>
      <c r="AI2369" s="4"/>
      <c r="AJ2369" s="4">
        <f>=ROUNDDOWN({0},0)</f>
      </c>
      <c r="AK2369" s="5"/>
      <c r="AL2369" s="2" t="s">
        <v>228</v>
      </c>
      <c r="AM2369" s="4"/>
      <c r="AN2369" s="4"/>
      <c r="AO2369" s="7"/>
      <c r="AP2369" s="4"/>
      <c r="AQ2369" s="8"/>
      <c r="AR2369" s="4"/>
      <c r="AS2369" s="8"/>
      <c r="AT2369" s="7"/>
      <c r="AU2369" s="7"/>
      <c r="AV2369" s="4"/>
      <c r="AW2369" s="8"/>
      <c r="AX2369" s="4"/>
      <c r="AY2369" s="8"/>
      <c r="AZ2369" s="7"/>
      <c r="BA2369" s="7"/>
      <c r="BB2369" s="7"/>
      <c r="BC2369" s="4" t="s">
        <v>228</v>
      </c>
      <c r="BD2369" s="8" t="s">
        <v>228</v>
      </c>
      <c r="BE2369" s="4" t="s">
        <v>228</v>
      </c>
      <c r="BF2369" s="8" t="s">
        <v>228</v>
      </c>
      <c r="BG2369" s="7" t="s">
        <v>228</v>
      </c>
      <c r="BH2369" s="7" t="s">
        <v>228</v>
      </c>
      <c r="BI2369" s="7"/>
      <c r="BJ2369" s="4">
        <v>11</v>
      </c>
      <c r="BK2369" s="8">
        <v>437.69</v>
      </c>
      <c r="BL2369" s="2" t="s">
        <v>4127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11042</v>
      </c>
      <c r="BV2369" s="2" t="s">
        <v>228</v>
      </c>
      <c r="BW2369" s="2" t="s">
        <v>228</v>
      </c>
      <c r="BX2369" s="2" t="s">
        <v>273</v>
      </c>
      <c r="BY2369" s="2" t="s">
        <v>274</v>
      </c>
      <c r="BZ2369" s="2" t="s">
        <v>240</v>
      </c>
      <c r="CA2369" s="2" t="s">
        <v>1469</v>
      </c>
      <c r="CB2369" s="2" t="s">
        <v>4962</v>
      </c>
      <c r="CC2369" s="2" t="s">
        <v>241</v>
      </c>
      <c r="CD2369" s="2" t="s">
        <v>228</v>
      </c>
      <c r="CE2369" s="4">
        <v>165</v>
      </c>
      <c r="CF2369" s="4"/>
      <c r="CG2369" s="4"/>
      <c r="CH2369" s="4"/>
      <c r="CI2369" s="4"/>
      <c r="CJ2369" s="4"/>
      <c r="CK2369" s="4"/>
      <c r="CL2369" s="4"/>
      <c r="CM2369" s="4"/>
      <c r="CN2369" s="4"/>
      <c r="CO2369" s="4"/>
      <c r="CP2369" s="4"/>
      <c r="CQ2369" s="4"/>
      <c r="CR2369" s="4"/>
      <c r="CS2369" s="4"/>
      <c r="CT2369" s="4"/>
      <c r="CU2369" s="4"/>
      <c r="CV2369" s="4"/>
      <c r="CW2369" s="4"/>
      <c r="CX2369" s="4"/>
      <c r="CY2369" s="4"/>
      <c r="CZ2369" s="4"/>
      <c r="DA2369" s="4"/>
      <c r="DB2369" s="4"/>
      <c r="DC2369" s="4"/>
      <c r="DD2369" s="4"/>
      <c r="DE2369" s="4"/>
      <c r="DF2369" s="4"/>
      <c r="DG2369" s="4"/>
      <c r="DH2369" s="4"/>
      <c r="DI2369" s="4"/>
      <c r="DJ2369" s="4"/>
      <c r="DK2369" s="4"/>
      <c r="DL2369" s="4"/>
      <c r="DM2369" s="4"/>
      <c r="DN2369" s="4"/>
      <c r="DO2369" s="4"/>
      <c r="DP2369" s="4"/>
      <c r="DQ2369" s="4"/>
      <c r="DR2369" s="4"/>
      <c r="DS2369" s="4"/>
      <c r="DT2369" s="4"/>
      <c r="DU2369" s="4"/>
      <c r="DV2369" s="4"/>
      <c r="DW2369" s="4"/>
      <c r="DX2369" s="4"/>
      <c r="DY2369" s="4"/>
      <c r="DZ2369" s="4"/>
      <c r="EA2369" s="4"/>
      <c r="EB2369" s="4"/>
      <c r="EC2369" s="4"/>
      <c r="ED2369" s="4"/>
      <c r="EE2369" s="4"/>
      <c r="EF2369" s="4"/>
      <c r="EG2369" s="4"/>
      <c r="EH2369" s="4"/>
      <c r="EI2369" s="4"/>
      <c r="EJ2369" s="4"/>
      <c r="EK2369" s="4"/>
      <c r="EL2369" s="4"/>
      <c r="EM2369" s="4"/>
      <c r="EN2369" s="4"/>
      <c r="EO2369" s="4"/>
      <c r="EP2369" s="4"/>
      <c r="EQ2369" s="4"/>
      <c r="ER2369" s="4"/>
      <c r="ES2369" s="4"/>
      <c r="ET2369" s="4"/>
      <c r="EU2369" s="4"/>
      <c r="EV2369" s="4"/>
      <c r="EW2369" s="4"/>
      <c r="EX2369" s="4"/>
      <c r="EY2369" s="4"/>
      <c r="EZ2369" s="4"/>
      <c r="FA2369" s="4"/>
      <c r="FB2369" s="4"/>
      <c r="FC2369" s="4"/>
      <c r="FD2369" s="4"/>
      <c r="FE2369" s="4"/>
      <c r="FF2369" s="4"/>
      <c r="FG2369" s="4"/>
      <c r="FH2369" s="4"/>
      <c r="FI2369" s="4"/>
      <c r="FJ2369" s="4"/>
      <c r="FK2369" s="4"/>
      <c r="FL2369" s="4"/>
      <c r="FM2369" s="4"/>
      <c r="FN2369" s="4"/>
      <c r="FO2369" s="4"/>
      <c r="FP2369" s="4"/>
      <c r="FQ2369" s="4"/>
      <c r="FR2369" s="4"/>
      <c r="FS2369" s="4"/>
      <c r="FT2369" s="4"/>
      <c r="FU2369" s="4"/>
      <c r="FV2369" s="4"/>
      <c r="FW2369" s="4"/>
      <c r="FX2369" s="4"/>
      <c r="FY2369" s="4"/>
      <c r="FZ2369" s="4"/>
      <c r="GA2369" s="4"/>
      <c r="GB2369" s="4"/>
      <c r="GC2369" s="4"/>
      <c r="GD2369" s="4"/>
      <c r="GE2369" s="4"/>
      <c r="GF2369" s="4"/>
      <c r="GG2369" s="4"/>
      <c r="GH2369" s="4"/>
      <c r="GI2369" s="4"/>
      <c r="GJ2369" s="4"/>
      <c r="GK2369" s="4"/>
      <c r="GL2369" s="4"/>
      <c r="GM2369" s="4"/>
      <c r="GN2369" s="4"/>
      <c r="GO2369" s="4"/>
      <c r="GP2369" s="4"/>
      <c r="GQ2369" s="4"/>
      <c r="GR2369" s="4"/>
      <c r="GS2369" s="4"/>
      <c r="GT2369" s="4"/>
      <c r="GU2369" s="4"/>
      <c r="GV2369" s="4"/>
      <c r="GW2369" s="4"/>
      <c r="GX2369" s="4"/>
      <c r="GY2369" s="4"/>
      <c r="GZ2369" s="4"/>
      <c r="HA2369" s="4"/>
      <c r="HB2369" s="4"/>
      <c r="HC2369" s="4"/>
      <c r="HD2369" s="4"/>
      <c r="HE2369" s="4"/>
    </row>
    <row r="2370">
      <c r="A2370" s="2" t="s">
        <v>11043</v>
      </c>
      <c r="B2370" s="2" t="s">
        <v>258</v>
      </c>
      <c r="C2370" s="2" t="s">
        <v>300</v>
      </c>
      <c r="D2370" s="2" t="s">
        <v>225</v>
      </c>
      <c r="E2370" s="2" t="s">
        <v>2943</v>
      </c>
      <c r="F2370" s="2" t="s">
        <v>11044</v>
      </c>
      <c r="G2370" s="2" t="s">
        <v>11045</v>
      </c>
      <c r="H2370" s="2" t="s">
        <v>11045</v>
      </c>
      <c r="I2370" s="2" t="s">
        <v>11046</v>
      </c>
      <c r="J2370" s="2" t="s">
        <v>264</v>
      </c>
      <c r="K2370" s="2" t="s">
        <v>305</v>
      </c>
      <c r="L2370" s="3">
        <v>16.45</v>
      </c>
      <c r="M2370" s="3">
        <v>17.27</v>
      </c>
      <c r="N2370" s="3">
        <v>34.99</v>
      </c>
      <c r="O2370" s="2" t="s">
        <v>240</v>
      </c>
      <c r="P2370" s="2" t="s">
        <v>233</v>
      </c>
      <c r="Q2370" s="2" t="s">
        <v>234</v>
      </c>
      <c r="R2370" s="2" t="s">
        <v>228</v>
      </c>
      <c r="S2370" s="2" t="s">
        <v>11047</v>
      </c>
      <c r="T2370" s="2" t="s">
        <v>415</v>
      </c>
      <c r="U2370" s="2" t="s">
        <v>416</v>
      </c>
      <c r="V2370" s="2" t="s">
        <v>236</v>
      </c>
      <c r="W2370" s="2" t="s">
        <v>269</v>
      </c>
      <c r="X2370" s="2" t="s">
        <v>228</v>
      </c>
      <c r="Y2370" s="2" t="s">
        <v>1270</v>
      </c>
      <c r="Z2370" s="4">
        <v>410</v>
      </c>
      <c r="AA2370" s="4">
        <f>=ROUNDDOWN(12.8125,0)</f>
      </c>
      <c r="AB2370" s="5">
        <v>32</v>
      </c>
      <c r="AC2370" s="2" t="s">
        <v>1527</v>
      </c>
      <c r="AD2370" s="4">
        <v>410</v>
      </c>
      <c r="AE2370" s="4">
        <v>410</v>
      </c>
      <c r="AF2370" s="6">
        <v>65</v>
      </c>
      <c r="AG2370" s="6"/>
      <c r="AH2370" s="7">
        <v>1</v>
      </c>
      <c r="AI2370" s="4"/>
      <c r="AJ2370" s="4">
        <f>=ROUNDDOWN({0},0)</f>
      </c>
      <c r="AK2370" s="5"/>
      <c r="AL2370" s="2" t="s">
        <v>228</v>
      </c>
      <c r="AM2370" s="4"/>
      <c r="AN2370" s="4"/>
      <c r="AO2370" s="7"/>
      <c r="AP2370" s="4"/>
      <c r="AQ2370" s="8"/>
      <c r="AR2370" s="4"/>
      <c r="AS2370" s="8"/>
      <c r="AT2370" s="7"/>
      <c r="AU2370" s="7"/>
      <c r="AV2370" s="4" t="s">
        <v>228</v>
      </c>
      <c r="AW2370" s="8" t="s">
        <v>228</v>
      </c>
      <c r="AX2370" s="4" t="s">
        <v>228</v>
      </c>
      <c r="AY2370" s="8" t="s">
        <v>228</v>
      </c>
      <c r="AZ2370" s="7" t="s">
        <v>228</v>
      </c>
      <c r="BA2370" s="7" t="s">
        <v>228</v>
      </c>
      <c r="BB2370" s="7"/>
      <c r="BC2370" s="4" t="s">
        <v>228</v>
      </c>
      <c r="BD2370" s="8" t="s">
        <v>228</v>
      </c>
      <c r="BE2370" s="4" t="s">
        <v>228</v>
      </c>
      <c r="BF2370" s="8" t="s">
        <v>228</v>
      </c>
      <c r="BG2370" s="7" t="s">
        <v>228</v>
      </c>
      <c r="BH2370" s="7" t="s">
        <v>228</v>
      </c>
      <c r="BI2370" s="7"/>
      <c r="BJ2370" s="4"/>
      <c r="BK2370" s="8"/>
      <c r="BL2370" s="2" t="s">
        <v>228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11048</v>
      </c>
      <c r="BV2370" s="2" t="s">
        <v>228</v>
      </c>
      <c r="BW2370" s="2" t="s">
        <v>228</v>
      </c>
      <c r="BX2370" s="2" t="s">
        <v>735</v>
      </c>
      <c r="BY2370" s="2" t="s">
        <v>274</v>
      </c>
      <c r="BZ2370" s="2" t="s">
        <v>240</v>
      </c>
      <c r="CA2370" s="2" t="s">
        <v>2102</v>
      </c>
      <c r="CB2370" s="2" t="s">
        <v>228</v>
      </c>
      <c r="CC2370" s="2" t="s">
        <v>241</v>
      </c>
      <c r="CD2370" s="2" t="s">
        <v>228</v>
      </c>
      <c r="CE2370" s="4">
        <v>410</v>
      </c>
      <c r="CF2370" s="4"/>
      <c r="CG2370" s="4"/>
      <c r="CH2370" s="4"/>
      <c r="CI2370" s="4"/>
      <c r="CJ2370" s="4"/>
      <c r="CK2370" s="4"/>
      <c r="CL2370" s="4"/>
      <c r="CM2370" s="4"/>
      <c r="CN2370" s="4"/>
      <c r="CO2370" s="4"/>
      <c r="CP2370" s="4"/>
      <c r="CQ2370" s="4"/>
      <c r="CR2370" s="4"/>
      <c r="CS2370" s="4"/>
      <c r="CT2370" s="4"/>
      <c r="CU2370" s="4"/>
      <c r="CV2370" s="4"/>
      <c r="CW2370" s="4"/>
      <c r="CX2370" s="4"/>
      <c r="CY2370" s="4"/>
      <c r="CZ2370" s="4"/>
      <c r="DA2370" s="4"/>
      <c r="DB2370" s="4"/>
      <c r="DC2370" s="4"/>
      <c r="DD2370" s="4"/>
      <c r="DE2370" s="4"/>
      <c r="DF2370" s="4"/>
      <c r="DG2370" s="4"/>
      <c r="DH2370" s="4"/>
      <c r="DI2370" s="4"/>
      <c r="DJ2370" s="4"/>
      <c r="DK2370" s="4"/>
      <c r="DL2370" s="4"/>
      <c r="DM2370" s="4"/>
      <c r="DN2370" s="4"/>
      <c r="DO2370" s="4"/>
      <c r="DP2370" s="4"/>
      <c r="DQ2370" s="4"/>
      <c r="DR2370" s="4"/>
      <c r="DS2370" s="4"/>
      <c r="DT2370" s="4"/>
      <c r="DU2370" s="4"/>
      <c r="DV2370" s="4"/>
      <c r="DW2370" s="4"/>
      <c r="DX2370" s="4"/>
      <c r="DY2370" s="4"/>
      <c r="DZ2370" s="4"/>
      <c r="EA2370" s="4"/>
      <c r="EB2370" s="4"/>
      <c r="EC2370" s="4"/>
      <c r="ED2370" s="4"/>
      <c r="EE2370" s="4"/>
      <c r="EF2370" s="4"/>
      <c r="EG2370" s="4"/>
      <c r="EH2370" s="4">
        <v>410</v>
      </c>
      <c r="EI2370" s="4"/>
      <c r="EJ2370" s="4"/>
      <c r="EK2370" s="4"/>
      <c r="EL2370" s="4"/>
      <c r="EM2370" s="4"/>
      <c r="EN2370" s="4"/>
      <c r="EO2370" s="4"/>
      <c r="EP2370" s="4"/>
      <c r="EQ2370" s="4"/>
      <c r="ER2370" s="4"/>
      <c r="ES2370" s="4"/>
      <c r="ET2370" s="4"/>
      <c r="EU2370" s="4"/>
      <c r="EV2370" s="4"/>
      <c r="EW2370" s="4"/>
      <c r="EX2370" s="4"/>
      <c r="EY2370" s="4"/>
      <c r="EZ2370" s="4"/>
      <c r="FA2370" s="4"/>
      <c r="FB2370" s="4"/>
      <c r="FC2370" s="4"/>
      <c r="FD2370" s="4"/>
      <c r="FE2370" s="4"/>
      <c r="FF2370" s="4"/>
      <c r="FG2370" s="4"/>
      <c r="FH2370" s="4"/>
      <c r="FI2370" s="4"/>
      <c r="FJ2370" s="4"/>
      <c r="FK2370" s="4"/>
      <c r="FL2370" s="4"/>
      <c r="FM2370" s="4"/>
      <c r="FN2370" s="4"/>
      <c r="FO2370" s="4"/>
      <c r="FP2370" s="4"/>
      <c r="FQ2370" s="4"/>
      <c r="FR2370" s="4"/>
      <c r="FS2370" s="4"/>
      <c r="FT2370" s="4"/>
      <c r="FU2370" s="4"/>
      <c r="FV2370" s="4"/>
      <c r="FW2370" s="4"/>
      <c r="FX2370" s="4"/>
      <c r="FY2370" s="4"/>
      <c r="FZ2370" s="4"/>
      <c r="GA2370" s="4"/>
      <c r="GB2370" s="4"/>
      <c r="GC2370" s="4"/>
      <c r="GD2370" s="4"/>
      <c r="GE2370" s="4"/>
      <c r="GF2370" s="4"/>
      <c r="GG2370" s="4"/>
      <c r="GH2370" s="4"/>
      <c r="GI2370" s="4"/>
      <c r="GJ2370" s="4"/>
      <c r="GK2370" s="4"/>
      <c r="GL2370" s="4"/>
      <c r="GM2370" s="4"/>
      <c r="GN2370" s="4"/>
      <c r="GO2370" s="4"/>
      <c r="GP2370" s="4"/>
      <c r="GQ2370" s="4"/>
      <c r="GR2370" s="4"/>
      <c r="GS2370" s="4"/>
      <c r="GT2370" s="4"/>
      <c r="GU2370" s="4"/>
      <c r="GV2370" s="4"/>
      <c r="GW2370" s="4"/>
      <c r="GX2370" s="4"/>
      <c r="GY2370" s="4"/>
      <c r="GZ2370" s="4"/>
      <c r="HA2370" s="4"/>
      <c r="HB2370" s="4"/>
      <c r="HC2370" s="4"/>
      <c r="HD2370" s="4"/>
      <c r="HE2370" s="4"/>
    </row>
    <row r="2371">
      <c r="A2371" s="2" t="s">
        <v>11049</v>
      </c>
      <c r="B2371" s="2" t="s">
        <v>258</v>
      </c>
      <c r="C2371" s="2" t="s">
        <v>300</v>
      </c>
      <c r="D2371" s="2" t="s">
        <v>225</v>
      </c>
      <c r="E2371" s="2" t="s">
        <v>2943</v>
      </c>
      <c r="F2371" s="2" t="s">
        <v>11044</v>
      </c>
      <c r="G2371" s="2" t="s">
        <v>11045</v>
      </c>
      <c r="H2371" s="2" t="s">
        <v>11045</v>
      </c>
      <c r="I2371" s="2" t="s">
        <v>11046</v>
      </c>
      <c r="J2371" s="2" t="s">
        <v>1189</v>
      </c>
      <c r="K2371" s="2" t="s">
        <v>305</v>
      </c>
      <c r="L2371" s="3">
        <v>22.05</v>
      </c>
      <c r="M2371" s="3">
        <v>23.15</v>
      </c>
      <c r="N2371" s="3">
        <v>44.99</v>
      </c>
      <c r="O2371" s="2" t="s">
        <v>240</v>
      </c>
      <c r="P2371" s="2" t="s">
        <v>233</v>
      </c>
      <c r="Q2371" s="2" t="s">
        <v>234</v>
      </c>
      <c r="R2371" s="2" t="s">
        <v>228</v>
      </c>
      <c r="S2371" s="2" t="s">
        <v>11047</v>
      </c>
      <c r="T2371" s="2" t="s">
        <v>415</v>
      </c>
      <c r="U2371" s="2" t="s">
        <v>416</v>
      </c>
      <c r="V2371" s="2" t="s">
        <v>236</v>
      </c>
      <c r="W2371" s="2" t="s">
        <v>269</v>
      </c>
      <c r="X2371" s="2" t="s">
        <v>228</v>
      </c>
      <c r="Y2371" s="2" t="s">
        <v>10777</v>
      </c>
      <c r="Z2371" s="4">
        <v>940</v>
      </c>
      <c r="AA2371" s="4">
        <f>=ROUNDDOWN(20,0)</f>
      </c>
      <c r="AB2371" s="5">
        <v>47</v>
      </c>
      <c r="AC2371" s="2" t="s">
        <v>1527</v>
      </c>
      <c r="AD2371" s="4">
        <v>940</v>
      </c>
      <c r="AE2371" s="4">
        <v>940</v>
      </c>
      <c r="AF2371" s="6">
        <v>65</v>
      </c>
      <c r="AG2371" s="6"/>
      <c r="AH2371" s="7">
        <v>1</v>
      </c>
      <c r="AI2371" s="4"/>
      <c r="AJ2371" s="4">
        <f>=ROUNDDOWN({0},0)</f>
      </c>
      <c r="AK2371" s="5"/>
      <c r="AL2371" s="2" t="s">
        <v>228</v>
      </c>
      <c r="AM2371" s="4"/>
      <c r="AN2371" s="4"/>
      <c r="AO2371" s="7"/>
      <c r="AP2371" s="4"/>
      <c r="AQ2371" s="8"/>
      <c r="AR2371" s="4"/>
      <c r="AS2371" s="8"/>
      <c r="AT2371" s="7"/>
      <c r="AU2371" s="7"/>
      <c r="AV2371" s="4" t="s">
        <v>228</v>
      </c>
      <c r="AW2371" s="8" t="s">
        <v>228</v>
      </c>
      <c r="AX2371" s="4" t="s">
        <v>228</v>
      </c>
      <c r="AY2371" s="8" t="s">
        <v>228</v>
      </c>
      <c r="AZ2371" s="7" t="s">
        <v>228</v>
      </c>
      <c r="BA2371" s="7" t="s">
        <v>228</v>
      </c>
      <c r="BB2371" s="7"/>
      <c r="BC2371" s="4" t="s">
        <v>228</v>
      </c>
      <c r="BD2371" s="8" t="s">
        <v>228</v>
      </c>
      <c r="BE2371" s="4" t="s">
        <v>228</v>
      </c>
      <c r="BF2371" s="8" t="s">
        <v>228</v>
      </c>
      <c r="BG2371" s="7" t="s">
        <v>228</v>
      </c>
      <c r="BH2371" s="7" t="s">
        <v>228</v>
      </c>
      <c r="BI2371" s="7"/>
      <c r="BJ2371" s="4"/>
      <c r="BK2371" s="8"/>
      <c r="BL2371" s="2" t="s">
        <v>228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11050</v>
      </c>
      <c r="BV2371" s="2" t="s">
        <v>228</v>
      </c>
      <c r="BW2371" s="2" t="s">
        <v>228</v>
      </c>
      <c r="BX2371" s="2" t="s">
        <v>735</v>
      </c>
      <c r="BY2371" s="2" t="s">
        <v>274</v>
      </c>
      <c r="BZ2371" s="2" t="s">
        <v>240</v>
      </c>
      <c r="CA2371" s="2" t="s">
        <v>2102</v>
      </c>
      <c r="CB2371" s="2" t="s">
        <v>228</v>
      </c>
      <c r="CC2371" s="2" t="s">
        <v>241</v>
      </c>
      <c r="CD2371" s="2" t="s">
        <v>228</v>
      </c>
      <c r="CE2371" s="4">
        <v>940</v>
      </c>
      <c r="CF2371" s="4"/>
      <c r="CG2371" s="4"/>
      <c r="CH2371" s="4"/>
      <c r="CI2371" s="4"/>
      <c r="CJ2371" s="4"/>
      <c r="CK2371" s="4"/>
      <c r="CL2371" s="4"/>
      <c r="CM2371" s="4"/>
      <c r="CN2371" s="4"/>
      <c r="CO2371" s="4"/>
      <c r="CP2371" s="4"/>
      <c r="CQ2371" s="4"/>
      <c r="CR2371" s="4"/>
      <c r="CS2371" s="4"/>
      <c r="CT2371" s="4"/>
      <c r="CU2371" s="4"/>
      <c r="CV2371" s="4"/>
      <c r="CW2371" s="4"/>
      <c r="CX2371" s="4"/>
      <c r="CY2371" s="4"/>
      <c r="CZ2371" s="4"/>
      <c r="DA2371" s="4"/>
      <c r="DB2371" s="4"/>
      <c r="DC2371" s="4"/>
      <c r="DD2371" s="4"/>
      <c r="DE2371" s="4"/>
      <c r="DF2371" s="4"/>
      <c r="DG2371" s="4"/>
      <c r="DH2371" s="4"/>
      <c r="DI2371" s="4"/>
      <c r="DJ2371" s="4"/>
      <c r="DK2371" s="4"/>
      <c r="DL2371" s="4"/>
      <c r="DM2371" s="4"/>
      <c r="DN2371" s="4"/>
      <c r="DO2371" s="4"/>
      <c r="DP2371" s="4"/>
      <c r="DQ2371" s="4"/>
      <c r="DR2371" s="4"/>
      <c r="DS2371" s="4"/>
      <c r="DT2371" s="4"/>
      <c r="DU2371" s="4"/>
      <c r="DV2371" s="4"/>
      <c r="DW2371" s="4"/>
      <c r="DX2371" s="4"/>
      <c r="DY2371" s="4"/>
      <c r="DZ2371" s="4"/>
      <c r="EA2371" s="4"/>
      <c r="EB2371" s="4"/>
      <c r="EC2371" s="4"/>
      <c r="ED2371" s="4"/>
      <c r="EE2371" s="4"/>
      <c r="EF2371" s="4"/>
      <c r="EG2371" s="4"/>
      <c r="EH2371" s="4">
        <v>940</v>
      </c>
      <c r="EI2371" s="4"/>
      <c r="EJ2371" s="4"/>
      <c r="EK2371" s="4"/>
      <c r="EL2371" s="4"/>
      <c r="EM2371" s="4"/>
      <c r="EN2371" s="4"/>
      <c r="EO2371" s="4"/>
      <c r="EP2371" s="4"/>
      <c r="EQ2371" s="4"/>
      <c r="ER2371" s="4"/>
      <c r="ES2371" s="4"/>
      <c r="ET2371" s="4"/>
      <c r="EU2371" s="4"/>
      <c r="EV2371" s="4"/>
      <c r="EW2371" s="4"/>
      <c r="EX2371" s="4"/>
      <c r="EY2371" s="4"/>
      <c r="EZ2371" s="4"/>
      <c r="FA2371" s="4"/>
      <c r="FB2371" s="4"/>
      <c r="FC2371" s="4"/>
      <c r="FD2371" s="4"/>
      <c r="FE2371" s="4"/>
      <c r="FF2371" s="4"/>
      <c r="FG2371" s="4"/>
      <c r="FH2371" s="4"/>
      <c r="FI2371" s="4"/>
      <c r="FJ2371" s="4"/>
      <c r="FK2371" s="4"/>
      <c r="FL2371" s="4"/>
      <c r="FM2371" s="4"/>
      <c r="FN2371" s="4"/>
      <c r="FO2371" s="4"/>
      <c r="FP2371" s="4"/>
      <c r="FQ2371" s="4"/>
      <c r="FR2371" s="4"/>
      <c r="FS2371" s="4"/>
      <c r="FT2371" s="4"/>
      <c r="FU2371" s="4"/>
      <c r="FV2371" s="4"/>
      <c r="FW2371" s="4"/>
      <c r="FX2371" s="4"/>
      <c r="FY2371" s="4"/>
      <c r="FZ2371" s="4"/>
      <c r="GA2371" s="4"/>
      <c r="GB2371" s="4"/>
      <c r="GC2371" s="4"/>
      <c r="GD2371" s="4"/>
      <c r="GE2371" s="4"/>
      <c r="GF2371" s="4"/>
      <c r="GG2371" s="4"/>
      <c r="GH2371" s="4"/>
      <c r="GI2371" s="4"/>
      <c r="GJ2371" s="4"/>
      <c r="GK2371" s="4"/>
      <c r="GL2371" s="4"/>
      <c r="GM2371" s="4"/>
      <c r="GN2371" s="4"/>
      <c r="GO2371" s="4"/>
      <c r="GP2371" s="4"/>
      <c r="GQ2371" s="4"/>
      <c r="GR2371" s="4"/>
      <c r="GS2371" s="4"/>
      <c r="GT2371" s="4"/>
      <c r="GU2371" s="4"/>
      <c r="GV2371" s="4"/>
      <c r="GW2371" s="4"/>
      <c r="GX2371" s="4"/>
      <c r="GY2371" s="4"/>
      <c r="GZ2371" s="4"/>
      <c r="HA2371" s="4"/>
      <c r="HB2371" s="4"/>
      <c r="HC2371" s="4"/>
      <c r="HD2371" s="4"/>
      <c r="HE2371" s="4"/>
    </row>
    <row r="2372">
      <c r="A2372" s="2" t="s">
        <v>11051</v>
      </c>
      <c r="B2372" s="2" t="s">
        <v>258</v>
      </c>
      <c r="C2372" s="2" t="s">
        <v>300</v>
      </c>
      <c r="D2372" s="2" t="s">
        <v>225</v>
      </c>
      <c r="E2372" s="2" t="s">
        <v>2943</v>
      </c>
      <c r="F2372" s="2" t="s">
        <v>11044</v>
      </c>
      <c r="G2372" s="2" t="s">
        <v>11045</v>
      </c>
      <c r="H2372" s="2" t="s">
        <v>11045</v>
      </c>
      <c r="I2372" s="2" t="s">
        <v>11046</v>
      </c>
      <c r="J2372" s="2" t="s">
        <v>294</v>
      </c>
      <c r="K2372" s="2" t="s">
        <v>305</v>
      </c>
      <c r="L2372" s="3">
        <v>27.5</v>
      </c>
      <c r="M2372" s="3">
        <v>28.88</v>
      </c>
      <c r="N2372" s="3">
        <v>54.99</v>
      </c>
      <c r="O2372" s="2" t="s">
        <v>240</v>
      </c>
      <c r="P2372" s="2" t="s">
        <v>233</v>
      </c>
      <c r="Q2372" s="2" t="s">
        <v>234</v>
      </c>
      <c r="R2372" s="2" t="s">
        <v>228</v>
      </c>
      <c r="S2372" s="2" t="s">
        <v>11047</v>
      </c>
      <c r="T2372" s="2" t="s">
        <v>415</v>
      </c>
      <c r="U2372" s="2" t="s">
        <v>416</v>
      </c>
      <c r="V2372" s="2" t="s">
        <v>236</v>
      </c>
      <c r="W2372" s="2" t="s">
        <v>269</v>
      </c>
      <c r="X2372" s="2" t="s">
        <v>228</v>
      </c>
      <c r="Y2372" s="2" t="s">
        <v>1270</v>
      </c>
      <c r="Z2372" s="4">
        <v>650</v>
      </c>
      <c r="AA2372" s="4">
        <f>=ROUNDDOWN(19.6969696969697,0)</f>
      </c>
      <c r="AB2372" s="5">
        <v>33</v>
      </c>
      <c r="AC2372" s="2" t="s">
        <v>1527</v>
      </c>
      <c r="AD2372" s="4">
        <v>650</v>
      </c>
      <c r="AE2372" s="4">
        <v>650</v>
      </c>
      <c r="AF2372" s="6">
        <v>65</v>
      </c>
      <c r="AG2372" s="6"/>
      <c r="AH2372" s="7">
        <v>1</v>
      </c>
      <c r="AI2372" s="4"/>
      <c r="AJ2372" s="4">
        <f>=ROUNDDOWN({0},0)</f>
      </c>
      <c r="AK2372" s="5"/>
      <c r="AL2372" s="2" t="s">
        <v>228</v>
      </c>
      <c r="AM2372" s="4"/>
      <c r="AN2372" s="4"/>
      <c r="AO2372" s="7"/>
      <c r="AP2372" s="4"/>
      <c r="AQ2372" s="8"/>
      <c r="AR2372" s="4"/>
      <c r="AS2372" s="8"/>
      <c r="AT2372" s="7"/>
      <c r="AU2372" s="7"/>
      <c r="AV2372" s="4" t="s">
        <v>228</v>
      </c>
      <c r="AW2372" s="8" t="s">
        <v>228</v>
      </c>
      <c r="AX2372" s="4" t="s">
        <v>228</v>
      </c>
      <c r="AY2372" s="8" t="s">
        <v>228</v>
      </c>
      <c r="AZ2372" s="7" t="s">
        <v>228</v>
      </c>
      <c r="BA2372" s="7" t="s">
        <v>228</v>
      </c>
      <c r="BB2372" s="7"/>
      <c r="BC2372" s="4" t="s">
        <v>228</v>
      </c>
      <c r="BD2372" s="8" t="s">
        <v>228</v>
      </c>
      <c r="BE2372" s="4" t="s">
        <v>228</v>
      </c>
      <c r="BF2372" s="8" t="s">
        <v>228</v>
      </c>
      <c r="BG2372" s="7" t="s">
        <v>228</v>
      </c>
      <c r="BH2372" s="7" t="s">
        <v>228</v>
      </c>
      <c r="BI2372" s="7"/>
      <c r="BJ2372" s="4"/>
      <c r="BK2372" s="8"/>
      <c r="BL2372" s="2" t="s">
        <v>228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11052</v>
      </c>
      <c r="BV2372" s="2" t="s">
        <v>228</v>
      </c>
      <c r="BW2372" s="2" t="s">
        <v>228</v>
      </c>
      <c r="BX2372" s="2" t="s">
        <v>735</v>
      </c>
      <c r="BY2372" s="2" t="s">
        <v>274</v>
      </c>
      <c r="BZ2372" s="2" t="s">
        <v>240</v>
      </c>
      <c r="CA2372" s="2" t="s">
        <v>2102</v>
      </c>
      <c r="CB2372" s="2" t="s">
        <v>228</v>
      </c>
      <c r="CC2372" s="2" t="s">
        <v>241</v>
      </c>
      <c r="CD2372" s="2" t="s">
        <v>228</v>
      </c>
      <c r="CE2372" s="4">
        <v>650</v>
      </c>
      <c r="CF2372" s="4"/>
      <c r="CG2372" s="4"/>
      <c r="CH2372" s="4"/>
      <c r="CI2372" s="4"/>
      <c r="CJ2372" s="4"/>
      <c r="CK2372" s="4"/>
      <c r="CL2372" s="4"/>
      <c r="CM2372" s="4"/>
      <c r="CN2372" s="4"/>
      <c r="CO2372" s="4"/>
      <c r="CP2372" s="4"/>
      <c r="CQ2372" s="4"/>
      <c r="CR2372" s="4"/>
      <c r="CS2372" s="4"/>
      <c r="CT2372" s="4"/>
      <c r="CU2372" s="4"/>
      <c r="CV2372" s="4"/>
      <c r="CW2372" s="4"/>
      <c r="CX2372" s="4"/>
      <c r="CY2372" s="4"/>
      <c r="CZ2372" s="4"/>
      <c r="DA2372" s="4"/>
      <c r="DB2372" s="4"/>
      <c r="DC2372" s="4"/>
      <c r="DD2372" s="4"/>
      <c r="DE2372" s="4"/>
      <c r="DF2372" s="4"/>
      <c r="DG2372" s="4"/>
      <c r="DH2372" s="4"/>
      <c r="DI2372" s="4"/>
      <c r="DJ2372" s="4"/>
      <c r="DK2372" s="4"/>
      <c r="DL2372" s="4"/>
      <c r="DM2372" s="4"/>
      <c r="DN2372" s="4"/>
      <c r="DO2372" s="4"/>
      <c r="DP2372" s="4"/>
      <c r="DQ2372" s="4"/>
      <c r="DR2372" s="4"/>
      <c r="DS2372" s="4"/>
      <c r="DT2372" s="4"/>
      <c r="DU2372" s="4"/>
      <c r="DV2372" s="4"/>
      <c r="DW2372" s="4"/>
      <c r="DX2372" s="4"/>
      <c r="DY2372" s="4"/>
      <c r="DZ2372" s="4"/>
      <c r="EA2372" s="4"/>
      <c r="EB2372" s="4"/>
      <c r="EC2372" s="4"/>
      <c r="ED2372" s="4"/>
      <c r="EE2372" s="4"/>
      <c r="EF2372" s="4"/>
      <c r="EG2372" s="4"/>
      <c r="EH2372" s="4">
        <v>650</v>
      </c>
      <c r="EI2372" s="4"/>
      <c r="EJ2372" s="4"/>
      <c r="EK2372" s="4"/>
      <c r="EL2372" s="4"/>
      <c r="EM2372" s="4"/>
      <c r="EN2372" s="4"/>
      <c r="EO2372" s="4"/>
      <c r="EP2372" s="4"/>
      <c r="EQ2372" s="4"/>
      <c r="ER2372" s="4"/>
      <c r="ES2372" s="4"/>
      <c r="ET2372" s="4"/>
      <c r="EU2372" s="4"/>
      <c r="EV2372" s="4"/>
      <c r="EW2372" s="4"/>
      <c r="EX2372" s="4"/>
      <c r="EY2372" s="4"/>
      <c r="EZ2372" s="4"/>
      <c r="FA2372" s="4"/>
      <c r="FB2372" s="4"/>
      <c r="FC2372" s="4"/>
      <c r="FD2372" s="4"/>
      <c r="FE2372" s="4"/>
      <c r="FF2372" s="4"/>
      <c r="FG2372" s="4"/>
      <c r="FH2372" s="4"/>
      <c r="FI2372" s="4"/>
      <c r="FJ2372" s="4"/>
      <c r="FK2372" s="4"/>
      <c r="FL2372" s="4"/>
      <c r="FM2372" s="4"/>
      <c r="FN2372" s="4"/>
      <c r="FO2372" s="4"/>
      <c r="FP2372" s="4"/>
      <c r="FQ2372" s="4"/>
      <c r="FR2372" s="4"/>
      <c r="FS2372" s="4"/>
      <c r="FT2372" s="4"/>
      <c r="FU2372" s="4"/>
      <c r="FV2372" s="4"/>
      <c r="FW2372" s="4"/>
      <c r="FX2372" s="4"/>
      <c r="FY2372" s="4"/>
      <c r="FZ2372" s="4"/>
      <c r="GA2372" s="4"/>
      <c r="GB2372" s="4"/>
      <c r="GC2372" s="4"/>
      <c r="GD2372" s="4"/>
      <c r="GE2372" s="4"/>
      <c r="GF2372" s="4"/>
      <c r="GG2372" s="4"/>
      <c r="GH2372" s="4"/>
      <c r="GI2372" s="4"/>
      <c r="GJ2372" s="4"/>
      <c r="GK2372" s="4"/>
      <c r="GL2372" s="4"/>
      <c r="GM2372" s="4"/>
      <c r="GN2372" s="4"/>
      <c r="GO2372" s="4"/>
      <c r="GP2372" s="4"/>
      <c r="GQ2372" s="4"/>
      <c r="GR2372" s="4"/>
      <c r="GS2372" s="4"/>
      <c r="GT2372" s="4"/>
      <c r="GU2372" s="4"/>
      <c r="GV2372" s="4"/>
      <c r="GW2372" s="4"/>
      <c r="GX2372" s="4"/>
      <c r="GY2372" s="4"/>
      <c r="GZ2372" s="4"/>
      <c r="HA2372" s="4"/>
      <c r="HB2372" s="4"/>
      <c r="HC2372" s="4"/>
      <c r="HD2372" s="4"/>
      <c r="HE2372" s="4"/>
    </row>
    <row r="2373">
      <c r="A2373" s="2" t="s">
        <v>11053</v>
      </c>
      <c r="B2373" s="2" t="s">
        <v>258</v>
      </c>
      <c r="C2373" s="2" t="s">
        <v>300</v>
      </c>
      <c r="D2373" s="2" t="s">
        <v>225</v>
      </c>
      <c r="E2373" s="2" t="s">
        <v>2943</v>
      </c>
      <c r="F2373" s="2" t="s">
        <v>11044</v>
      </c>
      <c r="G2373" s="2" t="s">
        <v>11045</v>
      </c>
      <c r="H2373" s="2" t="s">
        <v>11045</v>
      </c>
      <c r="I2373" s="2" t="s">
        <v>11046</v>
      </c>
      <c r="J2373" s="2" t="s">
        <v>294</v>
      </c>
      <c r="K2373" s="2" t="s">
        <v>556</v>
      </c>
      <c r="L2373" s="3">
        <v>27.5</v>
      </c>
      <c r="M2373" s="3">
        <v>28.88</v>
      </c>
      <c r="N2373" s="3">
        <v>54.99</v>
      </c>
      <c r="O2373" s="2" t="s">
        <v>240</v>
      </c>
      <c r="P2373" s="2" t="s">
        <v>266</v>
      </c>
      <c r="Q2373" s="2" t="s">
        <v>234</v>
      </c>
      <c r="R2373" s="2" t="s">
        <v>228</v>
      </c>
      <c r="S2373" s="2" t="s">
        <v>228</v>
      </c>
      <c r="T2373" s="2" t="s">
        <v>415</v>
      </c>
      <c r="U2373" s="2" t="s">
        <v>228</v>
      </c>
      <c r="V2373" s="2" t="s">
        <v>236</v>
      </c>
      <c r="W2373" s="2" t="s">
        <v>269</v>
      </c>
      <c r="X2373" s="2" t="s">
        <v>228</v>
      </c>
      <c r="Y2373" s="2" t="s">
        <v>1055</v>
      </c>
      <c r="Z2373" s="4">
        <v>469</v>
      </c>
      <c r="AA2373" s="4">
        <f>=ROUNDDOWN(21.3181818181818,0)</f>
      </c>
      <c r="AB2373" s="5">
        <v>22</v>
      </c>
      <c r="AC2373" s="2" t="s">
        <v>1014</v>
      </c>
      <c r="AD2373" s="4">
        <v>250</v>
      </c>
      <c r="AE2373" s="4">
        <v>520</v>
      </c>
      <c r="AF2373" s="6">
        <v>65</v>
      </c>
      <c r="AG2373" s="6"/>
      <c r="AH2373" s="7">
        <v>1</v>
      </c>
      <c r="AI2373" s="4"/>
      <c r="AJ2373" s="4">
        <f>=ROUNDDOWN({0},0)</f>
      </c>
      <c r="AK2373" s="5"/>
      <c r="AL2373" s="2" t="s">
        <v>228</v>
      </c>
      <c r="AM2373" s="4"/>
      <c r="AN2373" s="4"/>
      <c r="AO2373" s="7"/>
      <c r="AP2373" s="4"/>
      <c r="AQ2373" s="8"/>
      <c r="AR2373" s="4"/>
      <c r="AS2373" s="8"/>
      <c r="AT2373" s="7"/>
      <c r="AU2373" s="7"/>
      <c r="AV2373" s="4"/>
      <c r="AW2373" s="8"/>
      <c r="AX2373" s="4"/>
      <c r="AY2373" s="8"/>
      <c r="AZ2373" s="7"/>
      <c r="BA2373" s="7"/>
      <c r="BB2373" s="7"/>
      <c r="BC2373" s="4" t="s">
        <v>228</v>
      </c>
      <c r="BD2373" s="8" t="s">
        <v>228</v>
      </c>
      <c r="BE2373" s="4" t="s">
        <v>228</v>
      </c>
      <c r="BF2373" s="8" t="s">
        <v>228</v>
      </c>
      <c r="BG2373" s="7" t="s">
        <v>228</v>
      </c>
      <c r="BH2373" s="7" t="s">
        <v>228</v>
      </c>
      <c r="BI2373" s="7"/>
      <c r="BJ2373" s="4">
        <v>85</v>
      </c>
      <c r="BK2373" s="8">
        <v>2281.53</v>
      </c>
      <c r="BL2373" s="2" t="s">
        <v>11054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11055</v>
      </c>
      <c r="BV2373" s="2" t="s">
        <v>228</v>
      </c>
      <c r="BW2373" s="2" t="s">
        <v>228</v>
      </c>
      <c r="BX2373" s="2" t="s">
        <v>735</v>
      </c>
      <c r="BY2373" s="2" t="s">
        <v>274</v>
      </c>
      <c r="BZ2373" s="2" t="s">
        <v>240</v>
      </c>
      <c r="CA2373" s="2" t="s">
        <v>11056</v>
      </c>
      <c r="CB2373" s="2" t="s">
        <v>4025</v>
      </c>
      <c r="CC2373" s="2" t="s">
        <v>241</v>
      </c>
      <c r="CD2373" s="2" t="s">
        <v>228</v>
      </c>
      <c r="CE2373" s="4">
        <v>469</v>
      </c>
      <c r="CF2373" s="4"/>
      <c r="CG2373" s="4"/>
      <c r="CH2373" s="4"/>
      <c r="CI2373" s="4"/>
      <c r="CJ2373" s="4"/>
      <c r="CK2373" s="4"/>
      <c r="CL2373" s="4"/>
      <c r="CM2373" s="4"/>
      <c r="CN2373" s="4"/>
      <c r="CO2373" s="4"/>
      <c r="CP2373" s="4"/>
      <c r="CQ2373" s="4"/>
      <c r="CR2373" s="4"/>
      <c r="CS2373" s="4"/>
      <c r="CT2373" s="4"/>
      <c r="CU2373" s="4"/>
      <c r="CV2373" s="4"/>
      <c r="CW2373" s="4"/>
      <c r="CX2373" s="4"/>
      <c r="CY2373" s="4"/>
      <c r="CZ2373" s="4"/>
      <c r="DA2373" s="4"/>
      <c r="DB2373" s="4"/>
      <c r="DC2373" s="4"/>
      <c r="DD2373" s="4"/>
      <c r="DE2373" s="4"/>
      <c r="DF2373" s="4"/>
      <c r="DG2373" s="4"/>
      <c r="DH2373" s="4"/>
      <c r="DI2373" s="4"/>
      <c r="DJ2373" s="4"/>
      <c r="DK2373" s="4"/>
      <c r="DL2373" s="4"/>
      <c r="DM2373" s="4"/>
      <c r="DN2373" s="4"/>
      <c r="DO2373" s="4"/>
      <c r="DP2373" s="4">
        <v>250</v>
      </c>
      <c r="DQ2373" s="4"/>
      <c r="DR2373" s="4"/>
      <c r="DS2373" s="4"/>
      <c r="DT2373" s="4"/>
      <c r="DU2373" s="4"/>
      <c r="DV2373" s="4"/>
      <c r="DW2373" s="4"/>
      <c r="DX2373" s="4"/>
      <c r="DY2373" s="4"/>
      <c r="DZ2373" s="4"/>
      <c r="EA2373" s="4"/>
      <c r="EB2373" s="4"/>
      <c r="EC2373" s="4"/>
      <c r="ED2373" s="4"/>
      <c r="EE2373" s="4"/>
      <c r="EF2373" s="4"/>
      <c r="EG2373" s="4"/>
      <c r="EH2373" s="4"/>
      <c r="EI2373" s="4"/>
      <c r="EJ2373" s="4"/>
      <c r="EK2373" s="4">
        <v>50</v>
      </c>
      <c r="EL2373" s="4"/>
      <c r="EM2373" s="4">
        <v>50</v>
      </c>
      <c r="EN2373" s="4"/>
      <c r="EO2373" s="4"/>
      <c r="EP2373" s="4"/>
      <c r="EQ2373" s="4"/>
      <c r="ER2373" s="4"/>
      <c r="ES2373" s="4"/>
      <c r="ET2373" s="4"/>
      <c r="EU2373" s="4"/>
      <c r="EV2373" s="4"/>
      <c r="EW2373" s="4"/>
      <c r="EX2373" s="4"/>
      <c r="EY2373" s="4"/>
      <c r="EZ2373" s="4"/>
      <c r="FA2373" s="4"/>
      <c r="FB2373" s="4"/>
      <c r="FC2373" s="4"/>
      <c r="FD2373" s="4"/>
      <c r="FE2373" s="4"/>
      <c r="FF2373" s="4"/>
      <c r="FG2373" s="4"/>
      <c r="FH2373" s="4"/>
      <c r="FI2373" s="4"/>
      <c r="FJ2373" s="4"/>
      <c r="FK2373" s="4"/>
      <c r="FL2373" s="4"/>
      <c r="FM2373" s="4"/>
      <c r="FN2373" s="4"/>
      <c r="FO2373" s="4"/>
      <c r="FP2373" s="4"/>
      <c r="FQ2373" s="4"/>
      <c r="FR2373" s="4"/>
      <c r="FS2373" s="4">
        <v>170</v>
      </c>
      <c r="FT2373" s="4"/>
      <c r="FU2373" s="4"/>
      <c r="FV2373" s="4"/>
      <c r="FW2373" s="4"/>
      <c r="FX2373" s="4"/>
      <c r="FY2373" s="4"/>
      <c r="FZ2373" s="4"/>
      <c r="GA2373" s="4"/>
      <c r="GB2373" s="4"/>
      <c r="GC2373" s="4"/>
      <c r="GD2373" s="4"/>
      <c r="GE2373" s="4"/>
      <c r="GF2373" s="4"/>
      <c r="GG2373" s="4"/>
      <c r="GH2373" s="4"/>
      <c r="GI2373" s="4"/>
      <c r="GJ2373" s="4"/>
      <c r="GK2373" s="4"/>
      <c r="GL2373" s="4"/>
      <c r="GM2373" s="4"/>
      <c r="GN2373" s="4"/>
      <c r="GO2373" s="4"/>
      <c r="GP2373" s="4"/>
      <c r="GQ2373" s="4"/>
      <c r="GR2373" s="4"/>
      <c r="GS2373" s="4"/>
      <c r="GT2373" s="4"/>
      <c r="GU2373" s="4"/>
      <c r="GV2373" s="4"/>
      <c r="GW2373" s="4"/>
      <c r="GX2373" s="4"/>
      <c r="GY2373" s="4"/>
      <c r="GZ2373" s="4"/>
      <c r="HA2373" s="4"/>
      <c r="HB2373" s="4"/>
      <c r="HC2373" s="4"/>
      <c r="HD2373" s="4"/>
      <c r="HE2373" s="4"/>
    </row>
    <row r="2374">
      <c r="A2374" s="2" t="s">
        <v>11057</v>
      </c>
      <c r="B2374" s="2" t="s">
        <v>258</v>
      </c>
      <c r="C2374" s="2" t="s">
        <v>300</v>
      </c>
      <c r="D2374" s="2" t="s">
        <v>1112</v>
      </c>
      <c r="E2374" s="2" t="s">
        <v>1165</v>
      </c>
      <c r="F2374" s="2" t="s">
        <v>11058</v>
      </c>
      <c r="G2374" s="2" t="s">
        <v>11058</v>
      </c>
      <c r="H2374" s="2" t="s">
        <v>11058</v>
      </c>
      <c r="I2374" s="2" t="s">
        <v>11059</v>
      </c>
      <c r="J2374" s="2" t="s">
        <v>856</v>
      </c>
      <c r="K2374" s="2" t="s">
        <v>249</v>
      </c>
      <c r="L2374" s="3">
        <v>21.45</v>
      </c>
      <c r="M2374" s="3">
        <v>22.52</v>
      </c>
      <c r="N2374" s="3">
        <v>36.99</v>
      </c>
      <c r="O2374" s="2" t="s">
        <v>491</v>
      </c>
      <c r="P2374" s="2" t="s">
        <v>1116</v>
      </c>
      <c r="Q2374" s="2" t="s">
        <v>234</v>
      </c>
      <c r="R2374" s="2" t="s">
        <v>727</v>
      </c>
      <c r="S2374" s="2" t="s">
        <v>228</v>
      </c>
      <c r="T2374" s="2" t="s">
        <v>228</v>
      </c>
      <c r="U2374" s="2" t="s">
        <v>416</v>
      </c>
      <c r="V2374" s="2" t="s">
        <v>236</v>
      </c>
      <c r="W2374" s="2" t="s">
        <v>228</v>
      </c>
      <c r="X2374" s="2" t="s">
        <v>228</v>
      </c>
      <c r="Y2374" s="2" t="s">
        <v>464</v>
      </c>
      <c r="Z2374" s="4">
        <v>21</v>
      </c>
      <c r="AA2374" s="4">
        <f>=ROUNDDOWN(5.25,0)</f>
      </c>
      <c r="AB2374" s="5">
        <v>4</v>
      </c>
      <c r="AC2374" s="2" t="s">
        <v>228</v>
      </c>
      <c r="AD2374" s="4"/>
      <c r="AE2374" s="4"/>
      <c r="AF2374" s="6">
        <v>65</v>
      </c>
      <c r="AG2374" s="6"/>
      <c r="AH2374" s="7">
        <v>0.6452</v>
      </c>
      <c r="AI2374" s="4"/>
      <c r="AJ2374" s="4">
        <f>=ROUNDDOWN({0},0)</f>
      </c>
      <c r="AK2374" s="5"/>
      <c r="AL2374" s="2" t="s">
        <v>228</v>
      </c>
      <c r="AM2374" s="4"/>
      <c r="AN2374" s="4"/>
      <c r="AO2374" s="7"/>
      <c r="AP2374" s="4"/>
      <c r="AQ2374" s="8"/>
      <c r="AR2374" s="4"/>
      <c r="AS2374" s="8"/>
      <c r="AT2374" s="7"/>
      <c r="AU2374" s="7"/>
      <c r="AV2374" s="4"/>
      <c r="AW2374" s="8"/>
      <c r="AX2374" s="4"/>
      <c r="AY2374" s="8"/>
      <c r="AZ2374" s="7"/>
      <c r="BA2374" s="7"/>
      <c r="BB2374" s="7"/>
      <c r="BC2374" s="4" t="s">
        <v>228</v>
      </c>
      <c r="BD2374" s="8" t="s">
        <v>228</v>
      </c>
      <c r="BE2374" s="4" t="s">
        <v>228</v>
      </c>
      <c r="BF2374" s="8" t="s">
        <v>228</v>
      </c>
      <c r="BG2374" s="7" t="s">
        <v>228</v>
      </c>
      <c r="BH2374" s="7" t="s">
        <v>228</v>
      </c>
      <c r="BI2374" s="7"/>
      <c r="BJ2374" s="4">
        <v>4</v>
      </c>
      <c r="BK2374" s="8">
        <v>38.6</v>
      </c>
      <c r="BL2374" s="2" t="s">
        <v>699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11060</v>
      </c>
      <c r="BV2374" s="2" t="s">
        <v>228</v>
      </c>
      <c r="BW2374" s="2" t="s">
        <v>228</v>
      </c>
      <c r="BX2374" s="2" t="s">
        <v>273</v>
      </c>
      <c r="BY2374" s="2" t="s">
        <v>274</v>
      </c>
      <c r="BZ2374" s="2" t="s">
        <v>240</v>
      </c>
      <c r="CA2374" s="2" t="s">
        <v>781</v>
      </c>
      <c r="CB2374" s="2" t="s">
        <v>228</v>
      </c>
      <c r="CC2374" s="2" t="s">
        <v>241</v>
      </c>
      <c r="CD2374" s="2" t="s">
        <v>228</v>
      </c>
      <c r="CE2374" s="4">
        <v>21</v>
      </c>
      <c r="CF2374" s="4"/>
      <c r="CG2374" s="4"/>
      <c r="CH2374" s="4"/>
      <c r="CI2374" s="4"/>
      <c r="CJ2374" s="4"/>
      <c r="CK2374" s="4"/>
      <c r="CL2374" s="4"/>
      <c r="CM2374" s="4"/>
      <c r="CN2374" s="4"/>
      <c r="CO2374" s="4"/>
      <c r="CP2374" s="4"/>
      <c r="CQ2374" s="4"/>
      <c r="CR2374" s="4"/>
      <c r="CS2374" s="4"/>
      <c r="CT2374" s="4"/>
      <c r="CU2374" s="4"/>
      <c r="CV2374" s="4"/>
      <c r="CW2374" s="4"/>
      <c r="CX2374" s="4"/>
      <c r="CY2374" s="4"/>
      <c r="CZ2374" s="4"/>
      <c r="DA2374" s="4"/>
      <c r="DB2374" s="4"/>
      <c r="DC2374" s="4"/>
      <c r="DD2374" s="4"/>
      <c r="DE2374" s="4"/>
      <c r="DF2374" s="4"/>
      <c r="DG2374" s="4"/>
      <c r="DH2374" s="4"/>
      <c r="DI2374" s="4"/>
      <c r="DJ2374" s="4"/>
      <c r="DK2374" s="4"/>
      <c r="DL2374" s="4"/>
      <c r="DM2374" s="4"/>
      <c r="DN2374" s="4"/>
      <c r="DO2374" s="4"/>
      <c r="DP2374" s="4"/>
      <c r="DQ2374" s="4"/>
      <c r="DR2374" s="4"/>
      <c r="DS2374" s="4"/>
      <c r="DT2374" s="4"/>
      <c r="DU2374" s="4"/>
      <c r="DV2374" s="4"/>
      <c r="DW2374" s="4"/>
      <c r="DX2374" s="4"/>
      <c r="DY2374" s="4"/>
      <c r="DZ2374" s="4"/>
      <c r="EA2374" s="4"/>
      <c r="EB2374" s="4"/>
      <c r="EC2374" s="4"/>
      <c r="ED2374" s="4"/>
      <c r="EE2374" s="4"/>
      <c r="EF2374" s="4"/>
      <c r="EG2374" s="4"/>
      <c r="EH2374" s="4"/>
      <c r="EI2374" s="4"/>
      <c r="EJ2374" s="4"/>
      <c r="EK2374" s="4"/>
      <c r="EL2374" s="4"/>
      <c r="EM2374" s="4"/>
      <c r="EN2374" s="4"/>
      <c r="EO2374" s="4"/>
      <c r="EP2374" s="4"/>
      <c r="EQ2374" s="4"/>
      <c r="ER2374" s="4"/>
      <c r="ES2374" s="4"/>
      <c r="ET2374" s="4"/>
      <c r="EU2374" s="4"/>
      <c r="EV2374" s="4"/>
      <c r="EW2374" s="4"/>
      <c r="EX2374" s="4"/>
      <c r="EY2374" s="4"/>
      <c r="EZ2374" s="4"/>
      <c r="FA2374" s="4"/>
      <c r="FB2374" s="4"/>
      <c r="FC2374" s="4"/>
      <c r="FD2374" s="4"/>
      <c r="FE2374" s="4"/>
      <c r="FF2374" s="4"/>
      <c r="FG2374" s="4"/>
      <c r="FH2374" s="4"/>
      <c r="FI2374" s="4"/>
      <c r="FJ2374" s="4"/>
      <c r="FK2374" s="4"/>
      <c r="FL2374" s="4"/>
      <c r="FM2374" s="4"/>
      <c r="FN2374" s="4"/>
      <c r="FO2374" s="4"/>
      <c r="FP2374" s="4"/>
      <c r="FQ2374" s="4"/>
      <c r="FR2374" s="4"/>
      <c r="FS2374" s="4"/>
      <c r="FT2374" s="4"/>
      <c r="FU2374" s="4"/>
      <c r="FV2374" s="4"/>
      <c r="FW2374" s="4"/>
      <c r="FX2374" s="4"/>
      <c r="FY2374" s="4"/>
      <c r="FZ2374" s="4"/>
      <c r="GA2374" s="4"/>
      <c r="GB2374" s="4"/>
      <c r="GC2374" s="4"/>
      <c r="GD2374" s="4"/>
      <c r="GE2374" s="4"/>
      <c r="GF2374" s="4"/>
      <c r="GG2374" s="4"/>
      <c r="GH2374" s="4"/>
      <c r="GI2374" s="4"/>
      <c r="GJ2374" s="4"/>
      <c r="GK2374" s="4"/>
      <c r="GL2374" s="4"/>
      <c r="GM2374" s="4"/>
      <c r="GN2374" s="4"/>
      <c r="GO2374" s="4"/>
      <c r="GP2374" s="4"/>
      <c r="GQ2374" s="4"/>
      <c r="GR2374" s="4"/>
      <c r="GS2374" s="4"/>
      <c r="GT2374" s="4"/>
      <c r="GU2374" s="4"/>
      <c r="GV2374" s="4"/>
      <c r="GW2374" s="4"/>
      <c r="GX2374" s="4"/>
      <c r="GY2374" s="4"/>
      <c r="GZ2374" s="4"/>
      <c r="HA2374" s="4"/>
      <c r="HB2374" s="4"/>
      <c r="HC2374" s="4"/>
      <c r="HD2374" s="4"/>
      <c r="HE2374" s="4"/>
    </row>
    <row r="2375">
      <c r="A2375" s="2" t="s">
        <v>11061</v>
      </c>
      <c r="B2375" s="2" t="s">
        <v>258</v>
      </c>
      <c r="C2375" s="2" t="s">
        <v>300</v>
      </c>
      <c r="D2375" s="2" t="s">
        <v>1112</v>
      </c>
      <c r="E2375" s="2" t="s">
        <v>1165</v>
      </c>
      <c r="F2375" s="2" t="s">
        <v>11058</v>
      </c>
      <c r="G2375" s="2" t="s">
        <v>11058</v>
      </c>
      <c r="H2375" s="2" t="s">
        <v>11058</v>
      </c>
      <c r="I2375" s="2" t="s">
        <v>11059</v>
      </c>
      <c r="J2375" s="2" t="s">
        <v>856</v>
      </c>
      <c r="K2375" s="2" t="s">
        <v>316</v>
      </c>
      <c r="L2375" s="3">
        <v>21.45</v>
      </c>
      <c r="M2375" s="3">
        <v>22.52</v>
      </c>
      <c r="N2375" s="3">
        <v>36.99</v>
      </c>
      <c r="O2375" s="2" t="s">
        <v>461</v>
      </c>
      <c r="P2375" s="2" t="s">
        <v>1116</v>
      </c>
      <c r="Q2375" s="2" t="s">
        <v>234</v>
      </c>
      <c r="R2375" s="2" t="s">
        <v>727</v>
      </c>
      <c r="S2375" s="2" t="s">
        <v>228</v>
      </c>
      <c r="T2375" s="2" t="s">
        <v>228</v>
      </c>
      <c r="U2375" s="2" t="s">
        <v>416</v>
      </c>
      <c r="V2375" s="2" t="s">
        <v>236</v>
      </c>
      <c r="W2375" s="2" t="s">
        <v>228</v>
      </c>
      <c r="X2375" s="2" t="s">
        <v>228</v>
      </c>
      <c r="Y2375" s="2" t="s">
        <v>464</v>
      </c>
      <c r="Z2375" s="4">
        <v>257</v>
      </c>
      <c r="AA2375" s="4">
        <f>=ROUNDDOWN(257,0)</f>
      </c>
      <c r="AB2375" s="5">
        <v>1</v>
      </c>
      <c r="AC2375" s="2" t="s">
        <v>228</v>
      </c>
      <c r="AD2375" s="4"/>
      <c r="AE2375" s="4"/>
      <c r="AF2375" s="6">
        <v>65</v>
      </c>
      <c r="AG2375" s="6"/>
      <c r="AH2375" s="7">
        <v>1</v>
      </c>
      <c r="AI2375" s="4"/>
      <c r="AJ2375" s="4">
        <f>=ROUNDDOWN({0},0)</f>
      </c>
      <c r="AK2375" s="5"/>
      <c r="AL2375" s="2" t="s">
        <v>228</v>
      </c>
      <c r="AM2375" s="4"/>
      <c r="AN2375" s="4"/>
      <c r="AO2375" s="7"/>
      <c r="AP2375" s="4"/>
      <c r="AQ2375" s="8"/>
      <c r="AR2375" s="4"/>
      <c r="AS2375" s="8"/>
      <c r="AT2375" s="7"/>
      <c r="AU2375" s="7"/>
      <c r="AV2375" s="4" t="s">
        <v>228</v>
      </c>
      <c r="AW2375" s="8" t="s">
        <v>228</v>
      </c>
      <c r="AX2375" s="4" t="s">
        <v>228</v>
      </c>
      <c r="AY2375" s="8" t="s">
        <v>228</v>
      </c>
      <c r="AZ2375" s="7" t="s">
        <v>228</v>
      </c>
      <c r="BA2375" s="7" t="s">
        <v>228</v>
      </c>
      <c r="BB2375" s="7"/>
      <c r="BC2375" s="4" t="s">
        <v>228</v>
      </c>
      <c r="BD2375" s="8" t="s">
        <v>228</v>
      </c>
      <c r="BE2375" s="4" t="s">
        <v>228</v>
      </c>
      <c r="BF2375" s="8" t="s">
        <v>228</v>
      </c>
      <c r="BG2375" s="7" t="s">
        <v>228</v>
      </c>
      <c r="BH2375" s="7" t="s">
        <v>228</v>
      </c>
      <c r="BI2375" s="7"/>
      <c r="BJ2375" s="4">
        <v>4</v>
      </c>
      <c r="BK2375" s="8">
        <v>38.6</v>
      </c>
      <c r="BL2375" s="2" t="s">
        <v>699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11062</v>
      </c>
      <c r="BV2375" s="2" t="s">
        <v>228</v>
      </c>
      <c r="BW2375" s="2" t="s">
        <v>228</v>
      </c>
      <c r="BX2375" s="2" t="s">
        <v>273</v>
      </c>
      <c r="BY2375" s="2" t="s">
        <v>274</v>
      </c>
      <c r="BZ2375" s="2" t="s">
        <v>240</v>
      </c>
      <c r="CA2375" s="2" t="s">
        <v>781</v>
      </c>
      <c r="CB2375" s="2" t="s">
        <v>228</v>
      </c>
      <c r="CC2375" s="2" t="s">
        <v>241</v>
      </c>
      <c r="CD2375" s="2" t="s">
        <v>228</v>
      </c>
      <c r="CE2375" s="4">
        <v>257</v>
      </c>
      <c r="CF2375" s="4"/>
      <c r="CG2375" s="4"/>
      <c r="CH2375" s="4"/>
      <c r="CI2375" s="4"/>
      <c r="CJ2375" s="4"/>
      <c r="CK2375" s="4"/>
      <c r="CL2375" s="4"/>
      <c r="CM2375" s="4"/>
      <c r="CN2375" s="4"/>
      <c r="CO2375" s="4"/>
      <c r="CP2375" s="4"/>
      <c r="CQ2375" s="4"/>
      <c r="CR2375" s="4"/>
      <c r="CS2375" s="4"/>
      <c r="CT2375" s="4"/>
      <c r="CU2375" s="4"/>
      <c r="CV2375" s="4"/>
      <c r="CW2375" s="4"/>
      <c r="CX2375" s="4"/>
      <c r="CY2375" s="4"/>
      <c r="CZ2375" s="4"/>
      <c r="DA2375" s="4"/>
      <c r="DB2375" s="4"/>
      <c r="DC2375" s="4"/>
      <c r="DD2375" s="4"/>
      <c r="DE2375" s="4"/>
      <c r="DF2375" s="4"/>
      <c r="DG2375" s="4"/>
      <c r="DH2375" s="4"/>
      <c r="DI2375" s="4"/>
      <c r="DJ2375" s="4"/>
      <c r="DK2375" s="4"/>
      <c r="DL2375" s="4"/>
      <c r="DM2375" s="4"/>
      <c r="DN2375" s="4"/>
      <c r="DO2375" s="4"/>
      <c r="DP2375" s="4"/>
      <c r="DQ2375" s="4"/>
      <c r="DR2375" s="4"/>
      <c r="DS2375" s="4"/>
      <c r="DT2375" s="4"/>
      <c r="DU2375" s="4"/>
      <c r="DV2375" s="4"/>
      <c r="DW2375" s="4"/>
      <c r="DX2375" s="4"/>
      <c r="DY2375" s="4"/>
      <c r="DZ2375" s="4"/>
      <c r="EA2375" s="4"/>
      <c r="EB2375" s="4"/>
      <c r="EC2375" s="4"/>
      <c r="ED2375" s="4"/>
      <c r="EE2375" s="4"/>
      <c r="EF2375" s="4"/>
      <c r="EG2375" s="4"/>
      <c r="EH2375" s="4"/>
      <c r="EI2375" s="4"/>
      <c r="EJ2375" s="4"/>
      <c r="EK2375" s="4"/>
      <c r="EL2375" s="4"/>
      <c r="EM2375" s="4"/>
      <c r="EN2375" s="4"/>
      <c r="EO2375" s="4"/>
      <c r="EP2375" s="4"/>
      <c r="EQ2375" s="4"/>
      <c r="ER2375" s="4"/>
      <c r="ES2375" s="4"/>
      <c r="ET2375" s="4"/>
      <c r="EU2375" s="4"/>
      <c r="EV2375" s="4"/>
      <c r="EW2375" s="4"/>
      <c r="EX2375" s="4"/>
      <c r="EY2375" s="4"/>
      <c r="EZ2375" s="4"/>
      <c r="FA2375" s="4"/>
      <c r="FB2375" s="4"/>
      <c r="FC2375" s="4"/>
      <c r="FD2375" s="4"/>
      <c r="FE2375" s="4"/>
      <c r="FF2375" s="4"/>
      <c r="FG2375" s="4"/>
      <c r="FH2375" s="4"/>
      <c r="FI2375" s="4"/>
      <c r="FJ2375" s="4"/>
      <c r="FK2375" s="4"/>
      <c r="FL2375" s="4"/>
      <c r="FM2375" s="4"/>
      <c r="FN2375" s="4"/>
      <c r="FO2375" s="4"/>
      <c r="FP2375" s="4"/>
      <c r="FQ2375" s="4"/>
      <c r="FR2375" s="4"/>
      <c r="FS2375" s="4"/>
      <c r="FT2375" s="4"/>
      <c r="FU2375" s="4"/>
      <c r="FV2375" s="4"/>
      <c r="FW2375" s="4"/>
      <c r="FX2375" s="4"/>
      <c r="FY2375" s="4"/>
      <c r="FZ2375" s="4"/>
      <c r="GA2375" s="4"/>
      <c r="GB2375" s="4"/>
      <c r="GC2375" s="4"/>
      <c r="GD2375" s="4"/>
      <c r="GE2375" s="4"/>
      <c r="GF2375" s="4"/>
      <c r="GG2375" s="4"/>
      <c r="GH2375" s="4"/>
      <c r="GI2375" s="4"/>
      <c r="GJ2375" s="4"/>
      <c r="GK2375" s="4"/>
      <c r="GL2375" s="4"/>
      <c r="GM2375" s="4"/>
      <c r="GN2375" s="4"/>
      <c r="GO2375" s="4"/>
      <c r="GP2375" s="4"/>
      <c r="GQ2375" s="4"/>
      <c r="GR2375" s="4"/>
      <c r="GS2375" s="4"/>
      <c r="GT2375" s="4"/>
      <c r="GU2375" s="4"/>
      <c r="GV2375" s="4"/>
      <c r="GW2375" s="4"/>
      <c r="GX2375" s="4"/>
      <c r="GY2375" s="4"/>
      <c r="GZ2375" s="4"/>
      <c r="HA2375" s="4"/>
      <c r="HB2375" s="4"/>
      <c r="HC2375" s="4"/>
      <c r="HD2375" s="4"/>
      <c r="HE2375" s="4"/>
    </row>
    <row r="2376">
      <c r="A2376" s="2" t="s">
        <v>11063</v>
      </c>
      <c r="B2376" s="2" t="s">
        <v>258</v>
      </c>
      <c r="C2376" s="2" t="s">
        <v>300</v>
      </c>
      <c r="D2376" s="2" t="s">
        <v>1112</v>
      </c>
      <c r="E2376" s="2" t="s">
        <v>1165</v>
      </c>
      <c r="F2376" s="2" t="s">
        <v>11058</v>
      </c>
      <c r="G2376" s="2" t="s">
        <v>11058</v>
      </c>
      <c r="H2376" s="2" t="s">
        <v>11058</v>
      </c>
      <c r="I2376" s="2" t="s">
        <v>11059</v>
      </c>
      <c r="J2376" s="2" t="s">
        <v>1189</v>
      </c>
      <c r="K2376" s="2" t="s">
        <v>316</v>
      </c>
      <c r="L2376" s="3">
        <v>24.35</v>
      </c>
      <c r="M2376" s="3">
        <v>25.57</v>
      </c>
      <c r="N2376" s="3">
        <v>41.99</v>
      </c>
      <c r="O2376" s="2" t="s">
        <v>461</v>
      </c>
      <c r="P2376" s="2" t="s">
        <v>1116</v>
      </c>
      <c r="Q2376" s="2" t="s">
        <v>234</v>
      </c>
      <c r="R2376" s="2" t="s">
        <v>727</v>
      </c>
      <c r="S2376" s="2" t="s">
        <v>228</v>
      </c>
      <c r="T2376" s="2" t="s">
        <v>228</v>
      </c>
      <c r="U2376" s="2" t="s">
        <v>416</v>
      </c>
      <c r="V2376" s="2" t="s">
        <v>236</v>
      </c>
      <c r="W2376" s="2" t="s">
        <v>228</v>
      </c>
      <c r="X2376" s="2" t="s">
        <v>228</v>
      </c>
      <c r="Y2376" s="2" t="s">
        <v>464</v>
      </c>
      <c r="Z2376" s="4">
        <v>181</v>
      </c>
      <c r="AA2376" s="4">
        <f>=ROUNDDOWN(16.4545454545455,0)</f>
      </c>
      <c r="AB2376" s="5">
        <v>11</v>
      </c>
      <c r="AC2376" s="2" t="s">
        <v>228</v>
      </c>
      <c r="AD2376" s="4"/>
      <c r="AE2376" s="4"/>
      <c r="AF2376" s="6">
        <v>65</v>
      </c>
      <c r="AG2376" s="6"/>
      <c r="AH2376" s="7">
        <v>1</v>
      </c>
      <c r="AI2376" s="4"/>
      <c r="AJ2376" s="4">
        <f>=ROUNDDOWN({0},0)</f>
      </c>
      <c r="AK2376" s="5"/>
      <c r="AL2376" s="2" t="s">
        <v>228</v>
      </c>
      <c r="AM2376" s="4"/>
      <c r="AN2376" s="4"/>
      <c r="AO2376" s="7"/>
      <c r="AP2376" s="4"/>
      <c r="AQ2376" s="8"/>
      <c r="AR2376" s="4"/>
      <c r="AS2376" s="8"/>
      <c r="AT2376" s="7"/>
      <c r="AU2376" s="7"/>
      <c r="AV2376" s="4" t="s">
        <v>228</v>
      </c>
      <c r="AW2376" s="8" t="s">
        <v>228</v>
      </c>
      <c r="AX2376" s="4" t="s">
        <v>228</v>
      </c>
      <c r="AY2376" s="8" t="s">
        <v>228</v>
      </c>
      <c r="AZ2376" s="7" t="s">
        <v>228</v>
      </c>
      <c r="BA2376" s="7" t="s">
        <v>228</v>
      </c>
      <c r="BB2376" s="7"/>
      <c r="BC2376" s="4" t="s">
        <v>228</v>
      </c>
      <c r="BD2376" s="8" t="s">
        <v>228</v>
      </c>
      <c r="BE2376" s="4" t="s">
        <v>228</v>
      </c>
      <c r="BF2376" s="8" t="s">
        <v>228</v>
      </c>
      <c r="BG2376" s="7" t="s">
        <v>228</v>
      </c>
      <c r="BH2376" s="7" t="s">
        <v>228</v>
      </c>
      <c r="BI2376" s="7"/>
      <c r="BJ2376" s="4">
        <v>31</v>
      </c>
      <c r="BK2376" s="8">
        <v>437.72</v>
      </c>
      <c r="BL2376" s="2" t="s">
        <v>699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11064</v>
      </c>
      <c r="BV2376" s="2" t="s">
        <v>228</v>
      </c>
      <c r="BW2376" s="2" t="s">
        <v>228</v>
      </c>
      <c r="BX2376" s="2" t="s">
        <v>273</v>
      </c>
      <c r="BY2376" s="2" t="s">
        <v>274</v>
      </c>
      <c r="BZ2376" s="2" t="s">
        <v>240</v>
      </c>
      <c r="CA2376" s="2" t="s">
        <v>781</v>
      </c>
      <c r="CB2376" s="2" t="s">
        <v>228</v>
      </c>
      <c r="CC2376" s="2" t="s">
        <v>241</v>
      </c>
      <c r="CD2376" s="2" t="s">
        <v>228</v>
      </c>
      <c r="CE2376" s="4">
        <v>181</v>
      </c>
      <c r="CF2376" s="4"/>
      <c r="CG2376" s="4"/>
      <c r="CH2376" s="4"/>
      <c r="CI2376" s="4"/>
      <c r="CJ2376" s="4"/>
      <c r="CK2376" s="4"/>
      <c r="CL2376" s="4"/>
      <c r="CM2376" s="4"/>
      <c r="CN2376" s="4"/>
      <c r="CO2376" s="4"/>
      <c r="CP2376" s="4"/>
      <c r="CQ2376" s="4"/>
      <c r="CR2376" s="4"/>
      <c r="CS2376" s="4"/>
      <c r="CT2376" s="4"/>
      <c r="CU2376" s="4"/>
      <c r="CV2376" s="4"/>
      <c r="CW2376" s="4"/>
      <c r="CX2376" s="4"/>
      <c r="CY2376" s="4"/>
      <c r="CZ2376" s="4"/>
      <c r="DA2376" s="4"/>
      <c r="DB2376" s="4"/>
      <c r="DC2376" s="4"/>
      <c r="DD2376" s="4"/>
      <c r="DE2376" s="4"/>
      <c r="DF2376" s="4"/>
      <c r="DG2376" s="4"/>
      <c r="DH2376" s="4"/>
      <c r="DI2376" s="4"/>
      <c r="DJ2376" s="4"/>
      <c r="DK2376" s="4"/>
      <c r="DL2376" s="4"/>
      <c r="DM2376" s="4"/>
      <c r="DN2376" s="4"/>
      <c r="DO2376" s="4"/>
      <c r="DP2376" s="4"/>
      <c r="DQ2376" s="4"/>
      <c r="DR2376" s="4"/>
      <c r="DS2376" s="4"/>
      <c r="DT2376" s="4"/>
      <c r="DU2376" s="4"/>
      <c r="DV2376" s="4"/>
      <c r="DW2376" s="4"/>
      <c r="DX2376" s="4"/>
      <c r="DY2376" s="4"/>
      <c r="DZ2376" s="4"/>
      <c r="EA2376" s="4"/>
      <c r="EB2376" s="4"/>
      <c r="EC2376" s="4"/>
      <c r="ED2376" s="4"/>
      <c r="EE2376" s="4"/>
      <c r="EF2376" s="4"/>
      <c r="EG2376" s="4"/>
      <c r="EH2376" s="4"/>
      <c r="EI2376" s="4"/>
      <c r="EJ2376" s="4"/>
      <c r="EK2376" s="4"/>
      <c r="EL2376" s="4"/>
      <c r="EM2376" s="4"/>
      <c r="EN2376" s="4"/>
      <c r="EO2376" s="4"/>
      <c r="EP2376" s="4"/>
      <c r="EQ2376" s="4"/>
      <c r="ER2376" s="4"/>
      <c r="ES2376" s="4"/>
      <c r="ET2376" s="4"/>
      <c r="EU2376" s="4"/>
      <c r="EV2376" s="4"/>
      <c r="EW2376" s="4"/>
      <c r="EX2376" s="4"/>
      <c r="EY2376" s="4"/>
      <c r="EZ2376" s="4"/>
      <c r="FA2376" s="4"/>
      <c r="FB2376" s="4"/>
      <c r="FC2376" s="4"/>
      <c r="FD2376" s="4"/>
      <c r="FE2376" s="4"/>
      <c r="FF2376" s="4"/>
      <c r="FG2376" s="4"/>
      <c r="FH2376" s="4"/>
      <c r="FI2376" s="4"/>
      <c r="FJ2376" s="4"/>
      <c r="FK2376" s="4"/>
      <c r="FL2376" s="4"/>
      <c r="FM2376" s="4"/>
      <c r="FN2376" s="4"/>
      <c r="FO2376" s="4"/>
      <c r="FP2376" s="4"/>
      <c r="FQ2376" s="4"/>
      <c r="FR2376" s="4"/>
      <c r="FS2376" s="4"/>
      <c r="FT2376" s="4"/>
      <c r="FU2376" s="4"/>
      <c r="FV2376" s="4"/>
      <c r="FW2376" s="4"/>
      <c r="FX2376" s="4"/>
      <c r="FY2376" s="4"/>
      <c r="FZ2376" s="4"/>
      <c r="GA2376" s="4"/>
      <c r="GB2376" s="4"/>
      <c r="GC2376" s="4"/>
      <c r="GD2376" s="4"/>
      <c r="GE2376" s="4"/>
      <c r="GF2376" s="4"/>
      <c r="GG2376" s="4"/>
      <c r="GH2376" s="4"/>
      <c r="GI2376" s="4"/>
      <c r="GJ2376" s="4"/>
      <c r="GK2376" s="4"/>
      <c r="GL2376" s="4"/>
      <c r="GM2376" s="4"/>
      <c r="GN2376" s="4"/>
      <c r="GO2376" s="4"/>
      <c r="GP2376" s="4"/>
      <c r="GQ2376" s="4"/>
      <c r="GR2376" s="4"/>
      <c r="GS2376" s="4"/>
      <c r="GT2376" s="4"/>
      <c r="GU2376" s="4"/>
      <c r="GV2376" s="4"/>
      <c r="GW2376" s="4"/>
      <c r="GX2376" s="4"/>
      <c r="GY2376" s="4"/>
      <c r="GZ2376" s="4"/>
      <c r="HA2376" s="4"/>
      <c r="HB2376" s="4"/>
      <c r="HC2376" s="4"/>
      <c r="HD2376" s="4"/>
      <c r="HE2376" s="4"/>
    </row>
    <row r="2377">
      <c r="A2377" s="2" t="s">
        <v>11065</v>
      </c>
      <c r="B2377" s="2" t="s">
        <v>866</v>
      </c>
      <c r="C2377" s="2" t="s">
        <v>835</v>
      </c>
      <c r="D2377" s="2" t="s">
        <v>899</v>
      </c>
      <c r="E2377" s="2" t="s">
        <v>1891</v>
      </c>
      <c r="F2377" s="2" t="s">
        <v>11066</v>
      </c>
      <c r="G2377" s="2" t="s">
        <v>11066</v>
      </c>
      <c r="H2377" s="2" t="s">
        <v>11066</v>
      </c>
      <c r="I2377" s="2" t="s">
        <v>11067</v>
      </c>
      <c r="J2377" s="2" t="s">
        <v>840</v>
      </c>
      <c r="K2377" s="2" t="s">
        <v>1421</v>
      </c>
      <c r="L2377" s="3">
        <v>27.85</v>
      </c>
      <c r="M2377" s="3">
        <v>29.24</v>
      </c>
      <c r="N2377" s="3">
        <v>64.99</v>
      </c>
      <c r="O2377" s="2" t="s">
        <v>240</v>
      </c>
      <c r="P2377" s="2" t="s">
        <v>233</v>
      </c>
      <c r="Q2377" s="2" t="s">
        <v>234</v>
      </c>
      <c r="R2377" s="2" t="s">
        <v>228</v>
      </c>
      <c r="S2377" s="2" t="s">
        <v>228</v>
      </c>
      <c r="T2377" s="2" t="s">
        <v>228</v>
      </c>
      <c r="U2377" s="2" t="s">
        <v>416</v>
      </c>
      <c r="V2377" s="2" t="s">
        <v>842</v>
      </c>
      <c r="W2377" s="2" t="s">
        <v>1268</v>
      </c>
      <c r="X2377" s="2" t="s">
        <v>1267</v>
      </c>
      <c r="Y2377" s="2" t="s">
        <v>5478</v>
      </c>
      <c r="Z2377" s="4">
        <v>59</v>
      </c>
      <c r="AA2377" s="4">
        <f>=ROUNDDOWN(59,0)</f>
      </c>
      <c r="AB2377" s="5">
        <v>1</v>
      </c>
      <c r="AC2377" s="2" t="s">
        <v>228</v>
      </c>
      <c r="AD2377" s="4"/>
      <c r="AE2377" s="4"/>
      <c r="AF2377" s="6">
        <v>63</v>
      </c>
      <c r="AG2377" s="6"/>
      <c r="AH2377" s="7">
        <v>1</v>
      </c>
      <c r="AI2377" s="4"/>
      <c r="AJ2377" s="4">
        <f>=ROUNDDOWN({0},0)</f>
      </c>
      <c r="AK2377" s="5"/>
      <c r="AL2377" s="2" t="s">
        <v>228</v>
      </c>
      <c r="AM2377" s="4"/>
      <c r="AN2377" s="4"/>
      <c r="AO2377" s="7"/>
      <c r="AP2377" s="4"/>
      <c r="AQ2377" s="8"/>
      <c r="AR2377" s="4"/>
      <c r="AS2377" s="8"/>
      <c r="AT2377" s="7"/>
      <c r="AU2377" s="7"/>
      <c r="AV2377" s="4"/>
      <c r="AW2377" s="8"/>
      <c r="AX2377" s="4"/>
      <c r="AY2377" s="8"/>
      <c r="AZ2377" s="7"/>
      <c r="BA2377" s="7"/>
      <c r="BB2377" s="7"/>
      <c r="BC2377" s="4"/>
      <c r="BD2377" s="8"/>
      <c r="BE2377" s="4"/>
      <c r="BF2377" s="8"/>
      <c r="BG2377" s="7"/>
      <c r="BH2377" s="7"/>
      <c r="BI2377" s="7"/>
      <c r="BJ2377" s="4"/>
      <c r="BK2377" s="8"/>
      <c r="BL2377" s="2" t="s">
        <v>228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11068</v>
      </c>
      <c r="BV2377" s="2" t="s">
        <v>228</v>
      </c>
      <c r="BW2377" s="2" t="s">
        <v>228</v>
      </c>
      <c r="BX2377" s="2" t="s">
        <v>273</v>
      </c>
      <c r="BY2377" s="2" t="s">
        <v>274</v>
      </c>
      <c r="BZ2377" s="2" t="s">
        <v>240</v>
      </c>
      <c r="CA2377" s="2" t="s">
        <v>379</v>
      </c>
      <c r="CB2377" s="2" t="s">
        <v>228</v>
      </c>
      <c r="CC2377" s="2" t="s">
        <v>241</v>
      </c>
      <c r="CD2377" s="2" t="s">
        <v>228</v>
      </c>
      <c r="CE2377" s="4"/>
      <c r="CF2377" s="4">
        <v>59</v>
      </c>
      <c r="CG2377" s="4"/>
      <c r="CH2377" s="4"/>
      <c r="CI2377" s="4"/>
      <c r="CJ2377" s="4"/>
      <c r="CK2377" s="4"/>
      <c r="CL2377" s="4"/>
      <c r="CM2377" s="4"/>
      <c r="CN2377" s="4"/>
      <c r="CO2377" s="4"/>
      <c r="CP2377" s="4"/>
      <c r="CQ2377" s="4"/>
      <c r="CR2377" s="4"/>
      <c r="CS2377" s="4"/>
      <c r="CT2377" s="4"/>
      <c r="CU2377" s="4"/>
      <c r="CV2377" s="4"/>
      <c r="CW2377" s="4"/>
      <c r="CX2377" s="4"/>
      <c r="CY2377" s="4"/>
      <c r="CZ2377" s="4"/>
      <c r="DA2377" s="4"/>
      <c r="DB2377" s="4"/>
      <c r="DC2377" s="4"/>
      <c r="DD2377" s="4"/>
      <c r="DE2377" s="4"/>
      <c r="DF2377" s="4"/>
      <c r="DG2377" s="4"/>
      <c r="DH2377" s="4"/>
      <c r="DI2377" s="4"/>
      <c r="DJ2377" s="4"/>
      <c r="DK2377" s="4"/>
      <c r="DL2377" s="4"/>
      <c r="DM2377" s="4"/>
      <c r="DN2377" s="4"/>
      <c r="DO2377" s="4"/>
      <c r="DP2377" s="4"/>
      <c r="DQ2377" s="4"/>
      <c r="DR2377" s="4"/>
      <c r="DS2377" s="4"/>
      <c r="DT2377" s="4"/>
      <c r="DU2377" s="4"/>
      <c r="DV2377" s="4"/>
      <c r="DW2377" s="4"/>
      <c r="DX2377" s="4"/>
      <c r="DY2377" s="4"/>
      <c r="DZ2377" s="4"/>
      <c r="EA2377" s="4"/>
      <c r="EB2377" s="4"/>
      <c r="EC2377" s="4"/>
      <c r="ED2377" s="4"/>
      <c r="EE2377" s="4"/>
      <c r="EF2377" s="4"/>
      <c r="EG2377" s="4"/>
      <c r="EH2377" s="4"/>
      <c r="EI2377" s="4"/>
      <c r="EJ2377" s="4"/>
      <c r="EK2377" s="4"/>
      <c r="EL2377" s="4"/>
      <c r="EM2377" s="4"/>
      <c r="EN2377" s="4"/>
      <c r="EO2377" s="4"/>
      <c r="EP2377" s="4"/>
      <c r="EQ2377" s="4"/>
      <c r="ER2377" s="4"/>
      <c r="ES2377" s="4"/>
      <c r="ET2377" s="4"/>
      <c r="EU2377" s="4"/>
      <c r="EV2377" s="4"/>
      <c r="EW2377" s="4"/>
      <c r="EX2377" s="4"/>
      <c r="EY2377" s="4"/>
      <c r="EZ2377" s="4"/>
      <c r="FA2377" s="4"/>
      <c r="FB2377" s="4"/>
      <c r="FC2377" s="4"/>
      <c r="FD2377" s="4"/>
      <c r="FE2377" s="4"/>
      <c r="FF2377" s="4"/>
      <c r="FG2377" s="4"/>
      <c r="FH2377" s="4"/>
      <c r="FI2377" s="4"/>
      <c r="FJ2377" s="4"/>
      <c r="FK2377" s="4"/>
      <c r="FL2377" s="4"/>
      <c r="FM2377" s="4"/>
      <c r="FN2377" s="4"/>
      <c r="FO2377" s="4"/>
      <c r="FP2377" s="4"/>
      <c r="FQ2377" s="4"/>
      <c r="FR2377" s="4"/>
      <c r="FS2377" s="4"/>
      <c r="FT2377" s="4"/>
      <c r="FU2377" s="4"/>
      <c r="FV2377" s="4"/>
      <c r="FW2377" s="4"/>
      <c r="FX2377" s="4"/>
      <c r="FY2377" s="4"/>
      <c r="FZ2377" s="4"/>
      <c r="GA2377" s="4"/>
      <c r="GB2377" s="4"/>
      <c r="GC2377" s="4"/>
      <c r="GD2377" s="4"/>
      <c r="GE2377" s="4"/>
      <c r="GF2377" s="4"/>
      <c r="GG2377" s="4"/>
      <c r="GH2377" s="4"/>
      <c r="GI2377" s="4"/>
      <c r="GJ2377" s="4"/>
      <c r="GK2377" s="4"/>
      <c r="GL2377" s="4"/>
      <c r="GM2377" s="4"/>
      <c r="GN2377" s="4"/>
      <c r="GO2377" s="4"/>
      <c r="GP2377" s="4"/>
      <c r="GQ2377" s="4"/>
      <c r="GR2377" s="4"/>
      <c r="GS2377" s="4"/>
      <c r="GT2377" s="4"/>
      <c r="GU2377" s="4"/>
      <c r="GV2377" s="4"/>
      <c r="GW2377" s="4"/>
      <c r="GX2377" s="4"/>
      <c r="GY2377" s="4"/>
      <c r="GZ2377" s="4"/>
      <c r="HA2377" s="4"/>
      <c r="HB2377" s="4"/>
      <c r="HC2377" s="4"/>
      <c r="HD2377" s="4"/>
      <c r="HE2377" s="4"/>
    </row>
    <row r="2378">
      <c r="A2378" s="2" t="s">
        <v>11069</v>
      </c>
      <c r="B2378" s="2" t="s">
        <v>1150</v>
      </c>
      <c r="C2378" s="2" t="s">
        <v>9274</v>
      </c>
      <c r="D2378" s="2" t="s">
        <v>1112</v>
      </c>
      <c r="E2378" s="2" t="s">
        <v>1165</v>
      </c>
      <c r="F2378" s="2" t="s">
        <v>11070</v>
      </c>
      <c r="G2378" s="2" t="s">
        <v>228</v>
      </c>
      <c r="H2378" s="2" t="s">
        <v>228</v>
      </c>
      <c r="I2378" s="2" t="s">
        <v>11071</v>
      </c>
      <c r="J2378" s="2" t="s">
        <v>856</v>
      </c>
      <c r="K2378" s="2" t="s">
        <v>305</v>
      </c>
      <c r="L2378" s="3">
        <v>29.99</v>
      </c>
      <c r="M2378" s="3">
        <v>31.49</v>
      </c>
      <c r="N2378" s="3"/>
      <c r="O2378" s="2" t="s">
        <v>240</v>
      </c>
      <c r="P2378" s="2" t="s">
        <v>233</v>
      </c>
      <c r="Q2378" s="2" t="s">
        <v>234</v>
      </c>
      <c r="R2378" s="2" t="s">
        <v>9278</v>
      </c>
      <c r="S2378" s="2" t="s">
        <v>228</v>
      </c>
      <c r="T2378" s="2" t="s">
        <v>228</v>
      </c>
      <c r="U2378" s="2" t="s">
        <v>228</v>
      </c>
      <c r="V2378" s="2" t="s">
        <v>236</v>
      </c>
      <c r="W2378" s="2" t="s">
        <v>228</v>
      </c>
      <c r="X2378" s="2" t="s">
        <v>228</v>
      </c>
      <c r="Y2378" s="2" t="s">
        <v>11072</v>
      </c>
      <c r="Z2378" s="4"/>
      <c r="AA2378" s="4">
        <f>=ROUNDDOWN({0},0)</f>
      </c>
      <c r="AB2378" s="5"/>
      <c r="AC2378" s="2" t="s">
        <v>228</v>
      </c>
      <c r="AD2378" s="4"/>
      <c r="AE2378" s="4"/>
      <c r="AF2378" s="6"/>
      <c r="AG2378" s="6"/>
      <c r="AH2378" s="7"/>
      <c r="AI2378" s="4"/>
      <c r="AJ2378" s="4">
        <f>=ROUNDDOWN({0},0)</f>
      </c>
      <c r="AK2378" s="5"/>
      <c r="AL2378" s="2" t="s">
        <v>228</v>
      </c>
      <c r="AM2378" s="4"/>
      <c r="AN2378" s="4"/>
      <c r="AO2378" s="7"/>
      <c r="AP2378" s="4"/>
      <c r="AQ2378" s="8"/>
      <c r="AR2378" s="4"/>
      <c r="AS2378" s="8"/>
      <c r="AT2378" s="7"/>
      <c r="AU2378" s="7"/>
      <c r="AV2378" s="4" t="s">
        <v>228</v>
      </c>
      <c r="AW2378" s="8" t="s">
        <v>228</v>
      </c>
      <c r="AX2378" s="4" t="s">
        <v>228</v>
      </c>
      <c r="AY2378" s="8" t="s">
        <v>228</v>
      </c>
      <c r="AZ2378" s="7" t="s">
        <v>228</v>
      </c>
      <c r="BA2378" s="7" t="s">
        <v>228</v>
      </c>
      <c r="BB2378" s="7"/>
      <c r="BC2378" s="4" t="s">
        <v>228</v>
      </c>
      <c r="BD2378" s="8" t="s">
        <v>228</v>
      </c>
      <c r="BE2378" s="4" t="s">
        <v>228</v>
      </c>
      <c r="BF2378" s="8" t="s">
        <v>228</v>
      </c>
      <c r="BG2378" s="7" t="s">
        <v>228</v>
      </c>
      <c r="BH2378" s="7" t="s">
        <v>228</v>
      </c>
      <c r="BI2378" s="7"/>
      <c r="BJ2378" s="4"/>
      <c r="BK2378" s="8"/>
      <c r="BL2378" s="2" t="s">
        <v>228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238</v>
      </c>
      <c r="BV2378" s="2" t="s">
        <v>228</v>
      </c>
      <c r="BW2378" s="2" t="s">
        <v>228</v>
      </c>
      <c r="BX2378" s="2" t="s">
        <v>228</v>
      </c>
      <c r="BY2378" s="2" t="s">
        <v>239</v>
      </c>
      <c r="BZ2378" s="2" t="s">
        <v>240</v>
      </c>
      <c r="CA2378" s="2" t="s">
        <v>228</v>
      </c>
      <c r="CB2378" s="2" t="s">
        <v>228</v>
      </c>
      <c r="CC2378" s="2" t="s">
        <v>241</v>
      </c>
      <c r="CD2378" s="2" t="s">
        <v>228</v>
      </c>
      <c r="CE2378" s="4"/>
      <c r="CF2378" s="4"/>
      <c r="CG2378" s="4"/>
      <c r="CH2378" s="4"/>
      <c r="CI2378" s="4"/>
      <c r="CJ2378" s="4"/>
      <c r="CK2378" s="4"/>
      <c r="CL2378" s="4"/>
      <c r="CM2378" s="4"/>
      <c r="CN2378" s="4"/>
      <c r="CO2378" s="4"/>
      <c r="CP2378" s="4"/>
      <c r="CQ2378" s="4"/>
      <c r="CR2378" s="4"/>
      <c r="CS2378" s="4"/>
      <c r="CT2378" s="4"/>
      <c r="CU2378" s="4"/>
      <c r="CV2378" s="4"/>
      <c r="CW2378" s="4"/>
      <c r="CX2378" s="4"/>
      <c r="CY2378" s="4"/>
      <c r="CZ2378" s="4"/>
      <c r="DA2378" s="4"/>
      <c r="DB2378" s="4"/>
      <c r="DC2378" s="4"/>
      <c r="DD2378" s="4"/>
      <c r="DE2378" s="4"/>
      <c r="DF2378" s="4"/>
      <c r="DG2378" s="4"/>
      <c r="DH2378" s="4"/>
      <c r="DI2378" s="4"/>
      <c r="DJ2378" s="4"/>
      <c r="DK2378" s="4"/>
      <c r="DL2378" s="4"/>
      <c r="DM2378" s="4"/>
      <c r="DN2378" s="4"/>
      <c r="DO2378" s="4"/>
      <c r="DP2378" s="4"/>
      <c r="DQ2378" s="4"/>
      <c r="DR2378" s="4"/>
      <c r="DS2378" s="4"/>
      <c r="DT2378" s="4"/>
      <c r="DU2378" s="4"/>
      <c r="DV2378" s="4"/>
      <c r="DW2378" s="4"/>
      <c r="DX2378" s="4"/>
      <c r="DY2378" s="4"/>
      <c r="DZ2378" s="4"/>
      <c r="EA2378" s="4"/>
      <c r="EB2378" s="4"/>
      <c r="EC2378" s="4"/>
      <c r="ED2378" s="4"/>
      <c r="EE2378" s="4"/>
      <c r="EF2378" s="4"/>
      <c r="EG2378" s="4"/>
      <c r="EH2378" s="4"/>
      <c r="EI2378" s="4"/>
      <c r="EJ2378" s="4"/>
      <c r="EK2378" s="4"/>
      <c r="EL2378" s="4"/>
      <c r="EM2378" s="4"/>
      <c r="EN2378" s="4"/>
      <c r="EO2378" s="4"/>
      <c r="EP2378" s="4"/>
      <c r="EQ2378" s="4"/>
      <c r="ER2378" s="4"/>
      <c r="ES2378" s="4"/>
      <c r="ET2378" s="4"/>
      <c r="EU2378" s="4"/>
      <c r="EV2378" s="4"/>
      <c r="EW2378" s="4"/>
      <c r="EX2378" s="4"/>
      <c r="EY2378" s="4"/>
      <c r="EZ2378" s="4"/>
      <c r="FA2378" s="4"/>
      <c r="FB2378" s="4"/>
      <c r="FC2378" s="4"/>
      <c r="FD2378" s="4"/>
      <c r="FE2378" s="4"/>
      <c r="FF2378" s="4"/>
      <c r="FG2378" s="4"/>
      <c r="FH2378" s="4"/>
      <c r="FI2378" s="4"/>
      <c r="FJ2378" s="4"/>
      <c r="FK2378" s="4"/>
      <c r="FL2378" s="4"/>
      <c r="FM2378" s="4"/>
      <c r="FN2378" s="4"/>
      <c r="FO2378" s="4"/>
      <c r="FP2378" s="4"/>
      <c r="FQ2378" s="4"/>
      <c r="FR2378" s="4"/>
      <c r="FS2378" s="4"/>
      <c r="FT2378" s="4"/>
      <c r="FU2378" s="4"/>
      <c r="FV2378" s="4"/>
      <c r="FW2378" s="4"/>
      <c r="FX2378" s="4"/>
      <c r="FY2378" s="4"/>
      <c r="FZ2378" s="4"/>
      <c r="GA2378" s="4"/>
      <c r="GB2378" s="4"/>
      <c r="GC2378" s="4"/>
      <c r="GD2378" s="4"/>
      <c r="GE2378" s="4"/>
      <c r="GF2378" s="4"/>
      <c r="GG2378" s="4"/>
      <c r="GH2378" s="4"/>
      <c r="GI2378" s="4"/>
      <c r="GJ2378" s="4"/>
      <c r="GK2378" s="4"/>
      <c r="GL2378" s="4"/>
      <c r="GM2378" s="4"/>
      <c r="GN2378" s="4"/>
      <c r="GO2378" s="4"/>
      <c r="GP2378" s="4"/>
      <c r="GQ2378" s="4"/>
      <c r="GR2378" s="4"/>
      <c r="GS2378" s="4"/>
      <c r="GT2378" s="4"/>
      <c r="GU2378" s="4"/>
      <c r="GV2378" s="4"/>
      <c r="GW2378" s="4"/>
      <c r="GX2378" s="4"/>
      <c r="GY2378" s="4"/>
      <c r="GZ2378" s="4"/>
      <c r="HA2378" s="4"/>
      <c r="HB2378" s="4"/>
      <c r="HC2378" s="4"/>
      <c r="HD2378" s="4"/>
      <c r="HE2378" s="4"/>
    </row>
    <row r="2379">
      <c r="A2379" s="2" t="s">
        <v>11073</v>
      </c>
      <c r="B2379" s="2" t="s">
        <v>1150</v>
      </c>
      <c r="C2379" s="2" t="s">
        <v>9274</v>
      </c>
      <c r="D2379" s="2" t="s">
        <v>1112</v>
      </c>
      <c r="E2379" s="2" t="s">
        <v>1165</v>
      </c>
      <c r="F2379" s="2" t="s">
        <v>11070</v>
      </c>
      <c r="G2379" s="2" t="s">
        <v>228</v>
      </c>
      <c r="H2379" s="2" t="s">
        <v>228</v>
      </c>
      <c r="I2379" s="2" t="s">
        <v>11071</v>
      </c>
      <c r="J2379" s="2" t="s">
        <v>1189</v>
      </c>
      <c r="K2379" s="2" t="s">
        <v>305</v>
      </c>
      <c r="L2379" s="3">
        <v>39.99</v>
      </c>
      <c r="M2379" s="3">
        <v>41.99</v>
      </c>
      <c r="N2379" s="3"/>
      <c r="O2379" s="2" t="s">
        <v>232</v>
      </c>
      <c r="P2379" s="2" t="s">
        <v>233</v>
      </c>
      <c r="Q2379" s="2" t="s">
        <v>234</v>
      </c>
      <c r="R2379" s="2" t="s">
        <v>9278</v>
      </c>
      <c r="S2379" s="2" t="s">
        <v>228</v>
      </c>
      <c r="T2379" s="2" t="s">
        <v>228</v>
      </c>
      <c r="U2379" s="2" t="s">
        <v>228</v>
      </c>
      <c r="V2379" s="2" t="s">
        <v>236</v>
      </c>
      <c r="W2379" s="2" t="s">
        <v>228</v>
      </c>
      <c r="X2379" s="2" t="s">
        <v>228</v>
      </c>
      <c r="Y2379" s="2" t="s">
        <v>11072</v>
      </c>
      <c r="Z2379" s="4"/>
      <c r="AA2379" s="4">
        <f>=ROUNDDOWN({0},0)</f>
      </c>
      <c r="AB2379" s="5"/>
      <c r="AC2379" s="2" t="s">
        <v>228</v>
      </c>
      <c r="AD2379" s="4"/>
      <c r="AE2379" s="4"/>
      <c r="AF2379" s="6"/>
      <c r="AG2379" s="6"/>
      <c r="AH2379" s="7"/>
      <c r="AI2379" s="4"/>
      <c r="AJ2379" s="4">
        <f>=ROUNDDOWN({0},0)</f>
      </c>
      <c r="AK2379" s="5"/>
      <c r="AL2379" s="2" t="s">
        <v>228</v>
      </c>
      <c r="AM2379" s="4"/>
      <c r="AN2379" s="4"/>
      <c r="AO2379" s="7"/>
      <c r="AP2379" s="4"/>
      <c r="AQ2379" s="8"/>
      <c r="AR2379" s="4"/>
      <c r="AS2379" s="8"/>
      <c r="AT2379" s="7"/>
      <c r="AU2379" s="7"/>
      <c r="AV2379" s="4" t="s">
        <v>228</v>
      </c>
      <c r="AW2379" s="8" t="s">
        <v>228</v>
      </c>
      <c r="AX2379" s="4" t="s">
        <v>228</v>
      </c>
      <c r="AY2379" s="8" t="s">
        <v>228</v>
      </c>
      <c r="AZ2379" s="7" t="s">
        <v>228</v>
      </c>
      <c r="BA2379" s="7" t="s">
        <v>228</v>
      </c>
      <c r="BB2379" s="7"/>
      <c r="BC2379" s="4" t="s">
        <v>228</v>
      </c>
      <c r="BD2379" s="8" t="s">
        <v>228</v>
      </c>
      <c r="BE2379" s="4" t="s">
        <v>228</v>
      </c>
      <c r="BF2379" s="8" t="s">
        <v>228</v>
      </c>
      <c r="BG2379" s="7" t="s">
        <v>228</v>
      </c>
      <c r="BH2379" s="7" t="s">
        <v>228</v>
      </c>
      <c r="BI2379" s="7"/>
      <c r="BJ2379" s="4"/>
      <c r="BK2379" s="8"/>
      <c r="BL2379" s="2" t="s">
        <v>228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238</v>
      </c>
      <c r="BV2379" s="2" t="s">
        <v>228</v>
      </c>
      <c r="BW2379" s="2" t="s">
        <v>228</v>
      </c>
      <c r="BX2379" s="2" t="s">
        <v>228</v>
      </c>
      <c r="BY2379" s="2" t="s">
        <v>239</v>
      </c>
      <c r="BZ2379" s="2" t="s">
        <v>240</v>
      </c>
      <c r="CA2379" s="2" t="s">
        <v>228</v>
      </c>
      <c r="CB2379" s="2" t="s">
        <v>228</v>
      </c>
      <c r="CC2379" s="2" t="s">
        <v>241</v>
      </c>
      <c r="CD2379" s="2" t="s">
        <v>228</v>
      </c>
      <c r="CE2379" s="4"/>
      <c r="CF2379" s="4"/>
      <c r="CG2379" s="4"/>
      <c r="CH2379" s="4"/>
      <c r="CI2379" s="4"/>
      <c r="CJ2379" s="4"/>
      <c r="CK2379" s="4"/>
      <c r="CL2379" s="4"/>
      <c r="CM2379" s="4"/>
      <c r="CN2379" s="4"/>
      <c r="CO2379" s="4"/>
      <c r="CP2379" s="4"/>
      <c r="CQ2379" s="4"/>
      <c r="CR2379" s="4"/>
      <c r="CS2379" s="4"/>
      <c r="CT2379" s="4"/>
      <c r="CU2379" s="4"/>
      <c r="CV2379" s="4"/>
      <c r="CW2379" s="4"/>
      <c r="CX2379" s="4"/>
      <c r="CY2379" s="4"/>
      <c r="CZ2379" s="4"/>
      <c r="DA2379" s="4"/>
      <c r="DB2379" s="4"/>
      <c r="DC2379" s="4"/>
      <c r="DD2379" s="4"/>
      <c r="DE2379" s="4"/>
      <c r="DF2379" s="4"/>
      <c r="DG2379" s="4"/>
      <c r="DH2379" s="4"/>
      <c r="DI2379" s="4"/>
      <c r="DJ2379" s="4"/>
      <c r="DK2379" s="4"/>
      <c r="DL2379" s="4"/>
      <c r="DM2379" s="4"/>
      <c r="DN2379" s="4"/>
      <c r="DO2379" s="4"/>
      <c r="DP2379" s="4"/>
      <c r="DQ2379" s="4"/>
      <c r="DR2379" s="4"/>
      <c r="DS2379" s="4"/>
      <c r="DT2379" s="4"/>
      <c r="DU2379" s="4"/>
      <c r="DV2379" s="4"/>
      <c r="DW2379" s="4"/>
      <c r="DX2379" s="4"/>
      <c r="DY2379" s="4"/>
      <c r="DZ2379" s="4"/>
      <c r="EA2379" s="4"/>
      <c r="EB2379" s="4"/>
      <c r="EC2379" s="4"/>
      <c r="ED2379" s="4"/>
      <c r="EE2379" s="4"/>
      <c r="EF2379" s="4"/>
      <c r="EG2379" s="4"/>
      <c r="EH2379" s="4"/>
      <c r="EI2379" s="4"/>
      <c r="EJ2379" s="4"/>
      <c r="EK2379" s="4"/>
      <c r="EL2379" s="4"/>
      <c r="EM2379" s="4"/>
      <c r="EN2379" s="4"/>
      <c r="EO2379" s="4"/>
      <c r="EP2379" s="4"/>
      <c r="EQ2379" s="4"/>
      <c r="ER2379" s="4"/>
      <c r="ES2379" s="4"/>
      <c r="ET2379" s="4"/>
      <c r="EU2379" s="4"/>
      <c r="EV2379" s="4"/>
      <c r="EW2379" s="4"/>
      <c r="EX2379" s="4"/>
      <c r="EY2379" s="4"/>
      <c r="EZ2379" s="4"/>
      <c r="FA2379" s="4"/>
      <c r="FB2379" s="4"/>
      <c r="FC2379" s="4"/>
      <c r="FD2379" s="4"/>
      <c r="FE2379" s="4"/>
      <c r="FF2379" s="4"/>
      <c r="FG2379" s="4"/>
      <c r="FH2379" s="4"/>
      <c r="FI2379" s="4"/>
      <c r="FJ2379" s="4"/>
      <c r="FK2379" s="4"/>
      <c r="FL2379" s="4"/>
      <c r="FM2379" s="4"/>
      <c r="FN2379" s="4"/>
      <c r="FO2379" s="4"/>
      <c r="FP2379" s="4"/>
      <c r="FQ2379" s="4"/>
      <c r="FR2379" s="4"/>
      <c r="FS2379" s="4"/>
      <c r="FT2379" s="4"/>
      <c r="FU2379" s="4"/>
      <c r="FV2379" s="4"/>
      <c r="FW2379" s="4"/>
      <c r="FX2379" s="4"/>
      <c r="FY2379" s="4"/>
      <c r="FZ2379" s="4"/>
      <c r="GA2379" s="4"/>
      <c r="GB2379" s="4"/>
      <c r="GC2379" s="4"/>
      <c r="GD2379" s="4"/>
      <c r="GE2379" s="4"/>
      <c r="GF2379" s="4"/>
      <c r="GG2379" s="4"/>
      <c r="GH2379" s="4"/>
      <c r="GI2379" s="4"/>
      <c r="GJ2379" s="4"/>
      <c r="GK2379" s="4"/>
      <c r="GL2379" s="4"/>
      <c r="GM2379" s="4"/>
      <c r="GN2379" s="4"/>
      <c r="GO2379" s="4"/>
      <c r="GP2379" s="4"/>
      <c r="GQ2379" s="4"/>
      <c r="GR2379" s="4"/>
      <c r="GS2379" s="4"/>
      <c r="GT2379" s="4"/>
      <c r="GU2379" s="4"/>
      <c r="GV2379" s="4"/>
      <c r="GW2379" s="4"/>
      <c r="GX2379" s="4"/>
      <c r="GY2379" s="4"/>
      <c r="GZ2379" s="4"/>
      <c r="HA2379" s="4"/>
      <c r="HB2379" s="4"/>
      <c r="HC2379" s="4"/>
      <c r="HD2379" s="4"/>
      <c r="HE2379" s="4"/>
    </row>
    <row r="2380">
      <c r="A2380" s="2" t="s">
        <v>11074</v>
      </c>
      <c r="B2380" s="2" t="s">
        <v>1150</v>
      </c>
      <c r="C2380" s="2" t="s">
        <v>9274</v>
      </c>
      <c r="D2380" s="2" t="s">
        <v>1112</v>
      </c>
      <c r="E2380" s="2" t="s">
        <v>1165</v>
      </c>
      <c r="F2380" s="2" t="s">
        <v>11070</v>
      </c>
      <c r="G2380" s="2" t="s">
        <v>228</v>
      </c>
      <c r="H2380" s="2" t="s">
        <v>228</v>
      </c>
      <c r="I2380" s="2" t="s">
        <v>11071</v>
      </c>
      <c r="J2380" s="2" t="s">
        <v>294</v>
      </c>
      <c r="K2380" s="2" t="s">
        <v>305</v>
      </c>
      <c r="L2380" s="3">
        <v>44.99</v>
      </c>
      <c r="M2380" s="3">
        <v>47.24</v>
      </c>
      <c r="N2380" s="3"/>
      <c r="O2380" s="2" t="s">
        <v>232</v>
      </c>
      <c r="P2380" s="2" t="s">
        <v>233</v>
      </c>
      <c r="Q2380" s="2" t="s">
        <v>234</v>
      </c>
      <c r="R2380" s="2" t="s">
        <v>9278</v>
      </c>
      <c r="S2380" s="2" t="s">
        <v>228</v>
      </c>
      <c r="T2380" s="2" t="s">
        <v>228</v>
      </c>
      <c r="U2380" s="2" t="s">
        <v>228</v>
      </c>
      <c r="V2380" s="2" t="s">
        <v>236</v>
      </c>
      <c r="W2380" s="2" t="s">
        <v>228</v>
      </c>
      <c r="X2380" s="2" t="s">
        <v>228</v>
      </c>
      <c r="Y2380" s="2" t="s">
        <v>11072</v>
      </c>
      <c r="Z2380" s="4"/>
      <c r="AA2380" s="4">
        <f>=ROUNDDOWN({0},0)</f>
      </c>
      <c r="AB2380" s="5"/>
      <c r="AC2380" s="2" t="s">
        <v>228</v>
      </c>
      <c r="AD2380" s="4"/>
      <c r="AE2380" s="4"/>
      <c r="AF2380" s="6"/>
      <c r="AG2380" s="6"/>
      <c r="AH2380" s="7"/>
      <c r="AI2380" s="4"/>
      <c r="AJ2380" s="4">
        <f>=ROUNDDOWN({0},0)</f>
      </c>
      <c r="AK2380" s="5"/>
      <c r="AL2380" s="2" t="s">
        <v>228</v>
      </c>
      <c r="AM2380" s="4"/>
      <c r="AN2380" s="4"/>
      <c r="AO2380" s="7"/>
      <c r="AP2380" s="4"/>
      <c r="AQ2380" s="8"/>
      <c r="AR2380" s="4"/>
      <c r="AS2380" s="8"/>
      <c r="AT2380" s="7"/>
      <c r="AU2380" s="7"/>
      <c r="AV2380" s="4" t="s">
        <v>228</v>
      </c>
      <c r="AW2380" s="8" t="s">
        <v>228</v>
      </c>
      <c r="AX2380" s="4" t="s">
        <v>228</v>
      </c>
      <c r="AY2380" s="8" t="s">
        <v>228</v>
      </c>
      <c r="AZ2380" s="7" t="s">
        <v>228</v>
      </c>
      <c r="BA2380" s="7" t="s">
        <v>228</v>
      </c>
      <c r="BB2380" s="7"/>
      <c r="BC2380" s="4" t="s">
        <v>228</v>
      </c>
      <c r="BD2380" s="8" t="s">
        <v>228</v>
      </c>
      <c r="BE2380" s="4" t="s">
        <v>228</v>
      </c>
      <c r="BF2380" s="8" t="s">
        <v>228</v>
      </c>
      <c r="BG2380" s="7" t="s">
        <v>228</v>
      </c>
      <c r="BH2380" s="7" t="s">
        <v>228</v>
      </c>
      <c r="BI2380" s="7"/>
      <c r="BJ2380" s="4"/>
      <c r="BK2380" s="8"/>
      <c r="BL2380" s="2" t="s">
        <v>228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238</v>
      </c>
      <c r="BV2380" s="2" t="s">
        <v>228</v>
      </c>
      <c r="BW2380" s="2" t="s">
        <v>228</v>
      </c>
      <c r="BX2380" s="2" t="s">
        <v>228</v>
      </c>
      <c r="BY2380" s="2" t="s">
        <v>239</v>
      </c>
      <c r="BZ2380" s="2" t="s">
        <v>240</v>
      </c>
      <c r="CA2380" s="2" t="s">
        <v>228</v>
      </c>
      <c r="CB2380" s="2" t="s">
        <v>228</v>
      </c>
      <c r="CC2380" s="2" t="s">
        <v>241</v>
      </c>
      <c r="CD2380" s="2" t="s">
        <v>228</v>
      </c>
      <c r="CE2380" s="4"/>
      <c r="CF2380" s="4"/>
      <c r="CG2380" s="4"/>
      <c r="CH2380" s="4"/>
      <c r="CI2380" s="4"/>
      <c r="CJ2380" s="4"/>
      <c r="CK2380" s="4"/>
      <c r="CL2380" s="4"/>
      <c r="CM2380" s="4"/>
      <c r="CN2380" s="4"/>
      <c r="CO2380" s="4"/>
      <c r="CP2380" s="4"/>
      <c r="CQ2380" s="4"/>
      <c r="CR2380" s="4"/>
      <c r="CS2380" s="4"/>
      <c r="CT2380" s="4"/>
      <c r="CU2380" s="4"/>
      <c r="CV2380" s="4"/>
      <c r="CW2380" s="4"/>
      <c r="CX2380" s="4"/>
      <c r="CY2380" s="4"/>
      <c r="CZ2380" s="4"/>
      <c r="DA2380" s="4"/>
      <c r="DB2380" s="4"/>
      <c r="DC2380" s="4"/>
      <c r="DD2380" s="4"/>
      <c r="DE2380" s="4"/>
      <c r="DF2380" s="4"/>
      <c r="DG2380" s="4"/>
      <c r="DH2380" s="4"/>
      <c r="DI2380" s="4"/>
      <c r="DJ2380" s="4"/>
      <c r="DK2380" s="4"/>
      <c r="DL2380" s="4"/>
      <c r="DM2380" s="4"/>
      <c r="DN2380" s="4"/>
      <c r="DO2380" s="4"/>
      <c r="DP2380" s="4"/>
      <c r="DQ2380" s="4"/>
      <c r="DR2380" s="4"/>
      <c r="DS2380" s="4"/>
      <c r="DT2380" s="4"/>
      <c r="DU2380" s="4"/>
      <c r="DV2380" s="4"/>
      <c r="DW2380" s="4"/>
      <c r="DX2380" s="4"/>
      <c r="DY2380" s="4"/>
      <c r="DZ2380" s="4"/>
      <c r="EA2380" s="4"/>
      <c r="EB2380" s="4"/>
      <c r="EC2380" s="4"/>
      <c r="ED2380" s="4"/>
      <c r="EE2380" s="4"/>
      <c r="EF2380" s="4"/>
      <c r="EG2380" s="4"/>
      <c r="EH2380" s="4"/>
      <c r="EI2380" s="4"/>
      <c r="EJ2380" s="4"/>
      <c r="EK2380" s="4"/>
      <c r="EL2380" s="4"/>
      <c r="EM2380" s="4"/>
      <c r="EN2380" s="4"/>
      <c r="EO2380" s="4"/>
      <c r="EP2380" s="4"/>
      <c r="EQ2380" s="4"/>
      <c r="ER2380" s="4"/>
      <c r="ES2380" s="4"/>
      <c r="ET2380" s="4"/>
      <c r="EU2380" s="4"/>
      <c r="EV2380" s="4"/>
      <c r="EW2380" s="4"/>
      <c r="EX2380" s="4"/>
      <c r="EY2380" s="4"/>
      <c r="EZ2380" s="4"/>
      <c r="FA2380" s="4"/>
      <c r="FB2380" s="4"/>
      <c r="FC2380" s="4"/>
      <c r="FD2380" s="4"/>
      <c r="FE2380" s="4"/>
      <c r="FF2380" s="4"/>
      <c r="FG2380" s="4"/>
      <c r="FH2380" s="4"/>
      <c r="FI2380" s="4"/>
      <c r="FJ2380" s="4"/>
      <c r="FK2380" s="4"/>
      <c r="FL2380" s="4"/>
      <c r="FM2380" s="4"/>
      <c r="FN2380" s="4"/>
      <c r="FO2380" s="4"/>
      <c r="FP2380" s="4"/>
      <c r="FQ2380" s="4"/>
      <c r="FR2380" s="4"/>
      <c r="FS2380" s="4"/>
      <c r="FT2380" s="4"/>
      <c r="FU2380" s="4"/>
      <c r="FV2380" s="4"/>
      <c r="FW2380" s="4"/>
      <c r="FX2380" s="4"/>
      <c r="FY2380" s="4"/>
      <c r="FZ2380" s="4"/>
      <c r="GA2380" s="4"/>
      <c r="GB2380" s="4"/>
      <c r="GC2380" s="4"/>
      <c r="GD2380" s="4"/>
      <c r="GE2380" s="4"/>
      <c r="GF2380" s="4"/>
      <c r="GG2380" s="4"/>
      <c r="GH2380" s="4"/>
      <c r="GI2380" s="4"/>
      <c r="GJ2380" s="4"/>
      <c r="GK2380" s="4"/>
      <c r="GL2380" s="4"/>
      <c r="GM2380" s="4"/>
      <c r="GN2380" s="4"/>
      <c r="GO2380" s="4"/>
      <c r="GP2380" s="4"/>
      <c r="GQ2380" s="4"/>
      <c r="GR2380" s="4"/>
      <c r="GS2380" s="4"/>
      <c r="GT2380" s="4"/>
      <c r="GU2380" s="4"/>
      <c r="GV2380" s="4"/>
      <c r="GW2380" s="4"/>
      <c r="GX2380" s="4"/>
      <c r="GY2380" s="4"/>
      <c r="GZ2380" s="4"/>
      <c r="HA2380" s="4"/>
      <c r="HB2380" s="4"/>
      <c r="HC2380" s="4"/>
      <c r="HD2380" s="4"/>
      <c r="HE2380" s="4"/>
    </row>
    <row r="2381">
      <c r="A2381" s="2" t="s">
        <v>11075</v>
      </c>
      <c r="B2381" s="2" t="s">
        <v>1150</v>
      </c>
      <c r="C2381" s="2" t="s">
        <v>9274</v>
      </c>
      <c r="D2381" s="2" t="s">
        <v>1112</v>
      </c>
      <c r="E2381" s="2" t="s">
        <v>1165</v>
      </c>
      <c r="F2381" s="2" t="s">
        <v>11070</v>
      </c>
      <c r="G2381" s="2" t="s">
        <v>228</v>
      </c>
      <c r="H2381" s="2" t="s">
        <v>228</v>
      </c>
      <c r="I2381" s="2" t="s">
        <v>11071</v>
      </c>
      <c r="J2381" s="2" t="s">
        <v>856</v>
      </c>
      <c r="K2381" s="2" t="s">
        <v>231</v>
      </c>
      <c r="L2381" s="3">
        <v>29.99</v>
      </c>
      <c r="M2381" s="3">
        <v>31.49</v>
      </c>
      <c r="N2381" s="3"/>
      <c r="O2381" s="2" t="s">
        <v>240</v>
      </c>
      <c r="P2381" s="2" t="s">
        <v>233</v>
      </c>
      <c r="Q2381" s="2" t="s">
        <v>234</v>
      </c>
      <c r="R2381" s="2" t="s">
        <v>9278</v>
      </c>
      <c r="S2381" s="2" t="s">
        <v>228</v>
      </c>
      <c r="T2381" s="2" t="s">
        <v>228</v>
      </c>
      <c r="U2381" s="2" t="s">
        <v>228</v>
      </c>
      <c r="V2381" s="2" t="s">
        <v>236</v>
      </c>
      <c r="W2381" s="2" t="s">
        <v>228</v>
      </c>
      <c r="X2381" s="2" t="s">
        <v>228</v>
      </c>
      <c r="Y2381" s="2" t="s">
        <v>11072</v>
      </c>
      <c r="Z2381" s="4"/>
      <c r="AA2381" s="4">
        <f>=ROUNDDOWN({0},0)</f>
      </c>
      <c r="AB2381" s="5"/>
      <c r="AC2381" s="2" t="s">
        <v>228</v>
      </c>
      <c r="AD2381" s="4"/>
      <c r="AE2381" s="4"/>
      <c r="AF2381" s="6"/>
      <c r="AG2381" s="6"/>
      <c r="AH2381" s="7"/>
      <c r="AI2381" s="4"/>
      <c r="AJ2381" s="4">
        <f>=ROUNDDOWN({0},0)</f>
      </c>
      <c r="AK2381" s="5"/>
      <c r="AL2381" s="2" t="s">
        <v>228</v>
      </c>
      <c r="AM2381" s="4"/>
      <c r="AN2381" s="4"/>
      <c r="AO2381" s="7"/>
      <c r="AP2381" s="4"/>
      <c r="AQ2381" s="8"/>
      <c r="AR2381" s="4"/>
      <c r="AS2381" s="8"/>
      <c r="AT2381" s="7"/>
      <c r="AU2381" s="7"/>
      <c r="AV2381" s="4" t="s">
        <v>228</v>
      </c>
      <c r="AW2381" s="8" t="s">
        <v>228</v>
      </c>
      <c r="AX2381" s="4" t="s">
        <v>228</v>
      </c>
      <c r="AY2381" s="8" t="s">
        <v>228</v>
      </c>
      <c r="AZ2381" s="7" t="s">
        <v>228</v>
      </c>
      <c r="BA2381" s="7" t="s">
        <v>228</v>
      </c>
      <c r="BB2381" s="7"/>
      <c r="BC2381" s="4" t="s">
        <v>228</v>
      </c>
      <c r="BD2381" s="8" t="s">
        <v>228</v>
      </c>
      <c r="BE2381" s="4" t="s">
        <v>228</v>
      </c>
      <c r="BF2381" s="8" t="s">
        <v>228</v>
      </c>
      <c r="BG2381" s="7" t="s">
        <v>228</v>
      </c>
      <c r="BH2381" s="7" t="s">
        <v>228</v>
      </c>
      <c r="BI2381" s="7"/>
      <c r="BJ2381" s="4"/>
      <c r="BK2381" s="8"/>
      <c r="BL2381" s="2" t="s">
        <v>228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238</v>
      </c>
      <c r="BV2381" s="2" t="s">
        <v>228</v>
      </c>
      <c r="BW2381" s="2" t="s">
        <v>228</v>
      </c>
      <c r="BX2381" s="2" t="s">
        <v>228</v>
      </c>
      <c r="BY2381" s="2" t="s">
        <v>239</v>
      </c>
      <c r="BZ2381" s="2" t="s">
        <v>240</v>
      </c>
      <c r="CA2381" s="2" t="s">
        <v>228</v>
      </c>
      <c r="CB2381" s="2" t="s">
        <v>228</v>
      </c>
      <c r="CC2381" s="2" t="s">
        <v>241</v>
      </c>
      <c r="CD2381" s="2" t="s">
        <v>228</v>
      </c>
      <c r="CE2381" s="4"/>
      <c r="CF2381" s="4"/>
      <c r="CG2381" s="4"/>
      <c r="CH2381" s="4"/>
      <c r="CI2381" s="4"/>
      <c r="CJ2381" s="4"/>
      <c r="CK2381" s="4"/>
      <c r="CL2381" s="4"/>
      <c r="CM2381" s="4"/>
      <c r="CN2381" s="4"/>
      <c r="CO2381" s="4"/>
      <c r="CP2381" s="4"/>
      <c r="CQ2381" s="4"/>
      <c r="CR2381" s="4"/>
      <c r="CS2381" s="4"/>
      <c r="CT2381" s="4"/>
      <c r="CU2381" s="4"/>
      <c r="CV2381" s="4"/>
      <c r="CW2381" s="4"/>
      <c r="CX2381" s="4"/>
      <c r="CY2381" s="4"/>
      <c r="CZ2381" s="4"/>
      <c r="DA2381" s="4"/>
      <c r="DB2381" s="4"/>
      <c r="DC2381" s="4"/>
      <c r="DD2381" s="4"/>
      <c r="DE2381" s="4"/>
      <c r="DF2381" s="4"/>
      <c r="DG2381" s="4"/>
      <c r="DH2381" s="4"/>
      <c r="DI2381" s="4"/>
      <c r="DJ2381" s="4"/>
      <c r="DK2381" s="4"/>
      <c r="DL2381" s="4"/>
      <c r="DM2381" s="4"/>
      <c r="DN2381" s="4"/>
      <c r="DO2381" s="4"/>
      <c r="DP2381" s="4"/>
      <c r="DQ2381" s="4"/>
      <c r="DR2381" s="4"/>
      <c r="DS2381" s="4"/>
      <c r="DT2381" s="4"/>
      <c r="DU2381" s="4"/>
      <c r="DV2381" s="4"/>
      <c r="DW2381" s="4"/>
      <c r="DX2381" s="4"/>
      <c r="DY2381" s="4"/>
      <c r="DZ2381" s="4"/>
      <c r="EA2381" s="4"/>
      <c r="EB2381" s="4"/>
      <c r="EC2381" s="4"/>
      <c r="ED2381" s="4"/>
      <c r="EE2381" s="4"/>
      <c r="EF2381" s="4"/>
      <c r="EG2381" s="4"/>
      <c r="EH2381" s="4"/>
      <c r="EI2381" s="4"/>
      <c r="EJ2381" s="4"/>
      <c r="EK2381" s="4"/>
      <c r="EL2381" s="4"/>
      <c r="EM2381" s="4"/>
      <c r="EN2381" s="4"/>
      <c r="EO2381" s="4"/>
      <c r="EP2381" s="4"/>
      <c r="EQ2381" s="4"/>
      <c r="ER2381" s="4"/>
      <c r="ES2381" s="4"/>
      <c r="ET2381" s="4"/>
      <c r="EU2381" s="4"/>
      <c r="EV2381" s="4"/>
      <c r="EW2381" s="4"/>
      <c r="EX2381" s="4"/>
      <c r="EY2381" s="4"/>
      <c r="EZ2381" s="4"/>
      <c r="FA2381" s="4"/>
      <c r="FB2381" s="4"/>
      <c r="FC2381" s="4"/>
      <c r="FD2381" s="4"/>
      <c r="FE2381" s="4"/>
      <c r="FF2381" s="4"/>
      <c r="FG2381" s="4"/>
      <c r="FH2381" s="4"/>
      <c r="FI2381" s="4"/>
      <c r="FJ2381" s="4"/>
      <c r="FK2381" s="4"/>
      <c r="FL2381" s="4"/>
      <c r="FM2381" s="4"/>
      <c r="FN2381" s="4"/>
      <c r="FO2381" s="4"/>
      <c r="FP2381" s="4"/>
      <c r="FQ2381" s="4"/>
      <c r="FR2381" s="4"/>
      <c r="FS2381" s="4"/>
      <c r="FT2381" s="4"/>
      <c r="FU2381" s="4"/>
      <c r="FV2381" s="4"/>
      <c r="FW2381" s="4"/>
      <c r="FX2381" s="4"/>
      <c r="FY2381" s="4"/>
      <c r="FZ2381" s="4"/>
      <c r="GA2381" s="4"/>
      <c r="GB2381" s="4"/>
      <c r="GC2381" s="4"/>
      <c r="GD2381" s="4"/>
      <c r="GE2381" s="4"/>
      <c r="GF2381" s="4"/>
      <c r="GG2381" s="4"/>
      <c r="GH2381" s="4"/>
      <c r="GI2381" s="4"/>
      <c r="GJ2381" s="4"/>
      <c r="GK2381" s="4"/>
      <c r="GL2381" s="4"/>
      <c r="GM2381" s="4"/>
      <c r="GN2381" s="4"/>
      <c r="GO2381" s="4"/>
      <c r="GP2381" s="4"/>
      <c r="GQ2381" s="4"/>
      <c r="GR2381" s="4"/>
      <c r="GS2381" s="4"/>
      <c r="GT2381" s="4"/>
      <c r="GU2381" s="4"/>
      <c r="GV2381" s="4"/>
      <c r="GW2381" s="4"/>
      <c r="GX2381" s="4"/>
      <c r="GY2381" s="4"/>
      <c r="GZ2381" s="4"/>
      <c r="HA2381" s="4"/>
      <c r="HB2381" s="4"/>
      <c r="HC2381" s="4"/>
      <c r="HD2381" s="4"/>
      <c r="HE2381" s="4"/>
    </row>
    <row r="2382">
      <c r="A2382" s="2" t="s">
        <v>11076</v>
      </c>
      <c r="B2382" s="2" t="s">
        <v>1150</v>
      </c>
      <c r="C2382" s="2" t="s">
        <v>9274</v>
      </c>
      <c r="D2382" s="2" t="s">
        <v>1112</v>
      </c>
      <c r="E2382" s="2" t="s">
        <v>1165</v>
      </c>
      <c r="F2382" s="2" t="s">
        <v>11070</v>
      </c>
      <c r="G2382" s="2" t="s">
        <v>228</v>
      </c>
      <c r="H2382" s="2" t="s">
        <v>228</v>
      </c>
      <c r="I2382" s="2" t="s">
        <v>11071</v>
      </c>
      <c r="J2382" s="2" t="s">
        <v>1189</v>
      </c>
      <c r="K2382" s="2" t="s">
        <v>231</v>
      </c>
      <c r="L2382" s="3">
        <v>39.99</v>
      </c>
      <c r="M2382" s="3">
        <v>41.99</v>
      </c>
      <c r="N2382" s="3"/>
      <c r="O2382" s="2" t="s">
        <v>240</v>
      </c>
      <c r="P2382" s="2" t="s">
        <v>233</v>
      </c>
      <c r="Q2382" s="2" t="s">
        <v>234</v>
      </c>
      <c r="R2382" s="2" t="s">
        <v>9278</v>
      </c>
      <c r="S2382" s="2" t="s">
        <v>228</v>
      </c>
      <c r="T2382" s="2" t="s">
        <v>228</v>
      </c>
      <c r="U2382" s="2" t="s">
        <v>228</v>
      </c>
      <c r="V2382" s="2" t="s">
        <v>236</v>
      </c>
      <c r="W2382" s="2" t="s">
        <v>228</v>
      </c>
      <c r="X2382" s="2" t="s">
        <v>228</v>
      </c>
      <c r="Y2382" s="2" t="s">
        <v>11072</v>
      </c>
      <c r="Z2382" s="4"/>
      <c r="AA2382" s="4">
        <f>=ROUNDDOWN({0},0)</f>
      </c>
      <c r="AB2382" s="5"/>
      <c r="AC2382" s="2" t="s">
        <v>228</v>
      </c>
      <c r="AD2382" s="4"/>
      <c r="AE2382" s="4"/>
      <c r="AF2382" s="6"/>
      <c r="AG2382" s="6"/>
      <c r="AH2382" s="7"/>
      <c r="AI2382" s="4"/>
      <c r="AJ2382" s="4">
        <f>=ROUNDDOWN({0},0)</f>
      </c>
      <c r="AK2382" s="5"/>
      <c r="AL2382" s="2" t="s">
        <v>228</v>
      </c>
      <c r="AM2382" s="4"/>
      <c r="AN2382" s="4"/>
      <c r="AO2382" s="7"/>
      <c r="AP2382" s="4"/>
      <c r="AQ2382" s="8"/>
      <c r="AR2382" s="4"/>
      <c r="AS2382" s="8"/>
      <c r="AT2382" s="7"/>
      <c r="AU2382" s="7"/>
      <c r="AV2382" s="4" t="s">
        <v>228</v>
      </c>
      <c r="AW2382" s="8" t="s">
        <v>228</v>
      </c>
      <c r="AX2382" s="4" t="s">
        <v>228</v>
      </c>
      <c r="AY2382" s="8" t="s">
        <v>228</v>
      </c>
      <c r="AZ2382" s="7" t="s">
        <v>228</v>
      </c>
      <c r="BA2382" s="7" t="s">
        <v>228</v>
      </c>
      <c r="BB2382" s="7"/>
      <c r="BC2382" s="4" t="s">
        <v>228</v>
      </c>
      <c r="BD2382" s="8" t="s">
        <v>228</v>
      </c>
      <c r="BE2382" s="4" t="s">
        <v>228</v>
      </c>
      <c r="BF2382" s="8" t="s">
        <v>228</v>
      </c>
      <c r="BG2382" s="7" t="s">
        <v>228</v>
      </c>
      <c r="BH2382" s="7" t="s">
        <v>228</v>
      </c>
      <c r="BI2382" s="7"/>
      <c r="BJ2382" s="4"/>
      <c r="BK2382" s="8"/>
      <c r="BL2382" s="2" t="s">
        <v>228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238</v>
      </c>
      <c r="BV2382" s="2" t="s">
        <v>228</v>
      </c>
      <c r="BW2382" s="2" t="s">
        <v>228</v>
      </c>
      <c r="BX2382" s="2" t="s">
        <v>228</v>
      </c>
      <c r="BY2382" s="2" t="s">
        <v>239</v>
      </c>
      <c r="BZ2382" s="2" t="s">
        <v>240</v>
      </c>
      <c r="CA2382" s="2" t="s">
        <v>228</v>
      </c>
      <c r="CB2382" s="2" t="s">
        <v>228</v>
      </c>
      <c r="CC2382" s="2" t="s">
        <v>241</v>
      </c>
      <c r="CD2382" s="2" t="s">
        <v>228</v>
      </c>
      <c r="CE2382" s="4"/>
      <c r="CF2382" s="4"/>
      <c r="CG2382" s="4"/>
      <c r="CH2382" s="4"/>
      <c r="CI2382" s="4"/>
      <c r="CJ2382" s="4"/>
      <c r="CK2382" s="4"/>
      <c r="CL2382" s="4"/>
      <c r="CM2382" s="4"/>
      <c r="CN2382" s="4"/>
      <c r="CO2382" s="4"/>
      <c r="CP2382" s="4"/>
      <c r="CQ2382" s="4"/>
      <c r="CR2382" s="4"/>
      <c r="CS2382" s="4"/>
      <c r="CT2382" s="4"/>
      <c r="CU2382" s="4"/>
      <c r="CV2382" s="4"/>
      <c r="CW2382" s="4"/>
      <c r="CX2382" s="4"/>
      <c r="CY2382" s="4"/>
      <c r="CZ2382" s="4"/>
      <c r="DA2382" s="4"/>
      <c r="DB2382" s="4"/>
      <c r="DC2382" s="4"/>
      <c r="DD2382" s="4"/>
      <c r="DE2382" s="4"/>
      <c r="DF2382" s="4"/>
      <c r="DG2382" s="4"/>
      <c r="DH2382" s="4"/>
      <c r="DI2382" s="4"/>
      <c r="DJ2382" s="4"/>
      <c r="DK2382" s="4"/>
      <c r="DL2382" s="4"/>
      <c r="DM2382" s="4"/>
      <c r="DN2382" s="4"/>
      <c r="DO2382" s="4"/>
      <c r="DP2382" s="4"/>
      <c r="DQ2382" s="4"/>
      <c r="DR2382" s="4"/>
      <c r="DS2382" s="4"/>
      <c r="DT2382" s="4"/>
      <c r="DU2382" s="4"/>
      <c r="DV2382" s="4"/>
      <c r="DW2382" s="4"/>
      <c r="DX2382" s="4"/>
      <c r="DY2382" s="4"/>
      <c r="DZ2382" s="4"/>
      <c r="EA2382" s="4"/>
      <c r="EB2382" s="4"/>
      <c r="EC2382" s="4"/>
      <c r="ED2382" s="4"/>
      <c r="EE2382" s="4"/>
      <c r="EF2382" s="4"/>
      <c r="EG2382" s="4"/>
      <c r="EH2382" s="4"/>
      <c r="EI2382" s="4"/>
      <c r="EJ2382" s="4"/>
      <c r="EK2382" s="4"/>
      <c r="EL2382" s="4"/>
      <c r="EM2382" s="4"/>
      <c r="EN2382" s="4"/>
      <c r="EO2382" s="4"/>
      <c r="EP2382" s="4"/>
      <c r="EQ2382" s="4"/>
      <c r="ER2382" s="4"/>
      <c r="ES2382" s="4"/>
      <c r="ET2382" s="4"/>
      <c r="EU2382" s="4"/>
      <c r="EV2382" s="4"/>
      <c r="EW2382" s="4"/>
      <c r="EX2382" s="4"/>
      <c r="EY2382" s="4"/>
      <c r="EZ2382" s="4"/>
      <c r="FA2382" s="4"/>
      <c r="FB2382" s="4"/>
      <c r="FC2382" s="4"/>
      <c r="FD2382" s="4"/>
      <c r="FE2382" s="4"/>
      <c r="FF2382" s="4"/>
      <c r="FG2382" s="4"/>
      <c r="FH2382" s="4"/>
      <c r="FI2382" s="4"/>
      <c r="FJ2382" s="4"/>
      <c r="FK2382" s="4"/>
      <c r="FL2382" s="4"/>
      <c r="FM2382" s="4"/>
      <c r="FN2382" s="4"/>
      <c r="FO2382" s="4"/>
      <c r="FP2382" s="4"/>
      <c r="FQ2382" s="4"/>
      <c r="FR2382" s="4"/>
      <c r="FS2382" s="4"/>
      <c r="FT2382" s="4"/>
      <c r="FU2382" s="4"/>
      <c r="FV2382" s="4"/>
      <c r="FW2382" s="4"/>
      <c r="FX2382" s="4"/>
      <c r="FY2382" s="4"/>
      <c r="FZ2382" s="4"/>
      <c r="GA2382" s="4"/>
      <c r="GB2382" s="4"/>
      <c r="GC2382" s="4"/>
      <c r="GD2382" s="4"/>
      <c r="GE2382" s="4"/>
      <c r="GF2382" s="4"/>
      <c r="GG2382" s="4"/>
      <c r="GH2382" s="4"/>
      <c r="GI2382" s="4"/>
      <c r="GJ2382" s="4"/>
      <c r="GK2382" s="4"/>
      <c r="GL2382" s="4"/>
      <c r="GM2382" s="4"/>
      <c r="GN2382" s="4"/>
      <c r="GO2382" s="4"/>
      <c r="GP2382" s="4"/>
      <c r="GQ2382" s="4"/>
      <c r="GR2382" s="4"/>
      <c r="GS2382" s="4"/>
      <c r="GT2382" s="4"/>
      <c r="GU2382" s="4"/>
      <c r="GV2382" s="4"/>
      <c r="GW2382" s="4"/>
      <c r="GX2382" s="4"/>
      <c r="GY2382" s="4"/>
      <c r="GZ2382" s="4"/>
      <c r="HA2382" s="4"/>
      <c r="HB2382" s="4"/>
      <c r="HC2382" s="4"/>
      <c r="HD2382" s="4"/>
      <c r="HE2382" s="4"/>
    </row>
    <row r="2383">
      <c r="A2383" s="2" t="s">
        <v>11077</v>
      </c>
      <c r="B2383" s="2" t="s">
        <v>1150</v>
      </c>
      <c r="C2383" s="2" t="s">
        <v>9274</v>
      </c>
      <c r="D2383" s="2" t="s">
        <v>1112</v>
      </c>
      <c r="E2383" s="2" t="s">
        <v>1165</v>
      </c>
      <c r="F2383" s="2" t="s">
        <v>11070</v>
      </c>
      <c r="G2383" s="2" t="s">
        <v>228</v>
      </c>
      <c r="H2383" s="2" t="s">
        <v>228</v>
      </c>
      <c r="I2383" s="2" t="s">
        <v>11071</v>
      </c>
      <c r="J2383" s="2" t="s">
        <v>294</v>
      </c>
      <c r="K2383" s="2" t="s">
        <v>231</v>
      </c>
      <c r="L2383" s="3">
        <v>44.99</v>
      </c>
      <c r="M2383" s="3">
        <v>47.24</v>
      </c>
      <c r="N2383" s="3"/>
      <c r="O2383" s="2" t="s">
        <v>232</v>
      </c>
      <c r="P2383" s="2" t="s">
        <v>233</v>
      </c>
      <c r="Q2383" s="2" t="s">
        <v>234</v>
      </c>
      <c r="R2383" s="2" t="s">
        <v>9278</v>
      </c>
      <c r="S2383" s="2" t="s">
        <v>228</v>
      </c>
      <c r="T2383" s="2" t="s">
        <v>228</v>
      </c>
      <c r="U2383" s="2" t="s">
        <v>228</v>
      </c>
      <c r="V2383" s="2" t="s">
        <v>236</v>
      </c>
      <c r="W2383" s="2" t="s">
        <v>228</v>
      </c>
      <c r="X2383" s="2" t="s">
        <v>228</v>
      </c>
      <c r="Y2383" s="2" t="s">
        <v>11072</v>
      </c>
      <c r="Z2383" s="4"/>
      <c r="AA2383" s="4">
        <f>=ROUNDDOWN({0},0)</f>
      </c>
      <c r="AB2383" s="5"/>
      <c r="AC2383" s="2" t="s">
        <v>228</v>
      </c>
      <c r="AD2383" s="4"/>
      <c r="AE2383" s="4"/>
      <c r="AF2383" s="6"/>
      <c r="AG2383" s="6"/>
      <c r="AH2383" s="7"/>
      <c r="AI2383" s="4"/>
      <c r="AJ2383" s="4">
        <f>=ROUNDDOWN({0},0)</f>
      </c>
      <c r="AK2383" s="5"/>
      <c r="AL2383" s="2" t="s">
        <v>228</v>
      </c>
      <c r="AM2383" s="4"/>
      <c r="AN2383" s="4"/>
      <c r="AO2383" s="7"/>
      <c r="AP2383" s="4"/>
      <c r="AQ2383" s="8"/>
      <c r="AR2383" s="4"/>
      <c r="AS2383" s="8"/>
      <c r="AT2383" s="7"/>
      <c r="AU2383" s="7"/>
      <c r="AV2383" s="4" t="s">
        <v>228</v>
      </c>
      <c r="AW2383" s="8" t="s">
        <v>228</v>
      </c>
      <c r="AX2383" s="4" t="s">
        <v>228</v>
      </c>
      <c r="AY2383" s="8" t="s">
        <v>228</v>
      </c>
      <c r="AZ2383" s="7" t="s">
        <v>228</v>
      </c>
      <c r="BA2383" s="7" t="s">
        <v>228</v>
      </c>
      <c r="BB2383" s="7"/>
      <c r="BC2383" s="4" t="s">
        <v>228</v>
      </c>
      <c r="BD2383" s="8" t="s">
        <v>228</v>
      </c>
      <c r="BE2383" s="4" t="s">
        <v>228</v>
      </c>
      <c r="BF2383" s="8" t="s">
        <v>228</v>
      </c>
      <c r="BG2383" s="7" t="s">
        <v>228</v>
      </c>
      <c r="BH2383" s="7" t="s">
        <v>228</v>
      </c>
      <c r="BI2383" s="7"/>
      <c r="BJ2383" s="4"/>
      <c r="BK2383" s="8"/>
      <c r="BL2383" s="2" t="s">
        <v>228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238</v>
      </c>
      <c r="BV2383" s="2" t="s">
        <v>228</v>
      </c>
      <c r="BW2383" s="2" t="s">
        <v>228</v>
      </c>
      <c r="BX2383" s="2" t="s">
        <v>228</v>
      </c>
      <c r="BY2383" s="2" t="s">
        <v>239</v>
      </c>
      <c r="BZ2383" s="2" t="s">
        <v>240</v>
      </c>
      <c r="CA2383" s="2" t="s">
        <v>228</v>
      </c>
      <c r="CB2383" s="2" t="s">
        <v>228</v>
      </c>
      <c r="CC2383" s="2" t="s">
        <v>241</v>
      </c>
      <c r="CD2383" s="2" t="s">
        <v>228</v>
      </c>
      <c r="CE2383" s="4"/>
      <c r="CF2383" s="4"/>
      <c r="CG2383" s="4"/>
      <c r="CH2383" s="4"/>
      <c r="CI2383" s="4"/>
      <c r="CJ2383" s="4"/>
      <c r="CK2383" s="4"/>
      <c r="CL2383" s="4"/>
      <c r="CM2383" s="4"/>
      <c r="CN2383" s="4"/>
      <c r="CO2383" s="4"/>
      <c r="CP2383" s="4"/>
      <c r="CQ2383" s="4"/>
      <c r="CR2383" s="4"/>
      <c r="CS2383" s="4"/>
      <c r="CT2383" s="4"/>
      <c r="CU2383" s="4"/>
      <c r="CV2383" s="4"/>
      <c r="CW2383" s="4"/>
      <c r="CX2383" s="4"/>
      <c r="CY2383" s="4"/>
      <c r="CZ2383" s="4"/>
      <c r="DA2383" s="4"/>
      <c r="DB2383" s="4"/>
      <c r="DC2383" s="4"/>
      <c r="DD2383" s="4"/>
      <c r="DE2383" s="4"/>
      <c r="DF2383" s="4"/>
      <c r="DG2383" s="4"/>
      <c r="DH2383" s="4"/>
      <c r="DI2383" s="4"/>
      <c r="DJ2383" s="4"/>
      <c r="DK2383" s="4"/>
      <c r="DL2383" s="4"/>
      <c r="DM2383" s="4"/>
      <c r="DN2383" s="4"/>
      <c r="DO2383" s="4"/>
      <c r="DP2383" s="4"/>
      <c r="DQ2383" s="4"/>
      <c r="DR2383" s="4"/>
      <c r="DS2383" s="4"/>
      <c r="DT2383" s="4"/>
      <c r="DU2383" s="4"/>
      <c r="DV2383" s="4"/>
      <c r="DW2383" s="4"/>
      <c r="DX2383" s="4"/>
      <c r="DY2383" s="4"/>
      <c r="DZ2383" s="4"/>
      <c r="EA2383" s="4"/>
      <c r="EB2383" s="4"/>
      <c r="EC2383" s="4"/>
      <c r="ED2383" s="4"/>
      <c r="EE2383" s="4"/>
      <c r="EF2383" s="4"/>
      <c r="EG2383" s="4"/>
      <c r="EH2383" s="4"/>
      <c r="EI2383" s="4"/>
      <c r="EJ2383" s="4"/>
      <c r="EK2383" s="4"/>
      <c r="EL2383" s="4"/>
      <c r="EM2383" s="4"/>
      <c r="EN2383" s="4"/>
      <c r="EO2383" s="4"/>
      <c r="EP2383" s="4"/>
      <c r="EQ2383" s="4"/>
      <c r="ER2383" s="4"/>
      <c r="ES2383" s="4"/>
      <c r="ET2383" s="4"/>
      <c r="EU2383" s="4"/>
      <c r="EV2383" s="4"/>
      <c r="EW2383" s="4"/>
      <c r="EX2383" s="4"/>
      <c r="EY2383" s="4"/>
      <c r="EZ2383" s="4"/>
      <c r="FA2383" s="4"/>
      <c r="FB2383" s="4"/>
      <c r="FC2383" s="4"/>
      <c r="FD2383" s="4"/>
      <c r="FE2383" s="4"/>
      <c r="FF2383" s="4"/>
      <c r="FG2383" s="4"/>
      <c r="FH2383" s="4"/>
      <c r="FI2383" s="4"/>
      <c r="FJ2383" s="4"/>
      <c r="FK2383" s="4"/>
      <c r="FL2383" s="4"/>
      <c r="FM2383" s="4"/>
      <c r="FN2383" s="4"/>
      <c r="FO2383" s="4"/>
      <c r="FP2383" s="4"/>
      <c r="FQ2383" s="4"/>
      <c r="FR2383" s="4"/>
      <c r="FS2383" s="4"/>
      <c r="FT2383" s="4"/>
      <c r="FU2383" s="4"/>
      <c r="FV2383" s="4"/>
      <c r="FW2383" s="4"/>
      <c r="FX2383" s="4"/>
      <c r="FY2383" s="4"/>
      <c r="FZ2383" s="4"/>
      <c r="GA2383" s="4"/>
      <c r="GB2383" s="4"/>
      <c r="GC2383" s="4"/>
      <c r="GD2383" s="4"/>
      <c r="GE2383" s="4"/>
      <c r="GF2383" s="4"/>
      <c r="GG2383" s="4"/>
      <c r="GH2383" s="4"/>
      <c r="GI2383" s="4"/>
      <c r="GJ2383" s="4"/>
      <c r="GK2383" s="4"/>
      <c r="GL2383" s="4"/>
      <c r="GM2383" s="4"/>
      <c r="GN2383" s="4"/>
      <c r="GO2383" s="4"/>
      <c r="GP2383" s="4"/>
      <c r="GQ2383" s="4"/>
      <c r="GR2383" s="4"/>
      <c r="GS2383" s="4"/>
      <c r="GT2383" s="4"/>
      <c r="GU2383" s="4"/>
      <c r="GV2383" s="4"/>
      <c r="GW2383" s="4"/>
      <c r="GX2383" s="4"/>
      <c r="GY2383" s="4"/>
      <c r="GZ2383" s="4"/>
      <c r="HA2383" s="4"/>
      <c r="HB2383" s="4"/>
      <c r="HC2383" s="4"/>
      <c r="HD2383" s="4"/>
      <c r="HE2383" s="4"/>
    </row>
    <row r="2384">
      <c r="A2384" s="2" t="s">
        <v>11078</v>
      </c>
      <c r="B2384" s="2" t="s">
        <v>1150</v>
      </c>
      <c r="C2384" s="2" t="s">
        <v>9274</v>
      </c>
      <c r="D2384" s="2" t="s">
        <v>1112</v>
      </c>
      <c r="E2384" s="2" t="s">
        <v>1165</v>
      </c>
      <c r="F2384" s="2" t="s">
        <v>11070</v>
      </c>
      <c r="G2384" s="2" t="s">
        <v>228</v>
      </c>
      <c r="H2384" s="2" t="s">
        <v>228</v>
      </c>
      <c r="I2384" s="2" t="s">
        <v>11071</v>
      </c>
      <c r="J2384" s="2" t="s">
        <v>856</v>
      </c>
      <c r="K2384" s="2" t="s">
        <v>251</v>
      </c>
      <c r="L2384" s="3">
        <v>29.99</v>
      </c>
      <c r="M2384" s="3">
        <v>31.49</v>
      </c>
      <c r="N2384" s="3"/>
      <c r="O2384" s="2" t="s">
        <v>240</v>
      </c>
      <c r="P2384" s="2" t="s">
        <v>233</v>
      </c>
      <c r="Q2384" s="2" t="s">
        <v>234</v>
      </c>
      <c r="R2384" s="2" t="s">
        <v>9278</v>
      </c>
      <c r="S2384" s="2" t="s">
        <v>228</v>
      </c>
      <c r="T2384" s="2" t="s">
        <v>228</v>
      </c>
      <c r="U2384" s="2" t="s">
        <v>228</v>
      </c>
      <c r="V2384" s="2" t="s">
        <v>236</v>
      </c>
      <c r="W2384" s="2" t="s">
        <v>228</v>
      </c>
      <c r="X2384" s="2" t="s">
        <v>228</v>
      </c>
      <c r="Y2384" s="2" t="s">
        <v>11072</v>
      </c>
      <c r="Z2384" s="4"/>
      <c r="AA2384" s="4">
        <f>=ROUNDDOWN({0},0)</f>
      </c>
      <c r="AB2384" s="5"/>
      <c r="AC2384" s="2" t="s">
        <v>228</v>
      </c>
      <c r="AD2384" s="4"/>
      <c r="AE2384" s="4"/>
      <c r="AF2384" s="6"/>
      <c r="AG2384" s="6"/>
      <c r="AH2384" s="7"/>
      <c r="AI2384" s="4"/>
      <c r="AJ2384" s="4">
        <f>=ROUNDDOWN({0},0)</f>
      </c>
      <c r="AK2384" s="5"/>
      <c r="AL2384" s="2" t="s">
        <v>228</v>
      </c>
      <c r="AM2384" s="4"/>
      <c r="AN2384" s="4"/>
      <c r="AO2384" s="7"/>
      <c r="AP2384" s="4"/>
      <c r="AQ2384" s="8"/>
      <c r="AR2384" s="4"/>
      <c r="AS2384" s="8"/>
      <c r="AT2384" s="7"/>
      <c r="AU2384" s="7"/>
      <c r="AV2384" s="4" t="s">
        <v>228</v>
      </c>
      <c r="AW2384" s="8" t="s">
        <v>228</v>
      </c>
      <c r="AX2384" s="4" t="s">
        <v>228</v>
      </c>
      <c r="AY2384" s="8" t="s">
        <v>228</v>
      </c>
      <c r="AZ2384" s="7" t="s">
        <v>228</v>
      </c>
      <c r="BA2384" s="7" t="s">
        <v>228</v>
      </c>
      <c r="BB2384" s="7"/>
      <c r="BC2384" s="4" t="s">
        <v>228</v>
      </c>
      <c r="BD2384" s="8" t="s">
        <v>228</v>
      </c>
      <c r="BE2384" s="4" t="s">
        <v>228</v>
      </c>
      <c r="BF2384" s="8" t="s">
        <v>228</v>
      </c>
      <c r="BG2384" s="7" t="s">
        <v>228</v>
      </c>
      <c r="BH2384" s="7" t="s">
        <v>228</v>
      </c>
      <c r="BI2384" s="7"/>
      <c r="BJ2384" s="4"/>
      <c r="BK2384" s="8"/>
      <c r="BL2384" s="2" t="s">
        <v>228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238</v>
      </c>
      <c r="BV2384" s="2" t="s">
        <v>228</v>
      </c>
      <c r="BW2384" s="2" t="s">
        <v>228</v>
      </c>
      <c r="BX2384" s="2" t="s">
        <v>228</v>
      </c>
      <c r="BY2384" s="2" t="s">
        <v>239</v>
      </c>
      <c r="BZ2384" s="2" t="s">
        <v>240</v>
      </c>
      <c r="CA2384" s="2" t="s">
        <v>228</v>
      </c>
      <c r="CB2384" s="2" t="s">
        <v>228</v>
      </c>
      <c r="CC2384" s="2" t="s">
        <v>241</v>
      </c>
      <c r="CD2384" s="2" t="s">
        <v>228</v>
      </c>
      <c r="CE2384" s="4"/>
      <c r="CF2384" s="4"/>
      <c r="CG2384" s="4"/>
      <c r="CH2384" s="4"/>
      <c r="CI2384" s="4"/>
      <c r="CJ2384" s="4"/>
      <c r="CK2384" s="4"/>
      <c r="CL2384" s="4"/>
      <c r="CM2384" s="4"/>
      <c r="CN2384" s="4"/>
      <c r="CO2384" s="4"/>
      <c r="CP2384" s="4"/>
      <c r="CQ2384" s="4"/>
      <c r="CR2384" s="4"/>
      <c r="CS2384" s="4"/>
      <c r="CT2384" s="4"/>
      <c r="CU2384" s="4"/>
      <c r="CV2384" s="4"/>
      <c r="CW2384" s="4"/>
      <c r="CX2384" s="4"/>
      <c r="CY2384" s="4"/>
      <c r="CZ2384" s="4"/>
      <c r="DA2384" s="4"/>
      <c r="DB2384" s="4"/>
      <c r="DC2384" s="4"/>
      <c r="DD2384" s="4"/>
      <c r="DE2384" s="4"/>
      <c r="DF2384" s="4"/>
      <c r="DG2384" s="4"/>
      <c r="DH2384" s="4"/>
      <c r="DI2384" s="4"/>
      <c r="DJ2384" s="4"/>
      <c r="DK2384" s="4"/>
      <c r="DL2384" s="4"/>
      <c r="DM2384" s="4"/>
      <c r="DN2384" s="4"/>
      <c r="DO2384" s="4"/>
      <c r="DP2384" s="4"/>
      <c r="DQ2384" s="4"/>
      <c r="DR2384" s="4"/>
      <c r="DS2384" s="4"/>
      <c r="DT2384" s="4"/>
      <c r="DU2384" s="4"/>
      <c r="DV2384" s="4"/>
      <c r="DW2384" s="4"/>
      <c r="DX2384" s="4"/>
      <c r="DY2384" s="4"/>
      <c r="DZ2384" s="4"/>
      <c r="EA2384" s="4"/>
      <c r="EB2384" s="4"/>
      <c r="EC2384" s="4"/>
      <c r="ED2384" s="4"/>
      <c r="EE2384" s="4"/>
      <c r="EF2384" s="4"/>
      <c r="EG2384" s="4"/>
      <c r="EH2384" s="4"/>
      <c r="EI2384" s="4"/>
      <c r="EJ2384" s="4"/>
      <c r="EK2384" s="4"/>
      <c r="EL2384" s="4"/>
      <c r="EM2384" s="4"/>
      <c r="EN2384" s="4"/>
      <c r="EO2384" s="4"/>
      <c r="EP2384" s="4"/>
      <c r="EQ2384" s="4"/>
      <c r="ER2384" s="4"/>
      <c r="ES2384" s="4"/>
      <c r="ET2384" s="4"/>
      <c r="EU2384" s="4"/>
      <c r="EV2384" s="4"/>
      <c r="EW2384" s="4"/>
      <c r="EX2384" s="4"/>
      <c r="EY2384" s="4"/>
      <c r="EZ2384" s="4"/>
      <c r="FA2384" s="4"/>
      <c r="FB2384" s="4"/>
      <c r="FC2384" s="4"/>
      <c r="FD2384" s="4"/>
      <c r="FE2384" s="4"/>
      <c r="FF2384" s="4"/>
      <c r="FG2384" s="4"/>
      <c r="FH2384" s="4"/>
      <c r="FI2384" s="4"/>
      <c r="FJ2384" s="4"/>
      <c r="FK2384" s="4"/>
      <c r="FL2384" s="4"/>
      <c r="FM2384" s="4"/>
      <c r="FN2384" s="4"/>
      <c r="FO2384" s="4"/>
      <c r="FP2384" s="4"/>
      <c r="FQ2384" s="4"/>
      <c r="FR2384" s="4"/>
      <c r="FS2384" s="4"/>
      <c r="FT2384" s="4"/>
      <c r="FU2384" s="4"/>
      <c r="FV2384" s="4"/>
      <c r="FW2384" s="4"/>
      <c r="FX2384" s="4"/>
      <c r="FY2384" s="4"/>
      <c r="FZ2384" s="4"/>
      <c r="GA2384" s="4"/>
      <c r="GB2384" s="4"/>
      <c r="GC2384" s="4"/>
      <c r="GD2384" s="4"/>
      <c r="GE2384" s="4"/>
      <c r="GF2384" s="4"/>
      <c r="GG2384" s="4"/>
      <c r="GH2384" s="4"/>
      <c r="GI2384" s="4"/>
      <c r="GJ2384" s="4"/>
      <c r="GK2384" s="4"/>
      <c r="GL2384" s="4"/>
      <c r="GM2384" s="4"/>
      <c r="GN2384" s="4"/>
      <c r="GO2384" s="4"/>
      <c r="GP2384" s="4"/>
      <c r="GQ2384" s="4"/>
      <c r="GR2384" s="4"/>
      <c r="GS2384" s="4"/>
      <c r="GT2384" s="4"/>
      <c r="GU2384" s="4"/>
      <c r="GV2384" s="4"/>
      <c r="GW2384" s="4"/>
      <c r="GX2384" s="4"/>
      <c r="GY2384" s="4"/>
      <c r="GZ2384" s="4"/>
      <c r="HA2384" s="4"/>
      <c r="HB2384" s="4"/>
      <c r="HC2384" s="4"/>
      <c r="HD2384" s="4"/>
      <c r="HE2384" s="4"/>
    </row>
    <row r="2385">
      <c r="A2385" s="2" t="s">
        <v>11079</v>
      </c>
      <c r="B2385" s="2" t="s">
        <v>1150</v>
      </c>
      <c r="C2385" s="2" t="s">
        <v>9274</v>
      </c>
      <c r="D2385" s="2" t="s">
        <v>1112</v>
      </c>
      <c r="E2385" s="2" t="s">
        <v>1165</v>
      </c>
      <c r="F2385" s="2" t="s">
        <v>11070</v>
      </c>
      <c r="G2385" s="2" t="s">
        <v>228</v>
      </c>
      <c r="H2385" s="2" t="s">
        <v>228</v>
      </c>
      <c r="I2385" s="2" t="s">
        <v>11071</v>
      </c>
      <c r="J2385" s="2" t="s">
        <v>1189</v>
      </c>
      <c r="K2385" s="2" t="s">
        <v>251</v>
      </c>
      <c r="L2385" s="3">
        <v>39.99</v>
      </c>
      <c r="M2385" s="3">
        <v>41.99</v>
      </c>
      <c r="N2385" s="3"/>
      <c r="O2385" s="2" t="s">
        <v>232</v>
      </c>
      <c r="P2385" s="2" t="s">
        <v>233</v>
      </c>
      <c r="Q2385" s="2" t="s">
        <v>234</v>
      </c>
      <c r="R2385" s="2" t="s">
        <v>9278</v>
      </c>
      <c r="S2385" s="2" t="s">
        <v>228</v>
      </c>
      <c r="T2385" s="2" t="s">
        <v>228</v>
      </c>
      <c r="U2385" s="2" t="s">
        <v>228</v>
      </c>
      <c r="V2385" s="2" t="s">
        <v>236</v>
      </c>
      <c r="W2385" s="2" t="s">
        <v>228</v>
      </c>
      <c r="X2385" s="2" t="s">
        <v>228</v>
      </c>
      <c r="Y2385" s="2" t="s">
        <v>11072</v>
      </c>
      <c r="Z2385" s="4"/>
      <c r="AA2385" s="4">
        <f>=ROUNDDOWN({0},0)</f>
      </c>
      <c r="AB2385" s="5"/>
      <c r="AC2385" s="2" t="s">
        <v>228</v>
      </c>
      <c r="AD2385" s="4"/>
      <c r="AE2385" s="4"/>
      <c r="AF2385" s="6"/>
      <c r="AG2385" s="6"/>
      <c r="AH2385" s="7"/>
      <c r="AI2385" s="4"/>
      <c r="AJ2385" s="4">
        <f>=ROUNDDOWN({0},0)</f>
      </c>
      <c r="AK2385" s="5"/>
      <c r="AL2385" s="2" t="s">
        <v>228</v>
      </c>
      <c r="AM2385" s="4"/>
      <c r="AN2385" s="4"/>
      <c r="AO2385" s="7"/>
      <c r="AP2385" s="4"/>
      <c r="AQ2385" s="8"/>
      <c r="AR2385" s="4"/>
      <c r="AS2385" s="8"/>
      <c r="AT2385" s="7"/>
      <c r="AU2385" s="7"/>
      <c r="AV2385" s="4" t="s">
        <v>228</v>
      </c>
      <c r="AW2385" s="8" t="s">
        <v>228</v>
      </c>
      <c r="AX2385" s="4" t="s">
        <v>228</v>
      </c>
      <c r="AY2385" s="8" t="s">
        <v>228</v>
      </c>
      <c r="AZ2385" s="7" t="s">
        <v>228</v>
      </c>
      <c r="BA2385" s="7" t="s">
        <v>228</v>
      </c>
      <c r="BB2385" s="7"/>
      <c r="BC2385" s="4" t="s">
        <v>228</v>
      </c>
      <c r="BD2385" s="8" t="s">
        <v>228</v>
      </c>
      <c r="BE2385" s="4" t="s">
        <v>228</v>
      </c>
      <c r="BF2385" s="8" t="s">
        <v>228</v>
      </c>
      <c r="BG2385" s="7" t="s">
        <v>228</v>
      </c>
      <c r="BH2385" s="7" t="s">
        <v>228</v>
      </c>
      <c r="BI2385" s="7"/>
      <c r="BJ2385" s="4"/>
      <c r="BK2385" s="8"/>
      <c r="BL2385" s="2" t="s">
        <v>228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238</v>
      </c>
      <c r="BV2385" s="2" t="s">
        <v>228</v>
      </c>
      <c r="BW2385" s="2" t="s">
        <v>228</v>
      </c>
      <c r="BX2385" s="2" t="s">
        <v>228</v>
      </c>
      <c r="BY2385" s="2" t="s">
        <v>239</v>
      </c>
      <c r="BZ2385" s="2" t="s">
        <v>240</v>
      </c>
      <c r="CA2385" s="2" t="s">
        <v>228</v>
      </c>
      <c r="CB2385" s="2" t="s">
        <v>228</v>
      </c>
      <c r="CC2385" s="2" t="s">
        <v>241</v>
      </c>
      <c r="CD2385" s="2" t="s">
        <v>228</v>
      </c>
      <c r="CE2385" s="4"/>
      <c r="CF2385" s="4"/>
      <c r="CG2385" s="4"/>
      <c r="CH2385" s="4"/>
      <c r="CI2385" s="4"/>
      <c r="CJ2385" s="4"/>
      <c r="CK2385" s="4"/>
      <c r="CL2385" s="4"/>
      <c r="CM2385" s="4"/>
      <c r="CN2385" s="4"/>
      <c r="CO2385" s="4"/>
      <c r="CP2385" s="4"/>
      <c r="CQ2385" s="4"/>
      <c r="CR2385" s="4"/>
      <c r="CS2385" s="4"/>
      <c r="CT2385" s="4"/>
      <c r="CU2385" s="4"/>
      <c r="CV2385" s="4"/>
      <c r="CW2385" s="4"/>
      <c r="CX2385" s="4"/>
      <c r="CY2385" s="4"/>
      <c r="CZ2385" s="4"/>
      <c r="DA2385" s="4"/>
      <c r="DB2385" s="4"/>
      <c r="DC2385" s="4"/>
      <c r="DD2385" s="4"/>
      <c r="DE2385" s="4"/>
      <c r="DF2385" s="4"/>
      <c r="DG2385" s="4"/>
      <c r="DH2385" s="4"/>
      <c r="DI2385" s="4"/>
      <c r="DJ2385" s="4"/>
      <c r="DK2385" s="4"/>
      <c r="DL2385" s="4"/>
      <c r="DM2385" s="4"/>
      <c r="DN2385" s="4"/>
      <c r="DO2385" s="4"/>
      <c r="DP2385" s="4"/>
      <c r="DQ2385" s="4"/>
      <c r="DR2385" s="4"/>
      <c r="DS2385" s="4"/>
      <c r="DT2385" s="4"/>
      <c r="DU2385" s="4"/>
      <c r="DV2385" s="4"/>
      <c r="DW2385" s="4"/>
      <c r="DX2385" s="4"/>
      <c r="DY2385" s="4"/>
      <c r="DZ2385" s="4"/>
      <c r="EA2385" s="4"/>
      <c r="EB2385" s="4"/>
      <c r="EC2385" s="4"/>
      <c r="ED2385" s="4"/>
      <c r="EE2385" s="4"/>
      <c r="EF2385" s="4"/>
      <c r="EG2385" s="4"/>
      <c r="EH2385" s="4"/>
      <c r="EI2385" s="4"/>
      <c r="EJ2385" s="4"/>
      <c r="EK2385" s="4"/>
      <c r="EL2385" s="4"/>
      <c r="EM2385" s="4"/>
      <c r="EN2385" s="4"/>
      <c r="EO2385" s="4"/>
      <c r="EP2385" s="4"/>
      <c r="EQ2385" s="4"/>
      <c r="ER2385" s="4"/>
      <c r="ES2385" s="4"/>
      <c r="ET2385" s="4"/>
      <c r="EU2385" s="4"/>
      <c r="EV2385" s="4"/>
      <c r="EW2385" s="4"/>
      <c r="EX2385" s="4"/>
      <c r="EY2385" s="4"/>
      <c r="EZ2385" s="4"/>
      <c r="FA2385" s="4"/>
      <c r="FB2385" s="4"/>
      <c r="FC2385" s="4"/>
      <c r="FD2385" s="4"/>
      <c r="FE2385" s="4"/>
      <c r="FF2385" s="4"/>
      <c r="FG2385" s="4"/>
      <c r="FH2385" s="4"/>
      <c r="FI2385" s="4"/>
      <c r="FJ2385" s="4"/>
      <c r="FK2385" s="4"/>
      <c r="FL2385" s="4"/>
      <c r="FM2385" s="4"/>
      <c r="FN2385" s="4"/>
      <c r="FO2385" s="4"/>
      <c r="FP2385" s="4"/>
      <c r="FQ2385" s="4"/>
      <c r="FR2385" s="4"/>
      <c r="FS2385" s="4"/>
      <c r="FT2385" s="4"/>
      <c r="FU2385" s="4"/>
      <c r="FV2385" s="4"/>
      <c r="FW2385" s="4"/>
      <c r="FX2385" s="4"/>
      <c r="FY2385" s="4"/>
      <c r="FZ2385" s="4"/>
      <c r="GA2385" s="4"/>
      <c r="GB2385" s="4"/>
      <c r="GC2385" s="4"/>
      <c r="GD2385" s="4"/>
      <c r="GE2385" s="4"/>
      <c r="GF2385" s="4"/>
      <c r="GG2385" s="4"/>
      <c r="GH2385" s="4"/>
      <c r="GI2385" s="4"/>
      <c r="GJ2385" s="4"/>
      <c r="GK2385" s="4"/>
      <c r="GL2385" s="4"/>
      <c r="GM2385" s="4"/>
      <c r="GN2385" s="4"/>
      <c r="GO2385" s="4"/>
      <c r="GP2385" s="4"/>
      <c r="GQ2385" s="4"/>
      <c r="GR2385" s="4"/>
      <c r="GS2385" s="4"/>
      <c r="GT2385" s="4"/>
      <c r="GU2385" s="4"/>
      <c r="GV2385" s="4"/>
      <c r="GW2385" s="4"/>
      <c r="GX2385" s="4"/>
      <c r="GY2385" s="4"/>
      <c r="GZ2385" s="4"/>
      <c r="HA2385" s="4"/>
      <c r="HB2385" s="4"/>
      <c r="HC2385" s="4"/>
      <c r="HD2385" s="4"/>
      <c r="HE2385" s="4"/>
    </row>
    <row r="2386">
      <c r="A2386" s="2" t="s">
        <v>11080</v>
      </c>
      <c r="B2386" s="2" t="s">
        <v>1150</v>
      </c>
      <c r="C2386" s="2" t="s">
        <v>9274</v>
      </c>
      <c r="D2386" s="2" t="s">
        <v>1112</v>
      </c>
      <c r="E2386" s="2" t="s">
        <v>1165</v>
      </c>
      <c r="F2386" s="2" t="s">
        <v>11070</v>
      </c>
      <c r="G2386" s="2" t="s">
        <v>228</v>
      </c>
      <c r="H2386" s="2" t="s">
        <v>228</v>
      </c>
      <c r="I2386" s="2" t="s">
        <v>11071</v>
      </c>
      <c r="J2386" s="2" t="s">
        <v>294</v>
      </c>
      <c r="K2386" s="2" t="s">
        <v>251</v>
      </c>
      <c r="L2386" s="3">
        <v>44.99</v>
      </c>
      <c r="M2386" s="3">
        <v>47.24</v>
      </c>
      <c r="N2386" s="3"/>
      <c r="O2386" s="2" t="s">
        <v>232</v>
      </c>
      <c r="P2386" s="2" t="s">
        <v>233</v>
      </c>
      <c r="Q2386" s="2" t="s">
        <v>234</v>
      </c>
      <c r="R2386" s="2" t="s">
        <v>9278</v>
      </c>
      <c r="S2386" s="2" t="s">
        <v>228</v>
      </c>
      <c r="T2386" s="2" t="s">
        <v>228</v>
      </c>
      <c r="U2386" s="2" t="s">
        <v>228</v>
      </c>
      <c r="V2386" s="2" t="s">
        <v>236</v>
      </c>
      <c r="W2386" s="2" t="s">
        <v>228</v>
      </c>
      <c r="X2386" s="2" t="s">
        <v>228</v>
      </c>
      <c r="Y2386" s="2" t="s">
        <v>11072</v>
      </c>
      <c r="Z2386" s="4"/>
      <c r="AA2386" s="4">
        <f>=ROUNDDOWN({0},0)</f>
      </c>
      <c r="AB2386" s="5"/>
      <c r="AC2386" s="2" t="s">
        <v>228</v>
      </c>
      <c r="AD2386" s="4"/>
      <c r="AE2386" s="4"/>
      <c r="AF2386" s="6"/>
      <c r="AG2386" s="6"/>
      <c r="AH2386" s="7"/>
      <c r="AI2386" s="4"/>
      <c r="AJ2386" s="4">
        <f>=ROUNDDOWN({0},0)</f>
      </c>
      <c r="AK2386" s="5"/>
      <c r="AL2386" s="2" t="s">
        <v>228</v>
      </c>
      <c r="AM2386" s="4"/>
      <c r="AN2386" s="4"/>
      <c r="AO2386" s="7"/>
      <c r="AP2386" s="4"/>
      <c r="AQ2386" s="8"/>
      <c r="AR2386" s="4"/>
      <c r="AS2386" s="8"/>
      <c r="AT2386" s="7"/>
      <c r="AU2386" s="7"/>
      <c r="AV2386" s="4" t="s">
        <v>228</v>
      </c>
      <c r="AW2386" s="8" t="s">
        <v>228</v>
      </c>
      <c r="AX2386" s="4" t="s">
        <v>228</v>
      </c>
      <c r="AY2386" s="8" t="s">
        <v>228</v>
      </c>
      <c r="AZ2386" s="7" t="s">
        <v>228</v>
      </c>
      <c r="BA2386" s="7" t="s">
        <v>228</v>
      </c>
      <c r="BB2386" s="7"/>
      <c r="BC2386" s="4" t="s">
        <v>228</v>
      </c>
      <c r="BD2386" s="8" t="s">
        <v>228</v>
      </c>
      <c r="BE2386" s="4" t="s">
        <v>228</v>
      </c>
      <c r="BF2386" s="8" t="s">
        <v>228</v>
      </c>
      <c r="BG2386" s="7" t="s">
        <v>228</v>
      </c>
      <c r="BH2386" s="7" t="s">
        <v>228</v>
      </c>
      <c r="BI2386" s="7"/>
      <c r="BJ2386" s="4"/>
      <c r="BK2386" s="8"/>
      <c r="BL2386" s="2" t="s">
        <v>228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238</v>
      </c>
      <c r="BV2386" s="2" t="s">
        <v>228</v>
      </c>
      <c r="BW2386" s="2" t="s">
        <v>228</v>
      </c>
      <c r="BX2386" s="2" t="s">
        <v>228</v>
      </c>
      <c r="BY2386" s="2" t="s">
        <v>239</v>
      </c>
      <c r="BZ2386" s="2" t="s">
        <v>240</v>
      </c>
      <c r="CA2386" s="2" t="s">
        <v>228</v>
      </c>
      <c r="CB2386" s="2" t="s">
        <v>228</v>
      </c>
      <c r="CC2386" s="2" t="s">
        <v>241</v>
      </c>
      <c r="CD2386" s="2" t="s">
        <v>228</v>
      </c>
      <c r="CE2386" s="4"/>
      <c r="CF2386" s="4"/>
      <c r="CG2386" s="4"/>
      <c r="CH2386" s="4"/>
      <c r="CI2386" s="4"/>
      <c r="CJ2386" s="4"/>
      <c r="CK2386" s="4"/>
      <c r="CL2386" s="4"/>
      <c r="CM2386" s="4"/>
      <c r="CN2386" s="4"/>
      <c r="CO2386" s="4"/>
      <c r="CP2386" s="4"/>
      <c r="CQ2386" s="4"/>
      <c r="CR2386" s="4"/>
      <c r="CS2386" s="4"/>
      <c r="CT2386" s="4"/>
      <c r="CU2386" s="4"/>
      <c r="CV2386" s="4"/>
      <c r="CW2386" s="4"/>
      <c r="CX2386" s="4"/>
      <c r="CY2386" s="4"/>
      <c r="CZ2386" s="4"/>
      <c r="DA2386" s="4"/>
      <c r="DB2386" s="4"/>
      <c r="DC2386" s="4"/>
      <c r="DD2386" s="4"/>
      <c r="DE2386" s="4"/>
      <c r="DF2386" s="4"/>
      <c r="DG2386" s="4"/>
      <c r="DH2386" s="4"/>
      <c r="DI2386" s="4"/>
      <c r="DJ2386" s="4"/>
      <c r="DK2386" s="4"/>
      <c r="DL2386" s="4"/>
      <c r="DM2386" s="4"/>
      <c r="DN2386" s="4"/>
      <c r="DO2386" s="4"/>
      <c r="DP2386" s="4"/>
      <c r="DQ2386" s="4"/>
      <c r="DR2386" s="4"/>
      <c r="DS2386" s="4"/>
      <c r="DT2386" s="4"/>
      <c r="DU2386" s="4"/>
      <c r="DV2386" s="4"/>
      <c r="DW2386" s="4"/>
      <c r="DX2386" s="4"/>
      <c r="DY2386" s="4"/>
      <c r="DZ2386" s="4"/>
      <c r="EA2386" s="4"/>
      <c r="EB2386" s="4"/>
      <c r="EC2386" s="4"/>
      <c r="ED2386" s="4"/>
      <c r="EE2386" s="4"/>
      <c r="EF2386" s="4"/>
      <c r="EG2386" s="4"/>
      <c r="EH2386" s="4"/>
      <c r="EI2386" s="4"/>
      <c r="EJ2386" s="4"/>
      <c r="EK2386" s="4"/>
      <c r="EL2386" s="4"/>
      <c r="EM2386" s="4"/>
      <c r="EN2386" s="4"/>
      <c r="EO2386" s="4"/>
      <c r="EP2386" s="4"/>
      <c r="EQ2386" s="4"/>
      <c r="ER2386" s="4"/>
      <c r="ES2386" s="4"/>
      <c r="ET2386" s="4"/>
      <c r="EU2386" s="4"/>
      <c r="EV2386" s="4"/>
      <c r="EW2386" s="4"/>
      <c r="EX2386" s="4"/>
      <c r="EY2386" s="4"/>
      <c r="EZ2386" s="4"/>
      <c r="FA2386" s="4"/>
      <c r="FB2386" s="4"/>
      <c r="FC2386" s="4"/>
      <c r="FD2386" s="4"/>
      <c r="FE2386" s="4"/>
      <c r="FF2386" s="4"/>
      <c r="FG2386" s="4"/>
      <c r="FH2386" s="4"/>
      <c r="FI2386" s="4"/>
      <c r="FJ2386" s="4"/>
      <c r="FK2386" s="4"/>
      <c r="FL2386" s="4"/>
      <c r="FM2386" s="4"/>
      <c r="FN2386" s="4"/>
      <c r="FO2386" s="4"/>
      <c r="FP2386" s="4"/>
      <c r="FQ2386" s="4"/>
      <c r="FR2386" s="4"/>
      <c r="FS2386" s="4"/>
      <c r="FT2386" s="4"/>
      <c r="FU2386" s="4"/>
      <c r="FV2386" s="4"/>
      <c r="FW2386" s="4"/>
      <c r="FX2386" s="4"/>
      <c r="FY2386" s="4"/>
      <c r="FZ2386" s="4"/>
      <c r="GA2386" s="4"/>
      <c r="GB2386" s="4"/>
      <c r="GC2386" s="4"/>
      <c r="GD2386" s="4"/>
      <c r="GE2386" s="4"/>
      <c r="GF2386" s="4"/>
      <c r="GG2386" s="4"/>
      <c r="GH2386" s="4"/>
      <c r="GI2386" s="4"/>
      <c r="GJ2386" s="4"/>
      <c r="GK2386" s="4"/>
      <c r="GL2386" s="4"/>
      <c r="GM2386" s="4"/>
      <c r="GN2386" s="4"/>
      <c r="GO2386" s="4"/>
      <c r="GP2386" s="4"/>
      <c r="GQ2386" s="4"/>
      <c r="GR2386" s="4"/>
      <c r="GS2386" s="4"/>
      <c r="GT2386" s="4"/>
      <c r="GU2386" s="4"/>
      <c r="GV2386" s="4"/>
      <c r="GW2386" s="4"/>
      <c r="GX2386" s="4"/>
      <c r="GY2386" s="4"/>
      <c r="GZ2386" s="4"/>
      <c r="HA2386" s="4"/>
      <c r="HB2386" s="4"/>
      <c r="HC2386" s="4"/>
      <c r="HD2386" s="4"/>
      <c r="HE2386" s="4"/>
    </row>
    <row r="2387">
      <c r="A2387" s="2" t="s">
        <v>11081</v>
      </c>
      <c r="B2387" s="2" t="s">
        <v>1150</v>
      </c>
      <c r="C2387" s="2" t="s">
        <v>9274</v>
      </c>
      <c r="D2387" s="2" t="s">
        <v>1112</v>
      </c>
      <c r="E2387" s="2" t="s">
        <v>1165</v>
      </c>
      <c r="F2387" s="2" t="s">
        <v>11070</v>
      </c>
      <c r="G2387" s="2" t="s">
        <v>228</v>
      </c>
      <c r="H2387" s="2" t="s">
        <v>228</v>
      </c>
      <c r="I2387" s="2" t="s">
        <v>11071</v>
      </c>
      <c r="J2387" s="2" t="s">
        <v>856</v>
      </c>
      <c r="K2387" s="2" t="s">
        <v>9010</v>
      </c>
      <c r="L2387" s="3">
        <v>29.99</v>
      </c>
      <c r="M2387" s="3">
        <v>31.49</v>
      </c>
      <c r="N2387" s="3"/>
      <c r="O2387" s="2" t="s">
        <v>240</v>
      </c>
      <c r="P2387" s="2" t="s">
        <v>233</v>
      </c>
      <c r="Q2387" s="2" t="s">
        <v>234</v>
      </c>
      <c r="R2387" s="2" t="s">
        <v>9278</v>
      </c>
      <c r="S2387" s="2" t="s">
        <v>228</v>
      </c>
      <c r="T2387" s="2" t="s">
        <v>228</v>
      </c>
      <c r="U2387" s="2" t="s">
        <v>228</v>
      </c>
      <c r="V2387" s="2" t="s">
        <v>236</v>
      </c>
      <c r="W2387" s="2" t="s">
        <v>228</v>
      </c>
      <c r="X2387" s="2" t="s">
        <v>228</v>
      </c>
      <c r="Y2387" s="2" t="s">
        <v>11072</v>
      </c>
      <c r="Z2387" s="4"/>
      <c r="AA2387" s="4">
        <f>=ROUNDDOWN({0},0)</f>
      </c>
      <c r="AB2387" s="5"/>
      <c r="AC2387" s="2" t="s">
        <v>228</v>
      </c>
      <c r="AD2387" s="4"/>
      <c r="AE2387" s="4"/>
      <c r="AF2387" s="6"/>
      <c r="AG2387" s="6"/>
      <c r="AH2387" s="7"/>
      <c r="AI2387" s="4"/>
      <c r="AJ2387" s="4">
        <f>=ROUNDDOWN({0},0)</f>
      </c>
      <c r="AK2387" s="5"/>
      <c r="AL2387" s="2" t="s">
        <v>228</v>
      </c>
      <c r="AM2387" s="4"/>
      <c r="AN2387" s="4"/>
      <c r="AO2387" s="7"/>
      <c r="AP2387" s="4"/>
      <c r="AQ2387" s="8"/>
      <c r="AR2387" s="4"/>
      <c r="AS2387" s="8"/>
      <c r="AT2387" s="7"/>
      <c r="AU2387" s="7"/>
      <c r="AV2387" s="4" t="s">
        <v>228</v>
      </c>
      <c r="AW2387" s="8" t="s">
        <v>228</v>
      </c>
      <c r="AX2387" s="4" t="s">
        <v>228</v>
      </c>
      <c r="AY2387" s="8" t="s">
        <v>228</v>
      </c>
      <c r="AZ2387" s="7" t="s">
        <v>228</v>
      </c>
      <c r="BA2387" s="7" t="s">
        <v>228</v>
      </c>
      <c r="BB2387" s="7"/>
      <c r="BC2387" s="4" t="s">
        <v>228</v>
      </c>
      <c r="BD2387" s="8" t="s">
        <v>228</v>
      </c>
      <c r="BE2387" s="4" t="s">
        <v>228</v>
      </c>
      <c r="BF2387" s="8" t="s">
        <v>228</v>
      </c>
      <c r="BG2387" s="7" t="s">
        <v>228</v>
      </c>
      <c r="BH2387" s="7" t="s">
        <v>228</v>
      </c>
      <c r="BI2387" s="7"/>
      <c r="BJ2387" s="4"/>
      <c r="BK2387" s="8"/>
      <c r="BL2387" s="2" t="s">
        <v>228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238</v>
      </c>
      <c r="BV2387" s="2" t="s">
        <v>228</v>
      </c>
      <c r="BW2387" s="2" t="s">
        <v>228</v>
      </c>
      <c r="BX2387" s="2" t="s">
        <v>228</v>
      </c>
      <c r="BY2387" s="2" t="s">
        <v>239</v>
      </c>
      <c r="BZ2387" s="2" t="s">
        <v>240</v>
      </c>
      <c r="CA2387" s="2" t="s">
        <v>228</v>
      </c>
      <c r="CB2387" s="2" t="s">
        <v>228</v>
      </c>
      <c r="CC2387" s="2" t="s">
        <v>241</v>
      </c>
      <c r="CD2387" s="2" t="s">
        <v>228</v>
      </c>
      <c r="CE2387" s="4"/>
      <c r="CF2387" s="4"/>
      <c r="CG2387" s="4"/>
      <c r="CH2387" s="4"/>
      <c r="CI2387" s="4"/>
      <c r="CJ2387" s="4"/>
      <c r="CK2387" s="4"/>
      <c r="CL2387" s="4"/>
      <c r="CM2387" s="4"/>
      <c r="CN2387" s="4"/>
      <c r="CO2387" s="4"/>
      <c r="CP2387" s="4"/>
      <c r="CQ2387" s="4"/>
      <c r="CR2387" s="4"/>
      <c r="CS2387" s="4"/>
      <c r="CT2387" s="4"/>
      <c r="CU2387" s="4"/>
      <c r="CV2387" s="4"/>
      <c r="CW2387" s="4"/>
      <c r="CX2387" s="4"/>
      <c r="CY2387" s="4"/>
      <c r="CZ2387" s="4"/>
      <c r="DA2387" s="4"/>
      <c r="DB2387" s="4"/>
      <c r="DC2387" s="4"/>
      <c r="DD2387" s="4"/>
      <c r="DE2387" s="4"/>
      <c r="DF2387" s="4"/>
      <c r="DG2387" s="4"/>
      <c r="DH2387" s="4"/>
      <c r="DI2387" s="4"/>
      <c r="DJ2387" s="4"/>
      <c r="DK2387" s="4"/>
      <c r="DL2387" s="4"/>
      <c r="DM2387" s="4"/>
      <c r="DN2387" s="4"/>
      <c r="DO2387" s="4"/>
      <c r="DP2387" s="4"/>
      <c r="DQ2387" s="4"/>
      <c r="DR2387" s="4"/>
      <c r="DS2387" s="4"/>
      <c r="DT2387" s="4"/>
      <c r="DU2387" s="4"/>
      <c r="DV2387" s="4"/>
      <c r="DW2387" s="4"/>
      <c r="DX2387" s="4"/>
      <c r="DY2387" s="4"/>
      <c r="DZ2387" s="4"/>
      <c r="EA2387" s="4"/>
      <c r="EB2387" s="4"/>
      <c r="EC2387" s="4"/>
      <c r="ED2387" s="4"/>
      <c r="EE2387" s="4"/>
      <c r="EF2387" s="4"/>
      <c r="EG2387" s="4"/>
      <c r="EH2387" s="4"/>
      <c r="EI2387" s="4"/>
      <c r="EJ2387" s="4"/>
      <c r="EK2387" s="4"/>
      <c r="EL2387" s="4"/>
      <c r="EM2387" s="4"/>
      <c r="EN2387" s="4"/>
      <c r="EO2387" s="4"/>
      <c r="EP2387" s="4"/>
      <c r="EQ2387" s="4"/>
      <c r="ER2387" s="4"/>
      <c r="ES2387" s="4"/>
      <c r="ET2387" s="4"/>
      <c r="EU2387" s="4"/>
      <c r="EV2387" s="4"/>
      <c r="EW2387" s="4"/>
      <c r="EX2387" s="4"/>
      <c r="EY2387" s="4"/>
      <c r="EZ2387" s="4"/>
      <c r="FA2387" s="4"/>
      <c r="FB2387" s="4"/>
      <c r="FC2387" s="4"/>
      <c r="FD2387" s="4"/>
      <c r="FE2387" s="4"/>
      <c r="FF2387" s="4"/>
      <c r="FG2387" s="4"/>
      <c r="FH2387" s="4"/>
      <c r="FI2387" s="4"/>
      <c r="FJ2387" s="4"/>
      <c r="FK2387" s="4"/>
      <c r="FL2387" s="4"/>
      <c r="FM2387" s="4"/>
      <c r="FN2387" s="4"/>
      <c r="FO2387" s="4"/>
      <c r="FP2387" s="4"/>
      <c r="FQ2387" s="4"/>
      <c r="FR2387" s="4"/>
      <c r="FS2387" s="4"/>
      <c r="FT2387" s="4"/>
      <c r="FU2387" s="4"/>
      <c r="FV2387" s="4"/>
      <c r="FW2387" s="4"/>
      <c r="FX2387" s="4"/>
      <c r="FY2387" s="4"/>
      <c r="FZ2387" s="4"/>
      <c r="GA2387" s="4"/>
      <c r="GB2387" s="4"/>
      <c r="GC2387" s="4"/>
      <c r="GD2387" s="4"/>
      <c r="GE2387" s="4"/>
      <c r="GF2387" s="4"/>
      <c r="GG2387" s="4"/>
      <c r="GH2387" s="4"/>
      <c r="GI2387" s="4"/>
      <c r="GJ2387" s="4"/>
      <c r="GK2387" s="4"/>
      <c r="GL2387" s="4"/>
      <c r="GM2387" s="4"/>
      <c r="GN2387" s="4"/>
      <c r="GO2387" s="4"/>
      <c r="GP2387" s="4"/>
      <c r="GQ2387" s="4"/>
      <c r="GR2387" s="4"/>
      <c r="GS2387" s="4"/>
      <c r="GT2387" s="4"/>
      <c r="GU2387" s="4"/>
      <c r="GV2387" s="4"/>
      <c r="GW2387" s="4"/>
      <c r="GX2387" s="4"/>
      <c r="GY2387" s="4"/>
      <c r="GZ2387" s="4"/>
      <c r="HA2387" s="4"/>
      <c r="HB2387" s="4"/>
      <c r="HC2387" s="4"/>
      <c r="HD2387" s="4"/>
      <c r="HE2387" s="4"/>
    </row>
    <row r="2388">
      <c r="A2388" s="2" t="s">
        <v>11082</v>
      </c>
      <c r="B2388" s="2" t="s">
        <v>1150</v>
      </c>
      <c r="C2388" s="2" t="s">
        <v>9274</v>
      </c>
      <c r="D2388" s="2" t="s">
        <v>1112</v>
      </c>
      <c r="E2388" s="2" t="s">
        <v>1165</v>
      </c>
      <c r="F2388" s="2" t="s">
        <v>11070</v>
      </c>
      <c r="G2388" s="2" t="s">
        <v>228</v>
      </c>
      <c r="H2388" s="2" t="s">
        <v>228</v>
      </c>
      <c r="I2388" s="2" t="s">
        <v>11071</v>
      </c>
      <c r="J2388" s="2" t="s">
        <v>1189</v>
      </c>
      <c r="K2388" s="2" t="s">
        <v>9010</v>
      </c>
      <c r="L2388" s="3">
        <v>39.99</v>
      </c>
      <c r="M2388" s="3">
        <v>41.99</v>
      </c>
      <c r="N2388" s="3"/>
      <c r="O2388" s="2" t="s">
        <v>240</v>
      </c>
      <c r="P2388" s="2" t="s">
        <v>233</v>
      </c>
      <c r="Q2388" s="2" t="s">
        <v>234</v>
      </c>
      <c r="R2388" s="2" t="s">
        <v>9278</v>
      </c>
      <c r="S2388" s="2" t="s">
        <v>228</v>
      </c>
      <c r="T2388" s="2" t="s">
        <v>228</v>
      </c>
      <c r="U2388" s="2" t="s">
        <v>228</v>
      </c>
      <c r="V2388" s="2" t="s">
        <v>236</v>
      </c>
      <c r="W2388" s="2" t="s">
        <v>228</v>
      </c>
      <c r="X2388" s="2" t="s">
        <v>228</v>
      </c>
      <c r="Y2388" s="2" t="s">
        <v>11072</v>
      </c>
      <c r="Z2388" s="4"/>
      <c r="AA2388" s="4">
        <f>=ROUNDDOWN({0},0)</f>
      </c>
      <c r="AB2388" s="5"/>
      <c r="AC2388" s="2" t="s">
        <v>228</v>
      </c>
      <c r="AD2388" s="4"/>
      <c r="AE2388" s="4"/>
      <c r="AF2388" s="6"/>
      <c r="AG2388" s="6"/>
      <c r="AH2388" s="7"/>
      <c r="AI2388" s="4"/>
      <c r="AJ2388" s="4">
        <f>=ROUNDDOWN({0},0)</f>
      </c>
      <c r="AK2388" s="5"/>
      <c r="AL2388" s="2" t="s">
        <v>228</v>
      </c>
      <c r="AM2388" s="4"/>
      <c r="AN2388" s="4"/>
      <c r="AO2388" s="7"/>
      <c r="AP2388" s="4"/>
      <c r="AQ2388" s="8"/>
      <c r="AR2388" s="4"/>
      <c r="AS2388" s="8"/>
      <c r="AT2388" s="7"/>
      <c r="AU2388" s="7"/>
      <c r="AV2388" s="4" t="s">
        <v>228</v>
      </c>
      <c r="AW2388" s="8" t="s">
        <v>228</v>
      </c>
      <c r="AX2388" s="4" t="s">
        <v>228</v>
      </c>
      <c r="AY2388" s="8" t="s">
        <v>228</v>
      </c>
      <c r="AZ2388" s="7" t="s">
        <v>228</v>
      </c>
      <c r="BA2388" s="7" t="s">
        <v>228</v>
      </c>
      <c r="BB2388" s="7"/>
      <c r="BC2388" s="4" t="s">
        <v>228</v>
      </c>
      <c r="BD2388" s="8" t="s">
        <v>228</v>
      </c>
      <c r="BE2388" s="4" t="s">
        <v>228</v>
      </c>
      <c r="BF2388" s="8" t="s">
        <v>228</v>
      </c>
      <c r="BG2388" s="7" t="s">
        <v>228</v>
      </c>
      <c r="BH2388" s="7" t="s">
        <v>228</v>
      </c>
      <c r="BI2388" s="7"/>
      <c r="BJ2388" s="4"/>
      <c r="BK2388" s="8"/>
      <c r="BL2388" s="2" t="s">
        <v>228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238</v>
      </c>
      <c r="BV2388" s="2" t="s">
        <v>228</v>
      </c>
      <c r="BW2388" s="2" t="s">
        <v>228</v>
      </c>
      <c r="BX2388" s="2" t="s">
        <v>228</v>
      </c>
      <c r="BY2388" s="2" t="s">
        <v>239</v>
      </c>
      <c r="BZ2388" s="2" t="s">
        <v>240</v>
      </c>
      <c r="CA2388" s="2" t="s">
        <v>228</v>
      </c>
      <c r="CB2388" s="2" t="s">
        <v>228</v>
      </c>
      <c r="CC2388" s="2" t="s">
        <v>241</v>
      </c>
      <c r="CD2388" s="2" t="s">
        <v>228</v>
      </c>
      <c r="CE2388" s="4"/>
      <c r="CF2388" s="4"/>
      <c r="CG2388" s="4"/>
      <c r="CH2388" s="4"/>
      <c r="CI2388" s="4"/>
      <c r="CJ2388" s="4"/>
      <c r="CK2388" s="4"/>
      <c r="CL2388" s="4"/>
      <c r="CM2388" s="4"/>
      <c r="CN2388" s="4"/>
      <c r="CO2388" s="4"/>
      <c r="CP2388" s="4"/>
      <c r="CQ2388" s="4"/>
      <c r="CR2388" s="4"/>
      <c r="CS2388" s="4"/>
      <c r="CT2388" s="4"/>
      <c r="CU2388" s="4"/>
      <c r="CV2388" s="4"/>
      <c r="CW2388" s="4"/>
      <c r="CX2388" s="4"/>
      <c r="CY2388" s="4"/>
      <c r="CZ2388" s="4"/>
      <c r="DA2388" s="4"/>
      <c r="DB2388" s="4"/>
      <c r="DC2388" s="4"/>
      <c r="DD2388" s="4"/>
      <c r="DE2388" s="4"/>
      <c r="DF2388" s="4"/>
      <c r="DG2388" s="4"/>
      <c r="DH2388" s="4"/>
      <c r="DI2388" s="4"/>
      <c r="DJ2388" s="4"/>
      <c r="DK2388" s="4"/>
      <c r="DL2388" s="4"/>
      <c r="DM2388" s="4"/>
      <c r="DN2388" s="4"/>
      <c r="DO2388" s="4"/>
      <c r="DP2388" s="4"/>
      <c r="DQ2388" s="4"/>
      <c r="DR2388" s="4"/>
      <c r="DS2388" s="4"/>
      <c r="DT2388" s="4"/>
      <c r="DU2388" s="4"/>
      <c r="DV2388" s="4"/>
      <c r="DW2388" s="4"/>
      <c r="DX2388" s="4"/>
      <c r="DY2388" s="4"/>
      <c r="DZ2388" s="4"/>
      <c r="EA2388" s="4"/>
      <c r="EB2388" s="4"/>
      <c r="EC2388" s="4"/>
      <c r="ED2388" s="4"/>
      <c r="EE2388" s="4"/>
      <c r="EF2388" s="4"/>
      <c r="EG2388" s="4"/>
      <c r="EH2388" s="4"/>
      <c r="EI2388" s="4"/>
      <c r="EJ2388" s="4"/>
      <c r="EK2388" s="4"/>
      <c r="EL2388" s="4"/>
      <c r="EM2388" s="4"/>
      <c r="EN2388" s="4"/>
      <c r="EO2388" s="4"/>
      <c r="EP2388" s="4"/>
      <c r="EQ2388" s="4"/>
      <c r="ER2388" s="4"/>
      <c r="ES2388" s="4"/>
      <c r="ET2388" s="4"/>
      <c r="EU2388" s="4"/>
      <c r="EV2388" s="4"/>
      <c r="EW2388" s="4"/>
      <c r="EX2388" s="4"/>
      <c r="EY2388" s="4"/>
      <c r="EZ2388" s="4"/>
      <c r="FA2388" s="4"/>
      <c r="FB2388" s="4"/>
      <c r="FC2388" s="4"/>
      <c r="FD2388" s="4"/>
      <c r="FE2388" s="4"/>
      <c r="FF2388" s="4"/>
      <c r="FG2388" s="4"/>
      <c r="FH2388" s="4"/>
      <c r="FI2388" s="4"/>
      <c r="FJ2388" s="4"/>
      <c r="FK2388" s="4"/>
      <c r="FL2388" s="4"/>
      <c r="FM2388" s="4"/>
      <c r="FN2388" s="4"/>
      <c r="FO2388" s="4"/>
      <c r="FP2388" s="4"/>
      <c r="FQ2388" s="4"/>
      <c r="FR2388" s="4"/>
      <c r="FS2388" s="4"/>
      <c r="FT2388" s="4"/>
      <c r="FU2388" s="4"/>
      <c r="FV2388" s="4"/>
      <c r="FW2388" s="4"/>
      <c r="FX2388" s="4"/>
      <c r="FY2388" s="4"/>
      <c r="FZ2388" s="4"/>
      <c r="GA2388" s="4"/>
      <c r="GB2388" s="4"/>
      <c r="GC2388" s="4"/>
      <c r="GD2388" s="4"/>
      <c r="GE2388" s="4"/>
      <c r="GF2388" s="4"/>
      <c r="GG2388" s="4"/>
      <c r="GH2388" s="4"/>
      <c r="GI2388" s="4"/>
      <c r="GJ2388" s="4"/>
      <c r="GK2388" s="4"/>
      <c r="GL2388" s="4"/>
      <c r="GM2388" s="4"/>
      <c r="GN2388" s="4"/>
      <c r="GO2388" s="4"/>
      <c r="GP2388" s="4"/>
      <c r="GQ2388" s="4"/>
      <c r="GR2388" s="4"/>
      <c r="GS2388" s="4"/>
      <c r="GT2388" s="4"/>
      <c r="GU2388" s="4"/>
      <c r="GV2388" s="4"/>
      <c r="GW2388" s="4"/>
      <c r="GX2388" s="4"/>
      <c r="GY2388" s="4"/>
      <c r="GZ2388" s="4"/>
      <c r="HA2388" s="4"/>
      <c r="HB2388" s="4"/>
      <c r="HC2388" s="4"/>
      <c r="HD2388" s="4"/>
      <c r="HE2388" s="4"/>
    </row>
    <row r="2389">
      <c r="A2389" s="2" t="s">
        <v>11083</v>
      </c>
      <c r="B2389" s="2" t="s">
        <v>1150</v>
      </c>
      <c r="C2389" s="2" t="s">
        <v>9274</v>
      </c>
      <c r="D2389" s="2" t="s">
        <v>1112</v>
      </c>
      <c r="E2389" s="2" t="s">
        <v>1165</v>
      </c>
      <c r="F2389" s="2" t="s">
        <v>11070</v>
      </c>
      <c r="G2389" s="2" t="s">
        <v>228</v>
      </c>
      <c r="H2389" s="2" t="s">
        <v>228</v>
      </c>
      <c r="I2389" s="2" t="s">
        <v>11071</v>
      </c>
      <c r="J2389" s="2" t="s">
        <v>294</v>
      </c>
      <c r="K2389" s="2" t="s">
        <v>9010</v>
      </c>
      <c r="L2389" s="3">
        <v>44.99</v>
      </c>
      <c r="M2389" s="3">
        <v>47.24</v>
      </c>
      <c r="N2389" s="3"/>
      <c r="O2389" s="2" t="s">
        <v>240</v>
      </c>
      <c r="P2389" s="2" t="s">
        <v>233</v>
      </c>
      <c r="Q2389" s="2" t="s">
        <v>234</v>
      </c>
      <c r="R2389" s="2" t="s">
        <v>9278</v>
      </c>
      <c r="S2389" s="2" t="s">
        <v>228</v>
      </c>
      <c r="T2389" s="2" t="s">
        <v>228</v>
      </c>
      <c r="U2389" s="2" t="s">
        <v>228</v>
      </c>
      <c r="V2389" s="2" t="s">
        <v>236</v>
      </c>
      <c r="W2389" s="2" t="s">
        <v>228</v>
      </c>
      <c r="X2389" s="2" t="s">
        <v>228</v>
      </c>
      <c r="Y2389" s="2" t="s">
        <v>11072</v>
      </c>
      <c r="Z2389" s="4"/>
      <c r="AA2389" s="4">
        <f>=ROUNDDOWN({0},0)</f>
      </c>
      <c r="AB2389" s="5"/>
      <c r="AC2389" s="2" t="s">
        <v>228</v>
      </c>
      <c r="AD2389" s="4"/>
      <c r="AE2389" s="4"/>
      <c r="AF2389" s="6"/>
      <c r="AG2389" s="6"/>
      <c r="AH2389" s="7"/>
      <c r="AI2389" s="4"/>
      <c r="AJ2389" s="4">
        <f>=ROUNDDOWN({0},0)</f>
      </c>
      <c r="AK2389" s="5"/>
      <c r="AL2389" s="2" t="s">
        <v>228</v>
      </c>
      <c r="AM2389" s="4"/>
      <c r="AN2389" s="4"/>
      <c r="AO2389" s="7"/>
      <c r="AP2389" s="4"/>
      <c r="AQ2389" s="8"/>
      <c r="AR2389" s="4"/>
      <c r="AS2389" s="8"/>
      <c r="AT2389" s="7"/>
      <c r="AU2389" s="7"/>
      <c r="AV2389" s="4" t="s">
        <v>228</v>
      </c>
      <c r="AW2389" s="8" t="s">
        <v>228</v>
      </c>
      <c r="AX2389" s="4" t="s">
        <v>228</v>
      </c>
      <c r="AY2389" s="8" t="s">
        <v>228</v>
      </c>
      <c r="AZ2389" s="7" t="s">
        <v>228</v>
      </c>
      <c r="BA2389" s="7" t="s">
        <v>228</v>
      </c>
      <c r="BB2389" s="7"/>
      <c r="BC2389" s="4" t="s">
        <v>228</v>
      </c>
      <c r="BD2389" s="8" t="s">
        <v>228</v>
      </c>
      <c r="BE2389" s="4" t="s">
        <v>228</v>
      </c>
      <c r="BF2389" s="8" t="s">
        <v>228</v>
      </c>
      <c r="BG2389" s="7" t="s">
        <v>228</v>
      </c>
      <c r="BH2389" s="7" t="s">
        <v>228</v>
      </c>
      <c r="BI2389" s="7"/>
      <c r="BJ2389" s="4"/>
      <c r="BK2389" s="8"/>
      <c r="BL2389" s="2" t="s">
        <v>228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238</v>
      </c>
      <c r="BV2389" s="2" t="s">
        <v>228</v>
      </c>
      <c r="BW2389" s="2" t="s">
        <v>228</v>
      </c>
      <c r="BX2389" s="2" t="s">
        <v>228</v>
      </c>
      <c r="BY2389" s="2" t="s">
        <v>239</v>
      </c>
      <c r="BZ2389" s="2" t="s">
        <v>240</v>
      </c>
      <c r="CA2389" s="2" t="s">
        <v>228</v>
      </c>
      <c r="CB2389" s="2" t="s">
        <v>228</v>
      </c>
      <c r="CC2389" s="2" t="s">
        <v>241</v>
      </c>
      <c r="CD2389" s="2" t="s">
        <v>228</v>
      </c>
      <c r="CE2389" s="4"/>
      <c r="CF2389" s="4"/>
      <c r="CG2389" s="4"/>
      <c r="CH2389" s="4"/>
      <c r="CI2389" s="4"/>
      <c r="CJ2389" s="4"/>
      <c r="CK2389" s="4"/>
      <c r="CL2389" s="4"/>
      <c r="CM2389" s="4"/>
      <c r="CN2389" s="4"/>
      <c r="CO2389" s="4"/>
      <c r="CP2389" s="4"/>
      <c r="CQ2389" s="4"/>
      <c r="CR2389" s="4"/>
      <c r="CS2389" s="4"/>
      <c r="CT2389" s="4"/>
      <c r="CU2389" s="4"/>
      <c r="CV2389" s="4"/>
      <c r="CW2389" s="4"/>
      <c r="CX2389" s="4"/>
      <c r="CY2389" s="4"/>
      <c r="CZ2389" s="4"/>
      <c r="DA2389" s="4"/>
      <c r="DB2389" s="4"/>
      <c r="DC2389" s="4"/>
      <c r="DD2389" s="4"/>
      <c r="DE2389" s="4"/>
      <c r="DF2389" s="4"/>
      <c r="DG2389" s="4"/>
      <c r="DH2389" s="4"/>
      <c r="DI2389" s="4"/>
      <c r="DJ2389" s="4"/>
      <c r="DK2389" s="4"/>
      <c r="DL2389" s="4"/>
      <c r="DM2389" s="4"/>
      <c r="DN2389" s="4"/>
      <c r="DO2389" s="4"/>
      <c r="DP2389" s="4"/>
      <c r="DQ2389" s="4"/>
      <c r="DR2389" s="4"/>
      <c r="DS2389" s="4"/>
      <c r="DT2389" s="4"/>
      <c r="DU2389" s="4"/>
      <c r="DV2389" s="4"/>
      <c r="DW2389" s="4"/>
      <c r="DX2389" s="4"/>
      <c r="DY2389" s="4"/>
      <c r="DZ2389" s="4"/>
      <c r="EA2389" s="4"/>
      <c r="EB2389" s="4"/>
      <c r="EC2389" s="4"/>
      <c r="ED2389" s="4"/>
      <c r="EE2389" s="4"/>
      <c r="EF2389" s="4"/>
      <c r="EG2389" s="4"/>
      <c r="EH2389" s="4"/>
      <c r="EI2389" s="4"/>
      <c r="EJ2389" s="4"/>
      <c r="EK2389" s="4"/>
      <c r="EL2389" s="4"/>
      <c r="EM2389" s="4"/>
      <c r="EN2389" s="4"/>
      <c r="EO2389" s="4"/>
      <c r="EP2389" s="4"/>
      <c r="EQ2389" s="4"/>
      <c r="ER2389" s="4"/>
      <c r="ES2389" s="4"/>
      <c r="ET2389" s="4"/>
      <c r="EU2389" s="4"/>
      <c r="EV2389" s="4"/>
      <c r="EW2389" s="4"/>
      <c r="EX2389" s="4"/>
      <c r="EY2389" s="4"/>
      <c r="EZ2389" s="4"/>
      <c r="FA2389" s="4"/>
      <c r="FB2389" s="4"/>
      <c r="FC2389" s="4"/>
      <c r="FD2389" s="4"/>
      <c r="FE2389" s="4"/>
      <c r="FF2389" s="4"/>
      <c r="FG2389" s="4"/>
      <c r="FH2389" s="4"/>
      <c r="FI2389" s="4"/>
      <c r="FJ2389" s="4"/>
      <c r="FK2389" s="4"/>
      <c r="FL2389" s="4"/>
      <c r="FM2389" s="4"/>
      <c r="FN2389" s="4"/>
      <c r="FO2389" s="4"/>
      <c r="FP2389" s="4"/>
      <c r="FQ2389" s="4"/>
      <c r="FR2389" s="4"/>
      <c r="FS2389" s="4"/>
      <c r="FT2389" s="4"/>
      <c r="FU2389" s="4"/>
      <c r="FV2389" s="4"/>
      <c r="FW2389" s="4"/>
      <c r="FX2389" s="4"/>
      <c r="FY2389" s="4"/>
      <c r="FZ2389" s="4"/>
      <c r="GA2389" s="4"/>
      <c r="GB2389" s="4"/>
      <c r="GC2389" s="4"/>
      <c r="GD2389" s="4"/>
      <c r="GE2389" s="4"/>
      <c r="GF2389" s="4"/>
      <c r="GG2389" s="4"/>
      <c r="GH2389" s="4"/>
      <c r="GI2389" s="4"/>
      <c r="GJ2389" s="4"/>
      <c r="GK2389" s="4"/>
      <c r="GL2389" s="4"/>
      <c r="GM2389" s="4"/>
      <c r="GN2389" s="4"/>
      <c r="GO2389" s="4"/>
      <c r="GP2389" s="4"/>
      <c r="GQ2389" s="4"/>
      <c r="GR2389" s="4"/>
      <c r="GS2389" s="4"/>
      <c r="GT2389" s="4"/>
      <c r="GU2389" s="4"/>
      <c r="GV2389" s="4"/>
      <c r="GW2389" s="4"/>
      <c r="GX2389" s="4"/>
      <c r="GY2389" s="4"/>
      <c r="GZ2389" s="4"/>
      <c r="HA2389" s="4"/>
      <c r="HB2389" s="4"/>
      <c r="HC2389" s="4"/>
      <c r="HD2389" s="4"/>
      <c r="HE2389" s="4"/>
    </row>
    <row r="2390">
      <c r="A2390" s="2" t="s">
        <v>11084</v>
      </c>
      <c r="B2390" s="2" t="s">
        <v>258</v>
      </c>
      <c r="C2390" s="2" t="s">
        <v>300</v>
      </c>
      <c r="D2390" s="2" t="s">
        <v>1112</v>
      </c>
      <c r="E2390" s="2" t="s">
        <v>3467</v>
      </c>
      <c r="F2390" s="2" t="s">
        <v>11070</v>
      </c>
      <c r="G2390" s="2" t="s">
        <v>11085</v>
      </c>
      <c r="H2390" s="2" t="s">
        <v>11085</v>
      </c>
      <c r="I2390" s="2" t="s">
        <v>11086</v>
      </c>
      <c r="J2390" s="2" t="s">
        <v>856</v>
      </c>
      <c r="K2390" s="2" t="s">
        <v>1478</v>
      </c>
      <c r="L2390" s="3">
        <v>26.5</v>
      </c>
      <c r="M2390" s="3">
        <v>27.82</v>
      </c>
      <c r="N2390" s="3">
        <v>52.99</v>
      </c>
      <c r="O2390" s="2" t="s">
        <v>240</v>
      </c>
      <c r="P2390" s="2" t="s">
        <v>233</v>
      </c>
      <c r="Q2390" s="2" t="s">
        <v>234</v>
      </c>
      <c r="R2390" s="2" t="s">
        <v>228</v>
      </c>
      <c r="S2390" s="2" t="s">
        <v>11087</v>
      </c>
      <c r="T2390" s="2" t="s">
        <v>350</v>
      </c>
      <c r="U2390" s="2" t="s">
        <v>416</v>
      </c>
      <c r="V2390" s="2" t="s">
        <v>236</v>
      </c>
      <c r="W2390" s="2" t="s">
        <v>269</v>
      </c>
      <c r="X2390" s="2" t="s">
        <v>309</v>
      </c>
      <c r="Y2390" s="2" t="s">
        <v>4982</v>
      </c>
      <c r="Z2390" s="4">
        <v>286</v>
      </c>
      <c r="AA2390" s="4">
        <f>=ROUNDDOWN(47.6666666666667,0)</f>
      </c>
      <c r="AB2390" s="5">
        <v>6</v>
      </c>
      <c r="AC2390" s="2" t="s">
        <v>228</v>
      </c>
      <c r="AD2390" s="4"/>
      <c r="AE2390" s="4"/>
      <c r="AF2390" s="6">
        <v>68</v>
      </c>
      <c r="AG2390" s="6"/>
      <c r="AH2390" s="7">
        <v>1</v>
      </c>
      <c r="AI2390" s="4"/>
      <c r="AJ2390" s="4">
        <f>=ROUNDDOWN({0},0)</f>
      </c>
      <c r="AK2390" s="5"/>
      <c r="AL2390" s="2" t="s">
        <v>228</v>
      </c>
      <c r="AM2390" s="4"/>
      <c r="AN2390" s="4"/>
      <c r="AO2390" s="7"/>
      <c r="AP2390" s="4"/>
      <c r="AQ2390" s="8"/>
      <c r="AR2390" s="4"/>
      <c r="AS2390" s="8"/>
      <c r="AT2390" s="7"/>
      <c r="AU2390" s="7"/>
      <c r="AV2390" s="4" t="s">
        <v>228</v>
      </c>
      <c r="AW2390" s="8" t="s">
        <v>228</v>
      </c>
      <c r="AX2390" s="4" t="s">
        <v>228</v>
      </c>
      <c r="AY2390" s="8" t="s">
        <v>228</v>
      </c>
      <c r="AZ2390" s="7" t="s">
        <v>228</v>
      </c>
      <c r="BA2390" s="7" t="s">
        <v>228</v>
      </c>
      <c r="BB2390" s="7"/>
      <c r="BC2390" s="4" t="s">
        <v>228</v>
      </c>
      <c r="BD2390" s="8" t="s">
        <v>228</v>
      </c>
      <c r="BE2390" s="4" t="s">
        <v>228</v>
      </c>
      <c r="BF2390" s="8" t="s">
        <v>228</v>
      </c>
      <c r="BG2390" s="7" t="s">
        <v>228</v>
      </c>
      <c r="BH2390" s="7" t="s">
        <v>228</v>
      </c>
      <c r="BI2390" s="7"/>
      <c r="BJ2390" s="4">
        <v>26</v>
      </c>
      <c r="BK2390" s="8">
        <v>772.95</v>
      </c>
      <c r="BL2390" s="2" t="s">
        <v>3816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11088</v>
      </c>
      <c r="BV2390" s="2" t="s">
        <v>228</v>
      </c>
      <c r="BW2390" s="2" t="s">
        <v>228</v>
      </c>
      <c r="BX2390" s="2" t="s">
        <v>273</v>
      </c>
      <c r="BY2390" s="2" t="s">
        <v>274</v>
      </c>
      <c r="BZ2390" s="2" t="s">
        <v>240</v>
      </c>
      <c r="CA2390" s="2" t="s">
        <v>3522</v>
      </c>
      <c r="CB2390" s="2" t="s">
        <v>5145</v>
      </c>
      <c r="CC2390" s="2" t="s">
        <v>241</v>
      </c>
      <c r="CD2390" s="2" t="s">
        <v>228</v>
      </c>
      <c r="CE2390" s="4">
        <v>286</v>
      </c>
      <c r="CF2390" s="4"/>
      <c r="CG2390" s="4"/>
      <c r="CH2390" s="4"/>
      <c r="CI2390" s="4"/>
      <c r="CJ2390" s="4"/>
      <c r="CK2390" s="4"/>
      <c r="CL2390" s="4"/>
      <c r="CM2390" s="4"/>
      <c r="CN2390" s="4"/>
      <c r="CO2390" s="4"/>
      <c r="CP2390" s="4"/>
      <c r="CQ2390" s="4"/>
      <c r="CR2390" s="4"/>
      <c r="CS2390" s="4"/>
      <c r="CT2390" s="4"/>
      <c r="CU2390" s="4"/>
      <c r="CV2390" s="4"/>
      <c r="CW2390" s="4"/>
      <c r="CX2390" s="4"/>
      <c r="CY2390" s="4"/>
      <c r="CZ2390" s="4"/>
      <c r="DA2390" s="4"/>
      <c r="DB2390" s="4"/>
      <c r="DC2390" s="4"/>
      <c r="DD2390" s="4"/>
      <c r="DE2390" s="4"/>
      <c r="DF2390" s="4"/>
      <c r="DG2390" s="4"/>
      <c r="DH2390" s="4"/>
      <c r="DI2390" s="4"/>
      <c r="DJ2390" s="4"/>
      <c r="DK2390" s="4"/>
      <c r="DL2390" s="4"/>
      <c r="DM2390" s="4"/>
      <c r="DN2390" s="4"/>
      <c r="DO2390" s="4"/>
      <c r="DP2390" s="4"/>
      <c r="DQ2390" s="4"/>
      <c r="DR2390" s="4"/>
      <c r="DS2390" s="4"/>
      <c r="DT2390" s="4"/>
      <c r="DU2390" s="4"/>
      <c r="DV2390" s="4"/>
      <c r="DW2390" s="4"/>
      <c r="DX2390" s="4"/>
      <c r="DY2390" s="4"/>
      <c r="DZ2390" s="4"/>
      <c r="EA2390" s="4"/>
      <c r="EB2390" s="4"/>
      <c r="EC2390" s="4"/>
      <c r="ED2390" s="4"/>
      <c r="EE2390" s="4"/>
      <c r="EF2390" s="4"/>
      <c r="EG2390" s="4"/>
      <c r="EH2390" s="4"/>
      <c r="EI2390" s="4"/>
      <c r="EJ2390" s="4"/>
      <c r="EK2390" s="4"/>
      <c r="EL2390" s="4"/>
      <c r="EM2390" s="4"/>
      <c r="EN2390" s="4"/>
      <c r="EO2390" s="4"/>
      <c r="EP2390" s="4"/>
      <c r="EQ2390" s="4"/>
      <c r="ER2390" s="4"/>
      <c r="ES2390" s="4"/>
      <c r="ET2390" s="4"/>
      <c r="EU2390" s="4"/>
      <c r="EV2390" s="4"/>
      <c r="EW2390" s="4"/>
      <c r="EX2390" s="4"/>
      <c r="EY2390" s="4"/>
      <c r="EZ2390" s="4"/>
      <c r="FA2390" s="4"/>
      <c r="FB2390" s="4"/>
      <c r="FC2390" s="4"/>
      <c r="FD2390" s="4"/>
      <c r="FE2390" s="4"/>
      <c r="FF2390" s="4"/>
      <c r="FG2390" s="4"/>
      <c r="FH2390" s="4"/>
      <c r="FI2390" s="4"/>
      <c r="FJ2390" s="4"/>
      <c r="FK2390" s="4"/>
      <c r="FL2390" s="4"/>
      <c r="FM2390" s="4"/>
      <c r="FN2390" s="4"/>
      <c r="FO2390" s="4"/>
      <c r="FP2390" s="4"/>
      <c r="FQ2390" s="4"/>
      <c r="FR2390" s="4"/>
      <c r="FS2390" s="4"/>
      <c r="FT2390" s="4"/>
      <c r="FU2390" s="4"/>
      <c r="FV2390" s="4"/>
      <c r="FW2390" s="4"/>
      <c r="FX2390" s="4"/>
      <c r="FY2390" s="4"/>
      <c r="FZ2390" s="4"/>
      <c r="GA2390" s="4"/>
      <c r="GB2390" s="4"/>
      <c r="GC2390" s="4"/>
      <c r="GD2390" s="4"/>
      <c r="GE2390" s="4"/>
      <c r="GF2390" s="4"/>
      <c r="GG2390" s="4"/>
      <c r="GH2390" s="4"/>
      <c r="GI2390" s="4"/>
      <c r="GJ2390" s="4"/>
      <c r="GK2390" s="4"/>
      <c r="GL2390" s="4"/>
      <c r="GM2390" s="4"/>
      <c r="GN2390" s="4"/>
      <c r="GO2390" s="4"/>
      <c r="GP2390" s="4"/>
      <c r="GQ2390" s="4"/>
      <c r="GR2390" s="4"/>
      <c r="GS2390" s="4"/>
      <c r="GT2390" s="4"/>
      <c r="GU2390" s="4"/>
      <c r="GV2390" s="4"/>
      <c r="GW2390" s="4"/>
      <c r="GX2390" s="4"/>
      <c r="GY2390" s="4"/>
      <c r="GZ2390" s="4"/>
      <c r="HA2390" s="4"/>
      <c r="HB2390" s="4"/>
      <c r="HC2390" s="4"/>
      <c r="HD2390" s="4"/>
      <c r="HE2390" s="4"/>
    </row>
    <row r="2391">
      <c r="A2391" s="2" t="s">
        <v>11089</v>
      </c>
      <c r="B2391" s="2" t="s">
        <v>258</v>
      </c>
      <c r="C2391" s="2" t="s">
        <v>300</v>
      </c>
      <c r="D2391" s="2" t="s">
        <v>1112</v>
      </c>
      <c r="E2391" s="2" t="s">
        <v>3467</v>
      </c>
      <c r="F2391" s="2" t="s">
        <v>11070</v>
      </c>
      <c r="G2391" s="2" t="s">
        <v>11085</v>
      </c>
      <c r="H2391" s="2" t="s">
        <v>11085</v>
      </c>
      <c r="I2391" s="2" t="s">
        <v>11086</v>
      </c>
      <c r="J2391" s="2" t="s">
        <v>1043</v>
      </c>
      <c r="K2391" s="2" t="s">
        <v>1478</v>
      </c>
      <c r="L2391" s="3">
        <v>42.5</v>
      </c>
      <c r="M2391" s="3">
        <v>44.62</v>
      </c>
      <c r="N2391" s="3">
        <v>84.99</v>
      </c>
      <c r="O2391" s="2" t="s">
        <v>240</v>
      </c>
      <c r="P2391" s="2" t="s">
        <v>233</v>
      </c>
      <c r="Q2391" s="2" t="s">
        <v>234</v>
      </c>
      <c r="R2391" s="2" t="s">
        <v>228</v>
      </c>
      <c r="S2391" s="2" t="s">
        <v>11087</v>
      </c>
      <c r="T2391" s="2" t="s">
        <v>350</v>
      </c>
      <c r="U2391" s="2" t="s">
        <v>416</v>
      </c>
      <c r="V2391" s="2" t="s">
        <v>236</v>
      </c>
      <c r="W2391" s="2" t="s">
        <v>269</v>
      </c>
      <c r="X2391" s="2" t="s">
        <v>309</v>
      </c>
      <c r="Y2391" s="2" t="s">
        <v>4982</v>
      </c>
      <c r="Z2391" s="4">
        <v>343</v>
      </c>
      <c r="AA2391" s="4">
        <f>=ROUNDDOWN(38.1111111111111,0)</f>
      </c>
      <c r="AB2391" s="5">
        <v>9</v>
      </c>
      <c r="AC2391" s="2" t="s">
        <v>228</v>
      </c>
      <c r="AD2391" s="4"/>
      <c r="AE2391" s="4"/>
      <c r="AF2391" s="6">
        <v>68</v>
      </c>
      <c r="AG2391" s="6"/>
      <c r="AH2391" s="7">
        <v>1</v>
      </c>
      <c r="AI2391" s="4"/>
      <c r="AJ2391" s="4">
        <f>=ROUNDDOWN({0},0)</f>
      </c>
      <c r="AK2391" s="5"/>
      <c r="AL2391" s="2" t="s">
        <v>228</v>
      </c>
      <c r="AM2391" s="4"/>
      <c r="AN2391" s="4"/>
      <c r="AO2391" s="7"/>
      <c r="AP2391" s="4"/>
      <c r="AQ2391" s="8"/>
      <c r="AR2391" s="4"/>
      <c r="AS2391" s="8"/>
      <c r="AT2391" s="7"/>
      <c r="AU2391" s="7"/>
      <c r="AV2391" s="4" t="s">
        <v>228</v>
      </c>
      <c r="AW2391" s="8" t="s">
        <v>228</v>
      </c>
      <c r="AX2391" s="4" t="s">
        <v>228</v>
      </c>
      <c r="AY2391" s="8" t="s">
        <v>228</v>
      </c>
      <c r="AZ2391" s="7" t="s">
        <v>228</v>
      </c>
      <c r="BA2391" s="7" t="s">
        <v>228</v>
      </c>
      <c r="BB2391" s="7"/>
      <c r="BC2391" s="4" t="s">
        <v>228</v>
      </c>
      <c r="BD2391" s="8" t="s">
        <v>228</v>
      </c>
      <c r="BE2391" s="4" t="s">
        <v>228</v>
      </c>
      <c r="BF2391" s="8" t="s">
        <v>228</v>
      </c>
      <c r="BG2391" s="7" t="s">
        <v>228</v>
      </c>
      <c r="BH2391" s="7" t="s">
        <v>228</v>
      </c>
      <c r="BI2391" s="7"/>
      <c r="BJ2391" s="4">
        <v>16</v>
      </c>
      <c r="BK2391" s="8">
        <v>770.64</v>
      </c>
      <c r="BL2391" s="2" t="s">
        <v>3145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11090</v>
      </c>
      <c r="BV2391" s="2" t="s">
        <v>228</v>
      </c>
      <c r="BW2391" s="2" t="s">
        <v>228</v>
      </c>
      <c r="BX2391" s="2" t="s">
        <v>273</v>
      </c>
      <c r="BY2391" s="2" t="s">
        <v>274</v>
      </c>
      <c r="BZ2391" s="2" t="s">
        <v>240</v>
      </c>
      <c r="CA2391" s="2" t="s">
        <v>3522</v>
      </c>
      <c r="CB2391" s="2" t="s">
        <v>5988</v>
      </c>
      <c r="CC2391" s="2" t="s">
        <v>241</v>
      </c>
      <c r="CD2391" s="2" t="s">
        <v>228</v>
      </c>
      <c r="CE2391" s="4">
        <v>343</v>
      </c>
      <c r="CF2391" s="4"/>
      <c r="CG2391" s="4"/>
      <c r="CH2391" s="4"/>
      <c r="CI2391" s="4"/>
      <c r="CJ2391" s="4"/>
      <c r="CK2391" s="4"/>
      <c r="CL2391" s="4"/>
      <c r="CM2391" s="4"/>
      <c r="CN2391" s="4"/>
      <c r="CO2391" s="4"/>
      <c r="CP2391" s="4"/>
      <c r="CQ2391" s="4"/>
      <c r="CR2391" s="4"/>
      <c r="CS2391" s="4"/>
      <c r="CT2391" s="4"/>
      <c r="CU2391" s="4"/>
      <c r="CV2391" s="4"/>
      <c r="CW2391" s="4"/>
      <c r="CX2391" s="4"/>
      <c r="CY2391" s="4"/>
      <c r="CZ2391" s="4"/>
      <c r="DA2391" s="4"/>
      <c r="DB2391" s="4"/>
      <c r="DC2391" s="4"/>
      <c r="DD2391" s="4"/>
      <c r="DE2391" s="4"/>
      <c r="DF2391" s="4"/>
      <c r="DG2391" s="4"/>
      <c r="DH2391" s="4"/>
      <c r="DI2391" s="4"/>
      <c r="DJ2391" s="4"/>
      <c r="DK2391" s="4"/>
      <c r="DL2391" s="4"/>
      <c r="DM2391" s="4"/>
      <c r="DN2391" s="4"/>
      <c r="DO2391" s="4"/>
      <c r="DP2391" s="4"/>
      <c r="DQ2391" s="4"/>
      <c r="DR2391" s="4"/>
      <c r="DS2391" s="4"/>
      <c r="DT2391" s="4"/>
      <c r="DU2391" s="4"/>
      <c r="DV2391" s="4"/>
      <c r="DW2391" s="4"/>
      <c r="DX2391" s="4"/>
      <c r="DY2391" s="4"/>
      <c r="DZ2391" s="4"/>
      <c r="EA2391" s="4"/>
      <c r="EB2391" s="4"/>
      <c r="EC2391" s="4"/>
      <c r="ED2391" s="4"/>
      <c r="EE2391" s="4"/>
      <c r="EF2391" s="4"/>
      <c r="EG2391" s="4"/>
      <c r="EH2391" s="4"/>
      <c r="EI2391" s="4"/>
      <c r="EJ2391" s="4"/>
      <c r="EK2391" s="4"/>
      <c r="EL2391" s="4"/>
      <c r="EM2391" s="4"/>
      <c r="EN2391" s="4"/>
      <c r="EO2391" s="4"/>
      <c r="EP2391" s="4"/>
      <c r="EQ2391" s="4"/>
      <c r="ER2391" s="4"/>
      <c r="ES2391" s="4"/>
      <c r="ET2391" s="4"/>
      <c r="EU2391" s="4"/>
      <c r="EV2391" s="4"/>
      <c r="EW2391" s="4"/>
      <c r="EX2391" s="4"/>
      <c r="EY2391" s="4"/>
      <c r="EZ2391" s="4"/>
      <c r="FA2391" s="4"/>
      <c r="FB2391" s="4"/>
      <c r="FC2391" s="4"/>
      <c r="FD2391" s="4"/>
      <c r="FE2391" s="4"/>
      <c r="FF2391" s="4"/>
      <c r="FG2391" s="4"/>
      <c r="FH2391" s="4"/>
      <c r="FI2391" s="4"/>
      <c r="FJ2391" s="4"/>
      <c r="FK2391" s="4"/>
      <c r="FL2391" s="4"/>
      <c r="FM2391" s="4"/>
      <c r="FN2391" s="4"/>
      <c r="FO2391" s="4"/>
      <c r="FP2391" s="4"/>
      <c r="FQ2391" s="4"/>
      <c r="FR2391" s="4"/>
      <c r="FS2391" s="4"/>
      <c r="FT2391" s="4"/>
      <c r="FU2391" s="4"/>
      <c r="FV2391" s="4"/>
      <c r="FW2391" s="4"/>
      <c r="FX2391" s="4"/>
      <c r="FY2391" s="4"/>
      <c r="FZ2391" s="4"/>
      <c r="GA2391" s="4"/>
      <c r="GB2391" s="4"/>
      <c r="GC2391" s="4"/>
      <c r="GD2391" s="4"/>
      <c r="GE2391" s="4"/>
      <c r="GF2391" s="4"/>
      <c r="GG2391" s="4"/>
      <c r="GH2391" s="4"/>
      <c r="GI2391" s="4"/>
      <c r="GJ2391" s="4"/>
      <c r="GK2391" s="4"/>
      <c r="GL2391" s="4"/>
      <c r="GM2391" s="4"/>
      <c r="GN2391" s="4"/>
      <c r="GO2391" s="4"/>
      <c r="GP2391" s="4"/>
      <c r="GQ2391" s="4"/>
      <c r="GR2391" s="4"/>
      <c r="GS2391" s="4"/>
      <c r="GT2391" s="4"/>
      <c r="GU2391" s="4"/>
      <c r="GV2391" s="4"/>
      <c r="GW2391" s="4"/>
      <c r="GX2391" s="4"/>
      <c r="GY2391" s="4"/>
      <c r="GZ2391" s="4"/>
      <c r="HA2391" s="4"/>
      <c r="HB2391" s="4"/>
      <c r="HC2391" s="4"/>
      <c r="HD2391" s="4"/>
      <c r="HE2391" s="4"/>
    </row>
    <row r="2392">
      <c r="A2392" s="2" t="s">
        <v>11091</v>
      </c>
      <c r="B2392" s="2" t="s">
        <v>258</v>
      </c>
      <c r="C2392" s="2" t="s">
        <v>300</v>
      </c>
      <c r="D2392" s="2" t="s">
        <v>1112</v>
      </c>
      <c r="E2392" s="2" t="s">
        <v>3467</v>
      </c>
      <c r="F2392" s="2" t="s">
        <v>11070</v>
      </c>
      <c r="G2392" s="2" t="s">
        <v>11085</v>
      </c>
      <c r="H2392" s="2" t="s">
        <v>11085</v>
      </c>
      <c r="I2392" s="2" t="s">
        <v>11086</v>
      </c>
      <c r="J2392" s="2" t="s">
        <v>856</v>
      </c>
      <c r="K2392" s="2" t="s">
        <v>650</v>
      </c>
      <c r="L2392" s="3">
        <v>26.5</v>
      </c>
      <c r="M2392" s="3">
        <v>27.82</v>
      </c>
      <c r="N2392" s="3">
        <v>52.99</v>
      </c>
      <c r="O2392" s="2" t="s">
        <v>240</v>
      </c>
      <c r="P2392" s="2" t="s">
        <v>233</v>
      </c>
      <c r="Q2392" s="2" t="s">
        <v>234</v>
      </c>
      <c r="R2392" s="2" t="s">
        <v>228</v>
      </c>
      <c r="S2392" s="2" t="s">
        <v>11092</v>
      </c>
      <c r="T2392" s="2" t="s">
        <v>350</v>
      </c>
      <c r="U2392" s="2" t="s">
        <v>416</v>
      </c>
      <c r="V2392" s="2" t="s">
        <v>236</v>
      </c>
      <c r="W2392" s="2" t="s">
        <v>269</v>
      </c>
      <c r="X2392" s="2" t="s">
        <v>309</v>
      </c>
      <c r="Y2392" s="2" t="s">
        <v>4982</v>
      </c>
      <c r="Z2392" s="4">
        <v>371</v>
      </c>
      <c r="AA2392" s="4">
        <f>=ROUNDDOWN(61.8333333333333,0)</f>
      </c>
      <c r="AB2392" s="5">
        <v>6</v>
      </c>
      <c r="AC2392" s="2" t="s">
        <v>228</v>
      </c>
      <c r="AD2392" s="4"/>
      <c r="AE2392" s="4"/>
      <c r="AF2392" s="6">
        <v>68</v>
      </c>
      <c r="AG2392" s="6"/>
      <c r="AH2392" s="7">
        <v>1</v>
      </c>
      <c r="AI2392" s="4"/>
      <c r="AJ2392" s="4">
        <f>=ROUNDDOWN({0},0)</f>
      </c>
      <c r="AK2392" s="5"/>
      <c r="AL2392" s="2" t="s">
        <v>228</v>
      </c>
      <c r="AM2392" s="4"/>
      <c r="AN2392" s="4"/>
      <c r="AO2392" s="7"/>
      <c r="AP2392" s="4"/>
      <c r="AQ2392" s="8"/>
      <c r="AR2392" s="4"/>
      <c r="AS2392" s="8"/>
      <c r="AT2392" s="7"/>
      <c r="AU2392" s="7"/>
      <c r="AV2392" s="4" t="s">
        <v>228</v>
      </c>
      <c r="AW2392" s="8" t="s">
        <v>228</v>
      </c>
      <c r="AX2392" s="4" t="s">
        <v>228</v>
      </c>
      <c r="AY2392" s="8" t="s">
        <v>228</v>
      </c>
      <c r="AZ2392" s="7" t="s">
        <v>228</v>
      </c>
      <c r="BA2392" s="7" t="s">
        <v>228</v>
      </c>
      <c r="BB2392" s="7"/>
      <c r="BC2392" s="4" t="s">
        <v>228</v>
      </c>
      <c r="BD2392" s="8" t="s">
        <v>228</v>
      </c>
      <c r="BE2392" s="4" t="s">
        <v>228</v>
      </c>
      <c r="BF2392" s="8" t="s">
        <v>228</v>
      </c>
      <c r="BG2392" s="7" t="s">
        <v>228</v>
      </c>
      <c r="BH2392" s="7" t="s">
        <v>228</v>
      </c>
      <c r="BI2392" s="7"/>
      <c r="BJ2392" s="4">
        <v>16</v>
      </c>
      <c r="BK2392" s="8">
        <v>514.87</v>
      </c>
      <c r="BL2392" s="2" t="s">
        <v>11093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11094</v>
      </c>
      <c r="BV2392" s="2" t="s">
        <v>228</v>
      </c>
      <c r="BW2392" s="2" t="s">
        <v>228</v>
      </c>
      <c r="BX2392" s="2" t="s">
        <v>273</v>
      </c>
      <c r="BY2392" s="2" t="s">
        <v>274</v>
      </c>
      <c r="BZ2392" s="2" t="s">
        <v>240</v>
      </c>
      <c r="CA2392" s="2" t="s">
        <v>3522</v>
      </c>
      <c r="CB2392" s="2" t="s">
        <v>9612</v>
      </c>
      <c r="CC2392" s="2" t="s">
        <v>241</v>
      </c>
      <c r="CD2392" s="2" t="s">
        <v>228</v>
      </c>
      <c r="CE2392" s="4">
        <v>371</v>
      </c>
      <c r="CF2392" s="4"/>
      <c r="CG2392" s="4"/>
      <c r="CH2392" s="4"/>
      <c r="CI2392" s="4"/>
      <c r="CJ2392" s="4"/>
      <c r="CK2392" s="4"/>
      <c r="CL2392" s="4"/>
      <c r="CM2392" s="4"/>
      <c r="CN2392" s="4"/>
      <c r="CO2392" s="4"/>
      <c r="CP2392" s="4"/>
      <c r="CQ2392" s="4"/>
      <c r="CR2392" s="4"/>
      <c r="CS2392" s="4"/>
      <c r="CT2392" s="4"/>
      <c r="CU2392" s="4"/>
      <c r="CV2392" s="4"/>
      <c r="CW2392" s="4"/>
      <c r="CX2392" s="4"/>
      <c r="CY2392" s="4"/>
      <c r="CZ2392" s="4"/>
      <c r="DA2392" s="4"/>
      <c r="DB2392" s="4"/>
      <c r="DC2392" s="4"/>
      <c r="DD2392" s="4"/>
      <c r="DE2392" s="4"/>
      <c r="DF2392" s="4"/>
      <c r="DG2392" s="4"/>
      <c r="DH2392" s="4"/>
      <c r="DI2392" s="4"/>
      <c r="DJ2392" s="4"/>
      <c r="DK2392" s="4"/>
      <c r="DL2392" s="4"/>
      <c r="DM2392" s="4"/>
      <c r="DN2392" s="4"/>
      <c r="DO2392" s="4"/>
      <c r="DP2392" s="4"/>
      <c r="DQ2392" s="4"/>
      <c r="DR2392" s="4"/>
      <c r="DS2392" s="4"/>
      <c r="DT2392" s="4"/>
      <c r="DU2392" s="4"/>
      <c r="DV2392" s="4"/>
      <c r="DW2392" s="4"/>
      <c r="DX2392" s="4"/>
      <c r="DY2392" s="4"/>
      <c r="DZ2392" s="4"/>
      <c r="EA2392" s="4"/>
      <c r="EB2392" s="4"/>
      <c r="EC2392" s="4"/>
      <c r="ED2392" s="4"/>
      <c r="EE2392" s="4"/>
      <c r="EF2392" s="4"/>
      <c r="EG2392" s="4"/>
      <c r="EH2392" s="4"/>
      <c r="EI2392" s="4"/>
      <c r="EJ2392" s="4"/>
      <c r="EK2392" s="4"/>
      <c r="EL2392" s="4"/>
      <c r="EM2392" s="4"/>
      <c r="EN2392" s="4"/>
      <c r="EO2392" s="4"/>
      <c r="EP2392" s="4"/>
      <c r="EQ2392" s="4"/>
      <c r="ER2392" s="4"/>
      <c r="ES2392" s="4"/>
      <c r="ET2392" s="4"/>
      <c r="EU2392" s="4"/>
      <c r="EV2392" s="4"/>
      <c r="EW2392" s="4"/>
      <c r="EX2392" s="4"/>
      <c r="EY2392" s="4"/>
      <c r="EZ2392" s="4"/>
      <c r="FA2392" s="4"/>
      <c r="FB2392" s="4"/>
      <c r="FC2392" s="4"/>
      <c r="FD2392" s="4"/>
      <c r="FE2392" s="4"/>
      <c r="FF2392" s="4"/>
      <c r="FG2392" s="4"/>
      <c r="FH2392" s="4"/>
      <c r="FI2392" s="4"/>
      <c r="FJ2392" s="4"/>
      <c r="FK2392" s="4"/>
      <c r="FL2392" s="4"/>
      <c r="FM2392" s="4"/>
      <c r="FN2392" s="4"/>
      <c r="FO2392" s="4"/>
      <c r="FP2392" s="4"/>
      <c r="FQ2392" s="4"/>
      <c r="FR2392" s="4"/>
      <c r="FS2392" s="4"/>
      <c r="FT2392" s="4"/>
      <c r="FU2392" s="4"/>
      <c r="FV2392" s="4"/>
      <c r="FW2392" s="4"/>
      <c r="FX2392" s="4"/>
      <c r="FY2392" s="4"/>
      <c r="FZ2392" s="4"/>
      <c r="GA2392" s="4"/>
      <c r="GB2392" s="4"/>
      <c r="GC2392" s="4"/>
      <c r="GD2392" s="4"/>
      <c r="GE2392" s="4"/>
      <c r="GF2392" s="4"/>
      <c r="GG2392" s="4"/>
      <c r="GH2392" s="4"/>
      <c r="GI2392" s="4"/>
      <c r="GJ2392" s="4"/>
      <c r="GK2392" s="4"/>
      <c r="GL2392" s="4"/>
      <c r="GM2392" s="4"/>
      <c r="GN2392" s="4"/>
      <c r="GO2392" s="4"/>
      <c r="GP2392" s="4"/>
      <c r="GQ2392" s="4"/>
      <c r="GR2392" s="4"/>
      <c r="GS2392" s="4"/>
      <c r="GT2392" s="4"/>
      <c r="GU2392" s="4"/>
      <c r="GV2392" s="4"/>
      <c r="GW2392" s="4"/>
      <c r="GX2392" s="4"/>
      <c r="GY2392" s="4"/>
      <c r="GZ2392" s="4"/>
      <c r="HA2392" s="4"/>
      <c r="HB2392" s="4"/>
      <c r="HC2392" s="4"/>
      <c r="HD2392" s="4"/>
      <c r="HE2392" s="4"/>
    </row>
    <row r="2393">
      <c r="A2393" s="2" t="s">
        <v>11095</v>
      </c>
      <c r="B2393" s="2" t="s">
        <v>258</v>
      </c>
      <c r="C2393" s="2" t="s">
        <v>300</v>
      </c>
      <c r="D2393" s="2" t="s">
        <v>1112</v>
      </c>
      <c r="E2393" s="2" t="s">
        <v>3467</v>
      </c>
      <c r="F2393" s="2" t="s">
        <v>11070</v>
      </c>
      <c r="G2393" s="2" t="s">
        <v>11085</v>
      </c>
      <c r="H2393" s="2" t="s">
        <v>11085</v>
      </c>
      <c r="I2393" s="2" t="s">
        <v>11086</v>
      </c>
      <c r="J2393" s="2" t="s">
        <v>1189</v>
      </c>
      <c r="K2393" s="2" t="s">
        <v>650</v>
      </c>
      <c r="L2393" s="3">
        <v>37.5</v>
      </c>
      <c r="M2393" s="3">
        <v>39.38</v>
      </c>
      <c r="N2393" s="3">
        <v>74.99</v>
      </c>
      <c r="O2393" s="2" t="s">
        <v>240</v>
      </c>
      <c r="P2393" s="2" t="s">
        <v>233</v>
      </c>
      <c r="Q2393" s="2" t="s">
        <v>234</v>
      </c>
      <c r="R2393" s="2" t="s">
        <v>228</v>
      </c>
      <c r="S2393" s="2" t="s">
        <v>11092</v>
      </c>
      <c r="T2393" s="2" t="s">
        <v>350</v>
      </c>
      <c r="U2393" s="2" t="s">
        <v>416</v>
      </c>
      <c r="V2393" s="2" t="s">
        <v>236</v>
      </c>
      <c r="W2393" s="2" t="s">
        <v>269</v>
      </c>
      <c r="X2393" s="2" t="s">
        <v>309</v>
      </c>
      <c r="Y2393" s="2" t="s">
        <v>4982</v>
      </c>
      <c r="Z2393" s="4">
        <v>532</v>
      </c>
      <c r="AA2393" s="4">
        <f>=ROUNDDOWN(48.3636363636364,0)</f>
      </c>
      <c r="AB2393" s="5">
        <v>11</v>
      </c>
      <c r="AC2393" s="2" t="s">
        <v>228</v>
      </c>
      <c r="AD2393" s="4"/>
      <c r="AE2393" s="4"/>
      <c r="AF2393" s="6">
        <v>68</v>
      </c>
      <c r="AG2393" s="6"/>
      <c r="AH2393" s="7">
        <v>1</v>
      </c>
      <c r="AI2393" s="4"/>
      <c r="AJ2393" s="4">
        <f>=ROUNDDOWN({0},0)</f>
      </c>
      <c r="AK2393" s="5"/>
      <c r="AL2393" s="2" t="s">
        <v>228</v>
      </c>
      <c r="AM2393" s="4"/>
      <c r="AN2393" s="4"/>
      <c r="AO2393" s="7"/>
      <c r="AP2393" s="4"/>
      <c r="AQ2393" s="8"/>
      <c r="AR2393" s="4"/>
      <c r="AS2393" s="8"/>
      <c r="AT2393" s="7"/>
      <c r="AU2393" s="7"/>
      <c r="AV2393" s="4" t="s">
        <v>228</v>
      </c>
      <c r="AW2393" s="8" t="s">
        <v>228</v>
      </c>
      <c r="AX2393" s="4" t="s">
        <v>228</v>
      </c>
      <c r="AY2393" s="8" t="s">
        <v>228</v>
      </c>
      <c r="AZ2393" s="7" t="s">
        <v>228</v>
      </c>
      <c r="BA2393" s="7" t="s">
        <v>228</v>
      </c>
      <c r="BB2393" s="7"/>
      <c r="BC2393" s="4" t="s">
        <v>228</v>
      </c>
      <c r="BD2393" s="8" t="s">
        <v>228</v>
      </c>
      <c r="BE2393" s="4" t="s">
        <v>228</v>
      </c>
      <c r="BF2393" s="8" t="s">
        <v>228</v>
      </c>
      <c r="BG2393" s="7" t="s">
        <v>228</v>
      </c>
      <c r="BH2393" s="7" t="s">
        <v>228</v>
      </c>
      <c r="BI2393" s="7"/>
      <c r="BJ2393" s="4">
        <v>14</v>
      </c>
      <c r="BK2393" s="8">
        <v>578.23</v>
      </c>
      <c r="BL2393" s="2" t="s">
        <v>1192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11096</v>
      </c>
      <c r="BV2393" s="2" t="s">
        <v>228</v>
      </c>
      <c r="BW2393" s="2" t="s">
        <v>228</v>
      </c>
      <c r="BX2393" s="2" t="s">
        <v>273</v>
      </c>
      <c r="BY2393" s="2" t="s">
        <v>274</v>
      </c>
      <c r="BZ2393" s="2" t="s">
        <v>240</v>
      </c>
      <c r="CA2393" s="2" t="s">
        <v>3522</v>
      </c>
      <c r="CB2393" s="2" t="s">
        <v>2490</v>
      </c>
      <c r="CC2393" s="2" t="s">
        <v>241</v>
      </c>
      <c r="CD2393" s="2" t="s">
        <v>228</v>
      </c>
      <c r="CE2393" s="4">
        <v>532</v>
      </c>
      <c r="CF2393" s="4"/>
      <c r="CG2393" s="4"/>
      <c r="CH2393" s="4"/>
      <c r="CI2393" s="4"/>
      <c r="CJ2393" s="4"/>
      <c r="CK2393" s="4"/>
      <c r="CL2393" s="4"/>
      <c r="CM2393" s="4"/>
      <c r="CN2393" s="4"/>
      <c r="CO2393" s="4"/>
      <c r="CP2393" s="4"/>
      <c r="CQ2393" s="4"/>
      <c r="CR2393" s="4"/>
      <c r="CS2393" s="4"/>
      <c r="CT2393" s="4"/>
      <c r="CU2393" s="4"/>
      <c r="CV2393" s="4"/>
      <c r="CW2393" s="4"/>
      <c r="CX2393" s="4"/>
      <c r="CY2393" s="4"/>
      <c r="CZ2393" s="4"/>
      <c r="DA2393" s="4"/>
      <c r="DB2393" s="4"/>
      <c r="DC2393" s="4"/>
      <c r="DD2393" s="4"/>
      <c r="DE2393" s="4"/>
      <c r="DF2393" s="4"/>
      <c r="DG2393" s="4"/>
      <c r="DH2393" s="4"/>
      <c r="DI2393" s="4"/>
      <c r="DJ2393" s="4"/>
      <c r="DK2393" s="4"/>
      <c r="DL2393" s="4"/>
      <c r="DM2393" s="4"/>
      <c r="DN2393" s="4"/>
      <c r="DO2393" s="4"/>
      <c r="DP2393" s="4"/>
      <c r="DQ2393" s="4"/>
      <c r="DR2393" s="4"/>
      <c r="DS2393" s="4"/>
      <c r="DT2393" s="4"/>
      <c r="DU2393" s="4"/>
      <c r="DV2393" s="4"/>
      <c r="DW2393" s="4"/>
      <c r="DX2393" s="4"/>
      <c r="DY2393" s="4"/>
      <c r="DZ2393" s="4"/>
      <c r="EA2393" s="4"/>
      <c r="EB2393" s="4"/>
      <c r="EC2393" s="4"/>
      <c r="ED2393" s="4"/>
      <c r="EE2393" s="4"/>
      <c r="EF2393" s="4"/>
      <c r="EG2393" s="4"/>
      <c r="EH2393" s="4"/>
      <c r="EI2393" s="4"/>
      <c r="EJ2393" s="4"/>
      <c r="EK2393" s="4"/>
      <c r="EL2393" s="4"/>
      <c r="EM2393" s="4"/>
      <c r="EN2393" s="4"/>
      <c r="EO2393" s="4"/>
      <c r="EP2393" s="4"/>
      <c r="EQ2393" s="4"/>
      <c r="ER2393" s="4"/>
      <c r="ES2393" s="4"/>
      <c r="ET2393" s="4"/>
      <c r="EU2393" s="4"/>
      <c r="EV2393" s="4"/>
      <c r="EW2393" s="4"/>
      <c r="EX2393" s="4"/>
      <c r="EY2393" s="4"/>
      <c r="EZ2393" s="4"/>
      <c r="FA2393" s="4"/>
      <c r="FB2393" s="4"/>
      <c r="FC2393" s="4"/>
      <c r="FD2393" s="4"/>
      <c r="FE2393" s="4"/>
      <c r="FF2393" s="4"/>
      <c r="FG2393" s="4"/>
      <c r="FH2393" s="4"/>
      <c r="FI2393" s="4"/>
      <c r="FJ2393" s="4"/>
      <c r="FK2393" s="4"/>
      <c r="FL2393" s="4"/>
      <c r="FM2393" s="4"/>
      <c r="FN2393" s="4"/>
      <c r="FO2393" s="4"/>
      <c r="FP2393" s="4"/>
      <c r="FQ2393" s="4"/>
      <c r="FR2393" s="4"/>
      <c r="FS2393" s="4"/>
      <c r="FT2393" s="4"/>
      <c r="FU2393" s="4"/>
      <c r="FV2393" s="4"/>
      <c r="FW2393" s="4"/>
      <c r="FX2393" s="4"/>
      <c r="FY2393" s="4"/>
      <c r="FZ2393" s="4"/>
      <c r="GA2393" s="4"/>
      <c r="GB2393" s="4"/>
      <c r="GC2393" s="4"/>
      <c r="GD2393" s="4"/>
      <c r="GE2393" s="4"/>
      <c r="GF2393" s="4"/>
      <c r="GG2393" s="4"/>
      <c r="GH2393" s="4"/>
      <c r="GI2393" s="4"/>
      <c r="GJ2393" s="4"/>
      <c r="GK2393" s="4"/>
      <c r="GL2393" s="4"/>
      <c r="GM2393" s="4"/>
      <c r="GN2393" s="4"/>
      <c r="GO2393" s="4"/>
      <c r="GP2393" s="4"/>
      <c r="GQ2393" s="4"/>
      <c r="GR2393" s="4"/>
      <c r="GS2393" s="4"/>
      <c r="GT2393" s="4"/>
      <c r="GU2393" s="4"/>
      <c r="GV2393" s="4"/>
      <c r="GW2393" s="4"/>
      <c r="GX2393" s="4"/>
      <c r="GY2393" s="4"/>
      <c r="GZ2393" s="4"/>
      <c r="HA2393" s="4"/>
      <c r="HB2393" s="4"/>
      <c r="HC2393" s="4"/>
      <c r="HD2393" s="4"/>
      <c r="HE2393" s="4"/>
    </row>
    <row r="2394">
      <c r="A2394" s="2" t="s">
        <v>11097</v>
      </c>
      <c r="B2394" s="2" t="s">
        <v>258</v>
      </c>
      <c r="C2394" s="2" t="s">
        <v>300</v>
      </c>
      <c r="D2394" s="2" t="s">
        <v>1112</v>
      </c>
      <c r="E2394" s="2" t="s">
        <v>3467</v>
      </c>
      <c r="F2394" s="2" t="s">
        <v>11070</v>
      </c>
      <c r="G2394" s="2" t="s">
        <v>11085</v>
      </c>
      <c r="H2394" s="2" t="s">
        <v>11085</v>
      </c>
      <c r="I2394" s="2" t="s">
        <v>11086</v>
      </c>
      <c r="J2394" s="2" t="s">
        <v>1043</v>
      </c>
      <c r="K2394" s="2" t="s">
        <v>650</v>
      </c>
      <c r="L2394" s="3">
        <v>42.5</v>
      </c>
      <c r="M2394" s="3">
        <v>44.62</v>
      </c>
      <c r="N2394" s="3">
        <v>84.99</v>
      </c>
      <c r="O2394" s="2" t="s">
        <v>240</v>
      </c>
      <c r="P2394" s="2" t="s">
        <v>233</v>
      </c>
      <c r="Q2394" s="2" t="s">
        <v>234</v>
      </c>
      <c r="R2394" s="2" t="s">
        <v>228</v>
      </c>
      <c r="S2394" s="2" t="s">
        <v>11092</v>
      </c>
      <c r="T2394" s="2" t="s">
        <v>350</v>
      </c>
      <c r="U2394" s="2" t="s">
        <v>416</v>
      </c>
      <c r="V2394" s="2" t="s">
        <v>236</v>
      </c>
      <c r="W2394" s="2" t="s">
        <v>269</v>
      </c>
      <c r="X2394" s="2" t="s">
        <v>309</v>
      </c>
      <c r="Y2394" s="2" t="s">
        <v>4982</v>
      </c>
      <c r="Z2394" s="4">
        <v>447</v>
      </c>
      <c r="AA2394" s="4">
        <f>=ROUNDDOWN(49.6666666666667,0)</f>
      </c>
      <c r="AB2394" s="5">
        <v>9</v>
      </c>
      <c r="AC2394" s="2" t="s">
        <v>228</v>
      </c>
      <c r="AD2394" s="4"/>
      <c r="AE2394" s="4"/>
      <c r="AF2394" s="6">
        <v>68</v>
      </c>
      <c r="AG2394" s="6"/>
      <c r="AH2394" s="7">
        <v>1</v>
      </c>
      <c r="AI2394" s="4"/>
      <c r="AJ2394" s="4">
        <f>=ROUNDDOWN({0},0)</f>
      </c>
      <c r="AK2394" s="5"/>
      <c r="AL2394" s="2" t="s">
        <v>228</v>
      </c>
      <c r="AM2394" s="4"/>
      <c r="AN2394" s="4"/>
      <c r="AO2394" s="7"/>
      <c r="AP2394" s="4"/>
      <c r="AQ2394" s="8"/>
      <c r="AR2394" s="4"/>
      <c r="AS2394" s="8"/>
      <c r="AT2394" s="7"/>
      <c r="AU2394" s="7"/>
      <c r="AV2394" s="4" t="s">
        <v>228</v>
      </c>
      <c r="AW2394" s="8" t="s">
        <v>228</v>
      </c>
      <c r="AX2394" s="4" t="s">
        <v>228</v>
      </c>
      <c r="AY2394" s="8" t="s">
        <v>228</v>
      </c>
      <c r="AZ2394" s="7" t="s">
        <v>228</v>
      </c>
      <c r="BA2394" s="7" t="s">
        <v>228</v>
      </c>
      <c r="BB2394" s="7"/>
      <c r="BC2394" s="4" t="s">
        <v>228</v>
      </c>
      <c r="BD2394" s="8" t="s">
        <v>228</v>
      </c>
      <c r="BE2394" s="4" t="s">
        <v>228</v>
      </c>
      <c r="BF2394" s="8" t="s">
        <v>228</v>
      </c>
      <c r="BG2394" s="7" t="s">
        <v>228</v>
      </c>
      <c r="BH2394" s="7" t="s">
        <v>228</v>
      </c>
      <c r="BI2394" s="7"/>
      <c r="BJ2394" s="4">
        <v>10</v>
      </c>
      <c r="BK2394" s="8">
        <v>476.5</v>
      </c>
      <c r="BL2394" s="2" t="s">
        <v>3816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11098</v>
      </c>
      <c r="BV2394" s="2" t="s">
        <v>228</v>
      </c>
      <c r="BW2394" s="2" t="s">
        <v>228</v>
      </c>
      <c r="BX2394" s="2" t="s">
        <v>273</v>
      </c>
      <c r="BY2394" s="2" t="s">
        <v>274</v>
      </c>
      <c r="BZ2394" s="2" t="s">
        <v>240</v>
      </c>
      <c r="CA2394" s="2" t="s">
        <v>3522</v>
      </c>
      <c r="CB2394" s="2" t="s">
        <v>1671</v>
      </c>
      <c r="CC2394" s="2" t="s">
        <v>241</v>
      </c>
      <c r="CD2394" s="2" t="s">
        <v>228</v>
      </c>
      <c r="CE2394" s="4">
        <v>447</v>
      </c>
      <c r="CF2394" s="4"/>
      <c r="CG2394" s="4"/>
      <c r="CH2394" s="4"/>
      <c r="CI2394" s="4"/>
      <c r="CJ2394" s="4"/>
      <c r="CK2394" s="4"/>
      <c r="CL2394" s="4"/>
      <c r="CM2394" s="4"/>
      <c r="CN2394" s="4"/>
      <c r="CO2394" s="4"/>
      <c r="CP2394" s="4"/>
      <c r="CQ2394" s="4"/>
      <c r="CR2394" s="4"/>
      <c r="CS2394" s="4"/>
      <c r="CT2394" s="4"/>
      <c r="CU2394" s="4"/>
      <c r="CV2394" s="4"/>
      <c r="CW2394" s="4"/>
      <c r="CX2394" s="4"/>
      <c r="CY2394" s="4"/>
      <c r="CZ2394" s="4"/>
      <c r="DA2394" s="4"/>
      <c r="DB2394" s="4"/>
      <c r="DC2394" s="4"/>
      <c r="DD2394" s="4"/>
      <c r="DE2394" s="4"/>
      <c r="DF2394" s="4"/>
      <c r="DG2394" s="4"/>
      <c r="DH2394" s="4"/>
      <c r="DI2394" s="4"/>
      <c r="DJ2394" s="4"/>
      <c r="DK2394" s="4"/>
      <c r="DL2394" s="4"/>
      <c r="DM2394" s="4"/>
      <c r="DN2394" s="4"/>
      <c r="DO2394" s="4"/>
      <c r="DP2394" s="4"/>
      <c r="DQ2394" s="4"/>
      <c r="DR2394" s="4"/>
      <c r="DS2394" s="4"/>
      <c r="DT2394" s="4"/>
      <c r="DU2394" s="4"/>
      <c r="DV2394" s="4"/>
      <c r="DW2394" s="4"/>
      <c r="DX2394" s="4"/>
      <c r="DY2394" s="4"/>
      <c r="DZ2394" s="4"/>
      <c r="EA2394" s="4"/>
      <c r="EB2394" s="4"/>
      <c r="EC2394" s="4"/>
      <c r="ED2394" s="4"/>
      <c r="EE2394" s="4"/>
      <c r="EF2394" s="4"/>
      <c r="EG2394" s="4"/>
      <c r="EH2394" s="4"/>
      <c r="EI2394" s="4"/>
      <c r="EJ2394" s="4"/>
      <c r="EK2394" s="4"/>
      <c r="EL2394" s="4"/>
      <c r="EM2394" s="4"/>
      <c r="EN2394" s="4"/>
      <c r="EO2394" s="4"/>
      <c r="EP2394" s="4"/>
      <c r="EQ2394" s="4"/>
      <c r="ER2394" s="4"/>
      <c r="ES2394" s="4"/>
      <c r="ET2394" s="4"/>
      <c r="EU2394" s="4"/>
      <c r="EV2394" s="4"/>
      <c r="EW2394" s="4"/>
      <c r="EX2394" s="4"/>
      <c r="EY2394" s="4"/>
      <c r="EZ2394" s="4"/>
      <c r="FA2394" s="4"/>
      <c r="FB2394" s="4"/>
      <c r="FC2394" s="4"/>
      <c r="FD2394" s="4"/>
      <c r="FE2394" s="4"/>
      <c r="FF2394" s="4"/>
      <c r="FG2394" s="4"/>
      <c r="FH2394" s="4"/>
      <c r="FI2394" s="4"/>
      <c r="FJ2394" s="4"/>
      <c r="FK2394" s="4"/>
      <c r="FL2394" s="4"/>
      <c r="FM2394" s="4"/>
      <c r="FN2394" s="4"/>
      <c r="FO2394" s="4"/>
      <c r="FP2394" s="4"/>
      <c r="FQ2394" s="4"/>
      <c r="FR2394" s="4"/>
      <c r="FS2394" s="4"/>
      <c r="FT2394" s="4"/>
      <c r="FU2394" s="4"/>
      <c r="FV2394" s="4"/>
      <c r="FW2394" s="4"/>
      <c r="FX2394" s="4"/>
      <c r="FY2394" s="4"/>
      <c r="FZ2394" s="4"/>
      <c r="GA2394" s="4"/>
      <c r="GB2394" s="4"/>
      <c r="GC2394" s="4"/>
      <c r="GD2394" s="4"/>
      <c r="GE2394" s="4"/>
      <c r="GF2394" s="4"/>
      <c r="GG2394" s="4"/>
      <c r="GH2394" s="4"/>
      <c r="GI2394" s="4"/>
      <c r="GJ2394" s="4"/>
      <c r="GK2394" s="4"/>
      <c r="GL2394" s="4"/>
      <c r="GM2394" s="4"/>
      <c r="GN2394" s="4"/>
      <c r="GO2394" s="4"/>
      <c r="GP2394" s="4"/>
      <c r="GQ2394" s="4"/>
      <c r="GR2394" s="4"/>
      <c r="GS2394" s="4"/>
      <c r="GT2394" s="4"/>
      <c r="GU2394" s="4"/>
      <c r="GV2394" s="4"/>
      <c r="GW2394" s="4"/>
      <c r="GX2394" s="4"/>
      <c r="GY2394" s="4"/>
      <c r="GZ2394" s="4"/>
      <c r="HA2394" s="4"/>
      <c r="HB2394" s="4"/>
      <c r="HC2394" s="4"/>
      <c r="HD2394" s="4"/>
      <c r="HE2394" s="4"/>
    </row>
    <row r="2395">
      <c r="A2395" s="2" t="s">
        <v>11099</v>
      </c>
      <c r="B2395" s="2" t="s">
        <v>970</v>
      </c>
      <c r="C2395" s="2" t="s">
        <v>2217</v>
      </c>
      <c r="D2395" s="2" t="s">
        <v>971</v>
      </c>
      <c r="E2395" s="2" t="s">
        <v>972</v>
      </c>
      <c r="F2395" s="2" t="s">
        <v>11100</v>
      </c>
      <c r="G2395" s="2" t="s">
        <v>11100</v>
      </c>
      <c r="H2395" s="2" t="s">
        <v>11100</v>
      </c>
      <c r="I2395" s="2" t="s">
        <v>11101</v>
      </c>
      <c r="J2395" s="2" t="s">
        <v>1966</v>
      </c>
      <c r="K2395" s="2" t="s">
        <v>265</v>
      </c>
      <c r="L2395" s="3">
        <v>27.23</v>
      </c>
      <c r="M2395" s="3">
        <v>28.59</v>
      </c>
      <c r="N2395" s="3">
        <v>79.99</v>
      </c>
      <c r="O2395" s="2" t="s">
        <v>240</v>
      </c>
      <c r="P2395" s="2" t="s">
        <v>1012</v>
      </c>
      <c r="Q2395" s="2" t="s">
        <v>234</v>
      </c>
      <c r="R2395" s="2" t="s">
        <v>228</v>
      </c>
      <c r="S2395" s="2" t="s">
        <v>228</v>
      </c>
      <c r="T2395" s="2" t="s">
        <v>228</v>
      </c>
      <c r="U2395" s="2" t="s">
        <v>416</v>
      </c>
      <c r="V2395" s="2" t="s">
        <v>1156</v>
      </c>
      <c r="W2395" s="2" t="s">
        <v>417</v>
      </c>
      <c r="X2395" s="2" t="s">
        <v>228</v>
      </c>
      <c r="Y2395" s="2" t="s">
        <v>2393</v>
      </c>
      <c r="Z2395" s="4">
        <v>1</v>
      </c>
      <c r="AA2395" s="4">
        <f>=ROUNDDOWN(0.333333333333333,0)</f>
      </c>
      <c r="AB2395" s="5">
        <v>3</v>
      </c>
      <c r="AC2395" s="2" t="s">
        <v>228</v>
      </c>
      <c r="AD2395" s="4"/>
      <c r="AE2395" s="4"/>
      <c r="AF2395" s="6">
        <v>65</v>
      </c>
      <c r="AG2395" s="6"/>
      <c r="AH2395" s="7">
        <v>0</v>
      </c>
      <c r="AI2395" s="4"/>
      <c r="AJ2395" s="4">
        <f>=ROUNDDOWN({0},0)</f>
      </c>
      <c r="AK2395" s="5"/>
      <c r="AL2395" s="2" t="s">
        <v>228</v>
      </c>
      <c r="AM2395" s="4"/>
      <c r="AN2395" s="4"/>
      <c r="AO2395" s="7"/>
      <c r="AP2395" s="4"/>
      <c r="AQ2395" s="8"/>
      <c r="AR2395" s="4"/>
      <c r="AS2395" s="8"/>
      <c r="AT2395" s="7"/>
      <c r="AU2395" s="7"/>
      <c r="AV2395" s="4"/>
      <c r="AW2395" s="8"/>
      <c r="AX2395" s="4"/>
      <c r="AY2395" s="8"/>
      <c r="AZ2395" s="7"/>
      <c r="BA2395" s="7"/>
      <c r="BB2395" s="7"/>
      <c r="BC2395" s="4" t="s">
        <v>228</v>
      </c>
      <c r="BD2395" s="8" t="s">
        <v>228</v>
      </c>
      <c r="BE2395" s="4" t="s">
        <v>228</v>
      </c>
      <c r="BF2395" s="8" t="s">
        <v>228</v>
      </c>
      <c r="BG2395" s="7" t="s">
        <v>228</v>
      </c>
      <c r="BH2395" s="7" t="s">
        <v>228</v>
      </c>
      <c r="BI2395" s="7"/>
      <c r="BJ2395" s="4"/>
      <c r="BK2395" s="8"/>
      <c r="BL2395" s="2" t="s">
        <v>2986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11102</v>
      </c>
      <c r="BV2395" s="2" t="s">
        <v>228</v>
      </c>
      <c r="BW2395" s="2" t="s">
        <v>228</v>
      </c>
      <c r="BX2395" s="2" t="s">
        <v>273</v>
      </c>
      <c r="BY2395" s="2" t="s">
        <v>274</v>
      </c>
      <c r="BZ2395" s="2" t="s">
        <v>240</v>
      </c>
      <c r="CA2395" s="2" t="s">
        <v>1963</v>
      </c>
      <c r="CB2395" s="2" t="s">
        <v>846</v>
      </c>
      <c r="CC2395" s="2" t="s">
        <v>241</v>
      </c>
      <c r="CD2395" s="2" t="s">
        <v>228</v>
      </c>
      <c r="CE2395" s="4">
        <v>1</v>
      </c>
      <c r="CF2395" s="4"/>
      <c r="CG2395" s="4"/>
      <c r="CH2395" s="4"/>
      <c r="CI2395" s="4"/>
      <c r="CJ2395" s="4"/>
      <c r="CK2395" s="4"/>
      <c r="CL2395" s="4"/>
      <c r="CM2395" s="4"/>
      <c r="CN2395" s="4"/>
      <c r="CO2395" s="4"/>
      <c r="CP2395" s="4"/>
      <c r="CQ2395" s="4"/>
      <c r="CR2395" s="4"/>
      <c r="CS2395" s="4"/>
      <c r="CT2395" s="4"/>
      <c r="CU2395" s="4"/>
      <c r="CV2395" s="4"/>
      <c r="CW2395" s="4"/>
      <c r="CX2395" s="4"/>
      <c r="CY2395" s="4"/>
      <c r="CZ2395" s="4"/>
      <c r="DA2395" s="4"/>
      <c r="DB2395" s="4"/>
      <c r="DC2395" s="4"/>
      <c r="DD2395" s="4"/>
      <c r="DE2395" s="4"/>
      <c r="DF2395" s="4"/>
      <c r="DG2395" s="4"/>
      <c r="DH2395" s="4"/>
      <c r="DI2395" s="4"/>
      <c r="DJ2395" s="4"/>
      <c r="DK2395" s="4"/>
      <c r="DL2395" s="4"/>
      <c r="DM2395" s="4"/>
      <c r="DN2395" s="4"/>
      <c r="DO2395" s="4"/>
      <c r="DP2395" s="4"/>
      <c r="DQ2395" s="4"/>
      <c r="DR2395" s="4"/>
      <c r="DS2395" s="4"/>
      <c r="DT2395" s="4"/>
      <c r="DU2395" s="4"/>
      <c r="DV2395" s="4"/>
      <c r="DW2395" s="4"/>
      <c r="DX2395" s="4"/>
      <c r="DY2395" s="4"/>
      <c r="DZ2395" s="4"/>
      <c r="EA2395" s="4"/>
      <c r="EB2395" s="4"/>
      <c r="EC2395" s="4"/>
      <c r="ED2395" s="4"/>
      <c r="EE2395" s="4"/>
      <c r="EF2395" s="4"/>
      <c r="EG2395" s="4"/>
      <c r="EH2395" s="4"/>
      <c r="EI2395" s="4"/>
      <c r="EJ2395" s="4"/>
      <c r="EK2395" s="4"/>
      <c r="EL2395" s="4"/>
      <c r="EM2395" s="4"/>
      <c r="EN2395" s="4"/>
      <c r="EO2395" s="4"/>
      <c r="EP2395" s="4"/>
      <c r="EQ2395" s="4"/>
      <c r="ER2395" s="4"/>
      <c r="ES2395" s="4"/>
      <c r="ET2395" s="4"/>
      <c r="EU2395" s="4"/>
      <c r="EV2395" s="4"/>
      <c r="EW2395" s="4"/>
      <c r="EX2395" s="4"/>
      <c r="EY2395" s="4"/>
      <c r="EZ2395" s="4"/>
      <c r="FA2395" s="4"/>
      <c r="FB2395" s="4"/>
      <c r="FC2395" s="4"/>
      <c r="FD2395" s="4"/>
      <c r="FE2395" s="4"/>
      <c r="FF2395" s="4"/>
      <c r="FG2395" s="4"/>
      <c r="FH2395" s="4"/>
      <c r="FI2395" s="4"/>
      <c r="FJ2395" s="4"/>
      <c r="FK2395" s="4"/>
      <c r="FL2395" s="4"/>
      <c r="FM2395" s="4"/>
      <c r="FN2395" s="4"/>
      <c r="FO2395" s="4"/>
      <c r="FP2395" s="4"/>
      <c r="FQ2395" s="4"/>
      <c r="FR2395" s="4"/>
      <c r="FS2395" s="4"/>
      <c r="FT2395" s="4"/>
      <c r="FU2395" s="4"/>
      <c r="FV2395" s="4"/>
      <c r="FW2395" s="4"/>
      <c r="FX2395" s="4"/>
      <c r="FY2395" s="4"/>
      <c r="FZ2395" s="4"/>
      <c r="GA2395" s="4"/>
      <c r="GB2395" s="4"/>
      <c r="GC2395" s="4"/>
      <c r="GD2395" s="4"/>
      <c r="GE2395" s="4"/>
      <c r="GF2395" s="4"/>
      <c r="GG2395" s="4"/>
      <c r="GH2395" s="4"/>
      <c r="GI2395" s="4"/>
      <c r="GJ2395" s="4"/>
      <c r="GK2395" s="4"/>
      <c r="GL2395" s="4"/>
      <c r="GM2395" s="4"/>
      <c r="GN2395" s="4"/>
      <c r="GO2395" s="4"/>
      <c r="GP2395" s="4"/>
      <c r="GQ2395" s="4"/>
      <c r="GR2395" s="4"/>
      <c r="GS2395" s="4"/>
      <c r="GT2395" s="4"/>
      <c r="GU2395" s="4"/>
      <c r="GV2395" s="4"/>
      <c r="GW2395" s="4"/>
      <c r="GX2395" s="4"/>
      <c r="GY2395" s="4"/>
      <c r="GZ2395" s="4"/>
      <c r="HA2395" s="4"/>
      <c r="HB2395" s="4"/>
      <c r="HC2395" s="4"/>
      <c r="HD2395" s="4"/>
      <c r="HE2395" s="4"/>
    </row>
    <row r="2396">
      <c r="A2396" s="2" t="s">
        <v>11103</v>
      </c>
      <c r="B2396" s="2" t="s">
        <v>970</v>
      </c>
      <c r="C2396" s="2" t="s">
        <v>2217</v>
      </c>
      <c r="D2396" s="2" t="s">
        <v>971</v>
      </c>
      <c r="E2396" s="2" t="s">
        <v>972</v>
      </c>
      <c r="F2396" s="2" t="s">
        <v>11100</v>
      </c>
      <c r="G2396" s="2" t="s">
        <v>11100</v>
      </c>
      <c r="H2396" s="2" t="s">
        <v>11100</v>
      </c>
      <c r="I2396" s="2" t="s">
        <v>11101</v>
      </c>
      <c r="J2396" s="2" t="s">
        <v>1966</v>
      </c>
      <c r="K2396" s="2" t="s">
        <v>3067</v>
      </c>
      <c r="L2396" s="3">
        <v>27.23</v>
      </c>
      <c r="M2396" s="3">
        <v>28.59</v>
      </c>
      <c r="N2396" s="3">
        <v>79.99</v>
      </c>
      <c r="O2396" s="2" t="s">
        <v>240</v>
      </c>
      <c r="P2396" s="2" t="s">
        <v>1012</v>
      </c>
      <c r="Q2396" s="2" t="s">
        <v>234</v>
      </c>
      <c r="R2396" s="2" t="s">
        <v>228</v>
      </c>
      <c r="S2396" s="2" t="s">
        <v>228</v>
      </c>
      <c r="T2396" s="2" t="s">
        <v>228</v>
      </c>
      <c r="U2396" s="2" t="s">
        <v>416</v>
      </c>
      <c r="V2396" s="2" t="s">
        <v>1156</v>
      </c>
      <c r="W2396" s="2" t="s">
        <v>417</v>
      </c>
      <c r="X2396" s="2" t="s">
        <v>228</v>
      </c>
      <c r="Y2396" s="2" t="s">
        <v>2393</v>
      </c>
      <c r="Z2396" s="4">
        <v>51</v>
      </c>
      <c r="AA2396" s="4">
        <f>=ROUNDDOWN(25.5,0)</f>
      </c>
      <c r="AB2396" s="5">
        <v>2</v>
      </c>
      <c r="AC2396" s="2" t="s">
        <v>228</v>
      </c>
      <c r="AD2396" s="4"/>
      <c r="AE2396" s="4"/>
      <c r="AF2396" s="6">
        <v>65</v>
      </c>
      <c r="AG2396" s="6"/>
      <c r="AH2396" s="7">
        <v>1</v>
      </c>
      <c r="AI2396" s="4"/>
      <c r="AJ2396" s="4">
        <f>=ROUNDDOWN({0},0)</f>
      </c>
      <c r="AK2396" s="5"/>
      <c r="AL2396" s="2" t="s">
        <v>228</v>
      </c>
      <c r="AM2396" s="4"/>
      <c r="AN2396" s="4"/>
      <c r="AO2396" s="7"/>
      <c r="AP2396" s="4"/>
      <c r="AQ2396" s="8"/>
      <c r="AR2396" s="4"/>
      <c r="AS2396" s="8"/>
      <c r="AT2396" s="7"/>
      <c r="AU2396" s="7"/>
      <c r="AV2396" s="4" t="s">
        <v>228</v>
      </c>
      <c r="AW2396" s="8" t="s">
        <v>228</v>
      </c>
      <c r="AX2396" s="4" t="s">
        <v>228</v>
      </c>
      <c r="AY2396" s="8" t="s">
        <v>228</v>
      </c>
      <c r="AZ2396" s="7" t="s">
        <v>228</v>
      </c>
      <c r="BA2396" s="7" t="s">
        <v>228</v>
      </c>
      <c r="BB2396" s="7"/>
      <c r="BC2396" s="4" t="s">
        <v>228</v>
      </c>
      <c r="BD2396" s="8" t="s">
        <v>228</v>
      </c>
      <c r="BE2396" s="4" t="s">
        <v>228</v>
      </c>
      <c r="BF2396" s="8" t="s">
        <v>228</v>
      </c>
      <c r="BG2396" s="7" t="s">
        <v>228</v>
      </c>
      <c r="BH2396" s="7" t="s">
        <v>228</v>
      </c>
      <c r="BI2396" s="7"/>
      <c r="BJ2396" s="4"/>
      <c r="BK2396" s="8"/>
      <c r="BL2396" s="2" t="s">
        <v>228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11104</v>
      </c>
      <c r="BV2396" s="2" t="s">
        <v>228</v>
      </c>
      <c r="BW2396" s="2" t="s">
        <v>228</v>
      </c>
      <c r="BX2396" s="2" t="s">
        <v>273</v>
      </c>
      <c r="BY2396" s="2" t="s">
        <v>274</v>
      </c>
      <c r="BZ2396" s="2" t="s">
        <v>240</v>
      </c>
      <c r="CA2396" s="2" t="s">
        <v>1963</v>
      </c>
      <c r="CB2396" s="2" t="s">
        <v>3296</v>
      </c>
      <c r="CC2396" s="2" t="s">
        <v>241</v>
      </c>
      <c r="CD2396" s="2" t="s">
        <v>228</v>
      </c>
      <c r="CE2396" s="4">
        <v>51</v>
      </c>
      <c r="CF2396" s="4"/>
      <c r="CG2396" s="4"/>
      <c r="CH2396" s="4"/>
      <c r="CI2396" s="4"/>
      <c r="CJ2396" s="4"/>
      <c r="CK2396" s="4"/>
      <c r="CL2396" s="4"/>
      <c r="CM2396" s="4"/>
      <c r="CN2396" s="4"/>
      <c r="CO2396" s="4"/>
      <c r="CP2396" s="4"/>
      <c r="CQ2396" s="4"/>
      <c r="CR2396" s="4"/>
      <c r="CS2396" s="4"/>
      <c r="CT2396" s="4"/>
      <c r="CU2396" s="4"/>
      <c r="CV2396" s="4"/>
      <c r="CW2396" s="4"/>
      <c r="CX2396" s="4"/>
      <c r="CY2396" s="4"/>
      <c r="CZ2396" s="4"/>
      <c r="DA2396" s="4"/>
      <c r="DB2396" s="4"/>
      <c r="DC2396" s="4"/>
      <c r="DD2396" s="4"/>
      <c r="DE2396" s="4"/>
      <c r="DF2396" s="4"/>
      <c r="DG2396" s="4"/>
      <c r="DH2396" s="4"/>
      <c r="DI2396" s="4"/>
      <c r="DJ2396" s="4"/>
      <c r="DK2396" s="4"/>
      <c r="DL2396" s="4"/>
      <c r="DM2396" s="4"/>
      <c r="DN2396" s="4"/>
      <c r="DO2396" s="4"/>
      <c r="DP2396" s="4"/>
      <c r="DQ2396" s="4"/>
      <c r="DR2396" s="4"/>
      <c r="DS2396" s="4"/>
      <c r="DT2396" s="4"/>
      <c r="DU2396" s="4"/>
      <c r="DV2396" s="4"/>
      <c r="DW2396" s="4"/>
      <c r="DX2396" s="4"/>
      <c r="DY2396" s="4"/>
      <c r="DZ2396" s="4"/>
      <c r="EA2396" s="4"/>
      <c r="EB2396" s="4"/>
      <c r="EC2396" s="4"/>
      <c r="ED2396" s="4"/>
      <c r="EE2396" s="4"/>
      <c r="EF2396" s="4"/>
      <c r="EG2396" s="4"/>
      <c r="EH2396" s="4"/>
      <c r="EI2396" s="4"/>
      <c r="EJ2396" s="4"/>
      <c r="EK2396" s="4"/>
      <c r="EL2396" s="4"/>
      <c r="EM2396" s="4"/>
      <c r="EN2396" s="4"/>
      <c r="EO2396" s="4"/>
      <c r="EP2396" s="4"/>
      <c r="EQ2396" s="4"/>
      <c r="ER2396" s="4"/>
      <c r="ES2396" s="4"/>
      <c r="ET2396" s="4"/>
      <c r="EU2396" s="4"/>
      <c r="EV2396" s="4"/>
      <c r="EW2396" s="4"/>
      <c r="EX2396" s="4"/>
      <c r="EY2396" s="4"/>
      <c r="EZ2396" s="4"/>
      <c r="FA2396" s="4"/>
      <c r="FB2396" s="4"/>
      <c r="FC2396" s="4"/>
      <c r="FD2396" s="4"/>
      <c r="FE2396" s="4"/>
      <c r="FF2396" s="4"/>
      <c r="FG2396" s="4"/>
      <c r="FH2396" s="4"/>
      <c r="FI2396" s="4"/>
      <c r="FJ2396" s="4"/>
      <c r="FK2396" s="4"/>
      <c r="FL2396" s="4"/>
      <c r="FM2396" s="4"/>
      <c r="FN2396" s="4"/>
      <c r="FO2396" s="4"/>
      <c r="FP2396" s="4"/>
      <c r="FQ2396" s="4"/>
      <c r="FR2396" s="4"/>
      <c r="FS2396" s="4"/>
      <c r="FT2396" s="4"/>
      <c r="FU2396" s="4"/>
      <c r="FV2396" s="4"/>
      <c r="FW2396" s="4"/>
      <c r="FX2396" s="4"/>
      <c r="FY2396" s="4"/>
      <c r="FZ2396" s="4"/>
      <c r="GA2396" s="4"/>
      <c r="GB2396" s="4"/>
      <c r="GC2396" s="4"/>
      <c r="GD2396" s="4"/>
      <c r="GE2396" s="4"/>
      <c r="GF2396" s="4"/>
      <c r="GG2396" s="4"/>
      <c r="GH2396" s="4"/>
      <c r="GI2396" s="4"/>
      <c r="GJ2396" s="4"/>
      <c r="GK2396" s="4"/>
      <c r="GL2396" s="4"/>
      <c r="GM2396" s="4"/>
      <c r="GN2396" s="4"/>
      <c r="GO2396" s="4"/>
      <c r="GP2396" s="4"/>
      <c r="GQ2396" s="4"/>
      <c r="GR2396" s="4"/>
      <c r="GS2396" s="4"/>
      <c r="GT2396" s="4"/>
      <c r="GU2396" s="4"/>
      <c r="GV2396" s="4"/>
      <c r="GW2396" s="4"/>
      <c r="GX2396" s="4"/>
      <c r="GY2396" s="4"/>
      <c r="GZ2396" s="4"/>
      <c r="HA2396" s="4"/>
      <c r="HB2396" s="4"/>
      <c r="HC2396" s="4"/>
      <c r="HD2396" s="4"/>
      <c r="HE2396" s="4"/>
    </row>
    <row r="2397">
      <c r="A2397" s="2" t="s">
        <v>11105</v>
      </c>
      <c r="B2397" s="2" t="s">
        <v>970</v>
      </c>
      <c r="C2397" s="2" t="s">
        <v>2217</v>
      </c>
      <c r="D2397" s="2" t="s">
        <v>971</v>
      </c>
      <c r="E2397" s="2" t="s">
        <v>972</v>
      </c>
      <c r="F2397" s="2" t="s">
        <v>11100</v>
      </c>
      <c r="G2397" s="2" t="s">
        <v>11100</v>
      </c>
      <c r="H2397" s="2" t="s">
        <v>11100</v>
      </c>
      <c r="I2397" s="2" t="s">
        <v>11101</v>
      </c>
      <c r="J2397" s="2" t="s">
        <v>3672</v>
      </c>
      <c r="K2397" s="2" t="s">
        <v>3067</v>
      </c>
      <c r="L2397" s="3">
        <v>23.83</v>
      </c>
      <c r="M2397" s="3">
        <v>25.02</v>
      </c>
      <c r="N2397" s="3">
        <v>69.99</v>
      </c>
      <c r="O2397" s="2" t="s">
        <v>240</v>
      </c>
      <c r="P2397" s="2" t="s">
        <v>1012</v>
      </c>
      <c r="Q2397" s="2" t="s">
        <v>234</v>
      </c>
      <c r="R2397" s="2" t="s">
        <v>228</v>
      </c>
      <c r="S2397" s="2" t="s">
        <v>228</v>
      </c>
      <c r="T2397" s="2" t="s">
        <v>228</v>
      </c>
      <c r="U2397" s="2" t="s">
        <v>416</v>
      </c>
      <c r="V2397" s="2" t="s">
        <v>1156</v>
      </c>
      <c r="W2397" s="2" t="s">
        <v>417</v>
      </c>
      <c r="X2397" s="2" t="s">
        <v>228</v>
      </c>
      <c r="Y2397" s="2" t="s">
        <v>2393</v>
      </c>
      <c r="Z2397" s="4">
        <v>95</v>
      </c>
      <c r="AA2397" s="4">
        <f>=ROUNDDOWN(31.6666666666667,0)</f>
      </c>
      <c r="AB2397" s="5">
        <v>3</v>
      </c>
      <c r="AC2397" s="2" t="s">
        <v>228</v>
      </c>
      <c r="AD2397" s="4"/>
      <c r="AE2397" s="4"/>
      <c r="AF2397" s="6">
        <v>65</v>
      </c>
      <c r="AG2397" s="6"/>
      <c r="AH2397" s="7">
        <v>1</v>
      </c>
      <c r="AI2397" s="4"/>
      <c r="AJ2397" s="4">
        <f>=ROUNDDOWN({0},0)</f>
      </c>
      <c r="AK2397" s="5"/>
      <c r="AL2397" s="2" t="s">
        <v>228</v>
      </c>
      <c r="AM2397" s="4"/>
      <c r="AN2397" s="4"/>
      <c r="AO2397" s="7"/>
      <c r="AP2397" s="4"/>
      <c r="AQ2397" s="8"/>
      <c r="AR2397" s="4"/>
      <c r="AS2397" s="8"/>
      <c r="AT2397" s="7"/>
      <c r="AU2397" s="7"/>
      <c r="AV2397" s="4" t="s">
        <v>228</v>
      </c>
      <c r="AW2397" s="8" t="s">
        <v>228</v>
      </c>
      <c r="AX2397" s="4" t="s">
        <v>228</v>
      </c>
      <c r="AY2397" s="8" t="s">
        <v>228</v>
      </c>
      <c r="AZ2397" s="7" t="s">
        <v>228</v>
      </c>
      <c r="BA2397" s="7" t="s">
        <v>228</v>
      </c>
      <c r="BB2397" s="7"/>
      <c r="BC2397" s="4" t="s">
        <v>228</v>
      </c>
      <c r="BD2397" s="8" t="s">
        <v>228</v>
      </c>
      <c r="BE2397" s="4" t="s">
        <v>228</v>
      </c>
      <c r="BF2397" s="8" t="s">
        <v>228</v>
      </c>
      <c r="BG2397" s="7" t="s">
        <v>228</v>
      </c>
      <c r="BH2397" s="7" t="s">
        <v>228</v>
      </c>
      <c r="BI2397" s="7"/>
      <c r="BJ2397" s="4">
        <v>4</v>
      </c>
      <c r="BK2397" s="8">
        <v>90.08</v>
      </c>
      <c r="BL2397" s="2" t="s">
        <v>1933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11106</v>
      </c>
      <c r="BV2397" s="2" t="s">
        <v>228</v>
      </c>
      <c r="BW2397" s="2" t="s">
        <v>228</v>
      </c>
      <c r="BX2397" s="2" t="s">
        <v>273</v>
      </c>
      <c r="BY2397" s="2" t="s">
        <v>274</v>
      </c>
      <c r="BZ2397" s="2" t="s">
        <v>240</v>
      </c>
      <c r="CA2397" s="2" t="s">
        <v>1963</v>
      </c>
      <c r="CB2397" s="2" t="s">
        <v>3414</v>
      </c>
      <c r="CC2397" s="2" t="s">
        <v>241</v>
      </c>
      <c r="CD2397" s="2" t="s">
        <v>228</v>
      </c>
      <c r="CE2397" s="4">
        <v>95</v>
      </c>
      <c r="CF2397" s="4"/>
      <c r="CG2397" s="4"/>
      <c r="CH2397" s="4"/>
      <c r="CI2397" s="4"/>
      <c r="CJ2397" s="4"/>
      <c r="CK2397" s="4"/>
      <c r="CL2397" s="4"/>
      <c r="CM2397" s="4"/>
      <c r="CN2397" s="4"/>
      <c r="CO2397" s="4"/>
      <c r="CP2397" s="4"/>
      <c r="CQ2397" s="4"/>
      <c r="CR2397" s="4"/>
      <c r="CS2397" s="4"/>
      <c r="CT2397" s="4"/>
      <c r="CU2397" s="4"/>
      <c r="CV2397" s="4"/>
      <c r="CW2397" s="4"/>
      <c r="CX2397" s="4"/>
      <c r="CY2397" s="4"/>
      <c r="CZ2397" s="4"/>
      <c r="DA2397" s="4"/>
      <c r="DB2397" s="4"/>
      <c r="DC2397" s="4"/>
      <c r="DD2397" s="4"/>
      <c r="DE2397" s="4"/>
      <c r="DF2397" s="4"/>
      <c r="DG2397" s="4"/>
      <c r="DH2397" s="4"/>
      <c r="DI2397" s="4"/>
      <c r="DJ2397" s="4"/>
      <c r="DK2397" s="4"/>
      <c r="DL2397" s="4"/>
      <c r="DM2397" s="4"/>
      <c r="DN2397" s="4"/>
      <c r="DO2397" s="4"/>
      <c r="DP2397" s="4"/>
      <c r="DQ2397" s="4"/>
      <c r="DR2397" s="4"/>
      <c r="DS2397" s="4"/>
      <c r="DT2397" s="4"/>
      <c r="DU2397" s="4"/>
      <c r="DV2397" s="4"/>
      <c r="DW2397" s="4"/>
      <c r="DX2397" s="4"/>
      <c r="DY2397" s="4"/>
      <c r="DZ2397" s="4"/>
      <c r="EA2397" s="4"/>
      <c r="EB2397" s="4"/>
      <c r="EC2397" s="4"/>
      <c r="ED2397" s="4"/>
      <c r="EE2397" s="4"/>
      <c r="EF2397" s="4"/>
      <c r="EG2397" s="4"/>
      <c r="EH2397" s="4"/>
      <c r="EI2397" s="4"/>
      <c r="EJ2397" s="4"/>
      <c r="EK2397" s="4"/>
      <c r="EL2397" s="4"/>
      <c r="EM2397" s="4"/>
      <c r="EN2397" s="4"/>
      <c r="EO2397" s="4"/>
      <c r="EP2397" s="4"/>
      <c r="EQ2397" s="4"/>
      <c r="ER2397" s="4"/>
      <c r="ES2397" s="4"/>
      <c r="ET2397" s="4"/>
      <c r="EU2397" s="4"/>
      <c r="EV2397" s="4"/>
      <c r="EW2397" s="4"/>
      <c r="EX2397" s="4"/>
      <c r="EY2397" s="4"/>
      <c r="EZ2397" s="4"/>
      <c r="FA2397" s="4"/>
      <c r="FB2397" s="4"/>
      <c r="FC2397" s="4"/>
      <c r="FD2397" s="4"/>
      <c r="FE2397" s="4"/>
      <c r="FF2397" s="4"/>
      <c r="FG2397" s="4"/>
      <c r="FH2397" s="4"/>
      <c r="FI2397" s="4"/>
      <c r="FJ2397" s="4"/>
      <c r="FK2397" s="4"/>
      <c r="FL2397" s="4"/>
      <c r="FM2397" s="4"/>
      <c r="FN2397" s="4"/>
      <c r="FO2397" s="4"/>
      <c r="FP2397" s="4"/>
      <c r="FQ2397" s="4"/>
      <c r="FR2397" s="4"/>
      <c r="FS2397" s="4"/>
      <c r="FT2397" s="4"/>
      <c r="FU2397" s="4"/>
      <c r="FV2397" s="4"/>
      <c r="FW2397" s="4"/>
      <c r="FX2397" s="4"/>
      <c r="FY2397" s="4"/>
      <c r="FZ2397" s="4"/>
      <c r="GA2397" s="4"/>
      <c r="GB2397" s="4"/>
      <c r="GC2397" s="4"/>
      <c r="GD2397" s="4"/>
      <c r="GE2397" s="4"/>
      <c r="GF2397" s="4"/>
      <c r="GG2397" s="4"/>
      <c r="GH2397" s="4"/>
      <c r="GI2397" s="4"/>
      <c r="GJ2397" s="4"/>
      <c r="GK2397" s="4"/>
      <c r="GL2397" s="4"/>
      <c r="GM2397" s="4"/>
      <c r="GN2397" s="4"/>
      <c r="GO2397" s="4"/>
      <c r="GP2397" s="4"/>
      <c r="GQ2397" s="4"/>
      <c r="GR2397" s="4"/>
      <c r="GS2397" s="4"/>
      <c r="GT2397" s="4"/>
      <c r="GU2397" s="4"/>
      <c r="GV2397" s="4"/>
      <c r="GW2397" s="4"/>
      <c r="GX2397" s="4"/>
      <c r="GY2397" s="4"/>
      <c r="GZ2397" s="4"/>
      <c r="HA2397" s="4"/>
      <c r="HB2397" s="4"/>
      <c r="HC2397" s="4"/>
      <c r="HD2397" s="4"/>
      <c r="HE2397" s="4"/>
    </row>
    <row r="2398">
      <c r="A2398" s="2" t="s">
        <v>11107</v>
      </c>
      <c r="B2398" s="2" t="s">
        <v>223</v>
      </c>
      <c r="C2398" s="2" t="s">
        <v>1261</v>
      </c>
      <c r="D2398" s="2" t="s">
        <v>1112</v>
      </c>
      <c r="E2398" s="2" t="s">
        <v>1113</v>
      </c>
      <c r="F2398" s="2" t="s">
        <v>11108</v>
      </c>
      <c r="G2398" s="2" t="s">
        <v>228</v>
      </c>
      <c r="H2398" s="2" t="s">
        <v>228</v>
      </c>
      <c r="I2398" s="2" t="s">
        <v>11109</v>
      </c>
      <c r="J2398" s="2" t="s">
        <v>264</v>
      </c>
      <c r="K2398" s="2" t="s">
        <v>249</v>
      </c>
      <c r="L2398" s="3">
        <v>25.3</v>
      </c>
      <c r="M2398" s="3">
        <v>26.56</v>
      </c>
      <c r="N2398" s="3">
        <v>54.99</v>
      </c>
      <c r="O2398" s="2" t="s">
        <v>240</v>
      </c>
      <c r="P2398" s="2" t="s">
        <v>266</v>
      </c>
      <c r="Q2398" s="2" t="s">
        <v>234</v>
      </c>
      <c r="R2398" s="2" t="s">
        <v>228</v>
      </c>
      <c r="S2398" s="2" t="s">
        <v>11110</v>
      </c>
      <c r="T2398" s="2" t="s">
        <v>5213</v>
      </c>
      <c r="U2398" s="2" t="s">
        <v>228</v>
      </c>
      <c r="V2398" s="2" t="s">
        <v>1438</v>
      </c>
      <c r="W2398" s="2" t="s">
        <v>1267</v>
      </c>
      <c r="X2398" s="2" t="s">
        <v>2834</v>
      </c>
      <c r="Y2398" s="2" t="s">
        <v>270</v>
      </c>
      <c r="Z2398" s="4">
        <v>180</v>
      </c>
      <c r="AA2398" s="4">
        <f>=ROUNDDOWN(20,0)</f>
      </c>
      <c r="AB2398" s="5">
        <v>9</v>
      </c>
      <c r="AC2398" s="2" t="s">
        <v>1516</v>
      </c>
      <c r="AD2398" s="4">
        <v>60</v>
      </c>
      <c r="AE2398" s="4">
        <v>140</v>
      </c>
      <c r="AF2398" s="6">
        <v>65</v>
      </c>
      <c r="AG2398" s="6"/>
      <c r="AH2398" s="7">
        <v>1</v>
      </c>
      <c r="AI2398" s="4"/>
      <c r="AJ2398" s="4">
        <f>=ROUNDDOWN({0},0)</f>
      </c>
      <c r="AK2398" s="5"/>
      <c r="AL2398" s="2" t="s">
        <v>228</v>
      </c>
      <c r="AM2398" s="4"/>
      <c r="AN2398" s="4"/>
      <c r="AO2398" s="7"/>
      <c r="AP2398" s="4"/>
      <c r="AQ2398" s="8"/>
      <c r="AR2398" s="4"/>
      <c r="AS2398" s="8"/>
      <c r="AT2398" s="7"/>
      <c r="AU2398" s="7"/>
      <c r="AV2398" s="4" t="s">
        <v>228</v>
      </c>
      <c r="AW2398" s="8" t="s">
        <v>228</v>
      </c>
      <c r="AX2398" s="4" t="s">
        <v>228</v>
      </c>
      <c r="AY2398" s="8" t="s">
        <v>228</v>
      </c>
      <c r="AZ2398" s="7" t="s">
        <v>228</v>
      </c>
      <c r="BA2398" s="7" t="s">
        <v>228</v>
      </c>
      <c r="BB2398" s="7"/>
      <c r="BC2398" s="4" t="s">
        <v>228</v>
      </c>
      <c r="BD2398" s="8" t="s">
        <v>228</v>
      </c>
      <c r="BE2398" s="4" t="s">
        <v>228</v>
      </c>
      <c r="BF2398" s="8" t="s">
        <v>228</v>
      </c>
      <c r="BG2398" s="7" t="s">
        <v>228</v>
      </c>
      <c r="BH2398" s="7" t="s">
        <v>228</v>
      </c>
      <c r="BI2398" s="7"/>
      <c r="BJ2398" s="4">
        <v>16</v>
      </c>
      <c r="BK2398" s="8">
        <v>470.87</v>
      </c>
      <c r="BL2398" s="2" t="s">
        <v>8942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11111</v>
      </c>
      <c r="BV2398" s="2" t="s">
        <v>228</v>
      </c>
      <c r="BW2398" s="2" t="s">
        <v>228</v>
      </c>
      <c r="BX2398" s="2" t="s">
        <v>273</v>
      </c>
      <c r="BY2398" s="2" t="s">
        <v>274</v>
      </c>
      <c r="BZ2398" s="2" t="s">
        <v>240</v>
      </c>
      <c r="CA2398" s="2" t="s">
        <v>275</v>
      </c>
      <c r="CB2398" s="2" t="s">
        <v>701</v>
      </c>
      <c r="CC2398" s="2" t="s">
        <v>241</v>
      </c>
      <c r="CD2398" s="2" t="s">
        <v>228</v>
      </c>
      <c r="CE2398" s="4">
        <v>180</v>
      </c>
      <c r="CF2398" s="4"/>
      <c r="CG2398" s="4"/>
      <c r="CH2398" s="4"/>
      <c r="CI2398" s="4"/>
      <c r="CJ2398" s="4"/>
      <c r="CK2398" s="4"/>
      <c r="CL2398" s="4"/>
      <c r="CM2398" s="4"/>
      <c r="CN2398" s="4"/>
      <c r="CO2398" s="4"/>
      <c r="CP2398" s="4"/>
      <c r="CQ2398" s="4"/>
      <c r="CR2398" s="4"/>
      <c r="CS2398" s="4"/>
      <c r="CT2398" s="4"/>
      <c r="CU2398" s="4"/>
      <c r="CV2398" s="4"/>
      <c r="CW2398" s="4"/>
      <c r="CX2398" s="4"/>
      <c r="CY2398" s="4"/>
      <c r="CZ2398" s="4"/>
      <c r="DA2398" s="4"/>
      <c r="DB2398" s="4"/>
      <c r="DC2398" s="4"/>
      <c r="DD2398" s="4"/>
      <c r="DE2398" s="4"/>
      <c r="DF2398" s="4"/>
      <c r="DG2398" s="4"/>
      <c r="DH2398" s="4"/>
      <c r="DI2398" s="4"/>
      <c r="DJ2398" s="4"/>
      <c r="DK2398" s="4"/>
      <c r="DL2398" s="4"/>
      <c r="DM2398" s="4"/>
      <c r="DN2398" s="4"/>
      <c r="DO2398" s="4"/>
      <c r="DP2398" s="4"/>
      <c r="DQ2398" s="4"/>
      <c r="DR2398" s="4"/>
      <c r="DS2398" s="4"/>
      <c r="DT2398" s="4"/>
      <c r="DU2398" s="4"/>
      <c r="DV2398" s="4"/>
      <c r="DW2398" s="4"/>
      <c r="DX2398" s="4"/>
      <c r="DY2398" s="4"/>
      <c r="DZ2398" s="4"/>
      <c r="EA2398" s="4"/>
      <c r="EB2398" s="4"/>
      <c r="EC2398" s="4"/>
      <c r="ED2398" s="4"/>
      <c r="EE2398" s="4"/>
      <c r="EF2398" s="4"/>
      <c r="EG2398" s="4">
        <v>60</v>
      </c>
      <c r="EH2398" s="4"/>
      <c r="EI2398" s="4"/>
      <c r="EJ2398" s="4"/>
      <c r="EK2398" s="4"/>
      <c r="EL2398" s="4"/>
      <c r="EM2398" s="4"/>
      <c r="EN2398" s="4"/>
      <c r="EO2398" s="4"/>
      <c r="EP2398" s="4"/>
      <c r="EQ2398" s="4"/>
      <c r="ER2398" s="4"/>
      <c r="ES2398" s="4"/>
      <c r="ET2398" s="4"/>
      <c r="EU2398" s="4"/>
      <c r="EV2398" s="4"/>
      <c r="EW2398" s="4">
        <v>30</v>
      </c>
      <c r="EX2398" s="4"/>
      <c r="EY2398" s="4"/>
      <c r="EZ2398" s="4"/>
      <c r="FA2398" s="4"/>
      <c r="FB2398" s="4"/>
      <c r="FC2398" s="4"/>
      <c r="FD2398" s="4"/>
      <c r="FE2398" s="4"/>
      <c r="FF2398" s="4"/>
      <c r="FG2398" s="4"/>
      <c r="FH2398" s="4"/>
      <c r="FI2398" s="4"/>
      <c r="FJ2398" s="4"/>
      <c r="FK2398" s="4"/>
      <c r="FL2398" s="4"/>
      <c r="FM2398" s="4"/>
      <c r="FN2398" s="4"/>
      <c r="FO2398" s="4"/>
      <c r="FP2398" s="4"/>
      <c r="FQ2398" s="4"/>
      <c r="FR2398" s="4"/>
      <c r="FS2398" s="4"/>
      <c r="FT2398" s="4"/>
      <c r="FU2398" s="4"/>
      <c r="FV2398" s="4"/>
      <c r="FW2398" s="4"/>
      <c r="FX2398" s="4"/>
      <c r="FY2398" s="4"/>
      <c r="FZ2398" s="4"/>
      <c r="GA2398" s="4"/>
      <c r="GB2398" s="4"/>
      <c r="GC2398" s="4"/>
      <c r="GD2398" s="4"/>
      <c r="GE2398" s="4"/>
      <c r="GF2398" s="4"/>
      <c r="GG2398" s="4"/>
      <c r="GH2398" s="4"/>
      <c r="GI2398" s="4"/>
      <c r="GJ2398" s="4"/>
      <c r="GK2398" s="4"/>
      <c r="GL2398" s="4"/>
      <c r="GM2398" s="4"/>
      <c r="GN2398" s="4">
        <v>50</v>
      </c>
      <c r="GO2398" s="4"/>
      <c r="GP2398" s="4"/>
      <c r="GQ2398" s="4"/>
      <c r="GR2398" s="4"/>
      <c r="GS2398" s="4"/>
      <c r="GT2398" s="4"/>
      <c r="GU2398" s="4"/>
      <c r="GV2398" s="4"/>
      <c r="GW2398" s="4"/>
      <c r="GX2398" s="4"/>
      <c r="GY2398" s="4"/>
      <c r="GZ2398" s="4"/>
      <c r="HA2398" s="4"/>
      <c r="HB2398" s="4"/>
      <c r="HC2398" s="4"/>
      <c r="HD2398" s="4"/>
      <c r="HE2398" s="4"/>
    </row>
    <row r="2399">
      <c r="A2399" s="2" t="s">
        <v>11112</v>
      </c>
      <c r="B2399" s="2" t="s">
        <v>223</v>
      </c>
      <c r="C2399" s="2" t="s">
        <v>1261</v>
      </c>
      <c r="D2399" s="2" t="s">
        <v>1112</v>
      </c>
      <c r="E2399" s="2" t="s">
        <v>1113</v>
      </c>
      <c r="F2399" s="2" t="s">
        <v>11108</v>
      </c>
      <c r="G2399" s="2" t="s">
        <v>228</v>
      </c>
      <c r="H2399" s="2" t="s">
        <v>228</v>
      </c>
      <c r="I2399" s="2" t="s">
        <v>11109</v>
      </c>
      <c r="J2399" s="2" t="s">
        <v>1189</v>
      </c>
      <c r="K2399" s="2" t="s">
        <v>249</v>
      </c>
      <c r="L2399" s="3">
        <v>34.5</v>
      </c>
      <c r="M2399" s="3">
        <v>36.22</v>
      </c>
      <c r="N2399" s="3">
        <v>74.99</v>
      </c>
      <c r="O2399" s="2" t="s">
        <v>240</v>
      </c>
      <c r="P2399" s="2" t="s">
        <v>266</v>
      </c>
      <c r="Q2399" s="2" t="s">
        <v>234</v>
      </c>
      <c r="R2399" s="2" t="s">
        <v>228</v>
      </c>
      <c r="S2399" s="2" t="s">
        <v>11110</v>
      </c>
      <c r="T2399" s="2" t="s">
        <v>5213</v>
      </c>
      <c r="U2399" s="2" t="s">
        <v>228</v>
      </c>
      <c r="V2399" s="2" t="s">
        <v>1438</v>
      </c>
      <c r="W2399" s="2" t="s">
        <v>1267</v>
      </c>
      <c r="X2399" s="2" t="s">
        <v>2834</v>
      </c>
      <c r="Y2399" s="2" t="s">
        <v>270</v>
      </c>
      <c r="Z2399" s="4">
        <v>121</v>
      </c>
      <c r="AA2399" s="4">
        <f>=ROUNDDOWN(3.55882352941176,0)</f>
      </c>
      <c r="AB2399" s="5">
        <v>34</v>
      </c>
      <c r="AC2399" s="2" t="s">
        <v>1516</v>
      </c>
      <c r="AD2399" s="4">
        <v>400</v>
      </c>
      <c r="AE2399" s="4">
        <v>790</v>
      </c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228</v>
      </c>
      <c r="AM2399" s="4"/>
      <c r="AN2399" s="4"/>
      <c r="AO2399" s="7"/>
      <c r="AP2399" s="4"/>
      <c r="AQ2399" s="8"/>
      <c r="AR2399" s="4"/>
      <c r="AS2399" s="8"/>
      <c r="AT2399" s="7"/>
      <c r="AU2399" s="7"/>
      <c r="AV2399" s="4" t="s">
        <v>228</v>
      </c>
      <c r="AW2399" s="8" t="s">
        <v>228</v>
      </c>
      <c r="AX2399" s="4" t="s">
        <v>228</v>
      </c>
      <c r="AY2399" s="8" t="s">
        <v>228</v>
      </c>
      <c r="AZ2399" s="7" t="s">
        <v>228</v>
      </c>
      <c r="BA2399" s="7" t="s">
        <v>228</v>
      </c>
      <c r="BB2399" s="7"/>
      <c r="BC2399" s="4" t="s">
        <v>228</v>
      </c>
      <c r="BD2399" s="8" t="s">
        <v>228</v>
      </c>
      <c r="BE2399" s="4" t="s">
        <v>228</v>
      </c>
      <c r="BF2399" s="8" t="s">
        <v>228</v>
      </c>
      <c r="BG2399" s="7" t="s">
        <v>228</v>
      </c>
      <c r="BH2399" s="7" t="s">
        <v>228</v>
      </c>
      <c r="BI2399" s="7"/>
      <c r="BJ2399" s="4">
        <v>67</v>
      </c>
      <c r="BK2399" s="8">
        <v>2748.76</v>
      </c>
      <c r="BL2399" s="2" t="s">
        <v>11113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11114</v>
      </c>
      <c r="BV2399" s="2" t="s">
        <v>228</v>
      </c>
      <c r="BW2399" s="2" t="s">
        <v>228</v>
      </c>
      <c r="BX2399" s="2" t="s">
        <v>273</v>
      </c>
      <c r="BY2399" s="2" t="s">
        <v>274</v>
      </c>
      <c r="BZ2399" s="2" t="s">
        <v>240</v>
      </c>
      <c r="CA2399" s="2" t="s">
        <v>275</v>
      </c>
      <c r="CB2399" s="2" t="s">
        <v>8808</v>
      </c>
      <c r="CC2399" s="2" t="s">
        <v>241</v>
      </c>
      <c r="CD2399" s="2" t="s">
        <v>228</v>
      </c>
      <c r="CE2399" s="4">
        <v>121</v>
      </c>
      <c r="CF2399" s="4"/>
      <c r="CG2399" s="4"/>
      <c r="CH2399" s="4"/>
      <c r="CI2399" s="4"/>
      <c r="CJ2399" s="4"/>
      <c r="CK2399" s="4"/>
      <c r="CL2399" s="4"/>
      <c r="CM2399" s="4"/>
      <c r="CN2399" s="4"/>
      <c r="CO2399" s="4"/>
      <c r="CP2399" s="4"/>
      <c r="CQ2399" s="4"/>
      <c r="CR2399" s="4"/>
      <c r="CS2399" s="4"/>
      <c r="CT2399" s="4"/>
      <c r="CU2399" s="4"/>
      <c r="CV2399" s="4"/>
      <c r="CW2399" s="4"/>
      <c r="CX2399" s="4"/>
      <c r="CY2399" s="4"/>
      <c r="CZ2399" s="4"/>
      <c r="DA2399" s="4"/>
      <c r="DB2399" s="4"/>
      <c r="DC2399" s="4"/>
      <c r="DD2399" s="4"/>
      <c r="DE2399" s="4"/>
      <c r="DF2399" s="4"/>
      <c r="DG2399" s="4"/>
      <c r="DH2399" s="4"/>
      <c r="DI2399" s="4"/>
      <c r="DJ2399" s="4"/>
      <c r="DK2399" s="4"/>
      <c r="DL2399" s="4"/>
      <c r="DM2399" s="4"/>
      <c r="DN2399" s="4"/>
      <c r="DO2399" s="4"/>
      <c r="DP2399" s="4"/>
      <c r="DQ2399" s="4"/>
      <c r="DR2399" s="4"/>
      <c r="DS2399" s="4"/>
      <c r="DT2399" s="4"/>
      <c r="DU2399" s="4"/>
      <c r="DV2399" s="4"/>
      <c r="DW2399" s="4"/>
      <c r="DX2399" s="4"/>
      <c r="DY2399" s="4"/>
      <c r="DZ2399" s="4"/>
      <c r="EA2399" s="4"/>
      <c r="EB2399" s="4"/>
      <c r="EC2399" s="4"/>
      <c r="ED2399" s="4"/>
      <c r="EE2399" s="4"/>
      <c r="EF2399" s="4"/>
      <c r="EG2399" s="4">
        <v>400</v>
      </c>
      <c r="EH2399" s="4"/>
      <c r="EI2399" s="4"/>
      <c r="EJ2399" s="4"/>
      <c r="EK2399" s="4"/>
      <c r="EL2399" s="4"/>
      <c r="EM2399" s="4"/>
      <c r="EN2399" s="4"/>
      <c r="EO2399" s="4"/>
      <c r="EP2399" s="4"/>
      <c r="EQ2399" s="4"/>
      <c r="ER2399" s="4"/>
      <c r="ES2399" s="4"/>
      <c r="ET2399" s="4"/>
      <c r="EU2399" s="4"/>
      <c r="EV2399" s="4"/>
      <c r="EW2399" s="4">
        <v>110</v>
      </c>
      <c r="EX2399" s="4"/>
      <c r="EY2399" s="4"/>
      <c r="EZ2399" s="4"/>
      <c r="FA2399" s="4"/>
      <c r="FB2399" s="4"/>
      <c r="FC2399" s="4"/>
      <c r="FD2399" s="4"/>
      <c r="FE2399" s="4"/>
      <c r="FF2399" s="4"/>
      <c r="FG2399" s="4"/>
      <c r="FH2399" s="4"/>
      <c r="FI2399" s="4"/>
      <c r="FJ2399" s="4"/>
      <c r="FK2399" s="4"/>
      <c r="FL2399" s="4"/>
      <c r="FM2399" s="4"/>
      <c r="FN2399" s="4"/>
      <c r="FO2399" s="4"/>
      <c r="FP2399" s="4"/>
      <c r="FQ2399" s="4"/>
      <c r="FR2399" s="4"/>
      <c r="FS2399" s="4"/>
      <c r="FT2399" s="4"/>
      <c r="FU2399" s="4"/>
      <c r="FV2399" s="4"/>
      <c r="FW2399" s="4"/>
      <c r="FX2399" s="4"/>
      <c r="FY2399" s="4"/>
      <c r="FZ2399" s="4"/>
      <c r="GA2399" s="4"/>
      <c r="GB2399" s="4"/>
      <c r="GC2399" s="4"/>
      <c r="GD2399" s="4"/>
      <c r="GE2399" s="4"/>
      <c r="GF2399" s="4"/>
      <c r="GG2399" s="4"/>
      <c r="GH2399" s="4"/>
      <c r="GI2399" s="4"/>
      <c r="GJ2399" s="4"/>
      <c r="GK2399" s="4"/>
      <c r="GL2399" s="4"/>
      <c r="GM2399" s="4"/>
      <c r="GN2399" s="4">
        <v>280</v>
      </c>
      <c r="GO2399" s="4"/>
      <c r="GP2399" s="4"/>
      <c r="GQ2399" s="4"/>
      <c r="GR2399" s="4"/>
      <c r="GS2399" s="4"/>
      <c r="GT2399" s="4"/>
      <c r="GU2399" s="4"/>
      <c r="GV2399" s="4"/>
      <c r="GW2399" s="4"/>
      <c r="GX2399" s="4"/>
      <c r="GY2399" s="4"/>
      <c r="GZ2399" s="4"/>
      <c r="HA2399" s="4"/>
      <c r="HB2399" s="4"/>
      <c r="HC2399" s="4"/>
      <c r="HD2399" s="4"/>
      <c r="HE2399" s="4"/>
    </row>
    <row r="2400">
      <c r="A2400" s="2" t="s">
        <v>11115</v>
      </c>
      <c r="B2400" s="2" t="s">
        <v>834</v>
      </c>
      <c r="C2400" s="2" t="s">
        <v>835</v>
      </c>
      <c r="D2400" s="2" t="s">
        <v>1028</v>
      </c>
      <c r="E2400" s="2" t="s">
        <v>1029</v>
      </c>
      <c r="F2400" s="2" t="s">
        <v>4819</v>
      </c>
      <c r="G2400" s="2" t="s">
        <v>4819</v>
      </c>
      <c r="H2400" s="2" t="s">
        <v>4819</v>
      </c>
      <c r="I2400" s="2" t="s">
        <v>11116</v>
      </c>
      <c r="J2400" s="2" t="s">
        <v>840</v>
      </c>
      <c r="K2400" s="2" t="s">
        <v>1357</v>
      </c>
      <c r="L2400" s="3">
        <v>81</v>
      </c>
      <c r="M2400" s="3">
        <v>85.05</v>
      </c>
      <c r="N2400" s="3">
        <v>189.99</v>
      </c>
      <c r="O2400" s="2" t="s">
        <v>461</v>
      </c>
      <c r="P2400" s="2" t="s">
        <v>333</v>
      </c>
      <c r="Q2400" s="2" t="s">
        <v>234</v>
      </c>
      <c r="R2400" s="2" t="s">
        <v>228</v>
      </c>
      <c r="S2400" s="2" t="s">
        <v>228</v>
      </c>
      <c r="T2400" s="2" t="s">
        <v>228</v>
      </c>
      <c r="U2400" s="2" t="s">
        <v>416</v>
      </c>
      <c r="V2400" s="2" t="s">
        <v>842</v>
      </c>
      <c r="W2400" s="2" t="s">
        <v>417</v>
      </c>
      <c r="X2400" s="2" t="s">
        <v>1628</v>
      </c>
      <c r="Y2400" s="2" t="s">
        <v>1467</v>
      </c>
      <c r="Z2400" s="4">
        <v>74</v>
      </c>
      <c r="AA2400" s="4">
        <f>=ROUNDDOWN(37,0)</f>
      </c>
      <c r="AB2400" s="5">
        <v>2</v>
      </c>
      <c r="AC2400" s="2" t="s">
        <v>228</v>
      </c>
      <c r="AD2400" s="4"/>
      <c r="AE2400" s="4"/>
      <c r="AF2400" s="6">
        <v>63</v>
      </c>
      <c r="AG2400" s="6"/>
      <c r="AH2400" s="7">
        <v>1</v>
      </c>
      <c r="AI2400" s="4"/>
      <c r="AJ2400" s="4">
        <f>=ROUNDDOWN({0},0)</f>
      </c>
      <c r="AK2400" s="5"/>
      <c r="AL2400" s="2" t="s">
        <v>228</v>
      </c>
      <c r="AM2400" s="4"/>
      <c r="AN2400" s="4"/>
      <c r="AO2400" s="7"/>
      <c r="AP2400" s="4"/>
      <c r="AQ2400" s="8"/>
      <c r="AR2400" s="4"/>
      <c r="AS2400" s="8"/>
      <c r="AT2400" s="7"/>
      <c r="AU2400" s="7"/>
      <c r="AV2400" s="4"/>
      <c r="AW2400" s="8"/>
      <c r="AX2400" s="4"/>
      <c r="AY2400" s="8"/>
      <c r="AZ2400" s="7"/>
      <c r="BA2400" s="7"/>
      <c r="BB2400" s="7"/>
      <c r="BC2400" s="4"/>
      <c r="BD2400" s="8"/>
      <c r="BE2400" s="4"/>
      <c r="BF2400" s="8"/>
      <c r="BG2400" s="7"/>
      <c r="BH2400" s="7"/>
      <c r="BI2400" s="7"/>
      <c r="BJ2400" s="4">
        <v>2</v>
      </c>
      <c r="BK2400" s="8">
        <v>170.1</v>
      </c>
      <c r="BL2400" s="2" t="s">
        <v>807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11117</v>
      </c>
      <c r="BV2400" s="2" t="s">
        <v>228</v>
      </c>
      <c r="BW2400" s="2" t="s">
        <v>228</v>
      </c>
      <c r="BX2400" s="2" t="s">
        <v>337</v>
      </c>
      <c r="BY2400" s="2" t="s">
        <v>274</v>
      </c>
      <c r="BZ2400" s="2" t="s">
        <v>240</v>
      </c>
      <c r="CA2400" s="2" t="s">
        <v>1631</v>
      </c>
      <c r="CB2400" s="2" t="s">
        <v>228</v>
      </c>
      <c r="CC2400" s="2" t="s">
        <v>241</v>
      </c>
      <c r="CD2400" s="2" t="s">
        <v>228</v>
      </c>
      <c r="CE2400" s="4"/>
      <c r="CF2400" s="4">
        <v>74</v>
      </c>
      <c r="CG2400" s="4"/>
      <c r="CH2400" s="4"/>
      <c r="CI2400" s="4"/>
      <c r="CJ2400" s="4"/>
      <c r="CK2400" s="4"/>
      <c r="CL2400" s="4"/>
      <c r="CM2400" s="4"/>
      <c r="CN2400" s="4"/>
      <c r="CO2400" s="4"/>
      <c r="CP2400" s="4"/>
      <c r="CQ2400" s="4"/>
      <c r="CR2400" s="4"/>
      <c r="CS2400" s="4"/>
      <c r="CT2400" s="4"/>
      <c r="CU2400" s="4"/>
      <c r="CV2400" s="4"/>
      <c r="CW2400" s="4"/>
      <c r="CX2400" s="4"/>
      <c r="CY2400" s="4"/>
      <c r="CZ2400" s="4"/>
      <c r="DA2400" s="4"/>
      <c r="DB2400" s="4"/>
      <c r="DC2400" s="4"/>
      <c r="DD2400" s="4"/>
      <c r="DE2400" s="4"/>
      <c r="DF2400" s="4"/>
      <c r="DG2400" s="4"/>
      <c r="DH2400" s="4"/>
      <c r="DI2400" s="4"/>
      <c r="DJ2400" s="4"/>
      <c r="DK2400" s="4"/>
      <c r="DL2400" s="4"/>
      <c r="DM2400" s="4"/>
      <c r="DN2400" s="4"/>
      <c r="DO2400" s="4"/>
      <c r="DP2400" s="4"/>
      <c r="DQ2400" s="4"/>
      <c r="DR2400" s="4"/>
      <c r="DS2400" s="4"/>
      <c r="DT2400" s="4"/>
      <c r="DU2400" s="4"/>
      <c r="DV2400" s="4"/>
      <c r="DW2400" s="4"/>
      <c r="DX2400" s="4"/>
      <c r="DY2400" s="4"/>
      <c r="DZ2400" s="4"/>
      <c r="EA2400" s="4"/>
      <c r="EB2400" s="4"/>
      <c r="EC2400" s="4"/>
      <c r="ED2400" s="4"/>
      <c r="EE2400" s="4"/>
      <c r="EF2400" s="4"/>
      <c r="EG2400" s="4"/>
      <c r="EH2400" s="4"/>
      <c r="EI2400" s="4"/>
      <c r="EJ2400" s="4"/>
      <c r="EK2400" s="4"/>
      <c r="EL2400" s="4"/>
      <c r="EM2400" s="4"/>
      <c r="EN2400" s="4"/>
      <c r="EO2400" s="4"/>
      <c r="EP2400" s="4"/>
      <c r="EQ2400" s="4"/>
      <c r="ER2400" s="4"/>
      <c r="ES2400" s="4"/>
      <c r="ET2400" s="4"/>
      <c r="EU2400" s="4"/>
      <c r="EV2400" s="4"/>
      <c r="EW2400" s="4"/>
      <c r="EX2400" s="4"/>
      <c r="EY2400" s="4"/>
      <c r="EZ2400" s="4"/>
      <c r="FA2400" s="4"/>
      <c r="FB2400" s="4"/>
      <c r="FC2400" s="4"/>
      <c r="FD2400" s="4"/>
      <c r="FE2400" s="4"/>
      <c r="FF2400" s="4"/>
      <c r="FG2400" s="4"/>
      <c r="FH2400" s="4"/>
      <c r="FI2400" s="4"/>
      <c r="FJ2400" s="4"/>
      <c r="FK2400" s="4"/>
      <c r="FL2400" s="4"/>
      <c r="FM2400" s="4"/>
      <c r="FN2400" s="4"/>
      <c r="FO2400" s="4"/>
      <c r="FP2400" s="4"/>
      <c r="FQ2400" s="4"/>
      <c r="FR2400" s="4"/>
      <c r="FS2400" s="4"/>
      <c r="FT2400" s="4"/>
      <c r="FU2400" s="4"/>
      <c r="FV2400" s="4"/>
      <c r="FW2400" s="4"/>
      <c r="FX2400" s="4"/>
      <c r="FY2400" s="4"/>
      <c r="FZ2400" s="4"/>
      <c r="GA2400" s="4"/>
      <c r="GB2400" s="4"/>
      <c r="GC2400" s="4"/>
      <c r="GD2400" s="4"/>
      <c r="GE2400" s="4"/>
      <c r="GF2400" s="4"/>
      <c r="GG2400" s="4"/>
      <c r="GH2400" s="4"/>
      <c r="GI2400" s="4"/>
      <c r="GJ2400" s="4"/>
      <c r="GK2400" s="4"/>
      <c r="GL2400" s="4"/>
      <c r="GM2400" s="4"/>
      <c r="GN2400" s="4"/>
      <c r="GO2400" s="4"/>
      <c r="GP2400" s="4"/>
      <c r="GQ2400" s="4"/>
      <c r="GR2400" s="4"/>
      <c r="GS2400" s="4"/>
      <c r="GT2400" s="4"/>
      <c r="GU2400" s="4"/>
      <c r="GV2400" s="4"/>
      <c r="GW2400" s="4"/>
      <c r="GX2400" s="4"/>
      <c r="GY2400" s="4"/>
      <c r="GZ2400" s="4"/>
      <c r="HA2400" s="4"/>
      <c r="HB2400" s="4"/>
      <c r="HC2400" s="4"/>
      <c r="HD2400" s="4"/>
      <c r="HE2400" s="4"/>
    </row>
    <row r="2401">
      <c r="A2401" s="2" t="s">
        <v>11118</v>
      </c>
      <c r="B2401" s="2" t="s">
        <v>848</v>
      </c>
      <c r="C2401" s="2" t="s">
        <v>1037</v>
      </c>
      <c r="D2401" s="2" t="s">
        <v>850</v>
      </c>
      <c r="E2401" s="2" t="s">
        <v>1038</v>
      </c>
      <c r="F2401" s="2" t="s">
        <v>4755</v>
      </c>
      <c r="G2401" s="2" t="s">
        <v>9980</v>
      </c>
      <c r="H2401" s="2" t="s">
        <v>11119</v>
      </c>
      <c r="I2401" s="2" t="s">
        <v>11120</v>
      </c>
      <c r="J2401" s="2" t="s">
        <v>1043</v>
      </c>
      <c r="K2401" s="2" t="s">
        <v>480</v>
      </c>
      <c r="L2401" s="3">
        <v>42.85</v>
      </c>
      <c r="M2401" s="3">
        <v>44.99</v>
      </c>
      <c r="N2401" s="3">
        <v>89.99</v>
      </c>
      <c r="O2401" s="2" t="s">
        <v>240</v>
      </c>
      <c r="P2401" s="2" t="s">
        <v>333</v>
      </c>
      <c r="Q2401" s="2" t="s">
        <v>234</v>
      </c>
      <c r="R2401" s="2" t="s">
        <v>228</v>
      </c>
      <c r="S2401" s="2" t="s">
        <v>11121</v>
      </c>
      <c r="T2401" s="2" t="s">
        <v>3461</v>
      </c>
      <c r="U2401" s="2" t="s">
        <v>500</v>
      </c>
      <c r="V2401" s="2" t="s">
        <v>236</v>
      </c>
      <c r="W2401" s="2" t="s">
        <v>269</v>
      </c>
      <c r="X2401" s="2" t="s">
        <v>228</v>
      </c>
      <c r="Y2401" s="2" t="s">
        <v>2254</v>
      </c>
      <c r="Z2401" s="4">
        <v>92</v>
      </c>
      <c r="AA2401" s="4">
        <f>=ROUNDDOWN(30.6666666666667,0)</f>
      </c>
      <c r="AB2401" s="5">
        <v>3</v>
      </c>
      <c r="AC2401" s="2" t="s">
        <v>228</v>
      </c>
      <c r="AD2401" s="4"/>
      <c r="AE2401" s="4"/>
      <c r="AF2401" s="6">
        <v>65</v>
      </c>
      <c r="AG2401" s="6"/>
      <c r="AH2401" s="7">
        <v>1</v>
      </c>
      <c r="AI2401" s="4"/>
      <c r="AJ2401" s="4">
        <f>=ROUNDDOWN({0},0)</f>
      </c>
      <c r="AK2401" s="5"/>
      <c r="AL2401" s="2" t="s">
        <v>228</v>
      </c>
      <c r="AM2401" s="4"/>
      <c r="AN2401" s="4"/>
      <c r="AO2401" s="7"/>
      <c r="AP2401" s="4"/>
      <c r="AQ2401" s="8"/>
      <c r="AR2401" s="4"/>
      <c r="AS2401" s="8"/>
      <c r="AT2401" s="7"/>
      <c r="AU2401" s="7"/>
      <c r="AV2401" s="4"/>
      <c r="AW2401" s="8"/>
      <c r="AX2401" s="4"/>
      <c r="AY2401" s="8"/>
      <c r="AZ2401" s="7"/>
      <c r="BA2401" s="7"/>
      <c r="BB2401" s="7"/>
      <c r="BC2401" s="4"/>
      <c r="BD2401" s="8"/>
      <c r="BE2401" s="4"/>
      <c r="BF2401" s="8"/>
      <c r="BG2401" s="7"/>
      <c r="BH2401" s="7"/>
      <c r="BI2401" s="7"/>
      <c r="BJ2401" s="4">
        <v>19</v>
      </c>
      <c r="BK2401" s="8">
        <v>892.61</v>
      </c>
      <c r="BL2401" s="2" t="s">
        <v>11122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11123</v>
      </c>
      <c r="BV2401" s="2" t="s">
        <v>228</v>
      </c>
      <c r="BW2401" s="2" t="s">
        <v>228</v>
      </c>
      <c r="BX2401" s="2" t="s">
        <v>337</v>
      </c>
      <c r="BY2401" s="2" t="s">
        <v>274</v>
      </c>
      <c r="BZ2401" s="2" t="s">
        <v>240</v>
      </c>
      <c r="CA2401" s="2" t="s">
        <v>1469</v>
      </c>
      <c r="CB2401" s="2" t="s">
        <v>719</v>
      </c>
      <c r="CC2401" s="2" t="s">
        <v>241</v>
      </c>
      <c r="CD2401" s="2" t="s">
        <v>228</v>
      </c>
      <c r="CE2401" s="4">
        <v>92</v>
      </c>
      <c r="CF2401" s="4"/>
      <c r="CG2401" s="4"/>
      <c r="CH2401" s="4"/>
      <c r="CI2401" s="4"/>
      <c r="CJ2401" s="4"/>
      <c r="CK2401" s="4"/>
      <c r="CL2401" s="4"/>
      <c r="CM2401" s="4"/>
      <c r="CN2401" s="4"/>
      <c r="CO2401" s="4"/>
      <c r="CP2401" s="4"/>
      <c r="CQ2401" s="4"/>
      <c r="CR2401" s="4"/>
      <c r="CS2401" s="4"/>
      <c r="CT2401" s="4"/>
      <c r="CU2401" s="4"/>
      <c r="CV2401" s="4"/>
      <c r="CW2401" s="4"/>
      <c r="CX2401" s="4"/>
      <c r="CY2401" s="4"/>
      <c r="CZ2401" s="4"/>
      <c r="DA2401" s="4"/>
      <c r="DB2401" s="4"/>
      <c r="DC2401" s="4"/>
      <c r="DD2401" s="4"/>
      <c r="DE2401" s="4"/>
      <c r="DF2401" s="4"/>
      <c r="DG2401" s="4"/>
      <c r="DH2401" s="4"/>
      <c r="DI2401" s="4"/>
      <c r="DJ2401" s="4"/>
      <c r="DK2401" s="4"/>
      <c r="DL2401" s="4"/>
      <c r="DM2401" s="4"/>
      <c r="DN2401" s="4"/>
      <c r="DO2401" s="4"/>
      <c r="DP2401" s="4"/>
      <c r="DQ2401" s="4"/>
      <c r="DR2401" s="4"/>
      <c r="DS2401" s="4"/>
      <c r="DT2401" s="4"/>
      <c r="DU2401" s="4"/>
      <c r="DV2401" s="4"/>
      <c r="DW2401" s="4"/>
      <c r="DX2401" s="4"/>
      <c r="DY2401" s="4"/>
      <c r="DZ2401" s="4"/>
      <c r="EA2401" s="4"/>
      <c r="EB2401" s="4"/>
      <c r="EC2401" s="4"/>
      <c r="ED2401" s="4"/>
      <c r="EE2401" s="4"/>
      <c r="EF2401" s="4"/>
      <c r="EG2401" s="4"/>
      <c r="EH2401" s="4"/>
      <c r="EI2401" s="4"/>
      <c r="EJ2401" s="4"/>
      <c r="EK2401" s="4"/>
      <c r="EL2401" s="4"/>
      <c r="EM2401" s="4"/>
      <c r="EN2401" s="4"/>
      <c r="EO2401" s="4"/>
      <c r="EP2401" s="4"/>
      <c r="EQ2401" s="4"/>
      <c r="ER2401" s="4"/>
      <c r="ES2401" s="4"/>
      <c r="ET2401" s="4"/>
      <c r="EU2401" s="4"/>
      <c r="EV2401" s="4"/>
      <c r="EW2401" s="4"/>
      <c r="EX2401" s="4"/>
      <c r="EY2401" s="4"/>
      <c r="EZ2401" s="4"/>
      <c r="FA2401" s="4"/>
      <c r="FB2401" s="4"/>
      <c r="FC2401" s="4"/>
      <c r="FD2401" s="4"/>
      <c r="FE2401" s="4"/>
      <c r="FF2401" s="4"/>
      <c r="FG2401" s="4"/>
      <c r="FH2401" s="4"/>
      <c r="FI2401" s="4"/>
      <c r="FJ2401" s="4"/>
      <c r="FK2401" s="4"/>
      <c r="FL2401" s="4"/>
      <c r="FM2401" s="4"/>
      <c r="FN2401" s="4"/>
      <c r="FO2401" s="4"/>
      <c r="FP2401" s="4"/>
      <c r="FQ2401" s="4"/>
      <c r="FR2401" s="4"/>
      <c r="FS2401" s="4"/>
      <c r="FT2401" s="4"/>
      <c r="FU2401" s="4"/>
      <c r="FV2401" s="4"/>
      <c r="FW2401" s="4"/>
      <c r="FX2401" s="4"/>
      <c r="FY2401" s="4"/>
      <c r="FZ2401" s="4"/>
      <c r="GA2401" s="4"/>
      <c r="GB2401" s="4"/>
      <c r="GC2401" s="4"/>
      <c r="GD2401" s="4"/>
      <c r="GE2401" s="4"/>
      <c r="GF2401" s="4"/>
      <c r="GG2401" s="4"/>
      <c r="GH2401" s="4"/>
      <c r="GI2401" s="4"/>
      <c r="GJ2401" s="4"/>
      <c r="GK2401" s="4"/>
      <c r="GL2401" s="4"/>
      <c r="GM2401" s="4"/>
      <c r="GN2401" s="4"/>
      <c r="GO2401" s="4"/>
      <c r="GP2401" s="4"/>
      <c r="GQ2401" s="4"/>
      <c r="GR2401" s="4"/>
      <c r="GS2401" s="4"/>
      <c r="GT2401" s="4"/>
      <c r="GU2401" s="4"/>
      <c r="GV2401" s="4"/>
      <c r="GW2401" s="4"/>
      <c r="GX2401" s="4"/>
      <c r="GY2401" s="4"/>
      <c r="GZ2401" s="4"/>
      <c r="HA2401" s="4"/>
      <c r="HB2401" s="4"/>
      <c r="HC2401" s="4"/>
      <c r="HD2401" s="4"/>
      <c r="HE2401" s="4"/>
    </row>
    <row r="2402">
      <c r="A2402" s="2" t="s">
        <v>11124</v>
      </c>
      <c r="B2402" s="2" t="s">
        <v>223</v>
      </c>
      <c r="C2402" s="2" t="s">
        <v>300</v>
      </c>
      <c r="D2402" s="2" t="s">
        <v>1112</v>
      </c>
      <c r="E2402" s="2" t="s">
        <v>1113</v>
      </c>
      <c r="F2402" s="2" t="s">
        <v>11125</v>
      </c>
      <c r="G2402" s="2" t="s">
        <v>11126</v>
      </c>
      <c r="H2402" s="2" t="s">
        <v>11126</v>
      </c>
      <c r="I2402" s="2" t="s">
        <v>3216</v>
      </c>
      <c r="J2402" s="2" t="s">
        <v>264</v>
      </c>
      <c r="K2402" s="2" t="s">
        <v>249</v>
      </c>
      <c r="L2402" s="3">
        <v>28.57</v>
      </c>
      <c r="M2402" s="3">
        <v>30</v>
      </c>
      <c r="N2402" s="3">
        <v>59.99</v>
      </c>
      <c r="O2402" s="2" t="s">
        <v>240</v>
      </c>
      <c r="P2402" s="2" t="s">
        <v>233</v>
      </c>
      <c r="Q2402" s="2" t="s">
        <v>234</v>
      </c>
      <c r="R2402" s="2" t="s">
        <v>228</v>
      </c>
      <c r="S2402" s="2" t="s">
        <v>11127</v>
      </c>
      <c r="T2402" s="2" t="s">
        <v>1414</v>
      </c>
      <c r="U2402" s="2" t="s">
        <v>520</v>
      </c>
      <c r="V2402" s="2" t="s">
        <v>236</v>
      </c>
      <c r="W2402" s="2" t="s">
        <v>269</v>
      </c>
      <c r="X2402" s="2" t="s">
        <v>1761</v>
      </c>
      <c r="Y2402" s="2" t="s">
        <v>9753</v>
      </c>
      <c r="Z2402" s="4">
        <v>59</v>
      </c>
      <c r="AA2402" s="4">
        <f>=ROUNDDOWN(295,0)</f>
      </c>
      <c r="AB2402" s="5">
        <v>0.2</v>
      </c>
      <c r="AC2402" s="2" t="s">
        <v>1158</v>
      </c>
      <c r="AD2402" s="4">
        <v>60</v>
      </c>
      <c r="AE2402" s="4">
        <v>60</v>
      </c>
      <c r="AF2402" s="6">
        <v>65</v>
      </c>
      <c r="AG2402" s="6"/>
      <c r="AH2402" s="7">
        <v>1</v>
      </c>
      <c r="AI2402" s="4"/>
      <c r="AJ2402" s="4">
        <f>=ROUNDDOWN({0},0)</f>
      </c>
      <c r="AK2402" s="5"/>
      <c r="AL2402" s="2" t="s">
        <v>228</v>
      </c>
      <c r="AM2402" s="4"/>
      <c r="AN2402" s="4"/>
      <c r="AO2402" s="7"/>
      <c r="AP2402" s="4"/>
      <c r="AQ2402" s="8"/>
      <c r="AR2402" s="4"/>
      <c r="AS2402" s="8"/>
      <c r="AT2402" s="7"/>
      <c r="AU2402" s="7"/>
      <c r="AV2402" s="4" t="s">
        <v>228</v>
      </c>
      <c r="AW2402" s="8" t="s">
        <v>228</v>
      </c>
      <c r="AX2402" s="4" t="s">
        <v>228</v>
      </c>
      <c r="AY2402" s="8" t="s">
        <v>228</v>
      </c>
      <c r="AZ2402" s="7" t="s">
        <v>228</v>
      </c>
      <c r="BA2402" s="7" t="s">
        <v>228</v>
      </c>
      <c r="BB2402" s="7"/>
      <c r="BC2402" s="4" t="s">
        <v>228</v>
      </c>
      <c r="BD2402" s="8" t="s">
        <v>228</v>
      </c>
      <c r="BE2402" s="4" t="s">
        <v>228</v>
      </c>
      <c r="BF2402" s="8" t="s">
        <v>228</v>
      </c>
      <c r="BG2402" s="7" t="s">
        <v>228</v>
      </c>
      <c r="BH2402" s="7" t="s">
        <v>228</v>
      </c>
      <c r="BI2402" s="7"/>
      <c r="BJ2402" s="4">
        <v>1</v>
      </c>
      <c r="BK2402" s="8">
        <v>32.86</v>
      </c>
      <c r="BL2402" s="2" t="s">
        <v>727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11128</v>
      </c>
      <c r="BV2402" s="2" t="s">
        <v>228</v>
      </c>
      <c r="BW2402" s="2" t="s">
        <v>228</v>
      </c>
      <c r="BX2402" s="2" t="s">
        <v>273</v>
      </c>
      <c r="BY2402" s="2" t="s">
        <v>274</v>
      </c>
      <c r="BZ2402" s="2" t="s">
        <v>240</v>
      </c>
      <c r="CA2402" s="2" t="s">
        <v>1671</v>
      </c>
      <c r="CB2402" s="2" t="s">
        <v>228</v>
      </c>
      <c r="CC2402" s="2" t="s">
        <v>241</v>
      </c>
      <c r="CD2402" s="2" t="s">
        <v>228</v>
      </c>
      <c r="CE2402" s="4">
        <v>59</v>
      </c>
      <c r="CF2402" s="4"/>
      <c r="CG2402" s="4"/>
      <c r="CH2402" s="4"/>
      <c r="CI2402" s="4"/>
      <c r="CJ2402" s="4"/>
      <c r="CK2402" s="4"/>
      <c r="CL2402" s="4"/>
      <c r="CM2402" s="4"/>
      <c r="CN2402" s="4"/>
      <c r="CO2402" s="4"/>
      <c r="CP2402" s="4"/>
      <c r="CQ2402" s="4"/>
      <c r="CR2402" s="4"/>
      <c r="CS2402" s="4"/>
      <c r="CT2402" s="4"/>
      <c r="CU2402" s="4"/>
      <c r="CV2402" s="4"/>
      <c r="CW2402" s="4"/>
      <c r="CX2402" s="4"/>
      <c r="CY2402" s="4"/>
      <c r="CZ2402" s="4"/>
      <c r="DA2402" s="4"/>
      <c r="DB2402" s="4"/>
      <c r="DC2402" s="4"/>
      <c r="DD2402" s="4"/>
      <c r="DE2402" s="4"/>
      <c r="DF2402" s="4"/>
      <c r="DG2402" s="4"/>
      <c r="DH2402" s="4"/>
      <c r="DI2402" s="4"/>
      <c r="DJ2402" s="4"/>
      <c r="DK2402" s="4"/>
      <c r="DL2402" s="4"/>
      <c r="DM2402" s="4"/>
      <c r="DN2402" s="4"/>
      <c r="DO2402" s="4">
        <v>60</v>
      </c>
      <c r="DP2402" s="4"/>
      <c r="DQ2402" s="4"/>
      <c r="DR2402" s="4"/>
      <c r="DS2402" s="4"/>
      <c r="DT2402" s="4"/>
      <c r="DU2402" s="4"/>
      <c r="DV2402" s="4"/>
      <c r="DW2402" s="4"/>
      <c r="DX2402" s="4"/>
      <c r="DY2402" s="4"/>
      <c r="DZ2402" s="4"/>
      <c r="EA2402" s="4"/>
      <c r="EB2402" s="4"/>
      <c r="EC2402" s="4"/>
      <c r="ED2402" s="4"/>
      <c r="EE2402" s="4"/>
      <c r="EF2402" s="4"/>
      <c r="EG2402" s="4"/>
      <c r="EH2402" s="4"/>
      <c r="EI2402" s="4"/>
      <c r="EJ2402" s="4"/>
      <c r="EK2402" s="4"/>
      <c r="EL2402" s="4"/>
      <c r="EM2402" s="4"/>
      <c r="EN2402" s="4"/>
      <c r="EO2402" s="4"/>
      <c r="EP2402" s="4"/>
      <c r="EQ2402" s="4"/>
      <c r="ER2402" s="4"/>
      <c r="ES2402" s="4"/>
      <c r="ET2402" s="4"/>
      <c r="EU2402" s="4"/>
      <c r="EV2402" s="4"/>
      <c r="EW2402" s="4"/>
      <c r="EX2402" s="4"/>
      <c r="EY2402" s="4"/>
      <c r="EZ2402" s="4"/>
      <c r="FA2402" s="4"/>
      <c r="FB2402" s="4"/>
      <c r="FC2402" s="4"/>
      <c r="FD2402" s="4"/>
      <c r="FE2402" s="4"/>
      <c r="FF2402" s="4"/>
      <c r="FG2402" s="4"/>
      <c r="FH2402" s="4"/>
      <c r="FI2402" s="4"/>
      <c r="FJ2402" s="4"/>
      <c r="FK2402" s="4"/>
      <c r="FL2402" s="4"/>
      <c r="FM2402" s="4"/>
      <c r="FN2402" s="4"/>
      <c r="FO2402" s="4"/>
      <c r="FP2402" s="4"/>
      <c r="FQ2402" s="4"/>
      <c r="FR2402" s="4"/>
      <c r="FS2402" s="4"/>
      <c r="FT2402" s="4"/>
      <c r="FU2402" s="4"/>
      <c r="FV2402" s="4"/>
      <c r="FW2402" s="4"/>
      <c r="FX2402" s="4"/>
      <c r="FY2402" s="4"/>
      <c r="FZ2402" s="4"/>
      <c r="GA2402" s="4"/>
      <c r="GB2402" s="4"/>
      <c r="GC2402" s="4"/>
      <c r="GD2402" s="4"/>
      <c r="GE2402" s="4"/>
      <c r="GF2402" s="4"/>
      <c r="GG2402" s="4"/>
      <c r="GH2402" s="4"/>
      <c r="GI2402" s="4"/>
      <c r="GJ2402" s="4"/>
      <c r="GK2402" s="4"/>
      <c r="GL2402" s="4"/>
      <c r="GM2402" s="4"/>
      <c r="GN2402" s="4"/>
      <c r="GO2402" s="4"/>
      <c r="GP2402" s="4"/>
      <c r="GQ2402" s="4"/>
      <c r="GR2402" s="4"/>
      <c r="GS2402" s="4"/>
      <c r="GT2402" s="4"/>
      <c r="GU2402" s="4"/>
      <c r="GV2402" s="4"/>
      <c r="GW2402" s="4"/>
      <c r="GX2402" s="4"/>
      <c r="GY2402" s="4"/>
      <c r="GZ2402" s="4"/>
      <c r="HA2402" s="4"/>
      <c r="HB2402" s="4"/>
      <c r="HC2402" s="4"/>
      <c r="HD2402" s="4"/>
      <c r="HE2402" s="4"/>
    </row>
    <row r="2403">
      <c r="A2403" s="2" t="s">
        <v>11129</v>
      </c>
      <c r="B2403" s="2" t="s">
        <v>223</v>
      </c>
      <c r="C2403" s="2" t="s">
        <v>300</v>
      </c>
      <c r="D2403" s="2" t="s">
        <v>1112</v>
      </c>
      <c r="E2403" s="2" t="s">
        <v>1113</v>
      </c>
      <c r="F2403" s="2" t="s">
        <v>11125</v>
      </c>
      <c r="G2403" s="2" t="s">
        <v>11126</v>
      </c>
      <c r="H2403" s="2" t="s">
        <v>11126</v>
      </c>
      <c r="I2403" s="2" t="s">
        <v>3216</v>
      </c>
      <c r="J2403" s="2" t="s">
        <v>1189</v>
      </c>
      <c r="K2403" s="2" t="s">
        <v>249</v>
      </c>
      <c r="L2403" s="3">
        <v>33.33</v>
      </c>
      <c r="M2403" s="3">
        <v>35</v>
      </c>
      <c r="N2403" s="3">
        <v>69.99</v>
      </c>
      <c r="O2403" s="2" t="s">
        <v>240</v>
      </c>
      <c r="P2403" s="2" t="s">
        <v>233</v>
      </c>
      <c r="Q2403" s="2" t="s">
        <v>234</v>
      </c>
      <c r="R2403" s="2" t="s">
        <v>228</v>
      </c>
      <c r="S2403" s="2" t="s">
        <v>11127</v>
      </c>
      <c r="T2403" s="2" t="s">
        <v>1414</v>
      </c>
      <c r="U2403" s="2" t="s">
        <v>500</v>
      </c>
      <c r="V2403" s="2" t="s">
        <v>236</v>
      </c>
      <c r="W2403" s="2" t="s">
        <v>269</v>
      </c>
      <c r="X2403" s="2" t="s">
        <v>1761</v>
      </c>
      <c r="Y2403" s="2" t="s">
        <v>9753</v>
      </c>
      <c r="Z2403" s="4">
        <v>169</v>
      </c>
      <c r="AA2403" s="4">
        <f>=ROUNDDOWN({0},0)</f>
      </c>
      <c r="AB2403" s="5"/>
      <c r="AC2403" s="2" t="s">
        <v>1158</v>
      </c>
      <c r="AD2403" s="4">
        <v>180</v>
      </c>
      <c r="AE2403" s="4">
        <v>180</v>
      </c>
      <c r="AF2403" s="6">
        <v>65</v>
      </c>
      <c r="AG2403" s="6"/>
      <c r="AH2403" s="7">
        <v>1</v>
      </c>
      <c r="AI2403" s="4"/>
      <c r="AJ2403" s="4">
        <f>=ROUNDDOWN({0},0)</f>
      </c>
      <c r="AK2403" s="5"/>
      <c r="AL2403" s="2" t="s">
        <v>228</v>
      </c>
      <c r="AM2403" s="4"/>
      <c r="AN2403" s="4"/>
      <c r="AO2403" s="7"/>
      <c r="AP2403" s="4"/>
      <c r="AQ2403" s="8"/>
      <c r="AR2403" s="4"/>
      <c r="AS2403" s="8"/>
      <c r="AT2403" s="7"/>
      <c r="AU2403" s="7"/>
      <c r="AV2403" s="4" t="s">
        <v>228</v>
      </c>
      <c r="AW2403" s="8" t="s">
        <v>228</v>
      </c>
      <c r="AX2403" s="4" t="s">
        <v>228</v>
      </c>
      <c r="AY2403" s="8" t="s">
        <v>228</v>
      </c>
      <c r="AZ2403" s="7" t="s">
        <v>228</v>
      </c>
      <c r="BA2403" s="7" t="s">
        <v>228</v>
      </c>
      <c r="BB2403" s="7"/>
      <c r="BC2403" s="4" t="s">
        <v>228</v>
      </c>
      <c r="BD2403" s="8" t="s">
        <v>228</v>
      </c>
      <c r="BE2403" s="4" t="s">
        <v>228</v>
      </c>
      <c r="BF2403" s="8" t="s">
        <v>228</v>
      </c>
      <c r="BG2403" s="7" t="s">
        <v>228</v>
      </c>
      <c r="BH2403" s="7" t="s">
        <v>228</v>
      </c>
      <c r="BI2403" s="7"/>
      <c r="BJ2403" s="4"/>
      <c r="BK2403" s="8"/>
      <c r="BL2403" s="2" t="s">
        <v>228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11130</v>
      </c>
      <c r="BV2403" s="2" t="s">
        <v>228</v>
      </c>
      <c r="BW2403" s="2" t="s">
        <v>228</v>
      </c>
      <c r="BX2403" s="2" t="s">
        <v>273</v>
      </c>
      <c r="BY2403" s="2" t="s">
        <v>274</v>
      </c>
      <c r="BZ2403" s="2" t="s">
        <v>240</v>
      </c>
      <c r="CA2403" s="2" t="s">
        <v>1671</v>
      </c>
      <c r="CB2403" s="2" t="s">
        <v>228</v>
      </c>
      <c r="CC2403" s="2" t="s">
        <v>241</v>
      </c>
      <c r="CD2403" s="2" t="s">
        <v>228</v>
      </c>
      <c r="CE2403" s="4">
        <v>169</v>
      </c>
      <c r="CF2403" s="4"/>
      <c r="CG2403" s="4"/>
      <c r="CH2403" s="4"/>
      <c r="CI2403" s="4"/>
      <c r="CJ2403" s="4"/>
      <c r="CK2403" s="4"/>
      <c r="CL2403" s="4"/>
      <c r="CM2403" s="4"/>
      <c r="CN2403" s="4"/>
      <c r="CO2403" s="4"/>
      <c r="CP2403" s="4"/>
      <c r="CQ2403" s="4"/>
      <c r="CR2403" s="4"/>
      <c r="CS2403" s="4"/>
      <c r="CT2403" s="4"/>
      <c r="CU2403" s="4"/>
      <c r="CV2403" s="4"/>
      <c r="CW2403" s="4"/>
      <c r="CX2403" s="4"/>
      <c r="CY2403" s="4"/>
      <c r="CZ2403" s="4"/>
      <c r="DA2403" s="4"/>
      <c r="DB2403" s="4"/>
      <c r="DC2403" s="4"/>
      <c r="DD2403" s="4"/>
      <c r="DE2403" s="4"/>
      <c r="DF2403" s="4"/>
      <c r="DG2403" s="4"/>
      <c r="DH2403" s="4"/>
      <c r="DI2403" s="4"/>
      <c r="DJ2403" s="4"/>
      <c r="DK2403" s="4"/>
      <c r="DL2403" s="4"/>
      <c r="DM2403" s="4"/>
      <c r="DN2403" s="4"/>
      <c r="DO2403" s="4">
        <v>180</v>
      </c>
      <c r="DP2403" s="4"/>
      <c r="DQ2403" s="4"/>
      <c r="DR2403" s="4"/>
      <c r="DS2403" s="4"/>
      <c r="DT2403" s="4"/>
      <c r="DU2403" s="4"/>
      <c r="DV2403" s="4"/>
      <c r="DW2403" s="4"/>
      <c r="DX2403" s="4"/>
      <c r="DY2403" s="4"/>
      <c r="DZ2403" s="4"/>
      <c r="EA2403" s="4"/>
      <c r="EB2403" s="4"/>
      <c r="EC2403" s="4"/>
      <c r="ED2403" s="4"/>
      <c r="EE2403" s="4"/>
      <c r="EF2403" s="4"/>
      <c r="EG2403" s="4"/>
      <c r="EH2403" s="4"/>
      <c r="EI2403" s="4"/>
      <c r="EJ2403" s="4"/>
      <c r="EK2403" s="4"/>
      <c r="EL2403" s="4"/>
      <c r="EM2403" s="4"/>
      <c r="EN2403" s="4"/>
      <c r="EO2403" s="4"/>
      <c r="EP2403" s="4"/>
      <c r="EQ2403" s="4"/>
      <c r="ER2403" s="4"/>
      <c r="ES2403" s="4"/>
      <c r="ET2403" s="4"/>
      <c r="EU2403" s="4"/>
      <c r="EV2403" s="4"/>
      <c r="EW2403" s="4"/>
      <c r="EX2403" s="4"/>
      <c r="EY2403" s="4"/>
      <c r="EZ2403" s="4"/>
      <c r="FA2403" s="4"/>
      <c r="FB2403" s="4"/>
      <c r="FC2403" s="4"/>
      <c r="FD2403" s="4"/>
      <c r="FE2403" s="4"/>
      <c r="FF2403" s="4"/>
      <c r="FG2403" s="4"/>
      <c r="FH2403" s="4"/>
      <c r="FI2403" s="4"/>
      <c r="FJ2403" s="4"/>
      <c r="FK2403" s="4"/>
      <c r="FL2403" s="4"/>
      <c r="FM2403" s="4"/>
      <c r="FN2403" s="4"/>
      <c r="FO2403" s="4"/>
      <c r="FP2403" s="4"/>
      <c r="FQ2403" s="4"/>
      <c r="FR2403" s="4"/>
      <c r="FS2403" s="4"/>
      <c r="FT2403" s="4"/>
      <c r="FU2403" s="4"/>
      <c r="FV2403" s="4"/>
      <c r="FW2403" s="4"/>
      <c r="FX2403" s="4"/>
      <c r="FY2403" s="4"/>
      <c r="FZ2403" s="4"/>
      <c r="GA2403" s="4"/>
      <c r="GB2403" s="4"/>
      <c r="GC2403" s="4"/>
      <c r="GD2403" s="4"/>
      <c r="GE2403" s="4"/>
      <c r="GF2403" s="4"/>
      <c r="GG2403" s="4"/>
      <c r="GH2403" s="4"/>
      <c r="GI2403" s="4"/>
      <c r="GJ2403" s="4"/>
      <c r="GK2403" s="4"/>
      <c r="GL2403" s="4"/>
      <c r="GM2403" s="4"/>
      <c r="GN2403" s="4"/>
      <c r="GO2403" s="4"/>
      <c r="GP2403" s="4"/>
      <c r="GQ2403" s="4"/>
      <c r="GR2403" s="4"/>
      <c r="GS2403" s="4"/>
      <c r="GT2403" s="4"/>
      <c r="GU2403" s="4"/>
      <c r="GV2403" s="4"/>
      <c r="GW2403" s="4"/>
      <c r="GX2403" s="4"/>
      <c r="GY2403" s="4"/>
      <c r="GZ2403" s="4"/>
      <c r="HA2403" s="4"/>
      <c r="HB2403" s="4"/>
      <c r="HC2403" s="4"/>
      <c r="HD2403" s="4"/>
      <c r="HE2403" s="4"/>
    </row>
    <row r="2404">
      <c r="A2404" s="2" t="s">
        <v>11131</v>
      </c>
      <c r="B2404" s="2" t="s">
        <v>223</v>
      </c>
      <c r="C2404" s="2" t="s">
        <v>300</v>
      </c>
      <c r="D2404" s="2" t="s">
        <v>1112</v>
      </c>
      <c r="E2404" s="2" t="s">
        <v>1113</v>
      </c>
      <c r="F2404" s="2" t="s">
        <v>11125</v>
      </c>
      <c r="G2404" s="2" t="s">
        <v>11126</v>
      </c>
      <c r="H2404" s="2" t="s">
        <v>11126</v>
      </c>
      <c r="I2404" s="2" t="s">
        <v>3216</v>
      </c>
      <c r="J2404" s="2" t="s">
        <v>294</v>
      </c>
      <c r="K2404" s="2" t="s">
        <v>249</v>
      </c>
      <c r="L2404" s="3">
        <v>38.09</v>
      </c>
      <c r="M2404" s="3">
        <v>39.99</v>
      </c>
      <c r="N2404" s="3">
        <v>79.99</v>
      </c>
      <c r="O2404" s="2" t="s">
        <v>240</v>
      </c>
      <c r="P2404" s="2" t="s">
        <v>233</v>
      </c>
      <c r="Q2404" s="2" t="s">
        <v>234</v>
      </c>
      <c r="R2404" s="2" t="s">
        <v>228</v>
      </c>
      <c r="S2404" s="2" t="s">
        <v>11127</v>
      </c>
      <c r="T2404" s="2" t="s">
        <v>1414</v>
      </c>
      <c r="U2404" s="2" t="s">
        <v>500</v>
      </c>
      <c r="V2404" s="2" t="s">
        <v>236</v>
      </c>
      <c r="W2404" s="2" t="s">
        <v>269</v>
      </c>
      <c r="X2404" s="2" t="s">
        <v>1761</v>
      </c>
      <c r="Y2404" s="2" t="s">
        <v>9753</v>
      </c>
      <c r="Z2404" s="4">
        <v>219</v>
      </c>
      <c r="AA2404" s="4">
        <f>=ROUNDDOWN({0},0)</f>
      </c>
      <c r="AB2404" s="5"/>
      <c r="AC2404" s="2" t="s">
        <v>1158</v>
      </c>
      <c r="AD2404" s="4">
        <v>110</v>
      </c>
      <c r="AE2404" s="4">
        <v>110</v>
      </c>
      <c r="AF2404" s="6">
        <v>65</v>
      </c>
      <c r="AG2404" s="6"/>
      <c r="AH2404" s="7">
        <v>1</v>
      </c>
      <c r="AI2404" s="4"/>
      <c r="AJ2404" s="4">
        <f>=ROUNDDOWN({0},0)</f>
      </c>
      <c r="AK2404" s="5"/>
      <c r="AL2404" s="2" t="s">
        <v>228</v>
      </c>
      <c r="AM2404" s="4"/>
      <c r="AN2404" s="4"/>
      <c r="AO2404" s="7"/>
      <c r="AP2404" s="4"/>
      <c r="AQ2404" s="8"/>
      <c r="AR2404" s="4"/>
      <c r="AS2404" s="8"/>
      <c r="AT2404" s="7"/>
      <c r="AU2404" s="7"/>
      <c r="AV2404" s="4" t="s">
        <v>228</v>
      </c>
      <c r="AW2404" s="8" t="s">
        <v>228</v>
      </c>
      <c r="AX2404" s="4" t="s">
        <v>228</v>
      </c>
      <c r="AY2404" s="8" t="s">
        <v>228</v>
      </c>
      <c r="AZ2404" s="7" t="s">
        <v>228</v>
      </c>
      <c r="BA2404" s="7" t="s">
        <v>228</v>
      </c>
      <c r="BB2404" s="7"/>
      <c r="BC2404" s="4" t="s">
        <v>228</v>
      </c>
      <c r="BD2404" s="8" t="s">
        <v>228</v>
      </c>
      <c r="BE2404" s="4" t="s">
        <v>228</v>
      </c>
      <c r="BF2404" s="8" t="s">
        <v>228</v>
      </c>
      <c r="BG2404" s="7" t="s">
        <v>228</v>
      </c>
      <c r="BH2404" s="7" t="s">
        <v>228</v>
      </c>
      <c r="BI2404" s="7"/>
      <c r="BJ2404" s="4"/>
      <c r="BK2404" s="8"/>
      <c r="BL2404" s="2" t="s">
        <v>228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11132</v>
      </c>
      <c r="BV2404" s="2" t="s">
        <v>228</v>
      </c>
      <c r="BW2404" s="2" t="s">
        <v>228</v>
      </c>
      <c r="BX2404" s="2" t="s">
        <v>273</v>
      </c>
      <c r="BY2404" s="2" t="s">
        <v>274</v>
      </c>
      <c r="BZ2404" s="2" t="s">
        <v>240</v>
      </c>
      <c r="CA2404" s="2" t="s">
        <v>1671</v>
      </c>
      <c r="CB2404" s="2" t="s">
        <v>228</v>
      </c>
      <c r="CC2404" s="2" t="s">
        <v>241</v>
      </c>
      <c r="CD2404" s="2" t="s">
        <v>228</v>
      </c>
      <c r="CE2404" s="4">
        <v>159</v>
      </c>
      <c r="CF2404" s="4"/>
      <c r="CG2404" s="4"/>
      <c r="CH2404" s="4"/>
      <c r="CI2404" s="4"/>
      <c r="CJ2404" s="4"/>
      <c r="CK2404" s="4">
        <v>60</v>
      </c>
      <c r="CL2404" s="4"/>
      <c r="CM2404" s="4"/>
      <c r="CN2404" s="4"/>
      <c r="CO2404" s="4"/>
      <c r="CP2404" s="4"/>
      <c r="CQ2404" s="4"/>
      <c r="CR2404" s="4"/>
      <c r="CS2404" s="4"/>
      <c r="CT2404" s="4"/>
      <c r="CU2404" s="4"/>
      <c r="CV2404" s="4"/>
      <c r="CW2404" s="4"/>
      <c r="CX2404" s="4"/>
      <c r="CY2404" s="4"/>
      <c r="CZ2404" s="4"/>
      <c r="DA2404" s="4"/>
      <c r="DB2404" s="4"/>
      <c r="DC2404" s="4"/>
      <c r="DD2404" s="4"/>
      <c r="DE2404" s="4"/>
      <c r="DF2404" s="4"/>
      <c r="DG2404" s="4"/>
      <c r="DH2404" s="4"/>
      <c r="DI2404" s="4"/>
      <c r="DJ2404" s="4"/>
      <c r="DK2404" s="4"/>
      <c r="DL2404" s="4"/>
      <c r="DM2404" s="4"/>
      <c r="DN2404" s="4"/>
      <c r="DO2404" s="4">
        <v>110</v>
      </c>
      <c r="DP2404" s="4"/>
      <c r="DQ2404" s="4"/>
      <c r="DR2404" s="4"/>
      <c r="DS2404" s="4"/>
      <c r="DT2404" s="4"/>
      <c r="DU2404" s="4"/>
      <c r="DV2404" s="4"/>
      <c r="DW2404" s="4"/>
      <c r="DX2404" s="4"/>
      <c r="DY2404" s="4"/>
      <c r="DZ2404" s="4"/>
      <c r="EA2404" s="4"/>
      <c r="EB2404" s="4"/>
      <c r="EC2404" s="4"/>
      <c r="ED2404" s="4"/>
      <c r="EE2404" s="4"/>
      <c r="EF2404" s="4"/>
      <c r="EG2404" s="4"/>
      <c r="EH2404" s="4"/>
      <c r="EI2404" s="4"/>
      <c r="EJ2404" s="4"/>
      <c r="EK2404" s="4"/>
      <c r="EL2404" s="4"/>
      <c r="EM2404" s="4"/>
      <c r="EN2404" s="4"/>
      <c r="EO2404" s="4"/>
      <c r="EP2404" s="4"/>
      <c r="EQ2404" s="4"/>
      <c r="ER2404" s="4"/>
      <c r="ES2404" s="4"/>
      <c r="ET2404" s="4"/>
      <c r="EU2404" s="4"/>
      <c r="EV2404" s="4"/>
      <c r="EW2404" s="4"/>
      <c r="EX2404" s="4"/>
      <c r="EY2404" s="4"/>
      <c r="EZ2404" s="4"/>
      <c r="FA2404" s="4"/>
      <c r="FB2404" s="4"/>
      <c r="FC2404" s="4"/>
      <c r="FD2404" s="4"/>
      <c r="FE2404" s="4"/>
      <c r="FF2404" s="4"/>
      <c r="FG2404" s="4"/>
      <c r="FH2404" s="4"/>
      <c r="FI2404" s="4"/>
      <c r="FJ2404" s="4"/>
      <c r="FK2404" s="4"/>
      <c r="FL2404" s="4"/>
      <c r="FM2404" s="4"/>
      <c r="FN2404" s="4"/>
      <c r="FO2404" s="4"/>
      <c r="FP2404" s="4"/>
      <c r="FQ2404" s="4"/>
      <c r="FR2404" s="4"/>
      <c r="FS2404" s="4"/>
      <c r="FT2404" s="4"/>
      <c r="FU2404" s="4"/>
      <c r="FV2404" s="4"/>
      <c r="FW2404" s="4"/>
      <c r="FX2404" s="4"/>
      <c r="FY2404" s="4"/>
      <c r="FZ2404" s="4"/>
      <c r="GA2404" s="4"/>
      <c r="GB2404" s="4"/>
      <c r="GC2404" s="4"/>
      <c r="GD2404" s="4"/>
      <c r="GE2404" s="4"/>
      <c r="GF2404" s="4"/>
      <c r="GG2404" s="4"/>
      <c r="GH2404" s="4"/>
      <c r="GI2404" s="4"/>
      <c r="GJ2404" s="4"/>
      <c r="GK2404" s="4"/>
      <c r="GL2404" s="4"/>
      <c r="GM2404" s="4"/>
      <c r="GN2404" s="4"/>
      <c r="GO2404" s="4"/>
      <c r="GP2404" s="4"/>
      <c r="GQ2404" s="4"/>
      <c r="GR2404" s="4"/>
      <c r="GS2404" s="4"/>
      <c r="GT2404" s="4"/>
      <c r="GU2404" s="4"/>
      <c r="GV2404" s="4"/>
      <c r="GW2404" s="4"/>
      <c r="GX2404" s="4"/>
      <c r="GY2404" s="4"/>
      <c r="GZ2404" s="4"/>
      <c r="HA2404" s="4"/>
      <c r="HB2404" s="4"/>
      <c r="HC2404" s="4"/>
      <c r="HD2404" s="4"/>
      <c r="HE2404" s="4"/>
    </row>
    <row r="2405">
      <c r="A2405" s="2" t="s">
        <v>11133</v>
      </c>
      <c r="B2405" s="2" t="s">
        <v>258</v>
      </c>
      <c r="C2405" s="2" t="s">
        <v>259</v>
      </c>
      <c r="D2405" s="2" t="s">
        <v>1112</v>
      </c>
      <c r="E2405" s="2" t="s">
        <v>3467</v>
      </c>
      <c r="F2405" s="2" t="s">
        <v>11134</v>
      </c>
      <c r="G2405" s="2" t="s">
        <v>11134</v>
      </c>
      <c r="H2405" s="2" t="s">
        <v>11134</v>
      </c>
      <c r="I2405" s="2" t="s">
        <v>7825</v>
      </c>
      <c r="J2405" s="2" t="s">
        <v>1189</v>
      </c>
      <c r="K2405" s="2" t="s">
        <v>316</v>
      </c>
      <c r="L2405" s="3">
        <v>43.2</v>
      </c>
      <c r="M2405" s="3">
        <v>45.36</v>
      </c>
      <c r="N2405" s="3">
        <v>89.99</v>
      </c>
      <c r="O2405" s="2" t="s">
        <v>240</v>
      </c>
      <c r="P2405" s="2" t="s">
        <v>266</v>
      </c>
      <c r="Q2405" s="2" t="s">
        <v>234</v>
      </c>
      <c r="R2405" s="2" t="s">
        <v>228</v>
      </c>
      <c r="S2405" s="2" t="s">
        <v>7826</v>
      </c>
      <c r="T2405" s="2" t="s">
        <v>350</v>
      </c>
      <c r="U2405" s="2" t="s">
        <v>228</v>
      </c>
      <c r="V2405" s="2" t="s">
        <v>236</v>
      </c>
      <c r="W2405" s="2" t="s">
        <v>269</v>
      </c>
      <c r="X2405" s="2" t="s">
        <v>228</v>
      </c>
      <c r="Y2405" s="2" t="s">
        <v>270</v>
      </c>
      <c r="Z2405" s="4">
        <v>192</v>
      </c>
      <c r="AA2405" s="4">
        <f>=ROUNDDOWN(27.4285714285714,0)</f>
      </c>
      <c r="AB2405" s="5">
        <v>7</v>
      </c>
      <c r="AC2405" s="2" t="s">
        <v>2799</v>
      </c>
      <c r="AD2405" s="4">
        <v>50</v>
      </c>
      <c r="AE2405" s="4">
        <v>260</v>
      </c>
      <c r="AF2405" s="6">
        <v>66</v>
      </c>
      <c r="AG2405" s="6"/>
      <c r="AH2405" s="7">
        <v>1</v>
      </c>
      <c r="AI2405" s="4"/>
      <c r="AJ2405" s="4">
        <f>=ROUNDDOWN({0},0)</f>
      </c>
      <c r="AK2405" s="5"/>
      <c r="AL2405" s="2" t="s">
        <v>228</v>
      </c>
      <c r="AM2405" s="4"/>
      <c r="AN2405" s="4"/>
      <c r="AO2405" s="7"/>
      <c r="AP2405" s="4"/>
      <c r="AQ2405" s="8"/>
      <c r="AR2405" s="4"/>
      <c r="AS2405" s="8"/>
      <c r="AT2405" s="7"/>
      <c r="AU2405" s="7"/>
      <c r="AV2405" s="4"/>
      <c r="AW2405" s="8"/>
      <c r="AX2405" s="4"/>
      <c r="AY2405" s="8"/>
      <c r="AZ2405" s="7"/>
      <c r="BA2405" s="7"/>
      <c r="BB2405" s="7"/>
      <c r="BC2405" s="4"/>
      <c r="BD2405" s="8"/>
      <c r="BE2405" s="4"/>
      <c r="BF2405" s="8"/>
      <c r="BG2405" s="7"/>
      <c r="BH2405" s="7"/>
      <c r="BI2405" s="7"/>
      <c r="BJ2405" s="4">
        <v>11</v>
      </c>
      <c r="BK2405" s="8">
        <v>476.82</v>
      </c>
      <c r="BL2405" s="2" t="s">
        <v>3517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11135</v>
      </c>
      <c r="BV2405" s="2" t="s">
        <v>228</v>
      </c>
      <c r="BW2405" s="2" t="s">
        <v>228</v>
      </c>
      <c r="BX2405" s="2" t="s">
        <v>273</v>
      </c>
      <c r="BY2405" s="2" t="s">
        <v>274</v>
      </c>
      <c r="BZ2405" s="2" t="s">
        <v>240</v>
      </c>
      <c r="CA2405" s="2" t="s">
        <v>275</v>
      </c>
      <c r="CB2405" s="2" t="s">
        <v>2142</v>
      </c>
      <c r="CC2405" s="2" t="s">
        <v>241</v>
      </c>
      <c r="CD2405" s="2" t="s">
        <v>228</v>
      </c>
      <c r="CE2405" s="4">
        <v>192</v>
      </c>
      <c r="CF2405" s="4"/>
      <c r="CG2405" s="4"/>
      <c r="CH2405" s="4"/>
      <c r="CI2405" s="4"/>
      <c r="CJ2405" s="4"/>
      <c r="CK2405" s="4"/>
      <c r="CL2405" s="4"/>
      <c r="CM2405" s="4"/>
      <c r="CN2405" s="4"/>
      <c r="CO2405" s="4"/>
      <c r="CP2405" s="4"/>
      <c r="CQ2405" s="4"/>
      <c r="CR2405" s="4"/>
      <c r="CS2405" s="4"/>
      <c r="CT2405" s="4"/>
      <c r="CU2405" s="4"/>
      <c r="CV2405" s="4"/>
      <c r="CW2405" s="4"/>
      <c r="CX2405" s="4"/>
      <c r="CY2405" s="4"/>
      <c r="CZ2405" s="4"/>
      <c r="DA2405" s="4"/>
      <c r="DB2405" s="4"/>
      <c r="DC2405" s="4"/>
      <c r="DD2405" s="4"/>
      <c r="DE2405" s="4"/>
      <c r="DF2405" s="4"/>
      <c r="DG2405" s="4"/>
      <c r="DH2405" s="4"/>
      <c r="DI2405" s="4"/>
      <c r="DJ2405" s="4"/>
      <c r="DK2405" s="4"/>
      <c r="DL2405" s="4"/>
      <c r="DM2405" s="4"/>
      <c r="DN2405" s="4"/>
      <c r="DO2405" s="4"/>
      <c r="DP2405" s="4"/>
      <c r="DQ2405" s="4"/>
      <c r="DR2405" s="4"/>
      <c r="DS2405" s="4"/>
      <c r="DT2405" s="4"/>
      <c r="DU2405" s="4"/>
      <c r="DV2405" s="4"/>
      <c r="DW2405" s="4"/>
      <c r="DX2405" s="4"/>
      <c r="DY2405" s="4"/>
      <c r="DZ2405" s="4"/>
      <c r="EA2405" s="4"/>
      <c r="EB2405" s="4"/>
      <c r="EC2405" s="4">
        <v>50</v>
      </c>
      <c r="ED2405" s="4"/>
      <c r="EE2405" s="4"/>
      <c r="EF2405" s="4"/>
      <c r="EG2405" s="4"/>
      <c r="EH2405" s="4"/>
      <c r="EI2405" s="4"/>
      <c r="EJ2405" s="4"/>
      <c r="EK2405" s="4"/>
      <c r="EL2405" s="4"/>
      <c r="EM2405" s="4"/>
      <c r="EN2405" s="4"/>
      <c r="EO2405" s="4"/>
      <c r="EP2405" s="4"/>
      <c r="EQ2405" s="4"/>
      <c r="ER2405" s="4"/>
      <c r="ES2405" s="4"/>
      <c r="ET2405" s="4"/>
      <c r="EU2405" s="4"/>
      <c r="EV2405" s="4"/>
      <c r="EW2405" s="4"/>
      <c r="EX2405" s="4">
        <v>100</v>
      </c>
      <c r="EY2405" s="4"/>
      <c r="EZ2405" s="4"/>
      <c r="FA2405" s="4"/>
      <c r="FB2405" s="4"/>
      <c r="FC2405" s="4"/>
      <c r="FD2405" s="4"/>
      <c r="FE2405" s="4"/>
      <c r="FF2405" s="4"/>
      <c r="FG2405" s="4"/>
      <c r="FH2405" s="4"/>
      <c r="FI2405" s="4"/>
      <c r="FJ2405" s="4"/>
      <c r="FK2405" s="4"/>
      <c r="FL2405" s="4"/>
      <c r="FM2405" s="4"/>
      <c r="FN2405" s="4"/>
      <c r="FO2405" s="4"/>
      <c r="FP2405" s="4"/>
      <c r="FQ2405" s="4"/>
      <c r="FR2405" s="4"/>
      <c r="FS2405" s="4"/>
      <c r="FT2405" s="4"/>
      <c r="FU2405" s="4"/>
      <c r="FV2405" s="4"/>
      <c r="FW2405" s="4"/>
      <c r="FX2405" s="4"/>
      <c r="FY2405" s="4"/>
      <c r="FZ2405" s="4"/>
      <c r="GA2405" s="4"/>
      <c r="GB2405" s="4"/>
      <c r="GC2405" s="4">
        <v>110</v>
      </c>
      <c r="GD2405" s="4"/>
      <c r="GE2405" s="4"/>
      <c r="GF2405" s="4"/>
      <c r="GG2405" s="4"/>
      <c r="GH2405" s="4"/>
      <c r="GI2405" s="4"/>
      <c r="GJ2405" s="4"/>
      <c r="GK2405" s="4"/>
      <c r="GL2405" s="4"/>
      <c r="GM2405" s="4"/>
      <c r="GN2405" s="4"/>
      <c r="GO2405" s="4"/>
      <c r="GP2405" s="4"/>
      <c r="GQ2405" s="4"/>
      <c r="GR2405" s="4"/>
      <c r="GS2405" s="4"/>
      <c r="GT2405" s="4"/>
      <c r="GU2405" s="4"/>
      <c r="GV2405" s="4"/>
      <c r="GW2405" s="4"/>
      <c r="GX2405" s="4"/>
      <c r="GY2405" s="4"/>
      <c r="GZ2405" s="4"/>
      <c r="HA2405" s="4"/>
      <c r="HB2405" s="4"/>
      <c r="HC2405" s="4"/>
      <c r="HD2405" s="4"/>
      <c r="HE2405" s="4"/>
    </row>
    <row r="2406">
      <c r="A2406" s="2" t="s">
        <v>11136</v>
      </c>
      <c r="B2406" s="2" t="s">
        <v>848</v>
      </c>
      <c r="C2406" s="2" t="s">
        <v>849</v>
      </c>
      <c r="D2406" s="2" t="s">
        <v>1112</v>
      </c>
      <c r="E2406" s="2" t="s">
        <v>1165</v>
      </c>
      <c r="F2406" s="2" t="s">
        <v>11137</v>
      </c>
      <c r="G2406" s="2" t="s">
        <v>11138</v>
      </c>
      <c r="H2406" s="2" t="s">
        <v>11139</v>
      </c>
      <c r="I2406" s="2" t="s">
        <v>3216</v>
      </c>
      <c r="J2406" s="2" t="s">
        <v>856</v>
      </c>
      <c r="K2406" s="2" t="s">
        <v>978</v>
      </c>
      <c r="L2406" s="3">
        <v>28.8</v>
      </c>
      <c r="M2406" s="3">
        <v>30.24</v>
      </c>
      <c r="N2406" s="3">
        <v>59.99</v>
      </c>
      <c r="O2406" s="2" t="s">
        <v>232</v>
      </c>
      <c r="P2406" s="2" t="s">
        <v>922</v>
      </c>
      <c r="Q2406" s="2" t="s">
        <v>234</v>
      </c>
      <c r="R2406" s="2" t="s">
        <v>228</v>
      </c>
      <c r="S2406" s="2" t="s">
        <v>11140</v>
      </c>
      <c r="T2406" s="2" t="s">
        <v>228</v>
      </c>
      <c r="U2406" s="2" t="s">
        <v>308</v>
      </c>
      <c r="V2406" s="2" t="s">
        <v>1781</v>
      </c>
      <c r="W2406" s="2" t="s">
        <v>2472</v>
      </c>
      <c r="X2406" s="2" t="s">
        <v>1229</v>
      </c>
      <c r="Y2406" s="2" t="s">
        <v>270</v>
      </c>
      <c r="Z2406" s="4"/>
      <c r="AA2406" s="4">
        <f>=ROUNDDOWN({0},0)</f>
      </c>
      <c r="AB2406" s="5"/>
      <c r="AC2406" s="2" t="s">
        <v>228</v>
      </c>
      <c r="AD2406" s="4"/>
      <c r="AE2406" s="4"/>
      <c r="AF2406" s="6"/>
      <c r="AG2406" s="6"/>
      <c r="AH2406" s="7">
        <v>0</v>
      </c>
      <c r="AI2406" s="4"/>
      <c r="AJ2406" s="4">
        <f>=ROUNDDOWN({0},0)</f>
      </c>
      <c r="AK2406" s="5"/>
      <c r="AL2406" s="2" t="s">
        <v>228</v>
      </c>
      <c r="AM2406" s="4"/>
      <c r="AN2406" s="4"/>
      <c r="AO2406" s="7"/>
      <c r="AP2406" s="4"/>
      <c r="AQ2406" s="8"/>
      <c r="AR2406" s="4"/>
      <c r="AS2406" s="8"/>
      <c r="AT2406" s="7"/>
      <c r="AU2406" s="7"/>
      <c r="AV2406" s="4"/>
      <c r="AW2406" s="8"/>
      <c r="AX2406" s="4"/>
      <c r="AY2406" s="8"/>
      <c r="AZ2406" s="7"/>
      <c r="BA2406" s="7"/>
      <c r="BB2406" s="7"/>
      <c r="BC2406" s="4"/>
      <c r="BD2406" s="8"/>
      <c r="BE2406" s="4"/>
      <c r="BF2406" s="8"/>
      <c r="BG2406" s="7"/>
      <c r="BH2406" s="7"/>
      <c r="BI2406" s="7"/>
      <c r="BJ2406" s="4"/>
      <c r="BK2406" s="8"/>
      <c r="BL2406" s="2" t="s">
        <v>228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11141</v>
      </c>
      <c r="BV2406" s="2" t="s">
        <v>228</v>
      </c>
      <c r="BW2406" s="2" t="s">
        <v>228</v>
      </c>
      <c r="BX2406" s="2" t="s">
        <v>337</v>
      </c>
      <c r="BY2406" s="2" t="s">
        <v>274</v>
      </c>
      <c r="BZ2406" s="2" t="s">
        <v>240</v>
      </c>
      <c r="CA2406" s="2" t="s">
        <v>275</v>
      </c>
      <c r="CB2406" s="2" t="s">
        <v>641</v>
      </c>
      <c r="CC2406" s="2" t="s">
        <v>241</v>
      </c>
      <c r="CD2406" s="2" t="s">
        <v>228</v>
      </c>
      <c r="CE2406" s="4"/>
      <c r="CF2406" s="4"/>
      <c r="CG2406" s="4"/>
      <c r="CH2406" s="4"/>
      <c r="CI2406" s="4"/>
      <c r="CJ2406" s="4"/>
      <c r="CK2406" s="4"/>
      <c r="CL2406" s="4"/>
      <c r="CM2406" s="4"/>
      <c r="CN2406" s="4"/>
      <c r="CO2406" s="4"/>
      <c r="CP2406" s="4"/>
      <c r="CQ2406" s="4"/>
      <c r="CR2406" s="4"/>
      <c r="CS2406" s="4"/>
      <c r="CT2406" s="4"/>
      <c r="CU2406" s="4"/>
      <c r="CV2406" s="4"/>
      <c r="CW2406" s="4"/>
      <c r="CX2406" s="4"/>
      <c r="CY2406" s="4"/>
      <c r="CZ2406" s="4"/>
      <c r="DA2406" s="4"/>
      <c r="DB2406" s="4"/>
      <c r="DC2406" s="4"/>
      <c r="DD2406" s="4"/>
      <c r="DE2406" s="4"/>
      <c r="DF2406" s="4"/>
      <c r="DG2406" s="4"/>
      <c r="DH2406" s="4"/>
      <c r="DI2406" s="4"/>
      <c r="DJ2406" s="4"/>
      <c r="DK2406" s="4"/>
      <c r="DL2406" s="4"/>
      <c r="DM2406" s="4"/>
      <c r="DN2406" s="4"/>
      <c r="DO2406" s="4"/>
      <c r="DP2406" s="4"/>
      <c r="DQ2406" s="4"/>
      <c r="DR2406" s="4"/>
      <c r="DS2406" s="4"/>
      <c r="DT2406" s="4"/>
      <c r="DU2406" s="4"/>
      <c r="DV2406" s="4"/>
      <c r="DW2406" s="4"/>
      <c r="DX2406" s="4"/>
      <c r="DY2406" s="4"/>
      <c r="DZ2406" s="4"/>
      <c r="EA2406" s="4"/>
      <c r="EB2406" s="4"/>
      <c r="EC2406" s="4"/>
      <c r="ED2406" s="4"/>
      <c r="EE2406" s="4"/>
      <c r="EF2406" s="4"/>
      <c r="EG2406" s="4"/>
      <c r="EH2406" s="4"/>
      <c r="EI2406" s="4"/>
      <c r="EJ2406" s="4"/>
      <c r="EK2406" s="4"/>
      <c r="EL2406" s="4"/>
      <c r="EM2406" s="4"/>
      <c r="EN2406" s="4"/>
      <c r="EO2406" s="4"/>
      <c r="EP2406" s="4"/>
      <c r="EQ2406" s="4"/>
      <c r="ER2406" s="4"/>
      <c r="ES2406" s="4"/>
      <c r="ET2406" s="4"/>
      <c r="EU2406" s="4"/>
      <c r="EV2406" s="4"/>
      <c r="EW2406" s="4"/>
      <c r="EX2406" s="4"/>
      <c r="EY2406" s="4"/>
      <c r="EZ2406" s="4"/>
      <c r="FA2406" s="4"/>
      <c r="FB2406" s="4"/>
      <c r="FC2406" s="4"/>
      <c r="FD2406" s="4"/>
      <c r="FE2406" s="4"/>
      <c r="FF2406" s="4"/>
      <c r="FG2406" s="4"/>
      <c r="FH2406" s="4"/>
      <c r="FI2406" s="4"/>
      <c r="FJ2406" s="4"/>
      <c r="FK2406" s="4"/>
      <c r="FL2406" s="4"/>
      <c r="FM2406" s="4"/>
      <c r="FN2406" s="4"/>
      <c r="FO2406" s="4"/>
      <c r="FP2406" s="4"/>
      <c r="FQ2406" s="4"/>
      <c r="FR2406" s="4"/>
      <c r="FS2406" s="4"/>
      <c r="FT2406" s="4"/>
      <c r="FU2406" s="4"/>
      <c r="FV2406" s="4"/>
      <c r="FW2406" s="4"/>
      <c r="FX2406" s="4"/>
      <c r="FY2406" s="4"/>
      <c r="FZ2406" s="4"/>
      <c r="GA2406" s="4"/>
      <c r="GB2406" s="4"/>
      <c r="GC2406" s="4"/>
      <c r="GD2406" s="4"/>
      <c r="GE2406" s="4"/>
      <c r="GF2406" s="4"/>
      <c r="GG2406" s="4"/>
      <c r="GH2406" s="4"/>
      <c r="GI2406" s="4"/>
      <c r="GJ2406" s="4"/>
      <c r="GK2406" s="4"/>
      <c r="GL2406" s="4"/>
      <c r="GM2406" s="4"/>
      <c r="GN2406" s="4"/>
      <c r="GO2406" s="4"/>
      <c r="GP2406" s="4"/>
      <c r="GQ2406" s="4"/>
      <c r="GR2406" s="4"/>
      <c r="GS2406" s="4"/>
      <c r="GT2406" s="4"/>
      <c r="GU2406" s="4"/>
      <c r="GV2406" s="4"/>
      <c r="GW2406" s="4"/>
      <c r="GX2406" s="4"/>
      <c r="GY2406" s="4"/>
      <c r="GZ2406" s="4"/>
      <c r="HA2406" s="4"/>
      <c r="HB2406" s="4"/>
      <c r="HC2406" s="4"/>
      <c r="HD2406" s="4"/>
      <c r="HE2406" s="4"/>
    </row>
    <row r="2407">
      <c r="A2407" s="2" t="s">
        <v>11142</v>
      </c>
      <c r="B2407" s="2" t="s">
        <v>834</v>
      </c>
      <c r="C2407" s="2" t="s">
        <v>1743</v>
      </c>
      <c r="D2407" s="2" t="s">
        <v>1101</v>
      </c>
      <c r="E2407" s="2" t="s">
        <v>1102</v>
      </c>
      <c r="F2407" s="2" t="s">
        <v>11143</v>
      </c>
      <c r="G2407" s="2" t="s">
        <v>11143</v>
      </c>
      <c r="H2407" s="2" t="s">
        <v>11143</v>
      </c>
      <c r="I2407" s="2" t="s">
        <v>11144</v>
      </c>
      <c r="J2407" s="2" t="s">
        <v>840</v>
      </c>
      <c r="K2407" s="2" t="s">
        <v>265</v>
      </c>
      <c r="L2407" s="3">
        <v>53</v>
      </c>
      <c r="M2407" s="3">
        <v>55.65</v>
      </c>
      <c r="N2407" s="3">
        <v>109.99</v>
      </c>
      <c r="O2407" s="2" t="s">
        <v>240</v>
      </c>
      <c r="P2407" s="2" t="s">
        <v>233</v>
      </c>
      <c r="Q2407" s="2" t="s">
        <v>234</v>
      </c>
      <c r="R2407" s="2" t="s">
        <v>228</v>
      </c>
      <c r="S2407" s="2" t="s">
        <v>228</v>
      </c>
      <c r="T2407" s="2" t="s">
        <v>228</v>
      </c>
      <c r="U2407" s="2" t="s">
        <v>416</v>
      </c>
      <c r="V2407" s="2" t="s">
        <v>842</v>
      </c>
      <c r="W2407" s="2" t="s">
        <v>463</v>
      </c>
      <c r="X2407" s="2" t="s">
        <v>309</v>
      </c>
      <c r="Y2407" s="2" t="s">
        <v>539</v>
      </c>
      <c r="Z2407" s="4">
        <v>53</v>
      </c>
      <c r="AA2407" s="4">
        <f>=ROUNDDOWN(26.5,0)</f>
      </c>
      <c r="AB2407" s="5">
        <v>2</v>
      </c>
      <c r="AC2407" s="2" t="s">
        <v>190</v>
      </c>
      <c r="AD2407" s="4">
        <v>100</v>
      </c>
      <c r="AE2407" s="4">
        <v>100</v>
      </c>
      <c r="AF2407" s="6">
        <v>65</v>
      </c>
      <c r="AG2407" s="6"/>
      <c r="AH2407" s="7">
        <v>1</v>
      </c>
      <c r="AI2407" s="4"/>
      <c r="AJ2407" s="4">
        <f>=ROUNDDOWN({0},0)</f>
      </c>
      <c r="AK2407" s="5"/>
      <c r="AL2407" s="2" t="s">
        <v>228</v>
      </c>
      <c r="AM2407" s="4"/>
      <c r="AN2407" s="4"/>
      <c r="AO2407" s="7"/>
      <c r="AP2407" s="4"/>
      <c r="AQ2407" s="8"/>
      <c r="AR2407" s="4"/>
      <c r="AS2407" s="8"/>
      <c r="AT2407" s="7"/>
      <c r="AU2407" s="7"/>
      <c r="AV2407" s="4"/>
      <c r="AW2407" s="8"/>
      <c r="AX2407" s="4"/>
      <c r="AY2407" s="8"/>
      <c r="AZ2407" s="7"/>
      <c r="BA2407" s="7"/>
      <c r="BB2407" s="7"/>
      <c r="BC2407" s="4" t="s">
        <v>228</v>
      </c>
      <c r="BD2407" s="8" t="s">
        <v>228</v>
      </c>
      <c r="BE2407" s="4" t="s">
        <v>228</v>
      </c>
      <c r="BF2407" s="8" t="s">
        <v>228</v>
      </c>
      <c r="BG2407" s="7" t="s">
        <v>228</v>
      </c>
      <c r="BH2407" s="7" t="s">
        <v>228</v>
      </c>
      <c r="BI2407" s="7"/>
      <c r="BJ2407" s="4">
        <v>1</v>
      </c>
      <c r="BK2407" s="8">
        <v>62.33</v>
      </c>
      <c r="BL2407" s="2" t="s">
        <v>484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11145</v>
      </c>
      <c r="BV2407" s="2" t="s">
        <v>228</v>
      </c>
      <c r="BW2407" s="2" t="s">
        <v>228</v>
      </c>
      <c r="BX2407" s="2" t="s">
        <v>273</v>
      </c>
      <c r="BY2407" s="2" t="s">
        <v>274</v>
      </c>
      <c r="BZ2407" s="2" t="s">
        <v>240</v>
      </c>
      <c r="CA2407" s="2" t="s">
        <v>7560</v>
      </c>
      <c r="CB2407" s="2" t="s">
        <v>228</v>
      </c>
      <c r="CC2407" s="2" t="s">
        <v>241</v>
      </c>
      <c r="CD2407" s="2" t="s">
        <v>228</v>
      </c>
      <c r="CE2407" s="4"/>
      <c r="CF2407" s="4">
        <v>53</v>
      </c>
      <c r="CG2407" s="4"/>
      <c r="CH2407" s="4"/>
      <c r="CI2407" s="4"/>
      <c r="CJ2407" s="4"/>
      <c r="CK2407" s="4"/>
      <c r="CL2407" s="4"/>
      <c r="CM2407" s="4"/>
      <c r="CN2407" s="4"/>
      <c r="CO2407" s="4"/>
      <c r="CP2407" s="4"/>
      <c r="CQ2407" s="4"/>
      <c r="CR2407" s="4"/>
      <c r="CS2407" s="4"/>
      <c r="CT2407" s="4"/>
      <c r="CU2407" s="4"/>
      <c r="CV2407" s="4"/>
      <c r="CW2407" s="4"/>
      <c r="CX2407" s="4"/>
      <c r="CY2407" s="4"/>
      <c r="CZ2407" s="4"/>
      <c r="DA2407" s="4"/>
      <c r="DB2407" s="4"/>
      <c r="DC2407" s="4"/>
      <c r="DD2407" s="4"/>
      <c r="DE2407" s="4"/>
      <c r="DF2407" s="4"/>
      <c r="DG2407" s="4"/>
      <c r="DH2407" s="4"/>
      <c r="DI2407" s="4"/>
      <c r="DJ2407" s="4"/>
      <c r="DK2407" s="4"/>
      <c r="DL2407" s="4"/>
      <c r="DM2407" s="4"/>
      <c r="DN2407" s="4"/>
      <c r="DO2407" s="4"/>
      <c r="DP2407" s="4"/>
      <c r="DQ2407" s="4"/>
      <c r="DR2407" s="4"/>
      <c r="DS2407" s="4"/>
      <c r="DT2407" s="4"/>
      <c r="DU2407" s="4"/>
      <c r="DV2407" s="4"/>
      <c r="DW2407" s="4"/>
      <c r="DX2407" s="4"/>
      <c r="DY2407" s="4"/>
      <c r="DZ2407" s="4"/>
      <c r="EA2407" s="4"/>
      <c r="EB2407" s="4"/>
      <c r="EC2407" s="4"/>
      <c r="ED2407" s="4"/>
      <c r="EE2407" s="4"/>
      <c r="EF2407" s="4"/>
      <c r="EG2407" s="4"/>
      <c r="EH2407" s="4"/>
      <c r="EI2407" s="4"/>
      <c r="EJ2407" s="4"/>
      <c r="EK2407" s="4"/>
      <c r="EL2407" s="4"/>
      <c r="EM2407" s="4"/>
      <c r="EN2407" s="4"/>
      <c r="EO2407" s="4"/>
      <c r="EP2407" s="4"/>
      <c r="EQ2407" s="4"/>
      <c r="ER2407" s="4"/>
      <c r="ES2407" s="4"/>
      <c r="ET2407" s="4"/>
      <c r="EU2407" s="4"/>
      <c r="EV2407" s="4"/>
      <c r="EW2407" s="4"/>
      <c r="EX2407" s="4"/>
      <c r="EY2407" s="4"/>
      <c r="EZ2407" s="4"/>
      <c r="FA2407" s="4"/>
      <c r="FB2407" s="4"/>
      <c r="FC2407" s="4"/>
      <c r="FD2407" s="4"/>
      <c r="FE2407" s="4"/>
      <c r="FF2407" s="4"/>
      <c r="FG2407" s="4"/>
      <c r="FH2407" s="4"/>
      <c r="FI2407" s="4"/>
      <c r="FJ2407" s="4"/>
      <c r="FK2407" s="4"/>
      <c r="FL2407" s="4"/>
      <c r="FM2407" s="4"/>
      <c r="FN2407" s="4"/>
      <c r="FO2407" s="4"/>
      <c r="FP2407" s="4"/>
      <c r="FQ2407" s="4"/>
      <c r="FR2407" s="4"/>
      <c r="FS2407" s="4"/>
      <c r="FT2407" s="4"/>
      <c r="FU2407" s="4"/>
      <c r="FV2407" s="4"/>
      <c r="FW2407" s="4"/>
      <c r="FX2407" s="4"/>
      <c r="FY2407" s="4"/>
      <c r="FZ2407" s="4">
        <v>100</v>
      </c>
      <c r="GA2407" s="4"/>
      <c r="GB2407" s="4"/>
      <c r="GC2407" s="4"/>
      <c r="GD2407" s="4"/>
      <c r="GE2407" s="4"/>
      <c r="GF2407" s="4"/>
      <c r="GG2407" s="4"/>
      <c r="GH2407" s="4"/>
      <c r="GI2407" s="4"/>
      <c r="GJ2407" s="4"/>
      <c r="GK2407" s="4"/>
      <c r="GL2407" s="4"/>
      <c r="GM2407" s="4"/>
      <c r="GN2407" s="4"/>
      <c r="GO2407" s="4"/>
      <c r="GP2407" s="4"/>
      <c r="GQ2407" s="4"/>
      <c r="GR2407" s="4"/>
      <c r="GS2407" s="4"/>
      <c r="GT2407" s="4"/>
      <c r="GU2407" s="4"/>
      <c r="GV2407" s="4"/>
      <c r="GW2407" s="4"/>
      <c r="GX2407" s="4"/>
      <c r="GY2407" s="4"/>
      <c r="GZ2407" s="4"/>
      <c r="HA2407" s="4"/>
      <c r="HB2407" s="4"/>
      <c r="HC2407" s="4"/>
      <c r="HD2407" s="4"/>
      <c r="HE2407" s="4"/>
    </row>
    <row r="2408">
      <c r="A2408" s="2" t="s">
        <v>11146</v>
      </c>
      <c r="B2408" s="2" t="s">
        <v>834</v>
      </c>
      <c r="C2408" s="2" t="s">
        <v>1743</v>
      </c>
      <c r="D2408" s="2" t="s">
        <v>1101</v>
      </c>
      <c r="E2408" s="2" t="s">
        <v>1102</v>
      </c>
      <c r="F2408" s="2" t="s">
        <v>11143</v>
      </c>
      <c r="G2408" s="2" t="s">
        <v>11143</v>
      </c>
      <c r="H2408" s="2" t="s">
        <v>11143</v>
      </c>
      <c r="I2408" s="2" t="s">
        <v>11144</v>
      </c>
      <c r="J2408" s="2" t="s">
        <v>840</v>
      </c>
      <c r="K2408" s="2" t="s">
        <v>460</v>
      </c>
      <c r="L2408" s="3">
        <v>53</v>
      </c>
      <c r="M2408" s="3">
        <v>55.65</v>
      </c>
      <c r="N2408" s="3">
        <v>109.99</v>
      </c>
      <c r="O2408" s="2" t="s">
        <v>240</v>
      </c>
      <c r="P2408" s="2" t="s">
        <v>233</v>
      </c>
      <c r="Q2408" s="2" t="s">
        <v>234</v>
      </c>
      <c r="R2408" s="2" t="s">
        <v>228</v>
      </c>
      <c r="S2408" s="2" t="s">
        <v>228</v>
      </c>
      <c r="T2408" s="2" t="s">
        <v>228</v>
      </c>
      <c r="U2408" s="2" t="s">
        <v>416</v>
      </c>
      <c r="V2408" s="2" t="s">
        <v>842</v>
      </c>
      <c r="W2408" s="2" t="s">
        <v>463</v>
      </c>
      <c r="X2408" s="2" t="s">
        <v>309</v>
      </c>
      <c r="Y2408" s="2" t="s">
        <v>539</v>
      </c>
      <c r="Z2408" s="4">
        <v>25</v>
      </c>
      <c r="AA2408" s="4">
        <f>=ROUNDDOWN(14.7058823529412,0)</f>
      </c>
      <c r="AB2408" s="5">
        <v>1.7</v>
      </c>
      <c r="AC2408" s="2" t="s">
        <v>190</v>
      </c>
      <c r="AD2408" s="4">
        <v>100</v>
      </c>
      <c r="AE2408" s="4">
        <v>100</v>
      </c>
      <c r="AF2408" s="6">
        <v>65</v>
      </c>
      <c r="AG2408" s="6"/>
      <c r="AH2408" s="7">
        <v>1</v>
      </c>
      <c r="AI2408" s="4"/>
      <c r="AJ2408" s="4">
        <f>=ROUNDDOWN({0},0)</f>
      </c>
      <c r="AK2408" s="5"/>
      <c r="AL2408" s="2" t="s">
        <v>228</v>
      </c>
      <c r="AM2408" s="4"/>
      <c r="AN2408" s="4"/>
      <c r="AO2408" s="7"/>
      <c r="AP2408" s="4"/>
      <c r="AQ2408" s="8"/>
      <c r="AR2408" s="4"/>
      <c r="AS2408" s="8"/>
      <c r="AT2408" s="7"/>
      <c r="AU2408" s="7"/>
      <c r="AV2408" s="4"/>
      <c r="AW2408" s="8"/>
      <c r="AX2408" s="4"/>
      <c r="AY2408" s="8"/>
      <c r="AZ2408" s="7"/>
      <c r="BA2408" s="7"/>
      <c r="BB2408" s="7"/>
      <c r="BC2408" s="4" t="s">
        <v>228</v>
      </c>
      <c r="BD2408" s="8" t="s">
        <v>228</v>
      </c>
      <c r="BE2408" s="4" t="s">
        <v>228</v>
      </c>
      <c r="BF2408" s="8" t="s">
        <v>228</v>
      </c>
      <c r="BG2408" s="7" t="s">
        <v>228</v>
      </c>
      <c r="BH2408" s="7" t="s">
        <v>228</v>
      </c>
      <c r="BI2408" s="7"/>
      <c r="BJ2408" s="4">
        <v>3</v>
      </c>
      <c r="BK2408" s="8">
        <v>151.37</v>
      </c>
      <c r="BL2408" s="2" t="s">
        <v>4951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11147</v>
      </c>
      <c r="BV2408" s="2" t="s">
        <v>228</v>
      </c>
      <c r="BW2408" s="2" t="s">
        <v>228</v>
      </c>
      <c r="BX2408" s="2" t="s">
        <v>273</v>
      </c>
      <c r="BY2408" s="2" t="s">
        <v>274</v>
      </c>
      <c r="BZ2408" s="2" t="s">
        <v>240</v>
      </c>
      <c r="CA2408" s="2" t="s">
        <v>7560</v>
      </c>
      <c r="CB2408" s="2" t="s">
        <v>1671</v>
      </c>
      <c r="CC2408" s="2" t="s">
        <v>241</v>
      </c>
      <c r="CD2408" s="2" t="s">
        <v>228</v>
      </c>
      <c r="CE2408" s="4"/>
      <c r="CF2408" s="4">
        <v>25</v>
      </c>
      <c r="CG2408" s="4"/>
      <c r="CH2408" s="4"/>
      <c r="CI2408" s="4"/>
      <c r="CJ2408" s="4"/>
      <c r="CK2408" s="4"/>
      <c r="CL2408" s="4"/>
      <c r="CM2408" s="4"/>
      <c r="CN2408" s="4"/>
      <c r="CO2408" s="4"/>
      <c r="CP2408" s="4"/>
      <c r="CQ2408" s="4"/>
      <c r="CR2408" s="4"/>
      <c r="CS2408" s="4"/>
      <c r="CT2408" s="4"/>
      <c r="CU2408" s="4"/>
      <c r="CV2408" s="4"/>
      <c r="CW2408" s="4"/>
      <c r="CX2408" s="4"/>
      <c r="CY2408" s="4"/>
      <c r="CZ2408" s="4"/>
      <c r="DA2408" s="4"/>
      <c r="DB2408" s="4"/>
      <c r="DC2408" s="4"/>
      <c r="DD2408" s="4"/>
      <c r="DE2408" s="4"/>
      <c r="DF2408" s="4"/>
      <c r="DG2408" s="4"/>
      <c r="DH2408" s="4"/>
      <c r="DI2408" s="4"/>
      <c r="DJ2408" s="4"/>
      <c r="DK2408" s="4"/>
      <c r="DL2408" s="4"/>
      <c r="DM2408" s="4"/>
      <c r="DN2408" s="4"/>
      <c r="DO2408" s="4"/>
      <c r="DP2408" s="4"/>
      <c r="DQ2408" s="4"/>
      <c r="DR2408" s="4"/>
      <c r="DS2408" s="4"/>
      <c r="DT2408" s="4"/>
      <c r="DU2408" s="4"/>
      <c r="DV2408" s="4"/>
      <c r="DW2408" s="4"/>
      <c r="DX2408" s="4"/>
      <c r="DY2408" s="4"/>
      <c r="DZ2408" s="4"/>
      <c r="EA2408" s="4"/>
      <c r="EB2408" s="4"/>
      <c r="EC2408" s="4"/>
      <c r="ED2408" s="4"/>
      <c r="EE2408" s="4"/>
      <c r="EF2408" s="4"/>
      <c r="EG2408" s="4"/>
      <c r="EH2408" s="4"/>
      <c r="EI2408" s="4"/>
      <c r="EJ2408" s="4"/>
      <c r="EK2408" s="4"/>
      <c r="EL2408" s="4"/>
      <c r="EM2408" s="4"/>
      <c r="EN2408" s="4"/>
      <c r="EO2408" s="4"/>
      <c r="EP2408" s="4"/>
      <c r="EQ2408" s="4"/>
      <c r="ER2408" s="4"/>
      <c r="ES2408" s="4"/>
      <c r="ET2408" s="4"/>
      <c r="EU2408" s="4"/>
      <c r="EV2408" s="4"/>
      <c r="EW2408" s="4"/>
      <c r="EX2408" s="4"/>
      <c r="EY2408" s="4"/>
      <c r="EZ2408" s="4"/>
      <c r="FA2408" s="4"/>
      <c r="FB2408" s="4"/>
      <c r="FC2408" s="4"/>
      <c r="FD2408" s="4"/>
      <c r="FE2408" s="4"/>
      <c r="FF2408" s="4"/>
      <c r="FG2408" s="4"/>
      <c r="FH2408" s="4"/>
      <c r="FI2408" s="4"/>
      <c r="FJ2408" s="4"/>
      <c r="FK2408" s="4"/>
      <c r="FL2408" s="4"/>
      <c r="FM2408" s="4"/>
      <c r="FN2408" s="4"/>
      <c r="FO2408" s="4"/>
      <c r="FP2408" s="4"/>
      <c r="FQ2408" s="4"/>
      <c r="FR2408" s="4"/>
      <c r="FS2408" s="4"/>
      <c r="FT2408" s="4"/>
      <c r="FU2408" s="4"/>
      <c r="FV2408" s="4"/>
      <c r="FW2408" s="4"/>
      <c r="FX2408" s="4"/>
      <c r="FY2408" s="4"/>
      <c r="FZ2408" s="4">
        <v>100</v>
      </c>
      <c r="GA2408" s="4"/>
      <c r="GB2408" s="4"/>
      <c r="GC2408" s="4"/>
      <c r="GD2408" s="4"/>
      <c r="GE2408" s="4"/>
      <c r="GF2408" s="4"/>
      <c r="GG2408" s="4"/>
      <c r="GH2408" s="4"/>
      <c r="GI2408" s="4"/>
      <c r="GJ2408" s="4"/>
      <c r="GK2408" s="4"/>
      <c r="GL2408" s="4"/>
      <c r="GM2408" s="4"/>
      <c r="GN2408" s="4"/>
      <c r="GO2408" s="4"/>
      <c r="GP2408" s="4"/>
      <c r="GQ2408" s="4"/>
      <c r="GR2408" s="4"/>
      <c r="GS2408" s="4"/>
      <c r="GT2408" s="4"/>
      <c r="GU2408" s="4"/>
      <c r="GV2408" s="4"/>
      <c r="GW2408" s="4"/>
      <c r="GX2408" s="4"/>
      <c r="GY2408" s="4"/>
      <c r="GZ2408" s="4"/>
      <c r="HA2408" s="4"/>
      <c r="HB2408" s="4"/>
      <c r="HC2408" s="4"/>
      <c r="HD2408" s="4"/>
      <c r="HE2408" s="4"/>
    </row>
    <row r="2409">
      <c r="A2409" s="2" t="s">
        <v>11148</v>
      </c>
      <c r="B2409" s="2" t="s">
        <v>834</v>
      </c>
      <c r="C2409" s="2" t="s">
        <v>1743</v>
      </c>
      <c r="D2409" s="2" t="s">
        <v>1101</v>
      </c>
      <c r="E2409" s="2" t="s">
        <v>1102</v>
      </c>
      <c r="F2409" s="2" t="s">
        <v>11143</v>
      </c>
      <c r="G2409" s="2" t="s">
        <v>11143</v>
      </c>
      <c r="H2409" s="2" t="s">
        <v>11143</v>
      </c>
      <c r="I2409" s="2" t="s">
        <v>11144</v>
      </c>
      <c r="J2409" s="2" t="s">
        <v>840</v>
      </c>
      <c r="K2409" s="2" t="s">
        <v>249</v>
      </c>
      <c r="L2409" s="3">
        <v>53</v>
      </c>
      <c r="M2409" s="3">
        <v>55.65</v>
      </c>
      <c r="N2409" s="3">
        <v>109.99</v>
      </c>
      <c r="O2409" s="2" t="s">
        <v>240</v>
      </c>
      <c r="P2409" s="2" t="s">
        <v>233</v>
      </c>
      <c r="Q2409" s="2" t="s">
        <v>234</v>
      </c>
      <c r="R2409" s="2" t="s">
        <v>228</v>
      </c>
      <c r="S2409" s="2" t="s">
        <v>228</v>
      </c>
      <c r="T2409" s="2" t="s">
        <v>228</v>
      </c>
      <c r="U2409" s="2" t="s">
        <v>416</v>
      </c>
      <c r="V2409" s="2" t="s">
        <v>842</v>
      </c>
      <c r="W2409" s="2" t="s">
        <v>463</v>
      </c>
      <c r="X2409" s="2" t="s">
        <v>309</v>
      </c>
      <c r="Y2409" s="2" t="s">
        <v>539</v>
      </c>
      <c r="Z2409" s="4">
        <v>116</v>
      </c>
      <c r="AA2409" s="4">
        <f>=ROUNDDOWN(116,0)</f>
      </c>
      <c r="AB2409" s="5">
        <v>1</v>
      </c>
      <c r="AC2409" s="2" t="s">
        <v>228</v>
      </c>
      <c r="AD2409" s="4"/>
      <c r="AE2409" s="4"/>
      <c r="AF2409" s="6">
        <v>65</v>
      </c>
      <c r="AG2409" s="6"/>
      <c r="AH2409" s="7">
        <v>1</v>
      </c>
      <c r="AI2409" s="4"/>
      <c r="AJ2409" s="4">
        <f>=ROUNDDOWN({0},0)</f>
      </c>
      <c r="AK2409" s="5"/>
      <c r="AL2409" s="2" t="s">
        <v>228</v>
      </c>
      <c r="AM2409" s="4"/>
      <c r="AN2409" s="4"/>
      <c r="AO2409" s="7"/>
      <c r="AP2409" s="4"/>
      <c r="AQ2409" s="8"/>
      <c r="AR2409" s="4"/>
      <c r="AS2409" s="8"/>
      <c r="AT2409" s="7"/>
      <c r="AU2409" s="7"/>
      <c r="AV2409" s="4"/>
      <c r="AW2409" s="8"/>
      <c r="AX2409" s="4"/>
      <c r="AY2409" s="8"/>
      <c r="AZ2409" s="7"/>
      <c r="BA2409" s="7"/>
      <c r="BB2409" s="7"/>
      <c r="BC2409" s="4" t="s">
        <v>228</v>
      </c>
      <c r="BD2409" s="8" t="s">
        <v>228</v>
      </c>
      <c r="BE2409" s="4" t="s">
        <v>228</v>
      </c>
      <c r="BF2409" s="8" t="s">
        <v>228</v>
      </c>
      <c r="BG2409" s="7" t="s">
        <v>228</v>
      </c>
      <c r="BH2409" s="7" t="s">
        <v>228</v>
      </c>
      <c r="BI2409" s="7"/>
      <c r="BJ2409" s="4"/>
      <c r="BK2409" s="8"/>
      <c r="BL2409" s="2" t="s">
        <v>228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11149</v>
      </c>
      <c r="BV2409" s="2" t="s">
        <v>228</v>
      </c>
      <c r="BW2409" s="2" t="s">
        <v>228</v>
      </c>
      <c r="BX2409" s="2" t="s">
        <v>273</v>
      </c>
      <c r="BY2409" s="2" t="s">
        <v>274</v>
      </c>
      <c r="BZ2409" s="2" t="s">
        <v>240</v>
      </c>
      <c r="CA2409" s="2" t="s">
        <v>7560</v>
      </c>
      <c r="CB2409" s="2" t="s">
        <v>228</v>
      </c>
      <c r="CC2409" s="2" t="s">
        <v>241</v>
      </c>
      <c r="CD2409" s="2" t="s">
        <v>228</v>
      </c>
      <c r="CE2409" s="4"/>
      <c r="CF2409" s="4">
        <v>116</v>
      </c>
      <c r="CG2409" s="4"/>
      <c r="CH2409" s="4"/>
      <c r="CI2409" s="4"/>
      <c r="CJ2409" s="4"/>
      <c r="CK2409" s="4"/>
      <c r="CL2409" s="4"/>
      <c r="CM2409" s="4"/>
      <c r="CN2409" s="4"/>
      <c r="CO2409" s="4"/>
      <c r="CP2409" s="4"/>
      <c r="CQ2409" s="4"/>
      <c r="CR2409" s="4"/>
      <c r="CS2409" s="4"/>
      <c r="CT2409" s="4"/>
      <c r="CU2409" s="4"/>
      <c r="CV2409" s="4"/>
      <c r="CW2409" s="4"/>
      <c r="CX2409" s="4"/>
      <c r="CY2409" s="4"/>
      <c r="CZ2409" s="4"/>
      <c r="DA2409" s="4"/>
      <c r="DB2409" s="4"/>
      <c r="DC2409" s="4"/>
      <c r="DD2409" s="4"/>
      <c r="DE2409" s="4"/>
      <c r="DF2409" s="4"/>
      <c r="DG2409" s="4"/>
      <c r="DH2409" s="4"/>
      <c r="DI2409" s="4"/>
      <c r="DJ2409" s="4"/>
      <c r="DK2409" s="4"/>
      <c r="DL2409" s="4"/>
      <c r="DM2409" s="4"/>
      <c r="DN2409" s="4"/>
      <c r="DO2409" s="4"/>
      <c r="DP2409" s="4"/>
      <c r="DQ2409" s="4"/>
      <c r="DR2409" s="4"/>
      <c r="DS2409" s="4"/>
      <c r="DT2409" s="4"/>
      <c r="DU2409" s="4"/>
      <c r="DV2409" s="4"/>
      <c r="DW2409" s="4"/>
      <c r="DX2409" s="4"/>
      <c r="DY2409" s="4"/>
      <c r="DZ2409" s="4"/>
      <c r="EA2409" s="4"/>
      <c r="EB2409" s="4"/>
      <c r="EC2409" s="4"/>
      <c r="ED2409" s="4"/>
      <c r="EE2409" s="4"/>
      <c r="EF2409" s="4"/>
      <c r="EG2409" s="4"/>
      <c r="EH2409" s="4"/>
      <c r="EI2409" s="4"/>
      <c r="EJ2409" s="4"/>
      <c r="EK2409" s="4"/>
      <c r="EL2409" s="4"/>
      <c r="EM2409" s="4"/>
      <c r="EN2409" s="4"/>
      <c r="EO2409" s="4"/>
      <c r="EP2409" s="4"/>
      <c r="EQ2409" s="4"/>
      <c r="ER2409" s="4"/>
      <c r="ES2409" s="4"/>
      <c r="ET2409" s="4"/>
      <c r="EU2409" s="4"/>
      <c r="EV2409" s="4"/>
      <c r="EW2409" s="4"/>
      <c r="EX2409" s="4"/>
      <c r="EY2409" s="4"/>
      <c r="EZ2409" s="4"/>
      <c r="FA2409" s="4"/>
      <c r="FB2409" s="4"/>
      <c r="FC2409" s="4"/>
      <c r="FD2409" s="4"/>
      <c r="FE2409" s="4"/>
      <c r="FF2409" s="4"/>
      <c r="FG2409" s="4"/>
      <c r="FH2409" s="4"/>
      <c r="FI2409" s="4"/>
      <c r="FJ2409" s="4"/>
      <c r="FK2409" s="4"/>
      <c r="FL2409" s="4"/>
      <c r="FM2409" s="4"/>
      <c r="FN2409" s="4"/>
      <c r="FO2409" s="4"/>
      <c r="FP2409" s="4"/>
      <c r="FQ2409" s="4"/>
      <c r="FR2409" s="4"/>
      <c r="FS2409" s="4"/>
      <c r="FT2409" s="4"/>
      <c r="FU2409" s="4"/>
      <c r="FV2409" s="4"/>
      <c r="FW2409" s="4"/>
      <c r="FX2409" s="4"/>
      <c r="FY2409" s="4"/>
      <c r="FZ2409" s="4"/>
      <c r="GA2409" s="4"/>
      <c r="GB2409" s="4"/>
      <c r="GC2409" s="4"/>
      <c r="GD2409" s="4"/>
      <c r="GE2409" s="4"/>
      <c r="GF2409" s="4"/>
      <c r="GG2409" s="4"/>
      <c r="GH2409" s="4"/>
      <c r="GI2409" s="4"/>
      <c r="GJ2409" s="4"/>
      <c r="GK2409" s="4"/>
      <c r="GL2409" s="4"/>
      <c r="GM2409" s="4"/>
      <c r="GN2409" s="4"/>
      <c r="GO2409" s="4"/>
      <c r="GP2409" s="4"/>
      <c r="GQ2409" s="4"/>
      <c r="GR2409" s="4"/>
      <c r="GS2409" s="4"/>
      <c r="GT2409" s="4"/>
      <c r="GU2409" s="4"/>
      <c r="GV2409" s="4"/>
      <c r="GW2409" s="4"/>
      <c r="GX2409" s="4"/>
      <c r="GY2409" s="4"/>
      <c r="GZ2409" s="4"/>
      <c r="HA2409" s="4"/>
      <c r="HB2409" s="4"/>
      <c r="HC2409" s="4"/>
      <c r="HD2409" s="4"/>
      <c r="HE2409" s="4"/>
    </row>
    <row r="2410">
      <c r="A2410" s="2" t="s">
        <v>11150</v>
      </c>
      <c r="B2410" s="2" t="s">
        <v>834</v>
      </c>
      <c r="C2410" s="2" t="s">
        <v>835</v>
      </c>
      <c r="D2410" s="2" t="s">
        <v>1101</v>
      </c>
      <c r="E2410" s="2" t="s">
        <v>1102</v>
      </c>
      <c r="F2410" s="2" t="s">
        <v>11151</v>
      </c>
      <c r="G2410" s="2" t="s">
        <v>11151</v>
      </c>
      <c r="H2410" s="2" t="s">
        <v>11151</v>
      </c>
      <c r="I2410" s="2" t="s">
        <v>11152</v>
      </c>
      <c r="J2410" s="2" t="s">
        <v>840</v>
      </c>
      <c r="K2410" s="2" t="s">
        <v>249</v>
      </c>
      <c r="L2410" s="3">
        <v>38.4</v>
      </c>
      <c r="M2410" s="3">
        <v>40.32</v>
      </c>
      <c r="N2410" s="3">
        <v>79.99</v>
      </c>
      <c r="O2410" s="2" t="s">
        <v>240</v>
      </c>
      <c r="P2410" s="2" t="s">
        <v>233</v>
      </c>
      <c r="Q2410" s="2" t="s">
        <v>234</v>
      </c>
      <c r="R2410" s="2" t="s">
        <v>228</v>
      </c>
      <c r="S2410" s="2" t="s">
        <v>228</v>
      </c>
      <c r="T2410" s="2" t="s">
        <v>228</v>
      </c>
      <c r="U2410" s="2" t="s">
        <v>416</v>
      </c>
      <c r="V2410" s="2" t="s">
        <v>842</v>
      </c>
      <c r="W2410" s="2" t="s">
        <v>1578</v>
      </c>
      <c r="X2410" s="2" t="s">
        <v>417</v>
      </c>
      <c r="Y2410" s="2" t="s">
        <v>2162</v>
      </c>
      <c r="Z2410" s="4">
        <v>95</v>
      </c>
      <c r="AA2410" s="4">
        <f>=ROUNDDOWN(95,0)</f>
      </c>
      <c r="AB2410" s="5">
        <v>1</v>
      </c>
      <c r="AC2410" s="2" t="s">
        <v>228</v>
      </c>
      <c r="AD2410" s="4"/>
      <c r="AE2410" s="4"/>
      <c r="AF2410" s="6">
        <v>65</v>
      </c>
      <c r="AG2410" s="6"/>
      <c r="AH2410" s="7">
        <v>1</v>
      </c>
      <c r="AI2410" s="4"/>
      <c r="AJ2410" s="4">
        <f>=ROUNDDOWN({0},0)</f>
      </c>
      <c r="AK2410" s="5"/>
      <c r="AL2410" s="2" t="s">
        <v>228</v>
      </c>
      <c r="AM2410" s="4"/>
      <c r="AN2410" s="4"/>
      <c r="AO2410" s="7"/>
      <c r="AP2410" s="4"/>
      <c r="AQ2410" s="8"/>
      <c r="AR2410" s="4"/>
      <c r="AS2410" s="8"/>
      <c r="AT2410" s="7"/>
      <c r="AU2410" s="7"/>
      <c r="AV2410" s="4"/>
      <c r="AW2410" s="8"/>
      <c r="AX2410" s="4"/>
      <c r="AY2410" s="8"/>
      <c r="AZ2410" s="7"/>
      <c r="BA2410" s="7"/>
      <c r="BB2410" s="7"/>
      <c r="BC2410" s="4"/>
      <c r="BD2410" s="8"/>
      <c r="BE2410" s="4"/>
      <c r="BF2410" s="8"/>
      <c r="BG2410" s="7"/>
      <c r="BH2410" s="7"/>
      <c r="BI2410" s="7"/>
      <c r="BJ2410" s="4">
        <v>2</v>
      </c>
      <c r="BK2410" s="8">
        <v>88.7</v>
      </c>
      <c r="BL2410" s="2" t="s">
        <v>1033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11153</v>
      </c>
      <c r="BV2410" s="2" t="s">
        <v>228</v>
      </c>
      <c r="BW2410" s="2" t="s">
        <v>228</v>
      </c>
      <c r="BX2410" s="2" t="s">
        <v>273</v>
      </c>
      <c r="BY2410" s="2" t="s">
        <v>274</v>
      </c>
      <c r="BZ2410" s="2" t="s">
        <v>240</v>
      </c>
      <c r="CA2410" s="2" t="s">
        <v>812</v>
      </c>
      <c r="CB2410" s="2" t="s">
        <v>228</v>
      </c>
      <c r="CC2410" s="2" t="s">
        <v>241</v>
      </c>
      <c r="CD2410" s="2" t="s">
        <v>228</v>
      </c>
      <c r="CE2410" s="4"/>
      <c r="CF2410" s="4">
        <v>95</v>
      </c>
      <c r="CG2410" s="4"/>
      <c r="CH2410" s="4"/>
      <c r="CI2410" s="4"/>
      <c r="CJ2410" s="4"/>
      <c r="CK2410" s="4"/>
      <c r="CL2410" s="4"/>
      <c r="CM2410" s="4"/>
      <c r="CN2410" s="4"/>
      <c r="CO2410" s="4"/>
      <c r="CP2410" s="4"/>
      <c r="CQ2410" s="4"/>
      <c r="CR2410" s="4"/>
      <c r="CS2410" s="4"/>
      <c r="CT2410" s="4"/>
      <c r="CU2410" s="4"/>
      <c r="CV2410" s="4"/>
      <c r="CW2410" s="4"/>
      <c r="CX2410" s="4"/>
      <c r="CY2410" s="4"/>
      <c r="CZ2410" s="4"/>
      <c r="DA2410" s="4"/>
      <c r="DB2410" s="4"/>
      <c r="DC2410" s="4"/>
      <c r="DD2410" s="4"/>
      <c r="DE2410" s="4"/>
      <c r="DF2410" s="4"/>
      <c r="DG2410" s="4"/>
      <c r="DH2410" s="4"/>
      <c r="DI2410" s="4"/>
      <c r="DJ2410" s="4"/>
      <c r="DK2410" s="4"/>
      <c r="DL2410" s="4"/>
      <c r="DM2410" s="4"/>
      <c r="DN2410" s="4"/>
      <c r="DO2410" s="4"/>
      <c r="DP2410" s="4"/>
      <c r="DQ2410" s="4"/>
      <c r="DR2410" s="4"/>
      <c r="DS2410" s="4"/>
      <c r="DT2410" s="4"/>
      <c r="DU2410" s="4"/>
      <c r="DV2410" s="4"/>
      <c r="DW2410" s="4"/>
      <c r="DX2410" s="4"/>
      <c r="DY2410" s="4"/>
      <c r="DZ2410" s="4"/>
      <c r="EA2410" s="4"/>
      <c r="EB2410" s="4"/>
      <c r="EC2410" s="4"/>
      <c r="ED2410" s="4"/>
      <c r="EE2410" s="4"/>
      <c r="EF2410" s="4"/>
      <c r="EG2410" s="4"/>
      <c r="EH2410" s="4"/>
      <c r="EI2410" s="4"/>
      <c r="EJ2410" s="4"/>
      <c r="EK2410" s="4"/>
      <c r="EL2410" s="4"/>
      <c r="EM2410" s="4"/>
      <c r="EN2410" s="4"/>
      <c r="EO2410" s="4"/>
      <c r="EP2410" s="4"/>
      <c r="EQ2410" s="4"/>
      <c r="ER2410" s="4"/>
      <c r="ES2410" s="4"/>
      <c r="ET2410" s="4"/>
      <c r="EU2410" s="4"/>
      <c r="EV2410" s="4"/>
      <c r="EW2410" s="4"/>
      <c r="EX2410" s="4"/>
      <c r="EY2410" s="4"/>
      <c r="EZ2410" s="4"/>
      <c r="FA2410" s="4"/>
      <c r="FB2410" s="4"/>
      <c r="FC2410" s="4"/>
      <c r="FD2410" s="4"/>
      <c r="FE2410" s="4"/>
      <c r="FF2410" s="4"/>
      <c r="FG2410" s="4"/>
      <c r="FH2410" s="4"/>
      <c r="FI2410" s="4"/>
      <c r="FJ2410" s="4"/>
      <c r="FK2410" s="4"/>
      <c r="FL2410" s="4"/>
      <c r="FM2410" s="4"/>
      <c r="FN2410" s="4"/>
      <c r="FO2410" s="4"/>
      <c r="FP2410" s="4"/>
      <c r="FQ2410" s="4"/>
      <c r="FR2410" s="4"/>
      <c r="FS2410" s="4"/>
      <c r="FT2410" s="4"/>
      <c r="FU2410" s="4"/>
      <c r="FV2410" s="4"/>
      <c r="FW2410" s="4"/>
      <c r="FX2410" s="4"/>
      <c r="FY2410" s="4"/>
      <c r="FZ2410" s="4"/>
      <c r="GA2410" s="4"/>
      <c r="GB2410" s="4"/>
      <c r="GC2410" s="4"/>
      <c r="GD2410" s="4"/>
      <c r="GE2410" s="4"/>
      <c r="GF2410" s="4"/>
      <c r="GG2410" s="4"/>
      <c r="GH2410" s="4"/>
      <c r="GI2410" s="4"/>
      <c r="GJ2410" s="4"/>
      <c r="GK2410" s="4"/>
      <c r="GL2410" s="4"/>
      <c r="GM2410" s="4"/>
      <c r="GN2410" s="4"/>
      <c r="GO2410" s="4"/>
      <c r="GP2410" s="4"/>
      <c r="GQ2410" s="4"/>
      <c r="GR2410" s="4"/>
      <c r="GS2410" s="4"/>
      <c r="GT2410" s="4"/>
      <c r="GU2410" s="4"/>
      <c r="GV2410" s="4"/>
      <c r="GW2410" s="4"/>
      <c r="GX2410" s="4"/>
      <c r="GY2410" s="4"/>
      <c r="GZ2410" s="4"/>
      <c r="HA2410" s="4"/>
      <c r="HB2410" s="4"/>
      <c r="HC2410" s="4"/>
      <c r="HD2410" s="4"/>
      <c r="HE2410" s="4"/>
    </row>
    <row r="2411">
      <c r="A2411" s="2" t="s">
        <v>11154</v>
      </c>
      <c r="B2411" s="2" t="s">
        <v>2841</v>
      </c>
      <c r="C2411" s="2" t="s">
        <v>1197</v>
      </c>
      <c r="D2411" s="2" t="s">
        <v>2842</v>
      </c>
      <c r="E2411" s="2" t="s">
        <v>2843</v>
      </c>
      <c r="F2411" s="2" t="s">
        <v>11155</v>
      </c>
      <c r="G2411" s="2" t="s">
        <v>11155</v>
      </c>
      <c r="H2411" s="2" t="s">
        <v>11155</v>
      </c>
      <c r="I2411" s="2" t="s">
        <v>11156</v>
      </c>
      <c r="J2411" s="2" t="s">
        <v>238</v>
      </c>
      <c r="K2411" s="2" t="s">
        <v>249</v>
      </c>
      <c r="L2411" s="3">
        <v>5.5</v>
      </c>
      <c r="M2411" s="3">
        <v>5.78</v>
      </c>
      <c r="N2411" s="3">
        <v>9.99</v>
      </c>
      <c r="O2411" s="2" t="s">
        <v>461</v>
      </c>
      <c r="P2411" s="2" t="s">
        <v>1116</v>
      </c>
      <c r="Q2411" s="2" t="s">
        <v>234</v>
      </c>
      <c r="R2411" s="2" t="s">
        <v>727</v>
      </c>
      <c r="S2411" s="2" t="s">
        <v>228</v>
      </c>
      <c r="T2411" s="2" t="s">
        <v>228</v>
      </c>
      <c r="U2411" s="2" t="s">
        <v>228</v>
      </c>
      <c r="V2411" s="2" t="s">
        <v>842</v>
      </c>
      <c r="W2411" s="2" t="s">
        <v>228</v>
      </c>
      <c r="X2411" s="2" t="s">
        <v>228</v>
      </c>
      <c r="Y2411" s="2" t="s">
        <v>5790</v>
      </c>
      <c r="Z2411" s="4">
        <v>1398</v>
      </c>
      <c r="AA2411" s="4">
        <f>=ROUNDDOWN(285.30612244898,0)</f>
      </c>
      <c r="AB2411" s="5">
        <v>4.9</v>
      </c>
      <c r="AC2411" s="2" t="s">
        <v>228</v>
      </c>
      <c r="AD2411" s="4"/>
      <c r="AE2411" s="4"/>
      <c r="AF2411" s="6"/>
      <c r="AG2411" s="6">
        <v>47</v>
      </c>
      <c r="AH2411" s="7">
        <v>1</v>
      </c>
      <c r="AI2411" s="4"/>
      <c r="AJ2411" s="4">
        <f>=ROUNDDOWN({0},0)</f>
      </c>
      <c r="AK2411" s="5"/>
      <c r="AL2411" s="2" t="s">
        <v>228</v>
      </c>
      <c r="AM2411" s="4"/>
      <c r="AN2411" s="4"/>
      <c r="AO2411" s="7"/>
      <c r="AP2411" s="4"/>
      <c r="AQ2411" s="8"/>
      <c r="AR2411" s="4"/>
      <c r="AS2411" s="8"/>
      <c r="AT2411" s="7"/>
      <c r="AU2411" s="7"/>
      <c r="AV2411" s="4"/>
      <c r="AW2411" s="8"/>
      <c r="AX2411" s="4"/>
      <c r="AY2411" s="8"/>
      <c r="AZ2411" s="7"/>
      <c r="BA2411" s="7"/>
      <c r="BB2411" s="7"/>
      <c r="BC2411" s="4"/>
      <c r="BD2411" s="8"/>
      <c r="BE2411" s="4"/>
      <c r="BF2411" s="8"/>
      <c r="BG2411" s="7"/>
      <c r="BH2411" s="7"/>
      <c r="BI2411" s="7"/>
      <c r="BJ2411" s="4">
        <v>1</v>
      </c>
      <c r="BK2411" s="8">
        <v>6.33</v>
      </c>
      <c r="BL2411" s="2" t="s">
        <v>3722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11157</v>
      </c>
      <c r="BV2411" s="2" t="s">
        <v>228</v>
      </c>
      <c r="BW2411" s="2" t="s">
        <v>228</v>
      </c>
      <c r="BX2411" s="2" t="s">
        <v>273</v>
      </c>
      <c r="BY2411" s="2" t="s">
        <v>274</v>
      </c>
      <c r="BZ2411" s="2" t="s">
        <v>240</v>
      </c>
      <c r="CA2411" s="2" t="s">
        <v>228</v>
      </c>
      <c r="CB2411" s="2" t="s">
        <v>228</v>
      </c>
      <c r="CC2411" s="2" t="s">
        <v>241</v>
      </c>
      <c r="CD2411" s="2" t="s">
        <v>228</v>
      </c>
      <c r="CE2411" s="4"/>
      <c r="CF2411" s="4">
        <v>1398</v>
      </c>
      <c r="CG2411" s="4"/>
      <c r="CH2411" s="4"/>
      <c r="CI2411" s="4"/>
      <c r="CJ2411" s="4"/>
      <c r="CK2411" s="4"/>
      <c r="CL2411" s="4"/>
      <c r="CM2411" s="4"/>
      <c r="CN2411" s="4"/>
      <c r="CO2411" s="4"/>
      <c r="CP2411" s="4"/>
      <c r="CQ2411" s="4"/>
      <c r="CR2411" s="4"/>
      <c r="CS2411" s="4"/>
      <c r="CT2411" s="4"/>
      <c r="CU2411" s="4"/>
      <c r="CV2411" s="4"/>
      <c r="CW2411" s="4"/>
      <c r="CX2411" s="4"/>
      <c r="CY2411" s="4"/>
      <c r="CZ2411" s="4"/>
      <c r="DA2411" s="4"/>
      <c r="DB2411" s="4"/>
      <c r="DC2411" s="4"/>
      <c r="DD2411" s="4"/>
      <c r="DE2411" s="4"/>
      <c r="DF2411" s="4"/>
      <c r="DG2411" s="4"/>
      <c r="DH2411" s="4"/>
      <c r="DI2411" s="4"/>
      <c r="DJ2411" s="4"/>
      <c r="DK2411" s="4"/>
      <c r="DL2411" s="4"/>
      <c r="DM2411" s="4"/>
      <c r="DN2411" s="4"/>
      <c r="DO2411" s="4"/>
      <c r="DP2411" s="4"/>
      <c r="DQ2411" s="4"/>
      <c r="DR2411" s="4"/>
      <c r="DS2411" s="4"/>
      <c r="DT2411" s="4"/>
      <c r="DU2411" s="4"/>
      <c r="DV2411" s="4"/>
      <c r="DW2411" s="4"/>
      <c r="DX2411" s="4"/>
      <c r="DY2411" s="4"/>
      <c r="DZ2411" s="4"/>
      <c r="EA2411" s="4"/>
      <c r="EB2411" s="4"/>
      <c r="EC2411" s="4"/>
      <c r="ED2411" s="4"/>
      <c r="EE2411" s="4"/>
      <c r="EF2411" s="4"/>
      <c r="EG2411" s="4"/>
      <c r="EH2411" s="4"/>
      <c r="EI2411" s="4"/>
      <c r="EJ2411" s="4"/>
      <c r="EK2411" s="4"/>
      <c r="EL2411" s="4"/>
      <c r="EM2411" s="4"/>
      <c r="EN2411" s="4"/>
      <c r="EO2411" s="4"/>
      <c r="EP2411" s="4"/>
      <c r="EQ2411" s="4"/>
      <c r="ER2411" s="4"/>
      <c r="ES2411" s="4"/>
      <c r="ET2411" s="4"/>
      <c r="EU2411" s="4"/>
      <c r="EV2411" s="4"/>
      <c r="EW2411" s="4"/>
      <c r="EX2411" s="4"/>
      <c r="EY2411" s="4"/>
      <c r="EZ2411" s="4"/>
      <c r="FA2411" s="4"/>
      <c r="FB2411" s="4"/>
      <c r="FC2411" s="4"/>
      <c r="FD2411" s="4"/>
      <c r="FE2411" s="4"/>
      <c r="FF2411" s="4"/>
      <c r="FG2411" s="4"/>
      <c r="FH2411" s="4"/>
      <c r="FI2411" s="4"/>
      <c r="FJ2411" s="4"/>
      <c r="FK2411" s="4"/>
      <c r="FL2411" s="4"/>
      <c r="FM2411" s="4"/>
      <c r="FN2411" s="4"/>
      <c r="FO2411" s="4"/>
      <c r="FP2411" s="4"/>
      <c r="FQ2411" s="4"/>
      <c r="FR2411" s="4"/>
      <c r="FS2411" s="4"/>
      <c r="FT2411" s="4"/>
      <c r="FU2411" s="4"/>
      <c r="FV2411" s="4"/>
      <c r="FW2411" s="4"/>
      <c r="FX2411" s="4"/>
      <c r="FY2411" s="4"/>
      <c r="FZ2411" s="4"/>
      <c r="GA2411" s="4"/>
      <c r="GB2411" s="4"/>
      <c r="GC2411" s="4"/>
      <c r="GD2411" s="4"/>
      <c r="GE2411" s="4"/>
      <c r="GF2411" s="4"/>
      <c r="GG2411" s="4"/>
      <c r="GH2411" s="4"/>
      <c r="GI2411" s="4"/>
      <c r="GJ2411" s="4"/>
      <c r="GK2411" s="4"/>
      <c r="GL2411" s="4"/>
      <c r="GM2411" s="4"/>
      <c r="GN2411" s="4"/>
      <c r="GO2411" s="4"/>
      <c r="GP2411" s="4"/>
      <c r="GQ2411" s="4"/>
      <c r="GR2411" s="4"/>
      <c r="GS2411" s="4"/>
      <c r="GT2411" s="4"/>
      <c r="GU2411" s="4"/>
      <c r="GV2411" s="4"/>
      <c r="GW2411" s="4"/>
      <c r="GX2411" s="4"/>
      <c r="GY2411" s="4"/>
      <c r="GZ2411" s="4"/>
      <c r="HA2411" s="4"/>
      <c r="HB2411" s="4"/>
      <c r="HC2411" s="4"/>
      <c r="HD2411" s="4"/>
      <c r="HE2411" s="4"/>
    </row>
    <row r="2412">
      <c r="A2412" s="2" t="s">
        <v>11158</v>
      </c>
      <c r="B2412" s="2" t="s">
        <v>834</v>
      </c>
      <c r="C2412" s="2" t="s">
        <v>1743</v>
      </c>
      <c r="D2412" s="2" t="s">
        <v>1101</v>
      </c>
      <c r="E2412" s="2" t="s">
        <v>1102</v>
      </c>
      <c r="F2412" s="2" t="s">
        <v>11159</v>
      </c>
      <c r="G2412" s="2" t="s">
        <v>11159</v>
      </c>
      <c r="H2412" s="2" t="s">
        <v>11159</v>
      </c>
      <c r="I2412" s="2" t="s">
        <v>11160</v>
      </c>
      <c r="J2412" s="2" t="s">
        <v>840</v>
      </c>
      <c r="K2412" s="2" t="s">
        <v>265</v>
      </c>
      <c r="L2412" s="3">
        <v>52</v>
      </c>
      <c r="M2412" s="3">
        <v>54.6</v>
      </c>
      <c r="N2412" s="3">
        <v>109.99</v>
      </c>
      <c r="O2412" s="2" t="s">
        <v>240</v>
      </c>
      <c r="P2412" s="2" t="s">
        <v>233</v>
      </c>
      <c r="Q2412" s="2" t="s">
        <v>234</v>
      </c>
      <c r="R2412" s="2" t="s">
        <v>228</v>
      </c>
      <c r="S2412" s="2" t="s">
        <v>228</v>
      </c>
      <c r="T2412" s="2" t="s">
        <v>228</v>
      </c>
      <c r="U2412" s="2" t="s">
        <v>416</v>
      </c>
      <c r="V2412" s="2" t="s">
        <v>842</v>
      </c>
      <c r="W2412" s="2" t="s">
        <v>309</v>
      </c>
      <c r="X2412" s="2" t="s">
        <v>463</v>
      </c>
      <c r="Y2412" s="2" t="s">
        <v>539</v>
      </c>
      <c r="Z2412" s="4">
        <v>71</v>
      </c>
      <c r="AA2412" s="4">
        <f>=ROUNDDOWN(35.5,0)</f>
      </c>
      <c r="AB2412" s="5">
        <v>2</v>
      </c>
      <c r="AC2412" s="2" t="s">
        <v>228</v>
      </c>
      <c r="AD2412" s="4"/>
      <c r="AE2412" s="4"/>
      <c r="AF2412" s="6">
        <v>65</v>
      </c>
      <c r="AG2412" s="6"/>
      <c r="AH2412" s="7">
        <v>1</v>
      </c>
      <c r="AI2412" s="4"/>
      <c r="AJ2412" s="4">
        <f>=ROUNDDOWN({0},0)</f>
      </c>
      <c r="AK2412" s="5"/>
      <c r="AL2412" s="2" t="s">
        <v>228</v>
      </c>
      <c r="AM2412" s="4"/>
      <c r="AN2412" s="4"/>
      <c r="AO2412" s="7"/>
      <c r="AP2412" s="4"/>
      <c r="AQ2412" s="8"/>
      <c r="AR2412" s="4"/>
      <c r="AS2412" s="8"/>
      <c r="AT2412" s="7"/>
      <c r="AU2412" s="7"/>
      <c r="AV2412" s="4"/>
      <c r="AW2412" s="8"/>
      <c r="AX2412" s="4"/>
      <c r="AY2412" s="8"/>
      <c r="AZ2412" s="7"/>
      <c r="BA2412" s="7"/>
      <c r="BB2412" s="7"/>
      <c r="BC2412" s="4" t="s">
        <v>228</v>
      </c>
      <c r="BD2412" s="8" t="s">
        <v>228</v>
      </c>
      <c r="BE2412" s="4" t="s">
        <v>228</v>
      </c>
      <c r="BF2412" s="8" t="s">
        <v>228</v>
      </c>
      <c r="BG2412" s="7" t="s">
        <v>228</v>
      </c>
      <c r="BH2412" s="7" t="s">
        <v>228</v>
      </c>
      <c r="BI2412" s="7"/>
      <c r="BJ2412" s="4">
        <v>5</v>
      </c>
      <c r="BK2412" s="8">
        <v>308.45</v>
      </c>
      <c r="BL2412" s="2" t="s">
        <v>3425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11161</v>
      </c>
      <c r="BV2412" s="2" t="s">
        <v>228</v>
      </c>
      <c r="BW2412" s="2" t="s">
        <v>228</v>
      </c>
      <c r="BX2412" s="2" t="s">
        <v>273</v>
      </c>
      <c r="BY2412" s="2" t="s">
        <v>274</v>
      </c>
      <c r="BZ2412" s="2" t="s">
        <v>240</v>
      </c>
      <c r="CA2412" s="2" t="s">
        <v>7560</v>
      </c>
      <c r="CB2412" s="2" t="s">
        <v>9802</v>
      </c>
      <c r="CC2412" s="2" t="s">
        <v>241</v>
      </c>
      <c r="CD2412" s="2" t="s">
        <v>228</v>
      </c>
      <c r="CE2412" s="4"/>
      <c r="CF2412" s="4">
        <v>71</v>
      </c>
      <c r="CG2412" s="4"/>
      <c r="CH2412" s="4"/>
      <c r="CI2412" s="4"/>
      <c r="CJ2412" s="4"/>
      <c r="CK2412" s="4"/>
      <c r="CL2412" s="4"/>
      <c r="CM2412" s="4"/>
      <c r="CN2412" s="4"/>
      <c r="CO2412" s="4"/>
      <c r="CP2412" s="4"/>
      <c r="CQ2412" s="4"/>
      <c r="CR2412" s="4"/>
      <c r="CS2412" s="4"/>
      <c r="CT2412" s="4"/>
      <c r="CU2412" s="4"/>
      <c r="CV2412" s="4"/>
      <c r="CW2412" s="4"/>
      <c r="CX2412" s="4"/>
      <c r="CY2412" s="4"/>
      <c r="CZ2412" s="4"/>
      <c r="DA2412" s="4"/>
      <c r="DB2412" s="4"/>
      <c r="DC2412" s="4"/>
      <c r="DD2412" s="4"/>
      <c r="DE2412" s="4"/>
      <c r="DF2412" s="4"/>
      <c r="DG2412" s="4"/>
      <c r="DH2412" s="4"/>
      <c r="DI2412" s="4"/>
      <c r="DJ2412" s="4"/>
      <c r="DK2412" s="4"/>
      <c r="DL2412" s="4"/>
      <c r="DM2412" s="4"/>
      <c r="DN2412" s="4"/>
      <c r="DO2412" s="4"/>
      <c r="DP2412" s="4"/>
      <c r="DQ2412" s="4"/>
      <c r="DR2412" s="4"/>
      <c r="DS2412" s="4"/>
      <c r="DT2412" s="4"/>
      <c r="DU2412" s="4"/>
      <c r="DV2412" s="4"/>
      <c r="DW2412" s="4"/>
      <c r="DX2412" s="4"/>
      <c r="DY2412" s="4"/>
      <c r="DZ2412" s="4"/>
      <c r="EA2412" s="4"/>
      <c r="EB2412" s="4"/>
      <c r="EC2412" s="4"/>
      <c r="ED2412" s="4"/>
      <c r="EE2412" s="4"/>
      <c r="EF2412" s="4"/>
      <c r="EG2412" s="4"/>
      <c r="EH2412" s="4"/>
      <c r="EI2412" s="4"/>
      <c r="EJ2412" s="4"/>
      <c r="EK2412" s="4"/>
      <c r="EL2412" s="4"/>
      <c r="EM2412" s="4"/>
      <c r="EN2412" s="4"/>
      <c r="EO2412" s="4"/>
      <c r="EP2412" s="4"/>
      <c r="EQ2412" s="4"/>
      <c r="ER2412" s="4"/>
      <c r="ES2412" s="4"/>
      <c r="ET2412" s="4"/>
      <c r="EU2412" s="4"/>
      <c r="EV2412" s="4"/>
      <c r="EW2412" s="4"/>
      <c r="EX2412" s="4"/>
      <c r="EY2412" s="4"/>
      <c r="EZ2412" s="4"/>
      <c r="FA2412" s="4"/>
      <c r="FB2412" s="4"/>
      <c r="FC2412" s="4"/>
      <c r="FD2412" s="4"/>
      <c r="FE2412" s="4"/>
      <c r="FF2412" s="4"/>
      <c r="FG2412" s="4"/>
      <c r="FH2412" s="4"/>
      <c r="FI2412" s="4"/>
      <c r="FJ2412" s="4"/>
      <c r="FK2412" s="4"/>
      <c r="FL2412" s="4"/>
      <c r="FM2412" s="4"/>
      <c r="FN2412" s="4"/>
      <c r="FO2412" s="4"/>
      <c r="FP2412" s="4"/>
      <c r="FQ2412" s="4"/>
      <c r="FR2412" s="4"/>
      <c r="FS2412" s="4"/>
      <c r="FT2412" s="4"/>
      <c r="FU2412" s="4"/>
      <c r="FV2412" s="4"/>
      <c r="FW2412" s="4"/>
      <c r="FX2412" s="4"/>
      <c r="FY2412" s="4"/>
      <c r="FZ2412" s="4"/>
      <c r="GA2412" s="4"/>
      <c r="GB2412" s="4"/>
      <c r="GC2412" s="4"/>
      <c r="GD2412" s="4"/>
      <c r="GE2412" s="4"/>
      <c r="GF2412" s="4"/>
      <c r="GG2412" s="4"/>
      <c r="GH2412" s="4"/>
      <c r="GI2412" s="4"/>
      <c r="GJ2412" s="4"/>
      <c r="GK2412" s="4"/>
      <c r="GL2412" s="4"/>
      <c r="GM2412" s="4"/>
      <c r="GN2412" s="4"/>
      <c r="GO2412" s="4"/>
      <c r="GP2412" s="4"/>
      <c r="GQ2412" s="4"/>
      <c r="GR2412" s="4"/>
      <c r="GS2412" s="4"/>
      <c r="GT2412" s="4"/>
      <c r="GU2412" s="4"/>
      <c r="GV2412" s="4"/>
      <c r="GW2412" s="4"/>
      <c r="GX2412" s="4"/>
      <c r="GY2412" s="4"/>
      <c r="GZ2412" s="4"/>
      <c r="HA2412" s="4"/>
      <c r="HB2412" s="4"/>
      <c r="HC2412" s="4"/>
      <c r="HD2412" s="4"/>
      <c r="HE2412" s="4"/>
    </row>
    <row r="2413">
      <c r="A2413" s="2" t="s">
        <v>11162</v>
      </c>
      <c r="B2413" s="2" t="s">
        <v>834</v>
      </c>
      <c r="C2413" s="2" t="s">
        <v>1743</v>
      </c>
      <c r="D2413" s="2" t="s">
        <v>1101</v>
      </c>
      <c r="E2413" s="2" t="s">
        <v>1102</v>
      </c>
      <c r="F2413" s="2" t="s">
        <v>11159</v>
      </c>
      <c r="G2413" s="2" t="s">
        <v>11159</v>
      </c>
      <c r="H2413" s="2" t="s">
        <v>11159</v>
      </c>
      <c r="I2413" s="2" t="s">
        <v>11163</v>
      </c>
      <c r="J2413" s="2" t="s">
        <v>840</v>
      </c>
      <c r="K2413" s="2" t="s">
        <v>1421</v>
      </c>
      <c r="L2413" s="3">
        <v>52</v>
      </c>
      <c r="M2413" s="3">
        <v>54.6</v>
      </c>
      <c r="N2413" s="3">
        <v>109.99</v>
      </c>
      <c r="O2413" s="2" t="s">
        <v>240</v>
      </c>
      <c r="P2413" s="2" t="s">
        <v>233</v>
      </c>
      <c r="Q2413" s="2" t="s">
        <v>234</v>
      </c>
      <c r="R2413" s="2" t="s">
        <v>228</v>
      </c>
      <c r="S2413" s="2" t="s">
        <v>228</v>
      </c>
      <c r="T2413" s="2" t="s">
        <v>228</v>
      </c>
      <c r="U2413" s="2" t="s">
        <v>416</v>
      </c>
      <c r="V2413" s="2" t="s">
        <v>842</v>
      </c>
      <c r="W2413" s="2" t="s">
        <v>309</v>
      </c>
      <c r="X2413" s="2" t="s">
        <v>463</v>
      </c>
      <c r="Y2413" s="2" t="s">
        <v>539</v>
      </c>
      <c r="Z2413" s="4">
        <v>70</v>
      </c>
      <c r="AA2413" s="4">
        <f>=ROUNDDOWN(35,0)</f>
      </c>
      <c r="AB2413" s="5">
        <v>2</v>
      </c>
      <c r="AC2413" s="2" t="s">
        <v>228</v>
      </c>
      <c r="AD2413" s="4"/>
      <c r="AE2413" s="4"/>
      <c r="AF2413" s="6">
        <v>65</v>
      </c>
      <c r="AG2413" s="6"/>
      <c r="AH2413" s="7">
        <v>1</v>
      </c>
      <c r="AI2413" s="4"/>
      <c r="AJ2413" s="4">
        <f>=ROUNDDOWN({0},0)</f>
      </c>
      <c r="AK2413" s="5"/>
      <c r="AL2413" s="2" t="s">
        <v>228</v>
      </c>
      <c r="AM2413" s="4"/>
      <c r="AN2413" s="4"/>
      <c r="AO2413" s="7"/>
      <c r="AP2413" s="4"/>
      <c r="AQ2413" s="8"/>
      <c r="AR2413" s="4"/>
      <c r="AS2413" s="8"/>
      <c r="AT2413" s="7"/>
      <c r="AU2413" s="7"/>
      <c r="AV2413" s="4"/>
      <c r="AW2413" s="8"/>
      <c r="AX2413" s="4"/>
      <c r="AY2413" s="8"/>
      <c r="AZ2413" s="7"/>
      <c r="BA2413" s="7"/>
      <c r="BB2413" s="7"/>
      <c r="BC2413" s="4" t="s">
        <v>228</v>
      </c>
      <c r="BD2413" s="8" t="s">
        <v>228</v>
      </c>
      <c r="BE2413" s="4" t="s">
        <v>228</v>
      </c>
      <c r="BF2413" s="8" t="s">
        <v>228</v>
      </c>
      <c r="BG2413" s="7" t="s">
        <v>228</v>
      </c>
      <c r="BH2413" s="7" t="s">
        <v>228</v>
      </c>
      <c r="BI2413" s="7"/>
      <c r="BJ2413" s="4">
        <v>7</v>
      </c>
      <c r="BK2413" s="8">
        <v>363.09</v>
      </c>
      <c r="BL2413" s="2" t="s">
        <v>6435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11164</v>
      </c>
      <c r="BV2413" s="2" t="s">
        <v>228</v>
      </c>
      <c r="BW2413" s="2" t="s">
        <v>228</v>
      </c>
      <c r="BX2413" s="2" t="s">
        <v>273</v>
      </c>
      <c r="BY2413" s="2" t="s">
        <v>274</v>
      </c>
      <c r="BZ2413" s="2" t="s">
        <v>240</v>
      </c>
      <c r="CA2413" s="2" t="s">
        <v>7560</v>
      </c>
      <c r="CB2413" s="2" t="s">
        <v>1047</v>
      </c>
      <c r="CC2413" s="2" t="s">
        <v>241</v>
      </c>
      <c r="CD2413" s="2" t="s">
        <v>228</v>
      </c>
      <c r="CE2413" s="4"/>
      <c r="CF2413" s="4">
        <v>70</v>
      </c>
      <c r="CG2413" s="4"/>
      <c r="CH2413" s="4"/>
      <c r="CI2413" s="4"/>
      <c r="CJ2413" s="4"/>
      <c r="CK2413" s="4"/>
      <c r="CL2413" s="4"/>
      <c r="CM2413" s="4"/>
      <c r="CN2413" s="4"/>
      <c r="CO2413" s="4"/>
      <c r="CP2413" s="4"/>
      <c r="CQ2413" s="4"/>
      <c r="CR2413" s="4"/>
      <c r="CS2413" s="4"/>
      <c r="CT2413" s="4"/>
      <c r="CU2413" s="4"/>
      <c r="CV2413" s="4"/>
      <c r="CW2413" s="4"/>
      <c r="CX2413" s="4"/>
      <c r="CY2413" s="4"/>
      <c r="CZ2413" s="4"/>
      <c r="DA2413" s="4"/>
      <c r="DB2413" s="4"/>
      <c r="DC2413" s="4"/>
      <c r="DD2413" s="4"/>
      <c r="DE2413" s="4"/>
      <c r="DF2413" s="4"/>
      <c r="DG2413" s="4"/>
      <c r="DH2413" s="4"/>
      <c r="DI2413" s="4"/>
      <c r="DJ2413" s="4"/>
      <c r="DK2413" s="4"/>
      <c r="DL2413" s="4"/>
      <c r="DM2413" s="4"/>
      <c r="DN2413" s="4"/>
      <c r="DO2413" s="4"/>
      <c r="DP2413" s="4"/>
      <c r="DQ2413" s="4"/>
      <c r="DR2413" s="4"/>
      <c r="DS2413" s="4"/>
      <c r="DT2413" s="4"/>
      <c r="DU2413" s="4"/>
      <c r="DV2413" s="4"/>
      <c r="DW2413" s="4"/>
      <c r="DX2413" s="4"/>
      <c r="DY2413" s="4"/>
      <c r="DZ2413" s="4"/>
      <c r="EA2413" s="4"/>
      <c r="EB2413" s="4"/>
      <c r="EC2413" s="4"/>
      <c r="ED2413" s="4"/>
      <c r="EE2413" s="4"/>
      <c r="EF2413" s="4"/>
      <c r="EG2413" s="4"/>
      <c r="EH2413" s="4"/>
      <c r="EI2413" s="4"/>
      <c r="EJ2413" s="4"/>
      <c r="EK2413" s="4"/>
      <c r="EL2413" s="4"/>
      <c r="EM2413" s="4"/>
      <c r="EN2413" s="4"/>
      <c r="EO2413" s="4"/>
      <c r="EP2413" s="4"/>
      <c r="EQ2413" s="4"/>
      <c r="ER2413" s="4"/>
      <c r="ES2413" s="4"/>
      <c r="ET2413" s="4"/>
      <c r="EU2413" s="4"/>
      <c r="EV2413" s="4"/>
      <c r="EW2413" s="4"/>
      <c r="EX2413" s="4"/>
      <c r="EY2413" s="4"/>
      <c r="EZ2413" s="4"/>
      <c r="FA2413" s="4"/>
      <c r="FB2413" s="4"/>
      <c r="FC2413" s="4"/>
      <c r="FD2413" s="4"/>
      <c r="FE2413" s="4"/>
      <c r="FF2413" s="4"/>
      <c r="FG2413" s="4"/>
      <c r="FH2413" s="4"/>
      <c r="FI2413" s="4"/>
      <c r="FJ2413" s="4"/>
      <c r="FK2413" s="4"/>
      <c r="FL2413" s="4"/>
      <c r="FM2413" s="4"/>
      <c r="FN2413" s="4"/>
      <c r="FO2413" s="4"/>
      <c r="FP2413" s="4"/>
      <c r="FQ2413" s="4"/>
      <c r="FR2413" s="4"/>
      <c r="FS2413" s="4"/>
      <c r="FT2413" s="4"/>
      <c r="FU2413" s="4"/>
      <c r="FV2413" s="4"/>
      <c r="FW2413" s="4"/>
      <c r="FX2413" s="4"/>
      <c r="FY2413" s="4"/>
      <c r="FZ2413" s="4"/>
      <c r="GA2413" s="4"/>
      <c r="GB2413" s="4"/>
      <c r="GC2413" s="4"/>
      <c r="GD2413" s="4"/>
      <c r="GE2413" s="4"/>
      <c r="GF2413" s="4"/>
      <c r="GG2413" s="4"/>
      <c r="GH2413" s="4"/>
      <c r="GI2413" s="4"/>
      <c r="GJ2413" s="4"/>
      <c r="GK2413" s="4"/>
      <c r="GL2413" s="4"/>
      <c r="GM2413" s="4"/>
      <c r="GN2413" s="4"/>
      <c r="GO2413" s="4"/>
      <c r="GP2413" s="4"/>
      <c r="GQ2413" s="4"/>
      <c r="GR2413" s="4"/>
      <c r="GS2413" s="4"/>
      <c r="GT2413" s="4"/>
      <c r="GU2413" s="4"/>
      <c r="GV2413" s="4"/>
      <c r="GW2413" s="4"/>
      <c r="GX2413" s="4"/>
      <c r="GY2413" s="4"/>
      <c r="GZ2413" s="4"/>
      <c r="HA2413" s="4"/>
      <c r="HB2413" s="4"/>
      <c r="HC2413" s="4"/>
      <c r="HD2413" s="4"/>
      <c r="HE2413" s="4"/>
    </row>
    <row r="2414">
      <c r="A2414" s="2" t="s">
        <v>11165</v>
      </c>
      <c r="B2414" s="2" t="s">
        <v>834</v>
      </c>
      <c r="C2414" s="2" t="s">
        <v>1743</v>
      </c>
      <c r="D2414" s="2" t="s">
        <v>1101</v>
      </c>
      <c r="E2414" s="2" t="s">
        <v>1102</v>
      </c>
      <c r="F2414" s="2" t="s">
        <v>11159</v>
      </c>
      <c r="G2414" s="2" t="s">
        <v>11159</v>
      </c>
      <c r="H2414" s="2" t="s">
        <v>11159</v>
      </c>
      <c r="I2414" s="2" t="s">
        <v>11166</v>
      </c>
      <c r="J2414" s="2" t="s">
        <v>840</v>
      </c>
      <c r="K2414" s="2" t="s">
        <v>460</v>
      </c>
      <c r="L2414" s="3">
        <v>52</v>
      </c>
      <c r="M2414" s="3">
        <v>54.6</v>
      </c>
      <c r="N2414" s="3">
        <v>109.99</v>
      </c>
      <c r="O2414" s="2" t="s">
        <v>240</v>
      </c>
      <c r="P2414" s="2" t="s">
        <v>233</v>
      </c>
      <c r="Q2414" s="2" t="s">
        <v>234</v>
      </c>
      <c r="R2414" s="2" t="s">
        <v>228</v>
      </c>
      <c r="S2414" s="2" t="s">
        <v>228</v>
      </c>
      <c r="T2414" s="2" t="s">
        <v>228</v>
      </c>
      <c r="U2414" s="2" t="s">
        <v>416</v>
      </c>
      <c r="V2414" s="2" t="s">
        <v>842</v>
      </c>
      <c r="W2414" s="2" t="s">
        <v>309</v>
      </c>
      <c r="X2414" s="2" t="s">
        <v>463</v>
      </c>
      <c r="Y2414" s="2" t="s">
        <v>539</v>
      </c>
      <c r="Z2414" s="4"/>
      <c r="AA2414" s="4">
        <f>=ROUNDDOWN({0},0)</f>
      </c>
      <c r="AB2414" s="5">
        <v>7</v>
      </c>
      <c r="AC2414" s="2" t="s">
        <v>163</v>
      </c>
      <c r="AD2414" s="4">
        <v>100</v>
      </c>
      <c r="AE2414" s="4">
        <v>100</v>
      </c>
      <c r="AF2414" s="6">
        <v>65</v>
      </c>
      <c r="AG2414" s="6"/>
      <c r="AH2414" s="7">
        <v>0</v>
      </c>
      <c r="AI2414" s="4"/>
      <c r="AJ2414" s="4">
        <f>=ROUNDDOWN({0},0)</f>
      </c>
      <c r="AK2414" s="5"/>
      <c r="AL2414" s="2" t="s">
        <v>228</v>
      </c>
      <c r="AM2414" s="4"/>
      <c r="AN2414" s="4"/>
      <c r="AO2414" s="7"/>
      <c r="AP2414" s="4"/>
      <c r="AQ2414" s="8"/>
      <c r="AR2414" s="4"/>
      <c r="AS2414" s="8"/>
      <c r="AT2414" s="7"/>
      <c r="AU2414" s="7"/>
      <c r="AV2414" s="4"/>
      <c r="AW2414" s="8"/>
      <c r="AX2414" s="4"/>
      <c r="AY2414" s="8"/>
      <c r="AZ2414" s="7"/>
      <c r="BA2414" s="7"/>
      <c r="BB2414" s="7"/>
      <c r="BC2414" s="4" t="s">
        <v>228</v>
      </c>
      <c r="BD2414" s="8" t="s">
        <v>228</v>
      </c>
      <c r="BE2414" s="4" t="s">
        <v>228</v>
      </c>
      <c r="BF2414" s="8" t="s">
        <v>228</v>
      </c>
      <c r="BG2414" s="7" t="s">
        <v>228</v>
      </c>
      <c r="BH2414" s="7" t="s">
        <v>228</v>
      </c>
      <c r="BI2414" s="7"/>
      <c r="BJ2414" s="4"/>
      <c r="BK2414" s="8"/>
      <c r="BL2414" s="2" t="s">
        <v>228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11167</v>
      </c>
      <c r="BV2414" s="2" t="s">
        <v>228</v>
      </c>
      <c r="BW2414" s="2" t="s">
        <v>228</v>
      </c>
      <c r="BX2414" s="2" t="s">
        <v>273</v>
      </c>
      <c r="BY2414" s="2" t="s">
        <v>274</v>
      </c>
      <c r="BZ2414" s="2" t="s">
        <v>240</v>
      </c>
      <c r="CA2414" s="2" t="s">
        <v>7560</v>
      </c>
      <c r="CB2414" s="2" t="s">
        <v>1026</v>
      </c>
      <c r="CC2414" s="2" t="s">
        <v>241</v>
      </c>
      <c r="CD2414" s="2" t="s">
        <v>228</v>
      </c>
      <c r="CE2414" s="4"/>
      <c r="CF2414" s="4"/>
      <c r="CG2414" s="4"/>
      <c r="CH2414" s="4"/>
      <c r="CI2414" s="4"/>
      <c r="CJ2414" s="4"/>
      <c r="CK2414" s="4"/>
      <c r="CL2414" s="4"/>
      <c r="CM2414" s="4"/>
      <c r="CN2414" s="4"/>
      <c r="CO2414" s="4"/>
      <c r="CP2414" s="4"/>
      <c r="CQ2414" s="4"/>
      <c r="CR2414" s="4"/>
      <c r="CS2414" s="4"/>
      <c r="CT2414" s="4"/>
      <c r="CU2414" s="4"/>
      <c r="CV2414" s="4"/>
      <c r="CW2414" s="4"/>
      <c r="CX2414" s="4"/>
      <c r="CY2414" s="4"/>
      <c r="CZ2414" s="4"/>
      <c r="DA2414" s="4"/>
      <c r="DB2414" s="4"/>
      <c r="DC2414" s="4"/>
      <c r="DD2414" s="4"/>
      <c r="DE2414" s="4"/>
      <c r="DF2414" s="4"/>
      <c r="DG2414" s="4"/>
      <c r="DH2414" s="4"/>
      <c r="DI2414" s="4"/>
      <c r="DJ2414" s="4"/>
      <c r="DK2414" s="4"/>
      <c r="DL2414" s="4"/>
      <c r="DM2414" s="4"/>
      <c r="DN2414" s="4"/>
      <c r="DO2414" s="4"/>
      <c r="DP2414" s="4"/>
      <c r="DQ2414" s="4"/>
      <c r="DR2414" s="4"/>
      <c r="DS2414" s="4"/>
      <c r="DT2414" s="4"/>
      <c r="DU2414" s="4"/>
      <c r="DV2414" s="4"/>
      <c r="DW2414" s="4"/>
      <c r="DX2414" s="4"/>
      <c r="DY2414" s="4"/>
      <c r="DZ2414" s="4"/>
      <c r="EA2414" s="4"/>
      <c r="EB2414" s="4"/>
      <c r="EC2414" s="4"/>
      <c r="ED2414" s="4"/>
      <c r="EE2414" s="4"/>
      <c r="EF2414" s="4"/>
      <c r="EG2414" s="4"/>
      <c r="EH2414" s="4"/>
      <c r="EI2414" s="4"/>
      <c r="EJ2414" s="4"/>
      <c r="EK2414" s="4"/>
      <c r="EL2414" s="4"/>
      <c r="EM2414" s="4"/>
      <c r="EN2414" s="4"/>
      <c r="EO2414" s="4"/>
      <c r="EP2414" s="4"/>
      <c r="EQ2414" s="4"/>
      <c r="ER2414" s="4"/>
      <c r="ES2414" s="4"/>
      <c r="ET2414" s="4"/>
      <c r="EU2414" s="4"/>
      <c r="EV2414" s="4"/>
      <c r="EW2414" s="4"/>
      <c r="EX2414" s="4"/>
      <c r="EY2414" s="4">
        <v>100</v>
      </c>
      <c r="EZ2414" s="4"/>
      <c r="FA2414" s="4"/>
      <c r="FB2414" s="4"/>
      <c r="FC2414" s="4"/>
      <c r="FD2414" s="4"/>
      <c r="FE2414" s="4"/>
      <c r="FF2414" s="4"/>
      <c r="FG2414" s="4"/>
      <c r="FH2414" s="4"/>
      <c r="FI2414" s="4"/>
      <c r="FJ2414" s="4"/>
      <c r="FK2414" s="4"/>
      <c r="FL2414" s="4"/>
      <c r="FM2414" s="4"/>
      <c r="FN2414" s="4"/>
      <c r="FO2414" s="4"/>
      <c r="FP2414" s="4"/>
      <c r="FQ2414" s="4"/>
      <c r="FR2414" s="4"/>
      <c r="FS2414" s="4"/>
      <c r="FT2414" s="4"/>
      <c r="FU2414" s="4"/>
      <c r="FV2414" s="4"/>
      <c r="FW2414" s="4"/>
      <c r="FX2414" s="4"/>
      <c r="FY2414" s="4"/>
      <c r="FZ2414" s="4"/>
      <c r="GA2414" s="4"/>
      <c r="GB2414" s="4"/>
      <c r="GC2414" s="4"/>
      <c r="GD2414" s="4"/>
      <c r="GE2414" s="4"/>
      <c r="GF2414" s="4"/>
      <c r="GG2414" s="4"/>
      <c r="GH2414" s="4"/>
      <c r="GI2414" s="4"/>
      <c r="GJ2414" s="4"/>
      <c r="GK2414" s="4"/>
      <c r="GL2414" s="4"/>
      <c r="GM2414" s="4"/>
      <c r="GN2414" s="4"/>
      <c r="GO2414" s="4"/>
      <c r="GP2414" s="4"/>
      <c r="GQ2414" s="4"/>
      <c r="GR2414" s="4"/>
      <c r="GS2414" s="4"/>
      <c r="GT2414" s="4"/>
      <c r="GU2414" s="4"/>
      <c r="GV2414" s="4"/>
      <c r="GW2414" s="4"/>
      <c r="GX2414" s="4"/>
      <c r="GY2414" s="4"/>
      <c r="GZ2414" s="4"/>
      <c r="HA2414" s="4"/>
      <c r="HB2414" s="4"/>
      <c r="HC2414" s="4"/>
      <c r="HD2414" s="4"/>
      <c r="HE2414" s="4"/>
    </row>
    <row r="2415">
      <c r="A2415" s="2" t="s">
        <v>11168</v>
      </c>
      <c r="B2415" s="2" t="s">
        <v>848</v>
      </c>
      <c r="C2415" s="2" t="s">
        <v>849</v>
      </c>
      <c r="D2415" s="2" t="s">
        <v>1112</v>
      </c>
      <c r="E2415" s="2" t="s">
        <v>1165</v>
      </c>
      <c r="F2415" s="2" t="s">
        <v>11169</v>
      </c>
      <c r="G2415" s="2" t="s">
        <v>11170</v>
      </c>
      <c r="H2415" s="2" t="s">
        <v>1677</v>
      </c>
      <c r="I2415" s="2" t="s">
        <v>11171</v>
      </c>
      <c r="J2415" s="2" t="s">
        <v>1043</v>
      </c>
      <c r="K2415" s="2" t="s">
        <v>7105</v>
      </c>
      <c r="L2415" s="3">
        <v>47</v>
      </c>
      <c r="M2415" s="3">
        <v>49.35</v>
      </c>
      <c r="N2415" s="3">
        <v>99.99</v>
      </c>
      <c r="O2415" s="2" t="s">
        <v>461</v>
      </c>
      <c r="P2415" s="2" t="s">
        <v>333</v>
      </c>
      <c r="Q2415" s="2" t="s">
        <v>234</v>
      </c>
      <c r="R2415" s="2" t="s">
        <v>228</v>
      </c>
      <c r="S2415" s="2" t="s">
        <v>11172</v>
      </c>
      <c r="T2415" s="2" t="s">
        <v>415</v>
      </c>
      <c r="U2415" s="2" t="s">
        <v>1170</v>
      </c>
      <c r="V2415" s="2" t="s">
        <v>980</v>
      </c>
      <c r="W2415" s="2" t="s">
        <v>309</v>
      </c>
      <c r="X2415" s="2" t="s">
        <v>417</v>
      </c>
      <c r="Y2415" s="2" t="s">
        <v>11173</v>
      </c>
      <c r="Z2415" s="4">
        <v>154</v>
      </c>
      <c r="AA2415" s="4">
        <f>=ROUNDDOWN(81.0526315789474,0)</f>
      </c>
      <c r="AB2415" s="5">
        <v>1.9</v>
      </c>
      <c r="AC2415" s="2" t="s">
        <v>228</v>
      </c>
      <c r="AD2415" s="4"/>
      <c r="AE2415" s="4"/>
      <c r="AF2415" s="6">
        <v>64</v>
      </c>
      <c r="AG2415" s="6"/>
      <c r="AH2415" s="7">
        <v>1</v>
      </c>
      <c r="AI2415" s="4"/>
      <c r="AJ2415" s="4">
        <f>=ROUNDDOWN({0},0)</f>
      </c>
      <c r="AK2415" s="5"/>
      <c r="AL2415" s="2" t="s">
        <v>228</v>
      </c>
      <c r="AM2415" s="4"/>
      <c r="AN2415" s="4"/>
      <c r="AO2415" s="7"/>
      <c r="AP2415" s="4"/>
      <c r="AQ2415" s="8"/>
      <c r="AR2415" s="4"/>
      <c r="AS2415" s="8"/>
      <c r="AT2415" s="7"/>
      <c r="AU2415" s="7"/>
      <c r="AV2415" s="4"/>
      <c r="AW2415" s="8"/>
      <c r="AX2415" s="4"/>
      <c r="AY2415" s="8"/>
      <c r="AZ2415" s="7"/>
      <c r="BA2415" s="7"/>
      <c r="BB2415" s="7"/>
      <c r="BC2415" s="4"/>
      <c r="BD2415" s="8"/>
      <c r="BE2415" s="4"/>
      <c r="BF2415" s="8"/>
      <c r="BG2415" s="7"/>
      <c r="BH2415" s="7"/>
      <c r="BI2415" s="7"/>
      <c r="BJ2415" s="4">
        <v>18</v>
      </c>
      <c r="BK2415" s="8">
        <v>580.9</v>
      </c>
      <c r="BL2415" s="2" t="s">
        <v>7979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11174</v>
      </c>
      <c r="BV2415" s="2" t="s">
        <v>228</v>
      </c>
      <c r="BW2415" s="2" t="s">
        <v>228</v>
      </c>
      <c r="BX2415" s="2" t="s">
        <v>337</v>
      </c>
      <c r="BY2415" s="2" t="s">
        <v>274</v>
      </c>
      <c r="BZ2415" s="2" t="s">
        <v>240</v>
      </c>
      <c r="CA2415" s="2" t="s">
        <v>2760</v>
      </c>
      <c r="CB2415" s="2" t="s">
        <v>5969</v>
      </c>
      <c r="CC2415" s="2" t="s">
        <v>241</v>
      </c>
      <c r="CD2415" s="2" t="s">
        <v>228</v>
      </c>
      <c r="CE2415" s="4">
        <v>154</v>
      </c>
      <c r="CF2415" s="4"/>
      <c r="CG2415" s="4"/>
      <c r="CH2415" s="4"/>
      <c r="CI2415" s="4"/>
      <c r="CJ2415" s="4"/>
      <c r="CK2415" s="4"/>
      <c r="CL2415" s="4"/>
      <c r="CM2415" s="4"/>
      <c r="CN2415" s="4"/>
      <c r="CO2415" s="4"/>
      <c r="CP2415" s="4"/>
      <c r="CQ2415" s="4"/>
      <c r="CR2415" s="4"/>
      <c r="CS2415" s="4"/>
      <c r="CT2415" s="4"/>
      <c r="CU2415" s="4"/>
      <c r="CV2415" s="4"/>
      <c r="CW2415" s="4"/>
      <c r="CX2415" s="4"/>
      <c r="CY2415" s="4"/>
      <c r="CZ2415" s="4"/>
      <c r="DA2415" s="4"/>
      <c r="DB2415" s="4"/>
      <c r="DC2415" s="4"/>
      <c r="DD2415" s="4"/>
      <c r="DE2415" s="4"/>
      <c r="DF2415" s="4"/>
      <c r="DG2415" s="4"/>
      <c r="DH2415" s="4"/>
      <c r="DI2415" s="4"/>
      <c r="DJ2415" s="4"/>
      <c r="DK2415" s="4"/>
      <c r="DL2415" s="4"/>
      <c r="DM2415" s="4"/>
      <c r="DN2415" s="4"/>
      <c r="DO2415" s="4"/>
      <c r="DP2415" s="4"/>
      <c r="DQ2415" s="4"/>
      <c r="DR2415" s="4"/>
      <c r="DS2415" s="4"/>
      <c r="DT2415" s="4"/>
      <c r="DU2415" s="4"/>
      <c r="DV2415" s="4"/>
      <c r="DW2415" s="4"/>
      <c r="DX2415" s="4"/>
      <c r="DY2415" s="4"/>
      <c r="DZ2415" s="4"/>
      <c r="EA2415" s="4"/>
      <c r="EB2415" s="4"/>
      <c r="EC2415" s="4"/>
      <c r="ED2415" s="4"/>
      <c r="EE2415" s="4"/>
      <c r="EF2415" s="4"/>
      <c r="EG2415" s="4"/>
      <c r="EH2415" s="4"/>
      <c r="EI2415" s="4"/>
      <c r="EJ2415" s="4"/>
      <c r="EK2415" s="4"/>
      <c r="EL2415" s="4"/>
      <c r="EM2415" s="4"/>
      <c r="EN2415" s="4"/>
      <c r="EO2415" s="4"/>
      <c r="EP2415" s="4"/>
      <c r="EQ2415" s="4"/>
      <c r="ER2415" s="4"/>
      <c r="ES2415" s="4"/>
      <c r="ET2415" s="4"/>
      <c r="EU2415" s="4"/>
      <c r="EV2415" s="4"/>
      <c r="EW2415" s="4"/>
      <c r="EX2415" s="4"/>
      <c r="EY2415" s="4"/>
      <c r="EZ2415" s="4"/>
      <c r="FA2415" s="4"/>
      <c r="FB2415" s="4"/>
      <c r="FC2415" s="4"/>
      <c r="FD2415" s="4"/>
      <c r="FE2415" s="4"/>
      <c r="FF2415" s="4"/>
      <c r="FG2415" s="4"/>
      <c r="FH2415" s="4"/>
      <c r="FI2415" s="4"/>
      <c r="FJ2415" s="4"/>
      <c r="FK2415" s="4"/>
      <c r="FL2415" s="4"/>
      <c r="FM2415" s="4"/>
      <c r="FN2415" s="4"/>
      <c r="FO2415" s="4"/>
      <c r="FP2415" s="4"/>
      <c r="FQ2415" s="4"/>
      <c r="FR2415" s="4"/>
      <c r="FS2415" s="4"/>
      <c r="FT2415" s="4"/>
      <c r="FU2415" s="4"/>
      <c r="FV2415" s="4"/>
      <c r="FW2415" s="4"/>
      <c r="FX2415" s="4"/>
      <c r="FY2415" s="4"/>
      <c r="FZ2415" s="4"/>
      <c r="GA2415" s="4"/>
      <c r="GB2415" s="4"/>
      <c r="GC2415" s="4"/>
      <c r="GD2415" s="4"/>
      <c r="GE2415" s="4"/>
      <c r="GF2415" s="4"/>
      <c r="GG2415" s="4"/>
      <c r="GH2415" s="4"/>
      <c r="GI2415" s="4"/>
      <c r="GJ2415" s="4"/>
      <c r="GK2415" s="4"/>
      <c r="GL2415" s="4"/>
      <c r="GM2415" s="4"/>
      <c r="GN2415" s="4"/>
      <c r="GO2415" s="4"/>
      <c r="GP2415" s="4"/>
      <c r="GQ2415" s="4"/>
      <c r="GR2415" s="4"/>
      <c r="GS2415" s="4"/>
      <c r="GT2415" s="4"/>
      <c r="GU2415" s="4"/>
      <c r="GV2415" s="4"/>
      <c r="GW2415" s="4"/>
      <c r="GX2415" s="4"/>
      <c r="GY2415" s="4"/>
      <c r="GZ2415" s="4"/>
      <c r="HA2415" s="4"/>
      <c r="HB2415" s="4"/>
      <c r="HC2415" s="4"/>
      <c r="HD2415" s="4"/>
      <c r="HE2415" s="4"/>
    </row>
    <row r="2416">
      <c r="A2416" s="2" t="s">
        <v>11175</v>
      </c>
      <c r="B2416" s="2" t="s">
        <v>223</v>
      </c>
      <c r="C2416" s="2" t="s">
        <v>731</v>
      </c>
      <c r="D2416" s="2" t="s">
        <v>1407</v>
      </c>
      <c r="E2416" s="2" t="s">
        <v>1408</v>
      </c>
      <c r="F2416" s="2" t="s">
        <v>1845</v>
      </c>
      <c r="G2416" s="2" t="s">
        <v>11176</v>
      </c>
      <c r="H2416" s="2" t="s">
        <v>11176</v>
      </c>
      <c r="I2416" s="2" t="s">
        <v>11177</v>
      </c>
      <c r="J2416" s="2" t="s">
        <v>2651</v>
      </c>
      <c r="K2416" s="2" t="s">
        <v>11178</v>
      </c>
      <c r="L2416" s="3">
        <v>36.8</v>
      </c>
      <c r="M2416" s="3">
        <v>38.64</v>
      </c>
      <c r="N2416" s="3">
        <v>79.99</v>
      </c>
      <c r="O2416" s="2" t="s">
        <v>240</v>
      </c>
      <c r="P2416" s="2" t="s">
        <v>233</v>
      </c>
      <c r="Q2416" s="2" t="s">
        <v>234</v>
      </c>
      <c r="R2416" s="2" t="s">
        <v>228</v>
      </c>
      <c r="S2416" s="2" t="s">
        <v>11179</v>
      </c>
      <c r="T2416" s="2" t="s">
        <v>1608</v>
      </c>
      <c r="U2416" s="2" t="s">
        <v>416</v>
      </c>
      <c r="V2416" s="2" t="s">
        <v>236</v>
      </c>
      <c r="W2416" s="2" t="s">
        <v>309</v>
      </c>
      <c r="X2416" s="2" t="s">
        <v>463</v>
      </c>
      <c r="Y2416" s="2" t="s">
        <v>228</v>
      </c>
      <c r="Z2416" s="4"/>
      <c r="AA2416" s="4">
        <f>=ROUNDDOWN({0},0)</f>
      </c>
      <c r="AB2416" s="5"/>
      <c r="AC2416" s="2" t="s">
        <v>155</v>
      </c>
      <c r="AD2416" s="4">
        <v>450</v>
      </c>
      <c r="AE2416" s="4">
        <v>1000</v>
      </c>
      <c r="AF2416" s="6">
        <v>66</v>
      </c>
      <c r="AG2416" s="6"/>
      <c r="AH2416" s="7"/>
      <c r="AI2416" s="4"/>
      <c r="AJ2416" s="4">
        <f>=ROUNDDOWN({0},0)</f>
      </c>
      <c r="AK2416" s="5"/>
      <c r="AL2416" s="2" t="s">
        <v>228</v>
      </c>
      <c r="AM2416" s="4"/>
      <c r="AN2416" s="4"/>
      <c r="AO2416" s="7"/>
      <c r="AP2416" s="4"/>
      <c r="AQ2416" s="8"/>
      <c r="AR2416" s="4"/>
      <c r="AS2416" s="8"/>
      <c r="AT2416" s="7"/>
      <c r="AU2416" s="7"/>
      <c r="AV2416" s="4"/>
      <c r="AW2416" s="8"/>
      <c r="AX2416" s="4"/>
      <c r="AY2416" s="8"/>
      <c r="AZ2416" s="7"/>
      <c r="BA2416" s="7"/>
      <c r="BB2416" s="7"/>
      <c r="BC2416" s="4" t="s">
        <v>228</v>
      </c>
      <c r="BD2416" s="8" t="s">
        <v>228</v>
      </c>
      <c r="BE2416" s="4" t="s">
        <v>228</v>
      </c>
      <c r="BF2416" s="8" t="s">
        <v>228</v>
      </c>
      <c r="BG2416" s="7" t="s">
        <v>228</v>
      </c>
      <c r="BH2416" s="7" t="s">
        <v>228</v>
      </c>
      <c r="BI2416" s="7"/>
      <c r="BJ2416" s="4"/>
      <c r="BK2416" s="8"/>
      <c r="BL2416" s="2" t="s">
        <v>228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238</v>
      </c>
      <c r="BV2416" s="2" t="s">
        <v>228</v>
      </c>
      <c r="BW2416" s="2" t="s">
        <v>228</v>
      </c>
      <c r="BX2416" s="2" t="s">
        <v>238</v>
      </c>
      <c r="BY2416" s="2" t="s">
        <v>239</v>
      </c>
      <c r="BZ2416" s="2" t="s">
        <v>240</v>
      </c>
      <c r="CA2416" s="2" t="s">
        <v>228</v>
      </c>
      <c r="CB2416" s="2" t="s">
        <v>228</v>
      </c>
      <c r="CC2416" s="2" t="s">
        <v>241</v>
      </c>
      <c r="CD2416" s="2" t="s">
        <v>228</v>
      </c>
      <c r="CE2416" s="4"/>
      <c r="CF2416" s="4"/>
      <c r="CG2416" s="4"/>
      <c r="CH2416" s="4"/>
      <c r="CI2416" s="4"/>
      <c r="CJ2416" s="4"/>
      <c r="CK2416" s="4"/>
      <c r="CL2416" s="4"/>
      <c r="CM2416" s="4"/>
      <c r="CN2416" s="4"/>
      <c r="CO2416" s="4"/>
      <c r="CP2416" s="4"/>
      <c r="CQ2416" s="4"/>
      <c r="CR2416" s="4"/>
      <c r="CS2416" s="4"/>
      <c r="CT2416" s="4"/>
      <c r="CU2416" s="4"/>
      <c r="CV2416" s="4"/>
      <c r="CW2416" s="4"/>
      <c r="CX2416" s="4"/>
      <c r="CY2416" s="4"/>
      <c r="CZ2416" s="4"/>
      <c r="DA2416" s="4"/>
      <c r="DB2416" s="4"/>
      <c r="DC2416" s="4"/>
      <c r="DD2416" s="4"/>
      <c r="DE2416" s="4"/>
      <c r="DF2416" s="4"/>
      <c r="DG2416" s="4"/>
      <c r="DH2416" s="4"/>
      <c r="DI2416" s="4"/>
      <c r="DJ2416" s="4"/>
      <c r="DK2416" s="4"/>
      <c r="DL2416" s="4"/>
      <c r="DM2416" s="4"/>
      <c r="DN2416" s="4"/>
      <c r="DO2416" s="4"/>
      <c r="DP2416" s="4"/>
      <c r="DQ2416" s="4"/>
      <c r="DR2416" s="4"/>
      <c r="DS2416" s="4"/>
      <c r="DT2416" s="4"/>
      <c r="DU2416" s="4"/>
      <c r="DV2416" s="4"/>
      <c r="DW2416" s="4"/>
      <c r="DX2416" s="4"/>
      <c r="DY2416" s="4"/>
      <c r="DZ2416" s="4"/>
      <c r="EA2416" s="4"/>
      <c r="EB2416" s="4"/>
      <c r="EC2416" s="4"/>
      <c r="ED2416" s="4"/>
      <c r="EE2416" s="4"/>
      <c r="EF2416" s="4"/>
      <c r="EG2416" s="4"/>
      <c r="EH2416" s="4"/>
      <c r="EI2416" s="4"/>
      <c r="EJ2416" s="4"/>
      <c r="EK2416" s="4"/>
      <c r="EL2416" s="4"/>
      <c r="EM2416" s="4"/>
      <c r="EN2416" s="4"/>
      <c r="EO2416" s="4"/>
      <c r="EP2416" s="4"/>
      <c r="EQ2416" s="4">
        <v>450</v>
      </c>
      <c r="ER2416" s="4"/>
      <c r="ES2416" s="4"/>
      <c r="ET2416" s="4"/>
      <c r="EU2416" s="4"/>
      <c r="EV2416" s="4"/>
      <c r="EW2416" s="4"/>
      <c r="EX2416" s="4"/>
      <c r="EY2416" s="4"/>
      <c r="EZ2416" s="4"/>
      <c r="FA2416" s="4"/>
      <c r="FB2416" s="4"/>
      <c r="FC2416" s="4"/>
      <c r="FD2416" s="4"/>
      <c r="FE2416" s="4"/>
      <c r="FF2416" s="4"/>
      <c r="FG2416" s="4"/>
      <c r="FH2416" s="4"/>
      <c r="FI2416" s="4"/>
      <c r="FJ2416" s="4"/>
      <c r="FK2416" s="4"/>
      <c r="FL2416" s="4"/>
      <c r="FM2416" s="4"/>
      <c r="FN2416" s="4"/>
      <c r="FO2416" s="4"/>
      <c r="FP2416" s="4"/>
      <c r="FQ2416" s="4">
        <v>550</v>
      </c>
      <c r="FR2416" s="4"/>
      <c r="FS2416" s="4"/>
      <c r="FT2416" s="4"/>
      <c r="FU2416" s="4"/>
      <c r="FV2416" s="4"/>
      <c r="FW2416" s="4"/>
      <c r="FX2416" s="4"/>
      <c r="FY2416" s="4"/>
      <c r="FZ2416" s="4"/>
      <c r="GA2416" s="4"/>
      <c r="GB2416" s="4"/>
      <c r="GC2416" s="4"/>
      <c r="GD2416" s="4"/>
      <c r="GE2416" s="4"/>
      <c r="GF2416" s="4"/>
      <c r="GG2416" s="4"/>
      <c r="GH2416" s="4"/>
      <c r="GI2416" s="4"/>
      <c r="GJ2416" s="4"/>
      <c r="GK2416" s="4"/>
      <c r="GL2416" s="4"/>
      <c r="GM2416" s="4"/>
      <c r="GN2416" s="4"/>
      <c r="GO2416" s="4"/>
      <c r="GP2416" s="4"/>
      <c r="GQ2416" s="4"/>
      <c r="GR2416" s="4"/>
      <c r="GS2416" s="4"/>
      <c r="GT2416" s="4"/>
      <c r="GU2416" s="4"/>
      <c r="GV2416" s="4"/>
      <c r="GW2416" s="4"/>
      <c r="GX2416" s="4"/>
      <c r="GY2416" s="4"/>
      <c r="GZ2416" s="4"/>
      <c r="HA2416" s="4"/>
      <c r="HB2416" s="4"/>
      <c r="HC2416" s="4"/>
      <c r="HD2416" s="4"/>
      <c r="HE2416" s="4"/>
    </row>
    <row r="2417">
      <c r="A2417" s="2" t="s">
        <v>11180</v>
      </c>
      <c r="B2417" s="2" t="s">
        <v>223</v>
      </c>
      <c r="C2417" s="2" t="s">
        <v>731</v>
      </c>
      <c r="D2417" s="2" t="s">
        <v>1407</v>
      </c>
      <c r="E2417" s="2" t="s">
        <v>6279</v>
      </c>
      <c r="F2417" s="2" t="s">
        <v>1845</v>
      </c>
      <c r="G2417" s="2" t="s">
        <v>11176</v>
      </c>
      <c r="H2417" s="2" t="s">
        <v>11176</v>
      </c>
      <c r="I2417" s="2" t="s">
        <v>11181</v>
      </c>
      <c r="J2417" s="2" t="s">
        <v>6109</v>
      </c>
      <c r="K2417" s="2" t="s">
        <v>1421</v>
      </c>
      <c r="L2417" s="3">
        <v>42.9</v>
      </c>
      <c r="M2417" s="3">
        <v>45.05</v>
      </c>
      <c r="N2417" s="3">
        <v>84.99</v>
      </c>
      <c r="O2417" s="2" t="s">
        <v>461</v>
      </c>
      <c r="P2417" s="2" t="s">
        <v>333</v>
      </c>
      <c r="Q2417" s="2" t="s">
        <v>234</v>
      </c>
      <c r="R2417" s="2" t="s">
        <v>228</v>
      </c>
      <c r="S2417" s="2" t="s">
        <v>228</v>
      </c>
      <c r="T2417" s="2" t="s">
        <v>1608</v>
      </c>
      <c r="U2417" s="2" t="s">
        <v>416</v>
      </c>
      <c r="V2417" s="2" t="s">
        <v>2042</v>
      </c>
      <c r="W2417" s="2" t="s">
        <v>309</v>
      </c>
      <c r="X2417" s="2" t="s">
        <v>463</v>
      </c>
      <c r="Y2417" s="2" t="s">
        <v>11182</v>
      </c>
      <c r="Z2417" s="4">
        <v>269</v>
      </c>
      <c r="AA2417" s="4">
        <f>=ROUNDDOWN(89.6666666666667,0)</f>
      </c>
      <c r="AB2417" s="5">
        <v>3</v>
      </c>
      <c r="AC2417" s="2" t="s">
        <v>228</v>
      </c>
      <c r="AD2417" s="4"/>
      <c r="AE2417" s="4"/>
      <c r="AF2417" s="6">
        <v>61</v>
      </c>
      <c r="AG2417" s="6"/>
      <c r="AH2417" s="7">
        <v>1</v>
      </c>
      <c r="AI2417" s="4"/>
      <c r="AJ2417" s="4">
        <f>=ROUNDDOWN({0},0)</f>
      </c>
      <c r="AK2417" s="5"/>
      <c r="AL2417" s="2" t="s">
        <v>228</v>
      </c>
      <c r="AM2417" s="4"/>
      <c r="AN2417" s="4"/>
      <c r="AO2417" s="7"/>
      <c r="AP2417" s="4"/>
      <c r="AQ2417" s="8"/>
      <c r="AR2417" s="4"/>
      <c r="AS2417" s="8"/>
      <c r="AT2417" s="7"/>
      <c r="AU2417" s="7"/>
      <c r="AV2417" s="4" t="s">
        <v>228</v>
      </c>
      <c r="AW2417" s="8" t="s">
        <v>228</v>
      </c>
      <c r="AX2417" s="4" t="s">
        <v>228</v>
      </c>
      <c r="AY2417" s="8" t="s">
        <v>228</v>
      </c>
      <c r="AZ2417" s="7" t="s">
        <v>228</v>
      </c>
      <c r="BA2417" s="7" t="s">
        <v>228</v>
      </c>
      <c r="BB2417" s="7"/>
      <c r="BC2417" s="4" t="s">
        <v>228</v>
      </c>
      <c r="BD2417" s="8" t="s">
        <v>228</v>
      </c>
      <c r="BE2417" s="4" t="s">
        <v>228</v>
      </c>
      <c r="BF2417" s="8" t="s">
        <v>228</v>
      </c>
      <c r="BG2417" s="7" t="s">
        <v>228</v>
      </c>
      <c r="BH2417" s="7" t="s">
        <v>228</v>
      </c>
      <c r="BI2417" s="7"/>
      <c r="BJ2417" s="4">
        <v>6</v>
      </c>
      <c r="BK2417" s="8">
        <v>228.23</v>
      </c>
      <c r="BL2417" s="2" t="s">
        <v>11183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11184</v>
      </c>
      <c r="BV2417" s="2" t="s">
        <v>228</v>
      </c>
      <c r="BW2417" s="2" t="s">
        <v>228</v>
      </c>
      <c r="BX2417" s="2" t="s">
        <v>337</v>
      </c>
      <c r="BY2417" s="2" t="s">
        <v>274</v>
      </c>
      <c r="BZ2417" s="2" t="s">
        <v>240</v>
      </c>
      <c r="CA2417" s="2" t="s">
        <v>1685</v>
      </c>
      <c r="CB2417" s="2" t="s">
        <v>7972</v>
      </c>
      <c r="CC2417" s="2" t="s">
        <v>241</v>
      </c>
      <c r="CD2417" s="2" t="s">
        <v>228</v>
      </c>
      <c r="CE2417" s="4">
        <v>269</v>
      </c>
      <c r="CF2417" s="4"/>
      <c r="CG2417" s="4"/>
      <c r="CH2417" s="4"/>
      <c r="CI2417" s="4"/>
      <c r="CJ2417" s="4"/>
      <c r="CK2417" s="4"/>
      <c r="CL2417" s="4"/>
      <c r="CM2417" s="4"/>
      <c r="CN2417" s="4"/>
      <c r="CO2417" s="4"/>
      <c r="CP2417" s="4"/>
      <c r="CQ2417" s="4"/>
      <c r="CR2417" s="4"/>
      <c r="CS2417" s="4"/>
      <c r="CT2417" s="4"/>
      <c r="CU2417" s="4"/>
      <c r="CV2417" s="4"/>
      <c r="CW2417" s="4"/>
      <c r="CX2417" s="4"/>
      <c r="CY2417" s="4"/>
      <c r="CZ2417" s="4"/>
      <c r="DA2417" s="4"/>
      <c r="DB2417" s="4"/>
      <c r="DC2417" s="4"/>
      <c r="DD2417" s="4"/>
      <c r="DE2417" s="4"/>
      <c r="DF2417" s="4"/>
      <c r="DG2417" s="4"/>
      <c r="DH2417" s="4"/>
      <c r="DI2417" s="4"/>
      <c r="DJ2417" s="4"/>
      <c r="DK2417" s="4"/>
      <c r="DL2417" s="4"/>
      <c r="DM2417" s="4"/>
      <c r="DN2417" s="4"/>
      <c r="DO2417" s="4"/>
      <c r="DP2417" s="4"/>
      <c r="DQ2417" s="4"/>
      <c r="DR2417" s="4"/>
      <c r="DS2417" s="4"/>
      <c r="DT2417" s="4"/>
      <c r="DU2417" s="4"/>
      <c r="DV2417" s="4"/>
      <c r="DW2417" s="4"/>
      <c r="DX2417" s="4"/>
      <c r="DY2417" s="4"/>
      <c r="DZ2417" s="4"/>
      <c r="EA2417" s="4"/>
      <c r="EB2417" s="4"/>
      <c r="EC2417" s="4"/>
      <c r="ED2417" s="4"/>
      <c r="EE2417" s="4"/>
      <c r="EF2417" s="4"/>
      <c r="EG2417" s="4"/>
      <c r="EH2417" s="4"/>
      <c r="EI2417" s="4"/>
      <c r="EJ2417" s="4"/>
      <c r="EK2417" s="4"/>
      <c r="EL2417" s="4"/>
      <c r="EM2417" s="4"/>
      <c r="EN2417" s="4"/>
      <c r="EO2417" s="4"/>
      <c r="EP2417" s="4"/>
      <c r="EQ2417" s="4"/>
      <c r="ER2417" s="4"/>
      <c r="ES2417" s="4"/>
      <c r="ET2417" s="4"/>
      <c r="EU2417" s="4"/>
      <c r="EV2417" s="4"/>
      <c r="EW2417" s="4"/>
      <c r="EX2417" s="4"/>
      <c r="EY2417" s="4"/>
      <c r="EZ2417" s="4"/>
      <c r="FA2417" s="4"/>
      <c r="FB2417" s="4"/>
      <c r="FC2417" s="4"/>
      <c r="FD2417" s="4"/>
      <c r="FE2417" s="4"/>
      <c r="FF2417" s="4"/>
      <c r="FG2417" s="4"/>
      <c r="FH2417" s="4"/>
      <c r="FI2417" s="4"/>
      <c r="FJ2417" s="4"/>
      <c r="FK2417" s="4"/>
      <c r="FL2417" s="4"/>
      <c r="FM2417" s="4"/>
      <c r="FN2417" s="4"/>
      <c r="FO2417" s="4"/>
      <c r="FP2417" s="4"/>
      <c r="FQ2417" s="4"/>
      <c r="FR2417" s="4"/>
      <c r="FS2417" s="4"/>
      <c r="FT2417" s="4"/>
      <c r="FU2417" s="4"/>
      <c r="FV2417" s="4"/>
      <c r="FW2417" s="4"/>
      <c r="FX2417" s="4"/>
      <c r="FY2417" s="4"/>
      <c r="FZ2417" s="4"/>
      <c r="GA2417" s="4"/>
      <c r="GB2417" s="4"/>
      <c r="GC2417" s="4"/>
      <c r="GD2417" s="4"/>
      <c r="GE2417" s="4"/>
      <c r="GF2417" s="4"/>
      <c r="GG2417" s="4"/>
      <c r="GH2417" s="4"/>
      <c r="GI2417" s="4"/>
      <c r="GJ2417" s="4"/>
      <c r="GK2417" s="4"/>
      <c r="GL2417" s="4"/>
      <c r="GM2417" s="4"/>
      <c r="GN2417" s="4"/>
      <c r="GO2417" s="4"/>
      <c r="GP2417" s="4"/>
      <c r="GQ2417" s="4"/>
      <c r="GR2417" s="4"/>
      <c r="GS2417" s="4"/>
      <c r="GT2417" s="4"/>
      <c r="GU2417" s="4"/>
      <c r="GV2417" s="4"/>
      <c r="GW2417" s="4"/>
      <c r="GX2417" s="4"/>
      <c r="GY2417" s="4"/>
      <c r="GZ2417" s="4"/>
      <c r="HA2417" s="4"/>
      <c r="HB2417" s="4"/>
      <c r="HC2417" s="4"/>
      <c r="HD2417" s="4"/>
      <c r="HE2417" s="4"/>
    </row>
    <row r="2418">
      <c r="A2418" s="2" t="s">
        <v>11185</v>
      </c>
      <c r="B2418" s="2" t="s">
        <v>223</v>
      </c>
      <c r="C2418" s="2" t="s">
        <v>731</v>
      </c>
      <c r="D2418" s="2" t="s">
        <v>1407</v>
      </c>
      <c r="E2418" s="2" t="s">
        <v>1408</v>
      </c>
      <c r="F2418" s="2" t="s">
        <v>1845</v>
      </c>
      <c r="G2418" s="2" t="s">
        <v>11176</v>
      </c>
      <c r="H2418" s="2" t="s">
        <v>11176</v>
      </c>
      <c r="I2418" s="2" t="s">
        <v>11177</v>
      </c>
      <c r="J2418" s="2" t="s">
        <v>2651</v>
      </c>
      <c r="K2418" s="2" t="s">
        <v>1421</v>
      </c>
      <c r="L2418" s="3">
        <v>36.8</v>
      </c>
      <c r="M2418" s="3">
        <v>38.64</v>
      </c>
      <c r="N2418" s="3">
        <v>79.99</v>
      </c>
      <c r="O2418" s="2" t="s">
        <v>240</v>
      </c>
      <c r="P2418" s="2" t="s">
        <v>815</v>
      </c>
      <c r="Q2418" s="2" t="s">
        <v>234</v>
      </c>
      <c r="R2418" s="2" t="s">
        <v>228</v>
      </c>
      <c r="S2418" s="2" t="s">
        <v>11186</v>
      </c>
      <c r="T2418" s="2" t="s">
        <v>1608</v>
      </c>
      <c r="U2418" s="2" t="s">
        <v>228</v>
      </c>
      <c r="V2418" s="2" t="s">
        <v>2042</v>
      </c>
      <c r="W2418" s="2" t="s">
        <v>309</v>
      </c>
      <c r="X2418" s="2" t="s">
        <v>463</v>
      </c>
      <c r="Y2418" s="2" t="s">
        <v>1506</v>
      </c>
      <c r="Z2418" s="4">
        <v>353</v>
      </c>
      <c r="AA2418" s="4">
        <f>=ROUNDDOWN(5.515625,0)</f>
      </c>
      <c r="AB2418" s="5">
        <v>64</v>
      </c>
      <c r="AC2418" s="2" t="s">
        <v>6121</v>
      </c>
      <c r="AD2418" s="4">
        <v>750</v>
      </c>
      <c r="AE2418" s="4">
        <v>2510</v>
      </c>
      <c r="AF2418" s="6">
        <v>65</v>
      </c>
      <c r="AG2418" s="6"/>
      <c r="AH2418" s="7">
        <v>1</v>
      </c>
      <c r="AI2418" s="4"/>
      <c r="AJ2418" s="4">
        <f>=ROUNDDOWN({0},0)</f>
      </c>
      <c r="AK2418" s="5"/>
      <c r="AL2418" s="2" t="s">
        <v>228</v>
      </c>
      <c r="AM2418" s="4"/>
      <c r="AN2418" s="4"/>
      <c r="AO2418" s="7"/>
      <c r="AP2418" s="4"/>
      <c r="AQ2418" s="8"/>
      <c r="AR2418" s="4"/>
      <c r="AS2418" s="8"/>
      <c r="AT2418" s="7"/>
      <c r="AU2418" s="7"/>
      <c r="AV2418" s="4" t="s">
        <v>228</v>
      </c>
      <c r="AW2418" s="8" t="s">
        <v>228</v>
      </c>
      <c r="AX2418" s="4" t="s">
        <v>228</v>
      </c>
      <c r="AY2418" s="8" t="s">
        <v>228</v>
      </c>
      <c r="AZ2418" s="7" t="s">
        <v>228</v>
      </c>
      <c r="BA2418" s="7" t="s">
        <v>228</v>
      </c>
      <c r="BB2418" s="7"/>
      <c r="BC2418" s="4" t="s">
        <v>228</v>
      </c>
      <c r="BD2418" s="8" t="s">
        <v>228</v>
      </c>
      <c r="BE2418" s="4" t="s">
        <v>228</v>
      </c>
      <c r="BF2418" s="8" t="s">
        <v>228</v>
      </c>
      <c r="BG2418" s="7" t="s">
        <v>228</v>
      </c>
      <c r="BH2418" s="7" t="s">
        <v>228</v>
      </c>
      <c r="BI2418" s="7"/>
      <c r="BJ2418" s="4">
        <v>30</v>
      </c>
      <c r="BK2418" s="8">
        <v>1186.9</v>
      </c>
      <c r="BL2418" s="2" t="s">
        <v>11187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11188</v>
      </c>
      <c r="BV2418" s="2" t="s">
        <v>228</v>
      </c>
      <c r="BW2418" s="2" t="s">
        <v>228</v>
      </c>
      <c r="BX2418" s="2" t="s">
        <v>273</v>
      </c>
      <c r="BY2418" s="2" t="s">
        <v>274</v>
      </c>
      <c r="BZ2418" s="2" t="s">
        <v>240</v>
      </c>
      <c r="CA2418" s="2" t="s">
        <v>11189</v>
      </c>
      <c r="CB2418" s="2" t="s">
        <v>4910</v>
      </c>
      <c r="CC2418" s="2" t="s">
        <v>241</v>
      </c>
      <c r="CD2418" s="2" t="s">
        <v>228</v>
      </c>
      <c r="CE2418" s="4">
        <v>353</v>
      </c>
      <c r="CF2418" s="4"/>
      <c r="CG2418" s="4"/>
      <c r="CH2418" s="4"/>
      <c r="CI2418" s="4"/>
      <c r="CJ2418" s="4"/>
      <c r="CK2418" s="4"/>
      <c r="CL2418" s="4"/>
      <c r="CM2418" s="4"/>
      <c r="CN2418" s="4"/>
      <c r="CO2418" s="4"/>
      <c r="CP2418" s="4"/>
      <c r="CQ2418" s="4"/>
      <c r="CR2418" s="4"/>
      <c r="CS2418" s="4"/>
      <c r="CT2418" s="4"/>
      <c r="CU2418" s="4"/>
      <c r="CV2418" s="4"/>
      <c r="CW2418" s="4"/>
      <c r="CX2418" s="4"/>
      <c r="CY2418" s="4"/>
      <c r="CZ2418" s="4"/>
      <c r="DA2418" s="4"/>
      <c r="DB2418" s="4"/>
      <c r="DC2418" s="4">
        <v>750</v>
      </c>
      <c r="DD2418" s="4"/>
      <c r="DE2418" s="4"/>
      <c r="DF2418" s="4"/>
      <c r="DG2418" s="4"/>
      <c r="DH2418" s="4"/>
      <c r="DI2418" s="4"/>
      <c r="DJ2418" s="4"/>
      <c r="DK2418" s="4"/>
      <c r="DL2418" s="4"/>
      <c r="DM2418" s="4"/>
      <c r="DN2418" s="4"/>
      <c r="DO2418" s="4"/>
      <c r="DP2418" s="4"/>
      <c r="DQ2418" s="4"/>
      <c r="DR2418" s="4"/>
      <c r="DS2418" s="4"/>
      <c r="DT2418" s="4"/>
      <c r="DU2418" s="4"/>
      <c r="DV2418" s="4"/>
      <c r="DW2418" s="4"/>
      <c r="DX2418" s="4"/>
      <c r="DY2418" s="4"/>
      <c r="DZ2418" s="4"/>
      <c r="EA2418" s="4"/>
      <c r="EB2418" s="4"/>
      <c r="EC2418" s="4"/>
      <c r="ED2418" s="4"/>
      <c r="EE2418" s="4"/>
      <c r="EF2418" s="4"/>
      <c r="EG2418" s="4"/>
      <c r="EH2418" s="4"/>
      <c r="EI2418" s="4"/>
      <c r="EJ2418" s="4"/>
      <c r="EK2418" s="4"/>
      <c r="EL2418" s="4"/>
      <c r="EM2418" s="4"/>
      <c r="EN2418" s="4"/>
      <c r="EO2418" s="4"/>
      <c r="EP2418" s="4"/>
      <c r="EQ2418" s="4"/>
      <c r="ER2418" s="4"/>
      <c r="ES2418" s="4"/>
      <c r="ET2418" s="4"/>
      <c r="EU2418" s="4"/>
      <c r="EV2418" s="4">
        <v>1090</v>
      </c>
      <c r="EW2418" s="4"/>
      <c r="EX2418" s="4"/>
      <c r="EY2418" s="4"/>
      <c r="EZ2418" s="4"/>
      <c r="FA2418" s="4"/>
      <c r="FB2418" s="4"/>
      <c r="FC2418" s="4"/>
      <c r="FD2418" s="4"/>
      <c r="FE2418" s="4"/>
      <c r="FF2418" s="4"/>
      <c r="FG2418" s="4"/>
      <c r="FH2418" s="4"/>
      <c r="FI2418" s="4"/>
      <c r="FJ2418" s="4"/>
      <c r="FK2418" s="4"/>
      <c r="FL2418" s="4"/>
      <c r="FM2418" s="4"/>
      <c r="FN2418" s="4"/>
      <c r="FO2418" s="4"/>
      <c r="FP2418" s="4"/>
      <c r="FQ2418" s="4"/>
      <c r="FR2418" s="4"/>
      <c r="FS2418" s="4"/>
      <c r="FT2418" s="4"/>
      <c r="FU2418" s="4"/>
      <c r="FV2418" s="4"/>
      <c r="FW2418" s="4"/>
      <c r="FX2418" s="4">
        <v>420</v>
      </c>
      <c r="FY2418" s="4"/>
      <c r="FZ2418" s="4"/>
      <c r="GA2418" s="4"/>
      <c r="GB2418" s="4"/>
      <c r="GC2418" s="4"/>
      <c r="GD2418" s="4"/>
      <c r="GE2418" s="4"/>
      <c r="GF2418" s="4"/>
      <c r="GG2418" s="4"/>
      <c r="GH2418" s="4"/>
      <c r="GI2418" s="4"/>
      <c r="GJ2418" s="4"/>
      <c r="GK2418" s="4"/>
      <c r="GL2418" s="4"/>
      <c r="GM2418" s="4"/>
      <c r="GN2418" s="4"/>
      <c r="GO2418" s="4"/>
      <c r="GP2418" s="4"/>
      <c r="GQ2418" s="4"/>
      <c r="GR2418" s="4"/>
      <c r="GS2418" s="4">
        <v>250</v>
      </c>
      <c r="GT2418" s="4"/>
      <c r="GU2418" s="4"/>
      <c r="GV2418" s="4"/>
      <c r="GW2418" s="4"/>
      <c r="GX2418" s="4"/>
      <c r="GY2418" s="4"/>
      <c r="GZ2418" s="4"/>
      <c r="HA2418" s="4"/>
      <c r="HB2418" s="4"/>
      <c r="HC2418" s="4"/>
      <c r="HD2418" s="4"/>
      <c r="HE2418" s="4"/>
    </row>
    <row r="2419">
      <c r="A2419" s="2" t="s">
        <v>11190</v>
      </c>
      <c r="B2419" s="2" t="s">
        <v>223</v>
      </c>
      <c r="C2419" s="2" t="s">
        <v>300</v>
      </c>
      <c r="D2419" s="2" t="s">
        <v>1862</v>
      </c>
      <c r="E2419" s="2" t="s">
        <v>2767</v>
      </c>
      <c r="F2419" s="2" t="s">
        <v>1845</v>
      </c>
      <c r="G2419" s="2" t="s">
        <v>11176</v>
      </c>
      <c r="H2419" s="2" t="s">
        <v>11176</v>
      </c>
      <c r="I2419" s="2" t="s">
        <v>4777</v>
      </c>
      <c r="J2419" s="2" t="s">
        <v>1991</v>
      </c>
      <c r="K2419" s="2" t="s">
        <v>1421</v>
      </c>
      <c r="L2419" s="3">
        <v>14.83</v>
      </c>
      <c r="M2419" s="3">
        <v>15.57</v>
      </c>
      <c r="N2419" s="3">
        <v>31.99</v>
      </c>
      <c r="O2419" s="2" t="s">
        <v>240</v>
      </c>
      <c r="P2419" s="2" t="s">
        <v>266</v>
      </c>
      <c r="Q2419" s="2" t="s">
        <v>234</v>
      </c>
      <c r="R2419" s="2" t="s">
        <v>228</v>
      </c>
      <c r="S2419" s="2" t="s">
        <v>11191</v>
      </c>
      <c r="T2419" s="2" t="s">
        <v>1608</v>
      </c>
      <c r="U2419" s="2" t="s">
        <v>228</v>
      </c>
      <c r="V2419" s="2" t="s">
        <v>2042</v>
      </c>
      <c r="W2419" s="2" t="s">
        <v>309</v>
      </c>
      <c r="X2419" s="2" t="s">
        <v>228</v>
      </c>
      <c r="Y2419" s="2" t="s">
        <v>270</v>
      </c>
      <c r="Z2419" s="4">
        <v>770</v>
      </c>
      <c r="AA2419" s="4">
        <f>=ROUNDDOWN(51.3333333333333,0)</f>
      </c>
      <c r="AB2419" s="5">
        <v>15</v>
      </c>
      <c r="AC2419" s="2" t="s">
        <v>173</v>
      </c>
      <c r="AD2419" s="4">
        <v>200</v>
      </c>
      <c r="AE2419" s="4">
        <v>300</v>
      </c>
      <c r="AF2419" s="6">
        <v>64</v>
      </c>
      <c r="AG2419" s="6"/>
      <c r="AH2419" s="7">
        <v>1</v>
      </c>
      <c r="AI2419" s="4"/>
      <c r="AJ2419" s="4">
        <f>=ROUNDDOWN({0},0)</f>
      </c>
      <c r="AK2419" s="5"/>
      <c r="AL2419" s="2" t="s">
        <v>228</v>
      </c>
      <c r="AM2419" s="4"/>
      <c r="AN2419" s="4"/>
      <c r="AO2419" s="7"/>
      <c r="AP2419" s="4"/>
      <c r="AQ2419" s="8"/>
      <c r="AR2419" s="4"/>
      <c r="AS2419" s="8"/>
      <c r="AT2419" s="7"/>
      <c r="AU2419" s="7"/>
      <c r="AV2419" s="4" t="s">
        <v>228</v>
      </c>
      <c r="AW2419" s="8" t="s">
        <v>228</v>
      </c>
      <c r="AX2419" s="4" t="s">
        <v>228</v>
      </c>
      <c r="AY2419" s="8" t="s">
        <v>228</v>
      </c>
      <c r="AZ2419" s="7" t="s">
        <v>228</v>
      </c>
      <c r="BA2419" s="7" t="s">
        <v>228</v>
      </c>
      <c r="BB2419" s="7"/>
      <c r="BC2419" s="4" t="s">
        <v>228</v>
      </c>
      <c r="BD2419" s="8" t="s">
        <v>228</v>
      </c>
      <c r="BE2419" s="4" t="s">
        <v>228</v>
      </c>
      <c r="BF2419" s="8" t="s">
        <v>228</v>
      </c>
      <c r="BG2419" s="7" t="s">
        <v>228</v>
      </c>
      <c r="BH2419" s="7" t="s">
        <v>228</v>
      </c>
      <c r="BI2419" s="7"/>
      <c r="BJ2419" s="4">
        <v>43</v>
      </c>
      <c r="BK2419" s="8">
        <v>631.53</v>
      </c>
      <c r="BL2419" s="2" t="s">
        <v>11192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11193</v>
      </c>
      <c r="BV2419" s="2" t="s">
        <v>228</v>
      </c>
      <c r="BW2419" s="2" t="s">
        <v>228</v>
      </c>
      <c r="BX2419" s="2" t="s">
        <v>273</v>
      </c>
      <c r="BY2419" s="2" t="s">
        <v>274</v>
      </c>
      <c r="BZ2419" s="2" t="s">
        <v>240</v>
      </c>
      <c r="CA2419" s="2" t="s">
        <v>275</v>
      </c>
      <c r="CB2419" s="2" t="s">
        <v>11194</v>
      </c>
      <c r="CC2419" s="2" t="s">
        <v>241</v>
      </c>
      <c r="CD2419" s="2" t="s">
        <v>228</v>
      </c>
      <c r="CE2419" s="4">
        <v>770</v>
      </c>
      <c r="CF2419" s="4"/>
      <c r="CG2419" s="4"/>
      <c r="CH2419" s="4"/>
      <c r="CI2419" s="4"/>
      <c r="CJ2419" s="4"/>
      <c r="CK2419" s="4"/>
      <c r="CL2419" s="4"/>
      <c r="CM2419" s="4"/>
      <c r="CN2419" s="4"/>
      <c r="CO2419" s="4"/>
      <c r="CP2419" s="4"/>
      <c r="CQ2419" s="4"/>
      <c r="CR2419" s="4"/>
      <c r="CS2419" s="4"/>
      <c r="CT2419" s="4"/>
      <c r="CU2419" s="4"/>
      <c r="CV2419" s="4"/>
      <c r="CW2419" s="4"/>
      <c r="CX2419" s="4"/>
      <c r="CY2419" s="4"/>
      <c r="CZ2419" s="4"/>
      <c r="DA2419" s="4"/>
      <c r="DB2419" s="4"/>
      <c r="DC2419" s="4"/>
      <c r="DD2419" s="4"/>
      <c r="DE2419" s="4"/>
      <c r="DF2419" s="4"/>
      <c r="DG2419" s="4"/>
      <c r="DH2419" s="4"/>
      <c r="DI2419" s="4"/>
      <c r="DJ2419" s="4"/>
      <c r="DK2419" s="4"/>
      <c r="DL2419" s="4"/>
      <c r="DM2419" s="4"/>
      <c r="DN2419" s="4"/>
      <c r="DO2419" s="4"/>
      <c r="DP2419" s="4"/>
      <c r="DQ2419" s="4"/>
      <c r="DR2419" s="4"/>
      <c r="DS2419" s="4"/>
      <c r="DT2419" s="4"/>
      <c r="DU2419" s="4"/>
      <c r="DV2419" s="4"/>
      <c r="DW2419" s="4"/>
      <c r="DX2419" s="4"/>
      <c r="DY2419" s="4"/>
      <c r="DZ2419" s="4"/>
      <c r="EA2419" s="4"/>
      <c r="EB2419" s="4"/>
      <c r="EC2419" s="4"/>
      <c r="ED2419" s="4"/>
      <c r="EE2419" s="4"/>
      <c r="EF2419" s="4"/>
      <c r="EG2419" s="4"/>
      <c r="EH2419" s="4"/>
      <c r="EI2419" s="4"/>
      <c r="EJ2419" s="4"/>
      <c r="EK2419" s="4"/>
      <c r="EL2419" s="4"/>
      <c r="EM2419" s="4"/>
      <c r="EN2419" s="4"/>
      <c r="EO2419" s="4"/>
      <c r="EP2419" s="4"/>
      <c r="EQ2419" s="4"/>
      <c r="ER2419" s="4"/>
      <c r="ES2419" s="4"/>
      <c r="ET2419" s="4"/>
      <c r="EU2419" s="4"/>
      <c r="EV2419" s="4"/>
      <c r="EW2419" s="4"/>
      <c r="EX2419" s="4"/>
      <c r="EY2419" s="4"/>
      <c r="EZ2419" s="4"/>
      <c r="FA2419" s="4"/>
      <c r="FB2419" s="4"/>
      <c r="FC2419" s="4"/>
      <c r="FD2419" s="4"/>
      <c r="FE2419" s="4"/>
      <c r="FF2419" s="4"/>
      <c r="FG2419" s="4"/>
      <c r="FH2419" s="4"/>
      <c r="FI2419" s="4">
        <v>200</v>
      </c>
      <c r="FJ2419" s="4"/>
      <c r="FK2419" s="4"/>
      <c r="FL2419" s="4"/>
      <c r="FM2419" s="4"/>
      <c r="FN2419" s="4"/>
      <c r="FO2419" s="4"/>
      <c r="FP2419" s="4"/>
      <c r="FQ2419" s="4"/>
      <c r="FR2419" s="4"/>
      <c r="FS2419" s="4"/>
      <c r="FT2419" s="4"/>
      <c r="FU2419" s="4"/>
      <c r="FV2419" s="4"/>
      <c r="FW2419" s="4"/>
      <c r="FX2419" s="4"/>
      <c r="FY2419" s="4"/>
      <c r="FZ2419" s="4"/>
      <c r="GA2419" s="4"/>
      <c r="GB2419" s="4"/>
      <c r="GC2419" s="4"/>
      <c r="GD2419" s="4"/>
      <c r="GE2419" s="4"/>
      <c r="GF2419" s="4"/>
      <c r="GG2419" s="4"/>
      <c r="GH2419" s="4"/>
      <c r="GI2419" s="4"/>
      <c r="GJ2419" s="4"/>
      <c r="GK2419" s="4"/>
      <c r="GL2419" s="4"/>
      <c r="GM2419" s="4"/>
      <c r="GN2419" s="4"/>
      <c r="GO2419" s="4"/>
      <c r="GP2419" s="4"/>
      <c r="GQ2419" s="4"/>
      <c r="GR2419" s="4"/>
      <c r="GS2419" s="4"/>
      <c r="GT2419" s="4"/>
      <c r="GU2419" s="4"/>
      <c r="GV2419" s="4"/>
      <c r="GW2419" s="4"/>
      <c r="GX2419" s="4"/>
      <c r="GY2419" s="4"/>
      <c r="GZ2419" s="4"/>
      <c r="HA2419" s="4"/>
      <c r="HB2419" s="4"/>
      <c r="HC2419" s="4"/>
      <c r="HD2419" s="4">
        <v>100</v>
      </c>
      <c r="HE2419" s="4"/>
    </row>
    <row r="2420">
      <c r="A2420" s="2" t="s">
        <v>11195</v>
      </c>
      <c r="B2420" s="2" t="s">
        <v>223</v>
      </c>
      <c r="C2420" s="2" t="s">
        <v>300</v>
      </c>
      <c r="D2420" s="2" t="s">
        <v>1601</v>
      </c>
      <c r="E2420" s="2" t="s">
        <v>2421</v>
      </c>
      <c r="F2420" s="2" t="s">
        <v>1845</v>
      </c>
      <c r="G2420" s="2" t="s">
        <v>11176</v>
      </c>
      <c r="H2420" s="2" t="s">
        <v>11176</v>
      </c>
      <c r="I2420" s="2" t="s">
        <v>11196</v>
      </c>
      <c r="J2420" s="2" t="s">
        <v>4972</v>
      </c>
      <c r="K2420" s="2" t="s">
        <v>1421</v>
      </c>
      <c r="L2420" s="3">
        <v>15.91</v>
      </c>
      <c r="M2420" s="3">
        <v>16.71</v>
      </c>
      <c r="N2420" s="3">
        <v>36.99</v>
      </c>
      <c r="O2420" s="2" t="s">
        <v>240</v>
      </c>
      <c r="P2420" s="2" t="s">
        <v>889</v>
      </c>
      <c r="Q2420" s="2" t="s">
        <v>234</v>
      </c>
      <c r="R2420" s="2" t="s">
        <v>228</v>
      </c>
      <c r="S2420" s="2" t="s">
        <v>11191</v>
      </c>
      <c r="T2420" s="2" t="s">
        <v>1608</v>
      </c>
      <c r="U2420" s="2" t="s">
        <v>228</v>
      </c>
      <c r="V2420" s="2" t="s">
        <v>2042</v>
      </c>
      <c r="W2420" s="2" t="s">
        <v>309</v>
      </c>
      <c r="X2420" s="2" t="s">
        <v>228</v>
      </c>
      <c r="Y2420" s="2" t="s">
        <v>270</v>
      </c>
      <c r="Z2420" s="4">
        <v>1306</v>
      </c>
      <c r="AA2420" s="4">
        <f>=ROUNDDOWN(40.8125,0)</f>
      </c>
      <c r="AB2420" s="5">
        <v>32</v>
      </c>
      <c r="AC2420" s="2" t="s">
        <v>1416</v>
      </c>
      <c r="AD2420" s="4">
        <v>800</v>
      </c>
      <c r="AE2420" s="4">
        <v>3000</v>
      </c>
      <c r="AF2420" s="6">
        <v>64</v>
      </c>
      <c r="AG2420" s="6"/>
      <c r="AH2420" s="7">
        <v>1</v>
      </c>
      <c r="AI2420" s="4"/>
      <c r="AJ2420" s="4">
        <f>=ROUNDDOWN({0},0)</f>
      </c>
      <c r="AK2420" s="5"/>
      <c r="AL2420" s="2" t="s">
        <v>228</v>
      </c>
      <c r="AM2420" s="4"/>
      <c r="AN2420" s="4"/>
      <c r="AO2420" s="7"/>
      <c r="AP2420" s="4"/>
      <c r="AQ2420" s="8"/>
      <c r="AR2420" s="4"/>
      <c r="AS2420" s="8"/>
      <c r="AT2420" s="7"/>
      <c r="AU2420" s="7"/>
      <c r="AV2420" s="4" t="s">
        <v>228</v>
      </c>
      <c r="AW2420" s="8" t="s">
        <v>228</v>
      </c>
      <c r="AX2420" s="4" t="s">
        <v>228</v>
      </c>
      <c r="AY2420" s="8" t="s">
        <v>228</v>
      </c>
      <c r="AZ2420" s="7" t="s">
        <v>228</v>
      </c>
      <c r="BA2420" s="7" t="s">
        <v>228</v>
      </c>
      <c r="BB2420" s="7"/>
      <c r="BC2420" s="4" t="s">
        <v>228</v>
      </c>
      <c r="BD2420" s="8" t="s">
        <v>228</v>
      </c>
      <c r="BE2420" s="4" t="s">
        <v>228</v>
      </c>
      <c r="BF2420" s="8" t="s">
        <v>228</v>
      </c>
      <c r="BG2420" s="7" t="s">
        <v>228</v>
      </c>
      <c r="BH2420" s="7" t="s">
        <v>228</v>
      </c>
      <c r="BI2420" s="7"/>
      <c r="BJ2420" s="4">
        <v>120</v>
      </c>
      <c r="BK2420" s="8">
        <v>2013.97</v>
      </c>
      <c r="BL2420" s="2" t="s">
        <v>11197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11198</v>
      </c>
      <c r="BV2420" s="2" t="s">
        <v>228</v>
      </c>
      <c r="BW2420" s="2" t="s">
        <v>228</v>
      </c>
      <c r="BX2420" s="2" t="s">
        <v>273</v>
      </c>
      <c r="BY2420" s="2" t="s">
        <v>274</v>
      </c>
      <c r="BZ2420" s="2" t="s">
        <v>240</v>
      </c>
      <c r="CA2420" s="2" t="s">
        <v>275</v>
      </c>
      <c r="CB2420" s="2" t="s">
        <v>11199</v>
      </c>
      <c r="CC2420" s="2" t="s">
        <v>241</v>
      </c>
      <c r="CD2420" s="2" t="s">
        <v>228</v>
      </c>
      <c r="CE2420" s="4">
        <v>1306</v>
      </c>
      <c r="CF2420" s="4"/>
      <c r="CG2420" s="4"/>
      <c r="CH2420" s="4"/>
      <c r="CI2420" s="4"/>
      <c r="CJ2420" s="4"/>
      <c r="CK2420" s="4"/>
      <c r="CL2420" s="4"/>
      <c r="CM2420" s="4"/>
      <c r="CN2420" s="4"/>
      <c r="CO2420" s="4"/>
      <c r="CP2420" s="4"/>
      <c r="CQ2420" s="4"/>
      <c r="CR2420" s="4"/>
      <c r="CS2420" s="4"/>
      <c r="CT2420" s="4"/>
      <c r="CU2420" s="4"/>
      <c r="CV2420" s="4"/>
      <c r="CW2420" s="4"/>
      <c r="CX2420" s="4"/>
      <c r="CY2420" s="4"/>
      <c r="CZ2420" s="4"/>
      <c r="DA2420" s="4"/>
      <c r="DB2420" s="4"/>
      <c r="DC2420" s="4"/>
      <c r="DD2420" s="4"/>
      <c r="DE2420" s="4"/>
      <c r="DF2420" s="4"/>
      <c r="DG2420" s="4"/>
      <c r="DH2420" s="4"/>
      <c r="DI2420" s="4"/>
      <c r="DJ2420" s="4"/>
      <c r="DK2420" s="4"/>
      <c r="DL2420" s="4"/>
      <c r="DM2420" s="4"/>
      <c r="DN2420" s="4"/>
      <c r="DO2420" s="4"/>
      <c r="DP2420" s="4"/>
      <c r="DQ2420" s="4"/>
      <c r="DR2420" s="4"/>
      <c r="DS2420" s="4"/>
      <c r="DT2420" s="4"/>
      <c r="DU2420" s="4"/>
      <c r="DV2420" s="4"/>
      <c r="DW2420" s="4"/>
      <c r="DX2420" s="4"/>
      <c r="DY2420" s="4"/>
      <c r="DZ2420" s="4"/>
      <c r="EA2420" s="4"/>
      <c r="EB2420" s="4"/>
      <c r="EC2420" s="4"/>
      <c r="ED2420" s="4">
        <v>800</v>
      </c>
      <c r="EE2420" s="4"/>
      <c r="EF2420" s="4"/>
      <c r="EG2420" s="4"/>
      <c r="EH2420" s="4"/>
      <c r="EI2420" s="4"/>
      <c r="EJ2420" s="4"/>
      <c r="EK2420" s="4"/>
      <c r="EL2420" s="4"/>
      <c r="EM2420" s="4"/>
      <c r="EN2420" s="4"/>
      <c r="EO2420" s="4"/>
      <c r="EP2420" s="4"/>
      <c r="EQ2420" s="4"/>
      <c r="ER2420" s="4"/>
      <c r="ES2420" s="4"/>
      <c r="ET2420" s="4"/>
      <c r="EU2420" s="4"/>
      <c r="EV2420" s="4"/>
      <c r="EW2420" s="4"/>
      <c r="EX2420" s="4"/>
      <c r="EY2420" s="4"/>
      <c r="EZ2420" s="4"/>
      <c r="FA2420" s="4"/>
      <c r="FB2420" s="4"/>
      <c r="FC2420" s="4"/>
      <c r="FD2420" s="4"/>
      <c r="FE2420" s="4"/>
      <c r="FF2420" s="4"/>
      <c r="FG2420" s="4"/>
      <c r="FH2420" s="4"/>
      <c r="FI2420" s="4">
        <v>1400</v>
      </c>
      <c r="FJ2420" s="4"/>
      <c r="FK2420" s="4"/>
      <c r="FL2420" s="4"/>
      <c r="FM2420" s="4"/>
      <c r="FN2420" s="4"/>
      <c r="FO2420" s="4"/>
      <c r="FP2420" s="4"/>
      <c r="FQ2420" s="4"/>
      <c r="FR2420" s="4"/>
      <c r="FS2420" s="4"/>
      <c r="FT2420" s="4"/>
      <c r="FU2420" s="4"/>
      <c r="FV2420" s="4"/>
      <c r="FW2420" s="4"/>
      <c r="FX2420" s="4"/>
      <c r="FY2420" s="4"/>
      <c r="FZ2420" s="4"/>
      <c r="GA2420" s="4"/>
      <c r="GB2420" s="4">
        <v>500</v>
      </c>
      <c r="GC2420" s="4"/>
      <c r="GD2420" s="4"/>
      <c r="GE2420" s="4"/>
      <c r="GF2420" s="4"/>
      <c r="GG2420" s="4"/>
      <c r="GH2420" s="4"/>
      <c r="GI2420" s="4"/>
      <c r="GJ2420" s="4"/>
      <c r="GK2420" s="4"/>
      <c r="GL2420" s="4"/>
      <c r="GM2420" s="4"/>
      <c r="GN2420" s="4"/>
      <c r="GO2420" s="4"/>
      <c r="GP2420" s="4"/>
      <c r="GQ2420" s="4"/>
      <c r="GR2420" s="4"/>
      <c r="GS2420" s="4"/>
      <c r="GT2420" s="4"/>
      <c r="GU2420" s="4"/>
      <c r="GV2420" s="4"/>
      <c r="GW2420" s="4"/>
      <c r="GX2420" s="4"/>
      <c r="GY2420" s="4"/>
      <c r="GZ2420" s="4"/>
      <c r="HA2420" s="4"/>
      <c r="HB2420" s="4"/>
      <c r="HC2420" s="4"/>
      <c r="HD2420" s="4">
        <v>300</v>
      </c>
      <c r="HE2420" s="4"/>
    </row>
    <row r="2421">
      <c r="A2421" s="2" t="s">
        <v>11200</v>
      </c>
      <c r="B2421" s="2" t="s">
        <v>223</v>
      </c>
      <c r="C2421" s="2" t="s">
        <v>300</v>
      </c>
      <c r="D2421" s="2" t="s">
        <v>1601</v>
      </c>
      <c r="E2421" s="2" t="s">
        <v>2421</v>
      </c>
      <c r="F2421" s="2" t="s">
        <v>1845</v>
      </c>
      <c r="G2421" s="2" t="s">
        <v>11176</v>
      </c>
      <c r="H2421" s="2" t="s">
        <v>11176</v>
      </c>
      <c r="I2421" s="2" t="s">
        <v>11201</v>
      </c>
      <c r="J2421" s="2" t="s">
        <v>11202</v>
      </c>
      <c r="K2421" s="2" t="s">
        <v>1421</v>
      </c>
      <c r="L2421" s="3">
        <v>27.6</v>
      </c>
      <c r="M2421" s="3">
        <v>28.98</v>
      </c>
      <c r="N2421" s="3">
        <v>59.99</v>
      </c>
      <c r="O2421" s="2" t="s">
        <v>240</v>
      </c>
      <c r="P2421" s="2" t="s">
        <v>333</v>
      </c>
      <c r="Q2421" s="2" t="s">
        <v>234</v>
      </c>
      <c r="R2421" s="2" t="s">
        <v>228</v>
      </c>
      <c r="S2421" s="2" t="s">
        <v>11191</v>
      </c>
      <c r="T2421" s="2" t="s">
        <v>1608</v>
      </c>
      <c r="U2421" s="2" t="s">
        <v>228</v>
      </c>
      <c r="V2421" s="2" t="s">
        <v>374</v>
      </c>
      <c r="W2421" s="2" t="s">
        <v>309</v>
      </c>
      <c r="X2421" s="2" t="s">
        <v>228</v>
      </c>
      <c r="Y2421" s="2" t="s">
        <v>270</v>
      </c>
      <c r="Z2421" s="4">
        <v>232</v>
      </c>
      <c r="AA2421" s="4">
        <f>=ROUNDDOWN(29,0)</f>
      </c>
      <c r="AB2421" s="5">
        <v>8</v>
      </c>
      <c r="AC2421" s="2" t="s">
        <v>228</v>
      </c>
      <c r="AD2421" s="4"/>
      <c r="AE2421" s="4"/>
      <c r="AF2421" s="6">
        <v>64</v>
      </c>
      <c r="AG2421" s="6"/>
      <c r="AH2421" s="7">
        <v>1</v>
      </c>
      <c r="AI2421" s="4"/>
      <c r="AJ2421" s="4">
        <f>=ROUNDDOWN({0},0)</f>
      </c>
      <c r="AK2421" s="5"/>
      <c r="AL2421" s="2" t="s">
        <v>228</v>
      </c>
      <c r="AM2421" s="4"/>
      <c r="AN2421" s="4"/>
      <c r="AO2421" s="7"/>
      <c r="AP2421" s="4"/>
      <c r="AQ2421" s="8"/>
      <c r="AR2421" s="4"/>
      <c r="AS2421" s="8"/>
      <c r="AT2421" s="7"/>
      <c r="AU2421" s="7"/>
      <c r="AV2421" s="4" t="s">
        <v>228</v>
      </c>
      <c r="AW2421" s="8" t="s">
        <v>228</v>
      </c>
      <c r="AX2421" s="4" t="s">
        <v>228</v>
      </c>
      <c r="AY2421" s="8" t="s">
        <v>228</v>
      </c>
      <c r="AZ2421" s="7" t="s">
        <v>228</v>
      </c>
      <c r="BA2421" s="7" t="s">
        <v>228</v>
      </c>
      <c r="BB2421" s="7"/>
      <c r="BC2421" s="4" t="s">
        <v>228</v>
      </c>
      <c r="BD2421" s="8" t="s">
        <v>228</v>
      </c>
      <c r="BE2421" s="4" t="s">
        <v>228</v>
      </c>
      <c r="BF2421" s="8" t="s">
        <v>228</v>
      </c>
      <c r="BG2421" s="7" t="s">
        <v>228</v>
      </c>
      <c r="BH2421" s="7" t="s">
        <v>228</v>
      </c>
      <c r="BI2421" s="7"/>
      <c r="BJ2421" s="4">
        <v>52</v>
      </c>
      <c r="BK2421" s="8">
        <v>916.74</v>
      </c>
      <c r="BL2421" s="2" t="s">
        <v>11203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11204</v>
      </c>
      <c r="BV2421" s="2" t="s">
        <v>228</v>
      </c>
      <c r="BW2421" s="2" t="s">
        <v>228</v>
      </c>
      <c r="BX2421" s="2" t="s">
        <v>337</v>
      </c>
      <c r="BY2421" s="2" t="s">
        <v>274</v>
      </c>
      <c r="BZ2421" s="2" t="s">
        <v>240</v>
      </c>
      <c r="CA2421" s="2" t="s">
        <v>275</v>
      </c>
      <c r="CB2421" s="2" t="s">
        <v>11205</v>
      </c>
      <c r="CC2421" s="2" t="s">
        <v>241</v>
      </c>
      <c r="CD2421" s="2" t="s">
        <v>228</v>
      </c>
      <c r="CE2421" s="4">
        <v>232</v>
      </c>
      <c r="CF2421" s="4"/>
      <c r="CG2421" s="4"/>
      <c r="CH2421" s="4"/>
      <c r="CI2421" s="4"/>
      <c r="CJ2421" s="4"/>
      <c r="CK2421" s="4"/>
      <c r="CL2421" s="4"/>
      <c r="CM2421" s="4"/>
      <c r="CN2421" s="4"/>
      <c r="CO2421" s="4"/>
      <c r="CP2421" s="4"/>
      <c r="CQ2421" s="4"/>
      <c r="CR2421" s="4"/>
      <c r="CS2421" s="4"/>
      <c r="CT2421" s="4"/>
      <c r="CU2421" s="4"/>
      <c r="CV2421" s="4"/>
      <c r="CW2421" s="4"/>
      <c r="CX2421" s="4"/>
      <c r="CY2421" s="4"/>
      <c r="CZ2421" s="4"/>
      <c r="DA2421" s="4"/>
      <c r="DB2421" s="4"/>
      <c r="DC2421" s="4"/>
      <c r="DD2421" s="4"/>
      <c r="DE2421" s="4"/>
      <c r="DF2421" s="4"/>
      <c r="DG2421" s="4"/>
      <c r="DH2421" s="4"/>
      <c r="DI2421" s="4"/>
      <c r="DJ2421" s="4"/>
      <c r="DK2421" s="4"/>
      <c r="DL2421" s="4"/>
      <c r="DM2421" s="4"/>
      <c r="DN2421" s="4"/>
      <c r="DO2421" s="4"/>
      <c r="DP2421" s="4"/>
      <c r="DQ2421" s="4"/>
      <c r="DR2421" s="4"/>
      <c r="DS2421" s="4"/>
      <c r="DT2421" s="4"/>
      <c r="DU2421" s="4"/>
      <c r="DV2421" s="4"/>
      <c r="DW2421" s="4"/>
      <c r="DX2421" s="4"/>
      <c r="DY2421" s="4"/>
      <c r="DZ2421" s="4"/>
      <c r="EA2421" s="4"/>
      <c r="EB2421" s="4"/>
      <c r="EC2421" s="4"/>
      <c r="ED2421" s="4"/>
      <c r="EE2421" s="4"/>
      <c r="EF2421" s="4"/>
      <c r="EG2421" s="4"/>
      <c r="EH2421" s="4"/>
      <c r="EI2421" s="4"/>
      <c r="EJ2421" s="4"/>
      <c r="EK2421" s="4"/>
      <c r="EL2421" s="4"/>
      <c r="EM2421" s="4"/>
      <c r="EN2421" s="4"/>
      <c r="EO2421" s="4"/>
      <c r="EP2421" s="4"/>
      <c r="EQ2421" s="4"/>
      <c r="ER2421" s="4"/>
      <c r="ES2421" s="4"/>
      <c r="ET2421" s="4"/>
      <c r="EU2421" s="4"/>
      <c r="EV2421" s="4"/>
      <c r="EW2421" s="4"/>
      <c r="EX2421" s="4"/>
      <c r="EY2421" s="4"/>
      <c r="EZ2421" s="4"/>
      <c r="FA2421" s="4"/>
      <c r="FB2421" s="4"/>
      <c r="FC2421" s="4"/>
      <c r="FD2421" s="4"/>
      <c r="FE2421" s="4"/>
      <c r="FF2421" s="4"/>
      <c r="FG2421" s="4"/>
      <c r="FH2421" s="4"/>
      <c r="FI2421" s="4"/>
      <c r="FJ2421" s="4"/>
      <c r="FK2421" s="4"/>
      <c r="FL2421" s="4"/>
      <c r="FM2421" s="4"/>
      <c r="FN2421" s="4"/>
      <c r="FO2421" s="4"/>
      <c r="FP2421" s="4"/>
      <c r="FQ2421" s="4"/>
      <c r="FR2421" s="4"/>
      <c r="FS2421" s="4"/>
      <c r="FT2421" s="4"/>
      <c r="FU2421" s="4"/>
      <c r="FV2421" s="4"/>
      <c r="FW2421" s="4"/>
      <c r="FX2421" s="4"/>
      <c r="FY2421" s="4"/>
      <c r="FZ2421" s="4"/>
      <c r="GA2421" s="4"/>
      <c r="GB2421" s="4"/>
      <c r="GC2421" s="4"/>
      <c r="GD2421" s="4"/>
      <c r="GE2421" s="4"/>
      <c r="GF2421" s="4"/>
      <c r="GG2421" s="4"/>
      <c r="GH2421" s="4"/>
      <c r="GI2421" s="4"/>
      <c r="GJ2421" s="4"/>
      <c r="GK2421" s="4"/>
      <c r="GL2421" s="4"/>
      <c r="GM2421" s="4"/>
      <c r="GN2421" s="4"/>
      <c r="GO2421" s="4"/>
      <c r="GP2421" s="4"/>
      <c r="GQ2421" s="4"/>
      <c r="GR2421" s="4"/>
      <c r="GS2421" s="4"/>
      <c r="GT2421" s="4"/>
      <c r="GU2421" s="4"/>
      <c r="GV2421" s="4"/>
      <c r="GW2421" s="4"/>
      <c r="GX2421" s="4"/>
      <c r="GY2421" s="4"/>
      <c r="GZ2421" s="4"/>
      <c r="HA2421" s="4"/>
      <c r="HB2421" s="4"/>
      <c r="HC2421" s="4"/>
      <c r="HD2421" s="4"/>
      <c r="HE2421" s="4"/>
    </row>
    <row r="2422">
      <c r="A2422" s="2" t="s">
        <v>11206</v>
      </c>
      <c r="B2422" s="2" t="s">
        <v>223</v>
      </c>
      <c r="C2422" s="2" t="s">
        <v>731</v>
      </c>
      <c r="D2422" s="2" t="s">
        <v>1407</v>
      </c>
      <c r="E2422" s="2" t="s">
        <v>1408</v>
      </c>
      <c r="F2422" s="2" t="s">
        <v>1845</v>
      </c>
      <c r="G2422" s="2" t="s">
        <v>11176</v>
      </c>
      <c r="H2422" s="2" t="s">
        <v>11176</v>
      </c>
      <c r="I2422" s="2" t="s">
        <v>11177</v>
      </c>
      <c r="J2422" s="2" t="s">
        <v>2651</v>
      </c>
      <c r="K2422" s="2" t="s">
        <v>11207</v>
      </c>
      <c r="L2422" s="3">
        <v>36.8</v>
      </c>
      <c r="M2422" s="3">
        <v>38.64</v>
      </c>
      <c r="N2422" s="3">
        <v>79.99</v>
      </c>
      <c r="O2422" s="2" t="s">
        <v>240</v>
      </c>
      <c r="P2422" s="2" t="s">
        <v>233</v>
      </c>
      <c r="Q2422" s="2" t="s">
        <v>234</v>
      </c>
      <c r="R2422" s="2" t="s">
        <v>228</v>
      </c>
      <c r="S2422" s="2" t="s">
        <v>11179</v>
      </c>
      <c r="T2422" s="2" t="s">
        <v>1608</v>
      </c>
      <c r="U2422" s="2" t="s">
        <v>416</v>
      </c>
      <c r="V2422" s="2" t="s">
        <v>236</v>
      </c>
      <c r="W2422" s="2" t="s">
        <v>309</v>
      </c>
      <c r="X2422" s="2" t="s">
        <v>463</v>
      </c>
      <c r="Y2422" s="2" t="s">
        <v>228</v>
      </c>
      <c r="Z2422" s="4"/>
      <c r="AA2422" s="4">
        <f>=ROUNDDOWN({0},0)</f>
      </c>
      <c r="AB2422" s="5"/>
      <c r="AC2422" s="2" t="s">
        <v>155</v>
      </c>
      <c r="AD2422" s="4">
        <v>450</v>
      </c>
      <c r="AE2422" s="4">
        <v>1000</v>
      </c>
      <c r="AF2422" s="6">
        <v>66</v>
      </c>
      <c r="AG2422" s="6"/>
      <c r="AH2422" s="7"/>
      <c r="AI2422" s="4"/>
      <c r="AJ2422" s="4">
        <f>=ROUNDDOWN({0},0)</f>
      </c>
      <c r="AK2422" s="5"/>
      <c r="AL2422" s="2" t="s">
        <v>228</v>
      </c>
      <c r="AM2422" s="4"/>
      <c r="AN2422" s="4"/>
      <c r="AO2422" s="7"/>
      <c r="AP2422" s="4"/>
      <c r="AQ2422" s="8"/>
      <c r="AR2422" s="4"/>
      <c r="AS2422" s="8"/>
      <c r="AT2422" s="7"/>
      <c r="AU2422" s="7"/>
      <c r="AV2422" s="4"/>
      <c r="AW2422" s="8"/>
      <c r="AX2422" s="4"/>
      <c r="AY2422" s="8"/>
      <c r="AZ2422" s="7"/>
      <c r="BA2422" s="7"/>
      <c r="BB2422" s="7"/>
      <c r="BC2422" s="4" t="s">
        <v>228</v>
      </c>
      <c r="BD2422" s="8" t="s">
        <v>228</v>
      </c>
      <c r="BE2422" s="4" t="s">
        <v>228</v>
      </c>
      <c r="BF2422" s="8" t="s">
        <v>228</v>
      </c>
      <c r="BG2422" s="7" t="s">
        <v>228</v>
      </c>
      <c r="BH2422" s="7" t="s">
        <v>228</v>
      </c>
      <c r="BI2422" s="7"/>
      <c r="BJ2422" s="4"/>
      <c r="BK2422" s="8"/>
      <c r="BL2422" s="2" t="s">
        <v>228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238</v>
      </c>
      <c r="BV2422" s="2" t="s">
        <v>228</v>
      </c>
      <c r="BW2422" s="2" t="s">
        <v>228</v>
      </c>
      <c r="BX2422" s="2" t="s">
        <v>238</v>
      </c>
      <c r="BY2422" s="2" t="s">
        <v>239</v>
      </c>
      <c r="BZ2422" s="2" t="s">
        <v>240</v>
      </c>
      <c r="CA2422" s="2" t="s">
        <v>228</v>
      </c>
      <c r="CB2422" s="2" t="s">
        <v>228</v>
      </c>
      <c r="CC2422" s="2" t="s">
        <v>241</v>
      </c>
      <c r="CD2422" s="2" t="s">
        <v>228</v>
      </c>
      <c r="CE2422" s="4"/>
      <c r="CF2422" s="4"/>
      <c r="CG2422" s="4"/>
      <c r="CH2422" s="4"/>
      <c r="CI2422" s="4"/>
      <c r="CJ2422" s="4"/>
      <c r="CK2422" s="4"/>
      <c r="CL2422" s="4"/>
      <c r="CM2422" s="4"/>
      <c r="CN2422" s="4"/>
      <c r="CO2422" s="4"/>
      <c r="CP2422" s="4"/>
      <c r="CQ2422" s="4"/>
      <c r="CR2422" s="4"/>
      <c r="CS2422" s="4"/>
      <c r="CT2422" s="4"/>
      <c r="CU2422" s="4"/>
      <c r="CV2422" s="4"/>
      <c r="CW2422" s="4"/>
      <c r="CX2422" s="4"/>
      <c r="CY2422" s="4"/>
      <c r="CZ2422" s="4"/>
      <c r="DA2422" s="4"/>
      <c r="DB2422" s="4"/>
      <c r="DC2422" s="4"/>
      <c r="DD2422" s="4"/>
      <c r="DE2422" s="4"/>
      <c r="DF2422" s="4"/>
      <c r="DG2422" s="4"/>
      <c r="DH2422" s="4"/>
      <c r="DI2422" s="4"/>
      <c r="DJ2422" s="4"/>
      <c r="DK2422" s="4"/>
      <c r="DL2422" s="4"/>
      <c r="DM2422" s="4"/>
      <c r="DN2422" s="4"/>
      <c r="DO2422" s="4"/>
      <c r="DP2422" s="4"/>
      <c r="DQ2422" s="4"/>
      <c r="DR2422" s="4"/>
      <c r="DS2422" s="4"/>
      <c r="DT2422" s="4"/>
      <c r="DU2422" s="4"/>
      <c r="DV2422" s="4"/>
      <c r="DW2422" s="4"/>
      <c r="DX2422" s="4"/>
      <c r="DY2422" s="4"/>
      <c r="DZ2422" s="4"/>
      <c r="EA2422" s="4"/>
      <c r="EB2422" s="4"/>
      <c r="EC2422" s="4"/>
      <c r="ED2422" s="4"/>
      <c r="EE2422" s="4"/>
      <c r="EF2422" s="4"/>
      <c r="EG2422" s="4"/>
      <c r="EH2422" s="4"/>
      <c r="EI2422" s="4"/>
      <c r="EJ2422" s="4"/>
      <c r="EK2422" s="4"/>
      <c r="EL2422" s="4"/>
      <c r="EM2422" s="4"/>
      <c r="EN2422" s="4"/>
      <c r="EO2422" s="4"/>
      <c r="EP2422" s="4"/>
      <c r="EQ2422" s="4">
        <v>450</v>
      </c>
      <c r="ER2422" s="4"/>
      <c r="ES2422" s="4"/>
      <c r="ET2422" s="4"/>
      <c r="EU2422" s="4"/>
      <c r="EV2422" s="4"/>
      <c r="EW2422" s="4"/>
      <c r="EX2422" s="4"/>
      <c r="EY2422" s="4"/>
      <c r="EZ2422" s="4"/>
      <c r="FA2422" s="4"/>
      <c r="FB2422" s="4"/>
      <c r="FC2422" s="4"/>
      <c r="FD2422" s="4"/>
      <c r="FE2422" s="4"/>
      <c r="FF2422" s="4"/>
      <c r="FG2422" s="4"/>
      <c r="FH2422" s="4"/>
      <c r="FI2422" s="4"/>
      <c r="FJ2422" s="4"/>
      <c r="FK2422" s="4"/>
      <c r="FL2422" s="4"/>
      <c r="FM2422" s="4"/>
      <c r="FN2422" s="4"/>
      <c r="FO2422" s="4"/>
      <c r="FP2422" s="4"/>
      <c r="FQ2422" s="4">
        <v>550</v>
      </c>
      <c r="FR2422" s="4"/>
      <c r="FS2422" s="4"/>
      <c r="FT2422" s="4"/>
      <c r="FU2422" s="4"/>
      <c r="FV2422" s="4"/>
      <c r="FW2422" s="4"/>
      <c r="FX2422" s="4"/>
      <c r="FY2422" s="4"/>
      <c r="FZ2422" s="4"/>
      <c r="GA2422" s="4"/>
      <c r="GB2422" s="4"/>
      <c r="GC2422" s="4"/>
      <c r="GD2422" s="4"/>
      <c r="GE2422" s="4"/>
      <c r="GF2422" s="4"/>
      <c r="GG2422" s="4"/>
      <c r="GH2422" s="4"/>
      <c r="GI2422" s="4"/>
      <c r="GJ2422" s="4"/>
      <c r="GK2422" s="4"/>
      <c r="GL2422" s="4"/>
      <c r="GM2422" s="4"/>
      <c r="GN2422" s="4"/>
      <c r="GO2422" s="4"/>
      <c r="GP2422" s="4"/>
      <c r="GQ2422" s="4"/>
      <c r="GR2422" s="4"/>
      <c r="GS2422" s="4"/>
      <c r="GT2422" s="4"/>
      <c r="GU2422" s="4"/>
      <c r="GV2422" s="4"/>
      <c r="GW2422" s="4"/>
      <c r="GX2422" s="4"/>
      <c r="GY2422" s="4"/>
      <c r="GZ2422" s="4"/>
      <c r="HA2422" s="4"/>
      <c r="HB2422" s="4"/>
      <c r="HC2422" s="4"/>
      <c r="HD2422" s="4"/>
      <c r="HE2422" s="4"/>
    </row>
    <row r="2423">
      <c r="A2423" s="2" t="s">
        <v>11208</v>
      </c>
      <c r="B2423" s="2" t="s">
        <v>223</v>
      </c>
      <c r="C2423" s="2" t="s">
        <v>731</v>
      </c>
      <c r="D2423" s="2" t="s">
        <v>1407</v>
      </c>
      <c r="E2423" s="2" t="s">
        <v>6279</v>
      </c>
      <c r="F2423" s="2" t="s">
        <v>1845</v>
      </c>
      <c r="G2423" s="2" t="s">
        <v>11176</v>
      </c>
      <c r="H2423" s="2" t="s">
        <v>11176</v>
      </c>
      <c r="I2423" s="2" t="s">
        <v>11181</v>
      </c>
      <c r="J2423" s="2" t="s">
        <v>6109</v>
      </c>
      <c r="K2423" s="2" t="s">
        <v>249</v>
      </c>
      <c r="L2423" s="3">
        <v>42.9</v>
      </c>
      <c r="M2423" s="3">
        <v>45.05</v>
      </c>
      <c r="N2423" s="3">
        <v>84.99</v>
      </c>
      <c r="O2423" s="2" t="s">
        <v>240</v>
      </c>
      <c r="P2423" s="2" t="s">
        <v>333</v>
      </c>
      <c r="Q2423" s="2" t="s">
        <v>234</v>
      </c>
      <c r="R2423" s="2" t="s">
        <v>228</v>
      </c>
      <c r="S2423" s="2" t="s">
        <v>228</v>
      </c>
      <c r="T2423" s="2" t="s">
        <v>1608</v>
      </c>
      <c r="U2423" s="2" t="s">
        <v>416</v>
      </c>
      <c r="V2423" s="2" t="s">
        <v>2042</v>
      </c>
      <c r="W2423" s="2" t="s">
        <v>309</v>
      </c>
      <c r="X2423" s="2" t="s">
        <v>463</v>
      </c>
      <c r="Y2423" s="2" t="s">
        <v>11182</v>
      </c>
      <c r="Z2423" s="4">
        <v>318</v>
      </c>
      <c r="AA2423" s="4">
        <f>=ROUNDDOWN(35.3333333333333,0)</f>
      </c>
      <c r="AB2423" s="5">
        <v>9</v>
      </c>
      <c r="AC2423" s="2" t="s">
        <v>228</v>
      </c>
      <c r="AD2423" s="4"/>
      <c r="AE2423" s="4"/>
      <c r="AF2423" s="6">
        <v>65</v>
      </c>
      <c r="AG2423" s="6"/>
      <c r="AH2423" s="7">
        <v>1</v>
      </c>
      <c r="AI2423" s="4"/>
      <c r="AJ2423" s="4">
        <f>=ROUNDDOWN({0},0)</f>
      </c>
      <c r="AK2423" s="5"/>
      <c r="AL2423" s="2" t="s">
        <v>228</v>
      </c>
      <c r="AM2423" s="4"/>
      <c r="AN2423" s="4"/>
      <c r="AO2423" s="7"/>
      <c r="AP2423" s="4"/>
      <c r="AQ2423" s="8"/>
      <c r="AR2423" s="4"/>
      <c r="AS2423" s="8"/>
      <c r="AT2423" s="7"/>
      <c r="AU2423" s="7"/>
      <c r="AV2423" s="4" t="s">
        <v>228</v>
      </c>
      <c r="AW2423" s="8" t="s">
        <v>228</v>
      </c>
      <c r="AX2423" s="4" t="s">
        <v>228</v>
      </c>
      <c r="AY2423" s="8" t="s">
        <v>228</v>
      </c>
      <c r="AZ2423" s="7" t="s">
        <v>228</v>
      </c>
      <c r="BA2423" s="7" t="s">
        <v>228</v>
      </c>
      <c r="BB2423" s="7"/>
      <c r="BC2423" s="4" t="s">
        <v>228</v>
      </c>
      <c r="BD2423" s="8" t="s">
        <v>228</v>
      </c>
      <c r="BE2423" s="4" t="s">
        <v>228</v>
      </c>
      <c r="BF2423" s="8" t="s">
        <v>228</v>
      </c>
      <c r="BG2423" s="7" t="s">
        <v>228</v>
      </c>
      <c r="BH2423" s="7" t="s">
        <v>228</v>
      </c>
      <c r="BI2423" s="7"/>
      <c r="BJ2423" s="4">
        <v>29</v>
      </c>
      <c r="BK2423" s="8">
        <v>1022.83</v>
      </c>
      <c r="BL2423" s="2" t="s">
        <v>5533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11209</v>
      </c>
      <c r="BV2423" s="2" t="s">
        <v>228</v>
      </c>
      <c r="BW2423" s="2" t="s">
        <v>228</v>
      </c>
      <c r="BX2423" s="2" t="s">
        <v>337</v>
      </c>
      <c r="BY2423" s="2" t="s">
        <v>274</v>
      </c>
      <c r="BZ2423" s="2" t="s">
        <v>240</v>
      </c>
      <c r="CA2423" s="2" t="s">
        <v>1685</v>
      </c>
      <c r="CB2423" s="2" t="s">
        <v>5452</v>
      </c>
      <c r="CC2423" s="2" t="s">
        <v>241</v>
      </c>
      <c r="CD2423" s="2" t="s">
        <v>228</v>
      </c>
      <c r="CE2423" s="4">
        <v>318</v>
      </c>
      <c r="CF2423" s="4"/>
      <c r="CG2423" s="4"/>
      <c r="CH2423" s="4"/>
      <c r="CI2423" s="4"/>
      <c r="CJ2423" s="4"/>
      <c r="CK2423" s="4"/>
      <c r="CL2423" s="4"/>
      <c r="CM2423" s="4"/>
      <c r="CN2423" s="4"/>
      <c r="CO2423" s="4"/>
      <c r="CP2423" s="4"/>
      <c r="CQ2423" s="4"/>
      <c r="CR2423" s="4"/>
      <c r="CS2423" s="4"/>
      <c r="CT2423" s="4"/>
      <c r="CU2423" s="4"/>
      <c r="CV2423" s="4"/>
      <c r="CW2423" s="4"/>
      <c r="CX2423" s="4"/>
      <c r="CY2423" s="4"/>
      <c r="CZ2423" s="4"/>
      <c r="DA2423" s="4"/>
      <c r="DB2423" s="4"/>
      <c r="DC2423" s="4"/>
      <c r="DD2423" s="4"/>
      <c r="DE2423" s="4"/>
      <c r="DF2423" s="4"/>
      <c r="DG2423" s="4"/>
      <c r="DH2423" s="4"/>
      <c r="DI2423" s="4"/>
      <c r="DJ2423" s="4"/>
      <c r="DK2423" s="4"/>
      <c r="DL2423" s="4"/>
      <c r="DM2423" s="4"/>
      <c r="DN2423" s="4"/>
      <c r="DO2423" s="4"/>
      <c r="DP2423" s="4"/>
      <c r="DQ2423" s="4"/>
      <c r="DR2423" s="4"/>
      <c r="DS2423" s="4"/>
      <c r="DT2423" s="4"/>
      <c r="DU2423" s="4"/>
      <c r="DV2423" s="4"/>
      <c r="DW2423" s="4"/>
      <c r="DX2423" s="4"/>
      <c r="DY2423" s="4"/>
      <c r="DZ2423" s="4"/>
      <c r="EA2423" s="4"/>
      <c r="EB2423" s="4"/>
      <c r="EC2423" s="4"/>
      <c r="ED2423" s="4"/>
      <c r="EE2423" s="4"/>
      <c r="EF2423" s="4"/>
      <c r="EG2423" s="4"/>
      <c r="EH2423" s="4"/>
      <c r="EI2423" s="4"/>
      <c r="EJ2423" s="4"/>
      <c r="EK2423" s="4"/>
      <c r="EL2423" s="4"/>
      <c r="EM2423" s="4"/>
      <c r="EN2423" s="4"/>
      <c r="EO2423" s="4"/>
      <c r="EP2423" s="4"/>
      <c r="EQ2423" s="4"/>
      <c r="ER2423" s="4"/>
      <c r="ES2423" s="4"/>
      <c r="ET2423" s="4"/>
      <c r="EU2423" s="4"/>
      <c r="EV2423" s="4"/>
      <c r="EW2423" s="4"/>
      <c r="EX2423" s="4"/>
      <c r="EY2423" s="4"/>
      <c r="EZ2423" s="4"/>
      <c r="FA2423" s="4"/>
      <c r="FB2423" s="4"/>
      <c r="FC2423" s="4"/>
      <c r="FD2423" s="4"/>
      <c r="FE2423" s="4"/>
      <c r="FF2423" s="4"/>
      <c r="FG2423" s="4"/>
      <c r="FH2423" s="4"/>
      <c r="FI2423" s="4"/>
      <c r="FJ2423" s="4"/>
      <c r="FK2423" s="4"/>
      <c r="FL2423" s="4"/>
      <c r="FM2423" s="4"/>
      <c r="FN2423" s="4"/>
      <c r="FO2423" s="4"/>
      <c r="FP2423" s="4"/>
      <c r="FQ2423" s="4"/>
      <c r="FR2423" s="4"/>
      <c r="FS2423" s="4"/>
      <c r="FT2423" s="4"/>
      <c r="FU2423" s="4"/>
      <c r="FV2423" s="4"/>
      <c r="FW2423" s="4"/>
      <c r="FX2423" s="4"/>
      <c r="FY2423" s="4"/>
      <c r="FZ2423" s="4"/>
      <c r="GA2423" s="4"/>
      <c r="GB2423" s="4"/>
      <c r="GC2423" s="4"/>
      <c r="GD2423" s="4"/>
      <c r="GE2423" s="4"/>
      <c r="GF2423" s="4"/>
      <c r="GG2423" s="4"/>
      <c r="GH2423" s="4"/>
      <c r="GI2423" s="4"/>
      <c r="GJ2423" s="4"/>
      <c r="GK2423" s="4"/>
      <c r="GL2423" s="4"/>
      <c r="GM2423" s="4"/>
      <c r="GN2423" s="4"/>
      <c r="GO2423" s="4"/>
      <c r="GP2423" s="4"/>
      <c r="GQ2423" s="4"/>
      <c r="GR2423" s="4"/>
      <c r="GS2423" s="4"/>
      <c r="GT2423" s="4"/>
      <c r="GU2423" s="4"/>
      <c r="GV2423" s="4"/>
      <c r="GW2423" s="4"/>
      <c r="GX2423" s="4"/>
      <c r="GY2423" s="4"/>
      <c r="GZ2423" s="4"/>
      <c r="HA2423" s="4"/>
      <c r="HB2423" s="4"/>
      <c r="HC2423" s="4"/>
      <c r="HD2423" s="4"/>
      <c r="HE2423" s="4"/>
    </row>
    <row r="2424">
      <c r="A2424" s="2" t="s">
        <v>11210</v>
      </c>
      <c r="B2424" s="2" t="s">
        <v>223</v>
      </c>
      <c r="C2424" s="2" t="s">
        <v>300</v>
      </c>
      <c r="D2424" s="2" t="s">
        <v>1862</v>
      </c>
      <c r="E2424" s="2" t="s">
        <v>2767</v>
      </c>
      <c r="F2424" s="2" t="s">
        <v>1845</v>
      </c>
      <c r="G2424" s="2" t="s">
        <v>11176</v>
      </c>
      <c r="H2424" s="2" t="s">
        <v>11176</v>
      </c>
      <c r="I2424" s="2" t="s">
        <v>4777</v>
      </c>
      <c r="J2424" s="2" t="s">
        <v>1991</v>
      </c>
      <c r="K2424" s="2" t="s">
        <v>249</v>
      </c>
      <c r="L2424" s="3">
        <v>14.83</v>
      </c>
      <c r="M2424" s="3">
        <v>15.57</v>
      </c>
      <c r="N2424" s="3">
        <v>31.99</v>
      </c>
      <c r="O2424" s="2" t="s">
        <v>240</v>
      </c>
      <c r="P2424" s="2" t="s">
        <v>889</v>
      </c>
      <c r="Q2424" s="2" t="s">
        <v>234</v>
      </c>
      <c r="R2424" s="2" t="s">
        <v>228</v>
      </c>
      <c r="S2424" s="2" t="s">
        <v>11211</v>
      </c>
      <c r="T2424" s="2" t="s">
        <v>1608</v>
      </c>
      <c r="U2424" s="2" t="s">
        <v>228</v>
      </c>
      <c r="V2424" s="2" t="s">
        <v>2042</v>
      </c>
      <c r="W2424" s="2" t="s">
        <v>309</v>
      </c>
      <c r="X2424" s="2" t="s">
        <v>228</v>
      </c>
      <c r="Y2424" s="2" t="s">
        <v>10330</v>
      </c>
      <c r="Z2424" s="4">
        <v>1065</v>
      </c>
      <c r="AA2424" s="4">
        <f>=ROUNDDOWN(40.9615384615385,0)</f>
      </c>
      <c r="AB2424" s="5">
        <v>26</v>
      </c>
      <c r="AC2424" s="2" t="s">
        <v>1158</v>
      </c>
      <c r="AD2424" s="4">
        <v>200</v>
      </c>
      <c r="AE2424" s="4">
        <v>600</v>
      </c>
      <c r="AF2424" s="6">
        <v>64</v>
      </c>
      <c r="AG2424" s="6"/>
      <c r="AH2424" s="7">
        <v>1</v>
      </c>
      <c r="AI2424" s="4"/>
      <c r="AJ2424" s="4">
        <f>=ROUNDDOWN({0},0)</f>
      </c>
      <c r="AK2424" s="5"/>
      <c r="AL2424" s="2" t="s">
        <v>228</v>
      </c>
      <c r="AM2424" s="4"/>
      <c r="AN2424" s="4"/>
      <c r="AO2424" s="7"/>
      <c r="AP2424" s="4"/>
      <c r="AQ2424" s="8"/>
      <c r="AR2424" s="4"/>
      <c r="AS2424" s="8"/>
      <c r="AT2424" s="7"/>
      <c r="AU2424" s="7"/>
      <c r="AV2424" s="4" t="s">
        <v>228</v>
      </c>
      <c r="AW2424" s="8" t="s">
        <v>228</v>
      </c>
      <c r="AX2424" s="4" t="s">
        <v>228</v>
      </c>
      <c r="AY2424" s="8" t="s">
        <v>228</v>
      </c>
      <c r="AZ2424" s="7" t="s">
        <v>228</v>
      </c>
      <c r="BA2424" s="7" t="s">
        <v>228</v>
      </c>
      <c r="BB2424" s="7"/>
      <c r="BC2424" s="4" t="s">
        <v>228</v>
      </c>
      <c r="BD2424" s="8" t="s">
        <v>228</v>
      </c>
      <c r="BE2424" s="4" t="s">
        <v>228</v>
      </c>
      <c r="BF2424" s="8" t="s">
        <v>228</v>
      </c>
      <c r="BG2424" s="7" t="s">
        <v>228</v>
      </c>
      <c r="BH2424" s="7" t="s">
        <v>228</v>
      </c>
      <c r="BI2424" s="7"/>
      <c r="BJ2424" s="4">
        <v>171</v>
      </c>
      <c r="BK2424" s="8">
        <v>2380.54</v>
      </c>
      <c r="BL2424" s="2" t="s">
        <v>11212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11213</v>
      </c>
      <c r="BV2424" s="2" t="s">
        <v>228</v>
      </c>
      <c r="BW2424" s="2" t="s">
        <v>228</v>
      </c>
      <c r="BX2424" s="2" t="s">
        <v>273</v>
      </c>
      <c r="BY2424" s="2" t="s">
        <v>274</v>
      </c>
      <c r="BZ2424" s="2" t="s">
        <v>240</v>
      </c>
      <c r="CA2424" s="2" t="s">
        <v>275</v>
      </c>
      <c r="CB2424" s="2" t="s">
        <v>1619</v>
      </c>
      <c r="CC2424" s="2" t="s">
        <v>241</v>
      </c>
      <c r="CD2424" s="2" t="s">
        <v>228</v>
      </c>
      <c r="CE2424" s="4">
        <v>1065</v>
      </c>
      <c r="CF2424" s="4"/>
      <c r="CG2424" s="4"/>
      <c r="CH2424" s="4"/>
      <c r="CI2424" s="4"/>
      <c r="CJ2424" s="4"/>
      <c r="CK2424" s="4"/>
      <c r="CL2424" s="4"/>
      <c r="CM2424" s="4"/>
      <c r="CN2424" s="4"/>
      <c r="CO2424" s="4"/>
      <c r="CP2424" s="4"/>
      <c r="CQ2424" s="4"/>
      <c r="CR2424" s="4"/>
      <c r="CS2424" s="4"/>
      <c r="CT2424" s="4"/>
      <c r="CU2424" s="4"/>
      <c r="CV2424" s="4"/>
      <c r="CW2424" s="4"/>
      <c r="CX2424" s="4"/>
      <c r="CY2424" s="4"/>
      <c r="CZ2424" s="4"/>
      <c r="DA2424" s="4"/>
      <c r="DB2424" s="4"/>
      <c r="DC2424" s="4"/>
      <c r="DD2424" s="4"/>
      <c r="DE2424" s="4"/>
      <c r="DF2424" s="4"/>
      <c r="DG2424" s="4"/>
      <c r="DH2424" s="4"/>
      <c r="DI2424" s="4"/>
      <c r="DJ2424" s="4"/>
      <c r="DK2424" s="4"/>
      <c r="DL2424" s="4"/>
      <c r="DM2424" s="4"/>
      <c r="DN2424" s="4"/>
      <c r="DO2424" s="4">
        <v>200</v>
      </c>
      <c r="DP2424" s="4"/>
      <c r="DQ2424" s="4"/>
      <c r="DR2424" s="4"/>
      <c r="DS2424" s="4"/>
      <c r="DT2424" s="4"/>
      <c r="DU2424" s="4"/>
      <c r="DV2424" s="4"/>
      <c r="DW2424" s="4"/>
      <c r="DX2424" s="4"/>
      <c r="DY2424" s="4"/>
      <c r="DZ2424" s="4"/>
      <c r="EA2424" s="4"/>
      <c r="EB2424" s="4"/>
      <c r="EC2424" s="4"/>
      <c r="ED2424" s="4"/>
      <c r="EE2424" s="4"/>
      <c r="EF2424" s="4"/>
      <c r="EG2424" s="4"/>
      <c r="EH2424" s="4"/>
      <c r="EI2424" s="4"/>
      <c r="EJ2424" s="4"/>
      <c r="EK2424" s="4"/>
      <c r="EL2424" s="4"/>
      <c r="EM2424" s="4"/>
      <c r="EN2424" s="4"/>
      <c r="EO2424" s="4"/>
      <c r="EP2424" s="4"/>
      <c r="EQ2424" s="4"/>
      <c r="ER2424" s="4"/>
      <c r="ES2424" s="4"/>
      <c r="ET2424" s="4"/>
      <c r="EU2424" s="4"/>
      <c r="EV2424" s="4">
        <v>100</v>
      </c>
      <c r="EW2424" s="4"/>
      <c r="EX2424" s="4"/>
      <c r="EY2424" s="4"/>
      <c r="EZ2424" s="4"/>
      <c r="FA2424" s="4"/>
      <c r="FB2424" s="4"/>
      <c r="FC2424" s="4"/>
      <c r="FD2424" s="4">
        <v>300</v>
      </c>
      <c r="FE2424" s="4"/>
      <c r="FF2424" s="4"/>
      <c r="FG2424" s="4"/>
      <c r="FH2424" s="4"/>
      <c r="FI2424" s="4"/>
      <c r="FJ2424" s="4"/>
      <c r="FK2424" s="4"/>
      <c r="FL2424" s="4"/>
      <c r="FM2424" s="4"/>
      <c r="FN2424" s="4"/>
      <c r="FO2424" s="4"/>
      <c r="FP2424" s="4"/>
      <c r="FQ2424" s="4"/>
      <c r="FR2424" s="4"/>
      <c r="FS2424" s="4"/>
      <c r="FT2424" s="4"/>
      <c r="FU2424" s="4"/>
      <c r="FV2424" s="4"/>
      <c r="FW2424" s="4"/>
      <c r="FX2424" s="4"/>
      <c r="FY2424" s="4"/>
      <c r="FZ2424" s="4"/>
      <c r="GA2424" s="4"/>
      <c r="GB2424" s="4"/>
      <c r="GC2424" s="4"/>
      <c r="GD2424" s="4"/>
      <c r="GE2424" s="4"/>
      <c r="GF2424" s="4"/>
      <c r="GG2424" s="4"/>
      <c r="GH2424" s="4"/>
      <c r="GI2424" s="4"/>
      <c r="GJ2424" s="4"/>
      <c r="GK2424" s="4"/>
      <c r="GL2424" s="4"/>
      <c r="GM2424" s="4"/>
      <c r="GN2424" s="4"/>
      <c r="GO2424" s="4"/>
      <c r="GP2424" s="4"/>
      <c r="GQ2424" s="4"/>
      <c r="GR2424" s="4"/>
      <c r="GS2424" s="4"/>
      <c r="GT2424" s="4"/>
      <c r="GU2424" s="4"/>
      <c r="GV2424" s="4"/>
      <c r="GW2424" s="4"/>
      <c r="GX2424" s="4"/>
      <c r="GY2424" s="4"/>
      <c r="GZ2424" s="4"/>
      <c r="HA2424" s="4"/>
      <c r="HB2424" s="4"/>
      <c r="HC2424" s="4"/>
      <c r="HD2424" s="4"/>
      <c r="HE2424" s="4"/>
    </row>
    <row r="2425">
      <c r="A2425" s="2" t="s">
        <v>11214</v>
      </c>
      <c r="B2425" s="2" t="s">
        <v>223</v>
      </c>
      <c r="C2425" s="2" t="s">
        <v>300</v>
      </c>
      <c r="D2425" s="2" t="s">
        <v>1601</v>
      </c>
      <c r="E2425" s="2" t="s">
        <v>2421</v>
      </c>
      <c r="F2425" s="2" t="s">
        <v>1845</v>
      </c>
      <c r="G2425" s="2" t="s">
        <v>11176</v>
      </c>
      <c r="H2425" s="2" t="s">
        <v>11176</v>
      </c>
      <c r="I2425" s="2" t="s">
        <v>11196</v>
      </c>
      <c r="J2425" s="2" t="s">
        <v>4972</v>
      </c>
      <c r="K2425" s="2" t="s">
        <v>249</v>
      </c>
      <c r="L2425" s="3">
        <v>15.91</v>
      </c>
      <c r="M2425" s="3">
        <v>16.71</v>
      </c>
      <c r="N2425" s="3">
        <v>36.99</v>
      </c>
      <c r="O2425" s="2" t="s">
        <v>240</v>
      </c>
      <c r="P2425" s="2" t="s">
        <v>889</v>
      </c>
      <c r="Q2425" s="2" t="s">
        <v>234</v>
      </c>
      <c r="R2425" s="2" t="s">
        <v>228</v>
      </c>
      <c r="S2425" s="2" t="s">
        <v>11211</v>
      </c>
      <c r="T2425" s="2" t="s">
        <v>1608</v>
      </c>
      <c r="U2425" s="2" t="s">
        <v>228</v>
      </c>
      <c r="V2425" s="2" t="s">
        <v>374</v>
      </c>
      <c r="W2425" s="2" t="s">
        <v>309</v>
      </c>
      <c r="X2425" s="2" t="s">
        <v>228</v>
      </c>
      <c r="Y2425" s="2" t="s">
        <v>10330</v>
      </c>
      <c r="Z2425" s="4">
        <v>1023</v>
      </c>
      <c r="AA2425" s="4">
        <f>=ROUNDDOWN(18.9444444444444,0)</f>
      </c>
      <c r="AB2425" s="5">
        <v>54</v>
      </c>
      <c r="AC2425" s="2" t="s">
        <v>2305</v>
      </c>
      <c r="AD2425" s="4">
        <v>700</v>
      </c>
      <c r="AE2425" s="4">
        <v>4900</v>
      </c>
      <c r="AF2425" s="6">
        <v>64</v>
      </c>
      <c r="AG2425" s="6">
        <v>47</v>
      </c>
      <c r="AH2425" s="7">
        <v>1</v>
      </c>
      <c r="AI2425" s="4"/>
      <c r="AJ2425" s="4">
        <f>=ROUNDDOWN({0},0)</f>
      </c>
      <c r="AK2425" s="5"/>
      <c r="AL2425" s="2" t="s">
        <v>228</v>
      </c>
      <c r="AM2425" s="4"/>
      <c r="AN2425" s="4"/>
      <c r="AO2425" s="7"/>
      <c r="AP2425" s="4"/>
      <c r="AQ2425" s="8"/>
      <c r="AR2425" s="4"/>
      <c r="AS2425" s="8"/>
      <c r="AT2425" s="7"/>
      <c r="AU2425" s="7"/>
      <c r="AV2425" s="4" t="s">
        <v>228</v>
      </c>
      <c r="AW2425" s="8" t="s">
        <v>228</v>
      </c>
      <c r="AX2425" s="4" t="s">
        <v>228</v>
      </c>
      <c r="AY2425" s="8" t="s">
        <v>228</v>
      </c>
      <c r="AZ2425" s="7" t="s">
        <v>228</v>
      </c>
      <c r="BA2425" s="7" t="s">
        <v>228</v>
      </c>
      <c r="BB2425" s="7"/>
      <c r="BC2425" s="4" t="s">
        <v>228</v>
      </c>
      <c r="BD2425" s="8" t="s">
        <v>228</v>
      </c>
      <c r="BE2425" s="4" t="s">
        <v>228</v>
      </c>
      <c r="BF2425" s="8" t="s">
        <v>228</v>
      </c>
      <c r="BG2425" s="7" t="s">
        <v>228</v>
      </c>
      <c r="BH2425" s="7" t="s">
        <v>228</v>
      </c>
      <c r="BI2425" s="7"/>
      <c r="BJ2425" s="4">
        <v>435</v>
      </c>
      <c r="BK2425" s="8">
        <v>7636.05</v>
      </c>
      <c r="BL2425" s="2" t="s">
        <v>11215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11216</v>
      </c>
      <c r="BV2425" s="2" t="s">
        <v>228</v>
      </c>
      <c r="BW2425" s="2" t="s">
        <v>228</v>
      </c>
      <c r="BX2425" s="2" t="s">
        <v>273</v>
      </c>
      <c r="BY2425" s="2" t="s">
        <v>274</v>
      </c>
      <c r="BZ2425" s="2" t="s">
        <v>240</v>
      </c>
      <c r="CA2425" s="2" t="s">
        <v>275</v>
      </c>
      <c r="CB2425" s="2" t="s">
        <v>1231</v>
      </c>
      <c r="CC2425" s="2" t="s">
        <v>241</v>
      </c>
      <c r="CD2425" s="2" t="s">
        <v>228</v>
      </c>
      <c r="CE2425" s="4">
        <v>699</v>
      </c>
      <c r="CF2425" s="4"/>
      <c r="CG2425" s="4"/>
      <c r="CH2425" s="4">
        <v>324</v>
      </c>
      <c r="CI2425" s="4"/>
      <c r="CJ2425" s="4"/>
      <c r="CK2425" s="4"/>
      <c r="CL2425" s="4"/>
      <c r="CM2425" s="4"/>
      <c r="CN2425" s="4"/>
      <c r="CO2425" s="4"/>
      <c r="CP2425" s="4"/>
      <c r="CQ2425" s="4"/>
      <c r="CR2425" s="4"/>
      <c r="CS2425" s="4"/>
      <c r="CT2425" s="4"/>
      <c r="CU2425" s="4"/>
      <c r="CV2425" s="4"/>
      <c r="CW2425" s="4"/>
      <c r="CX2425" s="4"/>
      <c r="CY2425" s="4"/>
      <c r="CZ2425" s="4"/>
      <c r="DA2425" s="4"/>
      <c r="DB2425" s="4"/>
      <c r="DC2425" s="4"/>
      <c r="DD2425" s="4"/>
      <c r="DE2425" s="4"/>
      <c r="DF2425" s="4"/>
      <c r="DG2425" s="4"/>
      <c r="DH2425" s="4"/>
      <c r="DI2425" s="4"/>
      <c r="DJ2425" s="4"/>
      <c r="DK2425" s="4"/>
      <c r="DL2425" s="4"/>
      <c r="DM2425" s="4"/>
      <c r="DN2425" s="4"/>
      <c r="DO2425" s="4"/>
      <c r="DP2425" s="4"/>
      <c r="DQ2425" s="4"/>
      <c r="DR2425" s="4"/>
      <c r="DS2425" s="4">
        <v>700</v>
      </c>
      <c r="DT2425" s="4"/>
      <c r="DU2425" s="4"/>
      <c r="DV2425" s="4"/>
      <c r="DW2425" s="4"/>
      <c r="DX2425" s="4"/>
      <c r="DY2425" s="4"/>
      <c r="DZ2425" s="4"/>
      <c r="EA2425" s="4"/>
      <c r="EB2425" s="4"/>
      <c r="EC2425" s="4"/>
      <c r="ED2425" s="4">
        <v>800</v>
      </c>
      <c r="EE2425" s="4"/>
      <c r="EF2425" s="4"/>
      <c r="EG2425" s="4"/>
      <c r="EH2425" s="4"/>
      <c r="EI2425" s="4"/>
      <c r="EJ2425" s="4"/>
      <c r="EK2425" s="4"/>
      <c r="EL2425" s="4"/>
      <c r="EM2425" s="4"/>
      <c r="EN2425" s="4"/>
      <c r="EO2425" s="4"/>
      <c r="EP2425" s="4"/>
      <c r="EQ2425" s="4"/>
      <c r="ER2425" s="4"/>
      <c r="ES2425" s="4"/>
      <c r="ET2425" s="4"/>
      <c r="EU2425" s="4"/>
      <c r="EV2425" s="4">
        <v>1200</v>
      </c>
      <c r="EW2425" s="4"/>
      <c r="EX2425" s="4"/>
      <c r="EY2425" s="4"/>
      <c r="EZ2425" s="4"/>
      <c r="FA2425" s="4"/>
      <c r="FB2425" s="4"/>
      <c r="FC2425" s="4"/>
      <c r="FD2425" s="4">
        <v>600</v>
      </c>
      <c r="FE2425" s="4"/>
      <c r="FF2425" s="4"/>
      <c r="FG2425" s="4"/>
      <c r="FH2425" s="4"/>
      <c r="FI2425" s="4"/>
      <c r="FJ2425" s="4"/>
      <c r="FK2425" s="4"/>
      <c r="FL2425" s="4"/>
      <c r="FM2425" s="4"/>
      <c r="FN2425" s="4"/>
      <c r="FO2425" s="4"/>
      <c r="FP2425" s="4"/>
      <c r="FQ2425" s="4"/>
      <c r="FR2425" s="4"/>
      <c r="FS2425" s="4"/>
      <c r="FT2425" s="4"/>
      <c r="FU2425" s="4"/>
      <c r="FV2425" s="4"/>
      <c r="FW2425" s="4"/>
      <c r="FX2425" s="4"/>
      <c r="FY2425" s="4"/>
      <c r="FZ2425" s="4"/>
      <c r="GA2425" s="4"/>
      <c r="GB2425" s="4">
        <v>800</v>
      </c>
      <c r="GC2425" s="4"/>
      <c r="GD2425" s="4"/>
      <c r="GE2425" s="4"/>
      <c r="GF2425" s="4"/>
      <c r="GG2425" s="4"/>
      <c r="GH2425" s="4"/>
      <c r="GI2425" s="4"/>
      <c r="GJ2425" s="4"/>
      <c r="GK2425" s="4"/>
      <c r="GL2425" s="4"/>
      <c r="GM2425" s="4"/>
      <c r="GN2425" s="4"/>
      <c r="GO2425" s="4"/>
      <c r="GP2425" s="4"/>
      <c r="GQ2425" s="4"/>
      <c r="GR2425" s="4"/>
      <c r="GS2425" s="4">
        <v>500</v>
      </c>
      <c r="GT2425" s="4"/>
      <c r="GU2425" s="4"/>
      <c r="GV2425" s="4"/>
      <c r="GW2425" s="4"/>
      <c r="GX2425" s="4"/>
      <c r="GY2425" s="4"/>
      <c r="GZ2425" s="4"/>
      <c r="HA2425" s="4"/>
      <c r="HB2425" s="4"/>
      <c r="HC2425" s="4"/>
      <c r="HD2425" s="4"/>
      <c r="HE2425" s="4">
        <v>300</v>
      </c>
    </row>
    <row r="2426">
      <c r="A2426" s="2" t="s">
        <v>11217</v>
      </c>
      <c r="B2426" s="2" t="s">
        <v>223</v>
      </c>
      <c r="C2426" s="2" t="s">
        <v>300</v>
      </c>
      <c r="D2426" s="2" t="s">
        <v>1601</v>
      </c>
      <c r="E2426" s="2" t="s">
        <v>2421</v>
      </c>
      <c r="F2426" s="2" t="s">
        <v>1845</v>
      </c>
      <c r="G2426" s="2" t="s">
        <v>11176</v>
      </c>
      <c r="H2426" s="2" t="s">
        <v>11176</v>
      </c>
      <c r="I2426" s="2" t="s">
        <v>11201</v>
      </c>
      <c r="J2426" s="2" t="s">
        <v>11202</v>
      </c>
      <c r="K2426" s="2" t="s">
        <v>249</v>
      </c>
      <c r="L2426" s="3">
        <v>27.6</v>
      </c>
      <c r="M2426" s="3">
        <v>28.98</v>
      </c>
      <c r="N2426" s="3">
        <v>59.99</v>
      </c>
      <c r="O2426" s="2" t="s">
        <v>240</v>
      </c>
      <c r="P2426" s="2" t="s">
        <v>333</v>
      </c>
      <c r="Q2426" s="2" t="s">
        <v>234</v>
      </c>
      <c r="R2426" s="2" t="s">
        <v>228</v>
      </c>
      <c r="S2426" s="2" t="s">
        <v>11211</v>
      </c>
      <c r="T2426" s="2" t="s">
        <v>1608</v>
      </c>
      <c r="U2426" s="2" t="s">
        <v>228</v>
      </c>
      <c r="V2426" s="2" t="s">
        <v>374</v>
      </c>
      <c r="W2426" s="2" t="s">
        <v>309</v>
      </c>
      <c r="X2426" s="2" t="s">
        <v>228</v>
      </c>
      <c r="Y2426" s="2" t="s">
        <v>10330</v>
      </c>
      <c r="Z2426" s="4">
        <v>371</v>
      </c>
      <c r="AA2426" s="4">
        <f>=ROUNDDOWN(26.5,0)</f>
      </c>
      <c r="AB2426" s="5">
        <v>14</v>
      </c>
      <c r="AC2426" s="2" t="s">
        <v>228</v>
      </c>
      <c r="AD2426" s="4"/>
      <c r="AE2426" s="4"/>
      <c r="AF2426" s="6">
        <v>64</v>
      </c>
      <c r="AG2426" s="6"/>
      <c r="AH2426" s="7">
        <v>1</v>
      </c>
      <c r="AI2426" s="4"/>
      <c r="AJ2426" s="4">
        <f>=ROUNDDOWN({0},0)</f>
      </c>
      <c r="AK2426" s="5"/>
      <c r="AL2426" s="2" t="s">
        <v>228</v>
      </c>
      <c r="AM2426" s="4"/>
      <c r="AN2426" s="4"/>
      <c r="AO2426" s="7"/>
      <c r="AP2426" s="4"/>
      <c r="AQ2426" s="8"/>
      <c r="AR2426" s="4"/>
      <c r="AS2426" s="8"/>
      <c r="AT2426" s="7"/>
      <c r="AU2426" s="7"/>
      <c r="AV2426" s="4" t="s">
        <v>228</v>
      </c>
      <c r="AW2426" s="8" t="s">
        <v>228</v>
      </c>
      <c r="AX2426" s="4" t="s">
        <v>228</v>
      </c>
      <c r="AY2426" s="8" t="s">
        <v>228</v>
      </c>
      <c r="AZ2426" s="7" t="s">
        <v>228</v>
      </c>
      <c r="BA2426" s="7" t="s">
        <v>228</v>
      </c>
      <c r="BB2426" s="7"/>
      <c r="BC2426" s="4" t="s">
        <v>228</v>
      </c>
      <c r="BD2426" s="8" t="s">
        <v>228</v>
      </c>
      <c r="BE2426" s="4" t="s">
        <v>228</v>
      </c>
      <c r="BF2426" s="8" t="s">
        <v>228</v>
      </c>
      <c r="BG2426" s="7" t="s">
        <v>228</v>
      </c>
      <c r="BH2426" s="7" t="s">
        <v>228</v>
      </c>
      <c r="BI2426" s="7"/>
      <c r="BJ2426" s="4">
        <v>65</v>
      </c>
      <c r="BK2426" s="8">
        <v>1111.51</v>
      </c>
      <c r="BL2426" s="2" t="s">
        <v>11218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11219</v>
      </c>
      <c r="BV2426" s="2" t="s">
        <v>228</v>
      </c>
      <c r="BW2426" s="2" t="s">
        <v>228</v>
      </c>
      <c r="BX2426" s="2" t="s">
        <v>337</v>
      </c>
      <c r="BY2426" s="2" t="s">
        <v>274</v>
      </c>
      <c r="BZ2426" s="2" t="s">
        <v>240</v>
      </c>
      <c r="CA2426" s="2" t="s">
        <v>275</v>
      </c>
      <c r="CB2426" s="2" t="s">
        <v>11220</v>
      </c>
      <c r="CC2426" s="2" t="s">
        <v>241</v>
      </c>
      <c r="CD2426" s="2" t="s">
        <v>228</v>
      </c>
      <c r="CE2426" s="4">
        <v>371</v>
      </c>
      <c r="CF2426" s="4"/>
      <c r="CG2426" s="4"/>
      <c r="CH2426" s="4"/>
      <c r="CI2426" s="4"/>
      <c r="CJ2426" s="4"/>
      <c r="CK2426" s="4"/>
      <c r="CL2426" s="4"/>
      <c r="CM2426" s="4"/>
      <c r="CN2426" s="4"/>
      <c r="CO2426" s="4"/>
      <c r="CP2426" s="4"/>
      <c r="CQ2426" s="4"/>
      <c r="CR2426" s="4"/>
      <c r="CS2426" s="4"/>
      <c r="CT2426" s="4"/>
      <c r="CU2426" s="4"/>
      <c r="CV2426" s="4"/>
      <c r="CW2426" s="4"/>
      <c r="CX2426" s="4"/>
      <c r="CY2426" s="4"/>
      <c r="CZ2426" s="4"/>
      <c r="DA2426" s="4"/>
      <c r="DB2426" s="4"/>
      <c r="DC2426" s="4"/>
      <c r="DD2426" s="4"/>
      <c r="DE2426" s="4"/>
      <c r="DF2426" s="4"/>
      <c r="DG2426" s="4"/>
      <c r="DH2426" s="4"/>
      <c r="DI2426" s="4"/>
      <c r="DJ2426" s="4"/>
      <c r="DK2426" s="4"/>
      <c r="DL2426" s="4"/>
      <c r="DM2426" s="4"/>
      <c r="DN2426" s="4"/>
      <c r="DO2426" s="4"/>
      <c r="DP2426" s="4"/>
      <c r="DQ2426" s="4"/>
      <c r="DR2426" s="4"/>
      <c r="DS2426" s="4"/>
      <c r="DT2426" s="4"/>
      <c r="DU2426" s="4"/>
      <c r="DV2426" s="4"/>
      <c r="DW2426" s="4"/>
      <c r="DX2426" s="4"/>
      <c r="DY2426" s="4"/>
      <c r="DZ2426" s="4"/>
      <c r="EA2426" s="4"/>
      <c r="EB2426" s="4"/>
      <c r="EC2426" s="4"/>
      <c r="ED2426" s="4"/>
      <c r="EE2426" s="4"/>
      <c r="EF2426" s="4"/>
      <c r="EG2426" s="4"/>
      <c r="EH2426" s="4"/>
      <c r="EI2426" s="4"/>
      <c r="EJ2426" s="4"/>
      <c r="EK2426" s="4"/>
      <c r="EL2426" s="4"/>
      <c r="EM2426" s="4"/>
      <c r="EN2426" s="4"/>
      <c r="EO2426" s="4"/>
      <c r="EP2426" s="4"/>
      <c r="EQ2426" s="4"/>
      <c r="ER2426" s="4"/>
      <c r="ES2426" s="4"/>
      <c r="ET2426" s="4"/>
      <c r="EU2426" s="4"/>
      <c r="EV2426" s="4"/>
      <c r="EW2426" s="4"/>
      <c r="EX2426" s="4"/>
      <c r="EY2426" s="4"/>
      <c r="EZ2426" s="4"/>
      <c r="FA2426" s="4"/>
      <c r="FB2426" s="4"/>
      <c r="FC2426" s="4"/>
      <c r="FD2426" s="4"/>
      <c r="FE2426" s="4"/>
      <c r="FF2426" s="4"/>
      <c r="FG2426" s="4"/>
      <c r="FH2426" s="4"/>
      <c r="FI2426" s="4"/>
      <c r="FJ2426" s="4"/>
      <c r="FK2426" s="4"/>
      <c r="FL2426" s="4"/>
      <c r="FM2426" s="4"/>
      <c r="FN2426" s="4"/>
      <c r="FO2426" s="4"/>
      <c r="FP2426" s="4"/>
      <c r="FQ2426" s="4"/>
      <c r="FR2426" s="4"/>
      <c r="FS2426" s="4"/>
      <c r="FT2426" s="4"/>
      <c r="FU2426" s="4"/>
      <c r="FV2426" s="4"/>
      <c r="FW2426" s="4"/>
      <c r="FX2426" s="4"/>
      <c r="FY2426" s="4"/>
      <c r="FZ2426" s="4"/>
      <c r="GA2426" s="4"/>
      <c r="GB2426" s="4"/>
      <c r="GC2426" s="4"/>
      <c r="GD2426" s="4"/>
      <c r="GE2426" s="4"/>
      <c r="GF2426" s="4"/>
      <c r="GG2426" s="4"/>
      <c r="GH2426" s="4"/>
      <c r="GI2426" s="4"/>
      <c r="GJ2426" s="4"/>
      <c r="GK2426" s="4"/>
      <c r="GL2426" s="4"/>
      <c r="GM2426" s="4"/>
      <c r="GN2426" s="4"/>
      <c r="GO2426" s="4"/>
      <c r="GP2426" s="4"/>
      <c r="GQ2426" s="4"/>
      <c r="GR2426" s="4"/>
      <c r="GS2426" s="4"/>
      <c r="GT2426" s="4"/>
      <c r="GU2426" s="4"/>
      <c r="GV2426" s="4"/>
      <c r="GW2426" s="4"/>
      <c r="GX2426" s="4"/>
      <c r="GY2426" s="4"/>
      <c r="GZ2426" s="4"/>
      <c r="HA2426" s="4"/>
      <c r="HB2426" s="4"/>
      <c r="HC2426" s="4"/>
      <c r="HD2426" s="4"/>
      <c r="HE2426" s="4"/>
    </row>
    <row r="2427">
      <c r="A2427" s="2" t="s">
        <v>11221</v>
      </c>
      <c r="B2427" s="2" t="s">
        <v>223</v>
      </c>
      <c r="C2427" s="2" t="s">
        <v>731</v>
      </c>
      <c r="D2427" s="2" t="s">
        <v>1407</v>
      </c>
      <c r="E2427" s="2" t="s">
        <v>1408</v>
      </c>
      <c r="F2427" s="2" t="s">
        <v>1845</v>
      </c>
      <c r="G2427" s="2" t="s">
        <v>11176</v>
      </c>
      <c r="H2427" s="2" t="s">
        <v>11176</v>
      </c>
      <c r="I2427" s="2" t="s">
        <v>11177</v>
      </c>
      <c r="J2427" s="2" t="s">
        <v>2651</v>
      </c>
      <c r="K2427" s="2" t="s">
        <v>11222</v>
      </c>
      <c r="L2427" s="3">
        <v>36.8</v>
      </c>
      <c r="M2427" s="3">
        <v>38.64</v>
      </c>
      <c r="N2427" s="3">
        <v>79.99</v>
      </c>
      <c r="O2427" s="2" t="s">
        <v>240</v>
      </c>
      <c r="P2427" s="2" t="s">
        <v>233</v>
      </c>
      <c r="Q2427" s="2" t="s">
        <v>234</v>
      </c>
      <c r="R2427" s="2" t="s">
        <v>228</v>
      </c>
      <c r="S2427" s="2" t="s">
        <v>11179</v>
      </c>
      <c r="T2427" s="2" t="s">
        <v>1608</v>
      </c>
      <c r="U2427" s="2" t="s">
        <v>416</v>
      </c>
      <c r="V2427" s="2" t="s">
        <v>236</v>
      </c>
      <c r="W2427" s="2" t="s">
        <v>309</v>
      </c>
      <c r="X2427" s="2" t="s">
        <v>463</v>
      </c>
      <c r="Y2427" s="2" t="s">
        <v>228</v>
      </c>
      <c r="Z2427" s="4"/>
      <c r="AA2427" s="4">
        <f>=ROUNDDOWN({0},0)</f>
      </c>
      <c r="AB2427" s="5"/>
      <c r="AC2427" s="2" t="s">
        <v>155</v>
      </c>
      <c r="AD2427" s="4">
        <v>450</v>
      </c>
      <c r="AE2427" s="4">
        <v>1000</v>
      </c>
      <c r="AF2427" s="6">
        <v>66</v>
      </c>
      <c r="AG2427" s="6"/>
      <c r="AH2427" s="7"/>
      <c r="AI2427" s="4"/>
      <c r="AJ2427" s="4">
        <f>=ROUNDDOWN({0},0)</f>
      </c>
      <c r="AK2427" s="5"/>
      <c r="AL2427" s="2" t="s">
        <v>228</v>
      </c>
      <c r="AM2427" s="4"/>
      <c r="AN2427" s="4"/>
      <c r="AO2427" s="7"/>
      <c r="AP2427" s="4"/>
      <c r="AQ2427" s="8"/>
      <c r="AR2427" s="4"/>
      <c r="AS2427" s="8"/>
      <c r="AT2427" s="7"/>
      <c r="AU2427" s="7"/>
      <c r="AV2427" s="4"/>
      <c r="AW2427" s="8"/>
      <c r="AX2427" s="4"/>
      <c r="AY2427" s="8"/>
      <c r="AZ2427" s="7"/>
      <c r="BA2427" s="7"/>
      <c r="BB2427" s="7"/>
      <c r="BC2427" s="4" t="s">
        <v>228</v>
      </c>
      <c r="BD2427" s="8" t="s">
        <v>228</v>
      </c>
      <c r="BE2427" s="4" t="s">
        <v>228</v>
      </c>
      <c r="BF2427" s="8" t="s">
        <v>228</v>
      </c>
      <c r="BG2427" s="7" t="s">
        <v>228</v>
      </c>
      <c r="BH2427" s="7" t="s">
        <v>228</v>
      </c>
      <c r="BI2427" s="7"/>
      <c r="BJ2427" s="4"/>
      <c r="BK2427" s="8"/>
      <c r="BL2427" s="2" t="s">
        <v>228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238</v>
      </c>
      <c r="BV2427" s="2" t="s">
        <v>228</v>
      </c>
      <c r="BW2427" s="2" t="s">
        <v>228</v>
      </c>
      <c r="BX2427" s="2" t="s">
        <v>238</v>
      </c>
      <c r="BY2427" s="2" t="s">
        <v>239</v>
      </c>
      <c r="BZ2427" s="2" t="s">
        <v>240</v>
      </c>
      <c r="CA2427" s="2" t="s">
        <v>228</v>
      </c>
      <c r="CB2427" s="2" t="s">
        <v>228</v>
      </c>
      <c r="CC2427" s="2" t="s">
        <v>241</v>
      </c>
      <c r="CD2427" s="2" t="s">
        <v>228</v>
      </c>
      <c r="CE2427" s="4"/>
      <c r="CF2427" s="4"/>
      <c r="CG2427" s="4"/>
      <c r="CH2427" s="4"/>
      <c r="CI2427" s="4"/>
      <c r="CJ2427" s="4"/>
      <c r="CK2427" s="4"/>
      <c r="CL2427" s="4"/>
      <c r="CM2427" s="4"/>
      <c r="CN2427" s="4"/>
      <c r="CO2427" s="4"/>
      <c r="CP2427" s="4"/>
      <c r="CQ2427" s="4"/>
      <c r="CR2427" s="4"/>
      <c r="CS2427" s="4"/>
      <c r="CT2427" s="4"/>
      <c r="CU2427" s="4"/>
      <c r="CV2427" s="4"/>
      <c r="CW2427" s="4"/>
      <c r="CX2427" s="4"/>
      <c r="CY2427" s="4"/>
      <c r="CZ2427" s="4"/>
      <c r="DA2427" s="4"/>
      <c r="DB2427" s="4"/>
      <c r="DC2427" s="4"/>
      <c r="DD2427" s="4"/>
      <c r="DE2427" s="4"/>
      <c r="DF2427" s="4"/>
      <c r="DG2427" s="4"/>
      <c r="DH2427" s="4"/>
      <c r="DI2427" s="4"/>
      <c r="DJ2427" s="4"/>
      <c r="DK2427" s="4"/>
      <c r="DL2427" s="4"/>
      <c r="DM2427" s="4"/>
      <c r="DN2427" s="4"/>
      <c r="DO2427" s="4"/>
      <c r="DP2427" s="4"/>
      <c r="DQ2427" s="4"/>
      <c r="DR2427" s="4"/>
      <c r="DS2427" s="4"/>
      <c r="DT2427" s="4"/>
      <c r="DU2427" s="4"/>
      <c r="DV2427" s="4"/>
      <c r="DW2427" s="4"/>
      <c r="DX2427" s="4"/>
      <c r="DY2427" s="4"/>
      <c r="DZ2427" s="4"/>
      <c r="EA2427" s="4"/>
      <c r="EB2427" s="4"/>
      <c r="EC2427" s="4"/>
      <c r="ED2427" s="4"/>
      <c r="EE2427" s="4"/>
      <c r="EF2427" s="4"/>
      <c r="EG2427" s="4"/>
      <c r="EH2427" s="4"/>
      <c r="EI2427" s="4"/>
      <c r="EJ2427" s="4"/>
      <c r="EK2427" s="4"/>
      <c r="EL2427" s="4"/>
      <c r="EM2427" s="4"/>
      <c r="EN2427" s="4"/>
      <c r="EO2427" s="4"/>
      <c r="EP2427" s="4"/>
      <c r="EQ2427" s="4">
        <v>450</v>
      </c>
      <c r="ER2427" s="4"/>
      <c r="ES2427" s="4"/>
      <c r="ET2427" s="4"/>
      <c r="EU2427" s="4"/>
      <c r="EV2427" s="4"/>
      <c r="EW2427" s="4"/>
      <c r="EX2427" s="4"/>
      <c r="EY2427" s="4"/>
      <c r="EZ2427" s="4"/>
      <c r="FA2427" s="4"/>
      <c r="FB2427" s="4"/>
      <c r="FC2427" s="4"/>
      <c r="FD2427" s="4"/>
      <c r="FE2427" s="4"/>
      <c r="FF2427" s="4"/>
      <c r="FG2427" s="4"/>
      <c r="FH2427" s="4"/>
      <c r="FI2427" s="4"/>
      <c r="FJ2427" s="4"/>
      <c r="FK2427" s="4"/>
      <c r="FL2427" s="4"/>
      <c r="FM2427" s="4"/>
      <c r="FN2427" s="4"/>
      <c r="FO2427" s="4"/>
      <c r="FP2427" s="4"/>
      <c r="FQ2427" s="4">
        <v>550</v>
      </c>
      <c r="FR2427" s="4"/>
      <c r="FS2427" s="4"/>
      <c r="FT2427" s="4"/>
      <c r="FU2427" s="4"/>
      <c r="FV2427" s="4"/>
      <c r="FW2427" s="4"/>
      <c r="FX2427" s="4"/>
      <c r="FY2427" s="4"/>
      <c r="FZ2427" s="4"/>
      <c r="GA2427" s="4"/>
      <c r="GB2427" s="4"/>
      <c r="GC2427" s="4"/>
      <c r="GD2427" s="4"/>
      <c r="GE2427" s="4"/>
      <c r="GF2427" s="4"/>
      <c r="GG2427" s="4"/>
      <c r="GH2427" s="4"/>
      <c r="GI2427" s="4"/>
      <c r="GJ2427" s="4"/>
      <c r="GK2427" s="4"/>
      <c r="GL2427" s="4"/>
      <c r="GM2427" s="4"/>
      <c r="GN2427" s="4"/>
      <c r="GO2427" s="4"/>
      <c r="GP2427" s="4"/>
      <c r="GQ2427" s="4"/>
      <c r="GR2427" s="4"/>
      <c r="GS2427" s="4"/>
      <c r="GT2427" s="4"/>
      <c r="GU2427" s="4"/>
      <c r="GV2427" s="4"/>
      <c r="GW2427" s="4"/>
      <c r="GX2427" s="4"/>
      <c r="GY2427" s="4"/>
      <c r="GZ2427" s="4"/>
      <c r="HA2427" s="4"/>
      <c r="HB2427" s="4"/>
      <c r="HC2427" s="4"/>
      <c r="HD2427" s="4"/>
      <c r="HE2427" s="4"/>
    </row>
    <row r="2428">
      <c r="A2428" s="2" t="s">
        <v>11223</v>
      </c>
      <c r="B2428" s="2" t="s">
        <v>223</v>
      </c>
      <c r="C2428" s="2" t="s">
        <v>731</v>
      </c>
      <c r="D2428" s="2" t="s">
        <v>1407</v>
      </c>
      <c r="E2428" s="2" t="s">
        <v>1408</v>
      </c>
      <c r="F2428" s="2" t="s">
        <v>1845</v>
      </c>
      <c r="G2428" s="2" t="s">
        <v>11176</v>
      </c>
      <c r="H2428" s="2" t="s">
        <v>11176</v>
      </c>
      <c r="I2428" s="2" t="s">
        <v>11177</v>
      </c>
      <c r="J2428" s="2" t="s">
        <v>2651</v>
      </c>
      <c r="K2428" s="2" t="s">
        <v>11224</v>
      </c>
      <c r="L2428" s="3">
        <v>36.8</v>
      </c>
      <c r="M2428" s="3">
        <v>38.64</v>
      </c>
      <c r="N2428" s="3">
        <v>79.99</v>
      </c>
      <c r="O2428" s="2" t="s">
        <v>240</v>
      </c>
      <c r="P2428" s="2" t="s">
        <v>233</v>
      </c>
      <c r="Q2428" s="2" t="s">
        <v>234</v>
      </c>
      <c r="R2428" s="2" t="s">
        <v>228</v>
      </c>
      <c r="S2428" s="2" t="s">
        <v>11179</v>
      </c>
      <c r="T2428" s="2" t="s">
        <v>1608</v>
      </c>
      <c r="U2428" s="2" t="s">
        <v>416</v>
      </c>
      <c r="V2428" s="2" t="s">
        <v>236</v>
      </c>
      <c r="W2428" s="2" t="s">
        <v>309</v>
      </c>
      <c r="X2428" s="2" t="s">
        <v>463</v>
      </c>
      <c r="Y2428" s="2" t="s">
        <v>228</v>
      </c>
      <c r="Z2428" s="4"/>
      <c r="AA2428" s="4">
        <f>=ROUNDDOWN({0},0)</f>
      </c>
      <c r="AB2428" s="5"/>
      <c r="AC2428" s="2" t="s">
        <v>155</v>
      </c>
      <c r="AD2428" s="4">
        <v>550</v>
      </c>
      <c r="AE2428" s="4">
        <v>1220</v>
      </c>
      <c r="AF2428" s="6">
        <v>66</v>
      </c>
      <c r="AG2428" s="6"/>
      <c r="AH2428" s="7"/>
      <c r="AI2428" s="4"/>
      <c r="AJ2428" s="4">
        <f>=ROUNDDOWN({0},0)</f>
      </c>
      <c r="AK2428" s="5"/>
      <c r="AL2428" s="2" t="s">
        <v>228</v>
      </c>
      <c r="AM2428" s="4"/>
      <c r="AN2428" s="4"/>
      <c r="AO2428" s="7"/>
      <c r="AP2428" s="4"/>
      <c r="AQ2428" s="8"/>
      <c r="AR2428" s="4"/>
      <c r="AS2428" s="8"/>
      <c r="AT2428" s="7"/>
      <c r="AU2428" s="7"/>
      <c r="AV2428" s="4"/>
      <c r="AW2428" s="8"/>
      <c r="AX2428" s="4"/>
      <c r="AY2428" s="8"/>
      <c r="AZ2428" s="7"/>
      <c r="BA2428" s="7"/>
      <c r="BB2428" s="7"/>
      <c r="BC2428" s="4" t="s">
        <v>228</v>
      </c>
      <c r="BD2428" s="8" t="s">
        <v>228</v>
      </c>
      <c r="BE2428" s="4" t="s">
        <v>228</v>
      </c>
      <c r="BF2428" s="8" t="s">
        <v>228</v>
      </c>
      <c r="BG2428" s="7" t="s">
        <v>228</v>
      </c>
      <c r="BH2428" s="7" t="s">
        <v>228</v>
      </c>
      <c r="BI2428" s="7"/>
      <c r="BJ2428" s="4"/>
      <c r="BK2428" s="8"/>
      <c r="BL2428" s="2" t="s">
        <v>228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238</v>
      </c>
      <c r="BV2428" s="2" t="s">
        <v>228</v>
      </c>
      <c r="BW2428" s="2" t="s">
        <v>228</v>
      </c>
      <c r="BX2428" s="2" t="s">
        <v>238</v>
      </c>
      <c r="BY2428" s="2" t="s">
        <v>239</v>
      </c>
      <c r="BZ2428" s="2" t="s">
        <v>240</v>
      </c>
      <c r="CA2428" s="2" t="s">
        <v>228</v>
      </c>
      <c r="CB2428" s="2" t="s">
        <v>228</v>
      </c>
      <c r="CC2428" s="2" t="s">
        <v>241</v>
      </c>
      <c r="CD2428" s="2" t="s">
        <v>228</v>
      </c>
      <c r="CE2428" s="4"/>
      <c r="CF2428" s="4"/>
      <c r="CG2428" s="4"/>
      <c r="CH2428" s="4"/>
      <c r="CI2428" s="4"/>
      <c r="CJ2428" s="4"/>
      <c r="CK2428" s="4"/>
      <c r="CL2428" s="4"/>
      <c r="CM2428" s="4"/>
      <c r="CN2428" s="4"/>
      <c r="CO2428" s="4"/>
      <c r="CP2428" s="4"/>
      <c r="CQ2428" s="4"/>
      <c r="CR2428" s="4"/>
      <c r="CS2428" s="4"/>
      <c r="CT2428" s="4"/>
      <c r="CU2428" s="4"/>
      <c r="CV2428" s="4"/>
      <c r="CW2428" s="4"/>
      <c r="CX2428" s="4"/>
      <c r="CY2428" s="4"/>
      <c r="CZ2428" s="4"/>
      <c r="DA2428" s="4"/>
      <c r="DB2428" s="4"/>
      <c r="DC2428" s="4"/>
      <c r="DD2428" s="4"/>
      <c r="DE2428" s="4"/>
      <c r="DF2428" s="4"/>
      <c r="DG2428" s="4"/>
      <c r="DH2428" s="4"/>
      <c r="DI2428" s="4"/>
      <c r="DJ2428" s="4"/>
      <c r="DK2428" s="4"/>
      <c r="DL2428" s="4"/>
      <c r="DM2428" s="4"/>
      <c r="DN2428" s="4"/>
      <c r="DO2428" s="4"/>
      <c r="DP2428" s="4"/>
      <c r="DQ2428" s="4"/>
      <c r="DR2428" s="4"/>
      <c r="DS2428" s="4"/>
      <c r="DT2428" s="4"/>
      <c r="DU2428" s="4"/>
      <c r="DV2428" s="4"/>
      <c r="DW2428" s="4"/>
      <c r="DX2428" s="4"/>
      <c r="DY2428" s="4"/>
      <c r="DZ2428" s="4"/>
      <c r="EA2428" s="4"/>
      <c r="EB2428" s="4"/>
      <c r="EC2428" s="4"/>
      <c r="ED2428" s="4"/>
      <c r="EE2428" s="4"/>
      <c r="EF2428" s="4"/>
      <c r="EG2428" s="4"/>
      <c r="EH2428" s="4"/>
      <c r="EI2428" s="4"/>
      <c r="EJ2428" s="4"/>
      <c r="EK2428" s="4"/>
      <c r="EL2428" s="4"/>
      <c r="EM2428" s="4"/>
      <c r="EN2428" s="4"/>
      <c r="EO2428" s="4"/>
      <c r="EP2428" s="4"/>
      <c r="EQ2428" s="4">
        <v>550</v>
      </c>
      <c r="ER2428" s="4"/>
      <c r="ES2428" s="4"/>
      <c r="ET2428" s="4"/>
      <c r="EU2428" s="4"/>
      <c r="EV2428" s="4"/>
      <c r="EW2428" s="4"/>
      <c r="EX2428" s="4"/>
      <c r="EY2428" s="4"/>
      <c r="EZ2428" s="4"/>
      <c r="FA2428" s="4"/>
      <c r="FB2428" s="4"/>
      <c r="FC2428" s="4"/>
      <c r="FD2428" s="4"/>
      <c r="FE2428" s="4"/>
      <c r="FF2428" s="4"/>
      <c r="FG2428" s="4"/>
      <c r="FH2428" s="4"/>
      <c r="FI2428" s="4"/>
      <c r="FJ2428" s="4"/>
      <c r="FK2428" s="4"/>
      <c r="FL2428" s="4"/>
      <c r="FM2428" s="4"/>
      <c r="FN2428" s="4"/>
      <c r="FO2428" s="4"/>
      <c r="FP2428" s="4"/>
      <c r="FQ2428" s="4">
        <v>670</v>
      </c>
      <c r="FR2428" s="4"/>
      <c r="FS2428" s="4"/>
      <c r="FT2428" s="4"/>
      <c r="FU2428" s="4"/>
      <c r="FV2428" s="4"/>
      <c r="FW2428" s="4"/>
      <c r="FX2428" s="4"/>
      <c r="FY2428" s="4"/>
      <c r="FZ2428" s="4"/>
      <c r="GA2428" s="4"/>
      <c r="GB2428" s="4"/>
      <c r="GC2428" s="4"/>
      <c r="GD2428" s="4"/>
      <c r="GE2428" s="4"/>
      <c r="GF2428" s="4"/>
      <c r="GG2428" s="4"/>
      <c r="GH2428" s="4"/>
      <c r="GI2428" s="4"/>
      <c r="GJ2428" s="4"/>
      <c r="GK2428" s="4"/>
      <c r="GL2428" s="4"/>
      <c r="GM2428" s="4"/>
      <c r="GN2428" s="4"/>
      <c r="GO2428" s="4"/>
      <c r="GP2428" s="4"/>
      <c r="GQ2428" s="4"/>
      <c r="GR2428" s="4"/>
      <c r="GS2428" s="4"/>
      <c r="GT2428" s="4"/>
      <c r="GU2428" s="4"/>
      <c r="GV2428" s="4"/>
      <c r="GW2428" s="4"/>
      <c r="GX2428" s="4"/>
      <c r="GY2428" s="4"/>
      <c r="GZ2428" s="4"/>
      <c r="HA2428" s="4"/>
      <c r="HB2428" s="4"/>
      <c r="HC2428" s="4"/>
      <c r="HD2428" s="4"/>
      <c r="HE2428" s="4"/>
    </row>
    <row r="2429">
      <c r="A2429" s="2" t="s">
        <v>11225</v>
      </c>
      <c r="B2429" s="2" t="s">
        <v>223</v>
      </c>
      <c r="C2429" s="2" t="s">
        <v>300</v>
      </c>
      <c r="D2429" s="2" t="s">
        <v>1601</v>
      </c>
      <c r="E2429" s="2" t="s">
        <v>2421</v>
      </c>
      <c r="F2429" s="2" t="s">
        <v>1845</v>
      </c>
      <c r="G2429" s="2" t="s">
        <v>11176</v>
      </c>
      <c r="H2429" s="2" t="s">
        <v>11176</v>
      </c>
      <c r="I2429" s="2" t="s">
        <v>11196</v>
      </c>
      <c r="J2429" s="2" t="s">
        <v>4972</v>
      </c>
      <c r="K2429" s="2" t="s">
        <v>11226</v>
      </c>
      <c r="L2429" s="3">
        <v>15.91</v>
      </c>
      <c r="M2429" s="3">
        <v>16.71</v>
      </c>
      <c r="N2429" s="3">
        <v>36.99</v>
      </c>
      <c r="O2429" s="2" t="s">
        <v>240</v>
      </c>
      <c r="P2429" s="2" t="s">
        <v>266</v>
      </c>
      <c r="Q2429" s="2" t="s">
        <v>234</v>
      </c>
      <c r="R2429" s="2" t="s">
        <v>228</v>
      </c>
      <c r="S2429" s="2" t="s">
        <v>11227</v>
      </c>
      <c r="T2429" s="2" t="s">
        <v>1608</v>
      </c>
      <c r="U2429" s="2" t="s">
        <v>416</v>
      </c>
      <c r="V2429" s="2" t="s">
        <v>2042</v>
      </c>
      <c r="W2429" s="2" t="s">
        <v>309</v>
      </c>
      <c r="X2429" s="2" t="s">
        <v>228</v>
      </c>
      <c r="Y2429" s="2" t="s">
        <v>620</v>
      </c>
      <c r="Z2429" s="4">
        <v>476</v>
      </c>
      <c r="AA2429" s="4">
        <f>=ROUNDDOWN(19.8333333333333,0)</f>
      </c>
      <c r="AB2429" s="5">
        <v>24</v>
      </c>
      <c r="AC2429" s="2" t="s">
        <v>1158</v>
      </c>
      <c r="AD2429" s="4">
        <v>800</v>
      </c>
      <c r="AE2429" s="4">
        <v>2400</v>
      </c>
      <c r="AF2429" s="6">
        <v>64</v>
      </c>
      <c r="AG2429" s="6"/>
      <c r="AH2429" s="7">
        <v>1</v>
      </c>
      <c r="AI2429" s="4"/>
      <c r="AJ2429" s="4">
        <f>=ROUNDDOWN({0},0)</f>
      </c>
      <c r="AK2429" s="5"/>
      <c r="AL2429" s="2" t="s">
        <v>228</v>
      </c>
      <c r="AM2429" s="4"/>
      <c r="AN2429" s="4"/>
      <c r="AO2429" s="7"/>
      <c r="AP2429" s="4"/>
      <c r="AQ2429" s="8"/>
      <c r="AR2429" s="4"/>
      <c r="AS2429" s="8"/>
      <c r="AT2429" s="7"/>
      <c r="AU2429" s="7"/>
      <c r="AV2429" s="4"/>
      <c r="AW2429" s="8"/>
      <c r="AX2429" s="4"/>
      <c r="AY2429" s="8"/>
      <c r="AZ2429" s="7"/>
      <c r="BA2429" s="7"/>
      <c r="BB2429" s="7"/>
      <c r="BC2429" s="4" t="s">
        <v>228</v>
      </c>
      <c r="BD2429" s="8" t="s">
        <v>228</v>
      </c>
      <c r="BE2429" s="4" t="s">
        <v>228</v>
      </c>
      <c r="BF2429" s="8" t="s">
        <v>228</v>
      </c>
      <c r="BG2429" s="7" t="s">
        <v>228</v>
      </c>
      <c r="BH2429" s="7" t="s">
        <v>228</v>
      </c>
      <c r="BI2429" s="7"/>
      <c r="BJ2429" s="4">
        <v>149</v>
      </c>
      <c r="BK2429" s="8">
        <v>2596.32</v>
      </c>
      <c r="BL2429" s="2" t="s">
        <v>11228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11229</v>
      </c>
      <c r="BV2429" s="2" t="s">
        <v>228</v>
      </c>
      <c r="BW2429" s="2" t="s">
        <v>228</v>
      </c>
      <c r="BX2429" s="2" t="s">
        <v>273</v>
      </c>
      <c r="BY2429" s="2" t="s">
        <v>274</v>
      </c>
      <c r="BZ2429" s="2" t="s">
        <v>240</v>
      </c>
      <c r="CA2429" s="2" t="s">
        <v>5367</v>
      </c>
      <c r="CB2429" s="2" t="s">
        <v>7306</v>
      </c>
      <c r="CC2429" s="2" t="s">
        <v>241</v>
      </c>
      <c r="CD2429" s="2" t="s">
        <v>228</v>
      </c>
      <c r="CE2429" s="4">
        <v>476</v>
      </c>
      <c r="CF2429" s="4"/>
      <c r="CG2429" s="4"/>
      <c r="CH2429" s="4"/>
      <c r="CI2429" s="4"/>
      <c r="CJ2429" s="4"/>
      <c r="CK2429" s="4"/>
      <c r="CL2429" s="4"/>
      <c r="CM2429" s="4"/>
      <c r="CN2429" s="4"/>
      <c r="CO2429" s="4"/>
      <c r="CP2429" s="4"/>
      <c r="CQ2429" s="4"/>
      <c r="CR2429" s="4"/>
      <c r="CS2429" s="4"/>
      <c r="CT2429" s="4"/>
      <c r="CU2429" s="4"/>
      <c r="CV2429" s="4"/>
      <c r="CW2429" s="4"/>
      <c r="CX2429" s="4"/>
      <c r="CY2429" s="4"/>
      <c r="CZ2429" s="4"/>
      <c r="DA2429" s="4"/>
      <c r="DB2429" s="4"/>
      <c r="DC2429" s="4"/>
      <c r="DD2429" s="4"/>
      <c r="DE2429" s="4"/>
      <c r="DF2429" s="4"/>
      <c r="DG2429" s="4"/>
      <c r="DH2429" s="4"/>
      <c r="DI2429" s="4"/>
      <c r="DJ2429" s="4"/>
      <c r="DK2429" s="4"/>
      <c r="DL2429" s="4"/>
      <c r="DM2429" s="4"/>
      <c r="DN2429" s="4"/>
      <c r="DO2429" s="4">
        <v>800</v>
      </c>
      <c r="DP2429" s="4"/>
      <c r="DQ2429" s="4"/>
      <c r="DR2429" s="4"/>
      <c r="DS2429" s="4"/>
      <c r="DT2429" s="4"/>
      <c r="DU2429" s="4"/>
      <c r="DV2429" s="4"/>
      <c r="DW2429" s="4"/>
      <c r="DX2429" s="4"/>
      <c r="DY2429" s="4"/>
      <c r="DZ2429" s="4"/>
      <c r="EA2429" s="4"/>
      <c r="EB2429" s="4"/>
      <c r="EC2429" s="4"/>
      <c r="ED2429" s="4"/>
      <c r="EE2429" s="4"/>
      <c r="EF2429" s="4"/>
      <c r="EG2429" s="4"/>
      <c r="EH2429" s="4"/>
      <c r="EI2429" s="4"/>
      <c r="EJ2429" s="4"/>
      <c r="EK2429" s="4"/>
      <c r="EL2429" s="4"/>
      <c r="EM2429" s="4"/>
      <c r="EN2429" s="4"/>
      <c r="EO2429" s="4"/>
      <c r="EP2429" s="4"/>
      <c r="EQ2429" s="4"/>
      <c r="ER2429" s="4"/>
      <c r="ES2429" s="4"/>
      <c r="ET2429" s="4"/>
      <c r="EU2429" s="4"/>
      <c r="EV2429" s="4"/>
      <c r="EW2429" s="4"/>
      <c r="EX2429" s="4"/>
      <c r="EY2429" s="4"/>
      <c r="EZ2429" s="4"/>
      <c r="FA2429" s="4"/>
      <c r="FB2429" s="4"/>
      <c r="FC2429" s="4"/>
      <c r="FD2429" s="4">
        <v>800</v>
      </c>
      <c r="FE2429" s="4"/>
      <c r="FF2429" s="4"/>
      <c r="FG2429" s="4"/>
      <c r="FH2429" s="4"/>
      <c r="FI2429" s="4"/>
      <c r="FJ2429" s="4"/>
      <c r="FK2429" s="4"/>
      <c r="FL2429" s="4"/>
      <c r="FM2429" s="4"/>
      <c r="FN2429" s="4"/>
      <c r="FO2429" s="4"/>
      <c r="FP2429" s="4"/>
      <c r="FQ2429" s="4"/>
      <c r="FR2429" s="4"/>
      <c r="FS2429" s="4"/>
      <c r="FT2429" s="4"/>
      <c r="FU2429" s="4"/>
      <c r="FV2429" s="4"/>
      <c r="FW2429" s="4"/>
      <c r="FX2429" s="4"/>
      <c r="FY2429" s="4"/>
      <c r="FZ2429" s="4"/>
      <c r="GA2429" s="4"/>
      <c r="GB2429" s="4">
        <v>500</v>
      </c>
      <c r="GC2429" s="4"/>
      <c r="GD2429" s="4"/>
      <c r="GE2429" s="4"/>
      <c r="GF2429" s="4"/>
      <c r="GG2429" s="4"/>
      <c r="GH2429" s="4"/>
      <c r="GI2429" s="4"/>
      <c r="GJ2429" s="4"/>
      <c r="GK2429" s="4"/>
      <c r="GL2429" s="4"/>
      <c r="GM2429" s="4"/>
      <c r="GN2429" s="4"/>
      <c r="GO2429" s="4"/>
      <c r="GP2429" s="4"/>
      <c r="GQ2429" s="4"/>
      <c r="GR2429" s="4"/>
      <c r="GS2429" s="4"/>
      <c r="GT2429" s="4"/>
      <c r="GU2429" s="4"/>
      <c r="GV2429" s="4"/>
      <c r="GW2429" s="4"/>
      <c r="GX2429" s="4"/>
      <c r="GY2429" s="4"/>
      <c r="GZ2429" s="4">
        <v>300</v>
      </c>
      <c r="HA2429" s="4"/>
      <c r="HB2429" s="4"/>
      <c r="HC2429" s="4"/>
      <c r="HD2429" s="4"/>
      <c r="HE2429" s="4"/>
    </row>
    <row r="2430">
      <c r="A2430" s="2" t="s">
        <v>11230</v>
      </c>
      <c r="B2430" s="2" t="s">
        <v>223</v>
      </c>
      <c r="C2430" s="2" t="s">
        <v>300</v>
      </c>
      <c r="D2430" s="2" t="s">
        <v>1862</v>
      </c>
      <c r="E2430" s="2" t="s">
        <v>2767</v>
      </c>
      <c r="F2430" s="2" t="s">
        <v>1845</v>
      </c>
      <c r="G2430" s="2" t="s">
        <v>11176</v>
      </c>
      <c r="H2430" s="2" t="s">
        <v>11176</v>
      </c>
      <c r="I2430" s="2" t="s">
        <v>4777</v>
      </c>
      <c r="J2430" s="2" t="s">
        <v>1991</v>
      </c>
      <c r="K2430" s="2" t="s">
        <v>9010</v>
      </c>
      <c r="L2430" s="3">
        <v>14.83</v>
      </c>
      <c r="M2430" s="3">
        <v>15.57</v>
      </c>
      <c r="N2430" s="3">
        <v>31.99</v>
      </c>
      <c r="O2430" s="2" t="s">
        <v>240</v>
      </c>
      <c r="P2430" s="2" t="s">
        <v>266</v>
      </c>
      <c r="Q2430" s="2" t="s">
        <v>234</v>
      </c>
      <c r="R2430" s="2" t="s">
        <v>228</v>
      </c>
      <c r="S2430" s="2" t="s">
        <v>11231</v>
      </c>
      <c r="T2430" s="2" t="s">
        <v>1608</v>
      </c>
      <c r="U2430" s="2" t="s">
        <v>228</v>
      </c>
      <c r="V2430" s="2" t="s">
        <v>2042</v>
      </c>
      <c r="W2430" s="2" t="s">
        <v>309</v>
      </c>
      <c r="X2430" s="2" t="s">
        <v>228</v>
      </c>
      <c r="Y2430" s="2" t="s">
        <v>9080</v>
      </c>
      <c r="Z2430" s="4">
        <v>869</v>
      </c>
      <c r="AA2430" s="4">
        <f>=ROUNDDOWN(54.3125,0)</f>
      </c>
      <c r="AB2430" s="5">
        <v>16</v>
      </c>
      <c r="AC2430" s="2" t="s">
        <v>192</v>
      </c>
      <c r="AD2430" s="4">
        <v>100</v>
      </c>
      <c r="AE2430" s="4">
        <v>200</v>
      </c>
      <c r="AF2430" s="6">
        <v>64</v>
      </c>
      <c r="AG2430" s="6"/>
      <c r="AH2430" s="7">
        <v>1</v>
      </c>
      <c r="AI2430" s="4"/>
      <c r="AJ2430" s="4">
        <f>=ROUNDDOWN({0},0)</f>
      </c>
      <c r="AK2430" s="5"/>
      <c r="AL2430" s="2" t="s">
        <v>228</v>
      </c>
      <c r="AM2430" s="4"/>
      <c r="AN2430" s="4"/>
      <c r="AO2430" s="7"/>
      <c r="AP2430" s="4"/>
      <c r="AQ2430" s="8"/>
      <c r="AR2430" s="4"/>
      <c r="AS2430" s="8"/>
      <c r="AT2430" s="7"/>
      <c r="AU2430" s="7"/>
      <c r="AV2430" s="4"/>
      <c r="AW2430" s="8"/>
      <c r="AX2430" s="4"/>
      <c r="AY2430" s="8"/>
      <c r="AZ2430" s="7"/>
      <c r="BA2430" s="7"/>
      <c r="BB2430" s="7"/>
      <c r="BC2430" s="4" t="s">
        <v>228</v>
      </c>
      <c r="BD2430" s="8" t="s">
        <v>228</v>
      </c>
      <c r="BE2430" s="4" t="s">
        <v>228</v>
      </c>
      <c r="BF2430" s="8" t="s">
        <v>228</v>
      </c>
      <c r="BG2430" s="7" t="s">
        <v>228</v>
      </c>
      <c r="BH2430" s="7" t="s">
        <v>228</v>
      </c>
      <c r="BI2430" s="7"/>
      <c r="BJ2430" s="4">
        <v>67</v>
      </c>
      <c r="BK2430" s="8">
        <v>981.69</v>
      </c>
      <c r="BL2430" s="2" t="s">
        <v>11232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11233</v>
      </c>
      <c r="BV2430" s="2" t="s">
        <v>228</v>
      </c>
      <c r="BW2430" s="2" t="s">
        <v>228</v>
      </c>
      <c r="BX2430" s="2" t="s">
        <v>273</v>
      </c>
      <c r="BY2430" s="2" t="s">
        <v>274</v>
      </c>
      <c r="BZ2430" s="2" t="s">
        <v>240</v>
      </c>
      <c r="CA2430" s="2" t="s">
        <v>3939</v>
      </c>
      <c r="CB2430" s="2" t="s">
        <v>4547</v>
      </c>
      <c r="CC2430" s="2" t="s">
        <v>241</v>
      </c>
      <c r="CD2430" s="2" t="s">
        <v>228</v>
      </c>
      <c r="CE2430" s="4">
        <v>869</v>
      </c>
      <c r="CF2430" s="4"/>
      <c r="CG2430" s="4"/>
      <c r="CH2430" s="4"/>
      <c r="CI2430" s="4"/>
      <c r="CJ2430" s="4"/>
      <c r="CK2430" s="4"/>
      <c r="CL2430" s="4"/>
      <c r="CM2430" s="4"/>
      <c r="CN2430" s="4"/>
      <c r="CO2430" s="4"/>
      <c r="CP2430" s="4"/>
      <c r="CQ2430" s="4"/>
      <c r="CR2430" s="4"/>
      <c r="CS2430" s="4"/>
      <c r="CT2430" s="4"/>
      <c r="CU2430" s="4"/>
      <c r="CV2430" s="4"/>
      <c r="CW2430" s="4"/>
      <c r="CX2430" s="4"/>
      <c r="CY2430" s="4"/>
      <c r="CZ2430" s="4"/>
      <c r="DA2430" s="4"/>
      <c r="DB2430" s="4"/>
      <c r="DC2430" s="4"/>
      <c r="DD2430" s="4"/>
      <c r="DE2430" s="4"/>
      <c r="DF2430" s="4"/>
      <c r="DG2430" s="4"/>
      <c r="DH2430" s="4"/>
      <c r="DI2430" s="4"/>
      <c r="DJ2430" s="4"/>
      <c r="DK2430" s="4"/>
      <c r="DL2430" s="4"/>
      <c r="DM2430" s="4"/>
      <c r="DN2430" s="4"/>
      <c r="DO2430" s="4"/>
      <c r="DP2430" s="4"/>
      <c r="DQ2430" s="4"/>
      <c r="DR2430" s="4"/>
      <c r="DS2430" s="4"/>
      <c r="DT2430" s="4"/>
      <c r="DU2430" s="4"/>
      <c r="DV2430" s="4"/>
      <c r="DW2430" s="4"/>
      <c r="DX2430" s="4"/>
      <c r="DY2430" s="4"/>
      <c r="DZ2430" s="4"/>
      <c r="EA2430" s="4"/>
      <c r="EB2430" s="4"/>
      <c r="EC2430" s="4"/>
      <c r="ED2430" s="4"/>
      <c r="EE2430" s="4"/>
      <c r="EF2430" s="4"/>
      <c r="EG2430" s="4"/>
      <c r="EH2430" s="4"/>
      <c r="EI2430" s="4"/>
      <c r="EJ2430" s="4"/>
      <c r="EK2430" s="4"/>
      <c r="EL2430" s="4"/>
      <c r="EM2430" s="4"/>
      <c r="EN2430" s="4"/>
      <c r="EO2430" s="4"/>
      <c r="EP2430" s="4"/>
      <c r="EQ2430" s="4"/>
      <c r="ER2430" s="4"/>
      <c r="ES2430" s="4"/>
      <c r="ET2430" s="4"/>
      <c r="EU2430" s="4"/>
      <c r="EV2430" s="4"/>
      <c r="EW2430" s="4"/>
      <c r="EX2430" s="4"/>
      <c r="EY2430" s="4"/>
      <c r="EZ2430" s="4"/>
      <c r="FA2430" s="4"/>
      <c r="FB2430" s="4"/>
      <c r="FC2430" s="4"/>
      <c r="FD2430" s="4"/>
      <c r="FE2430" s="4"/>
      <c r="FF2430" s="4"/>
      <c r="FG2430" s="4"/>
      <c r="FH2430" s="4"/>
      <c r="FI2430" s="4"/>
      <c r="FJ2430" s="4"/>
      <c r="FK2430" s="4"/>
      <c r="FL2430" s="4"/>
      <c r="FM2430" s="4"/>
      <c r="FN2430" s="4"/>
      <c r="FO2430" s="4"/>
      <c r="FP2430" s="4"/>
      <c r="FQ2430" s="4"/>
      <c r="FR2430" s="4"/>
      <c r="FS2430" s="4"/>
      <c r="FT2430" s="4"/>
      <c r="FU2430" s="4"/>
      <c r="FV2430" s="4"/>
      <c r="FW2430" s="4"/>
      <c r="FX2430" s="4"/>
      <c r="FY2430" s="4"/>
      <c r="FZ2430" s="4"/>
      <c r="GA2430" s="4"/>
      <c r="GB2430" s="4">
        <v>100</v>
      </c>
      <c r="GC2430" s="4"/>
      <c r="GD2430" s="4"/>
      <c r="GE2430" s="4"/>
      <c r="GF2430" s="4"/>
      <c r="GG2430" s="4"/>
      <c r="GH2430" s="4"/>
      <c r="GI2430" s="4"/>
      <c r="GJ2430" s="4"/>
      <c r="GK2430" s="4"/>
      <c r="GL2430" s="4"/>
      <c r="GM2430" s="4"/>
      <c r="GN2430" s="4"/>
      <c r="GO2430" s="4"/>
      <c r="GP2430" s="4"/>
      <c r="GQ2430" s="4"/>
      <c r="GR2430" s="4"/>
      <c r="GS2430" s="4"/>
      <c r="GT2430" s="4"/>
      <c r="GU2430" s="4"/>
      <c r="GV2430" s="4"/>
      <c r="GW2430" s="4"/>
      <c r="GX2430" s="4"/>
      <c r="GY2430" s="4"/>
      <c r="GZ2430" s="4">
        <v>100</v>
      </c>
      <c r="HA2430" s="4"/>
      <c r="HB2430" s="4"/>
      <c r="HC2430" s="4"/>
      <c r="HD2430" s="4"/>
      <c r="HE2430" s="4"/>
    </row>
    <row r="2431">
      <c r="A2431" s="2" t="s">
        <v>11234</v>
      </c>
      <c r="B2431" s="2" t="s">
        <v>223</v>
      </c>
      <c r="C2431" s="2" t="s">
        <v>300</v>
      </c>
      <c r="D2431" s="2" t="s">
        <v>1112</v>
      </c>
      <c r="E2431" s="2" t="s">
        <v>1165</v>
      </c>
      <c r="F2431" s="2" t="s">
        <v>1845</v>
      </c>
      <c r="G2431" s="2" t="s">
        <v>11176</v>
      </c>
      <c r="H2431" s="2" t="s">
        <v>11176</v>
      </c>
      <c r="I2431" s="2" t="s">
        <v>11235</v>
      </c>
      <c r="J2431" s="2" t="s">
        <v>264</v>
      </c>
      <c r="K2431" s="2" t="s">
        <v>11236</v>
      </c>
      <c r="L2431" s="3">
        <v>38.35</v>
      </c>
      <c r="M2431" s="3">
        <v>40.27</v>
      </c>
      <c r="N2431" s="3">
        <v>84.99</v>
      </c>
      <c r="O2431" s="2" t="s">
        <v>240</v>
      </c>
      <c r="P2431" s="2" t="s">
        <v>333</v>
      </c>
      <c r="Q2431" s="2" t="s">
        <v>234</v>
      </c>
      <c r="R2431" s="2" t="s">
        <v>228</v>
      </c>
      <c r="S2431" s="2" t="s">
        <v>11237</v>
      </c>
      <c r="T2431" s="2" t="s">
        <v>1608</v>
      </c>
      <c r="U2431" s="2" t="s">
        <v>500</v>
      </c>
      <c r="V2431" s="2" t="s">
        <v>2042</v>
      </c>
      <c r="W2431" s="2" t="s">
        <v>309</v>
      </c>
      <c r="X2431" s="2" t="s">
        <v>417</v>
      </c>
      <c r="Y2431" s="2" t="s">
        <v>6324</v>
      </c>
      <c r="Z2431" s="4">
        <v>34</v>
      </c>
      <c r="AA2431" s="4">
        <f>=ROUNDDOWN(8.5,0)</f>
      </c>
      <c r="AB2431" s="5">
        <v>4</v>
      </c>
      <c r="AC2431" s="2" t="s">
        <v>228</v>
      </c>
      <c r="AD2431" s="4"/>
      <c r="AE2431" s="4"/>
      <c r="AF2431" s="6">
        <v>65</v>
      </c>
      <c r="AG2431" s="6"/>
      <c r="AH2431" s="7">
        <v>1</v>
      </c>
      <c r="AI2431" s="4"/>
      <c r="AJ2431" s="4">
        <f>=ROUNDDOWN({0},0)</f>
      </c>
      <c r="AK2431" s="5"/>
      <c r="AL2431" s="2" t="s">
        <v>228</v>
      </c>
      <c r="AM2431" s="4"/>
      <c r="AN2431" s="4"/>
      <c r="AO2431" s="7"/>
      <c r="AP2431" s="4"/>
      <c r="AQ2431" s="8"/>
      <c r="AR2431" s="4"/>
      <c r="AS2431" s="8"/>
      <c r="AT2431" s="7"/>
      <c r="AU2431" s="7"/>
      <c r="AV2431" s="4" t="s">
        <v>228</v>
      </c>
      <c r="AW2431" s="8" t="s">
        <v>228</v>
      </c>
      <c r="AX2431" s="4" t="s">
        <v>228</v>
      </c>
      <c r="AY2431" s="8" t="s">
        <v>228</v>
      </c>
      <c r="AZ2431" s="7" t="s">
        <v>228</v>
      </c>
      <c r="BA2431" s="7" t="s">
        <v>228</v>
      </c>
      <c r="BB2431" s="7"/>
      <c r="BC2431" s="4" t="s">
        <v>228</v>
      </c>
      <c r="BD2431" s="8" t="s">
        <v>228</v>
      </c>
      <c r="BE2431" s="4" t="s">
        <v>228</v>
      </c>
      <c r="BF2431" s="8" t="s">
        <v>228</v>
      </c>
      <c r="BG2431" s="7" t="s">
        <v>228</v>
      </c>
      <c r="BH2431" s="7" t="s">
        <v>228</v>
      </c>
      <c r="BI2431" s="7"/>
      <c r="BJ2431" s="4">
        <v>30</v>
      </c>
      <c r="BK2431" s="8">
        <v>897.09</v>
      </c>
      <c r="BL2431" s="2" t="s">
        <v>11238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11239</v>
      </c>
      <c r="BV2431" s="2" t="s">
        <v>228</v>
      </c>
      <c r="BW2431" s="2" t="s">
        <v>228</v>
      </c>
      <c r="BX2431" s="2" t="s">
        <v>337</v>
      </c>
      <c r="BY2431" s="2" t="s">
        <v>274</v>
      </c>
      <c r="BZ2431" s="2" t="s">
        <v>240</v>
      </c>
      <c r="CA2431" s="2" t="s">
        <v>7747</v>
      </c>
      <c r="CB2431" s="2" t="s">
        <v>9346</v>
      </c>
      <c r="CC2431" s="2" t="s">
        <v>241</v>
      </c>
      <c r="CD2431" s="2" t="s">
        <v>228</v>
      </c>
      <c r="CE2431" s="4">
        <v>34</v>
      </c>
      <c r="CF2431" s="4"/>
      <c r="CG2431" s="4"/>
      <c r="CH2431" s="4"/>
      <c r="CI2431" s="4"/>
      <c r="CJ2431" s="4"/>
      <c r="CK2431" s="4"/>
      <c r="CL2431" s="4"/>
      <c r="CM2431" s="4"/>
      <c r="CN2431" s="4"/>
      <c r="CO2431" s="4"/>
      <c r="CP2431" s="4"/>
      <c r="CQ2431" s="4"/>
      <c r="CR2431" s="4"/>
      <c r="CS2431" s="4"/>
      <c r="CT2431" s="4"/>
      <c r="CU2431" s="4"/>
      <c r="CV2431" s="4"/>
      <c r="CW2431" s="4"/>
      <c r="CX2431" s="4"/>
      <c r="CY2431" s="4"/>
      <c r="CZ2431" s="4"/>
      <c r="DA2431" s="4"/>
      <c r="DB2431" s="4"/>
      <c r="DC2431" s="4"/>
      <c r="DD2431" s="4"/>
      <c r="DE2431" s="4"/>
      <c r="DF2431" s="4"/>
      <c r="DG2431" s="4"/>
      <c r="DH2431" s="4"/>
      <c r="DI2431" s="4"/>
      <c r="DJ2431" s="4"/>
      <c r="DK2431" s="4"/>
      <c r="DL2431" s="4"/>
      <c r="DM2431" s="4"/>
      <c r="DN2431" s="4"/>
      <c r="DO2431" s="4"/>
      <c r="DP2431" s="4"/>
      <c r="DQ2431" s="4"/>
      <c r="DR2431" s="4"/>
      <c r="DS2431" s="4"/>
      <c r="DT2431" s="4"/>
      <c r="DU2431" s="4"/>
      <c r="DV2431" s="4"/>
      <c r="DW2431" s="4"/>
      <c r="DX2431" s="4"/>
      <c r="DY2431" s="4"/>
      <c r="DZ2431" s="4"/>
      <c r="EA2431" s="4"/>
      <c r="EB2431" s="4"/>
      <c r="EC2431" s="4"/>
      <c r="ED2431" s="4"/>
      <c r="EE2431" s="4"/>
      <c r="EF2431" s="4"/>
      <c r="EG2431" s="4"/>
      <c r="EH2431" s="4"/>
      <c r="EI2431" s="4"/>
      <c r="EJ2431" s="4"/>
      <c r="EK2431" s="4"/>
      <c r="EL2431" s="4"/>
      <c r="EM2431" s="4"/>
      <c r="EN2431" s="4"/>
      <c r="EO2431" s="4"/>
      <c r="EP2431" s="4"/>
      <c r="EQ2431" s="4"/>
      <c r="ER2431" s="4"/>
      <c r="ES2431" s="4"/>
      <c r="ET2431" s="4"/>
      <c r="EU2431" s="4"/>
      <c r="EV2431" s="4"/>
      <c r="EW2431" s="4"/>
      <c r="EX2431" s="4"/>
      <c r="EY2431" s="4"/>
      <c r="EZ2431" s="4"/>
      <c r="FA2431" s="4"/>
      <c r="FB2431" s="4"/>
      <c r="FC2431" s="4"/>
      <c r="FD2431" s="4"/>
      <c r="FE2431" s="4"/>
      <c r="FF2431" s="4"/>
      <c r="FG2431" s="4"/>
      <c r="FH2431" s="4"/>
      <c r="FI2431" s="4"/>
      <c r="FJ2431" s="4"/>
      <c r="FK2431" s="4"/>
      <c r="FL2431" s="4"/>
      <c r="FM2431" s="4"/>
      <c r="FN2431" s="4"/>
      <c r="FO2431" s="4"/>
      <c r="FP2431" s="4"/>
      <c r="FQ2431" s="4"/>
      <c r="FR2431" s="4"/>
      <c r="FS2431" s="4"/>
      <c r="FT2431" s="4"/>
      <c r="FU2431" s="4"/>
      <c r="FV2431" s="4"/>
      <c r="FW2431" s="4"/>
      <c r="FX2431" s="4"/>
      <c r="FY2431" s="4"/>
      <c r="FZ2431" s="4"/>
      <c r="GA2431" s="4"/>
      <c r="GB2431" s="4"/>
      <c r="GC2431" s="4"/>
      <c r="GD2431" s="4"/>
      <c r="GE2431" s="4"/>
      <c r="GF2431" s="4"/>
      <c r="GG2431" s="4"/>
      <c r="GH2431" s="4"/>
      <c r="GI2431" s="4"/>
      <c r="GJ2431" s="4"/>
      <c r="GK2431" s="4"/>
      <c r="GL2431" s="4"/>
      <c r="GM2431" s="4"/>
      <c r="GN2431" s="4"/>
      <c r="GO2431" s="4"/>
      <c r="GP2431" s="4"/>
      <c r="GQ2431" s="4"/>
      <c r="GR2431" s="4"/>
      <c r="GS2431" s="4"/>
      <c r="GT2431" s="4"/>
      <c r="GU2431" s="4"/>
      <c r="GV2431" s="4"/>
      <c r="GW2431" s="4"/>
      <c r="GX2431" s="4"/>
      <c r="GY2431" s="4"/>
      <c r="GZ2431" s="4"/>
      <c r="HA2431" s="4"/>
      <c r="HB2431" s="4"/>
      <c r="HC2431" s="4"/>
      <c r="HD2431" s="4"/>
      <c r="HE2431" s="4"/>
    </row>
    <row r="2432">
      <c r="A2432" s="2" t="s">
        <v>11240</v>
      </c>
      <c r="B2432" s="2" t="s">
        <v>223</v>
      </c>
      <c r="C2432" s="2" t="s">
        <v>300</v>
      </c>
      <c r="D2432" s="2" t="s">
        <v>1862</v>
      </c>
      <c r="E2432" s="2" t="s">
        <v>2767</v>
      </c>
      <c r="F2432" s="2" t="s">
        <v>1845</v>
      </c>
      <c r="G2432" s="2" t="s">
        <v>11176</v>
      </c>
      <c r="H2432" s="2" t="s">
        <v>11176</v>
      </c>
      <c r="I2432" s="2" t="s">
        <v>4777</v>
      </c>
      <c r="J2432" s="2" t="s">
        <v>1991</v>
      </c>
      <c r="K2432" s="2" t="s">
        <v>11236</v>
      </c>
      <c r="L2432" s="3">
        <v>14.83</v>
      </c>
      <c r="M2432" s="3">
        <v>15.57</v>
      </c>
      <c r="N2432" s="3">
        <v>31.99</v>
      </c>
      <c r="O2432" s="2" t="s">
        <v>240</v>
      </c>
      <c r="P2432" s="2" t="s">
        <v>266</v>
      </c>
      <c r="Q2432" s="2" t="s">
        <v>234</v>
      </c>
      <c r="R2432" s="2" t="s">
        <v>228</v>
      </c>
      <c r="S2432" s="2" t="s">
        <v>11241</v>
      </c>
      <c r="T2432" s="2" t="s">
        <v>1608</v>
      </c>
      <c r="U2432" s="2" t="s">
        <v>416</v>
      </c>
      <c r="V2432" s="2" t="s">
        <v>2042</v>
      </c>
      <c r="W2432" s="2" t="s">
        <v>309</v>
      </c>
      <c r="X2432" s="2" t="s">
        <v>228</v>
      </c>
      <c r="Y2432" s="2" t="s">
        <v>6296</v>
      </c>
      <c r="Z2432" s="4">
        <v>402</v>
      </c>
      <c r="AA2432" s="4">
        <f>=ROUNDDOWN(23.6470588235294,0)</f>
      </c>
      <c r="AB2432" s="5">
        <v>17</v>
      </c>
      <c r="AC2432" s="2" t="s">
        <v>1158</v>
      </c>
      <c r="AD2432" s="4">
        <v>150</v>
      </c>
      <c r="AE2432" s="4">
        <v>650</v>
      </c>
      <c r="AF2432" s="6">
        <v>64</v>
      </c>
      <c r="AG2432" s="6"/>
      <c r="AH2432" s="7">
        <v>1</v>
      </c>
      <c r="AI2432" s="4"/>
      <c r="AJ2432" s="4">
        <f>=ROUNDDOWN({0},0)</f>
      </c>
      <c r="AK2432" s="5"/>
      <c r="AL2432" s="2" t="s">
        <v>228</v>
      </c>
      <c r="AM2432" s="4"/>
      <c r="AN2432" s="4"/>
      <c r="AO2432" s="7"/>
      <c r="AP2432" s="4"/>
      <c r="AQ2432" s="8"/>
      <c r="AR2432" s="4"/>
      <c r="AS2432" s="8"/>
      <c r="AT2432" s="7"/>
      <c r="AU2432" s="7"/>
      <c r="AV2432" s="4" t="s">
        <v>228</v>
      </c>
      <c r="AW2432" s="8" t="s">
        <v>228</v>
      </c>
      <c r="AX2432" s="4" t="s">
        <v>228</v>
      </c>
      <c r="AY2432" s="8" t="s">
        <v>228</v>
      </c>
      <c r="AZ2432" s="7" t="s">
        <v>228</v>
      </c>
      <c r="BA2432" s="7" t="s">
        <v>228</v>
      </c>
      <c r="BB2432" s="7"/>
      <c r="BC2432" s="4" t="s">
        <v>228</v>
      </c>
      <c r="BD2432" s="8" t="s">
        <v>228</v>
      </c>
      <c r="BE2432" s="4" t="s">
        <v>228</v>
      </c>
      <c r="BF2432" s="8" t="s">
        <v>228</v>
      </c>
      <c r="BG2432" s="7" t="s">
        <v>228</v>
      </c>
      <c r="BH2432" s="7" t="s">
        <v>228</v>
      </c>
      <c r="BI2432" s="7"/>
      <c r="BJ2432" s="4">
        <v>54</v>
      </c>
      <c r="BK2432" s="8">
        <v>809.17</v>
      </c>
      <c r="BL2432" s="2" t="s">
        <v>11242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11243</v>
      </c>
      <c r="BV2432" s="2" t="s">
        <v>228</v>
      </c>
      <c r="BW2432" s="2" t="s">
        <v>228</v>
      </c>
      <c r="BX2432" s="2" t="s">
        <v>273</v>
      </c>
      <c r="BY2432" s="2" t="s">
        <v>274</v>
      </c>
      <c r="BZ2432" s="2" t="s">
        <v>240</v>
      </c>
      <c r="CA2432" s="2" t="s">
        <v>11244</v>
      </c>
      <c r="CB2432" s="2" t="s">
        <v>11245</v>
      </c>
      <c r="CC2432" s="2" t="s">
        <v>241</v>
      </c>
      <c r="CD2432" s="2" t="s">
        <v>228</v>
      </c>
      <c r="CE2432" s="4">
        <v>402</v>
      </c>
      <c r="CF2432" s="4"/>
      <c r="CG2432" s="4"/>
      <c r="CH2432" s="4"/>
      <c r="CI2432" s="4"/>
      <c r="CJ2432" s="4"/>
      <c r="CK2432" s="4"/>
      <c r="CL2432" s="4"/>
      <c r="CM2432" s="4"/>
      <c r="CN2432" s="4"/>
      <c r="CO2432" s="4"/>
      <c r="CP2432" s="4"/>
      <c r="CQ2432" s="4"/>
      <c r="CR2432" s="4"/>
      <c r="CS2432" s="4"/>
      <c r="CT2432" s="4"/>
      <c r="CU2432" s="4"/>
      <c r="CV2432" s="4"/>
      <c r="CW2432" s="4"/>
      <c r="CX2432" s="4"/>
      <c r="CY2432" s="4"/>
      <c r="CZ2432" s="4"/>
      <c r="DA2432" s="4"/>
      <c r="DB2432" s="4"/>
      <c r="DC2432" s="4"/>
      <c r="DD2432" s="4"/>
      <c r="DE2432" s="4"/>
      <c r="DF2432" s="4"/>
      <c r="DG2432" s="4"/>
      <c r="DH2432" s="4"/>
      <c r="DI2432" s="4"/>
      <c r="DJ2432" s="4"/>
      <c r="DK2432" s="4"/>
      <c r="DL2432" s="4"/>
      <c r="DM2432" s="4"/>
      <c r="DN2432" s="4"/>
      <c r="DO2432" s="4">
        <v>150</v>
      </c>
      <c r="DP2432" s="4"/>
      <c r="DQ2432" s="4"/>
      <c r="DR2432" s="4"/>
      <c r="DS2432" s="4"/>
      <c r="DT2432" s="4"/>
      <c r="DU2432" s="4"/>
      <c r="DV2432" s="4"/>
      <c r="DW2432" s="4"/>
      <c r="DX2432" s="4"/>
      <c r="DY2432" s="4"/>
      <c r="DZ2432" s="4"/>
      <c r="EA2432" s="4"/>
      <c r="EB2432" s="4"/>
      <c r="EC2432" s="4"/>
      <c r="ED2432" s="4"/>
      <c r="EE2432" s="4"/>
      <c r="EF2432" s="4"/>
      <c r="EG2432" s="4"/>
      <c r="EH2432" s="4"/>
      <c r="EI2432" s="4"/>
      <c r="EJ2432" s="4"/>
      <c r="EK2432" s="4"/>
      <c r="EL2432" s="4"/>
      <c r="EM2432" s="4"/>
      <c r="EN2432" s="4"/>
      <c r="EO2432" s="4"/>
      <c r="EP2432" s="4"/>
      <c r="EQ2432" s="4"/>
      <c r="ER2432" s="4"/>
      <c r="ES2432" s="4"/>
      <c r="ET2432" s="4"/>
      <c r="EU2432" s="4"/>
      <c r="EV2432" s="4">
        <v>100</v>
      </c>
      <c r="EW2432" s="4"/>
      <c r="EX2432" s="4"/>
      <c r="EY2432" s="4"/>
      <c r="EZ2432" s="4"/>
      <c r="FA2432" s="4"/>
      <c r="FB2432" s="4"/>
      <c r="FC2432" s="4"/>
      <c r="FD2432" s="4"/>
      <c r="FE2432" s="4"/>
      <c r="FF2432" s="4"/>
      <c r="FG2432" s="4"/>
      <c r="FH2432" s="4"/>
      <c r="FI2432" s="4">
        <v>400</v>
      </c>
      <c r="FJ2432" s="4"/>
      <c r="FK2432" s="4"/>
      <c r="FL2432" s="4"/>
      <c r="FM2432" s="4"/>
      <c r="FN2432" s="4"/>
      <c r="FO2432" s="4"/>
      <c r="FP2432" s="4"/>
      <c r="FQ2432" s="4"/>
      <c r="FR2432" s="4"/>
      <c r="FS2432" s="4"/>
      <c r="FT2432" s="4"/>
      <c r="FU2432" s="4"/>
      <c r="FV2432" s="4"/>
      <c r="FW2432" s="4"/>
      <c r="FX2432" s="4"/>
      <c r="FY2432" s="4"/>
      <c r="FZ2432" s="4"/>
      <c r="GA2432" s="4"/>
      <c r="GB2432" s="4"/>
      <c r="GC2432" s="4"/>
      <c r="GD2432" s="4"/>
      <c r="GE2432" s="4"/>
      <c r="GF2432" s="4"/>
      <c r="GG2432" s="4"/>
      <c r="GH2432" s="4"/>
      <c r="GI2432" s="4"/>
      <c r="GJ2432" s="4"/>
      <c r="GK2432" s="4"/>
      <c r="GL2432" s="4"/>
      <c r="GM2432" s="4"/>
      <c r="GN2432" s="4"/>
      <c r="GO2432" s="4"/>
      <c r="GP2432" s="4"/>
      <c r="GQ2432" s="4"/>
      <c r="GR2432" s="4"/>
      <c r="GS2432" s="4"/>
      <c r="GT2432" s="4"/>
      <c r="GU2432" s="4"/>
      <c r="GV2432" s="4"/>
      <c r="GW2432" s="4"/>
      <c r="GX2432" s="4"/>
      <c r="GY2432" s="4"/>
      <c r="GZ2432" s="4"/>
      <c r="HA2432" s="4"/>
      <c r="HB2432" s="4"/>
      <c r="HC2432" s="4"/>
      <c r="HD2432" s="4"/>
      <c r="HE2432" s="4"/>
    </row>
    <row r="2433">
      <c r="A2433" s="2" t="s">
        <v>11246</v>
      </c>
      <c r="B2433" s="2" t="s">
        <v>223</v>
      </c>
      <c r="C2433" s="2" t="s">
        <v>300</v>
      </c>
      <c r="D2433" s="2" t="s">
        <v>1601</v>
      </c>
      <c r="E2433" s="2" t="s">
        <v>2421</v>
      </c>
      <c r="F2433" s="2" t="s">
        <v>1845</v>
      </c>
      <c r="G2433" s="2" t="s">
        <v>11176</v>
      </c>
      <c r="H2433" s="2" t="s">
        <v>11176</v>
      </c>
      <c r="I2433" s="2" t="s">
        <v>11196</v>
      </c>
      <c r="J2433" s="2" t="s">
        <v>4972</v>
      </c>
      <c r="K2433" s="2" t="s">
        <v>11236</v>
      </c>
      <c r="L2433" s="3">
        <v>15.91</v>
      </c>
      <c r="M2433" s="3">
        <v>16.71</v>
      </c>
      <c r="N2433" s="3">
        <v>36.99</v>
      </c>
      <c r="O2433" s="2" t="s">
        <v>240</v>
      </c>
      <c r="P2433" s="2" t="s">
        <v>3731</v>
      </c>
      <c r="Q2433" s="2" t="s">
        <v>234</v>
      </c>
      <c r="R2433" s="2" t="s">
        <v>228</v>
      </c>
      <c r="S2433" s="2" t="s">
        <v>11241</v>
      </c>
      <c r="T2433" s="2" t="s">
        <v>1608</v>
      </c>
      <c r="U2433" s="2" t="s">
        <v>416</v>
      </c>
      <c r="V2433" s="2" t="s">
        <v>2042</v>
      </c>
      <c r="W2433" s="2" t="s">
        <v>309</v>
      </c>
      <c r="X2433" s="2" t="s">
        <v>228</v>
      </c>
      <c r="Y2433" s="2" t="s">
        <v>11247</v>
      </c>
      <c r="Z2433" s="4">
        <v>1543</v>
      </c>
      <c r="AA2433" s="4">
        <f>=ROUNDDOWN(19.2875,0)</f>
      </c>
      <c r="AB2433" s="5">
        <v>80</v>
      </c>
      <c r="AC2433" s="2" t="s">
        <v>1416</v>
      </c>
      <c r="AD2433" s="4">
        <v>1500</v>
      </c>
      <c r="AE2433" s="4">
        <v>7300</v>
      </c>
      <c r="AF2433" s="6">
        <v>64</v>
      </c>
      <c r="AG2433" s="6"/>
      <c r="AH2433" s="7">
        <v>1</v>
      </c>
      <c r="AI2433" s="4"/>
      <c r="AJ2433" s="4">
        <f>=ROUNDDOWN({0},0)</f>
      </c>
      <c r="AK2433" s="5"/>
      <c r="AL2433" s="2" t="s">
        <v>228</v>
      </c>
      <c r="AM2433" s="4"/>
      <c r="AN2433" s="4"/>
      <c r="AO2433" s="7"/>
      <c r="AP2433" s="4"/>
      <c r="AQ2433" s="8"/>
      <c r="AR2433" s="4"/>
      <c r="AS2433" s="8"/>
      <c r="AT2433" s="7"/>
      <c r="AU2433" s="7"/>
      <c r="AV2433" s="4" t="s">
        <v>228</v>
      </c>
      <c r="AW2433" s="8" t="s">
        <v>228</v>
      </c>
      <c r="AX2433" s="4" t="s">
        <v>228</v>
      </c>
      <c r="AY2433" s="8" t="s">
        <v>228</v>
      </c>
      <c r="AZ2433" s="7" t="s">
        <v>228</v>
      </c>
      <c r="BA2433" s="7" t="s">
        <v>228</v>
      </c>
      <c r="BB2433" s="7"/>
      <c r="BC2433" s="4" t="s">
        <v>228</v>
      </c>
      <c r="BD2433" s="8" t="s">
        <v>228</v>
      </c>
      <c r="BE2433" s="4" t="s">
        <v>228</v>
      </c>
      <c r="BF2433" s="8" t="s">
        <v>228</v>
      </c>
      <c r="BG2433" s="7" t="s">
        <v>228</v>
      </c>
      <c r="BH2433" s="7" t="s">
        <v>228</v>
      </c>
      <c r="BI2433" s="7"/>
      <c r="BJ2433" s="4">
        <v>315</v>
      </c>
      <c r="BK2433" s="8">
        <v>5495.23</v>
      </c>
      <c r="BL2433" s="2" t="s">
        <v>11248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11249</v>
      </c>
      <c r="BV2433" s="2" t="s">
        <v>228</v>
      </c>
      <c r="BW2433" s="2" t="s">
        <v>228</v>
      </c>
      <c r="BX2433" s="2" t="s">
        <v>273</v>
      </c>
      <c r="BY2433" s="2" t="s">
        <v>274</v>
      </c>
      <c r="BZ2433" s="2" t="s">
        <v>240</v>
      </c>
      <c r="CA2433" s="2" t="s">
        <v>11250</v>
      </c>
      <c r="CB2433" s="2" t="s">
        <v>11251</v>
      </c>
      <c r="CC2433" s="2" t="s">
        <v>241</v>
      </c>
      <c r="CD2433" s="2" t="s">
        <v>228</v>
      </c>
      <c r="CE2433" s="4">
        <v>1543</v>
      </c>
      <c r="CF2433" s="4"/>
      <c r="CG2433" s="4"/>
      <c r="CH2433" s="4"/>
      <c r="CI2433" s="4"/>
      <c r="CJ2433" s="4"/>
      <c r="CK2433" s="4"/>
      <c r="CL2433" s="4"/>
      <c r="CM2433" s="4"/>
      <c r="CN2433" s="4"/>
      <c r="CO2433" s="4"/>
      <c r="CP2433" s="4"/>
      <c r="CQ2433" s="4"/>
      <c r="CR2433" s="4"/>
      <c r="CS2433" s="4"/>
      <c r="CT2433" s="4"/>
      <c r="CU2433" s="4"/>
      <c r="CV2433" s="4"/>
      <c r="CW2433" s="4"/>
      <c r="CX2433" s="4"/>
      <c r="CY2433" s="4"/>
      <c r="CZ2433" s="4"/>
      <c r="DA2433" s="4"/>
      <c r="DB2433" s="4"/>
      <c r="DC2433" s="4"/>
      <c r="DD2433" s="4"/>
      <c r="DE2433" s="4"/>
      <c r="DF2433" s="4"/>
      <c r="DG2433" s="4"/>
      <c r="DH2433" s="4"/>
      <c r="DI2433" s="4"/>
      <c r="DJ2433" s="4"/>
      <c r="DK2433" s="4"/>
      <c r="DL2433" s="4"/>
      <c r="DM2433" s="4"/>
      <c r="DN2433" s="4"/>
      <c r="DO2433" s="4"/>
      <c r="DP2433" s="4"/>
      <c r="DQ2433" s="4"/>
      <c r="DR2433" s="4"/>
      <c r="DS2433" s="4"/>
      <c r="DT2433" s="4"/>
      <c r="DU2433" s="4"/>
      <c r="DV2433" s="4"/>
      <c r="DW2433" s="4"/>
      <c r="DX2433" s="4"/>
      <c r="DY2433" s="4"/>
      <c r="DZ2433" s="4"/>
      <c r="EA2433" s="4"/>
      <c r="EB2433" s="4"/>
      <c r="EC2433" s="4"/>
      <c r="ED2433" s="4">
        <v>1500</v>
      </c>
      <c r="EE2433" s="4"/>
      <c r="EF2433" s="4"/>
      <c r="EG2433" s="4"/>
      <c r="EH2433" s="4"/>
      <c r="EI2433" s="4"/>
      <c r="EJ2433" s="4"/>
      <c r="EK2433" s="4"/>
      <c r="EL2433" s="4"/>
      <c r="EM2433" s="4"/>
      <c r="EN2433" s="4"/>
      <c r="EO2433" s="4"/>
      <c r="EP2433" s="4"/>
      <c r="EQ2433" s="4"/>
      <c r="ER2433" s="4"/>
      <c r="ES2433" s="4"/>
      <c r="ET2433" s="4"/>
      <c r="EU2433" s="4"/>
      <c r="EV2433" s="4">
        <v>2000</v>
      </c>
      <c r="EW2433" s="4"/>
      <c r="EX2433" s="4"/>
      <c r="EY2433" s="4"/>
      <c r="EZ2433" s="4"/>
      <c r="FA2433" s="4"/>
      <c r="FB2433" s="4"/>
      <c r="FC2433" s="4"/>
      <c r="FD2433" s="4"/>
      <c r="FE2433" s="4"/>
      <c r="FF2433" s="4"/>
      <c r="FG2433" s="4"/>
      <c r="FH2433" s="4"/>
      <c r="FI2433" s="4">
        <v>3000</v>
      </c>
      <c r="FJ2433" s="4"/>
      <c r="FK2433" s="4"/>
      <c r="FL2433" s="4"/>
      <c r="FM2433" s="4"/>
      <c r="FN2433" s="4"/>
      <c r="FO2433" s="4"/>
      <c r="FP2433" s="4"/>
      <c r="FQ2433" s="4"/>
      <c r="FR2433" s="4"/>
      <c r="FS2433" s="4"/>
      <c r="FT2433" s="4"/>
      <c r="FU2433" s="4"/>
      <c r="FV2433" s="4"/>
      <c r="FW2433" s="4"/>
      <c r="FX2433" s="4"/>
      <c r="FY2433" s="4"/>
      <c r="FZ2433" s="4"/>
      <c r="GA2433" s="4"/>
      <c r="GB2433" s="4">
        <v>400</v>
      </c>
      <c r="GC2433" s="4"/>
      <c r="GD2433" s="4"/>
      <c r="GE2433" s="4"/>
      <c r="GF2433" s="4"/>
      <c r="GG2433" s="4"/>
      <c r="GH2433" s="4"/>
      <c r="GI2433" s="4"/>
      <c r="GJ2433" s="4"/>
      <c r="GK2433" s="4"/>
      <c r="GL2433" s="4"/>
      <c r="GM2433" s="4"/>
      <c r="GN2433" s="4"/>
      <c r="GO2433" s="4"/>
      <c r="GP2433" s="4"/>
      <c r="GQ2433" s="4"/>
      <c r="GR2433" s="4"/>
      <c r="GS2433" s="4"/>
      <c r="GT2433" s="4"/>
      <c r="GU2433" s="4"/>
      <c r="GV2433" s="4"/>
      <c r="GW2433" s="4"/>
      <c r="GX2433" s="4"/>
      <c r="GY2433" s="4"/>
      <c r="GZ2433" s="4"/>
      <c r="HA2433" s="4"/>
      <c r="HB2433" s="4"/>
      <c r="HC2433" s="4"/>
      <c r="HD2433" s="4">
        <v>400</v>
      </c>
      <c r="HE2433" s="4"/>
    </row>
    <row r="2434">
      <c r="A2434" s="2" t="s">
        <v>11252</v>
      </c>
      <c r="B2434" s="2" t="s">
        <v>223</v>
      </c>
      <c r="C2434" s="2" t="s">
        <v>731</v>
      </c>
      <c r="D2434" s="2" t="s">
        <v>1407</v>
      </c>
      <c r="E2434" s="2" t="s">
        <v>6279</v>
      </c>
      <c r="F2434" s="2" t="s">
        <v>1845</v>
      </c>
      <c r="G2434" s="2" t="s">
        <v>11176</v>
      </c>
      <c r="H2434" s="2" t="s">
        <v>11176</v>
      </c>
      <c r="I2434" s="2" t="s">
        <v>11181</v>
      </c>
      <c r="J2434" s="2" t="s">
        <v>6109</v>
      </c>
      <c r="K2434" s="2" t="s">
        <v>1478</v>
      </c>
      <c r="L2434" s="3">
        <v>42.9</v>
      </c>
      <c r="M2434" s="3">
        <v>45.05</v>
      </c>
      <c r="N2434" s="3">
        <v>84.99</v>
      </c>
      <c r="O2434" s="2" t="s">
        <v>461</v>
      </c>
      <c r="P2434" s="2" t="s">
        <v>333</v>
      </c>
      <c r="Q2434" s="2" t="s">
        <v>234</v>
      </c>
      <c r="R2434" s="2" t="s">
        <v>228</v>
      </c>
      <c r="S2434" s="2" t="s">
        <v>228</v>
      </c>
      <c r="T2434" s="2" t="s">
        <v>1608</v>
      </c>
      <c r="U2434" s="2" t="s">
        <v>416</v>
      </c>
      <c r="V2434" s="2" t="s">
        <v>2042</v>
      </c>
      <c r="W2434" s="2" t="s">
        <v>309</v>
      </c>
      <c r="X2434" s="2" t="s">
        <v>463</v>
      </c>
      <c r="Y2434" s="2" t="s">
        <v>11182</v>
      </c>
      <c r="Z2434" s="4">
        <v>42</v>
      </c>
      <c r="AA2434" s="4">
        <f>=ROUNDDOWN(8.4,0)</f>
      </c>
      <c r="AB2434" s="5">
        <v>5</v>
      </c>
      <c r="AC2434" s="2" t="s">
        <v>228</v>
      </c>
      <c r="AD2434" s="4"/>
      <c r="AE2434" s="4"/>
      <c r="AF2434" s="6">
        <v>65</v>
      </c>
      <c r="AG2434" s="6"/>
      <c r="AH2434" s="7">
        <v>1</v>
      </c>
      <c r="AI2434" s="4"/>
      <c r="AJ2434" s="4">
        <f>=ROUNDDOWN({0},0)</f>
      </c>
      <c r="AK2434" s="5"/>
      <c r="AL2434" s="2" t="s">
        <v>228</v>
      </c>
      <c r="AM2434" s="4"/>
      <c r="AN2434" s="4"/>
      <c r="AO2434" s="7"/>
      <c r="AP2434" s="4"/>
      <c r="AQ2434" s="8"/>
      <c r="AR2434" s="4"/>
      <c r="AS2434" s="8"/>
      <c r="AT2434" s="7"/>
      <c r="AU2434" s="7"/>
      <c r="AV2434" s="4" t="s">
        <v>228</v>
      </c>
      <c r="AW2434" s="8" t="s">
        <v>228</v>
      </c>
      <c r="AX2434" s="4" t="s">
        <v>228</v>
      </c>
      <c r="AY2434" s="8" t="s">
        <v>228</v>
      </c>
      <c r="AZ2434" s="7" t="s">
        <v>228</v>
      </c>
      <c r="BA2434" s="7" t="s">
        <v>228</v>
      </c>
      <c r="BB2434" s="7"/>
      <c r="BC2434" s="4" t="s">
        <v>228</v>
      </c>
      <c r="BD2434" s="8" t="s">
        <v>228</v>
      </c>
      <c r="BE2434" s="4" t="s">
        <v>228</v>
      </c>
      <c r="BF2434" s="8" t="s">
        <v>228</v>
      </c>
      <c r="BG2434" s="7" t="s">
        <v>228</v>
      </c>
      <c r="BH2434" s="7" t="s">
        <v>228</v>
      </c>
      <c r="BI2434" s="7"/>
      <c r="BJ2434" s="4">
        <v>6</v>
      </c>
      <c r="BK2434" s="8">
        <v>226.96</v>
      </c>
      <c r="BL2434" s="2" t="s">
        <v>6398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11253</v>
      </c>
      <c r="BV2434" s="2" t="s">
        <v>228</v>
      </c>
      <c r="BW2434" s="2" t="s">
        <v>228</v>
      </c>
      <c r="BX2434" s="2" t="s">
        <v>337</v>
      </c>
      <c r="BY2434" s="2" t="s">
        <v>274</v>
      </c>
      <c r="BZ2434" s="2" t="s">
        <v>240</v>
      </c>
      <c r="CA2434" s="2" t="s">
        <v>1685</v>
      </c>
      <c r="CB2434" s="2" t="s">
        <v>7972</v>
      </c>
      <c r="CC2434" s="2" t="s">
        <v>241</v>
      </c>
      <c r="CD2434" s="2" t="s">
        <v>228</v>
      </c>
      <c r="CE2434" s="4">
        <v>42</v>
      </c>
      <c r="CF2434" s="4"/>
      <c r="CG2434" s="4"/>
      <c r="CH2434" s="4"/>
      <c r="CI2434" s="4"/>
      <c r="CJ2434" s="4"/>
      <c r="CK2434" s="4"/>
      <c r="CL2434" s="4"/>
      <c r="CM2434" s="4"/>
      <c r="CN2434" s="4"/>
      <c r="CO2434" s="4"/>
      <c r="CP2434" s="4"/>
      <c r="CQ2434" s="4"/>
      <c r="CR2434" s="4"/>
      <c r="CS2434" s="4"/>
      <c r="CT2434" s="4"/>
      <c r="CU2434" s="4"/>
      <c r="CV2434" s="4"/>
      <c r="CW2434" s="4"/>
      <c r="CX2434" s="4"/>
      <c r="CY2434" s="4"/>
      <c r="CZ2434" s="4"/>
      <c r="DA2434" s="4"/>
      <c r="DB2434" s="4"/>
      <c r="DC2434" s="4"/>
      <c r="DD2434" s="4"/>
      <c r="DE2434" s="4"/>
      <c r="DF2434" s="4"/>
      <c r="DG2434" s="4"/>
      <c r="DH2434" s="4"/>
      <c r="DI2434" s="4"/>
      <c r="DJ2434" s="4"/>
      <c r="DK2434" s="4"/>
      <c r="DL2434" s="4"/>
      <c r="DM2434" s="4"/>
      <c r="DN2434" s="4"/>
      <c r="DO2434" s="4"/>
      <c r="DP2434" s="4"/>
      <c r="DQ2434" s="4"/>
      <c r="DR2434" s="4"/>
      <c r="DS2434" s="4"/>
      <c r="DT2434" s="4"/>
      <c r="DU2434" s="4"/>
      <c r="DV2434" s="4"/>
      <c r="DW2434" s="4"/>
      <c r="DX2434" s="4"/>
      <c r="DY2434" s="4"/>
      <c r="DZ2434" s="4"/>
      <c r="EA2434" s="4"/>
      <c r="EB2434" s="4"/>
      <c r="EC2434" s="4"/>
      <c r="ED2434" s="4"/>
      <c r="EE2434" s="4"/>
      <c r="EF2434" s="4"/>
      <c r="EG2434" s="4"/>
      <c r="EH2434" s="4"/>
      <c r="EI2434" s="4"/>
      <c r="EJ2434" s="4"/>
      <c r="EK2434" s="4"/>
      <c r="EL2434" s="4"/>
      <c r="EM2434" s="4"/>
      <c r="EN2434" s="4"/>
      <c r="EO2434" s="4"/>
      <c r="EP2434" s="4"/>
      <c r="EQ2434" s="4"/>
      <c r="ER2434" s="4"/>
      <c r="ES2434" s="4"/>
      <c r="ET2434" s="4"/>
      <c r="EU2434" s="4"/>
      <c r="EV2434" s="4"/>
      <c r="EW2434" s="4"/>
      <c r="EX2434" s="4"/>
      <c r="EY2434" s="4"/>
      <c r="EZ2434" s="4"/>
      <c r="FA2434" s="4"/>
      <c r="FB2434" s="4"/>
      <c r="FC2434" s="4"/>
      <c r="FD2434" s="4"/>
      <c r="FE2434" s="4"/>
      <c r="FF2434" s="4"/>
      <c r="FG2434" s="4"/>
      <c r="FH2434" s="4"/>
      <c r="FI2434" s="4"/>
      <c r="FJ2434" s="4"/>
      <c r="FK2434" s="4"/>
      <c r="FL2434" s="4"/>
      <c r="FM2434" s="4"/>
      <c r="FN2434" s="4"/>
      <c r="FO2434" s="4"/>
      <c r="FP2434" s="4"/>
      <c r="FQ2434" s="4"/>
      <c r="FR2434" s="4"/>
      <c r="FS2434" s="4"/>
      <c r="FT2434" s="4"/>
      <c r="FU2434" s="4"/>
      <c r="FV2434" s="4"/>
      <c r="FW2434" s="4"/>
      <c r="FX2434" s="4"/>
      <c r="FY2434" s="4"/>
      <c r="FZ2434" s="4"/>
      <c r="GA2434" s="4"/>
      <c r="GB2434" s="4"/>
      <c r="GC2434" s="4"/>
      <c r="GD2434" s="4"/>
      <c r="GE2434" s="4"/>
      <c r="GF2434" s="4"/>
      <c r="GG2434" s="4"/>
      <c r="GH2434" s="4"/>
      <c r="GI2434" s="4"/>
      <c r="GJ2434" s="4"/>
      <c r="GK2434" s="4"/>
      <c r="GL2434" s="4"/>
      <c r="GM2434" s="4"/>
      <c r="GN2434" s="4"/>
      <c r="GO2434" s="4"/>
      <c r="GP2434" s="4"/>
      <c r="GQ2434" s="4"/>
      <c r="GR2434" s="4"/>
      <c r="GS2434" s="4"/>
      <c r="GT2434" s="4"/>
      <c r="GU2434" s="4"/>
      <c r="GV2434" s="4"/>
      <c r="GW2434" s="4"/>
      <c r="GX2434" s="4"/>
      <c r="GY2434" s="4"/>
      <c r="GZ2434" s="4"/>
      <c r="HA2434" s="4"/>
      <c r="HB2434" s="4"/>
      <c r="HC2434" s="4"/>
      <c r="HD2434" s="4"/>
      <c r="HE2434" s="4"/>
    </row>
    <row r="2435">
      <c r="A2435" s="2" t="s">
        <v>11254</v>
      </c>
      <c r="B2435" s="2" t="s">
        <v>223</v>
      </c>
      <c r="C2435" s="2" t="s">
        <v>300</v>
      </c>
      <c r="D2435" s="2" t="s">
        <v>1601</v>
      </c>
      <c r="E2435" s="2" t="s">
        <v>2421</v>
      </c>
      <c r="F2435" s="2" t="s">
        <v>1845</v>
      </c>
      <c r="G2435" s="2" t="s">
        <v>11176</v>
      </c>
      <c r="H2435" s="2" t="s">
        <v>11176</v>
      </c>
      <c r="I2435" s="2" t="s">
        <v>11196</v>
      </c>
      <c r="J2435" s="2" t="s">
        <v>4972</v>
      </c>
      <c r="K2435" s="2" t="s">
        <v>1478</v>
      </c>
      <c r="L2435" s="3">
        <v>15.91</v>
      </c>
      <c r="M2435" s="3">
        <v>16.71</v>
      </c>
      <c r="N2435" s="3">
        <v>36.99</v>
      </c>
      <c r="O2435" s="2" t="s">
        <v>240</v>
      </c>
      <c r="P2435" s="2" t="s">
        <v>715</v>
      </c>
      <c r="Q2435" s="2" t="s">
        <v>234</v>
      </c>
      <c r="R2435" s="2" t="s">
        <v>228</v>
      </c>
      <c r="S2435" s="2" t="s">
        <v>11255</v>
      </c>
      <c r="T2435" s="2" t="s">
        <v>1608</v>
      </c>
      <c r="U2435" s="2" t="s">
        <v>228</v>
      </c>
      <c r="V2435" s="2" t="s">
        <v>2042</v>
      </c>
      <c r="W2435" s="2" t="s">
        <v>309</v>
      </c>
      <c r="X2435" s="2" t="s">
        <v>228</v>
      </c>
      <c r="Y2435" s="2" t="s">
        <v>270</v>
      </c>
      <c r="Z2435" s="4">
        <v>650</v>
      </c>
      <c r="AA2435" s="4">
        <f>=ROUNDDOWN(18.5714285714286,0)</f>
      </c>
      <c r="AB2435" s="5">
        <v>35</v>
      </c>
      <c r="AC2435" s="2" t="s">
        <v>1416</v>
      </c>
      <c r="AD2435" s="4">
        <v>800</v>
      </c>
      <c r="AE2435" s="4">
        <v>3600</v>
      </c>
      <c r="AF2435" s="6">
        <v>64</v>
      </c>
      <c r="AG2435" s="6"/>
      <c r="AH2435" s="7">
        <v>1</v>
      </c>
      <c r="AI2435" s="4"/>
      <c r="AJ2435" s="4">
        <f>=ROUNDDOWN({0},0)</f>
      </c>
      <c r="AK2435" s="5"/>
      <c r="AL2435" s="2" t="s">
        <v>228</v>
      </c>
      <c r="AM2435" s="4"/>
      <c r="AN2435" s="4"/>
      <c r="AO2435" s="7"/>
      <c r="AP2435" s="4"/>
      <c r="AQ2435" s="8"/>
      <c r="AR2435" s="4"/>
      <c r="AS2435" s="8"/>
      <c r="AT2435" s="7"/>
      <c r="AU2435" s="7"/>
      <c r="AV2435" s="4" t="s">
        <v>228</v>
      </c>
      <c r="AW2435" s="8" t="s">
        <v>228</v>
      </c>
      <c r="AX2435" s="4" t="s">
        <v>228</v>
      </c>
      <c r="AY2435" s="8" t="s">
        <v>228</v>
      </c>
      <c r="AZ2435" s="7" t="s">
        <v>228</v>
      </c>
      <c r="BA2435" s="7" t="s">
        <v>228</v>
      </c>
      <c r="BB2435" s="7"/>
      <c r="BC2435" s="4" t="s">
        <v>228</v>
      </c>
      <c r="BD2435" s="8" t="s">
        <v>228</v>
      </c>
      <c r="BE2435" s="4" t="s">
        <v>228</v>
      </c>
      <c r="BF2435" s="8" t="s">
        <v>228</v>
      </c>
      <c r="BG2435" s="7" t="s">
        <v>228</v>
      </c>
      <c r="BH2435" s="7" t="s">
        <v>228</v>
      </c>
      <c r="BI2435" s="7"/>
      <c r="BJ2435" s="4">
        <v>149</v>
      </c>
      <c r="BK2435" s="8">
        <v>2552.41</v>
      </c>
      <c r="BL2435" s="2" t="s">
        <v>11256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11257</v>
      </c>
      <c r="BV2435" s="2" t="s">
        <v>228</v>
      </c>
      <c r="BW2435" s="2" t="s">
        <v>228</v>
      </c>
      <c r="BX2435" s="2" t="s">
        <v>273</v>
      </c>
      <c r="BY2435" s="2" t="s">
        <v>274</v>
      </c>
      <c r="BZ2435" s="2" t="s">
        <v>240</v>
      </c>
      <c r="CA2435" s="2" t="s">
        <v>275</v>
      </c>
      <c r="CB2435" s="2" t="s">
        <v>11258</v>
      </c>
      <c r="CC2435" s="2" t="s">
        <v>241</v>
      </c>
      <c r="CD2435" s="2" t="s">
        <v>228</v>
      </c>
      <c r="CE2435" s="4">
        <v>650</v>
      </c>
      <c r="CF2435" s="4"/>
      <c r="CG2435" s="4"/>
      <c r="CH2435" s="4"/>
      <c r="CI2435" s="4"/>
      <c r="CJ2435" s="4"/>
      <c r="CK2435" s="4"/>
      <c r="CL2435" s="4"/>
      <c r="CM2435" s="4"/>
      <c r="CN2435" s="4"/>
      <c r="CO2435" s="4"/>
      <c r="CP2435" s="4"/>
      <c r="CQ2435" s="4"/>
      <c r="CR2435" s="4"/>
      <c r="CS2435" s="4"/>
      <c r="CT2435" s="4"/>
      <c r="CU2435" s="4"/>
      <c r="CV2435" s="4"/>
      <c r="CW2435" s="4"/>
      <c r="CX2435" s="4"/>
      <c r="CY2435" s="4"/>
      <c r="CZ2435" s="4"/>
      <c r="DA2435" s="4"/>
      <c r="DB2435" s="4"/>
      <c r="DC2435" s="4"/>
      <c r="DD2435" s="4"/>
      <c r="DE2435" s="4"/>
      <c r="DF2435" s="4"/>
      <c r="DG2435" s="4"/>
      <c r="DH2435" s="4"/>
      <c r="DI2435" s="4"/>
      <c r="DJ2435" s="4"/>
      <c r="DK2435" s="4"/>
      <c r="DL2435" s="4"/>
      <c r="DM2435" s="4"/>
      <c r="DN2435" s="4"/>
      <c r="DO2435" s="4"/>
      <c r="DP2435" s="4"/>
      <c r="DQ2435" s="4"/>
      <c r="DR2435" s="4"/>
      <c r="DS2435" s="4"/>
      <c r="DT2435" s="4"/>
      <c r="DU2435" s="4"/>
      <c r="DV2435" s="4"/>
      <c r="DW2435" s="4"/>
      <c r="DX2435" s="4"/>
      <c r="DY2435" s="4"/>
      <c r="DZ2435" s="4"/>
      <c r="EA2435" s="4"/>
      <c r="EB2435" s="4"/>
      <c r="EC2435" s="4"/>
      <c r="ED2435" s="4">
        <v>800</v>
      </c>
      <c r="EE2435" s="4"/>
      <c r="EF2435" s="4"/>
      <c r="EG2435" s="4"/>
      <c r="EH2435" s="4"/>
      <c r="EI2435" s="4"/>
      <c r="EJ2435" s="4"/>
      <c r="EK2435" s="4"/>
      <c r="EL2435" s="4"/>
      <c r="EM2435" s="4"/>
      <c r="EN2435" s="4"/>
      <c r="EO2435" s="4"/>
      <c r="EP2435" s="4"/>
      <c r="EQ2435" s="4"/>
      <c r="ER2435" s="4"/>
      <c r="ES2435" s="4"/>
      <c r="ET2435" s="4"/>
      <c r="EU2435" s="4"/>
      <c r="EV2435" s="4"/>
      <c r="EW2435" s="4"/>
      <c r="EX2435" s="4"/>
      <c r="EY2435" s="4"/>
      <c r="EZ2435" s="4"/>
      <c r="FA2435" s="4"/>
      <c r="FB2435" s="4">
        <v>2000</v>
      </c>
      <c r="FC2435" s="4"/>
      <c r="FD2435" s="4"/>
      <c r="FE2435" s="4"/>
      <c r="FF2435" s="4"/>
      <c r="FG2435" s="4"/>
      <c r="FH2435" s="4"/>
      <c r="FI2435" s="4"/>
      <c r="FJ2435" s="4"/>
      <c r="FK2435" s="4"/>
      <c r="FL2435" s="4"/>
      <c r="FM2435" s="4"/>
      <c r="FN2435" s="4"/>
      <c r="FO2435" s="4"/>
      <c r="FP2435" s="4"/>
      <c r="FQ2435" s="4"/>
      <c r="FR2435" s="4"/>
      <c r="FS2435" s="4"/>
      <c r="FT2435" s="4"/>
      <c r="FU2435" s="4"/>
      <c r="FV2435" s="4"/>
      <c r="FW2435" s="4"/>
      <c r="FX2435" s="4"/>
      <c r="FY2435" s="4"/>
      <c r="FZ2435" s="4"/>
      <c r="GA2435" s="4"/>
      <c r="GB2435" s="4">
        <v>500</v>
      </c>
      <c r="GC2435" s="4"/>
      <c r="GD2435" s="4"/>
      <c r="GE2435" s="4"/>
      <c r="GF2435" s="4"/>
      <c r="GG2435" s="4"/>
      <c r="GH2435" s="4"/>
      <c r="GI2435" s="4"/>
      <c r="GJ2435" s="4"/>
      <c r="GK2435" s="4"/>
      <c r="GL2435" s="4"/>
      <c r="GM2435" s="4"/>
      <c r="GN2435" s="4"/>
      <c r="GO2435" s="4"/>
      <c r="GP2435" s="4"/>
      <c r="GQ2435" s="4"/>
      <c r="GR2435" s="4"/>
      <c r="GS2435" s="4"/>
      <c r="GT2435" s="4"/>
      <c r="GU2435" s="4"/>
      <c r="GV2435" s="4"/>
      <c r="GW2435" s="4"/>
      <c r="GX2435" s="4"/>
      <c r="GY2435" s="4"/>
      <c r="GZ2435" s="4">
        <v>300</v>
      </c>
      <c r="HA2435" s="4"/>
      <c r="HB2435" s="4"/>
      <c r="HC2435" s="4"/>
      <c r="HD2435" s="4"/>
      <c r="HE2435" s="4"/>
    </row>
    <row r="2436">
      <c r="A2436" s="2" t="s">
        <v>11259</v>
      </c>
      <c r="B2436" s="2" t="s">
        <v>223</v>
      </c>
      <c r="C2436" s="2" t="s">
        <v>300</v>
      </c>
      <c r="D2436" s="2" t="s">
        <v>1601</v>
      </c>
      <c r="E2436" s="2" t="s">
        <v>2421</v>
      </c>
      <c r="F2436" s="2" t="s">
        <v>1845</v>
      </c>
      <c r="G2436" s="2" t="s">
        <v>11176</v>
      </c>
      <c r="H2436" s="2" t="s">
        <v>11176</v>
      </c>
      <c r="I2436" s="2" t="s">
        <v>11201</v>
      </c>
      <c r="J2436" s="2" t="s">
        <v>11202</v>
      </c>
      <c r="K2436" s="2" t="s">
        <v>1478</v>
      </c>
      <c r="L2436" s="3">
        <v>27.6</v>
      </c>
      <c r="M2436" s="3">
        <v>28.98</v>
      </c>
      <c r="N2436" s="3">
        <v>59.99</v>
      </c>
      <c r="O2436" s="2" t="s">
        <v>240</v>
      </c>
      <c r="P2436" s="2" t="s">
        <v>333</v>
      </c>
      <c r="Q2436" s="2" t="s">
        <v>234</v>
      </c>
      <c r="R2436" s="2" t="s">
        <v>228</v>
      </c>
      <c r="S2436" s="2" t="s">
        <v>11255</v>
      </c>
      <c r="T2436" s="2" t="s">
        <v>1608</v>
      </c>
      <c r="U2436" s="2" t="s">
        <v>228</v>
      </c>
      <c r="V2436" s="2" t="s">
        <v>374</v>
      </c>
      <c r="W2436" s="2" t="s">
        <v>309</v>
      </c>
      <c r="X2436" s="2" t="s">
        <v>228</v>
      </c>
      <c r="Y2436" s="2" t="s">
        <v>270</v>
      </c>
      <c r="Z2436" s="4">
        <v>176</v>
      </c>
      <c r="AA2436" s="4">
        <f>=ROUNDDOWN(20.952380952381,0)</f>
      </c>
      <c r="AB2436" s="5">
        <v>8.4</v>
      </c>
      <c r="AC2436" s="2" t="s">
        <v>228</v>
      </c>
      <c r="AD2436" s="4"/>
      <c r="AE2436" s="4"/>
      <c r="AF2436" s="6">
        <v>64</v>
      </c>
      <c r="AG2436" s="6"/>
      <c r="AH2436" s="7">
        <v>1</v>
      </c>
      <c r="AI2436" s="4"/>
      <c r="AJ2436" s="4">
        <f>=ROUNDDOWN({0},0)</f>
      </c>
      <c r="AK2436" s="5"/>
      <c r="AL2436" s="2" t="s">
        <v>228</v>
      </c>
      <c r="AM2436" s="4"/>
      <c r="AN2436" s="4"/>
      <c r="AO2436" s="7"/>
      <c r="AP2436" s="4"/>
      <c r="AQ2436" s="8"/>
      <c r="AR2436" s="4"/>
      <c r="AS2436" s="8"/>
      <c r="AT2436" s="7"/>
      <c r="AU2436" s="7"/>
      <c r="AV2436" s="4" t="s">
        <v>228</v>
      </c>
      <c r="AW2436" s="8" t="s">
        <v>228</v>
      </c>
      <c r="AX2436" s="4" t="s">
        <v>228</v>
      </c>
      <c r="AY2436" s="8" t="s">
        <v>228</v>
      </c>
      <c r="AZ2436" s="7" t="s">
        <v>228</v>
      </c>
      <c r="BA2436" s="7" t="s">
        <v>228</v>
      </c>
      <c r="BB2436" s="7"/>
      <c r="BC2436" s="4" t="s">
        <v>228</v>
      </c>
      <c r="BD2436" s="8" t="s">
        <v>228</v>
      </c>
      <c r="BE2436" s="4" t="s">
        <v>228</v>
      </c>
      <c r="BF2436" s="8" t="s">
        <v>228</v>
      </c>
      <c r="BG2436" s="7" t="s">
        <v>228</v>
      </c>
      <c r="BH2436" s="7" t="s">
        <v>228</v>
      </c>
      <c r="BI2436" s="7"/>
      <c r="BJ2436" s="4">
        <v>55</v>
      </c>
      <c r="BK2436" s="8">
        <v>956.03</v>
      </c>
      <c r="BL2436" s="2" t="s">
        <v>11260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11261</v>
      </c>
      <c r="BV2436" s="2" t="s">
        <v>228</v>
      </c>
      <c r="BW2436" s="2" t="s">
        <v>228</v>
      </c>
      <c r="BX2436" s="2" t="s">
        <v>337</v>
      </c>
      <c r="BY2436" s="2" t="s">
        <v>274</v>
      </c>
      <c r="BZ2436" s="2" t="s">
        <v>240</v>
      </c>
      <c r="CA2436" s="2" t="s">
        <v>275</v>
      </c>
      <c r="CB2436" s="2" t="s">
        <v>11262</v>
      </c>
      <c r="CC2436" s="2" t="s">
        <v>241</v>
      </c>
      <c r="CD2436" s="2" t="s">
        <v>228</v>
      </c>
      <c r="CE2436" s="4">
        <v>176</v>
      </c>
      <c r="CF2436" s="4"/>
      <c r="CG2436" s="4"/>
      <c r="CH2436" s="4"/>
      <c r="CI2436" s="4"/>
      <c r="CJ2436" s="4"/>
      <c r="CK2436" s="4"/>
      <c r="CL2436" s="4"/>
      <c r="CM2436" s="4"/>
      <c r="CN2436" s="4"/>
      <c r="CO2436" s="4"/>
      <c r="CP2436" s="4"/>
      <c r="CQ2436" s="4"/>
      <c r="CR2436" s="4"/>
      <c r="CS2436" s="4"/>
      <c r="CT2436" s="4"/>
      <c r="CU2436" s="4"/>
      <c r="CV2436" s="4"/>
      <c r="CW2436" s="4"/>
      <c r="CX2436" s="4"/>
      <c r="CY2436" s="4"/>
      <c r="CZ2436" s="4"/>
      <c r="DA2436" s="4"/>
      <c r="DB2436" s="4"/>
      <c r="DC2436" s="4"/>
      <c r="DD2436" s="4"/>
      <c r="DE2436" s="4"/>
      <c r="DF2436" s="4"/>
      <c r="DG2436" s="4"/>
      <c r="DH2436" s="4"/>
      <c r="DI2436" s="4"/>
      <c r="DJ2436" s="4"/>
      <c r="DK2436" s="4"/>
      <c r="DL2436" s="4"/>
      <c r="DM2436" s="4"/>
      <c r="DN2436" s="4"/>
      <c r="DO2436" s="4"/>
      <c r="DP2436" s="4"/>
      <c r="DQ2436" s="4"/>
      <c r="DR2436" s="4"/>
      <c r="DS2436" s="4"/>
      <c r="DT2436" s="4"/>
      <c r="DU2436" s="4"/>
      <c r="DV2436" s="4"/>
      <c r="DW2436" s="4"/>
      <c r="DX2436" s="4"/>
      <c r="DY2436" s="4"/>
      <c r="DZ2436" s="4"/>
      <c r="EA2436" s="4"/>
      <c r="EB2436" s="4"/>
      <c r="EC2436" s="4"/>
      <c r="ED2436" s="4"/>
      <c r="EE2436" s="4"/>
      <c r="EF2436" s="4"/>
      <c r="EG2436" s="4"/>
      <c r="EH2436" s="4"/>
      <c r="EI2436" s="4"/>
      <c r="EJ2436" s="4"/>
      <c r="EK2436" s="4"/>
      <c r="EL2436" s="4"/>
      <c r="EM2436" s="4"/>
      <c r="EN2436" s="4"/>
      <c r="EO2436" s="4"/>
      <c r="EP2436" s="4"/>
      <c r="EQ2436" s="4"/>
      <c r="ER2436" s="4"/>
      <c r="ES2436" s="4"/>
      <c r="ET2436" s="4"/>
      <c r="EU2436" s="4"/>
      <c r="EV2436" s="4"/>
      <c r="EW2436" s="4"/>
      <c r="EX2436" s="4"/>
      <c r="EY2436" s="4"/>
      <c r="EZ2436" s="4"/>
      <c r="FA2436" s="4"/>
      <c r="FB2436" s="4"/>
      <c r="FC2436" s="4"/>
      <c r="FD2436" s="4"/>
      <c r="FE2436" s="4"/>
      <c r="FF2436" s="4"/>
      <c r="FG2436" s="4"/>
      <c r="FH2436" s="4"/>
      <c r="FI2436" s="4"/>
      <c r="FJ2436" s="4"/>
      <c r="FK2436" s="4"/>
      <c r="FL2436" s="4"/>
      <c r="FM2436" s="4"/>
      <c r="FN2436" s="4"/>
      <c r="FO2436" s="4"/>
      <c r="FP2436" s="4"/>
      <c r="FQ2436" s="4"/>
      <c r="FR2436" s="4"/>
      <c r="FS2436" s="4"/>
      <c r="FT2436" s="4"/>
      <c r="FU2436" s="4"/>
      <c r="FV2436" s="4"/>
      <c r="FW2436" s="4"/>
      <c r="FX2436" s="4"/>
      <c r="FY2436" s="4"/>
      <c r="FZ2436" s="4"/>
      <c r="GA2436" s="4"/>
      <c r="GB2436" s="4"/>
      <c r="GC2436" s="4"/>
      <c r="GD2436" s="4"/>
      <c r="GE2436" s="4"/>
      <c r="GF2436" s="4"/>
      <c r="GG2436" s="4"/>
      <c r="GH2436" s="4"/>
      <c r="GI2436" s="4"/>
      <c r="GJ2436" s="4"/>
      <c r="GK2436" s="4"/>
      <c r="GL2436" s="4"/>
      <c r="GM2436" s="4"/>
      <c r="GN2436" s="4"/>
      <c r="GO2436" s="4"/>
      <c r="GP2436" s="4"/>
      <c r="GQ2436" s="4"/>
      <c r="GR2436" s="4"/>
      <c r="GS2436" s="4"/>
      <c r="GT2436" s="4"/>
      <c r="GU2436" s="4"/>
      <c r="GV2436" s="4"/>
      <c r="GW2436" s="4"/>
      <c r="GX2436" s="4"/>
      <c r="GY2436" s="4"/>
      <c r="GZ2436" s="4"/>
      <c r="HA2436" s="4"/>
      <c r="HB2436" s="4"/>
      <c r="HC2436" s="4"/>
      <c r="HD2436" s="4"/>
      <c r="HE2436" s="4"/>
    </row>
    <row r="2437">
      <c r="A2437" s="2" t="s">
        <v>11263</v>
      </c>
      <c r="B2437" s="2" t="s">
        <v>223</v>
      </c>
      <c r="C2437" s="2" t="s">
        <v>300</v>
      </c>
      <c r="D2437" s="2" t="s">
        <v>1601</v>
      </c>
      <c r="E2437" s="2" t="s">
        <v>2421</v>
      </c>
      <c r="F2437" s="2" t="s">
        <v>1845</v>
      </c>
      <c r="G2437" s="2" t="s">
        <v>11176</v>
      </c>
      <c r="H2437" s="2" t="s">
        <v>11176</v>
      </c>
      <c r="I2437" s="2" t="s">
        <v>11196</v>
      </c>
      <c r="J2437" s="2" t="s">
        <v>4972</v>
      </c>
      <c r="K2437" s="2" t="s">
        <v>316</v>
      </c>
      <c r="L2437" s="3">
        <v>15.91</v>
      </c>
      <c r="M2437" s="3">
        <v>16.71</v>
      </c>
      <c r="N2437" s="3">
        <v>36.99</v>
      </c>
      <c r="O2437" s="2" t="s">
        <v>240</v>
      </c>
      <c r="P2437" s="2" t="s">
        <v>266</v>
      </c>
      <c r="Q2437" s="2" t="s">
        <v>234</v>
      </c>
      <c r="R2437" s="2" t="s">
        <v>228</v>
      </c>
      <c r="S2437" s="2" t="s">
        <v>11264</v>
      </c>
      <c r="T2437" s="2" t="s">
        <v>1608</v>
      </c>
      <c r="U2437" s="2" t="s">
        <v>416</v>
      </c>
      <c r="V2437" s="2" t="s">
        <v>2042</v>
      </c>
      <c r="W2437" s="2" t="s">
        <v>309</v>
      </c>
      <c r="X2437" s="2" t="s">
        <v>228</v>
      </c>
      <c r="Y2437" s="2" t="s">
        <v>11265</v>
      </c>
      <c r="Z2437" s="4">
        <v>1031</v>
      </c>
      <c r="AA2437" s="4">
        <f>=ROUNDDOWN(54.2631578947368,0)</f>
      </c>
      <c r="AB2437" s="5">
        <v>19</v>
      </c>
      <c r="AC2437" s="2" t="s">
        <v>166</v>
      </c>
      <c r="AD2437" s="4">
        <v>1000</v>
      </c>
      <c r="AE2437" s="4">
        <v>1800</v>
      </c>
      <c r="AF2437" s="6">
        <v>64</v>
      </c>
      <c r="AG2437" s="6"/>
      <c r="AH2437" s="7">
        <v>1</v>
      </c>
      <c r="AI2437" s="4"/>
      <c r="AJ2437" s="4">
        <f>=ROUNDDOWN({0},0)</f>
      </c>
      <c r="AK2437" s="5"/>
      <c r="AL2437" s="2" t="s">
        <v>228</v>
      </c>
      <c r="AM2437" s="4"/>
      <c r="AN2437" s="4"/>
      <c r="AO2437" s="7"/>
      <c r="AP2437" s="4"/>
      <c r="AQ2437" s="8"/>
      <c r="AR2437" s="4"/>
      <c r="AS2437" s="8"/>
      <c r="AT2437" s="7"/>
      <c r="AU2437" s="7"/>
      <c r="AV2437" s="4"/>
      <c r="AW2437" s="8"/>
      <c r="AX2437" s="4"/>
      <c r="AY2437" s="8"/>
      <c r="AZ2437" s="7"/>
      <c r="BA2437" s="7"/>
      <c r="BB2437" s="7"/>
      <c r="BC2437" s="4" t="s">
        <v>228</v>
      </c>
      <c r="BD2437" s="8" t="s">
        <v>228</v>
      </c>
      <c r="BE2437" s="4" t="s">
        <v>228</v>
      </c>
      <c r="BF2437" s="8" t="s">
        <v>228</v>
      </c>
      <c r="BG2437" s="7" t="s">
        <v>228</v>
      </c>
      <c r="BH2437" s="7" t="s">
        <v>228</v>
      </c>
      <c r="BI2437" s="7"/>
      <c r="BJ2437" s="4">
        <v>89</v>
      </c>
      <c r="BK2437" s="8">
        <v>1465.46</v>
      </c>
      <c r="BL2437" s="2" t="s">
        <v>11266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11267</v>
      </c>
      <c r="BV2437" s="2" t="s">
        <v>228</v>
      </c>
      <c r="BW2437" s="2" t="s">
        <v>228</v>
      </c>
      <c r="BX2437" s="2" t="s">
        <v>273</v>
      </c>
      <c r="BY2437" s="2" t="s">
        <v>274</v>
      </c>
      <c r="BZ2437" s="2" t="s">
        <v>240</v>
      </c>
      <c r="CA2437" s="2" t="s">
        <v>10431</v>
      </c>
      <c r="CB2437" s="2" t="s">
        <v>11268</v>
      </c>
      <c r="CC2437" s="2" t="s">
        <v>241</v>
      </c>
      <c r="CD2437" s="2" t="s">
        <v>228</v>
      </c>
      <c r="CE2437" s="4">
        <v>1031</v>
      </c>
      <c r="CF2437" s="4"/>
      <c r="CG2437" s="4"/>
      <c r="CH2437" s="4"/>
      <c r="CI2437" s="4"/>
      <c r="CJ2437" s="4"/>
      <c r="CK2437" s="4"/>
      <c r="CL2437" s="4"/>
      <c r="CM2437" s="4"/>
      <c r="CN2437" s="4"/>
      <c r="CO2437" s="4"/>
      <c r="CP2437" s="4"/>
      <c r="CQ2437" s="4"/>
      <c r="CR2437" s="4"/>
      <c r="CS2437" s="4"/>
      <c r="CT2437" s="4"/>
      <c r="CU2437" s="4"/>
      <c r="CV2437" s="4"/>
      <c r="CW2437" s="4"/>
      <c r="CX2437" s="4"/>
      <c r="CY2437" s="4"/>
      <c r="CZ2437" s="4"/>
      <c r="DA2437" s="4"/>
      <c r="DB2437" s="4"/>
      <c r="DC2437" s="4"/>
      <c r="DD2437" s="4"/>
      <c r="DE2437" s="4"/>
      <c r="DF2437" s="4"/>
      <c r="DG2437" s="4"/>
      <c r="DH2437" s="4"/>
      <c r="DI2437" s="4"/>
      <c r="DJ2437" s="4"/>
      <c r="DK2437" s="4"/>
      <c r="DL2437" s="4"/>
      <c r="DM2437" s="4"/>
      <c r="DN2437" s="4"/>
      <c r="DO2437" s="4"/>
      <c r="DP2437" s="4"/>
      <c r="DQ2437" s="4"/>
      <c r="DR2437" s="4"/>
      <c r="DS2437" s="4"/>
      <c r="DT2437" s="4"/>
      <c r="DU2437" s="4"/>
      <c r="DV2437" s="4"/>
      <c r="DW2437" s="4"/>
      <c r="DX2437" s="4"/>
      <c r="DY2437" s="4"/>
      <c r="DZ2437" s="4"/>
      <c r="EA2437" s="4"/>
      <c r="EB2437" s="4"/>
      <c r="EC2437" s="4"/>
      <c r="ED2437" s="4"/>
      <c r="EE2437" s="4"/>
      <c r="EF2437" s="4"/>
      <c r="EG2437" s="4"/>
      <c r="EH2437" s="4"/>
      <c r="EI2437" s="4"/>
      <c r="EJ2437" s="4"/>
      <c r="EK2437" s="4"/>
      <c r="EL2437" s="4"/>
      <c r="EM2437" s="4"/>
      <c r="EN2437" s="4"/>
      <c r="EO2437" s="4"/>
      <c r="EP2437" s="4"/>
      <c r="EQ2437" s="4"/>
      <c r="ER2437" s="4"/>
      <c r="ES2437" s="4"/>
      <c r="ET2437" s="4"/>
      <c r="EU2437" s="4"/>
      <c r="EV2437" s="4"/>
      <c r="EW2437" s="4"/>
      <c r="EX2437" s="4"/>
      <c r="EY2437" s="4"/>
      <c r="EZ2437" s="4"/>
      <c r="FA2437" s="4"/>
      <c r="FB2437" s="4">
        <v>1000</v>
      </c>
      <c r="FC2437" s="4"/>
      <c r="FD2437" s="4"/>
      <c r="FE2437" s="4"/>
      <c r="FF2437" s="4"/>
      <c r="FG2437" s="4"/>
      <c r="FH2437" s="4"/>
      <c r="FI2437" s="4"/>
      <c r="FJ2437" s="4"/>
      <c r="FK2437" s="4"/>
      <c r="FL2437" s="4"/>
      <c r="FM2437" s="4"/>
      <c r="FN2437" s="4"/>
      <c r="FO2437" s="4"/>
      <c r="FP2437" s="4"/>
      <c r="FQ2437" s="4"/>
      <c r="FR2437" s="4"/>
      <c r="FS2437" s="4"/>
      <c r="FT2437" s="4"/>
      <c r="FU2437" s="4"/>
      <c r="FV2437" s="4"/>
      <c r="FW2437" s="4"/>
      <c r="FX2437" s="4"/>
      <c r="FY2437" s="4"/>
      <c r="FZ2437" s="4"/>
      <c r="GA2437" s="4"/>
      <c r="GB2437" s="4">
        <v>400</v>
      </c>
      <c r="GC2437" s="4"/>
      <c r="GD2437" s="4"/>
      <c r="GE2437" s="4"/>
      <c r="GF2437" s="4"/>
      <c r="GG2437" s="4"/>
      <c r="GH2437" s="4"/>
      <c r="GI2437" s="4"/>
      <c r="GJ2437" s="4"/>
      <c r="GK2437" s="4"/>
      <c r="GL2437" s="4"/>
      <c r="GM2437" s="4"/>
      <c r="GN2437" s="4"/>
      <c r="GO2437" s="4"/>
      <c r="GP2437" s="4"/>
      <c r="GQ2437" s="4"/>
      <c r="GR2437" s="4"/>
      <c r="GS2437" s="4"/>
      <c r="GT2437" s="4"/>
      <c r="GU2437" s="4"/>
      <c r="GV2437" s="4"/>
      <c r="GW2437" s="4"/>
      <c r="GX2437" s="4"/>
      <c r="GY2437" s="4"/>
      <c r="GZ2437" s="4">
        <v>400</v>
      </c>
      <c r="HA2437" s="4"/>
      <c r="HB2437" s="4"/>
      <c r="HC2437" s="4"/>
      <c r="HD2437" s="4"/>
      <c r="HE2437" s="4"/>
    </row>
    <row r="2438">
      <c r="A2438" s="16" t="s">
        <v>11269</v>
      </c>
      <c r="B2438" s="9" t="s">
        <v>228</v>
      </c>
      <c r="C2438" s="9" t="s">
        <v>228</v>
      </c>
      <c r="D2438" s="9" t="s">
        <v>228</v>
      </c>
      <c r="E2438" s="9" t="s">
        <v>228</v>
      </c>
      <c r="F2438" s="9" t="s">
        <v>228</v>
      </c>
      <c r="G2438" s="9" t="s">
        <v>228</v>
      </c>
      <c r="H2438" s="9" t="s">
        <v>228</v>
      </c>
      <c r="I2438" s="9" t="s">
        <v>228</v>
      </c>
      <c r="J2438" s="9" t="s">
        <v>228</v>
      </c>
      <c r="K2438" s="9" t="s">
        <v>228</v>
      </c>
      <c r="L2438" s="10"/>
      <c r="M2438" s="10"/>
      <c r="N2438" s="10"/>
      <c r="O2438" s="9" t="s">
        <v>228</v>
      </c>
      <c r="P2438" s="9" t="s">
        <v>228</v>
      </c>
      <c r="Q2438" s="9" t="s">
        <v>228</v>
      </c>
      <c r="R2438" s="9" t="s">
        <v>228</v>
      </c>
      <c r="S2438" s="9" t="s">
        <v>228</v>
      </c>
      <c r="T2438" s="9" t="s">
        <v>228</v>
      </c>
      <c r="U2438" s="9" t="s">
        <v>228</v>
      </c>
      <c r="V2438" s="9" t="s">
        <v>228</v>
      </c>
      <c r="W2438" s="9" t="s">
        <v>228</v>
      </c>
      <c r="X2438" s="9" t="s">
        <v>228</v>
      </c>
      <c r="Y2438" s="9" t="s">
        <v>228</v>
      </c>
      <c r="Z2438" s="11">
        <v>523016</v>
      </c>
      <c r="AA2438" s="11">
        <f>=ROUNDDOWN({0},0)</f>
      </c>
      <c r="AB2438" s="12">
        <v>20917.4</v>
      </c>
      <c r="AC2438" s="9" t="s">
        <v>228</v>
      </c>
      <c r="AD2438" s="11"/>
      <c r="AE2438" s="11">
        <v>602742</v>
      </c>
      <c r="AF2438" s="13"/>
      <c r="AG2438" s="13"/>
      <c r="AH2438" s="14"/>
      <c r="AI2438" s="11"/>
      <c r="AJ2438" s="11">
        <f>=ROUNDDOWN({0},0)</f>
      </c>
      <c r="AK2438" s="12">
        <v>75.5</v>
      </c>
      <c r="AL2438" s="9" t="s">
        <v>228</v>
      </c>
      <c r="AM2438" s="11"/>
      <c r="AN2438" s="11"/>
      <c r="AO2438" s="14"/>
      <c r="AP2438" s="11"/>
      <c r="AQ2438" s="15"/>
      <c r="AR2438" s="11"/>
      <c r="AS2438" s="15"/>
      <c r="AT2438" s="14"/>
      <c r="AU2438" s="14"/>
      <c r="AV2438" s="11"/>
      <c r="AW2438" s="15"/>
      <c r="AX2438" s="11"/>
      <c r="AY2438" s="15"/>
      <c r="AZ2438" s="14"/>
      <c r="BA2438" s="14"/>
      <c r="BB2438" s="14"/>
      <c r="BC2438" s="11"/>
      <c r="BD2438" s="15"/>
      <c r="BE2438" s="11"/>
      <c r="BF2438" s="15"/>
      <c r="BG2438" s="14"/>
      <c r="BH2438" s="14"/>
      <c r="BI2438" s="14"/>
      <c r="BJ2438" s="11"/>
      <c r="BK2438" s="15"/>
      <c r="BL2438" s="9" t="s">
        <v>228</v>
      </c>
      <c r="BM2438" s="14"/>
      <c r="BN2438" s="14"/>
      <c r="BO2438" s="11"/>
      <c r="BP2438" s="15"/>
      <c r="BQ2438" s="11"/>
      <c r="BR2438" s="15"/>
      <c r="BS2438" s="14"/>
      <c r="BT2438" s="14"/>
      <c r="BU2438" s="9" t="s">
        <v>228</v>
      </c>
      <c r="BV2438" s="9" t="s">
        <v>228</v>
      </c>
      <c r="BW2438" s="9" t="s">
        <v>228</v>
      </c>
      <c r="BX2438" s="9" t="s">
        <v>228</v>
      </c>
      <c r="BY2438" s="9" t="s">
        <v>228</v>
      </c>
      <c r="BZ2438" s="9" t="s">
        <v>228</v>
      </c>
      <c r="CA2438" s="9" t="s">
        <v>228</v>
      </c>
      <c r="CB2438" s="9" t="s">
        <v>228</v>
      </c>
      <c r="CC2438" s="9" t="s">
        <v>228</v>
      </c>
      <c r="CD2438" s="9" t="s">
        <v>228</v>
      </c>
      <c r="CE2438" s="11">
        <v>392710</v>
      </c>
      <c r="CF2438" s="11">
        <v>60947</v>
      </c>
      <c r="CG2438" s="11"/>
      <c r="CH2438" s="11">
        <v>57056</v>
      </c>
      <c r="CI2438" s="11"/>
      <c r="CJ2438" s="11"/>
      <c r="CK2438" s="11">
        <v>12294</v>
      </c>
      <c r="CL2438" s="11"/>
      <c r="CM2438" s="11"/>
      <c r="CN2438" s="11"/>
      <c r="CO2438" s="11"/>
      <c r="CP2438" s="11">
        <v>9</v>
      </c>
      <c r="CQ2438" s="11"/>
      <c r="CR2438" s="11"/>
      <c r="CS2438" s="11">
        <v>2375</v>
      </c>
      <c r="CT2438" s="11">
        <v>90</v>
      </c>
      <c r="CU2438" s="11">
        <v>1090</v>
      </c>
      <c r="CV2438" s="11">
        <v>90</v>
      </c>
      <c r="CW2438" s="11">
        <v>943</v>
      </c>
      <c r="CX2438" s="11">
        <v>930</v>
      </c>
      <c r="CY2438" s="11">
        <v>200</v>
      </c>
      <c r="CZ2438" s="11">
        <v>970</v>
      </c>
      <c r="DA2438" s="11">
        <v>4432</v>
      </c>
      <c r="DB2438" s="11">
        <v>479</v>
      </c>
      <c r="DC2438" s="11">
        <v>2240</v>
      </c>
      <c r="DD2438" s="11">
        <v>1940</v>
      </c>
      <c r="DE2438" s="11">
        <v>562</v>
      </c>
      <c r="DF2438" s="11">
        <v>3905</v>
      </c>
      <c r="DG2438" s="11">
        <v>250</v>
      </c>
      <c r="DH2438" s="11">
        <v>16</v>
      </c>
      <c r="DI2438" s="11">
        <v>157</v>
      </c>
      <c r="DJ2438" s="11">
        <v>3</v>
      </c>
      <c r="DK2438" s="11">
        <v>200</v>
      </c>
      <c r="DL2438" s="11">
        <v>10</v>
      </c>
      <c r="DM2438" s="11">
        <v>520</v>
      </c>
      <c r="DN2438" s="11">
        <v>4060</v>
      </c>
      <c r="DO2438" s="11">
        <v>2140</v>
      </c>
      <c r="DP2438" s="11">
        <v>44061</v>
      </c>
      <c r="DQ2438" s="11">
        <v>105</v>
      </c>
      <c r="DR2438" s="11">
        <v>687</v>
      </c>
      <c r="DS2438" s="11">
        <v>9061</v>
      </c>
      <c r="DT2438" s="11">
        <v>120</v>
      </c>
      <c r="DU2438" s="11">
        <v>8068</v>
      </c>
      <c r="DV2438" s="11">
        <v>22535</v>
      </c>
      <c r="DW2438" s="11">
        <v>1720</v>
      </c>
      <c r="DX2438" s="11">
        <v>1613</v>
      </c>
      <c r="DY2438" s="11">
        <v>1031</v>
      </c>
      <c r="DZ2438" s="11">
        <v>30093</v>
      </c>
      <c r="EA2438" s="11">
        <v>14034</v>
      </c>
      <c r="EB2438" s="11">
        <v>11410</v>
      </c>
      <c r="EC2438" s="11">
        <v>9577</v>
      </c>
      <c r="ED2438" s="11">
        <v>7559</v>
      </c>
      <c r="EE2438" s="11">
        <v>9699</v>
      </c>
      <c r="EF2438" s="11">
        <v>2120</v>
      </c>
      <c r="EG2438" s="11">
        <v>7207</v>
      </c>
      <c r="EH2438" s="11">
        <v>5075</v>
      </c>
      <c r="EI2438" s="11">
        <v>2002</v>
      </c>
      <c r="EJ2438" s="11">
        <v>26795</v>
      </c>
      <c r="EK2438" s="11">
        <v>50</v>
      </c>
      <c r="EL2438" s="11">
        <v>90</v>
      </c>
      <c r="EM2438" s="11">
        <v>8210</v>
      </c>
      <c r="EN2438" s="11">
        <v>3324</v>
      </c>
      <c r="EO2438" s="11">
        <v>1163</v>
      </c>
      <c r="EP2438" s="11">
        <v>3008</v>
      </c>
      <c r="EQ2438" s="11">
        <v>5520</v>
      </c>
      <c r="ER2438" s="11">
        <v>2334</v>
      </c>
      <c r="ES2438" s="11">
        <v>1290</v>
      </c>
      <c r="ET2438" s="11">
        <v>7141</v>
      </c>
      <c r="EU2438" s="11">
        <v>10209</v>
      </c>
      <c r="EV2438" s="11">
        <v>14411</v>
      </c>
      <c r="EW2438" s="11">
        <v>1661</v>
      </c>
      <c r="EX2438" s="11">
        <v>13414</v>
      </c>
      <c r="EY2438" s="11">
        <v>2855</v>
      </c>
      <c r="EZ2438" s="11">
        <v>1110</v>
      </c>
      <c r="FA2438" s="11">
        <v>19809</v>
      </c>
      <c r="FB2438" s="11">
        <v>7006</v>
      </c>
      <c r="FC2438" s="11">
        <v>650</v>
      </c>
      <c r="FD2438" s="11">
        <v>12230</v>
      </c>
      <c r="FE2438" s="11">
        <v>120</v>
      </c>
      <c r="FF2438" s="11">
        <v>5311</v>
      </c>
      <c r="FG2438" s="11">
        <v>4272</v>
      </c>
      <c r="FH2438" s="11">
        <v>1186</v>
      </c>
      <c r="FI2438" s="11">
        <v>51905</v>
      </c>
      <c r="FJ2438" s="11">
        <v>530</v>
      </c>
      <c r="FK2438" s="11">
        <v>3978</v>
      </c>
      <c r="FL2438" s="11">
        <v>3830</v>
      </c>
      <c r="FM2438" s="11">
        <v>1360</v>
      </c>
      <c r="FN2438" s="11">
        <v>9017</v>
      </c>
      <c r="FO2438" s="11">
        <v>3850</v>
      </c>
      <c r="FP2438" s="11">
        <v>8119</v>
      </c>
      <c r="FQ2438" s="11">
        <v>3510</v>
      </c>
      <c r="FR2438" s="11">
        <v>2201</v>
      </c>
      <c r="FS2438" s="11">
        <v>962</v>
      </c>
      <c r="FT2438" s="11">
        <v>5348</v>
      </c>
      <c r="FU2438" s="11">
        <v>3630</v>
      </c>
      <c r="FV2438" s="11">
        <v>2040</v>
      </c>
      <c r="FW2438" s="11">
        <v>10517</v>
      </c>
      <c r="FX2438" s="11">
        <v>1512</v>
      </c>
      <c r="FY2438" s="11">
        <v>2040</v>
      </c>
      <c r="FZ2438" s="11">
        <v>325</v>
      </c>
      <c r="GA2438" s="11">
        <v>610</v>
      </c>
      <c r="GB2438" s="11">
        <v>14725</v>
      </c>
      <c r="GC2438" s="11">
        <v>1196</v>
      </c>
      <c r="GD2438" s="11">
        <v>540</v>
      </c>
      <c r="GE2438" s="11">
        <v>100</v>
      </c>
      <c r="GF2438" s="11">
        <v>3106</v>
      </c>
      <c r="GG2438" s="11">
        <v>18648</v>
      </c>
      <c r="GH2438" s="11">
        <v>121</v>
      </c>
      <c r="GI2438" s="11">
        <v>30</v>
      </c>
      <c r="GJ2438" s="11">
        <v>1416</v>
      </c>
      <c r="GK2438" s="11">
        <v>5235</v>
      </c>
      <c r="GL2438" s="11">
        <v>230</v>
      </c>
      <c r="GM2438" s="11">
        <v>380</v>
      </c>
      <c r="GN2438" s="11">
        <v>10595</v>
      </c>
      <c r="GO2438" s="11">
        <v>480</v>
      </c>
      <c r="GP2438" s="11">
        <v>890</v>
      </c>
      <c r="GQ2438" s="11">
        <v>215</v>
      </c>
      <c r="GR2438" s="11">
        <v>3076</v>
      </c>
      <c r="GS2438" s="11">
        <v>11675</v>
      </c>
      <c r="GT2438" s="11">
        <v>89</v>
      </c>
      <c r="GU2438" s="11">
        <v>980</v>
      </c>
      <c r="GV2438" s="11">
        <v>126</v>
      </c>
      <c r="GW2438" s="11">
        <v>3984</v>
      </c>
      <c r="GX2438" s="11">
        <v>2870</v>
      </c>
      <c r="GY2438" s="11">
        <v>300</v>
      </c>
      <c r="GZ2438" s="11">
        <v>17273</v>
      </c>
      <c r="HA2438" s="11">
        <v>100</v>
      </c>
      <c r="HB2438" s="11">
        <v>5284</v>
      </c>
      <c r="HC2438" s="11">
        <v>2872</v>
      </c>
      <c r="HD2438" s="11">
        <v>2932</v>
      </c>
      <c r="HE2438" s="11">
        <v>9442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R4"/>
    <mergeCell ref="CS3:HE4"/>
    <mergeCell ref="BC6:BC15"/>
    <mergeCell ref="BD6:BD15"/>
    <mergeCell ref="BE6:BE15"/>
    <mergeCell ref="BF6:BF15"/>
    <mergeCell ref="BG6:BG15"/>
    <mergeCell ref="BH6:BH15"/>
    <mergeCell ref="BC16:BC20"/>
    <mergeCell ref="BD16:BD20"/>
    <mergeCell ref="BE16:BE20"/>
    <mergeCell ref="BF16:BF20"/>
    <mergeCell ref="BG16:BG20"/>
    <mergeCell ref="BH16:BH20"/>
    <mergeCell ref="BC21:BC23"/>
    <mergeCell ref="BD21:BD23"/>
    <mergeCell ref="BE21:BE23"/>
    <mergeCell ref="BF21:BF23"/>
    <mergeCell ref="BG21:BG23"/>
    <mergeCell ref="BH21:BH23"/>
    <mergeCell ref="BC24:BC26"/>
    <mergeCell ref="BD24:BD26"/>
    <mergeCell ref="BE24:BE26"/>
    <mergeCell ref="BF24:BF26"/>
    <mergeCell ref="BG24:BG26"/>
    <mergeCell ref="BH24:BH26"/>
    <mergeCell ref="BC27:BC28"/>
    <mergeCell ref="BD27:BD28"/>
    <mergeCell ref="BE27:BE28"/>
    <mergeCell ref="BF27:BF28"/>
    <mergeCell ref="BG27:BG28"/>
    <mergeCell ref="BH27:BH28"/>
    <mergeCell ref="BC29:BC40"/>
    <mergeCell ref="BD29:BD40"/>
    <mergeCell ref="BE29:BE40"/>
    <mergeCell ref="BF29:BF40"/>
    <mergeCell ref="BG29:BG40"/>
    <mergeCell ref="BH29:BH40"/>
    <mergeCell ref="BC42:BC44"/>
    <mergeCell ref="BD42:BD44"/>
    <mergeCell ref="BE42:BE44"/>
    <mergeCell ref="BF42:BF44"/>
    <mergeCell ref="BG42:BG44"/>
    <mergeCell ref="BH42:BH44"/>
    <mergeCell ref="BC46:BC47"/>
    <mergeCell ref="BD46:BD47"/>
    <mergeCell ref="BE46:BE47"/>
    <mergeCell ref="BF46:BF47"/>
    <mergeCell ref="BG46:BG47"/>
    <mergeCell ref="BH46:BH47"/>
    <mergeCell ref="BC48:BC50"/>
    <mergeCell ref="BD48:BD50"/>
    <mergeCell ref="BE48:BE50"/>
    <mergeCell ref="BF48:BF50"/>
    <mergeCell ref="BG48:BG50"/>
    <mergeCell ref="BH48:BH50"/>
    <mergeCell ref="BC52:BC61"/>
    <mergeCell ref="BD52:BD61"/>
    <mergeCell ref="BE52:BE61"/>
    <mergeCell ref="BF52:BF61"/>
    <mergeCell ref="BG52:BG61"/>
    <mergeCell ref="BH52:BH61"/>
    <mergeCell ref="BC62:BC90"/>
    <mergeCell ref="BD62:BD90"/>
    <mergeCell ref="BE62:BE90"/>
    <mergeCell ref="BF62:BF90"/>
    <mergeCell ref="BG62:BG90"/>
    <mergeCell ref="BH62:BH90"/>
    <mergeCell ref="BC91:BC99"/>
    <mergeCell ref="BD91:BD99"/>
    <mergeCell ref="BE91:BE99"/>
    <mergeCell ref="BF91:BF99"/>
    <mergeCell ref="BG91:BG99"/>
    <mergeCell ref="BH91:BH99"/>
    <mergeCell ref="BC100:BC102"/>
    <mergeCell ref="BD100:BD102"/>
    <mergeCell ref="BE100:BE102"/>
    <mergeCell ref="BF100:BF102"/>
    <mergeCell ref="BG100:BG102"/>
    <mergeCell ref="BH100:BH102"/>
    <mergeCell ref="BC103:BC107"/>
    <mergeCell ref="BD103:BD107"/>
    <mergeCell ref="BE103:BE107"/>
    <mergeCell ref="BF103:BF107"/>
    <mergeCell ref="BG103:BG107"/>
    <mergeCell ref="BH103:BH107"/>
    <mergeCell ref="BC108:BC111"/>
    <mergeCell ref="BD108:BD111"/>
    <mergeCell ref="BE108:BE111"/>
    <mergeCell ref="BF108:BF111"/>
    <mergeCell ref="BG108:BG111"/>
    <mergeCell ref="BH108:BH111"/>
    <mergeCell ref="BC112:BC120"/>
    <mergeCell ref="BD112:BD120"/>
    <mergeCell ref="BE112:BE120"/>
    <mergeCell ref="BF112:BF120"/>
    <mergeCell ref="BG112:BG120"/>
    <mergeCell ref="BH112:BH120"/>
    <mergeCell ref="BC128:BC136"/>
    <mergeCell ref="BD128:BD136"/>
    <mergeCell ref="BE128:BE136"/>
    <mergeCell ref="BF128:BF136"/>
    <mergeCell ref="BG128:BG136"/>
    <mergeCell ref="BH128:BH136"/>
    <mergeCell ref="BC141:BC143"/>
    <mergeCell ref="BD141:BD143"/>
    <mergeCell ref="BE141:BE143"/>
    <mergeCell ref="BF141:BF143"/>
    <mergeCell ref="BG141:BG143"/>
    <mergeCell ref="BH141:BH143"/>
    <mergeCell ref="BC145:BC149"/>
    <mergeCell ref="BD145:BD149"/>
    <mergeCell ref="BE145:BE149"/>
    <mergeCell ref="BF145:BF149"/>
    <mergeCell ref="BG145:BG149"/>
    <mergeCell ref="BH145:BH149"/>
    <mergeCell ref="BC150:BC151"/>
    <mergeCell ref="BD150:BD151"/>
    <mergeCell ref="BE150:BE151"/>
    <mergeCell ref="BF150:BF151"/>
    <mergeCell ref="BG150:BG151"/>
    <mergeCell ref="BH150:BH151"/>
    <mergeCell ref="BC154:BC156"/>
    <mergeCell ref="BD154:BD156"/>
    <mergeCell ref="BE154:BE156"/>
    <mergeCell ref="BF154:BF156"/>
    <mergeCell ref="BG154:BG156"/>
    <mergeCell ref="BH154:BH156"/>
    <mergeCell ref="BC157:BC159"/>
    <mergeCell ref="BD157:BD159"/>
    <mergeCell ref="BE157:BE159"/>
    <mergeCell ref="BF157:BF159"/>
    <mergeCell ref="BG157:BG159"/>
    <mergeCell ref="BH157:BH159"/>
    <mergeCell ref="BC160:BC161"/>
    <mergeCell ref="BD160:BD161"/>
    <mergeCell ref="BE160:BE161"/>
    <mergeCell ref="BF160:BF161"/>
    <mergeCell ref="BG160:BG161"/>
    <mergeCell ref="BH160:BH161"/>
    <mergeCell ref="BC163:BC168"/>
    <mergeCell ref="BD163:BD168"/>
    <mergeCell ref="BE163:BE168"/>
    <mergeCell ref="BF163:BF168"/>
    <mergeCell ref="BG163:BG168"/>
    <mergeCell ref="BH163:BH168"/>
    <mergeCell ref="BC169:BC174"/>
    <mergeCell ref="BD169:BD174"/>
    <mergeCell ref="BE169:BE174"/>
    <mergeCell ref="BF169:BF174"/>
    <mergeCell ref="BG169:BG174"/>
    <mergeCell ref="BH169:BH174"/>
    <mergeCell ref="BC178:BC180"/>
    <mergeCell ref="BD178:BD180"/>
    <mergeCell ref="BE178:BE180"/>
    <mergeCell ref="BF178:BF180"/>
    <mergeCell ref="BG178:BG180"/>
    <mergeCell ref="BH178:BH180"/>
    <mergeCell ref="BC182:BC194"/>
    <mergeCell ref="BD182:BD194"/>
    <mergeCell ref="BE182:BE194"/>
    <mergeCell ref="BF182:BF194"/>
    <mergeCell ref="BG182:BG194"/>
    <mergeCell ref="BH182:BH194"/>
    <mergeCell ref="BC195:BC201"/>
    <mergeCell ref="BD195:BD201"/>
    <mergeCell ref="BE195:BE201"/>
    <mergeCell ref="BF195:BF201"/>
    <mergeCell ref="BG195:BG201"/>
    <mergeCell ref="BH195:BH201"/>
    <mergeCell ref="BC202:BC207"/>
    <mergeCell ref="BD202:BD207"/>
    <mergeCell ref="BE202:BE207"/>
    <mergeCell ref="BF202:BF207"/>
    <mergeCell ref="BG202:BG207"/>
    <mergeCell ref="BH202:BH207"/>
    <mergeCell ref="BC208:BC209"/>
    <mergeCell ref="BD208:BD209"/>
    <mergeCell ref="BE208:BE209"/>
    <mergeCell ref="BF208:BF209"/>
    <mergeCell ref="BG208:BG209"/>
    <mergeCell ref="BH208:BH209"/>
    <mergeCell ref="BC211:BC213"/>
    <mergeCell ref="BD211:BD213"/>
    <mergeCell ref="BE211:BE213"/>
    <mergeCell ref="BF211:BF213"/>
    <mergeCell ref="BG211:BG213"/>
    <mergeCell ref="BH211:BH213"/>
    <mergeCell ref="BC214:BC215"/>
    <mergeCell ref="BD214:BD215"/>
    <mergeCell ref="BE214:BE215"/>
    <mergeCell ref="BF214:BF215"/>
    <mergeCell ref="BG214:BG215"/>
    <mergeCell ref="BH214:BH215"/>
    <mergeCell ref="BC217:BC220"/>
    <mergeCell ref="BD217:BD220"/>
    <mergeCell ref="BE217:BE220"/>
    <mergeCell ref="BF217:BF220"/>
    <mergeCell ref="BG217:BG220"/>
    <mergeCell ref="BH217:BH220"/>
    <mergeCell ref="BC225:BC227"/>
    <mergeCell ref="BD225:BD227"/>
    <mergeCell ref="BE225:BE227"/>
    <mergeCell ref="BF225:BF227"/>
    <mergeCell ref="BG225:BG227"/>
    <mergeCell ref="BH225:BH227"/>
    <mergeCell ref="BC229:BC232"/>
    <mergeCell ref="BD229:BD232"/>
    <mergeCell ref="BE229:BE232"/>
    <mergeCell ref="BF229:BF232"/>
    <mergeCell ref="BG229:BG232"/>
    <mergeCell ref="BH229:BH232"/>
    <mergeCell ref="BC233:BC234"/>
    <mergeCell ref="BD233:BD234"/>
    <mergeCell ref="BE233:BE234"/>
    <mergeCell ref="BF233:BF234"/>
    <mergeCell ref="BG233:BG234"/>
    <mergeCell ref="BH233:BH234"/>
    <mergeCell ref="BC235:BC236"/>
    <mergeCell ref="BD235:BD236"/>
    <mergeCell ref="BE235:BE236"/>
    <mergeCell ref="BF235:BF236"/>
    <mergeCell ref="BG235:BG236"/>
    <mergeCell ref="BH235:BH236"/>
    <mergeCell ref="BC240:BC241"/>
    <mergeCell ref="BD240:BD241"/>
    <mergeCell ref="BE240:BE241"/>
    <mergeCell ref="BF240:BF241"/>
    <mergeCell ref="BG240:BG241"/>
    <mergeCell ref="BH240:BH241"/>
    <mergeCell ref="BC242:BC243"/>
    <mergeCell ref="BD242:BD243"/>
    <mergeCell ref="BE242:BE243"/>
    <mergeCell ref="BF242:BF243"/>
    <mergeCell ref="BG242:BG243"/>
    <mergeCell ref="BH242:BH243"/>
    <mergeCell ref="BC247:BC258"/>
    <mergeCell ref="BD247:BD258"/>
    <mergeCell ref="BE247:BE258"/>
    <mergeCell ref="BF247:BF258"/>
    <mergeCell ref="BG247:BG258"/>
    <mergeCell ref="BH247:BH258"/>
    <mergeCell ref="BC259:BC260"/>
    <mergeCell ref="BD259:BD260"/>
    <mergeCell ref="BE259:BE260"/>
    <mergeCell ref="BF259:BF260"/>
    <mergeCell ref="BG259:BG260"/>
    <mergeCell ref="BH259:BH260"/>
    <mergeCell ref="BC263:BC264"/>
    <mergeCell ref="BD263:BD264"/>
    <mergeCell ref="BE263:BE264"/>
    <mergeCell ref="BF263:BF264"/>
    <mergeCell ref="BG263:BG264"/>
    <mergeCell ref="BH263:BH264"/>
    <mergeCell ref="BC270:BC271"/>
    <mergeCell ref="BD270:BD271"/>
    <mergeCell ref="BE270:BE271"/>
    <mergeCell ref="BF270:BF271"/>
    <mergeCell ref="BG270:BG271"/>
    <mergeCell ref="BH270:BH271"/>
    <mergeCell ref="BC272:BC273"/>
    <mergeCell ref="BD272:BD273"/>
    <mergeCell ref="BE272:BE273"/>
    <mergeCell ref="BF272:BF273"/>
    <mergeCell ref="BG272:BG273"/>
    <mergeCell ref="BH272:BH273"/>
    <mergeCell ref="BC274:BC278"/>
    <mergeCell ref="BD274:BD278"/>
    <mergeCell ref="BE274:BE278"/>
    <mergeCell ref="BF274:BF278"/>
    <mergeCell ref="BG274:BG278"/>
    <mergeCell ref="BH274:BH278"/>
    <mergeCell ref="BC279:BC283"/>
    <mergeCell ref="BD279:BD283"/>
    <mergeCell ref="BE279:BE283"/>
    <mergeCell ref="BF279:BF283"/>
    <mergeCell ref="BG279:BG283"/>
    <mergeCell ref="BH279:BH283"/>
    <mergeCell ref="BC284:BC286"/>
    <mergeCell ref="BD284:BD286"/>
    <mergeCell ref="BE284:BE286"/>
    <mergeCell ref="BF284:BF286"/>
    <mergeCell ref="BG284:BG286"/>
    <mergeCell ref="BH284:BH286"/>
    <mergeCell ref="BC287:BC290"/>
    <mergeCell ref="BD287:BD290"/>
    <mergeCell ref="BE287:BE290"/>
    <mergeCell ref="BF287:BF290"/>
    <mergeCell ref="BG287:BG290"/>
    <mergeCell ref="BH287:BH290"/>
    <mergeCell ref="BC292:BC297"/>
    <mergeCell ref="BD292:BD297"/>
    <mergeCell ref="BE292:BE297"/>
    <mergeCell ref="BF292:BF297"/>
    <mergeCell ref="BG292:BG297"/>
    <mergeCell ref="BH292:BH297"/>
    <mergeCell ref="BC300:BC305"/>
    <mergeCell ref="BD300:BD305"/>
    <mergeCell ref="BE300:BE305"/>
    <mergeCell ref="BF300:BF305"/>
    <mergeCell ref="BG300:BG305"/>
    <mergeCell ref="BH300:BH305"/>
    <mergeCell ref="BC306:BC309"/>
    <mergeCell ref="BD306:BD309"/>
    <mergeCell ref="BE306:BE309"/>
    <mergeCell ref="BF306:BF309"/>
    <mergeCell ref="BG306:BG309"/>
    <mergeCell ref="BH306:BH309"/>
    <mergeCell ref="BC311:BC312"/>
    <mergeCell ref="BD311:BD312"/>
    <mergeCell ref="BE311:BE312"/>
    <mergeCell ref="BF311:BF312"/>
    <mergeCell ref="BG311:BG312"/>
    <mergeCell ref="BH311:BH312"/>
    <mergeCell ref="BC314:BC320"/>
    <mergeCell ref="BD314:BD320"/>
    <mergeCell ref="BE314:BE320"/>
    <mergeCell ref="BF314:BF320"/>
    <mergeCell ref="BG314:BG320"/>
    <mergeCell ref="BH314:BH320"/>
    <mergeCell ref="BC321:BC322"/>
    <mergeCell ref="BD321:BD322"/>
    <mergeCell ref="BE321:BE322"/>
    <mergeCell ref="BF321:BF322"/>
    <mergeCell ref="BG321:BG322"/>
    <mergeCell ref="BH321:BH322"/>
    <mergeCell ref="BC323:BC329"/>
    <mergeCell ref="BD323:BD329"/>
    <mergeCell ref="BE323:BE329"/>
    <mergeCell ref="BF323:BF329"/>
    <mergeCell ref="BG323:BG329"/>
    <mergeCell ref="BH323:BH329"/>
    <mergeCell ref="BC331:BC333"/>
    <mergeCell ref="BD331:BD333"/>
    <mergeCell ref="BE331:BE333"/>
    <mergeCell ref="BF331:BF333"/>
    <mergeCell ref="BG331:BG333"/>
    <mergeCell ref="BH331:BH333"/>
    <mergeCell ref="BC334:BC337"/>
    <mergeCell ref="BD334:BD337"/>
    <mergeCell ref="BE334:BE337"/>
    <mergeCell ref="BF334:BF337"/>
    <mergeCell ref="BG334:BG337"/>
    <mergeCell ref="BH334:BH337"/>
    <mergeCell ref="BC338:BC341"/>
    <mergeCell ref="BD338:BD341"/>
    <mergeCell ref="BE338:BE341"/>
    <mergeCell ref="BF338:BF341"/>
    <mergeCell ref="BG338:BG341"/>
    <mergeCell ref="BH338:BH341"/>
    <mergeCell ref="BC342:BC343"/>
    <mergeCell ref="BD342:BD343"/>
    <mergeCell ref="BE342:BE343"/>
    <mergeCell ref="BF342:BF343"/>
    <mergeCell ref="BG342:BG343"/>
    <mergeCell ref="BH342:BH343"/>
    <mergeCell ref="BC344:BC347"/>
    <mergeCell ref="BD344:BD347"/>
    <mergeCell ref="BE344:BE347"/>
    <mergeCell ref="BF344:BF347"/>
    <mergeCell ref="BG344:BG347"/>
    <mergeCell ref="BH344:BH347"/>
    <mergeCell ref="BC348:BC351"/>
    <mergeCell ref="BD348:BD351"/>
    <mergeCell ref="BE348:BE351"/>
    <mergeCell ref="BF348:BF351"/>
    <mergeCell ref="BG348:BG351"/>
    <mergeCell ref="BH348:BH351"/>
    <mergeCell ref="BC352:BC355"/>
    <mergeCell ref="BD352:BD355"/>
    <mergeCell ref="BE352:BE355"/>
    <mergeCell ref="BF352:BF355"/>
    <mergeCell ref="BG352:BG355"/>
    <mergeCell ref="BH352:BH355"/>
    <mergeCell ref="BC356:BC357"/>
    <mergeCell ref="BD356:BD357"/>
    <mergeCell ref="BE356:BE357"/>
    <mergeCell ref="BF356:BF357"/>
    <mergeCell ref="BG356:BG357"/>
    <mergeCell ref="BH356:BH357"/>
    <mergeCell ref="BC358:BC359"/>
    <mergeCell ref="BD358:BD359"/>
    <mergeCell ref="BE358:BE359"/>
    <mergeCell ref="BF358:BF359"/>
    <mergeCell ref="BG358:BG359"/>
    <mergeCell ref="BH358:BH359"/>
    <mergeCell ref="BC365:BC367"/>
    <mergeCell ref="BD365:BD367"/>
    <mergeCell ref="BE365:BE367"/>
    <mergeCell ref="BF365:BF367"/>
    <mergeCell ref="BG365:BG367"/>
    <mergeCell ref="BH365:BH367"/>
    <mergeCell ref="BC368:BC370"/>
    <mergeCell ref="BD368:BD370"/>
    <mergeCell ref="BE368:BE370"/>
    <mergeCell ref="BF368:BF370"/>
    <mergeCell ref="BG368:BG370"/>
    <mergeCell ref="BH368:BH370"/>
    <mergeCell ref="BC373:BC380"/>
    <mergeCell ref="BD373:BD380"/>
    <mergeCell ref="BE373:BE380"/>
    <mergeCell ref="BF373:BF380"/>
    <mergeCell ref="BG373:BG380"/>
    <mergeCell ref="BH373:BH380"/>
    <mergeCell ref="BC383:BC384"/>
    <mergeCell ref="BD383:BD384"/>
    <mergeCell ref="BE383:BE384"/>
    <mergeCell ref="BF383:BF384"/>
    <mergeCell ref="BG383:BG384"/>
    <mergeCell ref="BH383:BH384"/>
    <mergeCell ref="BC385:BC399"/>
    <mergeCell ref="BD385:BD399"/>
    <mergeCell ref="BE385:BE399"/>
    <mergeCell ref="BF385:BF399"/>
    <mergeCell ref="BG385:BG399"/>
    <mergeCell ref="BH385:BH399"/>
    <mergeCell ref="BC402:BC403"/>
    <mergeCell ref="BD402:BD403"/>
    <mergeCell ref="BE402:BE403"/>
    <mergeCell ref="BF402:BF403"/>
    <mergeCell ref="BG402:BG403"/>
    <mergeCell ref="BH402:BH403"/>
    <mergeCell ref="BC405:BC406"/>
    <mergeCell ref="BD405:BD406"/>
    <mergeCell ref="BE405:BE406"/>
    <mergeCell ref="BF405:BF406"/>
    <mergeCell ref="BG405:BG406"/>
    <mergeCell ref="BH405:BH406"/>
    <mergeCell ref="BC407:BC408"/>
    <mergeCell ref="BD407:BD408"/>
    <mergeCell ref="BE407:BE408"/>
    <mergeCell ref="BF407:BF408"/>
    <mergeCell ref="BG407:BG408"/>
    <mergeCell ref="BH407:BH408"/>
    <mergeCell ref="BC410:BC412"/>
    <mergeCell ref="BD410:BD412"/>
    <mergeCell ref="BE410:BE412"/>
    <mergeCell ref="BF410:BF412"/>
    <mergeCell ref="BG410:BG412"/>
    <mergeCell ref="BH410:BH412"/>
    <mergeCell ref="BC413:BC424"/>
    <mergeCell ref="BD413:BD424"/>
    <mergeCell ref="BE413:BE424"/>
    <mergeCell ref="BF413:BF424"/>
    <mergeCell ref="BG413:BG424"/>
    <mergeCell ref="BH413:BH424"/>
    <mergeCell ref="BC427:BC434"/>
    <mergeCell ref="BD427:BD434"/>
    <mergeCell ref="BE427:BE434"/>
    <mergeCell ref="BF427:BF434"/>
    <mergeCell ref="BG427:BG434"/>
    <mergeCell ref="BH427:BH434"/>
    <mergeCell ref="BC436:BC438"/>
    <mergeCell ref="BD436:BD438"/>
    <mergeCell ref="BE436:BE438"/>
    <mergeCell ref="BF436:BF438"/>
    <mergeCell ref="BG436:BG438"/>
    <mergeCell ref="BH436:BH438"/>
    <mergeCell ref="BC445:BC447"/>
    <mergeCell ref="BD445:BD447"/>
    <mergeCell ref="BE445:BE447"/>
    <mergeCell ref="BF445:BF447"/>
    <mergeCell ref="BG445:BG447"/>
    <mergeCell ref="BH445:BH447"/>
    <mergeCell ref="BC449:BC456"/>
    <mergeCell ref="BD449:BD456"/>
    <mergeCell ref="BE449:BE456"/>
    <mergeCell ref="BF449:BF456"/>
    <mergeCell ref="BG449:BG456"/>
    <mergeCell ref="BH449:BH456"/>
    <mergeCell ref="BC465:BC468"/>
    <mergeCell ref="BD465:BD468"/>
    <mergeCell ref="BE465:BE468"/>
    <mergeCell ref="BF465:BF468"/>
    <mergeCell ref="BG465:BG468"/>
    <mergeCell ref="BH465:BH468"/>
    <mergeCell ref="BC469:BC470"/>
    <mergeCell ref="BD469:BD470"/>
    <mergeCell ref="BE469:BE470"/>
    <mergeCell ref="BF469:BF470"/>
    <mergeCell ref="BG469:BG470"/>
    <mergeCell ref="BH469:BH470"/>
    <mergeCell ref="BC471:BC472"/>
    <mergeCell ref="BD471:BD472"/>
    <mergeCell ref="BE471:BE472"/>
    <mergeCell ref="BF471:BF472"/>
    <mergeCell ref="BG471:BG472"/>
    <mergeCell ref="BH471:BH472"/>
    <mergeCell ref="BC473:BC485"/>
    <mergeCell ref="BD473:BD485"/>
    <mergeCell ref="BE473:BE485"/>
    <mergeCell ref="BF473:BF485"/>
    <mergeCell ref="BG473:BG485"/>
    <mergeCell ref="BH473:BH485"/>
    <mergeCell ref="BC486:BC491"/>
    <mergeCell ref="BD486:BD491"/>
    <mergeCell ref="BE486:BE491"/>
    <mergeCell ref="BF486:BF491"/>
    <mergeCell ref="BG486:BG491"/>
    <mergeCell ref="BH486:BH491"/>
    <mergeCell ref="BC494:BC497"/>
    <mergeCell ref="BD494:BD497"/>
    <mergeCell ref="BE494:BE497"/>
    <mergeCell ref="BF494:BF497"/>
    <mergeCell ref="BG494:BG497"/>
    <mergeCell ref="BH494:BH497"/>
    <mergeCell ref="BC498:BC499"/>
    <mergeCell ref="BD498:BD499"/>
    <mergeCell ref="BE498:BE499"/>
    <mergeCell ref="BF498:BF499"/>
    <mergeCell ref="BG498:BG499"/>
    <mergeCell ref="BH498:BH499"/>
    <mergeCell ref="BC503:BC505"/>
    <mergeCell ref="BD503:BD505"/>
    <mergeCell ref="BE503:BE505"/>
    <mergeCell ref="BF503:BF505"/>
    <mergeCell ref="BG503:BG505"/>
    <mergeCell ref="BH503:BH505"/>
    <mergeCell ref="BC508:BC509"/>
    <mergeCell ref="BD508:BD509"/>
    <mergeCell ref="BE508:BE509"/>
    <mergeCell ref="BF508:BF509"/>
    <mergeCell ref="BG508:BG509"/>
    <mergeCell ref="BH508:BH509"/>
    <mergeCell ref="BC511:BC513"/>
    <mergeCell ref="BD511:BD513"/>
    <mergeCell ref="BE511:BE513"/>
    <mergeCell ref="BF511:BF513"/>
    <mergeCell ref="BG511:BG513"/>
    <mergeCell ref="BH511:BH513"/>
    <mergeCell ref="BC514:BC515"/>
    <mergeCell ref="BD514:BD515"/>
    <mergeCell ref="BE514:BE515"/>
    <mergeCell ref="BF514:BF515"/>
    <mergeCell ref="BG514:BG515"/>
    <mergeCell ref="BH514:BH515"/>
    <mergeCell ref="BC516:BC520"/>
    <mergeCell ref="BD516:BD520"/>
    <mergeCell ref="BE516:BE520"/>
    <mergeCell ref="BF516:BF520"/>
    <mergeCell ref="BG516:BG520"/>
    <mergeCell ref="BH516:BH520"/>
    <mergeCell ref="BC522:BC523"/>
    <mergeCell ref="BD522:BD523"/>
    <mergeCell ref="BE522:BE523"/>
    <mergeCell ref="BF522:BF523"/>
    <mergeCell ref="BG522:BG523"/>
    <mergeCell ref="BH522:BH523"/>
    <mergeCell ref="BC525:BC526"/>
    <mergeCell ref="BD525:BD526"/>
    <mergeCell ref="BE525:BE526"/>
    <mergeCell ref="BF525:BF526"/>
    <mergeCell ref="BG525:BG526"/>
    <mergeCell ref="BH525:BH526"/>
    <mergeCell ref="BC527:BC535"/>
    <mergeCell ref="BD527:BD535"/>
    <mergeCell ref="BE527:BE535"/>
    <mergeCell ref="BF527:BF535"/>
    <mergeCell ref="BG527:BG535"/>
    <mergeCell ref="BH527:BH535"/>
    <mergeCell ref="BC536:BC537"/>
    <mergeCell ref="BD536:BD537"/>
    <mergeCell ref="BE536:BE537"/>
    <mergeCell ref="BF536:BF537"/>
    <mergeCell ref="BG536:BG537"/>
    <mergeCell ref="BH536:BH537"/>
    <mergeCell ref="BC538:BC543"/>
    <mergeCell ref="BD538:BD543"/>
    <mergeCell ref="BE538:BE543"/>
    <mergeCell ref="BF538:BF543"/>
    <mergeCell ref="BG538:BG543"/>
    <mergeCell ref="BH538:BH543"/>
    <mergeCell ref="BC544:BC554"/>
    <mergeCell ref="BD544:BD554"/>
    <mergeCell ref="BE544:BE554"/>
    <mergeCell ref="BF544:BF554"/>
    <mergeCell ref="BG544:BG554"/>
    <mergeCell ref="BH544:BH554"/>
    <mergeCell ref="BC555:BC556"/>
    <mergeCell ref="BD555:BD556"/>
    <mergeCell ref="BE555:BE556"/>
    <mergeCell ref="BF555:BF556"/>
    <mergeCell ref="BG555:BG556"/>
    <mergeCell ref="BH555:BH556"/>
    <mergeCell ref="BC557:BC558"/>
    <mergeCell ref="BD557:BD558"/>
    <mergeCell ref="BE557:BE558"/>
    <mergeCell ref="BF557:BF558"/>
    <mergeCell ref="BG557:BG558"/>
    <mergeCell ref="BH557:BH558"/>
    <mergeCell ref="BC559:BC568"/>
    <mergeCell ref="BD559:BD568"/>
    <mergeCell ref="BE559:BE568"/>
    <mergeCell ref="BF559:BF568"/>
    <mergeCell ref="BG559:BG568"/>
    <mergeCell ref="BH559:BH568"/>
    <mergeCell ref="BC570:BC572"/>
    <mergeCell ref="BD570:BD572"/>
    <mergeCell ref="BE570:BE572"/>
    <mergeCell ref="BF570:BF572"/>
    <mergeCell ref="BG570:BG572"/>
    <mergeCell ref="BH570:BH572"/>
    <mergeCell ref="BC573:BC582"/>
    <mergeCell ref="BD573:BD582"/>
    <mergeCell ref="BE573:BE582"/>
    <mergeCell ref="BF573:BF582"/>
    <mergeCell ref="BG573:BG582"/>
    <mergeCell ref="BH573:BH582"/>
    <mergeCell ref="BC583:BC586"/>
    <mergeCell ref="BD583:BD586"/>
    <mergeCell ref="BE583:BE586"/>
    <mergeCell ref="BF583:BF586"/>
    <mergeCell ref="BG583:BG586"/>
    <mergeCell ref="BH583:BH586"/>
    <mergeCell ref="BC587:BC588"/>
    <mergeCell ref="BD587:BD588"/>
    <mergeCell ref="BE587:BE588"/>
    <mergeCell ref="BF587:BF588"/>
    <mergeCell ref="BG587:BG588"/>
    <mergeCell ref="BH587:BH588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6"/>
    <mergeCell ref="BD594:BD596"/>
    <mergeCell ref="BE594:BE596"/>
    <mergeCell ref="BF594:BF596"/>
    <mergeCell ref="BG594:BG596"/>
    <mergeCell ref="BH594:BH596"/>
    <mergeCell ref="BC597:BC622"/>
    <mergeCell ref="BD597:BD622"/>
    <mergeCell ref="BE597:BE622"/>
    <mergeCell ref="BF597:BF622"/>
    <mergeCell ref="BG597:BG622"/>
    <mergeCell ref="BH597:BH622"/>
    <mergeCell ref="BC623:BC677"/>
    <mergeCell ref="BD623:BD677"/>
    <mergeCell ref="BE623:BE677"/>
    <mergeCell ref="BF623:BF677"/>
    <mergeCell ref="BG623:BG677"/>
    <mergeCell ref="BH623:BH677"/>
    <mergeCell ref="BC680:BC765"/>
    <mergeCell ref="BD680:BD765"/>
    <mergeCell ref="BE680:BE765"/>
    <mergeCell ref="BF680:BF765"/>
    <mergeCell ref="BG680:BG765"/>
    <mergeCell ref="BH680:BH765"/>
    <mergeCell ref="BC767:BC789"/>
    <mergeCell ref="BD767:BD789"/>
    <mergeCell ref="BE767:BE789"/>
    <mergeCell ref="BF767:BF789"/>
    <mergeCell ref="BG767:BG789"/>
    <mergeCell ref="BH767:BH789"/>
    <mergeCell ref="BC794:BC797"/>
    <mergeCell ref="BD794:BD797"/>
    <mergeCell ref="BE794:BE797"/>
    <mergeCell ref="BF794:BF797"/>
    <mergeCell ref="BG794:BG797"/>
    <mergeCell ref="BH794:BH797"/>
    <mergeCell ref="BC798:BC802"/>
    <mergeCell ref="BD798:BD802"/>
    <mergeCell ref="BE798:BE802"/>
    <mergeCell ref="BF798:BF802"/>
    <mergeCell ref="BG798:BG802"/>
    <mergeCell ref="BH798:BH802"/>
    <mergeCell ref="BC803:BC808"/>
    <mergeCell ref="BD803:BD808"/>
    <mergeCell ref="BE803:BE808"/>
    <mergeCell ref="BF803:BF808"/>
    <mergeCell ref="BG803:BG808"/>
    <mergeCell ref="BH803:BH808"/>
    <mergeCell ref="BC809:BC812"/>
    <mergeCell ref="BD809:BD812"/>
    <mergeCell ref="BE809:BE812"/>
    <mergeCell ref="BF809:BF812"/>
    <mergeCell ref="BG809:BG812"/>
    <mergeCell ref="BH809:BH812"/>
    <mergeCell ref="BC815:BC816"/>
    <mergeCell ref="BD815:BD816"/>
    <mergeCell ref="BE815:BE816"/>
    <mergeCell ref="BF815:BF816"/>
    <mergeCell ref="BG815:BG816"/>
    <mergeCell ref="BH815:BH816"/>
    <mergeCell ref="BC818:BC819"/>
    <mergeCell ref="BD818:BD819"/>
    <mergeCell ref="BE818:BE819"/>
    <mergeCell ref="BF818:BF819"/>
    <mergeCell ref="BG818:BG819"/>
    <mergeCell ref="BH818:BH819"/>
    <mergeCell ref="BC824:BC825"/>
    <mergeCell ref="BD824:BD825"/>
    <mergeCell ref="BE824:BE825"/>
    <mergeCell ref="BF824:BF825"/>
    <mergeCell ref="BG824:BG825"/>
    <mergeCell ref="BH824:BH825"/>
    <mergeCell ref="BC826:BC827"/>
    <mergeCell ref="BD826:BD827"/>
    <mergeCell ref="BE826:BE827"/>
    <mergeCell ref="BF826:BF827"/>
    <mergeCell ref="BG826:BG827"/>
    <mergeCell ref="BH826:BH827"/>
    <mergeCell ref="BC832:BC846"/>
    <mergeCell ref="BD832:BD846"/>
    <mergeCell ref="BE832:BE846"/>
    <mergeCell ref="BF832:BF846"/>
    <mergeCell ref="BG832:BG846"/>
    <mergeCell ref="BH832:BH846"/>
    <mergeCell ref="BC847:BC854"/>
    <mergeCell ref="BD847:BD854"/>
    <mergeCell ref="BE847:BE854"/>
    <mergeCell ref="BF847:BF854"/>
    <mergeCell ref="BG847:BG854"/>
    <mergeCell ref="BH847:BH854"/>
    <mergeCell ref="BC855:BC874"/>
    <mergeCell ref="BD855:BD874"/>
    <mergeCell ref="BE855:BE874"/>
    <mergeCell ref="BF855:BF874"/>
    <mergeCell ref="BG855:BG874"/>
    <mergeCell ref="BH855:BH874"/>
    <mergeCell ref="BC876:BC879"/>
    <mergeCell ref="BD876:BD879"/>
    <mergeCell ref="BE876:BE879"/>
    <mergeCell ref="BF876:BF879"/>
    <mergeCell ref="BG876:BG879"/>
    <mergeCell ref="BH876:BH879"/>
    <mergeCell ref="BC881:BC887"/>
    <mergeCell ref="BD881:BD887"/>
    <mergeCell ref="BE881:BE887"/>
    <mergeCell ref="BF881:BF887"/>
    <mergeCell ref="BG881:BG887"/>
    <mergeCell ref="BH881:BH887"/>
    <mergeCell ref="BC888:BC890"/>
    <mergeCell ref="BD888:BD890"/>
    <mergeCell ref="BE888:BE890"/>
    <mergeCell ref="BF888:BF890"/>
    <mergeCell ref="BG888:BG890"/>
    <mergeCell ref="BH888:BH890"/>
    <mergeCell ref="BC899:BC906"/>
    <mergeCell ref="BD899:BD906"/>
    <mergeCell ref="BE899:BE906"/>
    <mergeCell ref="BF899:BF906"/>
    <mergeCell ref="BG899:BG906"/>
    <mergeCell ref="BH899:BH906"/>
    <mergeCell ref="BC907:BC911"/>
    <mergeCell ref="BD907:BD911"/>
    <mergeCell ref="BE907:BE911"/>
    <mergeCell ref="BF907:BF911"/>
    <mergeCell ref="BG907:BG911"/>
    <mergeCell ref="BH907:BH911"/>
    <mergeCell ref="BC912:BC913"/>
    <mergeCell ref="BD912:BD913"/>
    <mergeCell ref="BE912:BE913"/>
    <mergeCell ref="BF912:BF913"/>
    <mergeCell ref="BG912:BG913"/>
    <mergeCell ref="BH912:BH913"/>
    <mergeCell ref="BC917:BC918"/>
    <mergeCell ref="BD917:BD918"/>
    <mergeCell ref="BE917:BE918"/>
    <mergeCell ref="BF917:BF918"/>
    <mergeCell ref="BG917:BG918"/>
    <mergeCell ref="BH917:BH918"/>
    <mergeCell ref="BC924:BC928"/>
    <mergeCell ref="BD924:BD928"/>
    <mergeCell ref="BE924:BE928"/>
    <mergeCell ref="BF924:BF928"/>
    <mergeCell ref="BG924:BG928"/>
    <mergeCell ref="BH924:BH928"/>
    <mergeCell ref="BC929:BC934"/>
    <mergeCell ref="BD929:BD934"/>
    <mergeCell ref="BE929:BE934"/>
    <mergeCell ref="BF929:BF934"/>
    <mergeCell ref="BG929:BG934"/>
    <mergeCell ref="BH929:BH934"/>
    <mergeCell ref="BC935:BC940"/>
    <mergeCell ref="BD935:BD940"/>
    <mergeCell ref="BE935:BE940"/>
    <mergeCell ref="BF935:BF940"/>
    <mergeCell ref="BG935:BG940"/>
    <mergeCell ref="BH935:BH940"/>
    <mergeCell ref="BC941:BC974"/>
    <mergeCell ref="BD941:BD974"/>
    <mergeCell ref="BE941:BE974"/>
    <mergeCell ref="BF941:BF974"/>
    <mergeCell ref="BG941:BG974"/>
    <mergeCell ref="BH941:BH974"/>
    <mergeCell ref="BC975:BC976"/>
    <mergeCell ref="BD975:BD976"/>
    <mergeCell ref="BE975:BE976"/>
    <mergeCell ref="BF975:BF976"/>
    <mergeCell ref="BG975:BG976"/>
    <mergeCell ref="BH975:BH976"/>
    <mergeCell ref="BC979:BC980"/>
    <mergeCell ref="BD979:BD980"/>
    <mergeCell ref="BE979:BE980"/>
    <mergeCell ref="BF979:BF980"/>
    <mergeCell ref="BG979:BG980"/>
    <mergeCell ref="BH979:BH980"/>
    <mergeCell ref="BC986:BC989"/>
    <mergeCell ref="BD986:BD989"/>
    <mergeCell ref="BE986:BE989"/>
    <mergeCell ref="BF986:BF989"/>
    <mergeCell ref="BG986:BG989"/>
    <mergeCell ref="BH986:BH989"/>
    <mergeCell ref="BC991:BC996"/>
    <mergeCell ref="BD991:BD996"/>
    <mergeCell ref="BE991:BE996"/>
    <mergeCell ref="BF991:BF996"/>
    <mergeCell ref="BG991:BG996"/>
    <mergeCell ref="BH991:BH996"/>
    <mergeCell ref="BC1001:BC1002"/>
    <mergeCell ref="BD1001:BD1002"/>
    <mergeCell ref="BE1001:BE1002"/>
    <mergeCell ref="BF1001:BF1002"/>
    <mergeCell ref="BG1001:BG1002"/>
    <mergeCell ref="BH1001:BH1002"/>
    <mergeCell ref="BC1003:BC1018"/>
    <mergeCell ref="BD1003:BD1018"/>
    <mergeCell ref="BE1003:BE1018"/>
    <mergeCell ref="BF1003:BF1018"/>
    <mergeCell ref="BG1003:BG1018"/>
    <mergeCell ref="BH1003:BH1018"/>
    <mergeCell ref="BC1021:BC1022"/>
    <mergeCell ref="BD1021:BD1022"/>
    <mergeCell ref="BE1021:BE1022"/>
    <mergeCell ref="BF1021:BF1022"/>
    <mergeCell ref="BG1021:BG1022"/>
    <mergeCell ref="BH1021:BH1022"/>
    <mergeCell ref="BC1023:BC1027"/>
    <mergeCell ref="BD1023:BD1027"/>
    <mergeCell ref="BE1023:BE1027"/>
    <mergeCell ref="BF1023:BF1027"/>
    <mergeCell ref="BG1023:BG1027"/>
    <mergeCell ref="BH1023:BH1027"/>
    <mergeCell ref="BC1032:BC1033"/>
    <mergeCell ref="BD1032:BD1033"/>
    <mergeCell ref="BE1032:BE1033"/>
    <mergeCell ref="BF1032:BF1033"/>
    <mergeCell ref="BG1032:BG1033"/>
    <mergeCell ref="BH1032:BH1033"/>
    <mergeCell ref="BC1034:BC1035"/>
    <mergeCell ref="BD1034:BD1035"/>
    <mergeCell ref="BE1034:BE1035"/>
    <mergeCell ref="BF1034:BF1035"/>
    <mergeCell ref="BG1034:BG1035"/>
    <mergeCell ref="BH1034:BH1035"/>
    <mergeCell ref="BC1037:BC1038"/>
    <mergeCell ref="BD1037:BD1038"/>
    <mergeCell ref="BE1037:BE1038"/>
    <mergeCell ref="BF1037:BF1038"/>
    <mergeCell ref="BG1037:BG1038"/>
    <mergeCell ref="BH1037:BH1038"/>
    <mergeCell ref="BC1040:BC1042"/>
    <mergeCell ref="BD1040:BD1042"/>
    <mergeCell ref="BE1040:BE1042"/>
    <mergeCell ref="BF1040:BF1042"/>
    <mergeCell ref="BG1040:BG1042"/>
    <mergeCell ref="BH1040:BH1042"/>
    <mergeCell ref="BC1043:BC1045"/>
    <mergeCell ref="BD1043:BD1045"/>
    <mergeCell ref="BE1043:BE1045"/>
    <mergeCell ref="BF1043:BF1045"/>
    <mergeCell ref="BG1043:BG1045"/>
    <mergeCell ref="BH1043:BH1045"/>
    <mergeCell ref="BC1048:BC1051"/>
    <mergeCell ref="BD1048:BD1051"/>
    <mergeCell ref="BE1048:BE1051"/>
    <mergeCell ref="BF1048:BF1051"/>
    <mergeCell ref="BG1048:BG1051"/>
    <mergeCell ref="BH1048:BH1051"/>
    <mergeCell ref="BC1053:BC1072"/>
    <mergeCell ref="BD1053:BD1072"/>
    <mergeCell ref="BE1053:BE1072"/>
    <mergeCell ref="BF1053:BF1072"/>
    <mergeCell ref="BG1053:BG1072"/>
    <mergeCell ref="BH1053:BH1072"/>
    <mergeCell ref="BC1073:BC1075"/>
    <mergeCell ref="BD1073:BD1075"/>
    <mergeCell ref="BE1073:BE1075"/>
    <mergeCell ref="BF1073:BF1075"/>
    <mergeCell ref="BG1073:BG1075"/>
    <mergeCell ref="BH1073:BH1075"/>
    <mergeCell ref="BC1078:BC1082"/>
    <mergeCell ref="BD1078:BD1082"/>
    <mergeCell ref="BE1078:BE1082"/>
    <mergeCell ref="BF1078:BF1082"/>
    <mergeCell ref="BG1078:BG1082"/>
    <mergeCell ref="BH1078:BH1082"/>
    <mergeCell ref="BC1086:BC1091"/>
    <mergeCell ref="BD1086:BD1091"/>
    <mergeCell ref="BE1086:BE1091"/>
    <mergeCell ref="BF1086:BF1091"/>
    <mergeCell ref="BG1086:BG1091"/>
    <mergeCell ref="BH1086:BH1091"/>
    <mergeCell ref="BC1097:BC1100"/>
    <mergeCell ref="BD1097:BD1100"/>
    <mergeCell ref="BE1097:BE1100"/>
    <mergeCell ref="BF1097:BF1100"/>
    <mergeCell ref="BG1097:BG1100"/>
    <mergeCell ref="BH1097:BH1100"/>
    <mergeCell ref="BC1102:BC1103"/>
    <mergeCell ref="BD1102:BD1103"/>
    <mergeCell ref="BE1102:BE1103"/>
    <mergeCell ref="BF1102:BF1103"/>
    <mergeCell ref="BG1102:BG1103"/>
    <mergeCell ref="BH1102:BH1103"/>
    <mergeCell ref="BC1106:BC1112"/>
    <mergeCell ref="BD1106:BD1112"/>
    <mergeCell ref="BE1106:BE1112"/>
    <mergeCell ref="BF1106:BF1112"/>
    <mergeCell ref="BG1106:BG1112"/>
    <mergeCell ref="BH1106:BH1112"/>
    <mergeCell ref="BC1113:BC1114"/>
    <mergeCell ref="BD1113:BD1114"/>
    <mergeCell ref="BE1113:BE1114"/>
    <mergeCell ref="BF1113:BF1114"/>
    <mergeCell ref="BG1113:BG1114"/>
    <mergeCell ref="BH1113:BH1114"/>
    <mergeCell ref="BC1115:BC1116"/>
    <mergeCell ref="BD1115:BD1116"/>
    <mergeCell ref="BE1115:BE1116"/>
    <mergeCell ref="BF1115:BF1116"/>
    <mergeCell ref="BG1115:BG1116"/>
    <mergeCell ref="BH1115:BH1116"/>
    <mergeCell ref="BC1117:BC1119"/>
    <mergeCell ref="BD1117:BD1119"/>
    <mergeCell ref="BE1117:BE1119"/>
    <mergeCell ref="BF1117:BF1119"/>
    <mergeCell ref="BG1117:BG1119"/>
    <mergeCell ref="BH1117:BH1119"/>
    <mergeCell ref="BC1120:BC1122"/>
    <mergeCell ref="BD1120:BD1122"/>
    <mergeCell ref="BE1120:BE1122"/>
    <mergeCell ref="BF1120:BF1122"/>
    <mergeCell ref="BG1120:BG1122"/>
    <mergeCell ref="BH1120:BH1122"/>
    <mergeCell ref="BC1126:BC1132"/>
    <mergeCell ref="BD1126:BD1132"/>
    <mergeCell ref="BE1126:BE1132"/>
    <mergeCell ref="BF1126:BF1132"/>
    <mergeCell ref="BG1126:BG1132"/>
    <mergeCell ref="BH1126:BH1132"/>
    <mergeCell ref="BC1133:BC1134"/>
    <mergeCell ref="BD1133:BD1134"/>
    <mergeCell ref="BE1133:BE1134"/>
    <mergeCell ref="BF1133:BF1134"/>
    <mergeCell ref="BG1133:BG1134"/>
    <mergeCell ref="BH1133:BH1134"/>
    <mergeCell ref="BC1135:BC1138"/>
    <mergeCell ref="BD1135:BD1138"/>
    <mergeCell ref="BE1135:BE1138"/>
    <mergeCell ref="BF1135:BF1138"/>
    <mergeCell ref="BG1135:BG1138"/>
    <mergeCell ref="BH1135:BH1138"/>
    <mergeCell ref="BC1139:BC1145"/>
    <mergeCell ref="BD1139:BD1145"/>
    <mergeCell ref="BE1139:BE1145"/>
    <mergeCell ref="BF1139:BF1145"/>
    <mergeCell ref="BG1139:BG1145"/>
    <mergeCell ref="BH1139:BH1145"/>
    <mergeCell ref="BC1149:BC1151"/>
    <mergeCell ref="BD1149:BD1151"/>
    <mergeCell ref="BE1149:BE1151"/>
    <mergeCell ref="BF1149:BF1151"/>
    <mergeCell ref="BG1149:BG1151"/>
    <mergeCell ref="BH1149:BH1151"/>
    <mergeCell ref="BC1154:BC1156"/>
    <mergeCell ref="BD1154:BD1156"/>
    <mergeCell ref="BE1154:BE1156"/>
    <mergeCell ref="BF1154:BF1156"/>
    <mergeCell ref="BG1154:BG1156"/>
    <mergeCell ref="BH1154:BH1156"/>
    <mergeCell ref="BC1157:BC1176"/>
    <mergeCell ref="BD1157:BD1176"/>
    <mergeCell ref="BE1157:BE1176"/>
    <mergeCell ref="BF1157:BF1176"/>
    <mergeCell ref="BG1157:BG1176"/>
    <mergeCell ref="BH1157:BH1176"/>
    <mergeCell ref="BC1177:BC1183"/>
    <mergeCell ref="BD1177:BD1183"/>
    <mergeCell ref="BE1177:BE1183"/>
    <mergeCell ref="BF1177:BF1183"/>
    <mergeCell ref="BG1177:BG1183"/>
    <mergeCell ref="BH1177:BH1183"/>
    <mergeCell ref="BC1184:BC1189"/>
    <mergeCell ref="BD1184:BD1189"/>
    <mergeCell ref="BE1184:BE1189"/>
    <mergeCell ref="BF1184:BF1189"/>
    <mergeCell ref="BG1184:BG1189"/>
    <mergeCell ref="BH1184:BH1189"/>
    <mergeCell ref="BC1190:BC1193"/>
    <mergeCell ref="BD1190:BD1193"/>
    <mergeCell ref="BE1190:BE1193"/>
    <mergeCell ref="BF1190:BF1193"/>
    <mergeCell ref="BG1190:BG1193"/>
    <mergeCell ref="BH1190:BH1193"/>
    <mergeCell ref="BC1196:BC1201"/>
    <mergeCell ref="BD1196:BD1201"/>
    <mergeCell ref="BE1196:BE1201"/>
    <mergeCell ref="BF1196:BF1201"/>
    <mergeCell ref="BG1196:BG1201"/>
    <mergeCell ref="BH1196:BH1201"/>
    <mergeCell ref="BC1202:BC1203"/>
    <mergeCell ref="BD1202:BD1203"/>
    <mergeCell ref="BE1202:BE1203"/>
    <mergeCell ref="BF1202:BF1203"/>
    <mergeCell ref="BG1202:BG1203"/>
    <mergeCell ref="BH1202:BH1203"/>
    <mergeCell ref="BC1207:BC1208"/>
    <mergeCell ref="BD1207:BD1208"/>
    <mergeCell ref="BE1207:BE1208"/>
    <mergeCell ref="BF1207:BF1208"/>
    <mergeCell ref="BG1207:BG1208"/>
    <mergeCell ref="BH1207:BH1208"/>
    <mergeCell ref="BC1213:BC1214"/>
    <mergeCell ref="BD1213:BD1214"/>
    <mergeCell ref="BE1213:BE1214"/>
    <mergeCell ref="BF1213:BF1214"/>
    <mergeCell ref="BG1213:BG1214"/>
    <mergeCell ref="BH1213:BH1214"/>
    <mergeCell ref="BC1215:BC1216"/>
    <mergeCell ref="BD1215:BD1216"/>
    <mergeCell ref="BE1215:BE1216"/>
    <mergeCell ref="BF1215:BF1216"/>
    <mergeCell ref="BG1215:BG1216"/>
    <mergeCell ref="BH1215:BH1216"/>
    <mergeCell ref="BC1221:BC1225"/>
    <mergeCell ref="BD1221:BD1225"/>
    <mergeCell ref="BE1221:BE1225"/>
    <mergeCell ref="BF1221:BF1225"/>
    <mergeCell ref="BG1221:BG1225"/>
    <mergeCell ref="BH1221:BH1225"/>
    <mergeCell ref="BC1226:BC1229"/>
    <mergeCell ref="BD1226:BD1229"/>
    <mergeCell ref="BE1226:BE1229"/>
    <mergeCell ref="BF1226:BF1229"/>
    <mergeCell ref="BG1226:BG1229"/>
    <mergeCell ref="BH1226:BH1229"/>
    <mergeCell ref="BC1230:BC1231"/>
    <mergeCell ref="BD1230:BD1231"/>
    <mergeCell ref="BE1230:BE1231"/>
    <mergeCell ref="BF1230:BF1231"/>
    <mergeCell ref="BG1230:BG1231"/>
    <mergeCell ref="BH1230:BH1231"/>
    <mergeCell ref="BC1233:BC1235"/>
    <mergeCell ref="BD1233:BD1235"/>
    <mergeCell ref="BE1233:BE1235"/>
    <mergeCell ref="BF1233:BF1235"/>
    <mergeCell ref="BG1233:BG1235"/>
    <mergeCell ref="BH1233:BH1235"/>
    <mergeCell ref="BC1236:BC1240"/>
    <mergeCell ref="BD1236:BD1240"/>
    <mergeCell ref="BE1236:BE1240"/>
    <mergeCell ref="BF1236:BF1240"/>
    <mergeCell ref="BG1236:BG1240"/>
    <mergeCell ref="BH1236:BH1240"/>
    <mergeCell ref="BC1241:BC1253"/>
    <mergeCell ref="BD1241:BD1253"/>
    <mergeCell ref="BE1241:BE1253"/>
    <mergeCell ref="BF1241:BF1253"/>
    <mergeCell ref="BG1241:BG1253"/>
    <mergeCell ref="BH1241:BH1253"/>
    <mergeCell ref="BC1254:BC1268"/>
    <mergeCell ref="BD1254:BD1268"/>
    <mergeCell ref="BE1254:BE1268"/>
    <mergeCell ref="BF1254:BF1268"/>
    <mergeCell ref="BG1254:BG1268"/>
    <mergeCell ref="BH1254:BH1268"/>
    <mergeCell ref="BC1269:BC1274"/>
    <mergeCell ref="BD1269:BD1274"/>
    <mergeCell ref="BE1269:BE1274"/>
    <mergeCell ref="BF1269:BF1274"/>
    <mergeCell ref="BG1269:BG1274"/>
    <mergeCell ref="BH1269:BH1274"/>
    <mergeCell ref="BC1276:BC1282"/>
    <mergeCell ref="BD1276:BD1282"/>
    <mergeCell ref="BE1276:BE1282"/>
    <mergeCell ref="BF1276:BF1282"/>
    <mergeCell ref="BG1276:BG1282"/>
    <mergeCell ref="BH1276:BH1282"/>
    <mergeCell ref="BC1285:BC1286"/>
    <mergeCell ref="BD1285:BD1286"/>
    <mergeCell ref="BE1285:BE1286"/>
    <mergeCell ref="BF1285:BF1286"/>
    <mergeCell ref="BG1285:BG1286"/>
    <mergeCell ref="BH1285:BH1286"/>
    <mergeCell ref="BC1290:BC1293"/>
    <mergeCell ref="BD1290:BD1293"/>
    <mergeCell ref="BE1290:BE1293"/>
    <mergeCell ref="BF1290:BF1293"/>
    <mergeCell ref="BG1290:BG1293"/>
    <mergeCell ref="BH1290:BH1293"/>
    <mergeCell ref="BC1294:BC1295"/>
    <mergeCell ref="BD1294:BD1295"/>
    <mergeCell ref="BE1294:BE1295"/>
    <mergeCell ref="BF1294:BF1295"/>
    <mergeCell ref="BG1294:BG1295"/>
    <mergeCell ref="BH1294:BH1295"/>
    <mergeCell ref="BC1296:BC1304"/>
    <mergeCell ref="BD1296:BD1304"/>
    <mergeCell ref="BE1296:BE1304"/>
    <mergeCell ref="BF1296:BF1304"/>
    <mergeCell ref="BG1296:BG1304"/>
    <mergeCell ref="BH1296:BH1304"/>
    <mergeCell ref="BC1311:BC1312"/>
    <mergeCell ref="BD1311:BD1312"/>
    <mergeCell ref="BE1311:BE1312"/>
    <mergeCell ref="BF1311:BF1312"/>
    <mergeCell ref="BG1311:BG1312"/>
    <mergeCell ref="BH1311:BH1312"/>
    <mergeCell ref="BC1314:BC1317"/>
    <mergeCell ref="BD1314:BD1317"/>
    <mergeCell ref="BE1314:BE1317"/>
    <mergeCell ref="BF1314:BF1317"/>
    <mergeCell ref="BG1314:BG1317"/>
    <mergeCell ref="BH1314:BH1317"/>
    <mergeCell ref="BC1320:BC1325"/>
    <mergeCell ref="BD1320:BD1325"/>
    <mergeCell ref="BE1320:BE1325"/>
    <mergeCell ref="BF1320:BF1325"/>
    <mergeCell ref="BG1320:BG1325"/>
    <mergeCell ref="BH1320:BH1325"/>
    <mergeCell ref="BC1328:BC1330"/>
    <mergeCell ref="BD1328:BD1330"/>
    <mergeCell ref="BE1328:BE1330"/>
    <mergeCell ref="BF1328:BF1330"/>
    <mergeCell ref="BG1328:BG1330"/>
    <mergeCell ref="BH1328:BH1330"/>
    <mergeCell ref="BC1331:BC1336"/>
    <mergeCell ref="BD1331:BD1336"/>
    <mergeCell ref="BE1331:BE1336"/>
    <mergeCell ref="BF1331:BF1336"/>
    <mergeCell ref="BG1331:BG1336"/>
    <mergeCell ref="BH1331:BH1336"/>
    <mergeCell ref="BC1337:BC1339"/>
    <mergeCell ref="BD1337:BD1339"/>
    <mergeCell ref="BE1337:BE1339"/>
    <mergeCell ref="BF1337:BF1339"/>
    <mergeCell ref="BG1337:BG1339"/>
    <mergeCell ref="BH1337:BH1339"/>
    <mergeCell ref="BC1340:BC1343"/>
    <mergeCell ref="BD1340:BD1343"/>
    <mergeCell ref="BE1340:BE1343"/>
    <mergeCell ref="BF1340:BF1343"/>
    <mergeCell ref="BG1340:BG1343"/>
    <mergeCell ref="BH1340:BH1343"/>
    <mergeCell ref="BC1345:BC1348"/>
    <mergeCell ref="BD1345:BD1348"/>
    <mergeCell ref="BE1345:BE1348"/>
    <mergeCell ref="BF1345:BF1348"/>
    <mergeCell ref="BG1345:BG1348"/>
    <mergeCell ref="BH1345:BH1348"/>
    <mergeCell ref="BC1349:BC1353"/>
    <mergeCell ref="BD1349:BD1353"/>
    <mergeCell ref="BE1349:BE1353"/>
    <mergeCell ref="BF1349:BF1353"/>
    <mergeCell ref="BG1349:BG1353"/>
    <mergeCell ref="BH1349:BH1353"/>
    <mergeCell ref="BC1357:BC1358"/>
    <mergeCell ref="BD1357:BD1358"/>
    <mergeCell ref="BE1357:BE1358"/>
    <mergeCell ref="BF1357:BF1358"/>
    <mergeCell ref="BG1357:BG1358"/>
    <mergeCell ref="BH1357:BH1358"/>
    <mergeCell ref="BC1359:BC1361"/>
    <mergeCell ref="BD1359:BD1361"/>
    <mergeCell ref="BE1359:BE1361"/>
    <mergeCell ref="BF1359:BF1361"/>
    <mergeCell ref="BG1359:BG1361"/>
    <mergeCell ref="BH1359:BH1361"/>
    <mergeCell ref="BC1364:BC1368"/>
    <mergeCell ref="BD1364:BD1368"/>
    <mergeCell ref="BE1364:BE1368"/>
    <mergeCell ref="BF1364:BF1368"/>
    <mergeCell ref="BG1364:BG1368"/>
    <mergeCell ref="BH1364:BH1368"/>
    <mergeCell ref="BC1369:BC1370"/>
    <mergeCell ref="BD1369:BD1370"/>
    <mergeCell ref="BE1369:BE1370"/>
    <mergeCell ref="BF1369:BF1370"/>
    <mergeCell ref="BG1369:BG1370"/>
    <mergeCell ref="BH1369:BH1370"/>
    <mergeCell ref="BC1374:BC1382"/>
    <mergeCell ref="BD1374:BD1382"/>
    <mergeCell ref="BE1374:BE1382"/>
    <mergeCell ref="BF1374:BF1382"/>
    <mergeCell ref="BG1374:BG1382"/>
    <mergeCell ref="BH1374:BH1382"/>
    <mergeCell ref="BC1386:BC1388"/>
    <mergeCell ref="BD1386:BD1388"/>
    <mergeCell ref="BE1386:BE1388"/>
    <mergeCell ref="BF1386:BF1388"/>
    <mergeCell ref="BG1386:BG1388"/>
    <mergeCell ref="BH1386:BH1388"/>
    <mergeCell ref="BC1389:BC1390"/>
    <mergeCell ref="BD1389:BD1390"/>
    <mergeCell ref="BE1389:BE1390"/>
    <mergeCell ref="BF1389:BF1390"/>
    <mergeCell ref="BG1389:BG1390"/>
    <mergeCell ref="BH1389:BH1390"/>
    <mergeCell ref="BC1392:BC1394"/>
    <mergeCell ref="BD1392:BD1394"/>
    <mergeCell ref="BE1392:BE1394"/>
    <mergeCell ref="BF1392:BF1394"/>
    <mergeCell ref="BG1392:BG1394"/>
    <mergeCell ref="BH1392:BH1394"/>
    <mergeCell ref="BC1395:BC1398"/>
    <mergeCell ref="BD1395:BD1398"/>
    <mergeCell ref="BE1395:BE1398"/>
    <mergeCell ref="BF1395:BF1398"/>
    <mergeCell ref="BG1395:BG1398"/>
    <mergeCell ref="BH1395:BH1398"/>
    <mergeCell ref="BC1399:BC1400"/>
    <mergeCell ref="BD1399:BD1400"/>
    <mergeCell ref="BE1399:BE1400"/>
    <mergeCell ref="BF1399:BF1400"/>
    <mergeCell ref="BG1399:BG1400"/>
    <mergeCell ref="BH1399:BH1400"/>
    <mergeCell ref="BC1401:BC1402"/>
    <mergeCell ref="BD1401:BD1402"/>
    <mergeCell ref="BE1401:BE1402"/>
    <mergeCell ref="BF1401:BF1402"/>
    <mergeCell ref="BG1401:BG1402"/>
    <mergeCell ref="BH1401:BH1402"/>
    <mergeCell ref="BC1404:BC1405"/>
    <mergeCell ref="BD1404:BD1405"/>
    <mergeCell ref="BE1404:BE1405"/>
    <mergeCell ref="BF1404:BF1405"/>
    <mergeCell ref="BG1404:BG1405"/>
    <mergeCell ref="BH1404:BH1405"/>
    <mergeCell ref="BC1408:BC1410"/>
    <mergeCell ref="BD1408:BD1410"/>
    <mergeCell ref="BE1408:BE1410"/>
    <mergeCell ref="BF1408:BF1410"/>
    <mergeCell ref="BG1408:BG1410"/>
    <mergeCell ref="BH1408:BH1410"/>
    <mergeCell ref="BC1416:BC1418"/>
    <mergeCell ref="BD1416:BD1418"/>
    <mergeCell ref="BE1416:BE1418"/>
    <mergeCell ref="BF1416:BF1418"/>
    <mergeCell ref="BG1416:BG1418"/>
    <mergeCell ref="BH1416:BH1418"/>
    <mergeCell ref="BC1422:BC1423"/>
    <mergeCell ref="BD1422:BD1423"/>
    <mergeCell ref="BE1422:BE1423"/>
    <mergeCell ref="BF1422:BF1423"/>
    <mergeCell ref="BG1422:BG1423"/>
    <mergeCell ref="BH1422:BH1423"/>
    <mergeCell ref="BC1424:BC1432"/>
    <mergeCell ref="BD1424:BD1432"/>
    <mergeCell ref="BE1424:BE1432"/>
    <mergeCell ref="BF1424:BF1432"/>
    <mergeCell ref="BG1424:BG1432"/>
    <mergeCell ref="BH1424:BH1432"/>
    <mergeCell ref="BC1433:BC1434"/>
    <mergeCell ref="BD1433:BD1434"/>
    <mergeCell ref="BE1433:BE1434"/>
    <mergeCell ref="BF1433:BF1434"/>
    <mergeCell ref="BG1433:BG1434"/>
    <mergeCell ref="BH1433:BH1434"/>
    <mergeCell ref="BC1436:BC1442"/>
    <mergeCell ref="BD1436:BD1442"/>
    <mergeCell ref="BE1436:BE1442"/>
    <mergeCell ref="BF1436:BF1442"/>
    <mergeCell ref="BG1436:BG1442"/>
    <mergeCell ref="BH1436:BH1442"/>
    <mergeCell ref="BC1443:BC1445"/>
    <mergeCell ref="BD1443:BD1445"/>
    <mergeCell ref="BE1443:BE1445"/>
    <mergeCell ref="BF1443:BF1445"/>
    <mergeCell ref="BG1443:BG1445"/>
    <mergeCell ref="BH1443:BH1445"/>
    <mergeCell ref="BC1448:BC1461"/>
    <mergeCell ref="BD1448:BD1461"/>
    <mergeCell ref="BE1448:BE1461"/>
    <mergeCell ref="BF1448:BF1461"/>
    <mergeCell ref="BG1448:BG1461"/>
    <mergeCell ref="BH1448:BH1461"/>
    <mergeCell ref="BC1462:BC1463"/>
    <mergeCell ref="BD1462:BD1463"/>
    <mergeCell ref="BE1462:BE1463"/>
    <mergeCell ref="BF1462:BF1463"/>
    <mergeCell ref="BG1462:BG1463"/>
    <mergeCell ref="BH1462:BH1463"/>
    <mergeCell ref="BC1465:BC1466"/>
    <mergeCell ref="BD1465:BD1466"/>
    <mergeCell ref="BE1465:BE1466"/>
    <mergeCell ref="BF1465:BF1466"/>
    <mergeCell ref="BG1465:BG1466"/>
    <mergeCell ref="BH1465:BH1466"/>
    <mergeCell ref="BC1468:BC1472"/>
    <mergeCell ref="BD1468:BD1472"/>
    <mergeCell ref="BE1468:BE1472"/>
    <mergeCell ref="BF1468:BF1472"/>
    <mergeCell ref="BG1468:BG1472"/>
    <mergeCell ref="BH1468:BH1472"/>
    <mergeCell ref="BC1473:BC1474"/>
    <mergeCell ref="BD1473:BD1474"/>
    <mergeCell ref="BE1473:BE1474"/>
    <mergeCell ref="BF1473:BF1474"/>
    <mergeCell ref="BG1473:BG1474"/>
    <mergeCell ref="BH1473:BH1474"/>
    <mergeCell ref="BC1475:BC1481"/>
    <mergeCell ref="BD1475:BD1481"/>
    <mergeCell ref="BE1475:BE1481"/>
    <mergeCell ref="BF1475:BF1481"/>
    <mergeCell ref="BG1475:BG1481"/>
    <mergeCell ref="BH1475:BH1481"/>
    <mergeCell ref="BC1485:BC1489"/>
    <mergeCell ref="BD1485:BD1489"/>
    <mergeCell ref="BE1485:BE1489"/>
    <mergeCell ref="BF1485:BF1489"/>
    <mergeCell ref="BG1485:BG1489"/>
    <mergeCell ref="BH1485:BH1489"/>
    <mergeCell ref="BC1493:BC1499"/>
    <mergeCell ref="BD1493:BD1499"/>
    <mergeCell ref="BE1493:BE1499"/>
    <mergeCell ref="BF1493:BF1499"/>
    <mergeCell ref="BG1493:BG1499"/>
    <mergeCell ref="BH1493:BH1499"/>
    <mergeCell ref="BC1504:BC1505"/>
    <mergeCell ref="BD1504:BD1505"/>
    <mergeCell ref="BE1504:BE1505"/>
    <mergeCell ref="BF1504:BF1505"/>
    <mergeCell ref="BG1504:BG1505"/>
    <mergeCell ref="BH1504:BH1505"/>
    <mergeCell ref="BC1506:BC1507"/>
    <mergeCell ref="BD1506:BD1507"/>
    <mergeCell ref="BE1506:BE1507"/>
    <mergeCell ref="BF1506:BF1507"/>
    <mergeCell ref="BG1506:BG1507"/>
    <mergeCell ref="BH1506:BH1507"/>
    <mergeCell ref="BC1508:BC1510"/>
    <mergeCell ref="BD1508:BD1510"/>
    <mergeCell ref="BE1508:BE1510"/>
    <mergeCell ref="BF1508:BF1510"/>
    <mergeCell ref="BG1508:BG1510"/>
    <mergeCell ref="BH1508:BH1510"/>
    <mergeCell ref="BC1511:BC1512"/>
    <mergeCell ref="BD1511:BD1512"/>
    <mergeCell ref="BE1511:BE1512"/>
    <mergeCell ref="BF1511:BF1512"/>
    <mergeCell ref="BG1511:BG1512"/>
    <mergeCell ref="BH1511:BH1512"/>
    <mergeCell ref="BC1513:BC1514"/>
    <mergeCell ref="BD1513:BD1514"/>
    <mergeCell ref="BE1513:BE1514"/>
    <mergeCell ref="BF1513:BF1514"/>
    <mergeCell ref="BG1513:BG1514"/>
    <mergeCell ref="BH1513:BH1514"/>
    <mergeCell ref="BC1516:BC1519"/>
    <mergeCell ref="BD1516:BD1519"/>
    <mergeCell ref="BE1516:BE1519"/>
    <mergeCell ref="BF1516:BF1519"/>
    <mergeCell ref="BG1516:BG1519"/>
    <mergeCell ref="BH1516:BH1519"/>
    <mergeCell ref="BC1520:BC1521"/>
    <mergeCell ref="BD1520:BD1521"/>
    <mergeCell ref="BE1520:BE1521"/>
    <mergeCell ref="BF1520:BF1521"/>
    <mergeCell ref="BG1520:BG1521"/>
    <mergeCell ref="BH1520:BH1521"/>
    <mergeCell ref="BC1522:BC1523"/>
    <mergeCell ref="BD1522:BD1523"/>
    <mergeCell ref="BE1522:BE1523"/>
    <mergeCell ref="BF1522:BF1523"/>
    <mergeCell ref="BG1522:BG1523"/>
    <mergeCell ref="BH1522:BH1523"/>
    <mergeCell ref="BC1524:BC1525"/>
    <mergeCell ref="BD1524:BD1525"/>
    <mergeCell ref="BE1524:BE1525"/>
    <mergeCell ref="BF1524:BF1525"/>
    <mergeCell ref="BG1524:BG1525"/>
    <mergeCell ref="BH1524:BH1525"/>
    <mergeCell ref="BC1526:BC1529"/>
    <mergeCell ref="BD1526:BD1529"/>
    <mergeCell ref="BE1526:BE1529"/>
    <mergeCell ref="BF1526:BF1529"/>
    <mergeCell ref="BG1526:BG1529"/>
    <mergeCell ref="BH1526:BH1529"/>
    <mergeCell ref="BC1534:BC1539"/>
    <mergeCell ref="BD1534:BD1539"/>
    <mergeCell ref="BE1534:BE1539"/>
    <mergeCell ref="BF1534:BF1539"/>
    <mergeCell ref="BG1534:BG1539"/>
    <mergeCell ref="BH1534:BH1539"/>
    <mergeCell ref="BC1540:BC1541"/>
    <mergeCell ref="BD1540:BD1541"/>
    <mergeCell ref="BE1540:BE1541"/>
    <mergeCell ref="BF1540:BF1541"/>
    <mergeCell ref="BG1540:BG1541"/>
    <mergeCell ref="BH1540:BH1541"/>
    <mergeCell ref="BC1542:BC1543"/>
    <mergeCell ref="BD1542:BD1543"/>
    <mergeCell ref="BE1542:BE1543"/>
    <mergeCell ref="BF1542:BF1543"/>
    <mergeCell ref="BG1542:BG1543"/>
    <mergeCell ref="BH1542:BH1543"/>
    <mergeCell ref="BC1545:BC1549"/>
    <mergeCell ref="BD1545:BD1549"/>
    <mergeCell ref="BE1545:BE1549"/>
    <mergeCell ref="BF1545:BF1549"/>
    <mergeCell ref="BG1545:BG1549"/>
    <mergeCell ref="BH1545:BH1549"/>
    <mergeCell ref="BC1551:BC1553"/>
    <mergeCell ref="BD1551:BD1553"/>
    <mergeCell ref="BE1551:BE1553"/>
    <mergeCell ref="BF1551:BF1553"/>
    <mergeCell ref="BG1551:BG1553"/>
    <mergeCell ref="BH1551:BH1553"/>
    <mergeCell ref="BC1556:BC1613"/>
    <mergeCell ref="BD1556:BD1613"/>
    <mergeCell ref="BE1556:BE1613"/>
    <mergeCell ref="BF1556:BF1613"/>
    <mergeCell ref="BG1556:BG1613"/>
    <mergeCell ref="BH1556:BH1613"/>
    <mergeCell ref="BC1614:BC1638"/>
    <mergeCell ref="BD1614:BD1638"/>
    <mergeCell ref="BE1614:BE1638"/>
    <mergeCell ref="BF1614:BF1638"/>
    <mergeCell ref="BG1614:BG1638"/>
    <mergeCell ref="BH1614:BH1638"/>
    <mergeCell ref="BC1641:BC1649"/>
    <mergeCell ref="BD1641:BD1649"/>
    <mergeCell ref="BE1641:BE1649"/>
    <mergeCell ref="BF1641:BF1649"/>
    <mergeCell ref="BG1641:BG1649"/>
    <mergeCell ref="BH1641:BH1649"/>
    <mergeCell ref="BC1650:BC1651"/>
    <mergeCell ref="BD1650:BD1651"/>
    <mergeCell ref="BE1650:BE1651"/>
    <mergeCell ref="BF1650:BF1651"/>
    <mergeCell ref="BG1650:BG1651"/>
    <mergeCell ref="BH1650:BH1651"/>
    <mergeCell ref="BC1652:BC1656"/>
    <mergeCell ref="BD1652:BD1656"/>
    <mergeCell ref="BE1652:BE1656"/>
    <mergeCell ref="BF1652:BF1656"/>
    <mergeCell ref="BG1652:BG1656"/>
    <mergeCell ref="BH1652:BH1656"/>
    <mergeCell ref="BC1658:BC1660"/>
    <mergeCell ref="BD1658:BD1660"/>
    <mergeCell ref="BE1658:BE1660"/>
    <mergeCell ref="BF1658:BF1660"/>
    <mergeCell ref="BG1658:BG1660"/>
    <mergeCell ref="BH1658:BH1660"/>
    <mergeCell ref="BC1662:BC1663"/>
    <mergeCell ref="BD1662:BD1663"/>
    <mergeCell ref="BE1662:BE1663"/>
    <mergeCell ref="BF1662:BF1663"/>
    <mergeCell ref="BG1662:BG1663"/>
    <mergeCell ref="BH1662:BH1663"/>
    <mergeCell ref="BC1665:BC1675"/>
    <mergeCell ref="BD1665:BD1675"/>
    <mergeCell ref="BE1665:BE1675"/>
    <mergeCell ref="BF1665:BF1675"/>
    <mergeCell ref="BG1665:BG1675"/>
    <mergeCell ref="BH1665:BH1675"/>
    <mergeCell ref="BC1676:BC1677"/>
    <mergeCell ref="BD1676:BD1677"/>
    <mergeCell ref="BE1676:BE1677"/>
    <mergeCell ref="BF1676:BF1677"/>
    <mergeCell ref="BG1676:BG1677"/>
    <mergeCell ref="BH1676:BH1677"/>
    <mergeCell ref="BC1678:BC1683"/>
    <mergeCell ref="BD1678:BD1683"/>
    <mergeCell ref="BE1678:BE1683"/>
    <mergeCell ref="BF1678:BF1683"/>
    <mergeCell ref="BG1678:BG1683"/>
    <mergeCell ref="BH1678:BH1683"/>
    <mergeCell ref="BC1684:BC1698"/>
    <mergeCell ref="BD1684:BD1698"/>
    <mergeCell ref="BE1684:BE1698"/>
    <mergeCell ref="BF1684:BF1698"/>
    <mergeCell ref="BG1684:BG1698"/>
    <mergeCell ref="BH1684:BH1698"/>
    <mergeCell ref="BC1700:BC1701"/>
    <mergeCell ref="BD1700:BD1701"/>
    <mergeCell ref="BE1700:BE1701"/>
    <mergeCell ref="BF1700:BF1701"/>
    <mergeCell ref="BG1700:BG1701"/>
    <mergeCell ref="BH1700:BH1701"/>
    <mergeCell ref="BC1702:BC1703"/>
    <mergeCell ref="BD1702:BD1703"/>
    <mergeCell ref="BE1702:BE1703"/>
    <mergeCell ref="BF1702:BF1703"/>
    <mergeCell ref="BG1702:BG1703"/>
    <mergeCell ref="BH1702:BH1703"/>
    <mergeCell ref="BC1705:BC1716"/>
    <mergeCell ref="BD1705:BD1716"/>
    <mergeCell ref="BE1705:BE1716"/>
    <mergeCell ref="BF1705:BF1716"/>
    <mergeCell ref="BG1705:BG1716"/>
    <mergeCell ref="BH1705:BH1716"/>
    <mergeCell ref="BC1719:BC1720"/>
    <mergeCell ref="BD1719:BD1720"/>
    <mergeCell ref="BE1719:BE1720"/>
    <mergeCell ref="BF1719:BF1720"/>
    <mergeCell ref="BG1719:BG1720"/>
    <mergeCell ref="BH1719:BH1720"/>
    <mergeCell ref="BC1721:BC1724"/>
    <mergeCell ref="BD1721:BD1724"/>
    <mergeCell ref="BE1721:BE1724"/>
    <mergeCell ref="BF1721:BF1724"/>
    <mergeCell ref="BG1721:BG1724"/>
    <mergeCell ref="BH1721:BH1724"/>
    <mergeCell ref="BC1725:BC1732"/>
    <mergeCell ref="BD1725:BD1732"/>
    <mergeCell ref="BE1725:BE1732"/>
    <mergeCell ref="BF1725:BF1732"/>
    <mergeCell ref="BG1725:BG1732"/>
    <mergeCell ref="BH1725:BH1732"/>
    <mergeCell ref="BC1738:BC1751"/>
    <mergeCell ref="BD1738:BD1751"/>
    <mergeCell ref="BE1738:BE1751"/>
    <mergeCell ref="BF1738:BF1751"/>
    <mergeCell ref="BG1738:BG1751"/>
    <mergeCell ref="BH1738:BH1751"/>
    <mergeCell ref="BC1752:BC1753"/>
    <mergeCell ref="BD1752:BD1753"/>
    <mergeCell ref="BE1752:BE1753"/>
    <mergeCell ref="BF1752:BF1753"/>
    <mergeCell ref="BG1752:BG1753"/>
    <mergeCell ref="BH1752:BH1753"/>
    <mergeCell ref="BC1754:BC1756"/>
    <mergeCell ref="BD1754:BD1756"/>
    <mergeCell ref="BE1754:BE1756"/>
    <mergeCell ref="BF1754:BF1756"/>
    <mergeCell ref="BG1754:BG1756"/>
    <mergeCell ref="BH1754:BH1756"/>
    <mergeCell ref="BC1757:BC1758"/>
    <mergeCell ref="BD1757:BD1758"/>
    <mergeCell ref="BE1757:BE1758"/>
    <mergeCell ref="BF1757:BF1758"/>
    <mergeCell ref="BG1757:BG1758"/>
    <mergeCell ref="BH1757:BH1758"/>
    <mergeCell ref="BC1760:BC1763"/>
    <mergeCell ref="BD1760:BD1763"/>
    <mergeCell ref="BE1760:BE1763"/>
    <mergeCell ref="BF1760:BF1763"/>
    <mergeCell ref="BG1760:BG1763"/>
    <mergeCell ref="BH1760:BH1763"/>
    <mergeCell ref="BC1765:BC1774"/>
    <mergeCell ref="BD1765:BD1774"/>
    <mergeCell ref="BE1765:BE1774"/>
    <mergeCell ref="BF1765:BF1774"/>
    <mergeCell ref="BG1765:BG1774"/>
    <mergeCell ref="BH1765:BH1774"/>
    <mergeCell ref="BC1775:BC1777"/>
    <mergeCell ref="BD1775:BD1777"/>
    <mergeCell ref="BE1775:BE1777"/>
    <mergeCell ref="BF1775:BF1777"/>
    <mergeCell ref="BG1775:BG1777"/>
    <mergeCell ref="BH1775:BH1777"/>
    <mergeCell ref="BC1778:BC1782"/>
    <mergeCell ref="BD1778:BD1782"/>
    <mergeCell ref="BE1778:BE1782"/>
    <mergeCell ref="BF1778:BF1782"/>
    <mergeCell ref="BG1778:BG1782"/>
    <mergeCell ref="BH1778:BH1782"/>
    <mergeCell ref="BC1783:BC1784"/>
    <mergeCell ref="BD1783:BD1784"/>
    <mergeCell ref="BE1783:BE1784"/>
    <mergeCell ref="BF1783:BF1784"/>
    <mergeCell ref="BG1783:BG1784"/>
    <mergeCell ref="BH1783:BH1784"/>
    <mergeCell ref="BC1786:BC1788"/>
    <mergeCell ref="BD1786:BD1788"/>
    <mergeCell ref="BE1786:BE1788"/>
    <mergeCell ref="BF1786:BF1788"/>
    <mergeCell ref="BG1786:BG1788"/>
    <mergeCell ref="BH1786:BH1788"/>
    <mergeCell ref="BC1791:BC1792"/>
    <mergeCell ref="BD1791:BD1792"/>
    <mergeCell ref="BE1791:BE1792"/>
    <mergeCell ref="BF1791:BF1792"/>
    <mergeCell ref="BG1791:BG1792"/>
    <mergeCell ref="BH1791:BH1792"/>
    <mergeCell ref="BC1794:BC1796"/>
    <mergeCell ref="BD1794:BD1796"/>
    <mergeCell ref="BE1794:BE1796"/>
    <mergeCell ref="BF1794:BF1796"/>
    <mergeCell ref="BG1794:BG1796"/>
    <mergeCell ref="BH1794:BH1796"/>
    <mergeCell ref="BC1799:BC1801"/>
    <mergeCell ref="BD1799:BD1801"/>
    <mergeCell ref="BE1799:BE1801"/>
    <mergeCell ref="BF1799:BF1801"/>
    <mergeCell ref="BG1799:BG1801"/>
    <mergeCell ref="BH1799:BH1801"/>
    <mergeCell ref="BC1802:BC1803"/>
    <mergeCell ref="BD1802:BD1803"/>
    <mergeCell ref="BE1802:BE1803"/>
    <mergeCell ref="BF1802:BF1803"/>
    <mergeCell ref="BG1802:BG1803"/>
    <mergeCell ref="BH1802:BH1803"/>
    <mergeCell ref="BC1807:BC1810"/>
    <mergeCell ref="BD1807:BD1810"/>
    <mergeCell ref="BE1807:BE1810"/>
    <mergeCell ref="BF1807:BF1810"/>
    <mergeCell ref="BG1807:BG1810"/>
    <mergeCell ref="BH1807:BH1810"/>
    <mergeCell ref="BC1812:BC1839"/>
    <mergeCell ref="BD1812:BD1839"/>
    <mergeCell ref="BE1812:BE1839"/>
    <mergeCell ref="BF1812:BF1839"/>
    <mergeCell ref="BG1812:BG1839"/>
    <mergeCell ref="BH1812:BH1839"/>
    <mergeCell ref="BC1842:BC1845"/>
    <mergeCell ref="BD1842:BD1845"/>
    <mergeCell ref="BE1842:BE1845"/>
    <mergeCell ref="BF1842:BF1845"/>
    <mergeCell ref="BG1842:BG1845"/>
    <mergeCell ref="BH1842:BH1845"/>
    <mergeCell ref="BC1846:BC1847"/>
    <mergeCell ref="BD1846:BD1847"/>
    <mergeCell ref="BE1846:BE1847"/>
    <mergeCell ref="BF1846:BF1847"/>
    <mergeCell ref="BG1846:BG1847"/>
    <mergeCell ref="BH1846:BH1847"/>
    <mergeCell ref="BC1851:BC1854"/>
    <mergeCell ref="BD1851:BD1854"/>
    <mergeCell ref="BE1851:BE1854"/>
    <mergeCell ref="BF1851:BF1854"/>
    <mergeCell ref="BG1851:BG1854"/>
    <mergeCell ref="BH1851:BH1854"/>
    <mergeCell ref="BC1855:BC1857"/>
    <mergeCell ref="BD1855:BD1857"/>
    <mergeCell ref="BE1855:BE1857"/>
    <mergeCell ref="BF1855:BF1857"/>
    <mergeCell ref="BG1855:BG1857"/>
    <mergeCell ref="BH1855:BH1857"/>
    <mergeCell ref="BC1859:BC1860"/>
    <mergeCell ref="BD1859:BD1860"/>
    <mergeCell ref="BE1859:BE1860"/>
    <mergeCell ref="BF1859:BF1860"/>
    <mergeCell ref="BG1859:BG1860"/>
    <mergeCell ref="BH1859:BH1860"/>
    <mergeCell ref="BC1861:BC1870"/>
    <mergeCell ref="BD1861:BD1870"/>
    <mergeCell ref="BE1861:BE1870"/>
    <mergeCell ref="BF1861:BF1870"/>
    <mergeCell ref="BG1861:BG1870"/>
    <mergeCell ref="BH1861:BH1870"/>
    <mergeCell ref="BC1871:BC1873"/>
    <mergeCell ref="BD1871:BD1873"/>
    <mergeCell ref="BE1871:BE1873"/>
    <mergeCell ref="BF1871:BF1873"/>
    <mergeCell ref="BG1871:BG1873"/>
    <mergeCell ref="BH1871:BH1873"/>
    <mergeCell ref="BC1876:BC1877"/>
    <mergeCell ref="BD1876:BD1877"/>
    <mergeCell ref="BE1876:BE1877"/>
    <mergeCell ref="BF1876:BF1877"/>
    <mergeCell ref="BG1876:BG1877"/>
    <mergeCell ref="BH1876:BH1877"/>
    <mergeCell ref="BC1878:BC1884"/>
    <mergeCell ref="BD1878:BD1884"/>
    <mergeCell ref="BE1878:BE1884"/>
    <mergeCell ref="BF1878:BF1884"/>
    <mergeCell ref="BG1878:BG1884"/>
    <mergeCell ref="BH1878:BH1884"/>
    <mergeCell ref="BC1885:BC1887"/>
    <mergeCell ref="BD1885:BD1887"/>
    <mergeCell ref="BE1885:BE1887"/>
    <mergeCell ref="BF1885:BF1887"/>
    <mergeCell ref="BG1885:BG1887"/>
    <mergeCell ref="BH1885:BH1887"/>
    <mergeCell ref="BC1888:BC1889"/>
    <mergeCell ref="BD1888:BD1889"/>
    <mergeCell ref="BE1888:BE1889"/>
    <mergeCell ref="BF1888:BF1889"/>
    <mergeCell ref="BG1888:BG1889"/>
    <mergeCell ref="BH1888:BH1889"/>
    <mergeCell ref="BC1891:BC1893"/>
    <mergeCell ref="BD1891:BD1893"/>
    <mergeCell ref="BE1891:BE1893"/>
    <mergeCell ref="BF1891:BF1893"/>
    <mergeCell ref="BG1891:BG1893"/>
    <mergeCell ref="BH1891:BH1893"/>
    <mergeCell ref="BC1894:BC1896"/>
    <mergeCell ref="BD1894:BD1896"/>
    <mergeCell ref="BE1894:BE1896"/>
    <mergeCell ref="BF1894:BF1896"/>
    <mergeCell ref="BG1894:BG1896"/>
    <mergeCell ref="BH1894:BH1896"/>
    <mergeCell ref="BC1897:BC1901"/>
    <mergeCell ref="BD1897:BD1901"/>
    <mergeCell ref="BE1897:BE1901"/>
    <mergeCell ref="BF1897:BF1901"/>
    <mergeCell ref="BG1897:BG1901"/>
    <mergeCell ref="BH1897:BH1901"/>
    <mergeCell ref="BC1902:BC1909"/>
    <mergeCell ref="BD1902:BD1909"/>
    <mergeCell ref="BE1902:BE1909"/>
    <mergeCell ref="BF1902:BF1909"/>
    <mergeCell ref="BG1902:BG1909"/>
    <mergeCell ref="BH1902:BH1909"/>
    <mergeCell ref="BC1910:BC1913"/>
    <mergeCell ref="BD1910:BD1913"/>
    <mergeCell ref="BE1910:BE1913"/>
    <mergeCell ref="BF1910:BF1913"/>
    <mergeCell ref="BG1910:BG1913"/>
    <mergeCell ref="BH1910:BH1913"/>
    <mergeCell ref="BC1914:BC1915"/>
    <mergeCell ref="BD1914:BD1915"/>
    <mergeCell ref="BE1914:BE1915"/>
    <mergeCell ref="BF1914:BF1915"/>
    <mergeCell ref="BG1914:BG1915"/>
    <mergeCell ref="BH1914:BH1915"/>
    <mergeCell ref="BC1916:BC1917"/>
    <mergeCell ref="BD1916:BD1917"/>
    <mergeCell ref="BE1916:BE1917"/>
    <mergeCell ref="BF1916:BF1917"/>
    <mergeCell ref="BG1916:BG1917"/>
    <mergeCell ref="BH1916:BH1917"/>
    <mergeCell ref="BC1919:BC1920"/>
    <mergeCell ref="BD1919:BD1920"/>
    <mergeCell ref="BE1919:BE1920"/>
    <mergeCell ref="BF1919:BF1920"/>
    <mergeCell ref="BG1919:BG1920"/>
    <mergeCell ref="BH1919:BH1920"/>
    <mergeCell ref="BC1921:BC1934"/>
    <mergeCell ref="BD1921:BD1934"/>
    <mergeCell ref="BE1921:BE1934"/>
    <mergeCell ref="BF1921:BF1934"/>
    <mergeCell ref="BG1921:BG1934"/>
    <mergeCell ref="BH1921:BH1934"/>
    <mergeCell ref="BC1935:BC1938"/>
    <mergeCell ref="BD1935:BD1938"/>
    <mergeCell ref="BE1935:BE1938"/>
    <mergeCell ref="BF1935:BF1938"/>
    <mergeCell ref="BG1935:BG1938"/>
    <mergeCell ref="BH1935:BH1938"/>
    <mergeCell ref="BC1939:BC1947"/>
    <mergeCell ref="BD1939:BD1947"/>
    <mergeCell ref="BE1939:BE1947"/>
    <mergeCell ref="BF1939:BF1947"/>
    <mergeCell ref="BG1939:BG1947"/>
    <mergeCell ref="BH1939:BH1947"/>
    <mergeCell ref="BC1949:BC1958"/>
    <mergeCell ref="BD1949:BD1958"/>
    <mergeCell ref="BE1949:BE1958"/>
    <mergeCell ref="BF1949:BF1958"/>
    <mergeCell ref="BG1949:BG1958"/>
    <mergeCell ref="BH1949:BH1958"/>
    <mergeCell ref="BC1959:BC1961"/>
    <mergeCell ref="BD1959:BD1961"/>
    <mergeCell ref="BE1959:BE1961"/>
    <mergeCell ref="BF1959:BF1961"/>
    <mergeCell ref="BG1959:BG1961"/>
    <mergeCell ref="BH1959:BH1961"/>
    <mergeCell ref="BC1963:BC1966"/>
    <mergeCell ref="BD1963:BD1966"/>
    <mergeCell ref="BE1963:BE1966"/>
    <mergeCell ref="BF1963:BF1966"/>
    <mergeCell ref="BG1963:BG1966"/>
    <mergeCell ref="BH1963:BH1966"/>
    <mergeCell ref="BC1967:BC1968"/>
    <mergeCell ref="BD1967:BD1968"/>
    <mergeCell ref="BE1967:BE1968"/>
    <mergeCell ref="BF1967:BF1968"/>
    <mergeCell ref="BG1967:BG1968"/>
    <mergeCell ref="BH1967:BH1968"/>
    <mergeCell ref="BC1969:BC1972"/>
    <mergeCell ref="BD1969:BD1972"/>
    <mergeCell ref="BE1969:BE1972"/>
    <mergeCell ref="BF1969:BF1972"/>
    <mergeCell ref="BG1969:BG1972"/>
    <mergeCell ref="BH1969:BH1972"/>
    <mergeCell ref="BC1974:BC1975"/>
    <mergeCell ref="BD1974:BD1975"/>
    <mergeCell ref="BE1974:BE1975"/>
    <mergeCell ref="BF1974:BF1975"/>
    <mergeCell ref="BG1974:BG1975"/>
    <mergeCell ref="BH1974:BH1975"/>
    <mergeCell ref="BC1977:BC1980"/>
    <mergeCell ref="BD1977:BD1980"/>
    <mergeCell ref="BE1977:BE1980"/>
    <mergeCell ref="BF1977:BF1980"/>
    <mergeCell ref="BG1977:BG1980"/>
    <mergeCell ref="BH1977:BH1980"/>
    <mergeCell ref="BC1984:BC1986"/>
    <mergeCell ref="BD1984:BD1986"/>
    <mergeCell ref="BE1984:BE1986"/>
    <mergeCell ref="BF1984:BF1986"/>
    <mergeCell ref="BG1984:BG1986"/>
    <mergeCell ref="BH1984:BH1986"/>
    <mergeCell ref="BC1987:BC1999"/>
    <mergeCell ref="BD1987:BD1999"/>
    <mergeCell ref="BE1987:BE1999"/>
    <mergeCell ref="BF1987:BF1999"/>
    <mergeCell ref="BG1987:BG1999"/>
    <mergeCell ref="BH1987:BH1999"/>
    <mergeCell ref="BC2000:BC2002"/>
    <mergeCell ref="BD2000:BD2002"/>
    <mergeCell ref="BE2000:BE2002"/>
    <mergeCell ref="BF2000:BF2002"/>
    <mergeCell ref="BG2000:BG2002"/>
    <mergeCell ref="BH2000:BH2002"/>
    <mergeCell ref="BC2004:BC2010"/>
    <mergeCell ref="BD2004:BD2010"/>
    <mergeCell ref="BE2004:BE2010"/>
    <mergeCell ref="BF2004:BF2010"/>
    <mergeCell ref="BG2004:BG2010"/>
    <mergeCell ref="BH2004:BH2010"/>
    <mergeCell ref="BC2011:BC2012"/>
    <mergeCell ref="BD2011:BD2012"/>
    <mergeCell ref="BE2011:BE2012"/>
    <mergeCell ref="BF2011:BF2012"/>
    <mergeCell ref="BG2011:BG2012"/>
    <mergeCell ref="BH2011:BH2012"/>
    <mergeCell ref="BC2013:BC2014"/>
    <mergeCell ref="BD2013:BD2014"/>
    <mergeCell ref="BE2013:BE2014"/>
    <mergeCell ref="BF2013:BF2014"/>
    <mergeCell ref="BG2013:BG2014"/>
    <mergeCell ref="BH2013:BH2014"/>
    <mergeCell ref="BC2016:BC2017"/>
    <mergeCell ref="BD2016:BD2017"/>
    <mergeCell ref="BE2016:BE2017"/>
    <mergeCell ref="BF2016:BF2017"/>
    <mergeCell ref="BG2016:BG2017"/>
    <mergeCell ref="BH2016:BH2017"/>
    <mergeCell ref="BC2019:BC2021"/>
    <mergeCell ref="BD2019:BD2021"/>
    <mergeCell ref="BE2019:BE2021"/>
    <mergeCell ref="BF2019:BF2021"/>
    <mergeCell ref="BG2019:BG2021"/>
    <mergeCell ref="BH2019:BH2021"/>
    <mergeCell ref="BC2022:BC2025"/>
    <mergeCell ref="BD2022:BD2025"/>
    <mergeCell ref="BE2022:BE2025"/>
    <mergeCell ref="BF2022:BF2025"/>
    <mergeCell ref="BG2022:BG2025"/>
    <mergeCell ref="BH2022:BH2025"/>
    <mergeCell ref="BC2027:BC2034"/>
    <mergeCell ref="BD2027:BD2034"/>
    <mergeCell ref="BE2027:BE2034"/>
    <mergeCell ref="BF2027:BF2034"/>
    <mergeCell ref="BG2027:BG2034"/>
    <mergeCell ref="BH2027:BH2034"/>
    <mergeCell ref="BC2037:BC2038"/>
    <mergeCell ref="BD2037:BD2038"/>
    <mergeCell ref="BE2037:BE2038"/>
    <mergeCell ref="BF2037:BF2038"/>
    <mergeCell ref="BG2037:BG2038"/>
    <mergeCell ref="BH2037:BH2038"/>
    <mergeCell ref="BC2039:BC2043"/>
    <mergeCell ref="BD2039:BD2043"/>
    <mergeCell ref="BE2039:BE2043"/>
    <mergeCell ref="BF2039:BF2043"/>
    <mergeCell ref="BG2039:BG2043"/>
    <mergeCell ref="BH2039:BH2043"/>
    <mergeCell ref="BC2045:BC2046"/>
    <mergeCell ref="BD2045:BD2046"/>
    <mergeCell ref="BE2045:BE2046"/>
    <mergeCell ref="BF2045:BF2046"/>
    <mergeCell ref="BG2045:BG2046"/>
    <mergeCell ref="BH2045:BH2046"/>
    <mergeCell ref="BC2048:BC2052"/>
    <mergeCell ref="BD2048:BD2052"/>
    <mergeCell ref="BE2048:BE2052"/>
    <mergeCell ref="BF2048:BF2052"/>
    <mergeCell ref="BG2048:BG2052"/>
    <mergeCell ref="BH2048:BH2052"/>
    <mergeCell ref="BC2053:BC2104"/>
    <mergeCell ref="BD2053:BD2104"/>
    <mergeCell ref="BE2053:BE2104"/>
    <mergeCell ref="BF2053:BF2104"/>
    <mergeCell ref="BG2053:BG2104"/>
    <mergeCell ref="BH2053:BH2104"/>
    <mergeCell ref="BC2110:BC2112"/>
    <mergeCell ref="BD2110:BD2112"/>
    <mergeCell ref="BE2110:BE2112"/>
    <mergeCell ref="BF2110:BF2112"/>
    <mergeCell ref="BG2110:BG2112"/>
    <mergeCell ref="BH2110:BH2112"/>
    <mergeCell ref="BC2114:BC2119"/>
    <mergeCell ref="BD2114:BD2119"/>
    <mergeCell ref="BE2114:BE2119"/>
    <mergeCell ref="BF2114:BF2119"/>
    <mergeCell ref="BG2114:BG2119"/>
    <mergeCell ref="BH2114:BH2119"/>
    <mergeCell ref="BC2125:BC2129"/>
    <mergeCell ref="BD2125:BD2129"/>
    <mergeCell ref="BE2125:BE2129"/>
    <mergeCell ref="BF2125:BF2129"/>
    <mergeCell ref="BG2125:BG2129"/>
    <mergeCell ref="BH2125:BH2129"/>
    <mergeCell ref="BC2130:BC2140"/>
    <mergeCell ref="BD2130:BD2140"/>
    <mergeCell ref="BE2130:BE2140"/>
    <mergeCell ref="BF2130:BF2140"/>
    <mergeCell ref="BG2130:BG2140"/>
    <mergeCell ref="BH2130:BH2140"/>
    <mergeCell ref="BC2141:BC2142"/>
    <mergeCell ref="BD2141:BD2142"/>
    <mergeCell ref="BE2141:BE2142"/>
    <mergeCell ref="BF2141:BF2142"/>
    <mergeCell ref="BG2141:BG2142"/>
    <mergeCell ref="BH2141:BH2142"/>
    <mergeCell ref="BC2143:BC2150"/>
    <mergeCell ref="BD2143:BD2150"/>
    <mergeCell ref="BE2143:BE2150"/>
    <mergeCell ref="BF2143:BF2150"/>
    <mergeCell ref="BG2143:BG2150"/>
    <mergeCell ref="BH2143:BH2150"/>
    <mergeCell ref="BC2155:BC2164"/>
    <mergeCell ref="BD2155:BD2164"/>
    <mergeCell ref="BE2155:BE2164"/>
    <mergeCell ref="BF2155:BF2164"/>
    <mergeCell ref="BG2155:BG2164"/>
    <mergeCell ref="BH2155:BH2164"/>
    <mergeCell ref="BC2166:BC2167"/>
    <mergeCell ref="BD2166:BD2167"/>
    <mergeCell ref="BE2166:BE2167"/>
    <mergeCell ref="BF2166:BF2167"/>
    <mergeCell ref="BG2166:BG2167"/>
    <mergeCell ref="BH2166:BH2167"/>
    <mergeCell ref="BC2168:BC2178"/>
    <mergeCell ref="BD2168:BD2178"/>
    <mergeCell ref="BE2168:BE2178"/>
    <mergeCell ref="BF2168:BF2178"/>
    <mergeCell ref="BG2168:BG2178"/>
    <mergeCell ref="BH2168:BH2178"/>
    <mergeCell ref="BC2181:BC2194"/>
    <mergeCell ref="BD2181:BD2194"/>
    <mergeCell ref="BE2181:BE2194"/>
    <mergeCell ref="BF2181:BF2194"/>
    <mergeCell ref="BG2181:BG2194"/>
    <mergeCell ref="BH2181:BH2194"/>
    <mergeCell ref="BC2196:BC2204"/>
    <mergeCell ref="BD2196:BD2204"/>
    <mergeCell ref="BE2196:BE2204"/>
    <mergeCell ref="BF2196:BF2204"/>
    <mergeCell ref="BG2196:BG2204"/>
    <mergeCell ref="BH2196:BH2204"/>
    <mergeCell ref="BC2206:BC2213"/>
    <mergeCell ref="BD2206:BD2213"/>
    <mergeCell ref="BE2206:BE2213"/>
    <mergeCell ref="BF2206:BF2213"/>
    <mergeCell ref="BG2206:BG2213"/>
    <mergeCell ref="BH2206:BH2213"/>
    <mergeCell ref="BC2215:BC2219"/>
    <mergeCell ref="BD2215:BD2219"/>
    <mergeCell ref="BE2215:BE2219"/>
    <mergeCell ref="BF2215:BF2219"/>
    <mergeCell ref="BG2215:BG2219"/>
    <mergeCell ref="BH2215:BH2219"/>
    <mergeCell ref="BC2221:BC2222"/>
    <mergeCell ref="BD2221:BD2222"/>
    <mergeCell ref="BE2221:BE2222"/>
    <mergeCell ref="BF2221:BF2222"/>
    <mergeCell ref="BG2221:BG2222"/>
    <mergeCell ref="BH2221:BH2222"/>
    <mergeCell ref="BC2223:BC2226"/>
    <mergeCell ref="BD2223:BD2226"/>
    <mergeCell ref="BE2223:BE2226"/>
    <mergeCell ref="BF2223:BF2226"/>
    <mergeCell ref="BG2223:BG2226"/>
    <mergeCell ref="BH2223:BH2226"/>
    <mergeCell ref="BC2228:BC2229"/>
    <mergeCell ref="BD2228:BD2229"/>
    <mergeCell ref="BE2228:BE2229"/>
    <mergeCell ref="BF2228:BF2229"/>
    <mergeCell ref="BG2228:BG2229"/>
    <mergeCell ref="BH2228:BH2229"/>
    <mergeCell ref="BC2232:BC2233"/>
    <mergeCell ref="BD2232:BD2233"/>
    <mergeCell ref="BE2232:BE2233"/>
    <mergeCell ref="BF2232:BF2233"/>
    <mergeCell ref="BG2232:BG2233"/>
    <mergeCell ref="BH2232:BH2233"/>
    <mergeCell ref="BC2235:BC2236"/>
    <mergeCell ref="BD2235:BD2236"/>
    <mergeCell ref="BE2235:BE2236"/>
    <mergeCell ref="BF2235:BF2236"/>
    <mergeCell ref="BG2235:BG2236"/>
    <mergeCell ref="BH2235:BH2236"/>
    <mergeCell ref="BC2238:BC2239"/>
    <mergeCell ref="BD2238:BD2239"/>
    <mergeCell ref="BE2238:BE2239"/>
    <mergeCell ref="BF2238:BF2239"/>
    <mergeCell ref="BG2238:BG2239"/>
    <mergeCell ref="BH2238:BH2239"/>
    <mergeCell ref="BC2240:BC2245"/>
    <mergeCell ref="BD2240:BD2245"/>
    <mergeCell ref="BE2240:BE2245"/>
    <mergeCell ref="BF2240:BF2245"/>
    <mergeCell ref="BG2240:BG2245"/>
    <mergeCell ref="BH2240:BH2245"/>
    <mergeCell ref="BC2248:BC2249"/>
    <mergeCell ref="BD2248:BD2249"/>
    <mergeCell ref="BE2248:BE2249"/>
    <mergeCell ref="BF2248:BF2249"/>
    <mergeCell ref="BG2248:BG2249"/>
    <mergeCell ref="BH2248:BH2249"/>
    <mergeCell ref="BC2255:BC2256"/>
    <mergeCell ref="BD2255:BD2256"/>
    <mergeCell ref="BE2255:BE2256"/>
    <mergeCell ref="BF2255:BF2256"/>
    <mergeCell ref="BG2255:BG2256"/>
    <mergeCell ref="BH2255:BH2256"/>
    <mergeCell ref="BC2257:BC2267"/>
    <mergeCell ref="BD2257:BD2267"/>
    <mergeCell ref="BE2257:BE2267"/>
    <mergeCell ref="BF2257:BF2267"/>
    <mergeCell ref="BG2257:BG2267"/>
    <mergeCell ref="BH2257:BH2267"/>
    <mergeCell ref="BC2272:BC2273"/>
    <mergeCell ref="BD2272:BD2273"/>
    <mergeCell ref="BE2272:BE2273"/>
    <mergeCell ref="BF2272:BF2273"/>
    <mergeCell ref="BG2272:BG2273"/>
    <mergeCell ref="BH2272:BH2273"/>
    <mergeCell ref="BC2276:BC2302"/>
    <mergeCell ref="BD2276:BD2302"/>
    <mergeCell ref="BE2276:BE2302"/>
    <mergeCell ref="BF2276:BF2302"/>
    <mergeCell ref="BG2276:BG2302"/>
    <mergeCell ref="BH2276:BH2302"/>
    <mergeCell ref="BC2304:BC2307"/>
    <mergeCell ref="BD2304:BD2307"/>
    <mergeCell ref="BE2304:BE2307"/>
    <mergeCell ref="BF2304:BF2307"/>
    <mergeCell ref="BG2304:BG2307"/>
    <mergeCell ref="BH2304:BH2307"/>
    <mergeCell ref="BC2308:BC2312"/>
    <mergeCell ref="BD2308:BD2312"/>
    <mergeCell ref="BE2308:BE2312"/>
    <mergeCell ref="BF2308:BF2312"/>
    <mergeCell ref="BG2308:BG2312"/>
    <mergeCell ref="BH2308:BH2312"/>
    <mergeCell ref="BC2313:BC2316"/>
    <mergeCell ref="BD2313:BD2316"/>
    <mergeCell ref="BE2313:BE2316"/>
    <mergeCell ref="BF2313:BF2316"/>
    <mergeCell ref="BG2313:BG2316"/>
    <mergeCell ref="BH2313:BH2316"/>
    <mergeCell ref="BC2318:BC2332"/>
    <mergeCell ref="BD2318:BD2332"/>
    <mergeCell ref="BE2318:BE2332"/>
    <mergeCell ref="BF2318:BF2332"/>
    <mergeCell ref="BG2318:BG2332"/>
    <mergeCell ref="BH2318:BH2332"/>
    <mergeCell ref="BC2333:BC2334"/>
    <mergeCell ref="BD2333:BD2334"/>
    <mergeCell ref="BE2333:BE2334"/>
    <mergeCell ref="BF2333:BF2334"/>
    <mergeCell ref="BG2333:BG2334"/>
    <mergeCell ref="BH2333:BH2334"/>
    <mergeCell ref="BC2336:BC2342"/>
    <mergeCell ref="BD2336:BD2342"/>
    <mergeCell ref="BE2336:BE2342"/>
    <mergeCell ref="BF2336:BF2342"/>
    <mergeCell ref="BG2336:BG2342"/>
    <mergeCell ref="BH2336:BH2342"/>
    <mergeCell ref="BC2344:BC2345"/>
    <mergeCell ref="BD2344:BD2345"/>
    <mergeCell ref="BE2344:BE2345"/>
    <mergeCell ref="BF2344:BF2345"/>
    <mergeCell ref="BG2344:BG2345"/>
    <mergeCell ref="BH2344:BH2345"/>
    <mergeCell ref="BC2348:BC2349"/>
    <mergeCell ref="BD2348:BD2349"/>
    <mergeCell ref="BE2348:BE2349"/>
    <mergeCell ref="BF2348:BF2349"/>
    <mergeCell ref="BG2348:BG2349"/>
    <mergeCell ref="BH2348:BH2349"/>
    <mergeCell ref="BC2353:BC2355"/>
    <mergeCell ref="BD2353:BD2355"/>
    <mergeCell ref="BE2353:BE2355"/>
    <mergeCell ref="BF2353:BF2355"/>
    <mergeCell ref="BG2353:BG2355"/>
    <mergeCell ref="BH2353:BH2355"/>
    <mergeCell ref="BC2363:BC2364"/>
    <mergeCell ref="BD2363:BD2364"/>
    <mergeCell ref="BE2363:BE2364"/>
    <mergeCell ref="BF2363:BF2364"/>
    <mergeCell ref="BG2363:BG2364"/>
    <mergeCell ref="BH2363:BH2364"/>
    <mergeCell ref="BC2365:BC2366"/>
    <mergeCell ref="BD2365:BD2366"/>
    <mergeCell ref="BE2365:BE2366"/>
    <mergeCell ref="BF2365:BF2366"/>
    <mergeCell ref="BG2365:BG2366"/>
    <mergeCell ref="BH2365:BH2366"/>
    <mergeCell ref="BC2367:BC2369"/>
    <mergeCell ref="BD2367:BD2369"/>
    <mergeCell ref="BE2367:BE2369"/>
    <mergeCell ref="BF2367:BF2369"/>
    <mergeCell ref="BG2367:BG2369"/>
    <mergeCell ref="BH2367:BH2369"/>
    <mergeCell ref="BC2370:BC2373"/>
    <mergeCell ref="BD2370:BD2373"/>
    <mergeCell ref="BE2370:BE2373"/>
    <mergeCell ref="BF2370:BF2373"/>
    <mergeCell ref="BG2370:BG2373"/>
    <mergeCell ref="BH2370:BH2373"/>
    <mergeCell ref="BC2374:BC2376"/>
    <mergeCell ref="BD2374:BD2376"/>
    <mergeCell ref="BE2374:BE2376"/>
    <mergeCell ref="BF2374:BF2376"/>
    <mergeCell ref="BG2374:BG2376"/>
    <mergeCell ref="BH2374:BH2376"/>
    <mergeCell ref="BC2378:BC2394"/>
    <mergeCell ref="BD2378:BD2394"/>
    <mergeCell ref="BE2378:BE2394"/>
    <mergeCell ref="BF2378:BF2394"/>
    <mergeCell ref="BG2378:BG2394"/>
    <mergeCell ref="BH2378:BH2394"/>
    <mergeCell ref="BC2395:BC2397"/>
    <mergeCell ref="BD2395:BD2397"/>
    <mergeCell ref="BE2395:BE2397"/>
    <mergeCell ref="BF2395:BF2397"/>
    <mergeCell ref="BG2395:BG2397"/>
    <mergeCell ref="BH2395:BH2397"/>
    <mergeCell ref="BC2398:BC2399"/>
    <mergeCell ref="BD2398:BD2399"/>
    <mergeCell ref="BE2398:BE2399"/>
    <mergeCell ref="BF2398:BF2399"/>
    <mergeCell ref="BG2398:BG2399"/>
    <mergeCell ref="BH2398:BH2399"/>
    <mergeCell ref="BC2402:BC2404"/>
    <mergeCell ref="BD2402:BD2404"/>
    <mergeCell ref="BE2402:BE2404"/>
    <mergeCell ref="BF2402:BF2404"/>
    <mergeCell ref="BG2402:BG2404"/>
    <mergeCell ref="BH2402:BH2404"/>
    <mergeCell ref="BC2407:BC2409"/>
    <mergeCell ref="BD2407:BD2409"/>
    <mergeCell ref="BE2407:BE2409"/>
    <mergeCell ref="BF2407:BF2409"/>
    <mergeCell ref="BG2407:BG2409"/>
    <mergeCell ref="BH2407:BH2409"/>
    <mergeCell ref="BC2412:BC2414"/>
    <mergeCell ref="BD2412:BD2414"/>
    <mergeCell ref="BE2412:BE2414"/>
    <mergeCell ref="BF2412:BF2414"/>
    <mergeCell ref="BG2412:BG2414"/>
    <mergeCell ref="BH2412:BH2414"/>
    <mergeCell ref="BC2416:BC2437"/>
    <mergeCell ref="BD2416:BD2437"/>
    <mergeCell ref="BE2416:BE2437"/>
    <mergeCell ref="BF2416:BF2437"/>
    <mergeCell ref="BG2416:BG2437"/>
    <mergeCell ref="BH2416:BH2437"/>
    <mergeCell ref="AV6:AV9"/>
    <mergeCell ref="AW6:AW9"/>
    <mergeCell ref="AX6:AX9"/>
    <mergeCell ref="AY6:AY9"/>
    <mergeCell ref="AZ6:AZ9"/>
    <mergeCell ref="BA6:BA9"/>
    <mergeCell ref="AV11:AV15"/>
    <mergeCell ref="AW11:AW15"/>
    <mergeCell ref="AX11:AX15"/>
    <mergeCell ref="AY11:AY15"/>
    <mergeCell ref="AZ11:AZ15"/>
    <mergeCell ref="BA11:BA15"/>
    <mergeCell ref="AV16:AV20"/>
    <mergeCell ref="AW16:AW20"/>
    <mergeCell ref="AX16:AX20"/>
    <mergeCell ref="AY16:AY20"/>
    <mergeCell ref="AZ16:AZ20"/>
    <mergeCell ref="BA16:BA20"/>
    <mergeCell ref="AV21:AV23"/>
    <mergeCell ref="AW21:AW23"/>
    <mergeCell ref="AX21:AX23"/>
    <mergeCell ref="AY21:AY23"/>
    <mergeCell ref="AZ21:AZ23"/>
    <mergeCell ref="BA21:BA23"/>
    <mergeCell ref="AV24:AV26"/>
    <mergeCell ref="AW24:AW26"/>
    <mergeCell ref="AX24:AX26"/>
    <mergeCell ref="AY24:AY26"/>
    <mergeCell ref="AZ24:AZ26"/>
    <mergeCell ref="BA24:BA26"/>
    <mergeCell ref="AV27:AV28"/>
    <mergeCell ref="AW27:AW28"/>
    <mergeCell ref="AX27:AX28"/>
    <mergeCell ref="AY27:AY28"/>
    <mergeCell ref="AZ27:AZ28"/>
    <mergeCell ref="BA27:BA28"/>
    <mergeCell ref="AV29:AV31"/>
    <mergeCell ref="AW29:AW31"/>
    <mergeCell ref="AX29:AX31"/>
    <mergeCell ref="AY29:AY31"/>
    <mergeCell ref="AZ29:AZ31"/>
    <mergeCell ref="BA29:BA31"/>
    <mergeCell ref="AV32:AV33"/>
    <mergeCell ref="AW32:AW33"/>
    <mergeCell ref="AX32:AX33"/>
    <mergeCell ref="AY32:AY33"/>
    <mergeCell ref="AZ32:AZ33"/>
    <mergeCell ref="BA32:BA33"/>
    <mergeCell ref="AV34:AV35"/>
    <mergeCell ref="AW34:AW35"/>
    <mergeCell ref="AX34:AX35"/>
    <mergeCell ref="AY34:AY35"/>
    <mergeCell ref="AZ34:AZ35"/>
    <mergeCell ref="BA34:BA35"/>
    <mergeCell ref="AV37:AV38"/>
    <mergeCell ref="AW37:AW38"/>
    <mergeCell ref="AX37:AX38"/>
    <mergeCell ref="AY37:AY38"/>
    <mergeCell ref="AZ37:AZ38"/>
    <mergeCell ref="BA37:BA38"/>
    <mergeCell ref="AV39:AV40"/>
    <mergeCell ref="AW39:AW40"/>
    <mergeCell ref="AX39:AX40"/>
    <mergeCell ref="AY39:AY40"/>
    <mergeCell ref="AZ39:AZ40"/>
    <mergeCell ref="BA39:BA40"/>
    <mergeCell ref="AV42:AV44"/>
    <mergeCell ref="AW42:AW44"/>
    <mergeCell ref="AX42:AX44"/>
    <mergeCell ref="AY42:AY44"/>
    <mergeCell ref="AZ42:AZ44"/>
    <mergeCell ref="BA42:BA44"/>
    <mergeCell ref="AV46:AV47"/>
    <mergeCell ref="AW46:AW47"/>
    <mergeCell ref="AX46:AX47"/>
    <mergeCell ref="AY46:AY47"/>
    <mergeCell ref="AZ46:AZ47"/>
    <mergeCell ref="BA46:BA47"/>
    <mergeCell ref="AV48:AV50"/>
    <mergeCell ref="AW48:AW50"/>
    <mergeCell ref="AX48:AX50"/>
    <mergeCell ref="AY48:AY50"/>
    <mergeCell ref="AZ48:AZ50"/>
    <mergeCell ref="BA48:BA50"/>
    <mergeCell ref="AV53:AV57"/>
    <mergeCell ref="AW53:AW57"/>
    <mergeCell ref="AX53:AX57"/>
    <mergeCell ref="AY53:AY57"/>
    <mergeCell ref="AZ53:AZ57"/>
    <mergeCell ref="BA53:BA57"/>
    <mergeCell ref="AV58:AV60"/>
    <mergeCell ref="AW58:AW60"/>
    <mergeCell ref="AX58:AX60"/>
    <mergeCell ref="AY58:AY60"/>
    <mergeCell ref="AZ58:AZ60"/>
    <mergeCell ref="BA58:BA60"/>
    <mergeCell ref="AV62:AV64"/>
    <mergeCell ref="AW62:AW64"/>
    <mergeCell ref="AX62:AX64"/>
    <mergeCell ref="AY62:AY64"/>
    <mergeCell ref="AZ62:AZ64"/>
    <mergeCell ref="BA62:BA64"/>
    <mergeCell ref="AV65:AV68"/>
    <mergeCell ref="AW65:AW68"/>
    <mergeCell ref="AX65:AX68"/>
    <mergeCell ref="AY65:AY68"/>
    <mergeCell ref="AZ65:AZ68"/>
    <mergeCell ref="BA65:BA68"/>
    <mergeCell ref="AV69:AV71"/>
    <mergeCell ref="AW69:AW71"/>
    <mergeCell ref="AX69:AX71"/>
    <mergeCell ref="AY69:AY71"/>
    <mergeCell ref="AZ69:AZ71"/>
    <mergeCell ref="BA69:BA71"/>
    <mergeCell ref="AV72:AV73"/>
    <mergeCell ref="AW72:AW73"/>
    <mergeCell ref="AX72:AX73"/>
    <mergeCell ref="AY72:AY73"/>
    <mergeCell ref="AZ72:AZ73"/>
    <mergeCell ref="BA72:BA73"/>
    <mergeCell ref="AV74:AV77"/>
    <mergeCell ref="AW74:AW77"/>
    <mergeCell ref="AX74:AX77"/>
    <mergeCell ref="AY74:AY77"/>
    <mergeCell ref="AZ74:AZ77"/>
    <mergeCell ref="BA74:BA77"/>
    <mergeCell ref="AV78:AV79"/>
    <mergeCell ref="AW78:AW79"/>
    <mergeCell ref="AX78:AX79"/>
    <mergeCell ref="AY78:AY79"/>
    <mergeCell ref="AZ78:AZ79"/>
    <mergeCell ref="BA78:BA79"/>
    <mergeCell ref="AV80:AV85"/>
    <mergeCell ref="AW80:AW85"/>
    <mergeCell ref="AX80:AX85"/>
    <mergeCell ref="AY80:AY85"/>
    <mergeCell ref="AZ80:AZ85"/>
    <mergeCell ref="BA80:BA85"/>
    <mergeCell ref="AV86:AV87"/>
    <mergeCell ref="AW86:AW87"/>
    <mergeCell ref="AX86:AX87"/>
    <mergeCell ref="AY86:AY87"/>
    <mergeCell ref="AZ86:AZ87"/>
    <mergeCell ref="BA86:BA87"/>
    <mergeCell ref="AV88:AV90"/>
    <mergeCell ref="AW88:AW90"/>
    <mergeCell ref="AX88:AX90"/>
    <mergeCell ref="AY88:AY90"/>
    <mergeCell ref="AZ88:AZ90"/>
    <mergeCell ref="BA88:BA90"/>
    <mergeCell ref="AV91:AV93"/>
    <mergeCell ref="AW91:AW93"/>
    <mergeCell ref="AX91:AX93"/>
    <mergeCell ref="AY91:AY93"/>
    <mergeCell ref="AZ91:AZ93"/>
    <mergeCell ref="BA91:BA93"/>
    <mergeCell ref="AV94:AV95"/>
    <mergeCell ref="AW94:AW95"/>
    <mergeCell ref="AX94:AX95"/>
    <mergeCell ref="AY94:AY95"/>
    <mergeCell ref="AZ94:AZ95"/>
    <mergeCell ref="BA94:BA95"/>
    <mergeCell ref="AV96:AV97"/>
    <mergeCell ref="AW96:AW97"/>
    <mergeCell ref="AX96:AX97"/>
    <mergeCell ref="AY96:AY97"/>
    <mergeCell ref="AZ96:AZ97"/>
    <mergeCell ref="BA96:BA97"/>
    <mergeCell ref="AV98:AV99"/>
    <mergeCell ref="AW98:AW99"/>
    <mergeCell ref="AX98:AX99"/>
    <mergeCell ref="AY98:AY99"/>
    <mergeCell ref="AZ98:AZ99"/>
    <mergeCell ref="BA98:BA99"/>
    <mergeCell ref="AV100:AV101"/>
    <mergeCell ref="AW100:AW101"/>
    <mergeCell ref="AX100:AX101"/>
    <mergeCell ref="AY100:AY101"/>
    <mergeCell ref="AZ100:AZ101"/>
    <mergeCell ref="BA100:BA101"/>
    <mergeCell ref="AV103:AV106"/>
    <mergeCell ref="AW103:AW106"/>
    <mergeCell ref="AX103:AX106"/>
    <mergeCell ref="AY103:AY106"/>
    <mergeCell ref="AZ103:AZ106"/>
    <mergeCell ref="BA103:BA106"/>
    <mergeCell ref="AV108:AV109"/>
    <mergeCell ref="AW108:AW109"/>
    <mergeCell ref="AX108:AX109"/>
    <mergeCell ref="AY108:AY109"/>
    <mergeCell ref="AZ108:AZ109"/>
    <mergeCell ref="BA108:BA109"/>
    <mergeCell ref="AV110:AV111"/>
    <mergeCell ref="AW110:AW111"/>
    <mergeCell ref="AX110:AX111"/>
    <mergeCell ref="AY110:AY111"/>
    <mergeCell ref="AZ110:AZ111"/>
    <mergeCell ref="BA110:BA111"/>
    <mergeCell ref="AV117:AV118"/>
    <mergeCell ref="AW117:AW118"/>
    <mergeCell ref="AX117:AX118"/>
    <mergeCell ref="AY117:AY118"/>
    <mergeCell ref="AZ117:AZ118"/>
    <mergeCell ref="BA117:BA118"/>
    <mergeCell ref="AV128:AV129"/>
    <mergeCell ref="AW128:AW129"/>
    <mergeCell ref="AX128:AX129"/>
    <mergeCell ref="AY128:AY129"/>
    <mergeCell ref="AZ128:AZ129"/>
    <mergeCell ref="BA128:BA129"/>
    <mergeCell ref="AV130:AV131"/>
    <mergeCell ref="AW130:AW131"/>
    <mergeCell ref="AX130:AX131"/>
    <mergeCell ref="AY130:AY131"/>
    <mergeCell ref="AZ130:AZ131"/>
    <mergeCell ref="BA130:BA131"/>
    <mergeCell ref="AV132:AV134"/>
    <mergeCell ref="AW132:AW134"/>
    <mergeCell ref="AX132:AX134"/>
    <mergeCell ref="AY132:AY134"/>
    <mergeCell ref="AZ132:AZ134"/>
    <mergeCell ref="BA132:BA134"/>
    <mergeCell ref="AV135:AV136"/>
    <mergeCell ref="AW135:AW136"/>
    <mergeCell ref="AX135:AX136"/>
    <mergeCell ref="AY135:AY136"/>
    <mergeCell ref="AZ135:AZ136"/>
    <mergeCell ref="BA135:BA136"/>
    <mergeCell ref="AV155:AV156"/>
    <mergeCell ref="AW155:AW156"/>
    <mergeCell ref="AX155:AX156"/>
    <mergeCell ref="AY155:AY156"/>
    <mergeCell ref="AZ155:AZ156"/>
    <mergeCell ref="BA155:BA156"/>
    <mergeCell ref="AV158:AV159"/>
    <mergeCell ref="AW158:AW159"/>
    <mergeCell ref="AX158:AX159"/>
    <mergeCell ref="AY158:AY159"/>
    <mergeCell ref="AZ158:AZ159"/>
    <mergeCell ref="BA158:BA159"/>
    <mergeCell ref="AV160:AV161"/>
    <mergeCell ref="AW160:AW161"/>
    <mergeCell ref="AX160:AX161"/>
    <mergeCell ref="AY160:AY161"/>
    <mergeCell ref="AZ160:AZ161"/>
    <mergeCell ref="BA160:BA161"/>
    <mergeCell ref="AV163:AV165"/>
    <mergeCell ref="AW163:AW165"/>
    <mergeCell ref="AX163:AX165"/>
    <mergeCell ref="AY163:AY165"/>
    <mergeCell ref="AZ163:AZ165"/>
    <mergeCell ref="BA163:BA165"/>
    <mergeCell ref="AV166:AV168"/>
    <mergeCell ref="AW166:AW168"/>
    <mergeCell ref="AX166:AX168"/>
    <mergeCell ref="AY166:AY168"/>
    <mergeCell ref="AZ166:AZ168"/>
    <mergeCell ref="BA166:BA168"/>
    <mergeCell ref="AV169:AV170"/>
    <mergeCell ref="AW169:AW170"/>
    <mergeCell ref="AX169:AX170"/>
    <mergeCell ref="AY169:AY170"/>
    <mergeCell ref="AZ169:AZ170"/>
    <mergeCell ref="BA169:BA170"/>
    <mergeCell ref="AV171:AV172"/>
    <mergeCell ref="AW171:AW172"/>
    <mergeCell ref="AX171:AX172"/>
    <mergeCell ref="AY171:AY172"/>
    <mergeCell ref="AZ171:AZ172"/>
    <mergeCell ref="BA171:BA172"/>
    <mergeCell ref="AV173:AV174"/>
    <mergeCell ref="AW173:AW174"/>
    <mergeCell ref="AX173:AX174"/>
    <mergeCell ref="AY173:AY174"/>
    <mergeCell ref="AZ173:AZ174"/>
    <mergeCell ref="BA173:BA174"/>
    <mergeCell ref="AV182:AV184"/>
    <mergeCell ref="AW182:AW184"/>
    <mergeCell ref="AX182:AX184"/>
    <mergeCell ref="AY182:AY184"/>
    <mergeCell ref="AZ182:AZ184"/>
    <mergeCell ref="BA182:BA184"/>
    <mergeCell ref="AV186:AV189"/>
    <mergeCell ref="AW186:AW189"/>
    <mergeCell ref="AX186:AX189"/>
    <mergeCell ref="AY186:AY189"/>
    <mergeCell ref="AZ186:AZ189"/>
    <mergeCell ref="BA186:BA189"/>
    <mergeCell ref="AV190:AV191"/>
    <mergeCell ref="AW190:AW191"/>
    <mergeCell ref="AX190:AX191"/>
    <mergeCell ref="AY190:AY191"/>
    <mergeCell ref="AZ190:AZ191"/>
    <mergeCell ref="BA190:BA191"/>
    <mergeCell ref="AV192:AV194"/>
    <mergeCell ref="AW192:AW194"/>
    <mergeCell ref="AX192:AX194"/>
    <mergeCell ref="AY192:AY194"/>
    <mergeCell ref="AZ192:AZ194"/>
    <mergeCell ref="BA192:BA194"/>
    <mergeCell ref="AV204:AV205"/>
    <mergeCell ref="AW204:AW205"/>
    <mergeCell ref="AX204:AX205"/>
    <mergeCell ref="AY204:AY205"/>
    <mergeCell ref="AZ204:AZ205"/>
    <mergeCell ref="BA204:BA205"/>
    <mergeCell ref="AV206:AV207"/>
    <mergeCell ref="AW206:AW207"/>
    <mergeCell ref="AX206:AX207"/>
    <mergeCell ref="AY206:AY207"/>
    <mergeCell ref="AZ206:AZ207"/>
    <mergeCell ref="BA206:BA207"/>
    <mergeCell ref="AV208:AV209"/>
    <mergeCell ref="AW208:AW209"/>
    <mergeCell ref="AX208:AX209"/>
    <mergeCell ref="AY208:AY209"/>
    <mergeCell ref="AZ208:AZ209"/>
    <mergeCell ref="BA208:BA209"/>
    <mergeCell ref="AV217:AV218"/>
    <mergeCell ref="AW217:AW218"/>
    <mergeCell ref="AX217:AX218"/>
    <mergeCell ref="AY217:AY218"/>
    <mergeCell ref="AZ217:AZ218"/>
    <mergeCell ref="BA217:BA218"/>
    <mergeCell ref="AV219:AV220"/>
    <mergeCell ref="AW219:AW220"/>
    <mergeCell ref="AX219:AX220"/>
    <mergeCell ref="AY219:AY220"/>
    <mergeCell ref="AZ219:AZ220"/>
    <mergeCell ref="BA219:BA220"/>
    <mergeCell ref="AV226:AV227"/>
    <mergeCell ref="AW226:AW227"/>
    <mergeCell ref="AX226:AX227"/>
    <mergeCell ref="AY226:AY227"/>
    <mergeCell ref="AZ226:AZ227"/>
    <mergeCell ref="BA226:BA227"/>
    <mergeCell ref="AV233:AV234"/>
    <mergeCell ref="AW233:AW234"/>
    <mergeCell ref="AX233:AX234"/>
    <mergeCell ref="AY233:AY234"/>
    <mergeCell ref="AZ233:AZ234"/>
    <mergeCell ref="BA233:BA234"/>
    <mergeCell ref="AV235:AV236"/>
    <mergeCell ref="AW235:AW236"/>
    <mergeCell ref="AX235:AX236"/>
    <mergeCell ref="AY235:AY236"/>
    <mergeCell ref="AZ235:AZ236"/>
    <mergeCell ref="BA235:BA236"/>
    <mergeCell ref="AV248:AV250"/>
    <mergeCell ref="AW248:AW250"/>
    <mergeCell ref="AX248:AX250"/>
    <mergeCell ref="AY248:AY250"/>
    <mergeCell ref="AZ248:AZ250"/>
    <mergeCell ref="BA248:BA250"/>
    <mergeCell ref="AV253:AV254"/>
    <mergeCell ref="AW253:AW254"/>
    <mergeCell ref="AX253:AX254"/>
    <mergeCell ref="AY253:AY254"/>
    <mergeCell ref="AZ253:AZ254"/>
    <mergeCell ref="BA253:BA254"/>
    <mergeCell ref="AV255:AV257"/>
    <mergeCell ref="AW255:AW257"/>
    <mergeCell ref="AX255:AX257"/>
    <mergeCell ref="AY255:AY257"/>
    <mergeCell ref="AZ255:AZ257"/>
    <mergeCell ref="BA255:BA257"/>
    <mergeCell ref="AV270:AV271"/>
    <mergeCell ref="AW270:AW271"/>
    <mergeCell ref="AX270:AX271"/>
    <mergeCell ref="AY270:AY271"/>
    <mergeCell ref="AZ270:AZ271"/>
    <mergeCell ref="BA270:BA271"/>
    <mergeCell ref="AV272:AV273"/>
    <mergeCell ref="AW272:AW273"/>
    <mergeCell ref="AX272:AX273"/>
    <mergeCell ref="AY272:AY273"/>
    <mergeCell ref="AZ272:AZ273"/>
    <mergeCell ref="BA272:BA273"/>
    <mergeCell ref="AV275:AV276"/>
    <mergeCell ref="AW275:AW276"/>
    <mergeCell ref="AX275:AX276"/>
    <mergeCell ref="AY275:AY276"/>
    <mergeCell ref="AZ275:AZ276"/>
    <mergeCell ref="BA275:BA276"/>
    <mergeCell ref="AV277:AV278"/>
    <mergeCell ref="AW277:AW278"/>
    <mergeCell ref="AX277:AX278"/>
    <mergeCell ref="AY277:AY278"/>
    <mergeCell ref="AZ277:AZ278"/>
    <mergeCell ref="BA277:BA278"/>
    <mergeCell ref="AV303:AV305"/>
    <mergeCell ref="AW303:AW305"/>
    <mergeCell ref="AX303:AX305"/>
    <mergeCell ref="AY303:AY305"/>
    <mergeCell ref="AZ303:AZ305"/>
    <mergeCell ref="BA303:BA305"/>
    <mergeCell ref="AV306:AV309"/>
    <mergeCell ref="AW306:AW309"/>
    <mergeCell ref="AX306:AX309"/>
    <mergeCell ref="AY306:AY309"/>
    <mergeCell ref="AZ306:AZ309"/>
    <mergeCell ref="BA306:BA309"/>
    <mergeCell ref="AV314:AV317"/>
    <mergeCell ref="AW314:AW317"/>
    <mergeCell ref="AX314:AX317"/>
    <mergeCell ref="AY314:AY317"/>
    <mergeCell ref="AZ314:AZ317"/>
    <mergeCell ref="BA314:BA317"/>
    <mergeCell ref="AV319:AV320"/>
    <mergeCell ref="AW319:AW320"/>
    <mergeCell ref="AX319:AX320"/>
    <mergeCell ref="AY319:AY320"/>
    <mergeCell ref="AZ319:AZ320"/>
    <mergeCell ref="BA319:BA320"/>
    <mergeCell ref="AV321:AV322"/>
    <mergeCell ref="AW321:AW322"/>
    <mergeCell ref="AX321:AX322"/>
    <mergeCell ref="AY321:AY322"/>
    <mergeCell ref="AZ321:AZ322"/>
    <mergeCell ref="BA321:BA322"/>
    <mergeCell ref="AV323:AV325"/>
    <mergeCell ref="AW323:AW325"/>
    <mergeCell ref="AX323:AX325"/>
    <mergeCell ref="AY323:AY325"/>
    <mergeCell ref="AZ323:AZ325"/>
    <mergeCell ref="BA323:BA325"/>
    <mergeCell ref="AV326:AV328"/>
    <mergeCell ref="AW326:AW328"/>
    <mergeCell ref="AX326:AX328"/>
    <mergeCell ref="AY326:AY328"/>
    <mergeCell ref="AZ326:AZ328"/>
    <mergeCell ref="BA326:BA328"/>
    <mergeCell ref="AV342:AV343"/>
    <mergeCell ref="AW342:AW343"/>
    <mergeCell ref="AX342:AX343"/>
    <mergeCell ref="AY342:AY343"/>
    <mergeCell ref="AZ342:AZ343"/>
    <mergeCell ref="BA342:BA343"/>
    <mergeCell ref="AV348:AV349"/>
    <mergeCell ref="AW348:AW349"/>
    <mergeCell ref="AX348:AX349"/>
    <mergeCell ref="AY348:AY349"/>
    <mergeCell ref="AZ348:AZ349"/>
    <mergeCell ref="BA348:BA349"/>
    <mergeCell ref="AV350:AV351"/>
    <mergeCell ref="AW350:AW351"/>
    <mergeCell ref="AX350:AX351"/>
    <mergeCell ref="AY350:AY351"/>
    <mergeCell ref="AZ350:AZ351"/>
    <mergeCell ref="BA350:BA351"/>
    <mergeCell ref="AV352:AV355"/>
    <mergeCell ref="AW352:AW355"/>
    <mergeCell ref="AX352:AX355"/>
    <mergeCell ref="AY352:AY355"/>
    <mergeCell ref="AZ352:AZ355"/>
    <mergeCell ref="BA352:BA355"/>
    <mergeCell ref="AV368:AV370"/>
    <mergeCell ref="AW368:AW370"/>
    <mergeCell ref="AX368:AX370"/>
    <mergeCell ref="AY368:AY370"/>
    <mergeCell ref="AZ368:AZ370"/>
    <mergeCell ref="BA368:BA370"/>
    <mergeCell ref="AV373:AV376"/>
    <mergeCell ref="AW373:AW376"/>
    <mergeCell ref="AX373:AX376"/>
    <mergeCell ref="AY373:AY376"/>
    <mergeCell ref="AZ373:AZ376"/>
    <mergeCell ref="BA373:BA376"/>
    <mergeCell ref="AV377:AV380"/>
    <mergeCell ref="AW377:AW380"/>
    <mergeCell ref="AX377:AX380"/>
    <mergeCell ref="AY377:AY380"/>
    <mergeCell ref="AZ377:AZ380"/>
    <mergeCell ref="BA377:BA380"/>
    <mergeCell ref="AV383:AV384"/>
    <mergeCell ref="AW383:AW384"/>
    <mergeCell ref="AX383:AX384"/>
    <mergeCell ref="AY383:AY384"/>
    <mergeCell ref="AZ383:AZ384"/>
    <mergeCell ref="BA383:BA384"/>
    <mergeCell ref="AV385:AV387"/>
    <mergeCell ref="AW385:AW387"/>
    <mergeCell ref="AX385:AX387"/>
    <mergeCell ref="AY385:AY387"/>
    <mergeCell ref="AZ385:AZ387"/>
    <mergeCell ref="BA385:BA387"/>
    <mergeCell ref="AV389:AV390"/>
    <mergeCell ref="AW389:AW390"/>
    <mergeCell ref="AX389:AX390"/>
    <mergeCell ref="AY389:AY390"/>
    <mergeCell ref="AZ389:AZ390"/>
    <mergeCell ref="BA389:BA390"/>
    <mergeCell ref="AV392:AV394"/>
    <mergeCell ref="AW392:AW394"/>
    <mergeCell ref="AX392:AX394"/>
    <mergeCell ref="AY392:AY394"/>
    <mergeCell ref="AZ392:AZ394"/>
    <mergeCell ref="BA392:BA394"/>
    <mergeCell ref="AV395:AV399"/>
    <mergeCell ref="AW395:AW399"/>
    <mergeCell ref="AX395:AX399"/>
    <mergeCell ref="AY395:AY399"/>
    <mergeCell ref="AZ395:AZ399"/>
    <mergeCell ref="BA395:BA399"/>
    <mergeCell ref="AV414:AV416"/>
    <mergeCell ref="AW414:AW416"/>
    <mergeCell ref="AX414:AX416"/>
    <mergeCell ref="AY414:AY416"/>
    <mergeCell ref="AZ414:AZ416"/>
    <mergeCell ref="BA414:BA416"/>
    <mergeCell ref="AV418:AV419"/>
    <mergeCell ref="AW418:AW419"/>
    <mergeCell ref="AX418:AX419"/>
    <mergeCell ref="AY418:AY419"/>
    <mergeCell ref="AZ418:AZ419"/>
    <mergeCell ref="BA418:BA419"/>
    <mergeCell ref="AV420:AV424"/>
    <mergeCell ref="AW420:AW424"/>
    <mergeCell ref="AX420:AX424"/>
    <mergeCell ref="AY420:AY424"/>
    <mergeCell ref="AZ420:AZ424"/>
    <mergeCell ref="BA420:BA424"/>
    <mergeCell ref="AV436:AV438"/>
    <mergeCell ref="AW436:AW438"/>
    <mergeCell ref="AX436:AX438"/>
    <mergeCell ref="AY436:AY438"/>
    <mergeCell ref="AZ436:AZ438"/>
    <mergeCell ref="BA436:BA438"/>
    <mergeCell ref="AV449:AV452"/>
    <mergeCell ref="AW449:AW452"/>
    <mergeCell ref="AX449:AX452"/>
    <mergeCell ref="AY449:AY452"/>
    <mergeCell ref="AZ449:AZ452"/>
    <mergeCell ref="BA449:BA452"/>
    <mergeCell ref="AV453:AV456"/>
    <mergeCell ref="AW453:AW456"/>
    <mergeCell ref="AX453:AX456"/>
    <mergeCell ref="AY453:AY456"/>
    <mergeCell ref="AZ453:AZ456"/>
    <mergeCell ref="BA453:BA456"/>
    <mergeCell ref="AV465:AV466"/>
    <mergeCell ref="AW465:AW466"/>
    <mergeCell ref="AX465:AX466"/>
    <mergeCell ref="AY465:AY466"/>
    <mergeCell ref="AZ465:AZ466"/>
    <mergeCell ref="BA465:BA466"/>
    <mergeCell ref="AV467:AV468"/>
    <mergeCell ref="AW467:AW468"/>
    <mergeCell ref="AX467:AX468"/>
    <mergeCell ref="AY467:AY468"/>
    <mergeCell ref="AZ467:AZ468"/>
    <mergeCell ref="BA467:BA468"/>
    <mergeCell ref="AV469:AV470"/>
    <mergeCell ref="AW469:AW470"/>
    <mergeCell ref="AX469:AX470"/>
    <mergeCell ref="AY469:AY470"/>
    <mergeCell ref="AZ469:AZ470"/>
    <mergeCell ref="BA469:BA470"/>
    <mergeCell ref="AV473:AV474"/>
    <mergeCell ref="AW473:AW474"/>
    <mergeCell ref="AX473:AX474"/>
    <mergeCell ref="AY473:AY474"/>
    <mergeCell ref="AZ473:AZ474"/>
    <mergeCell ref="BA473:BA474"/>
    <mergeCell ref="AV475:AV477"/>
    <mergeCell ref="AW475:AW477"/>
    <mergeCell ref="AX475:AX477"/>
    <mergeCell ref="AY475:AY477"/>
    <mergeCell ref="AZ475:AZ477"/>
    <mergeCell ref="BA475:BA477"/>
    <mergeCell ref="AV478:AV480"/>
    <mergeCell ref="AW478:AW480"/>
    <mergeCell ref="AX478:AX480"/>
    <mergeCell ref="AY478:AY480"/>
    <mergeCell ref="AZ478:AZ480"/>
    <mergeCell ref="BA478:BA480"/>
    <mergeCell ref="AV481:AV483"/>
    <mergeCell ref="AW481:AW483"/>
    <mergeCell ref="AX481:AX483"/>
    <mergeCell ref="AY481:AY483"/>
    <mergeCell ref="AZ481:AZ483"/>
    <mergeCell ref="BA481:BA483"/>
    <mergeCell ref="AV484:AV485"/>
    <mergeCell ref="AW484:AW485"/>
    <mergeCell ref="AX484:AX485"/>
    <mergeCell ref="AY484:AY485"/>
    <mergeCell ref="AZ484:AZ485"/>
    <mergeCell ref="BA484:BA485"/>
    <mergeCell ref="AV487:AV490"/>
    <mergeCell ref="AW487:AW490"/>
    <mergeCell ref="AX487:AX490"/>
    <mergeCell ref="AY487:AY490"/>
    <mergeCell ref="AZ487:AZ490"/>
    <mergeCell ref="BA487:BA490"/>
    <mergeCell ref="AV494:AV497"/>
    <mergeCell ref="AW494:AW497"/>
    <mergeCell ref="AX494:AX497"/>
    <mergeCell ref="AY494:AY497"/>
    <mergeCell ref="AZ494:AZ497"/>
    <mergeCell ref="BA494:BA497"/>
    <mergeCell ref="AV498:AV499"/>
    <mergeCell ref="AW498:AW499"/>
    <mergeCell ref="AX498:AX499"/>
    <mergeCell ref="AY498:AY499"/>
    <mergeCell ref="AZ498:AZ499"/>
    <mergeCell ref="BA498:BA499"/>
    <mergeCell ref="AV508:AV509"/>
    <mergeCell ref="AW508:AW509"/>
    <mergeCell ref="AX508:AX509"/>
    <mergeCell ref="AY508:AY509"/>
    <mergeCell ref="AZ508:AZ509"/>
    <mergeCell ref="BA508:BA509"/>
    <mergeCell ref="AV514:AV515"/>
    <mergeCell ref="AW514:AW515"/>
    <mergeCell ref="AX514:AX515"/>
    <mergeCell ref="AY514:AY515"/>
    <mergeCell ref="AZ514:AZ515"/>
    <mergeCell ref="BA514:BA515"/>
    <mergeCell ref="AV516:AV517"/>
    <mergeCell ref="AW516:AW517"/>
    <mergeCell ref="AX516:AX517"/>
    <mergeCell ref="AY516:AY517"/>
    <mergeCell ref="AZ516:AZ517"/>
    <mergeCell ref="BA516:BA517"/>
    <mergeCell ref="AV518:AV520"/>
    <mergeCell ref="AW518:AW520"/>
    <mergeCell ref="AX518:AX520"/>
    <mergeCell ref="AY518:AY520"/>
    <mergeCell ref="AZ518:AZ520"/>
    <mergeCell ref="BA518:BA520"/>
    <mergeCell ref="AV528:AV529"/>
    <mergeCell ref="AW528:AW529"/>
    <mergeCell ref="AX528:AX529"/>
    <mergeCell ref="AY528:AY529"/>
    <mergeCell ref="AZ528:AZ529"/>
    <mergeCell ref="BA528:BA529"/>
    <mergeCell ref="AV530:AV531"/>
    <mergeCell ref="AW530:AW531"/>
    <mergeCell ref="AX530:AX531"/>
    <mergeCell ref="AY530:AY531"/>
    <mergeCell ref="AZ530:AZ531"/>
    <mergeCell ref="BA530:BA531"/>
    <mergeCell ref="AV534:AV535"/>
    <mergeCell ref="AW534:AW535"/>
    <mergeCell ref="AX534:AX535"/>
    <mergeCell ref="AY534:AY535"/>
    <mergeCell ref="AZ534:AZ535"/>
    <mergeCell ref="BA534:BA535"/>
    <mergeCell ref="AV538:AV539"/>
    <mergeCell ref="AW538:AW539"/>
    <mergeCell ref="AX538:AX539"/>
    <mergeCell ref="AY538:AY539"/>
    <mergeCell ref="AZ538:AZ539"/>
    <mergeCell ref="BA538:BA539"/>
    <mergeCell ref="AV541:AV543"/>
    <mergeCell ref="AW541:AW543"/>
    <mergeCell ref="AX541:AX543"/>
    <mergeCell ref="AY541:AY543"/>
    <mergeCell ref="AZ541:AZ543"/>
    <mergeCell ref="BA541:BA543"/>
    <mergeCell ref="AV544:AV545"/>
    <mergeCell ref="AW544:AW545"/>
    <mergeCell ref="AX544:AX545"/>
    <mergeCell ref="AY544:AY545"/>
    <mergeCell ref="AZ544:AZ545"/>
    <mergeCell ref="BA544:BA545"/>
    <mergeCell ref="AV546:AV550"/>
    <mergeCell ref="AW546:AW550"/>
    <mergeCell ref="AX546:AX550"/>
    <mergeCell ref="AY546:AY550"/>
    <mergeCell ref="AZ546:AZ550"/>
    <mergeCell ref="BA546:BA550"/>
    <mergeCell ref="AV551:AV552"/>
    <mergeCell ref="AW551:AW552"/>
    <mergeCell ref="AX551:AX552"/>
    <mergeCell ref="AY551:AY552"/>
    <mergeCell ref="AZ551:AZ552"/>
    <mergeCell ref="BA551:BA552"/>
    <mergeCell ref="AV553:AV554"/>
    <mergeCell ref="AW553:AW554"/>
    <mergeCell ref="AX553:AX554"/>
    <mergeCell ref="AY553:AY554"/>
    <mergeCell ref="AZ553:AZ554"/>
    <mergeCell ref="BA553:BA554"/>
    <mergeCell ref="AV557:AV558"/>
    <mergeCell ref="AW557:AW558"/>
    <mergeCell ref="AX557:AX558"/>
    <mergeCell ref="AY557:AY558"/>
    <mergeCell ref="AZ557:AZ558"/>
    <mergeCell ref="BA557:BA558"/>
    <mergeCell ref="AV563:AV568"/>
    <mergeCell ref="AW563:AW568"/>
    <mergeCell ref="AX563:AX568"/>
    <mergeCell ref="AY563:AY568"/>
    <mergeCell ref="AZ563:AZ568"/>
    <mergeCell ref="BA563:BA568"/>
    <mergeCell ref="AV570:AV572"/>
    <mergeCell ref="AW570:AW572"/>
    <mergeCell ref="AX570:AX572"/>
    <mergeCell ref="AY570:AY572"/>
    <mergeCell ref="AZ570:AZ572"/>
    <mergeCell ref="BA570:BA572"/>
    <mergeCell ref="AV573:AV576"/>
    <mergeCell ref="AW573:AW576"/>
    <mergeCell ref="AX573:AX576"/>
    <mergeCell ref="AY573:AY576"/>
    <mergeCell ref="AZ573:AZ576"/>
    <mergeCell ref="BA573:BA576"/>
    <mergeCell ref="AV577:AV578"/>
    <mergeCell ref="AW577:AW578"/>
    <mergeCell ref="AX577:AX578"/>
    <mergeCell ref="AY577:AY578"/>
    <mergeCell ref="AZ577:AZ578"/>
    <mergeCell ref="BA577:BA578"/>
    <mergeCell ref="AV579:AV580"/>
    <mergeCell ref="AW579:AW580"/>
    <mergeCell ref="AX579:AX580"/>
    <mergeCell ref="AY579:AY580"/>
    <mergeCell ref="AZ579:AZ580"/>
    <mergeCell ref="BA579:BA580"/>
    <mergeCell ref="AV581:AV582"/>
    <mergeCell ref="AW581:AW582"/>
    <mergeCell ref="AX581:AX582"/>
    <mergeCell ref="AY581:AY582"/>
    <mergeCell ref="AZ581:AZ582"/>
    <mergeCell ref="BA581:BA582"/>
    <mergeCell ref="AV583:AV584"/>
    <mergeCell ref="AW583:AW584"/>
    <mergeCell ref="AX583:AX584"/>
    <mergeCell ref="AY583:AY584"/>
    <mergeCell ref="AZ583:AZ584"/>
    <mergeCell ref="BA583:BA584"/>
    <mergeCell ref="AV585:AV586"/>
    <mergeCell ref="AW585:AW586"/>
    <mergeCell ref="AX585:AX586"/>
    <mergeCell ref="AY585:AY586"/>
    <mergeCell ref="AZ585:AZ586"/>
    <mergeCell ref="BA585:BA586"/>
    <mergeCell ref="AV587:AV588"/>
    <mergeCell ref="AW587:AW588"/>
    <mergeCell ref="AX587:AX588"/>
    <mergeCell ref="AY587:AY588"/>
    <mergeCell ref="AZ587:AZ588"/>
    <mergeCell ref="BA587:BA588"/>
    <mergeCell ref="AV592:AV593"/>
    <mergeCell ref="AW592:AW593"/>
    <mergeCell ref="AX592:AX593"/>
    <mergeCell ref="AY592:AY593"/>
    <mergeCell ref="AZ592:AZ593"/>
    <mergeCell ref="BA592:BA593"/>
    <mergeCell ref="AV594:AV596"/>
    <mergeCell ref="AW594:AW596"/>
    <mergeCell ref="AX594:AX596"/>
    <mergeCell ref="AY594:AY596"/>
    <mergeCell ref="AZ594:AZ596"/>
    <mergeCell ref="BA594:BA596"/>
    <mergeCell ref="AV598:AV602"/>
    <mergeCell ref="AW598:AW602"/>
    <mergeCell ref="AX598:AX602"/>
    <mergeCell ref="AY598:AY602"/>
    <mergeCell ref="AZ598:AZ602"/>
    <mergeCell ref="BA598:BA602"/>
    <mergeCell ref="AV603:AV607"/>
    <mergeCell ref="AW603:AW607"/>
    <mergeCell ref="AX603:AX607"/>
    <mergeCell ref="AY603:AY607"/>
    <mergeCell ref="AZ603:AZ607"/>
    <mergeCell ref="BA603:BA607"/>
    <mergeCell ref="AV608:AV610"/>
    <mergeCell ref="AW608:AW610"/>
    <mergeCell ref="AX608:AX610"/>
    <mergeCell ref="AY608:AY610"/>
    <mergeCell ref="AZ608:AZ610"/>
    <mergeCell ref="BA608:BA610"/>
    <mergeCell ref="AV611:AV615"/>
    <mergeCell ref="AW611:AW615"/>
    <mergeCell ref="AX611:AX615"/>
    <mergeCell ref="AY611:AY615"/>
    <mergeCell ref="AZ611:AZ615"/>
    <mergeCell ref="BA611:BA615"/>
    <mergeCell ref="AV617:AV619"/>
    <mergeCell ref="AW617:AW619"/>
    <mergeCell ref="AX617:AX619"/>
    <mergeCell ref="AY617:AY619"/>
    <mergeCell ref="AZ617:AZ619"/>
    <mergeCell ref="BA617:BA619"/>
    <mergeCell ref="AV620:AV622"/>
    <mergeCell ref="AW620:AW622"/>
    <mergeCell ref="AX620:AX622"/>
    <mergeCell ref="AY620:AY622"/>
    <mergeCell ref="AZ620:AZ622"/>
    <mergeCell ref="BA620:BA622"/>
    <mergeCell ref="AV623:AV624"/>
    <mergeCell ref="AW623:AW624"/>
    <mergeCell ref="AX623:AX624"/>
    <mergeCell ref="AY623:AY624"/>
    <mergeCell ref="AZ623:AZ624"/>
    <mergeCell ref="BA623:BA624"/>
    <mergeCell ref="AV625:AV627"/>
    <mergeCell ref="AW625:AW627"/>
    <mergeCell ref="AX625:AX627"/>
    <mergeCell ref="AY625:AY627"/>
    <mergeCell ref="AZ625:AZ627"/>
    <mergeCell ref="BA625:BA627"/>
    <mergeCell ref="AV629:AV630"/>
    <mergeCell ref="AW629:AW630"/>
    <mergeCell ref="AX629:AX630"/>
    <mergeCell ref="AY629:AY630"/>
    <mergeCell ref="AZ629:AZ630"/>
    <mergeCell ref="BA629:BA630"/>
    <mergeCell ref="AV631:AV632"/>
    <mergeCell ref="AW631:AW632"/>
    <mergeCell ref="AX631:AX632"/>
    <mergeCell ref="AY631:AY632"/>
    <mergeCell ref="AZ631:AZ632"/>
    <mergeCell ref="BA631:BA632"/>
    <mergeCell ref="AV633:AV634"/>
    <mergeCell ref="AW633:AW634"/>
    <mergeCell ref="AX633:AX634"/>
    <mergeCell ref="AY633:AY634"/>
    <mergeCell ref="AZ633:AZ634"/>
    <mergeCell ref="BA633:BA634"/>
    <mergeCell ref="AV636:AV640"/>
    <mergeCell ref="AW636:AW640"/>
    <mergeCell ref="AX636:AX640"/>
    <mergeCell ref="AY636:AY640"/>
    <mergeCell ref="AZ636:AZ640"/>
    <mergeCell ref="BA636:BA640"/>
    <mergeCell ref="AV641:AV644"/>
    <mergeCell ref="AW641:AW644"/>
    <mergeCell ref="AX641:AX644"/>
    <mergeCell ref="AY641:AY644"/>
    <mergeCell ref="AZ641:AZ644"/>
    <mergeCell ref="BA641:BA644"/>
    <mergeCell ref="AV645:AV648"/>
    <mergeCell ref="AW645:AW648"/>
    <mergeCell ref="AX645:AX648"/>
    <mergeCell ref="AY645:AY648"/>
    <mergeCell ref="AZ645:AZ648"/>
    <mergeCell ref="BA645:BA648"/>
    <mergeCell ref="AV649:AV653"/>
    <mergeCell ref="AW649:AW653"/>
    <mergeCell ref="AX649:AX653"/>
    <mergeCell ref="AY649:AY653"/>
    <mergeCell ref="AZ649:AZ653"/>
    <mergeCell ref="BA649:BA653"/>
    <mergeCell ref="AV654:AV655"/>
    <mergeCell ref="AW654:AW655"/>
    <mergeCell ref="AX654:AX655"/>
    <mergeCell ref="AY654:AY655"/>
    <mergeCell ref="AZ654:AZ655"/>
    <mergeCell ref="BA654:BA655"/>
    <mergeCell ref="AV656:AV657"/>
    <mergeCell ref="AW656:AW657"/>
    <mergeCell ref="AX656:AX657"/>
    <mergeCell ref="AY656:AY657"/>
    <mergeCell ref="AZ656:AZ657"/>
    <mergeCell ref="BA656:BA657"/>
    <mergeCell ref="AV658:AV662"/>
    <mergeCell ref="AW658:AW662"/>
    <mergeCell ref="AX658:AX662"/>
    <mergeCell ref="AY658:AY662"/>
    <mergeCell ref="AZ658:AZ662"/>
    <mergeCell ref="BA658:BA662"/>
    <mergeCell ref="AV663:AV665"/>
    <mergeCell ref="AW663:AW665"/>
    <mergeCell ref="AX663:AX665"/>
    <mergeCell ref="AY663:AY665"/>
    <mergeCell ref="AZ663:AZ665"/>
    <mergeCell ref="BA663:BA665"/>
    <mergeCell ref="AV666:AV669"/>
    <mergeCell ref="AW666:AW669"/>
    <mergeCell ref="AX666:AX669"/>
    <mergeCell ref="AY666:AY669"/>
    <mergeCell ref="AZ666:AZ669"/>
    <mergeCell ref="BA666:BA669"/>
    <mergeCell ref="AV670:AV672"/>
    <mergeCell ref="AW670:AW672"/>
    <mergeCell ref="AX670:AX672"/>
    <mergeCell ref="AY670:AY672"/>
    <mergeCell ref="AZ670:AZ672"/>
    <mergeCell ref="BA670:BA672"/>
    <mergeCell ref="AV673:AV677"/>
    <mergeCell ref="AW673:AW677"/>
    <mergeCell ref="AX673:AX677"/>
    <mergeCell ref="AY673:AY677"/>
    <mergeCell ref="AZ673:AZ677"/>
    <mergeCell ref="BA673:BA677"/>
    <mergeCell ref="AV681:AV684"/>
    <mergeCell ref="AW681:AW684"/>
    <mergeCell ref="AX681:AX684"/>
    <mergeCell ref="AY681:AY684"/>
    <mergeCell ref="AZ681:AZ684"/>
    <mergeCell ref="BA681:BA684"/>
    <mergeCell ref="AV685:AV686"/>
    <mergeCell ref="AW685:AW686"/>
    <mergeCell ref="AX685:AX686"/>
    <mergeCell ref="AY685:AY686"/>
    <mergeCell ref="AZ685:AZ686"/>
    <mergeCell ref="BA685:BA686"/>
    <mergeCell ref="AV687:AV689"/>
    <mergeCell ref="AW687:AW689"/>
    <mergeCell ref="AX687:AX689"/>
    <mergeCell ref="AY687:AY689"/>
    <mergeCell ref="AZ687:AZ689"/>
    <mergeCell ref="BA687:BA689"/>
    <mergeCell ref="AV690:AV692"/>
    <mergeCell ref="AW690:AW692"/>
    <mergeCell ref="AX690:AX692"/>
    <mergeCell ref="AY690:AY692"/>
    <mergeCell ref="AZ690:AZ692"/>
    <mergeCell ref="BA690:BA692"/>
    <mergeCell ref="AV693:AV697"/>
    <mergeCell ref="AW693:AW697"/>
    <mergeCell ref="AX693:AX697"/>
    <mergeCell ref="AY693:AY697"/>
    <mergeCell ref="AZ693:AZ697"/>
    <mergeCell ref="BA693:BA697"/>
    <mergeCell ref="AV698:AV699"/>
    <mergeCell ref="AW698:AW699"/>
    <mergeCell ref="AX698:AX699"/>
    <mergeCell ref="AY698:AY699"/>
    <mergeCell ref="AZ698:AZ699"/>
    <mergeCell ref="BA698:BA699"/>
    <mergeCell ref="AV700:AV701"/>
    <mergeCell ref="AW700:AW701"/>
    <mergeCell ref="AX700:AX701"/>
    <mergeCell ref="AY700:AY701"/>
    <mergeCell ref="AZ700:AZ701"/>
    <mergeCell ref="BA700:BA701"/>
    <mergeCell ref="AV704:AV709"/>
    <mergeCell ref="AW704:AW709"/>
    <mergeCell ref="AX704:AX709"/>
    <mergeCell ref="AY704:AY709"/>
    <mergeCell ref="AZ704:AZ709"/>
    <mergeCell ref="BA704:BA709"/>
    <mergeCell ref="AV710:AV714"/>
    <mergeCell ref="AW710:AW714"/>
    <mergeCell ref="AX710:AX714"/>
    <mergeCell ref="AY710:AY714"/>
    <mergeCell ref="AZ710:AZ714"/>
    <mergeCell ref="BA710:BA714"/>
    <mergeCell ref="AV715:AV720"/>
    <mergeCell ref="AW715:AW720"/>
    <mergeCell ref="AX715:AX720"/>
    <mergeCell ref="AY715:AY720"/>
    <mergeCell ref="AZ715:AZ720"/>
    <mergeCell ref="BA715:BA720"/>
    <mergeCell ref="AV723:AV724"/>
    <mergeCell ref="AW723:AW724"/>
    <mergeCell ref="AX723:AX724"/>
    <mergeCell ref="AY723:AY724"/>
    <mergeCell ref="AZ723:AZ724"/>
    <mergeCell ref="BA723:BA724"/>
    <mergeCell ref="AV726:AV727"/>
    <mergeCell ref="AW726:AW727"/>
    <mergeCell ref="AX726:AX727"/>
    <mergeCell ref="AY726:AY727"/>
    <mergeCell ref="AZ726:AZ727"/>
    <mergeCell ref="BA726:BA727"/>
    <mergeCell ref="AV730:AV733"/>
    <mergeCell ref="AW730:AW733"/>
    <mergeCell ref="AX730:AX733"/>
    <mergeCell ref="AY730:AY733"/>
    <mergeCell ref="AZ730:AZ733"/>
    <mergeCell ref="BA730:BA733"/>
    <mergeCell ref="AV736:AV740"/>
    <mergeCell ref="AW736:AW740"/>
    <mergeCell ref="AX736:AX740"/>
    <mergeCell ref="AY736:AY740"/>
    <mergeCell ref="AZ736:AZ740"/>
    <mergeCell ref="BA736:BA740"/>
    <mergeCell ref="AV741:AV745"/>
    <mergeCell ref="AW741:AW745"/>
    <mergeCell ref="AX741:AX745"/>
    <mergeCell ref="AY741:AY745"/>
    <mergeCell ref="AZ741:AZ745"/>
    <mergeCell ref="BA741:BA745"/>
    <mergeCell ref="AV746:AV747"/>
    <mergeCell ref="AW746:AW747"/>
    <mergeCell ref="AX746:AX747"/>
    <mergeCell ref="AY746:AY747"/>
    <mergeCell ref="AZ746:AZ747"/>
    <mergeCell ref="BA746:BA747"/>
    <mergeCell ref="AV748:AV749"/>
    <mergeCell ref="AW748:AW749"/>
    <mergeCell ref="AX748:AX749"/>
    <mergeCell ref="AY748:AY749"/>
    <mergeCell ref="AZ748:AZ749"/>
    <mergeCell ref="BA748:BA749"/>
    <mergeCell ref="AV752:AV757"/>
    <mergeCell ref="AW752:AW757"/>
    <mergeCell ref="AX752:AX757"/>
    <mergeCell ref="AY752:AY757"/>
    <mergeCell ref="AZ752:AZ757"/>
    <mergeCell ref="BA752:BA757"/>
    <mergeCell ref="AV758:AV759"/>
    <mergeCell ref="AW758:AW759"/>
    <mergeCell ref="AX758:AX759"/>
    <mergeCell ref="AY758:AY759"/>
    <mergeCell ref="AZ758:AZ759"/>
    <mergeCell ref="BA758:BA759"/>
    <mergeCell ref="AV760:AV765"/>
    <mergeCell ref="AW760:AW765"/>
    <mergeCell ref="AX760:AX765"/>
    <mergeCell ref="AY760:AY765"/>
    <mergeCell ref="AZ760:AZ765"/>
    <mergeCell ref="BA760:BA765"/>
    <mergeCell ref="AV769:AV771"/>
    <mergeCell ref="AW769:AW771"/>
    <mergeCell ref="AX769:AX771"/>
    <mergeCell ref="AY769:AY771"/>
    <mergeCell ref="AZ769:AZ771"/>
    <mergeCell ref="BA769:BA771"/>
    <mergeCell ref="AV772:AV774"/>
    <mergeCell ref="AW772:AW774"/>
    <mergeCell ref="AX772:AX774"/>
    <mergeCell ref="AY772:AY774"/>
    <mergeCell ref="AZ772:AZ774"/>
    <mergeCell ref="BA772:BA774"/>
    <mergeCell ref="AV775:AV778"/>
    <mergeCell ref="AW775:AW778"/>
    <mergeCell ref="AX775:AX778"/>
    <mergeCell ref="AY775:AY778"/>
    <mergeCell ref="AZ775:AZ778"/>
    <mergeCell ref="BA775:BA778"/>
    <mergeCell ref="AV779:AV780"/>
    <mergeCell ref="AW779:AW780"/>
    <mergeCell ref="AX779:AX780"/>
    <mergeCell ref="AY779:AY780"/>
    <mergeCell ref="AZ779:AZ780"/>
    <mergeCell ref="BA779:BA780"/>
    <mergeCell ref="AV781:AV782"/>
    <mergeCell ref="AW781:AW782"/>
    <mergeCell ref="AX781:AX782"/>
    <mergeCell ref="AY781:AY782"/>
    <mergeCell ref="AZ781:AZ782"/>
    <mergeCell ref="BA781:BA782"/>
    <mergeCell ref="AV784:AV785"/>
    <mergeCell ref="AW784:AW785"/>
    <mergeCell ref="AX784:AX785"/>
    <mergeCell ref="AY784:AY785"/>
    <mergeCell ref="AZ784:AZ785"/>
    <mergeCell ref="BA784:BA785"/>
    <mergeCell ref="AV786:AV789"/>
    <mergeCell ref="AW786:AW789"/>
    <mergeCell ref="AX786:AX789"/>
    <mergeCell ref="AY786:AY789"/>
    <mergeCell ref="AZ786:AZ789"/>
    <mergeCell ref="BA786:BA789"/>
    <mergeCell ref="AV794:AV797"/>
    <mergeCell ref="AW794:AW797"/>
    <mergeCell ref="AX794:AX797"/>
    <mergeCell ref="AY794:AY797"/>
    <mergeCell ref="AZ794:AZ797"/>
    <mergeCell ref="BA794:BA797"/>
    <mergeCell ref="AV798:AV800"/>
    <mergeCell ref="AW798:AW800"/>
    <mergeCell ref="AX798:AX800"/>
    <mergeCell ref="AY798:AY800"/>
    <mergeCell ref="AZ798:AZ800"/>
    <mergeCell ref="BA798:BA800"/>
    <mergeCell ref="AV801:AV802"/>
    <mergeCell ref="AW801:AW802"/>
    <mergeCell ref="AX801:AX802"/>
    <mergeCell ref="AY801:AY802"/>
    <mergeCell ref="AZ801:AZ802"/>
    <mergeCell ref="BA801:BA802"/>
    <mergeCell ref="AV803:AV805"/>
    <mergeCell ref="AW803:AW805"/>
    <mergeCell ref="AX803:AX805"/>
    <mergeCell ref="AY803:AY805"/>
    <mergeCell ref="AZ803:AZ805"/>
    <mergeCell ref="BA803:BA805"/>
    <mergeCell ref="AV806:AV808"/>
    <mergeCell ref="AW806:AW808"/>
    <mergeCell ref="AX806:AX808"/>
    <mergeCell ref="AY806:AY808"/>
    <mergeCell ref="AZ806:AZ808"/>
    <mergeCell ref="BA806:BA808"/>
    <mergeCell ref="AV815:AV816"/>
    <mergeCell ref="AW815:AW816"/>
    <mergeCell ref="AX815:AX816"/>
    <mergeCell ref="AY815:AY816"/>
    <mergeCell ref="AZ815:AZ816"/>
    <mergeCell ref="BA815:BA816"/>
    <mergeCell ref="AV824:AV825"/>
    <mergeCell ref="AW824:AW825"/>
    <mergeCell ref="AX824:AX825"/>
    <mergeCell ref="AY824:AY825"/>
    <mergeCell ref="AZ824:AZ825"/>
    <mergeCell ref="BA824:BA825"/>
    <mergeCell ref="AV832:AV834"/>
    <mergeCell ref="AW832:AW834"/>
    <mergeCell ref="AX832:AX834"/>
    <mergeCell ref="AY832:AY834"/>
    <mergeCell ref="AZ832:AZ834"/>
    <mergeCell ref="BA832:BA834"/>
    <mergeCell ref="AV835:AV837"/>
    <mergeCell ref="AW835:AW837"/>
    <mergeCell ref="AX835:AX837"/>
    <mergeCell ref="AY835:AY837"/>
    <mergeCell ref="AZ835:AZ837"/>
    <mergeCell ref="BA835:BA837"/>
    <mergeCell ref="AV838:AV839"/>
    <mergeCell ref="AW838:AW839"/>
    <mergeCell ref="AX838:AX839"/>
    <mergeCell ref="AY838:AY839"/>
    <mergeCell ref="AZ838:AZ839"/>
    <mergeCell ref="BA838:BA839"/>
    <mergeCell ref="AV840:AV842"/>
    <mergeCell ref="AW840:AW842"/>
    <mergeCell ref="AX840:AX842"/>
    <mergeCell ref="AY840:AY842"/>
    <mergeCell ref="AZ840:AZ842"/>
    <mergeCell ref="BA840:BA842"/>
    <mergeCell ref="AV843:AV846"/>
    <mergeCell ref="AW843:AW846"/>
    <mergeCell ref="AX843:AX846"/>
    <mergeCell ref="AY843:AY846"/>
    <mergeCell ref="AZ843:AZ846"/>
    <mergeCell ref="BA843:BA846"/>
    <mergeCell ref="AV847:AV849"/>
    <mergeCell ref="AW847:AW849"/>
    <mergeCell ref="AX847:AX849"/>
    <mergeCell ref="AY847:AY849"/>
    <mergeCell ref="AZ847:AZ849"/>
    <mergeCell ref="BA847:BA849"/>
    <mergeCell ref="AV850:AV852"/>
    <mergeCell ref="AW850:AW852"/>
    <mergeCell ref="AX850:AX852"/>
    <mergeCell ref="AY850:AY852"/>
    <mergeCell ref="AZ850:AZ852"/>
    <mergeCell ref="BA850:BA852"/>
    <mergeCell ref="AV853:AV854"/>
    <mergeCell ref="AW853:AW854"/>
    <mergeCell ref="AX853:AX854"/>
    <mergeCell ref="AY853:AY854"/>
    <mergeCell ref="AZ853:AZ854"/>
    <mergeCell ref="BA853:BA854"/>
    <mergeCell ref="AV855:AV858"/>
    <mergeCell ref="AW855:AW858"/>
    <mergeCell ref="AX855:AX858"/>
    <mergeCell ref="AY855:AY858"/>
    <mergeCell ref="AZ855:AZ858"/>
    <mergeCell ref="BA855:BA858"/>
    <mergeCell ref="AV859:AV862"/>
    <mergeCell ref="AW859:AW862"/>
    <mergeCell ref="AX859:AX862"/>
    <mergeCell ref="AY859:AY862"/>
    <mergeCell ref="AZ859:AZ862"/>
    <mergeCell ref="BA859:BA862"/>
    <mergeCell ref="AV863:AV866"/>
    <mergeCell ref="AW863:AW866"/>
    <mergeCell ref="AX863:AX866"/>
    <mergeCell ref="AY863:AY866"/>
    <mergeCell ref="AZ863:AZ866"/>
    <mergeCell ref="BA863:BA866"/>
    <mergeCell ref="AV867:AV870"/>
    <mergeCell ref="AW867:AW870"/>
    <mergeCell ref="AX867:AX870"/>
    <mergeCell ref="AY867:AY870"/>
    <mergeCell ref="AZ867:AZ870"/>
    <mergeCell ref="BA867:BA870"/>
    <mergeCell ref="AV871:AV874"/>
    <mergeCell ref="AW871:AW874"/>
    <mergeCell ref="AX871:AX874"/>
    <mergeCell ref="AY871:AY874"/>
    <mergeCell ref="AZ871:AZ874"/>
    <mergeCell ref="BA871:BA874"/>
    <mergeCell ref="AV876:AV879"/>
    <mergeCell ref="AW876:AW879"/>
    <mergeCell ref="AX876:AX879"/>
    <mergeCell ref="AY876:AY879"/>
    <mergeCell ref="AZ876:AZ879"/>
    <mergeCell ref="BA876:BA879"/>
    <mergeCell ref="AV883:AV884"/>
    <mergeCell ref="AW883:AW884"/>
    <mergeCell ref="AX883:AX884"/>
    <mergeCell ref="AY883:AY884"/>
    <mergeCell ref="AZ883:AZ884"/>
    <mergeCell ref="BA883:BA884"/>
    <mergeCell ref="AV885:AV886"/>
    <mergeCell ref="AW885:AW886"/>
    <mergeCell ref="AX885:AX886"/>
    <mergeCell ref="AY885:AY886"/>
    <mergeCell ref="AZ885:AZ886"/>
    <mergeCell ref="BA885:BA886"/>
    <mergeCell ref="AV888:AV889"/>
    <mergeCell ref="AW888:AW889"/>
    <mergeCell ref="AX888:AX889"/>
    <mergeCell ref="AY888:AY889"/>
    <mergeCell ref="AZ888:AZ889"/>
    <mergeCell ref="BA888:BA889"/>
    <mergeCell ref="AV899:AV900"/>
    <mergeCell ref="AW899:AW900"/>
    <mergeCell ref="AX899:AX900"/>
    <mergeCell ref="AY899:AY900"/>
    <mergeCell ref="AZ899:AZ900"/>
    <mergeCell ref="BA899:BA900"/>
    <mergeCell ref="AV902:AV903"/>
    <mergeCell ref="AW902:AW903"/>
    <mergeCell ref="AX902:AX903"/>
    <mergeCell ref="AY902:AY903"/>
    <mergeCell ref="AZ902:AZ903"/>
    <mergeCell ref="BA902:BA903"/>
    <mergeCell ref="AV904:AV906"/>
    <mergeCell ref="AW904:AW906"/>
    <mergeCell ref="AX904:AX906"/>
    <mergeCell ref="AY904:AY906"/>
    <mergeCell ref="AZ904:AZ906"/>
    <mergeCell ref="BA904:BA906"/>
    <mergeCell ref="AV909:AV910"/>
    <mergeCell ref="AW909:AW910"/>
    <mergeCell ref="AX909:AX910"/>
    <mergeCell ref="AY909:AY910"/>
    <mergeCell ref="AZ909:AZ910"/>
    <mergeCell ref="BA909:BA910"/>
    <mergeCell ref="AV917:AV918"/>
    <mergeCell ref="AW917:AW918"/>
    <mergeCell ref="AX917:AX918"/>
    <mergeCell ref="AY917:AY918"/>
    <mergeCell ref="AZ917:AZ918"/>
    <mergeCell ref="BA917:BA918"/>
    <mergeCell ref="AV924:AV926"/>
    <mergeCell ref="AW924:AW926"/>
    <mergeCell ref="AX924:AX926"/>
    <mergeCell ref="AY924:AY926"/>
    <mergeCell ref="AZ924:AZ926"/>
    <mergeCell ref="BA924:BA926"/>
    <mergeCell ref="AV927:AV928"/>
    <mergeCell ref="AW927:AW928"/>
    <mergeCell ref="AX927:AX928"/>
    <mergeCell ref="AY927:AY928"/>
    <mergeCell ref="AZ927:AZ928"/>
    <mergeCell ref="BA927:BA928"/>
    <mergeCell ref="AV929:AV934"/>
    <mergeCell ref="AW929:AW934"/>
    <mergeCell ref="AX929:AX934"/>
    <mergeCell ref="AY929:AY934"/>
    <mergeCell ref="AZ929:AZ934"/>
    <mergeCell ref="BA929:BA934"/>
    <mergeCell ref="AV936:AV937"/>
    <mergeCell ref="AW936:AW937"/>
    <mergeCell ref="AX936:AX937"/>
    <mergeCell ref="AY936:AY937"/>
    <mergeCell ref="AZ936:AZ937"/>
    <mergeCell ref="BA936:BA937"/>
    <mergeCell ref="AV938:AV940"/>
    <mergeCell ref="AW938:AW940"/>
    <mergeCell ref="AX938:AX940"/>
    <mergeCell ref="AY938:AY940"/>
    <mergeCell ref="AZ938:AZ940"/>
    <mergeCell ref="BA938:BA940"/>
    <mergeCell ref="AV941:AV945"/>
    <mergeCell ref="AW941:AW945"/>
    <mergeCell ref="AX941:AX945"/>
    <mergeCell ref="AY941:AY945"/>
    <mergeCell ref="AZ941:AZ945"/>
    <mergeCell ref="BA941:BA945"/>
    <mergeCell ref="AV946:AV948"/>
    <mergeCell ref="AW946:AW948"/>
    <mergeCell ref="AX946:AX948"/>
    <mergeCell ref="AY946:AY948"/>
    <mergeCell ref="AZ946:AZ948"/>
    <mergeCell ref="BA946:BA948"/>
    <mergeCell ref="AV949:AV950"/>
    <mergeCell ref="AW949:AW950"/>
    <mergeCell ref="AX949:AX950"/>
    <mergeCell ref="AY949:AY950"/>
    <mergeCell ref="AZ949:AZ950"/>
    <mergeCell ref="BA949:BA950"/>
    <mergeCell ref="AV951:AV953"/>
    <mergeCell ref="AW951:AW953"/>
    <mergeCell ref="AX951:AX953"/>
    <mergeCell ref="AY951:AY953"/>
    <mergeCell ref="AZ951:AZ953"/>
    <mergeCell ref="BA951:BA953"/>
    <mergeCell ref="AV954:AV958"/>
    <mergeCell ref="AW954:AW958"/>
    <mergeCell ref="AX954:AX958"/>
    <mergeCell ref="AY954:AY958"/>
    <mergeCell ref="AZ954:AZ958"/>
    <mergeCell ref="BA954:BA958"/>
    <mergeCell ref="AV959:AV960"/>
    <mergeCell ref="AW959:AW960"/>
    <mergeCell ref="AX959:AX960"/>
    <mergeCell ref="AY959:AY960"/>
    <mergeCell ref="AZ959:AZ960"/>
    <mergeCell ref="BA959:BA960"/>
    <mergeCell ref="AV961:AV962"/>
    <mergeCell ref="AW961:AW962"/>
    <mergeCell ref="AX961:AX962"/>
    <mergeCell ref="AY961:AY962"/>
    <mergeCell ref="AZ961:AZ962"/>
    <mergeCell ref="BA961:BA962"/>
    <mergeCell ref="AV963:AV965"/>
    <mergeCell ref="AW963:AW965"/>
    <mergeCell ref="AX963:AX965"/>
    <mergeCell ref="AY963:AY965"/>
    <mergeCell ref="AZ963:AZ965"/>
    <mergeCell ref="BA963:BA965"/>
    <mergeCell ref="AV966:AV968"/>
    <mergeCell ref="AW966:AW968"/>
    <mergeCell ref="AX966:AX968"/>
    <mergeCell ref="AY966:AY968"/>
    <mergeCell ref="AZ966:AZ968"/>
    <mergeCell ref="BA966:BA968"/>
    <mergeCell ref="AV969:AV970"/>
    <mergeCell ref="AW969:AW970"/>
    <mergeCell ref="AX969:AX970"/>
    <mergeCell ref="AY969:AY970"/>
    <mergeCell ref="AZ969:AZ970"/>
    <mergeCell ref="BA969:BA970"/>
    <mergeCell ref="AV971:AV972"/>
    <mergeCell ref="AW971:AW972"/>
    <mergeCell ref="AX971:AX972"/>
    <mergeCell ref="AY971:AY972"/>
    <mergeCell ref="AZ971:AZ972"/>
    <mergeCell ref="BA971:BA972"/>
    <mergeCell ref="AV973:AV974"/>
    <mergeCell ref="AW973:AW974"/>
    <mergeCell ref="AX973:AX974"/>
    <mergeCell ref="AY973:AY974"/>
    <mergeCell ref="AZ973:AZ974"/>
    <mergeCell ref="BA973:BA974"/>
    <mergeCell ref="AV979:AV980"/>
    <mergeCell ref="AW979:AW980"/>
    <mergeCell ref="AX979:AX980"/>
    <mergeCell ref="AY979:AY980"/>
    <mergeCell ref="AZ979:AZ980"/>
    <mergeCell ref="BA979:BA980"/>
    <mergeCell ref="AV986:AV987"/>
    <mergeCell ref="AW986:AW987"/>
    <mergeCell ref="AX986:AX987"/>
    <mergeCell ref="AY986:AY987"/>
    <mergeCell ref="AZ986:AZ987"/>
    <mergeCell ref="BA986:BA987"/>
    <mergeCell ref="AV988:AV989"/>
    <mergeCell ref="AW988:AW989"/>
    <mergeCell ref="AX988:AX989"/>
    <mergeCell ref="AY988:AY989"/>
    <mergeCell ref="AZ988:AZ989"/>
    <mergeCell ref="BA988:BA989"/>
    <mergeCell ref="AV1001:AV1002"/>
    <mergeCell ref="AW1001:AW1002"/>
    <mergeCell ref="AX1001:AX1002"/>
    <mergeCell ref="AY1001:AY1002"/>
    <mergeCell ref="AZ1001:AZ1002"/>
    <mergeCell ref="BA1001:BA1002"/>
    <mergeCell ref="AV1003:AV1004"/>
    <mergeCell ref="AW1003:AW1004"/>
    <mergeCell ref="AX1003:AX1004"/>
    <mergeCell ref="AY1003:AY1004"/>
    <mergeCell ref="AZ1003:AZ1004"/>
    <mergeCell ref="BA1003:BA1004"/>
    <mergeCell ref="AV1005:AV1007"/>
    <mergeCell ref="AW1005:AW1007"/>
    <mergeCell ref="AX1005:AX1007"/>
    <mergeCell ref="AY1005:AY1007"/>
    <mergeCell ref="AZ1005:AZ1007"/>
    <mergeCell ref="BA1005:BA1007"/>
    <mergeCell ref="AV1008:AV1011"/>
    <mergeCell ref="AW1008:AW1011"/>
    <mergeCell ref="AX1008:AX1011"/>
    <mergeCell ref="AY1008:AY1011"/>
    <mergeCell ref="AZ1008:AZ1011"/>
    <mergeCell ref="BA1008:BA1011"/>
    <mergeCell ref="AV1012:AV1014"/>
    <mergeCell ref="AW1012:AW1014"/>
    <mergeCell ref="AX1012:AX1014"/>
    <mergeCell ref="AY1012:AY1014"/>
    <mergeCell ref="AZ1012:AZ1014"/>
    <mergeCell ref="BA1012:BA1014"/>
    <mergeCell ref="AV1015:AV1016"/>
    <mergeCell ref="AW1015:AW1016"/>
    <mergeCell ref="AX1015:AX1016"/>
    <mergeCell ref="AY1015:AY1016"/>
    <mergeCell ref="AZ1015:AZ1016"/>
    <mergeCell ref="BA1015:BA1016"/>
    <mergeCell ref="AV1017:AV1018"/>
    <mergeCell ref="AW1017:AW1018"/>
    <mergeCell ref="AX1017:AX1018"/>
    <mergeCell ref="AY1017:AY1018"/>
    <mergeCell ref="AZ1017:AZ1018"/>
    <mergeCell ref="BA1017:BA1018"/>
    <mergeCell ref="AV1024:AV1026"/>
    <mergeCell ref="AW1024:AW1026"/>
    <mergeCell ref="AX1024:AX1026"/>
    <mergeCell ref="AY1024:AY1026"/>
    <mergeCell ref="AZ1024:AZ1026"/>
    <mergeCell ref="BA1024:BA1026"/>
    <mergeCell ref="AV1034:AV1035"/>
    <mergeCell ref="AW1034:AW1035"/>
    <mergeCell ref="AX1034:AX1035"/>
    <mergeCell ref="AY1034:AY1035"/>
    <mergeCell ref="AZ1034:AZ1035"/>
    <mergeCell ref="BA1034:BA1035"/>
    <mergeCell ref="AV1040:AV1042"/>
    <mergeCell ref="AW1040:AW1042"/>
    <mergeCell ref="AX1040:AX1042"/>
    <mergeCell ref="AY1040:AY1042"/>
    <mergeCell ref="AZ1040:AZ1042"/>
    <mergeCell ref="BA1040:BA1042"/>
    <mergeCell ref="AV1043:AV1045"/>
    <mergeCell ref="AW1043:AW1045"/>
    <mergeCell ref="AX1043:AX1045"/>
    <mergeCell ref="AY1043:AY1045"/>
    <mergeCell ref="AZ1043:AZ1045"/>
    <mergeCell ref="BA1043:BA1045"/>
    <mergeCell ref="AV1048:AV1049"/>
    <mergeCell ref="AW1048:AW1049"/>
    <mergeCell ref="AX1048:AX1049"/>
    <mergeCell ref="AY1048:AY1049"/>
    <mergeCell ref="AZ1048:AZ1049"/>
    <mergeCell ref="BA1048:BA1049"/>
    <mergeCell ref="AV1050:AV1051"/>
    <mergeCell ref="AW1050:AW1051"/>
    <mergeCell ref="AX1050:AX1051"/>
    <mergeCell ref="AY1050:AY1051"/>
    <mergeCell ref="AZ1050:AZ1051"/>
    <mergeCell ref="BA1050:BA1051"/>
    <mergeCell ref="AV1053:AV1056"/>
    <mergeCell ref="AW1053:AW1056"/>
    <mergeCell ref="AX1053:AX1056"/>
    <mergeCell ref="AY1053:AY1056"/>
    <mergeCell ref="AZ1053:AZ1056"/>
    <mergeCell ref="BA1053:BA1056"/>
    <mergeCell ref="AV1058:AV1062"/>
    <mergeCell ref="AW1058:AW1062"/>
    <mergeCell ref="AX1058:AX1062"/>
    <mergeCell ref="AY1058:AY1062"/>
    <mergeCell ref="AZ1058:AZ1062"/>
    <mergeCell ref="BA1058:BA1062"/>
    <mergeCell ref="AV1063:AV1064"/>
    <mergeCell ref="AW1063:AW1064"/>
    <mergeCell ref="AX1063:AX1064"/>
    <mergeCell ref="AY1063:AY1064"/>
    <mergeCell ref="AZ1063:AZ1064"/>
    <mergeCell ref="BA1063:BA1064"/>
    <mergeCell ref="AV1065:AV1067"/>
    <mergeCell ref="AW1065:AW1067"/>
    <mergeCell ref="AX1065:AX1067"/>
    <mergeCell ref="AY1065:AY1067"/>
    <mergeCell ref="AZ1065:AZ1067"/>
    <mergeCell ref="BA1065:BA1067"/>
    <mergeCell ref="AV1068:AV1072"/>
    <mergeCell ref="AW1068:AW1072"/>
    <mergeCell ref="AX1068:AX1072"/>
    <mergeCell ref="AY1068:AY1072"/>
    <mergeCell ref="AZ1068:AZ1072"/>
    <mergeCell ref="BA1068:BA1072"/>
    <mergeCell ref="AV1078:AV1079"/>
    <mergeCell ref="AW1078:AW1079"/>
    <mergeCell ref="AX1078:AX1079"/>
    <mergeCell ref="AY1078:AY1079"/>
    <mergeCell ref="AZ1078:AZ1079"/>
    <mergeCell ref="BA1078:BA1079"/>
    <mergeCell ref="AV1081:AV1082"/>
    <mergeCell ref="AW1081:AW1082"/>
    <mergeCell ref="AX1081:AX1082"/>
    <mergeCell ref="AY1081:AY1082"/>
    <mergeCell ref="AZ1081:AZ1082"/>
    <mergeCell ref="BA1081:BA1082"/>
    <mergeCell ref="AV1086:AV1088"/>
    <mergeCell ref="AW1086:AW1088"/>
    <mergeCell ref="AX1086:AX1088"/>
    <mergeCell ref="AY1086:AY1088"/>
    <mergeCell ref="AZ1086:AZ1088"/>
    <mergeCell ref="BA1086:BA1088"/>
    <mergeCell ref="AV1089:AV1091"/>
    <mergeCell ref="AW1089:AW1091"/>
    <mergeCell ref="AX1089:AX1091"/>
    <mergeCell ref="AY1089:AY1091"/>
    <mergeCell ref="AZ1089:AZ1091"/>
    <mergeCell ref="BA1089:BA1091"/>
    <mergeCell ref="AV1097:AV1099"/>
    <mergeCell ref="AW1097:AW1099"/>
    <mergeCell ref="AX1097:AX1099"/>
    <mergeCell ref="AY1097:AY1099"/>
    <mergeCell ref="AZ1097:AZ1099"/>
    <mergeCell ref="BA1097:BA1099"/>
    <mergeCell ref="AV1115:AV1116"/>
    <mergeCell ref="AW1115:AW1116"/>
    <mergeCell ref="AX1115:AX1116"/>
    <mergeCell ref="AY1115:AY1116"/>
    <mergeCell ref="AZ1115:AZ1116"/>
    <mergeCell ref="BA1115:BA1116"/>
    <mergeCell ref="AV1120:AV1122"/>
    <mergeCell ref="AW1120:AW1122"/>
    <mergeCell ref="AX1120:AX1122"/>
    <mergeCell ref="AY1120:AY1122"/>
    <mergeCell ref="AZ1120:AZ1122"/>
    <mergeCell ref="BA1120:BA1122"/>
    <mergeCell ref="AV1126:AV1128"/>
    <mergeCell ref="AW1126:AW1128"/>
    <mergeCell ref="AX1126:AX1128"/>
    <mergeCell ref="AY1126:AY1128"/>
    <mergeCell ref="AZ1126:AZ1128"/>
    <mergeCell ref="BA1126:BA1128"/>
    <mergeCell ref="AV1129:AV1132"/>
    <mergeCell ref="AW1129:AW1132"/>
    <mergeCell ref="AX1129:AX1132"/>
    <mergeCell ref="AY1129:AY1132"/>
    <mergeCell ref="AZ1129:AZ1132"/>
    <mergeCell ref="BA1129:BA1132"/>
    <mergeCell ref="AV1133:AV1134"/>
    <mergeCell ref="AW1133:AW1134"/>
    <mergeCell ref="AX1133:AX1134"/>
    <mergeCell ref="AY1133:AY1134"/>
    <mergeCell ref="AZ1133:AZ1134"/>
    <mergeCell ref="BA1133:BA1134"/>
    <mergeCell ref="AV1135:AV1136"/>
    <mergeCell ref="AW1135:AW1136"/>
    <mergeCell ref="AX1135:AX1136"/>
    <mergeCell ref="AY1135:AY1136"/>
    <mergeCell ref="AZ1135:AZ1136"/>
    <mergeCell ref="BA1135:BA1136"/>
    <mergeCell ref="AV1137:AV1138"/>
    <mergeCell ref="AW1137:AW1138"/>
    <mergeCell ref="AX1137:AX1138"/>
    <mergeCell ref="AY1137:AY1138"/>
    <mergeCell ref="AZ1137:AZ1138"/>
    <mergeCell ref="BA1137:BA1138"/>
    <mergeCell ref="AV1141:AV1142"/>
    <mergeCell ref="AW1141:AW1142"/>
    <mergeCell ref="AX1141:AX1142"/>
    <mergeCell ref="AY1141:AY1142"/>
    <mergeCell ref="AZ1141:AZ1142"/>
    <mergeCell ref="BA1141:BA1142"/>
    <mergeCell ref="AV1143:AV1144"/>
    <mergeCell ref="AW1143:AW1144"/>
    <mergeCell ref="AX1143:AX1144"/>
    <mergeCell ref="AY1143:AY1144"/>
    <mergeCell ref="AZ1143:AZ1144"/>
    <mergeCell ref="BA1143:BA1144"/>
    <mergeCell ref="AV1157:AV1159"/>
    <mergeCell ref="AW1157:AW1159"/>
    <mergeCell ref="AX1157:AX1159"/>
    <mergeCell ref="AY1157:AY1159"/>
    <mergeCell ref="AZ1157:AZ1159"/>
    <mergeCell ref="BA1157:BA1159"/>
    <mergeCell ref="AV1161:AV1162"/>
    <mergeCell ref="AW1161:AW1162"/>
    <mergeCell ref="AX1161:AX1162"/>
    <mergeCell ref="AY1161:AY1162"/>
    <mergeCell ref="AZ1161:AZ1162"/>
    <mergeCell ref="BA1161:BA1162"/>
    <mergeCell ref="AV1164:AV1165"/>
    <mergeCell ref="AW1164:AW1165"/>
    <mergeCell ref="AX1164:AX1165"/>
    <mergeCell ref="AY1164:AY1165"/>
    <mergeCell ref="AZ1164:AZ1165"/>
    <mergeCell ref="BA1164:BA1165"/>
    <mergeCell ref="AV1166:AV1167"/>
    <mergeCell ref="AW1166:AW1167"/>
    <mergeCell ref="AX1166:AX1167"/>
    <mergeCell ref="AY1166:AY1167"/>
    <mergeCell ref="AZ1166:AZ1167"/>
    <mergeCell ref="BA1166:BA1167"/>
    <mergeCell ref="AV1168:AV1170"/>
    <mergeCell ref="AW1168:AW1170"/>
    <mergeCell ref="AX1168:AX1170"/>
    <mergeCell ref="AY1168:AY1170"/>
    <mergeCell ref="AZ1168:AZ1170"/>
    <mergeCell ref="BA1168:BA1170"/>
    <mergeCell ref="AV1172:AV1176"/>
    <mergeCell ref="AW1172:AW1176"/>
    <mergeCell ref="AX1172:AX1176"/>
    <mergeCell ref="AY1172:AY1176"/>
    <mergeCell ref="AZ1172:AZ1176"/>
    <mergeCell ref="BA1172:BA1176"/>
    <mergeCell ref="AV1186:AV1188"/>
    <mergeCell ref="AW1186:AW1188"/>
    <mergeCell ref="AX1186:AX1188"/>
    <mergeCell ref="AY1186:AY1188"/>
    <mergeCell ref="AZ1186:AZ1188"/>
    <mergeCell ref="BA1186:BA1188"/>
    <mergeCell ref="AV1192:AV1193"/>
    <mergeCell ref="AW1192:AW1193"/>
    <mergeCell ref="AX1192:AX1193"/>
    <mergeCell ref="AY1192:AY1193"/>
    <mergeCell ref="AZ1192:AZ1193"/>
    <mergeCell ref="BA1192:BA1193"/>
    <mergeCell ref="AV1196:AV1198"/>
    <mergeCell ref="AW1196:AW1198"/>
    <mergeCell ref="AX1196:AX1198"/>
    <mergeCell ref="AY1196:AY1198"/>
    <mergeCell ref="AZ1196:AZ1198"/>
    <mergeCell ref="BA1196:BA1198"/>
    <mergeCell ref="AV1199:AV1200"/>
    <mergeCell ref="AW1199:AW1200"/>
    <mergeCell ref="AX1199:AX1200"/>
    <mergeCell ref="AY1199:AY1200"/>
    <mergeCell ref="AZ1199:AZ1200"/>
    <mergeCell ref="BA1199:BA1200"/>
    <mergeCell ref="AV1213:AV1214"/>
    <mergeCell ref="AW1213:AW1214"/>
    <mergeCell ref="AX1213:AX1214"/>
    <mergeCell ref="AY1213:AY1214"/>
    <mergeCell ref="AZ1213:AZ1214"/>
    <mergeCell ref="BA1213:BA1214"/>
    <mergeCell ref="AV1215:AV1216"/>
    <mergeCell ref="AW1215:AW1216"/>
    <mergeCell ref="AX1215:AX1216"/>
    <mergeCell ref="AY1215:AY1216"/>
    <mergeCell ref="AZ1215:AZ1216"/>
    <mergeCell ref="BA1215:BA1216"/>
    <mergeCell ref="AV1222:AV1223"/>
    <mergeCell ref="AW1222:AW1223"/>
    <mergeCell ref="AX1222:AX1223"/>
    <mergeCell ref="AY1222:AY1223"/>
    <mergeCell ref="AZ1222:AZ1223"/>
    <mergeCell ref="BA1222:BA1223"/>
    <mergeCell ref="AV1224:AV1225"/>
    <mergeCell ref="AW1224:AW1225"/>
    <mergeCell ref="AX1224:AX1225"/>
    <mergeCell ref="AY1224:AY1225"/>
    <mergeCell ref="AZ1224:AZ1225"/>
    <mergeCell ref="BA1224:BA1225"/>
    <mergeCell ref="AV1228:AV1229"/>
    <mergeCell ref="AW1228:AW1229"/>
    <mergeCell ref="AX1228:AX1229"/>
    <mergeCell ref="AY1228:AY1229"/>
    <mergeCell ref="AZ1228:AZ1229"/>
    <mergeCell ref="BA1228:BA1229"/>
    <mergeCell ref="AV1233:AV1234"/>
    <mergeCell ref="AW1233:AW1234"/>
    <mergeCell ref="AX1233:AX1234"/>
    <mergeCell ref="AY1233:AY1234"/>
    <mergeCell ref="AZ1233:AZ1234"/>
    <mergeCell ref="BA1233:BA1234"/>
    <mergeCell ref="AV1237:AV1238"/>
    <mergeCell ref="AW1237:AW1238"/>
    <mergeCell ref="AX1237:AX1238"/>
    <mergeCell ref="AY1237:AY1238"/>
    <mergeCell ref="AZ1237:AZ1238"/>
    <mergeCell ref="BA1237:BA1238"/>
    <mergeCell ref="AV1239:AV1240"/>
    <mergeCell ref="AW1239:AW1240"/>
    <mergeCell ref="AX1239:AX1240"/>
    <mergeCell ref="AY1239:AY1240"/>
    <mergeCell ref="AZ1239:AZ1240"/>
    <mergeCell ref="BA1239:BA1240"/>
    <mergeCell ref="AV1241:AV1244"/>
    <mergeCell ref="AW1241:AW1244"/>
    <mergeCell ref="AX1241:AX1244"/>
    <mergeCell ref="AY1241:AY1244"/>
    <mergeCell ref="AZ1241:AZ1244"/>
    <mergeCell ref="BA1241:BA1244"/>
    <mergeCell ref="AV1245:AV1248"/>
    <mergeCell ref="AW1245:AW1248"/>
    <mergeCell ref="AX1245:AX1248"/>
    <mergeCell ref="AY1245:AY1248"/>
    <mergeCell ref="AZ1245:AZ1248"/>
    <mergeCell ref="BA1245:BA1248"/>
    <mergeCell ref="AV1249:AV1253"/>
    <mergeCell ref="AW1249:AW1253"/>
    <mergeCell ref="AX1249:AX1253"/>
    <mergeCell ref="AY1249:AY1253"/>
    <mergeCell ref="AZ1249:AZ1253"/>
    <mergeCell ref="BA1249:BA1253"/>
    <mergeCell ref="AV1254:AV1256"/>
    <mergeCell ref="AW1254:AW1256"/>
    <mergeCell ref="AX1254:AX1256"/>
    <mergeCell ref="AY1254:AY1256"/>
    <mergeCell ref="AZ1254:AZ1256"/>
    <mergeCell ref="BA1254:BA1256"/>
    <mergeCell ref="AV1257:AV1259"/>
    <mergeCell ref="AW1257:AW1259"/>
    <mergeCell ref="AX1257:AX1259"/>
    <mergeCell ref="AY1257:AY1259"/>
    <mergeCell ref="AZ1257:AZ1259"/>
    <mergeCell ref="BA1257:BA1259"/>
    <mergeCell ref="AV1260:AV1261"/>
    <mergeCell ref="AW1260:AW1261"/>
    <mergeCell ref="AX1260:AX1261"/>
    <mergeCell ref="AY1260:AY1261"/>
    <mergeCell ref="AZ1260:AZ1261"/>
    <mergeCell ref="BA1260:BA1261"/>
    <mergeCell ref="AV1262:AV1264"/>
    <mergeCell ref="AW1262:AW1264"/>
    <mergeCell ref="AX1262:AX1264"/>
    <mergeCell ref="AY1262:AY1264"/>
    <mergeCell ref="AZ1262:AZ1264"/>
    <mergeCell ref="BA1262:BA1264"/>
    <mergeCell ref="AV1265:AV1267"/>
    <mergeCell ref="AW1265:AW1267"/>
    <mergeCell ref="AX1265:AX1267"/>
    <mergeCell ref="AY1265:AY1267"/>
    <mergeCell ref="AZ1265:AZ1267"/>
    <mergeCell ref="BA1265:BA1267"/>
    <mergeCell ref="AV1270:AV1271"/>
    <mergeCell ref="AW1270:AW1271"/>
    <mergeCell ref="AX1270:AX1271"/>
    <mergeCell ref="AY1270:AY1271"/>
    <mergeCell ref="AZ1270:AZ1271"/>
    <mergeCell ref="BA1270:BA1271"/>
    <mergeCell ref="AV1272:AV1273"/>
    <mergeCell ref="AW1272:AW1273"/>
    <mergeCell ref="AX1272:AX1273"/>
    <mergeCell ref="AY1272:AY1273"/>
    <mergeCell ref="AZ1272:AZ1273"/>
    <mergeCell ref="BA1272:BA1273"/>
    <mergeCell ref="AV1276:AV1277"/>
    <mergeCell ref="AW1276:AW1277"/>
    <mergeCell ref="AX1276:AX1277"/>
    <mergeCell ref="AY1276:AY1277"/>
    <mergeCell ref="AZ1276:AZ1277"/>
    <mergeCell ref="BA1276:BA1277"/>
    <mergeCell ref="AV1278:AV1280"/>
    <mergeCell ref="AW1278:AW1280"/>
    <mergeCell ref="AX1278:AX1280"/>
    <mergeCell ref="AY1278:AY1280"/>
    <mergeCell ref="AZ1278:AZ1280"/>
    <mergeCell ref="BA1278:BA1280"/>
    <mergeCell ref="AV1281:AV1282"/>
    <mergeCell ref="AW1281:AW1282"/>
    <mergeCell ref="AX1281:AX1282"/>
    <mergeCell ref="AY1281:AY1282"/>
    <mergeCell ref="AZ1281:AZ1282"/>
    <mergeCell ref="BA1281:BA1282"/>
    <mergeCell ref="AV1290:AV1293"/>
    <mergeCell ref="AW1290:AW1293"/>
    <mergeCell ref="AX1290:AX1293"/>
    <mergeCell ref="AY1290:AY1293"/>
    <mergeCell ref="AZ1290:AZ1293"/>
    <mergeCell ref="BA1290:BA1293"/>
    <mergeCell ref="AV1296:AV1300"/>
    <mergeCell ref="AW1296:AW1300"/>
    <mergeCell ref="AX1296:AX1300"/>
    <mergeCell ref="AY1296:AY1300"/>
    <mergeCell ref="AZ1296:AZ1300"/>
    <mergeCell ref="BA1296:BA1300"/>
    <mergeCell ref="AV1301:AV1304"/>
    <mergeCell ref="AW1301:AW1304"/>
    <mergeCell ref="AX1301:AX1304"/>
    <mergeCell ref="AY1301:AY1304"/>
    <mergeCell ref="AZ1301:AZ1304"/>
    <mergeCell ref="BA1301:BA1304"/>
    <mergeCell ref="AV1314:AV1317"/>
    <mergeCell ref="AW1314:AW1317"/>
    <mergeCell ref="AX1314:AX1317"/>
    <mergeCell ref="AY1314:AY1317"/>
    <mergeCell ref="AZ1314:AZ1317"/>
    <mergeCell ref="BA1314:BA1317"/>
    <mergeCell ref="AV1320:AV1322"/>
    <mergeCell ref="AW1320:AW1322"/>
    <mergeCell ref="AX1320:AX1322"/>
    <mergeCell ref="AY1320:AY1322"/>
    <mergeCell ref="AZ1320:AZ1322"/>
    <mergeCell ref="BA1320:BA1322"/>
    <mergeCell ref="AV1323:AV1325"/>
    <mergeCell ref="AW1323:AW1325"/>
    <mergeCell ref="AX1323:AX1325"/>
    <mergeCell ref="AY1323:AY1325"/>
    <mergeCell ref="AZ1323:AZ1325"/>
    <mergeCell ref="BA1323:BA1325"/>
    <mergeCell ref="AV1331:AV1333"/>
    <mergeCell ref="AW1331:AW1333"/>
    <mergeCell ref="AX1331:AX1333"/>
    <mergeCell ref="AY1331:AY1333"/>
    <mergeCell ref="AZ1331:AZ1333"/>
    <mergeCell ref="BA1331:BA1333"/>
    <mergeCell ref="AV1334:AV1336"/>
    <mergeCell ref="AW1334:AW1336"/>
    <mergeCell ref="AX1334:AX1336"/>
    <mergeCell ref="AY1334:AY1336"/>
    <mergeCell ref="AZ1334:AZ1336"/>
    <mergeCell ref="BA1334:BA1336"/>
    <mergeCell ref="AV1340:AV1341"/>
    <mergeCell ref="AW1340:AW1341"/>
    <mergeCell ref="AX1340:AX1341"/>
    <mergeCell ref="AY1340:AY1341"/>
    <mergeCell ref="AZ1340:AZ1341"/>
    <mergeCell ref="BA1340:BA1341"/>
    <mergeCell ref="AV1346:AV1347"/>
    <mergeCell ref="AW1346:AW1347"/>
    <mergeCell ref="AX1346:AX1347"/>
    <mergeCell ref="AY1346:AY1347"/>
    <mergeCell ref="AZ1346:AZ1347"/>
    <mergeCell ref="BA1346:BA1347"/>
    <mergeCell ref="AV1350:AV1351"/>
    <mergeCell ref="AW1350:AW1351"/>
    <mergeCell ref="AX1350:AX1351"/>
    <mergeCell ref="AY1350:AY1351"/>
    <mergeCell ref="AZ1350:AZ1351"/>
    <mergeCell ref="BA1350:BA1351"/>
    <mergeCell ref="AV1352:AV1353"/>
    <mergeCell ref="AW1352:AW1353"/>
    <mergeCell ref="AX1352:AX1353"/>
    <mergeCell ref="AY1352:AY1353"/>
    <mergeCell ref="AZ1352:AZ1353"/>
    <mergeCell ref="BA1352:BA1353"/>
    <mergeCell ref="AV1359:AV1360"/>
    <mergeCell ref="AW1359:AW1360"/>
    <mergeCell ref="AX1359:AX1360"/>
    <mergeCell ref="AY1359:AY1360"/>
    <mergeCell ref="AZ1359:AZ1360"/>
    <mergeCell ref="BA1359:BA1360"/>
    <mergeCell ref="AV1364:AV1368"/>
    <mergeCell ref="AW1364:AW1368"/>
    <mergeCell ref="AX1364:AX1368"/>
    <mergeCell ref="AY1364:AY1368"/>
    <mergeCell ref="AZ1364:AZ1368"/>
    <mergeCell ref="BA1364:BA1368"/>
    <mergeCell ref="AV1374:AV1378"/>
    <mergeCell ref="AW1374:AW1378"/>
    <mergeCell ref="AX1374:AX1378"/>
    <mergeCell ref="AY1374:AY1378"/>
    <mergeCell ref="AZ1374:AZ1378"/>
    <mergeCell ref="BA1374:BA1378"/>
    <mergeCell ref="AV1379:AV1381"/>
    <mergeCell ref="AW1379:AW1381"/>
    <mergeCell ref="AX1379:AX1381"/>
    <mergeCell ref="AY1379:AY1381"/>
    <mergeCell ref="AZ1379:AZ1381"/>
    <mergeCell ref="BA1379:BA1381"/>
    <mergeCell ref="AV1389:AV1390"/>
    <mergeCell ref="AW1389:AW1390"/>
    <mergeCell ref="AX1389:AX1390"/>
    <mergeCell ref="AY1389:AY1390"/>
    <mergeCell ref="AZ1389:AZ1390"/>
    <mergeCell ref="BA1389:BA1390"/>
    <mergeCell ref="AV1392:AV1394"/>
    <mergeCell ref="AW1392:AW1394"/>
    <mergeCell ref="AX1392:AX1394"/>
    <mergeCell ref="AY1392:AY1394"/>
    <mergeCell ref="AZ1392:AZ1394"/>
    <mergeCell ref="BA1392:BA1394"/>
    <mergeCell ref="AV1404:AV1405"/>
    <mergeCell ref="AW1404:AW1405"/>
    <mergeCell ref="AX1404:AX1405"/>
    <mergeCell ref="AY1404:AY1405"/>
    <mergeCell ref="AZ1404:AZ1405"/>
    <mergeCell ref="BA1404:BA1405"/>
    <mergeCell ref="AV1408:AV1409"/>
    <mergeCell ref="AW1408:AW1409"/>
    <mergeCell ref="AX1408:AX1409"/>
    <mergeCell ref="AY1408:AY1409"/>
    <mergeCell ref="AZ1408:AZ1409"/>
    <mergeCell ref="BA1408:BA1409"/>
    <mergeCell ref="AV1417:AV1418"/>
    <mergeCell ref="AW1417:AW1418"/>
    <mergeCell ref="AX1417:AX1418"/>
    <mergeCell ref="AY1417:AY1418"/>
    <mergeCell ref="AZ1417:AZ1418"/>
    <mergeCell ref="BA1417:BA1418"/>
    <mergeCell ref="AV1436:AV1438"/>
    <mergeCell ref="AW1436:AW1438"/>
    <mergeCell ref="AX1436:AX1438"/>
    <mergeCell ref="AY1436:AY1438"/>
    <mergeCell ref="AZ1436:AZ1438"/>
    <mergeCell ref="BA1436:BA1438"/>
    <mergeCell ref="AV1440:AV1441"/>
    <mergeCell ref="AW1440:AW1441"/>
    <mergeCell ref="AX1440:AX1441"/>
    <mergeCell ref="AY1440:AY1441"/>
    <mergeCell ref="AZ1440:AZ1441"/>
    <mergeCell ref="BA1440:BA1441"/>
    <mergeCell ref="AV1444:AV1445"/>
    <mergeCell ref="AW1444:AW1445"/>
    <mergeCell ref="AX1444:AX1445"/>
    <mergeCell ref="AY1444:AY1445"/>
    <mergeCell ref="AZ1444:AZ1445"/>
    <mergeCell ref="BA1444:BA1445"/>
    <mergeCell ref="AV1448:AV1451"/>
    <mergeCell ref="AW1448:AW1451"/>
    <mergeCell ref="AX1448:AX1451"/>
    <mergeCell ref="AY1448:AY1451"/>
    <mergeCell ref="AZ1448:AZ1451"/>
    <mergeCell ref="BA1448:BA1451"/>
    <mergeCell ref="AV1453:AV1455"/>
    <mergeCell ref="AW1453:AW1455"/>
    <mergeCell ref="AX1453:AX1455"/>
    <mergeCell ref="AY1453:AY1455"/>
    <mergeCell ref="AZ1453:AZ1455"/>
    <mergeCell ref="BA1453:BA1455"/>
    <mergeCell ref="AV1456:AV1458"/>
    <mergeCell ref="AW1456:AW1458"/>
    <mergeCell ref="AX1456:AX1458"/>
    <mergeCell ref="AY1456:AY1458"/>
    <mergeCell ref="AZ1456:AZ1458"/>
    <mergeCell ref="BA1456:BA1458"/>
    <mergeCell ref="AV1460:AV1461"/>
    <mergeCell ref="AW1460:AW1461"/>
    <mergeCell ref="AX1460:AX1461"/>
    <mergeCell ref="AY1460:AY1461"/>
    <mergeCell ref="AZ1460:AZ1461"/>
    <mergeCell ref="BA1460:BA1461"/>
    <mergeCell ref="AV1462:AV1463"/>
    <mergeCell ref="AW1462:AW1463"/>
    <mergeCell ref="AX1462:AX1463"/>
    <mergeCell ref="AY1462:AY1463"/>
    <mergeCell ref="AZ1462:AZ1463"/>
    <mergeCell ref="BA1462:BA1463"/>
    <mergeCell ref="AV1469:AV1472"/>
    <mergeCell ref="AW1469:AW1472"/>
    <mergeCell ref="AX1469:AX1472"/>
    <mergeCell ref="AY1469:AY1472"/>
    <mergeCell ref="AZ1469:AZ1472"/>
    <mergeCell ref="BA1469:BA1472"/>
    <mergeCell ref="AV1475:AV1477"/>
    <mergeCell ref="AW1475:AW1477"/>
    <mergeCell ref="AX1475:AX1477"/>
    <mergeCell ref="AY1475:AY1477"/>
    <mergeCell ref="AZ1475:AZ1477"/>
    <mergeCell ref="BA1475:BA1477"/>
    <mergeCell ref="AV1478:AV1479"/>
    <mergeCell ref="AW1478:AW1479"/>
    <mergeCell ref="AX1478:AX1479"/>
    <mergeCell ref="AY1478:AY1479"/>
    <mergeCell ref="AZ1478:AZ1479"/>
    <mergeCell ref="BA1478:BA1479"/>
    <mergeCell ref="AV1480:AV1481"/>
    <mergeCell ref="AW1480:AW1481"/>
    <mergeCell ref="AX1480:AX1481"/>
    <mergeCell ref="AY1480:AY1481"/>
    <mergeCell ref="AZ1480:AZ1481"/>
    <mergeCell ref="BA1480:BA1481"/>
    <mergeCell ref="AV1485:AV1487"/>
    <mergeCell ref="AW1485:AW1487"/>
    <mergeCell ref="AX1485:AX1487"/>
    <mergeCell ref="AY1485:AY1487"/>
    <mergeCell ref="AZ1485:AZ1487"/>
    <mergeCell ref="BA1485:BA1487"/>
    <mergeCell ref="AV1488:AV1489"/>
    <mergeCell ref="AW1488:AW1489"/>
    <mergeCell ref="AX1488:AX1489"/>
    <mergeCell ref="AY1488:AY1489"/>
    <mergeCell ref="AZ1488:AZ1489"/>
    <mergeCell ref="BA1488:BA1489"/>
    <mergeCell ref="AV1494:AV1496"/>
    <mergeCell ref="AW1494:AW1496"/>
    <mergeCell ref="AX1494:AX1496"/>
    <mergeCell ref="AY1494:AY1496"/>
    <mergeCell ref="AZ1494:AZ1496"/>
    <mergeCell ref="BA1494:BA1496"/>
    <mergeCell ref="AV1497:AV1499"/>
    <mergeCell ref="AW1497:AW1499"/>
    <mergeCell ref="AX1497:AX1499"/>
    <mergeCell ref="AY1497:AY1499"/>
    <mergeCell ref="AZ1497:AZ1499"/>
    <mergeCell ref="BA1497:BA1499"/>
    <mergeCell ref="AV1504:AV1505"/>
    <mergeCell ref="AW1504:AW1505"/>
    <mergeCell ref="AX1504:AX1505"/>
    <mergeCell ref="AY1504:AY1505"/>
    <mergeCell ref="AZ1504:AZ1505"/>
    <mergeCell ref="BA1504:BA1505"/>
    <mergeCell ref="AV1508:AV1510"/>
    <mergeCell ref="AW1508:AW1510"/>
    <mergeCell ref="AX1508:AX1510"/>
    <mergeCell ref="AY1508:AY1510"/>
    <mergeCell ref="AZ1508:AZ1510"/>
    <mergeCell ref="BA1508:BA1510"/>
    <mergeCell ref="AV1513:AV1514"/>
    <mergeCell ref="AW1513:AW1514"/>
    <mergeCell ref="AX1513:AX1514"/>
    <mergeCell ref="AY1513:AY1514"/>
    <mergeCell ref="AZ1513:AZ1514"/>
    <mergeCell ref="BA1513:BA1514"/>
    <mergeCell ref="AV1516:AV1518"/>
    <mergeCell ref="AW1516:AW1518"/>
    <mergeCell ref="AX1516:AX1518"/>
    <mergeCell ref="AY1516:AY1518"/>
    <mergeCell ref="AZ1516:AZ1518"/>
    <mergeCell ref="BA1516:BA1518"/>
    <mergeCell ref="AV1520:AV1521"/>
    <mergeCell ref="AW1520:AW1521"/>
    <mergeCell ref="AX1520:AX1521"/>
    <mergeCell ref="AY1520:AY1521"/>
    <mergeCell ref="AZ1520:AZ1521"/>
    <mergeCell ref="BA1520:BA1521"/>
    <mergeCell ref="AV1526:AV1529"/>
    <mergeCell ref="AW1526:AW1529"/>
    <mergeCell ref="AX1526:AX1529"/>
    <mergeCell ref="AY1526:AY1529"/>
    <mergeCell ref="AZ1526:AZ1529"/>
    <mergeCell ref="BA1526:BA1529"/>
    <mergeCell ref="AV1534:AV1535"/>
    <mergeCell ref="AW1534:AW1535"/>
    <mergeCell ref="AX1534:AX1535"/>
    <mergeCell ref="AY1534:AY1535"/>
    <mergeCell ref="AZ1534:AZ1535"/>
    <mergeCell ref="BA1534:BA1535"/>
    <mergeCell ref="AV1538:AV1539"/>
    <mergeCell ref="AW1538:AW1539"/>
    <mergeCell ref="AX1538:AX1539"/>
    <mergeCell ref="AY1538:AY1539"/>
    <mergeCell ref="AZ1538:AZ1539"/>
    <mergeCell ref="BA1538:BA1539"/>
    <mergeCell ref="AV1548:AV1549"/>
    <mergeCell ref="AW1548:AW1549"/>
    <mergeCell ref="AX1548:AX1549"/>
    <mergeCell ref="AY1548:AY1549"/>
    <mergeCell ref="AZ1548:AZ1549"/>
    <mergeCell ref="BA1548:BA1549"/>
    <mergeCell ref="AV1551:AV1552"/>
    <mergeCell ref="AW1551:AW1552"/>
    <mergeCell ref="AX1551:AX1552"/>
    <mergeCell ref="AY1551:AY1552"/>
    <mergeCell ref="AZ1551:AZ1552"/>
    <mergeCell ref="BA1551:BA1552"/>
    <mergeCell ref="AV1556:AV1561"/>
    <mergeCell ref="AW1556:AW1561"/>
    <mergeCell ref="AX1556:AX1561"/>
    <mergeCell ref="AY1556:AY1561"/>
    <mergeCell ref="AZ1556:AZ1561"/>
    <mergeCell ref="BA1556:BA1561"/>
    <mergeCell ref="AV1562:AV1565"/>
    <mergeCell ref="AW1562:AW1565"/>
    <mergeCell ref="AX1562:AX1565"/>
    <mergeCell ref="AY1562:AY1565"/>
    <mergeCell ref="AZ1562:AZ1565"/>
    <mergeCell ref="BA1562:BA1565"/>
    <mergeCell ref="AV1566:AV1567"/>
    <mergeCell ref="AW1566:AW1567"/>
    <mergeCell ref="AX1566:AX1567"/>
    <mergeCell ref="AY1566:AY1567"/>
    <mergeCell ref="AZ1566:AZ1567"/>
    <mergeCell ref="BA1566:BA1567"/>
    <mergeCell ref="AV1568:AV1569"/>
    <mergeCell ref="AW1568:AW1569"/>
    <mergeCell ref="AX1568:AX1569"/>
    <mergeCell ref="AY1568:AY1569"/>
    <mergeCell ref="AZ1568:AZ1569"/>
    <mergeCell ref="BA1568:BA1569"/>
    <mergeCell ref="AV1570:AV1574"/>
    <mergeCell ref="AW1570:AW1574"/>
    <mergeCell ref="AX1570:AX1574"/>
    <mergeCell ref="AY1570:AY1574"/>
    <mergeCell ref="AZ1570:AZ1574"/>
    <mergeCell ref="BA1570:BA1574"/>
    <mergeCell ref="AV1575:AV1578"/>
    <mergeCell ref="AW1575:AW1578"/>
    <mergeCell ref="AX1575:AX1578"/>
    <mergeCell ref="AY1575:AY1578"/>
    <mergeCell ref="AZ1575:AZ1578"/>
    <mergeCell ref="BA1575:BA1578"/>
    <mergeCell ref="AV1579:AV1582"/>
    <mergeCell ref="AW1579:AW1582"/>
    <mergeCell ref="AX1579:AX1582"/>
    <mergeCell ref="AY1579:AY1582"/>
    <mergeCell ref="AZ1579:AZ1582"/>
    <mergeCell ref="BA1579:BA1582"/>
    <mergeCell ref="AV1583:AV1585"/>
    <mergeCell ref="AW1583:AW1585"/>
    <mergeCell ref="AX1583:AX1585"/>
    <mergeCell ref="AY1583:AY1585"/>
    <mergeCell ref="AZ1583:AZ1585"/>
    <mergeCell ref="BA1583:BA1585"/>
    <mergeCell ref="AV1586:AV1589"/>
    <mergeCell ref="AW1586:AW1589"/>
    <mergeCell ref="AX1586:AX1589"/>
    <mergeCell ref="AY1586:AY1589"/>
    <mergeCell ref="AZ1586:AZ1589"/>
    <mergeCell ref="BA1586:BA1589"/>
    <mergeCell ref="AV1590:AV1592"/>
    <mergeCell ref="AW1590:AW1592"/>
    <mergeCell ref="AX1590:AX1592"/>
    <mergeCell ref="AY1590:AY1592"/>
    <mergeCell ref="AZ1590:AZ1592"/>
    <mergeCell ref="BA1590:BA1592"/>
    <mergeCell ref="AV1593:AV1596"/>
    <mergeCell ref="AW1593:AW1596"/>
    <mergeCell ref="AX1593:AX1596"/>
    <mergeCell ref="AY1593:AY1596"/>
    <mergeCell ref="AZ1593:AZ1596"/>
    <mergeCell ref="BA1593:BA1596"/>
    <mergeCell ref="AV1597:AV1599"/>
    <mergeCell ref="AW1597:AW1599"/>
    <mergeCell ref="AX1597:AX1599"/>
    <mergeCell ref="AY1597:AY1599"/>
    <mergeCell ref="AZ1597:AZ1599"/>
    <mergeCell ref="BA1597:BA1599"/>
    <mergeCell ref="AV1600:AV1604"/>
    <mergeCell ref="AW1600:AW1604"/>
    <mergeCell ref="AX1600:AX1604"/>
    <mergeCell ref="AY1600:AY1604"/>
    <mergeCell ref="AZ1600:AZ1604"/>
    <mergeCell ref="BA1600:BA1604"/>
    <mergeCell ref="AV1605:AV1608"/>
    <mergeCell ref="AW1605:AW1608"/>
    <mergeCell ref="AX1605:AX1608"/>
    <mergeCell ref="AY1605:AY1608"/>
    <mergeCell ref="AZ1605:AZ1608"/>
    <mergeCell ref="BA1605:BA1608"/>
    <mergeCell ref="AV1609:AV1613"/>
    <mergeCell ref="AW1609:AW1613"/>
    <mergeCell ref="AX1609:AX1613"/>
    <mergeCell ref="AY1609:AY1613"/>
    <mergeCell ref="AZ1609:AZ1613"/>
    <mergeCell ref="BA1609:BA1613"/>
    <mergeCell ref="AV1614:AV1615"/>
    <mergeCell ref="AW1614:AW1615"/>
    <mergeCell ref="AX1614:AX1615"/>
    <mergeCell ref="AY1614:AY1615"/>
    <mergeCell ref="AZ1614:AZ1615"/>
    <mergeCell ref="BA1614:BA1615"/>
    <mergeCell ref="AV1616:AV1617"/>
    <mergeCell ref="AW1616:AW1617"/>
    <mergeCell ref="AX1616:AX1617"/>
    <mergeCell ref="AY1616:AY1617"/>
    <mergeCell ref="AZ1616:AZ1617"/>
    <mergeCell ref="BA1616:BA1617"/>
    <mergeCell ref="AV1618:AV1622"/>
    <mergeCell ref="AW1618:AW1622"/>
    <mergeCell ref="AX1618:AX1622"/>
    <mergeCell ref="AY1618:AY1622"/>
    <mergeCell ref="AZ1618:AZ1622"/>
    <mergeCell ref="BA1618:BA1622"/>
    <mergeCell ref="AV1623:AV1626"/>
    <mergeCell ref="AW1623:AW1626"/>
    <mergeCell ref="AX1623:AX1626"/>
    <mergeCell ref="AY1623:AY1626"/>
    <mergeCell ref="AZ1623:AZ1626"/>
    <mergeCell ref="BA1623:BA1626"/>
    <mergeCell ref="AV1627:AV1629"/>
    <mergeCell ref="AW1627:AW1629"/>
    <mergeCell ref="AX1627:AX1629"/>
    <mergeCell ref="AY1627:AY1629"/>
    <mergeCell ref="AZ1627:AZ1629"/>
    <mergeCell ref="BA1627:BA1629"/>
    <mergeCell ref="AV1631:AV1632"/>
    <mergeCell ref="AW1631:AW1632"/>
    <mergeCell ref="AX1631:AX1632"/>
    <mergeCell ref="AY1631:AY1632"/>
    <mergeCell ref="AZ1631:AZ1632"/>
    <mergeCell ref="BA1631:BA1632"/>
    <mergeCell ref="AV1633:AV1638"/>
    <mergeCell ref="AW1633:AW1638"/>
    <mergeCell ref="AX1633:AX1638"/>
    <mergeCell ref="AY1633:AY1638"/>
    <mergeCell ref="AZ1633:AZ1638"/>
    <mergeCell ref="BA1633:BA1638"/>
    <mergeCell ref="AV1641:AV1643"/>
    <mergeCell ref="AW1641:AW1643"/>
    <mergeCell ref="AX1641:AX1643"/>
    <mergeCell ref="AY1641:AY1643"/>
    <mergeCell ref="AZ1641:AZ1643"/>
    <mergeCell ref="BA1641:BA1643"/>
    <mergeCell ref="AV1644:AV1646"/>
    <mergeCell ref="AW1644:AW1646"/>
    <mergeCell ref="AX1644:AX1646"/>
    <mergeCell ref="AY1644:AY1646"/>
    <mergeCell ref="AZ1644:AZ1646"/>
    <mergeCell ref="BA1644:BA1646"/>
    <mergeCell ref="AV1648:AV1649"/>
    <mergeCell ref="AW1648:AW1649"/>
    <mergeCell ref="AX1648:AX1649"/>
    <mergeCell ref="AY1648:AY1649"/>
    <mergeCell ref="AZ1648:AZ1649"/>
    <mergeCell ref="BA1648:BA1649"/>
    <mergeCell ref="AV1652:AV1653"/>
    <mergeCell ref="AW1652:AW1653"/>
    <mergeCell ref="AX1652:AX1653"/>
    <mergeCell ref="AY1652:AY1653"/>
    <mergeCell ref="AZ1652:AZ1653"/>
    <mergeCell ref="BA1652:BA1653"/>
    <mergeCell ref="AV1655:AV1656"/>
    <mergeCell ref="AW1655:AW1656"/>
    <mergeCell ref="AX1655:AX1656"/>
    <mergeCell ref="AY1655:AY1656"/>
    <mergeCell ref="AZ1655:AZ1656"/>
    <mergeCell ref="BA1655:BA1656"/>
    <mergeCell ref="AV1658:AV1660"/>
    <mergeCell ref="AW1658:AW1660"/>
    <mergeCell ref="AX1658:AX1660"/>
    <mergeCell ref="AY1658:AY1660"/>
    <mergeCell ref="AZ1658:AZ1660"/>
    <mergeCell ref="BA1658:BA1660"/>
    <mergeCell ref="AV1662:AV1663"/>
    <mergeCell ref="AW1662:AW1663"/>
    <mergeCell ref="AX1662:AX1663"/>
    <mergeCell ref="AY1662:AY1663"/>
    <mergeCell ref="AZ1662:AZ1663"/>
    <mergeCell ref="BA1662:BA1663"/>
    <mergeCell ref="AV1665:AV1667"/>
    <mergeCell ref="AW1665:AW1667"/>
    <mergeCell ref="AX1665:AX1667"/>
    <mergeCell ref="AY1665:AY1667"/>
    <mergeCell ref="AZ1665:AZ1667"/>
    <mergeCell ref="BA1665:BA1667"/>
    <mergeCell ref="AV1668:AV1669"/>
    <mergeCell ref="AW1668:AW1669"/>
    <mergeCell ref="AX1668:AX1669"/>
    <mergeCell ref="AY1668:AY1669"/>
    <mergeCell ref="AZ1668:AZ1669"/>
    <mergeCell ref="BA1668:BA1669"/>
    <mergeCell ref="AV1671:AV1673"/>
    <mergeCell ref="AW1671:AW1673"/>
    <mergeCell ref="AX1671:AX1673"/>
    <mergeCell ref="AY1671:AY1673"/>
    <mergeCell ref="AZ1671:AZ1673"/>
    <mergeCell ref="BA1671:BA1673"/>
    <mergeCell ref="AV1674:AV1675"/>
    <mergeCell ref="AW1674:AW1675"/>
    <mergeCell ref="AX1674:AX1675"/>
    <mergeCell ref="AY1674:AY1675"/>
    <mergeCell ref="AZ1674:AZ1675"/>
    <mergeCell ref="BA1674:BA1675"/>
    <mergeCell ref="AV1678:AV1680"/>
    <mergeCell ref="AW1678:AW1680"/>
    <mergeCell ref="AX1678:AX1680"/>
    <mergeCell ref="AY1678:AY1680"/>
    <mergeCell ref="AZ1678:AZ1680"/>
    <mergeCell ref="BA1678:BA1680"/>
    <mergeCell ref="AV1681:AV1683"/>
    <mergeCell ref="AW1681:AW1683"/>
    <mergeCell ref="AX1681:AX1683"/>
    <mergeCell ref="AY1681:AY1683"/>
    <mergeCell ref="AZ1681:AZ1683"/>
    <mergeCell ref="BA1681:BA1683"/>
    <mergeCell ref="AV1684:AV1692"/>
    <mergeCell ref="AW1684:AW1692"/>
    <mergeCell ref="AX1684:AX1692"/>
    <mergeCell ref="AY1684:AY1692"/>
    <mergeCell ref="AZ1684:AZ1692"/>
    <mergeCell ref="BA1684:BA1692"/>
    <mergeCell ref="AV1693:AV1698"/>
    <mergeCell ref="AW1693:AW1698"/>
    <mergeCell ref="AX1693:AX1698"/>
    <mergeCell ref="AY1693:AY1698"/>
    <mergeCell ref="AZ1693:AZ1698"/>
    <mergeCell ref="BA1693:BA1698"/>
    <mergeCell ref="AV1702:AV1703"/>
    <mergeCell ref="AW1702:AW1703"/>
    <mergeCell ref="AX1702:AX1703"/>
    <mergeCell ref="AY1702:AY1703"/>
    <mergeCell ref="AZ1702:AZ1703"/>
    <mergeCell ref="BA1702:BA1703"/>
    <mergeCell ref="AV1705:AV1708"/>
    <mergeCell ref="AW1705:AW1708"/>
    <mergeCell ref="AX1705:AX1708"/>
    <mergeCell ref="AY1705:AY1708"/>
    <mergeCell ref="AZ1705:AZ1708"/>
    <mergeCell ref="BA1705:BA1708"/>
    <mergeCell ref="AV1709:AV1712"/>
    <mergeCell ref="AW1709:AW1712"/>
    <mergeCell ref="AX1709:AX1712"/>
    <mergeCell ref="AY1709:AY1712"/>
    <mergeCell ref="AZ1709:AZ1712"/>
    <mergeCell ref="BA1709:BA1712"/>
    <mergeCell ref="AV1713:AV1716"/>
    <mergeCell ref="AW1713:AW1716"/>
    <mergeCell ref="AX1713:AX1716"/>
    <mergeCell ref="AY1713:AY1716"/>
    <mergeCell ref="AZ1713:AZ1716"/>
    <mergeCell ref="BA1713:BA1716"/>
    <mergeCell ref="AV1721:AV1722"/>
    <mergeCell ref="AW1721:AW1722"/>
    <mergeCell ref="AX1721:AX1722"/>
    <mergeCell ref="AY1721:AY1722"/>
    <mergeCell ref="AZ1721:AZ1722"/>
    <mergeCell ref="BA1721:BA1722"/>
    <mergeCell ref="AV1725:AV1726"/>
    <mergeCell ref="AW1725:AW1726"/>
    <mergeCell ref="AX1725:AX1726"/>
    <mergeCell ref="AY1725:AY1726"/>
    <mergeCell ref="AZ1725:AZ1726"/>
    <mergeCell ref="BA1725:BA1726"/>
    <mergeCell ref="AV1731:AV1732"/>
    <mergeCell ref="AW1731:AW1732"/>
    <mergeCell ref="AX1731:AX1732"/>
    <mergeCell ref="AY1731:AY1732"/>
    <mergeCell ref="AZ1731:AZ1732"/>
    <mergeCell ref="BA1731:BA1732"/>
    <mergeCell ref="AV1740:AV1741"/>
    <mergeCell ref="AW1740:AW1741"/>
    <mergeCell ref="AX1740:AX1741"/>
    <mergeCell ref="AY1740:AY1741"/>
    <mergeCell ref="AZ1740:AZ1741"/>
    <mergeCell ref="BA1740:BA1741"/>
    <mergeCell ref="AV1742:AV1743"/>
    <mergeCell ref="AW1742:AW1743"/>
    <mergeCell ref="AX1742:AX1743"/>
    <mergeCell ref="AY1742:AY1743"/>
    <mergeCell ref="AZ1742:AZ1743"/>
    <mergeCell ref="BA1742:BA1743"/>
    <mergeCell ref="AV1744:AV1745"/>
    <mergeCell ref="AW1744:AW1745"/>
    <mergeCell ref="AX1744:AX1745"/>
    <mergeCell ref="AY1744:AY1745"/>
    <mergeCell ref="AZ1744:AZ1745"/>
    <mergeCell ref="BA1744:BA1745"/>
    <mergeCell ref="AV1747:AV1749"/>
    <mergeCell ref="AW1747:AW1749"/>
    <mergeCell ref="AX1747:AX1749"/>
    <mergeCell ref="AY1747:AY1749"/>
    <mergeCell ref="AZ1747:AZ1749"/>
    <mergeCell ref="BA1747:BA1749"/>
    <mergeCell ref="AV1754:AV1756"/>
    <mergeCell ref="AW1754:AW1756"/>
    <mergeCell ref="AX1754:AX1756"/>
    <mergeCell ref="AY1754:AY1756"/>
    <mergeCell ref="AZ1754:AZ1756"/>
    <mergeCell ref="BA1754:BA1756"/>
    <mergeCell ref="AV1760:AV1761"/>
    <mergeCell ref="AW1760:AW1761"/>
    <mergeCell ref="AX1760:AX1761"/>
    <mergeCell ref="AY1760:AY1761"/>
    <mergeCell ref="AZ1760:AZ1761"/>
    <mergeCell ref="BA1760:BA1761"/>
    <mergeCell ref="AV1762:AV1763"/>
    <mergeCell ref="AW1762:AW1763"/>
    <mergeCell ref="AX1762:AX1763"/>
    <mergeCell ref="AY1762:AY1763"/>
    <mergeCell ref="AZ1762:AZ1763"/>
    <mergeCell ref="BA1762:BA1763"/>
    <mergeCell ref="AV1765:AV1768"/>
    <mergeCell ref="AW1765:AW1768"/>
    <mergeCell ref="AX1765:AX1768"/>
    <mergeCell ref="AY1765:AY1768"/>
    <mergeCell ref="AZ1765:AZ1768"/>
    <mergeCell ref="BA1765:BA1768"/>
    <mergeCell ref="AV1771:AV1774"/>
    <mergeCell ref="AW1771:AW1774"/>
    <mergeCell ref="AX1771:AX1774"/>
    <mergeCell ref="AY1771:AY1774"/>
    <mergeCell ref="AZ1771:AZ1774"/>
    <mergeCell ref="BA1771:BA1774"/>
    <mergeCell ref="AV1775:AV1776"/>
    <mergeCell ref="AW1775:AW1776"/>
    <mergeCell ref="AX1775:AX1776"/>
    <mergeCell ref="AY1775:AY1776"/>
    <mergeCell ref="AZ1775:AZ1776"/>
    <mergeCell ref="BA1775:BA1776"/>
    <mergeCell ref="AV1778:AV1779"/>
    <mergeCell ref="AW1778:AW1779"/>
    <mergeCell ref="AX1778:AX1779"/>
    <mergeCell ref="AY1778:AY1779"/>
    <mergeCell ref="AZ1778:AZ1779"/>
    <mergeCell ref="BA1778:BA1779"/>
    <mergeCell ref="AV1780:AV1781"/>
    <mergeCell ref="AW1780:AW1781"/>
    <mergeCell ref="AX1780:AX1781"/>
    <mergeCell ref="AY1780:AY1781"/>
    <mergeCell ref="AZ1780:AZ1781"/>
    <mergeCell ref="BA1780:BA1781"/>
    <mergeCell ref="AV1787:AV1788"/>
    <mergeCell ref="AW1787:AW1788"/>
    <mergeCell ref="AX1787:AX1788"/>
    <mergeCell ref="AY1787:AY1788"/>
    <mergeCell ref="AZ1787:AZ1788"/>
    <mergeCell ref="BA1787:BA1788"/>
    <mergeCell ref="AV1794:AV1796"/>
    <mergeCell ref="AW1794:AW1796"/>
    <mergeCell ref="AX1794:AX1796"/>
    <mergeCell ref="AY1794:AY1796"/>
    <mergeCell ref="AZ1794:AZ1796"/>
    <mergeCell ref="BA1794:BA1796"/>
    <mergeCell ref="AV1802:AV1803"/>
    <mergeCell ref="AW1802:AW1803"/>
    <mergeCell ref="AX1802:AX1803"/>
    <mergeCell ref="AY1802:AY1803"/>
    <mergeCell ref="AZ1802:AZ1803"/>
    <mergeCell ref="BA1802:BA1803"/>
    <mergeCell ref="AV1807:AV1809"/>
    <mergeCell ref="AW1807:AW1809"/>
    <mergeCell ref="AX1807:AX1809"/>
    <mergeCell ref="AY1807:AY1809"/>
    <mergeCell ref="AZ1807:AZ1809"/>
    <mergeCell ref="BA1807:BA1809"/>
    <mergeCell ref="AV1813:AV1816"/>
    <mergeCell ref="AW1813:AW1816"/>
    <mergeCell ref="AX1813:AX1816"/>
    <mergeCell ref="AY1813:AY1816"/>
    <mergeCell ref="AZ1813:AZ1816"/>
    <mergeCell ref="BA1813:BA1816"/>
    <mergeCell ref="AV1817:AV1820"/>
    <mergeCell ref="AW1817:AW1820"/>
    <mergeCell ref="AX1817:AX1820"/>
    <mergeCell ref="AY1817:AY1820"/>
    <mergeCell ref="AZ1817:AZ1820"/>
    <mergeCell ref="BA1817:BA1820"/>
    <mergeCell ref="AV1822:AV1824"/>
    <mergeCell ref="AW1822:AW1824"/>
    <mergeCell ref="AX1822:AX1824"/>
    <mergeCell ref="AY1822:AY1824"/>
    <mergeCell ref="AZ1822:AZ1824"/>
    <mergeCell ref="BA1822:BA1824"/>
    <mergeCell ref="AV1826:AV1829"/>
    <mergeCell ref="AW1826:AW1829"/>
    <mergeCell ref="AX1826:AX1829"/>
    <mergeCell ref="AY1826:AY1829"/>
    <mergeCell ref="AZ1826:AZ1829"/>
    <mergeCell ref="BA1826:BA1829"/>
    <mergeCell ref="AV1830:AV1833"/>
    <mergeCell ref="AW1830:AW1833"/>
    <mergeCell ref="AX1830:AX1833"/>
    <mergeCell ref="AY1830:AY1833"/>
    <mergeCell ref="AZ1830:AZ1833"/>
    <mergeCell ref="BA1830:BA1833"/>
    <mergeCell ref="AV1834:AV1835"/>
    <mergeCell ref="AW1834:AW1835"/>
    <mergeCell ref="AX1834:AX1835"/>
    <mergeCell ref="AY1834:AY1835"/>
    <mergeCell ref="AZ1834:AZ1835"/>
    <mergeCell ref="BA1834:BA1835"/>
    <mergeCell ref="AV1836:AV1839"/>
    <mergeCell ref="AW1836:AW1839"/>
    <mergeCell ref="AX1836:AX1839"/>
    <mergeCell ref="AY1836:AY1839"/>
    <mergeCell ref="AZ1836:AZ1839"/>
    <mergeCell ref="BA1836:BA1839"/>
    <mergeCell ref="AV1856:AV1857"/>
    <mergeCell ref="AW1856:AW1857"/>
    <mergeCell ref="AX1856:AX1857"/>
    <mergeCell ref="AY1856:AY1857"/>
    <mergeCell ref="AZ1856:AZ1857"/>
    <mergeCell ref="BA1856:BA1857"/>
    <mergeCell ref="AV1863:AV1864"/>
    <mergeCell ref="AW1863:AW1864"/>
    <mergeCell ref="AX1863:AX1864"/>
    <mergeCell ref="AY1863:AY1864"/>
    <mergeCell ref="AZ1863:AZ1864"/>
    <mergeCell ref="BA1863:BA1864"/>
    <mergeCell ref="AV1867:AV1868"/>
    <mergeCell ref="AW1867:AW1868"/>
    <mergeCell ref="AX1867:AX1868"/>
    <mergeCell ref="AY1867:AY1868"/>
    <mergeCell ref="AZ1867:AZ1868"/>
    <mergeCell ref="BA1867:BA1868"/>
    <mergeCell ref="AV1869:AV1870"/>
    <mergeCell ref="AW1869:AW1870"/>
    <mergeCell ref="AX1869:AX1870"/>
    <mergeCell ref="AY1869:AY1870"/>
    <mergeCell ref="AZ1869:AZ1870"/>
    <mergeCell ref="BA1869:BA1870"/>
    <mergeCell ref="AV1872:AV1873"/>
    <mergeCell ref="AW1872:AW1873"/>
    <mergeCell ref="AX1872:AX1873"/>
    <mergeCell ref="AY1872:AY1873"/>
    <mergeCell ref="AZ1872:AZ1873"/>
    <mergeCell ref="BA1872:BA1873"/>
    <mergeCell ref="AV1876:AV1877"/>
    <mergeCell ref="AW1876:AW1877"/>
    <mergeCell ref="AX1876:AX1877"/>
    <mergeCell ref="AY1876:AY1877"/>
    <mergeCell ref="AZ1876:AZ1877"/>
    <mergeCell ref="BA1876:BA1877"/>
    <mergeCell ref="AV1886:AV1887"/>
    <mergeCell ref="AW1886:AW1887"/>
    <mergeCell ref="AX1886:AX1887"/>
    <mergeCell ref="AY1886:AY1887"/>
    <mergeCell ref="AZ1886:AZ1887"/>
    <mergeCell ref="BA1886:BA1887"/>
    <mergeCell ref="AV1888:AV1889"/>
    <mergeCell ref="AW1888:AW1889"/>
    <mergeCell ref="AX1888:AX1889"/>
    <mergeCell ref="AY1888:AY1889"/>
    <mergeCell ref="AZ1888:AZ1889"/>
    <mergeCell ref="BA1888:BA1889"/>
    <mergeCell ref="AV1899:AV1901"/>
    <mergeCell ref="AW1899:AW1901"/>
    <mergeCell ref="AX1899:AX1901"/>
    <mergeCell ref="AY1899:AY1901"/>
    <mergeCell ref="AZ1899:AZ1901"/>
    <mergeCell ref="BA1899:BA1901"/>
    <mergeCell ref="AV1902:AV1903"/>
    <mergeCell ref="AW1902:AW1903"/>
    <mergeCell ref="AX1902:AX1903"/>
    <mergeCell ref="AY1902:AY1903"/>
    <mergeCell ref="AZ1902:AZ1903"/>
    <mergeCell ref="BA1902:BA1903"/>
    <mergeCell ref="AV1904:AV1905"/>
    <mergeCell ref="AW1904:AW1905"/>
    <mergeCell ref="AX1904:AX1905"/>
    <mergeCell ref="AY1904:AY1905"/>
    <mergeCell ref="AZ1904:AZ1905"/>
    <mergeCell ref="BA1904:BA1905"/>
    <mergeCell ref="AV1906:AV1907"/>
    <mergeCell ref="AW1906:AW1907"/>
    <mergeCell ref="AX1906:AX1907"/>
    <mergeCell ref="AY1906:AY1907"/>
    <mergeCell ref="AZ1906:AZ1907"/>
    <mergeCell ref="BA1906:BA1907"/>
    <mergeCell ref="AV1908:AV1909"/>
    <mergeCell ref="AW1908:AW1909"/>
    <mergeCell ref="AX1908:AX1909"/>
    <mergeCell ref="AY1908:AY1909"/>
    <mergeCell ref="AZ1908:AZ1909"/>
    <mergeCell ref="BA1908:BA1909"/>
    <mergeCell ref="AV1910:AV1912"/>
    <mergeCell ref="AW1910:AW1912"/>
    <mergeCell ref="AX1910:AX1912"/>
    <mergeCell ref="AY1910:AY1912"/>
    <mergeCell ref="AZ1910:AZ1912"/>
    <mergeCell ref="BA1910:BA1912"/>
    <mergeCell ref="AV1914:AV1915"/>
    <mergeCell ref="AW1914:AW1915"/>
    <mergeCell ref="AX1914:AX1915"/>
    <mergeCell ref="AY1914:AY1915"/>
    <mergeCell ref="AZ1914:AZ1915"/>
    <mergeCell ref="BA1914:BA1915"/>
    <mergeCell ref="AV1916:AV1917"/>
    <mergeCell ref="AW1916:AW1917"/>
    <mergeCell ref="AX1916:AX1917"/>
    <mergeCell ref="AY1916:AY1917"/>
    <mergeCell ref="AZ1916:AZ1917"/>
    <mergeCell ref="BA1916:BA1917"/>
    <mergeCell ref="AV1921:AV1924"/>
    <mergeCell ref="AW1921:AW1924"/>
    <mergeCell ref="AX1921:AX1924"/>
    <mergeCell ref="AY1921:AY1924"/>
    <mergeCell ref="AZ1921:AZ1924"/>
    <mergeCell ref="BA1921:BA1924"/>
    <mergeCell ref="AV1925:AV1926"/>
    <mergeCell ref="AW1925:AW1926"/>
    <mergeCell ref="AX1925:AX1926"/>
    <mergeCell ref="AY1925:AY1926"/>
    <mergeCell ref="AZ1925:AZ1926"/>
    <mergeCell ref="BA1925:BA1926"/>
    <mergeCell ref="AV1927:AV1930"/>
    <mergeCell ref="AW1927:AW1930"/>
    <mergeCell ref="AX1927:AX1930"/>
    <mergeCell ref="AY1927:AY1930"/>
    <mergeCell ref="AZ1927:AZ1930"/>
    <mergeCell ref="BA1927:BA1930"/>
    <mergeCell ref="AV1931:AV1934"/>
    <mergeCell ref="AW1931:AW1934"/>
    <mergeCell ref="AX1931:AX1934"/>
    <mergeCell ref="AY1931:AY1934"/>
    <mergeCell ref="AZ1931:AZ1934"/>
    <mergeCell ref="BA1931:BA1934"/>
    <mergeCell ref="AV1939:AV1941"/>
    <mergeCell ref="AW1939:AW1941"/>
    <mergeCell ref="AX1939:AX1941"/>
    <mergeCell ref="AY1939:AY1941"/>
    <mergeCell ref="AZ1939:AZ1941"/>
    <mergeCell ref="BA1939:BA1941"/>
    <mergeCell ref="AV1942:AV1944"/>
    <mergeCell ref="AW1942:AW1944"/>
    <mergeCell ref="AX1942:AX1944"/>
    <mergeCell ref="AY1942:AY1944"/>
    <mergeCell ref="AZ1942:AZ1944"/>
    <mergeCell ref="BA1942:BA1944"/>
    <mergeCell ref="AV1945:AV1947"/>
    <mergeCell ref="AW1945:AW1947"/>
    <mergeCell ref="AX1945:AX1947"/>
    <mergeCell ref="AY1945:AY1947"/>
    <mergeCell ref="AZ1945:AZ1947"/>
    <mergeCell ref="BA1945:BA1947"/>
    <mergeCell ref="AV1949:AV1952"/>
    <mergeCell ref="AW1949:AW1952"/>
    <mergeCell ref="AX1949:AX1952"/>
    <mergeCell ref="AY1949:AY1952"/>
    <mergeCell ref="AZ1949:AZ1952"/>
    <mergeCell ref="BA1949:BA1952"/>
    <mergeCell ref="AV1954:AV1957"/>
    <mergeCell ref="AW1954:AW1957"/>
    <mergeCell ref="AX1954:AX1957"/>
    <mergeCell ref="AY1954:AY1957"/>
    <mergeCell ref="AZ1954:AZ1957"/>
    <mergeCell ref="BA1954:BA1957"/>
    <mergeCell ref="AV1959:AV1960"/>
    <mergeCell ref="AW1959:AW1960"/>
    <mergeCell ref="AX1959:AX1960"/>
    <mergeCell ref="AY1959:AY1960"/>
    <mergeCell ref="AZ1959:AZ1960"/>
    <mergeCell ref="BA1959:BA1960"/>
    <mergeCell ref="AV1967:AV1968"/>
    <mergeCell ref="AW1967:AW1968"/>
    <mergeCell ref="AX1967:AX1968"/>
    <mergeCell ref="AY1967:AY1968"/>
    <mergeCell ref="AZ1967:AZ1968"/>
    <mergeCell ref="BA1967:BA1968"/>
    <mergeCell ref="AV1969:AV1971"/>
    <mergeCell ref="AW1969:AW1971"/>
    <mergeCell ref="AX1969:AX1971"/>
    <mergeCell ref="AY1969:AY1971"/>
    <mergeCell ref="AZ1969:AZ1971"/>
    <mergeCell ref="BA1969:BA1971"/>
    <mergeCell ref="AV1974:AV1975"/>
    <mergeCell ref="AW1974:AW1975"/>
    <mergeCell ref="AX1974:AX1975"/>
    <mergeCell ref="AY1974:AY1975"/>
    <mergeCell ref="AZ1974:AZ1975"/>
    <mergeCell ref="BA1974:BA1975"/>
    <mergeCell ref="AV1978:AV1979"/>
    <mergeCell ref="AW1978:AW1979"/>
    <mergeCell ref="AX1978:AX1979"/>
    <mergeCell ref="AY1978:AY1979"/>
    <mergeCell ref="AZ1978:AZ1979"/>
    <mergeCell ref="BA1978:BA1979"/>
    <mergeCell ref="AV1984:AV1986"/>
    <mergeCell ref="AW1984:AW1986"/>
    <mergeCell ref="AX1984:AX1986"/>
    <mergeCell ref="AY1984:AY1986"/>
    <mergeCell ref="AZ1984:AZ1986"/>
    <mergeCell ref="BA1984:BA1986"/>
    <mergeCell ref="AV1989:AV1990"/>
    <mergeCell ref="AW1989:AW1990"/>
    <mergeCell ref="AX1989:AX1990"/>
    <mergeCell ref="AY1989:AY1990"/>
    <mergeCell ref="AZ1989:AZ1990"/>
    <mergeCell ref="BA1989:BA1990"/>
    <mergeCell ref="AV1991:AV1992"/>
    <mergeCell ref="AW1991:AW1992"/>
    <mergeCell ref="AX1991:AX1992"/>
    <mergeCell ref="AY1991:AY1992"/>
    <mergeCell ref="AZ1991:AZ1992"/>
    <mergeCell ref="BA1991:BA1992"/>
    <mergeCell ref="AV1993:AV1995"/>
    <mergeCell ref="AW1993:AW1995"/>
    <mergeCell ref="AX1993:AX1995"/>
    <mergeCell ref="AY1993:AY1995"/>
    <mergeCell ref="AZ1993:AZ1995"/>
    <mergeCell ref="BA1993:BA1995"/>
    <mergeCell ref="AV1996:AV1998"/>
    <mergeCell ref="AW1996:AW1998"/>
    <mergeCell ref="AX1996:AX1998"/>
    <mergeCell ref="AY1996:AY1998"/>
    <mergeCell ref="AZ1996:AZ1998"/>
    <mergeCell ref="BA1996:BA1998"/>
    <mergeCell ref="AV2004:AV2007"/>
    <mergeCell ref="AW2004:AW2007"/>
    <mergeCell ref="AX2004:AX2007"/>
    <mergeCell ref="AY2004:AY2007"/>
    <mergeCell ref="AZ2004:AZ2007"/>
    <mergeCell ref="BA2004:BA2007"/>
    <mergeCell ref="AV2008:AV2010"/>
    <mergeCell ref="AW2008:AW2010"/>
    <mergeCell ref="AX2008:AX2010"/>
    <mergeCell ref="AY2008:AY2010"/>
    <mergeCell ref="AZ2008:AZ2010"/>
    <mergeCell ref="BA2008:BA2010"/>
    <mergeCell ref="AV2011:AV2012"/>
    <mergeCell ref="AW2011:AW2012"/>
    <mergeCell ref="AX2011:AX2012"/>
    <mergeCell ref="AY2011:AY2012"/>
    <mergeCell ref="AZ2011:AZ2012"/>
    <mergeCell ref="BA2011:BA2012"/>
    <mergeCell ref="AV2013:AV2014"/>
    <mergeCell ref="AW2013:AW2014"/>
    <mergeCell ref="AX2013:AX2014"/>
    <mergeCell ref="AY2013:AY2014"/>
    <mergeCell ref="AZ2013:AZ2014"/>
    <mergeCell ref="BA2013:BA2014"/>
    <mergeCell ref="AV2016:AV2017"/>
    <mergeCell ref="AW2016:AW2017"/>
    <mergeCell ref="AX2016:AX2017"/>
    <mergeCell ref="AY2016:AY2017"/>
    <mergeCell ref="AZ2016:AZ2017"/>
    <mergeCell ref="BA2016:BA2017"/>
    <mergeCell ref="AV2020:AV2021"/>
    <mergeCell ref="AW2020:AW2021"/>
    <mergeCell ref="AX2020:AX2021"/>
    <mergeCell ref="AY2020:AY2021"/>
    <mergeCell ref="AZ2020:AZ2021"/>
    <mergeCell ref="BA2020:BA2021"/>
    <mergeCell ref="AV2027:AV2029"/>
    <mergeCell ref="AW2027:AW2029"/>
    <mergeCell ref="AX2027:AX2029"/>
    <mergeCell ref="AY2027:AY2029"/>
    <mergeCell ref="AZ2027:AZ2029"/>
    <mergeCell ref="BA2027:BA2029"/>
    <mergeCell ref="AV2031:AV2033"/>
    <mergeCell ref="AW2031:AW2033"/>
    <mergeCell ref="AX2031:AX2033"/>
    <mergeCell ref="AY2031:AY2033"/>
    <mergeCell ref="AZ2031:AZ2033"/>
    <mergeCell ref="BA2031:BA2033"/>
    <mergeCell ref="AV2042:AV2043"/>
    <mergeCell ref="AW2042:AW2043"/>
    <mergeCell ref="AX2042:AX2043"/>
    <mergeCell ref="AY2042:AY2043"/>
    <mergeCell ref="AZ2042:AZ2043"/>
    <mergeCell ref="BA2042:BA2043"/>
    <mergeCell ref="AV2045:AV2046"/>
    <mergeCell ref="AW2045:AW2046"/>
    <mergeCell ref="AX2045:AX2046"/>
    <mergeCell ref="AY2045:AY2046"/>
    <mergeCell ref="AZ2045:AZ2046"/>
    <mergeCell ref="BA2045:BA2046"/>
    <mergeCell ref="AV2050:AV2051"/>
    <mergeCell ref="AW2050:AW2051"/>
    <mergeCell ref="AX2050:AX2051"/>
    <mergeCell ref="AY2050:AY2051"/>
    <mergeCell ref="AZ2050:AZ2051"/>
    <mergeCell ref="BA2050:BA2051"/>
    <mergeCell ref="AV2053:AV2054"/>
    <mergeCell ref="AW2053:AW2054"/>
    <mergeCell ref="AX2053:AX2054"/>
    <mergeCell ref="AY2053:AY2054"/>
    <mergeCell ref="AZ2053:AZ2054"/>
    <mergeCell ref="BA2053:BA2054"/>
    <mergeCell ref="AV2055:AV2061"/>
    <mergeCell ref="AW2055:AW2061"/>
    <mergeCell ref="AX2055:AX2061"/>
    <mergeCell ref="AY2055:AY2061"/>
    <mergeCell ref="AZ2055:AZ2061"/>
    <mergeCell ref="BA2055:BA2061"/>
    <mergeCell ref="AV2063:AV2069"/>
    <mergeCell ref="AW2063:AW2069"/>
    <mergeCell ref="AX2063:AX2069"/>
    <mergeCell ref="AY2063:AY2069"/>
    <mergeCell ref="AZ2063:AZ2069"/>
    <mergeCell ref="BA2063:BA2069"/>
    <mergeCell ref="AV2070:AV2076"/>
    <mergeCell ref="AW2070:AW2076"/>
    <mergeCell ref="AX2070:AX2076"/>
    <mergeCell ref="AY2070:AY2076"/>
    <mergeCell ref="AZ2070:AZ2076"/>
    <mergeCell ref="BA2070:BA2076"/>
    <mergeCell ref="AV2077:AV2078"/>
    <mergeCell ref="AW2077:AW2078"/>
    <mergeCell ref="AX2077:AX2078"/>
    <mergeCell ref="AY2077:AY2078"/>
    <mergeCell ref="AZ2077:AZ2078"/>
    <mergeCell ref="BA2077:BA2078"/>
    <mergeCell ref="AV2079:AV2080"/>
    <mergeCell ref="AW2079:AW2080"/>
    <mergeCell ref="AX2079:AX2080"/>
    <mergeCell ref="AY2079:AY2080"/>
    <mergeCell ref="AZ2079:AZ2080"/>
    <mergeCell ref="BA2079:BA2080"/>
    <mergeCell ref="AV2082:AV2088"/>
    <mergeCell ref="AW2082:AW2088"/>
    <mergeCell ref="AX2082:AX2088"/>
    <mergeCell ref="AY2082:AY2088"/>
    <mergeCell ref="AZ2082:AZ2088"/>
    <mergeCell ref="BA2082:BA2088"/>
    <mergeCell ref="AV2089:AV2095"/>
    <mergeCell ref="AW2089:AW2095"/>
    <mergeCell ref="AX2089:AX2095"/>
    <mergeCell ref="AY2089:AY2095"/>
    <mergeCell ref="AZ2089:AZ2095"/>
    <mergeCell ref="BA2089:BA2095"/>
    <mergeCell ref="AV2096:AV2102"/>
    <mergeCell ref="AW2096:AW2102"/>
    <mergeCell ref="AX2096:AX2102"/>
    <mergeCell ref="AY2096:AY2102"/>
    <mergeCell ref="AZ2096:AZ2102"/>
    <mergeCell ref="BA2096:BA2102"/>
    <mergeCell ref="AV2110:AV2112"/>
    <mergeCell ref="AW2110:AW2112"/>
    <mergeCell ref="AX2110:AX2112"/>
    <mergeCell ref="AY2110:AY2112"/>
    <mergeCell ref="AZ2110:AZ2112"/>
    <mergeCell ref="BA2110:BA2112"/>
    <mergeCell ref="AV2125:AV2128"/>
    <mergeCell ref="AW2125:AW2128"/>
    <mergeCell ref="AX2125:AX2128"/>
    <mergeCell ref="AY2125:AY2128"/>
    <mergeCell ref="AZ2125:AZ2128"/>
    <mergeCell ref="BA2125:BA2128"/>
    <mergeCell ref="AV2130:AV2131"/>
    <mergeCell ref="AW2130:AW2131"/>
    <mergeCell ref="AX2130:AX2131"/>
    <mergeCell ref="AY2130:AY2131"/>
    <mergeCell ref="AZ2130:AZ2131"/>
    <mergeCell ref="BA2130:BA2131"/>
    <mergeCell ref="AV2132:AV2135"/>
    <mergeCell ref="AW2132:AW2135"/>
    <mergeCell ref="AX2132:AX2135"/>
    <mergeCell ref="AY2132:AY2135"/>
    <mergeCell ref="AZ2132:AZ2135"/>
    <mergeCell ref="BA2132:BA2135"/>
    <mergeCell ref="AV2136:AV2137"/>
    <mergeCell ref="AW2136:AW2137"/>
    <mergeCell ref="AX2136:AX2137"/>
    <mergeCell ref="AY2136:AY2137"/>
    <mergeCell ref="AZ2136:AZ2137"/>
    <mergeCell ref="BA2136:BA2137"/>
    <mergeCell ref="AV2138:AV2140"/>
    <mergeCell ref="AW2138:AW2140"/>
    <mergeCell ref="AX2138:AX2140"/>
    <mergeCell ref="AY2138:AY2140"/>
    <mergeCell ref="AZ2138:AZ2140"/>
    <mergeCell ref="BA2138:BA2140"/>
    <mergeCell ref="AV2141:AV2142"/>
    <mergeCell ref="AW2141:AW2142"/>
    <mergeCell ref="AX2141:AX2142"/>
    <mergeCell ref="AY2141:AY2142"/>
    <mergeCell ref="AZ2141:AZ2142"/>
    <mergeCell ref="BA2141:BA2142"/>
    <mergeCell ref="AV2143:AV2147"/>
    <mergeCell ref="AW2143:AW2147"/>
    <mergeCell ref="AX2143:AX2147"/>
    <mergeCell ref="AY2143:AY2147"/>
    <mergeCell ref="AZ2143:AZ2147"/>
    <mergeCell ref="BA2143:BA2147"/>
    <mergeCell ref="AV2148:AV2150"/>
    <mergeCell ref="AW2148:AW2150"/>
    <mergeCell ref="AX2148:AX2150"/>
    <mergeCell ref="AY2148:AY2150"/>
    <mergeCell ref="AZ2148:AZ2150"/>
    <mergeCell ref="BA2148:BA2150"/>
    <mergeCell ref="AV2155:AV2157"/>
    <mergeCell ref="AW2155:AW2157"/>
    <mergeCell ref="AX2155:AX2157"/>
    <mergeCell ref="AY2155:AY2157"/>
    <mergeCell ref="AZ2155:AZ2157"/>
    <mergeCell ref="BA2155:BA2157"/>
    <mergeCell ref="AV2158:AV2159"/>
    <mergeCell ref="AW2158:AW2159"/>
    <mergeCell ref="AX2158:AX2159"/>
    <mergeCell ref="AY2158:AY2159"/>
    <mergeCell ref="AZ2158:AZ2159"/>
    <mergeCell ref="BA2158:BA2159"/>
    <mergeCell ref="AV2160:AV2163"/>
    <mergeCell ref="AW2160:AW2163"/>
    <mergeCell ref="AX2160:AX2163"/>
    <mergeCell ref="AY2160:AY2163"/>
    <mergeCell ref="AZ2160:AZ2163"/>
    <mergeCell ref="BA2160:BA2163"/>
    <mergeCell ref="AV2166:AV2167"/>
    <mergeCell ref="AW2166:AW2167"/>
    <mergeCell ref="AX2166:AX2167"/>
    <mergeCell ref="AY2166:AY2167"/>
    <mergeCell ref="AZ2166:AZ2167"/>
    <mergeCell ref="BA2166:BA2167"/>
    <mergeCell ref="AV2168:AV2170"/>
    <mergeCell ref="AW2168:AW2170"/>
    <mergeCell ref="AX2168:AX2170"/>
    <mergeCell ref="AY2168:AY2170"/>
    <mergeCell ref="AZ2168:AZ2170"/>
    <mergeCell ref="BA2168:BA2170"/>
    <mergeCell ref="AV2172:AV2174"/>
    <mergeCell ref="AW2172:AW2174"/>
    <mergeCell ref="AX2172:AX2174"/>
    <mergeCell ref="AY2172:AY2174"/>
    <mergeCell ref="AZ2172:AZ2174"/>
    <mergeCell ref="BA2172:BA2174"/>
    <mergeCell ref="AV2175:AV2176"/>
    <mergeCell ref="AW2175:AW2176"/>
    <mergeCell ref="AX2175:AX2176"/>
    <mergeCell ref="AY2175:AY2176"/>
    <mergeCell ref="AZ2175:AZ2176"/>
    <mergeCell ref="BA2175:BA2176"/>
    <mergeCell ref="AV2177:AV2178"/>
    <mergeCell ref="AW2177:AW2178"/>
    <mergeCell ref="AX2177:AX2178"/>
    <mergeCell ref="AY2177:AY2178"/>
    <mergeCell ref="AZ2177:AZ2178"/>
    <mergeCell ref="BA2177:BA2178"/>
    <mergeCell ref="AV2182:AV2183"/>
    <mergeCell ref="AW2182:AW2183"/>
    <mergeCell ref="AX2182:AX2183"/>
    <mergeCell ref="AY2182:AY2183"/>
    <mergeCell ref="AZ2182:AZ2183"/>
    <mergeCell ref="BA2182:BA2183"/>
    <mergeCell ref="AV2185:AV2188"/>
    <mergeCell ref="AW2185:AW2188"/>
    <mergeCell ref="AX2185:AX2188"/>
    <mergeCell ref="AY2185:AY2188"/>
    <mergeCell ref="AZ2185:AZ2188"/>
    <mergeCell ref="BA2185:BA2188"/>
    <mergeCell ref="AV2191:AV2194"/>
    <mergeCell ref="AW2191:AW2194"/>
    <mergeCell ref="AX2191:AX2194"/>
    <mergeCell ref="AY2191:AY2194"/>
    <mergeCell ref="AZ2191:AZ2194"/>
    <mergeCell ref="BA2191:BA2194"/>
    <mergeCell ref="AV2196:AV2198"/>
    <mergeCell ref="AW2196:AW2198"/>
    <mergeCell ref="AX2196:AX2198"/>
    <mergeCell ref="AY2196:AY2198"/>
    <mergeCell ref="AZ2196:AZ2198"/>
    <mergeCell ref="BA2196:BA2198"/>
    <mergeCell ref="AV2199:AV2200"/>
    <mergeCell ref="AW2199:AW2200"/>
    <mergeCell ref="AX2199:AX2200"/>
    <mergeCell ref="AY2199:AY2200"/>
    <mergeCell ref="AZ2199:AZ2200"/>
    <mergeCell ref="BA2199:BA2200"/>
    <mergeCell ref="AV2201:AV2204"/>
    <mergeCell ref="AW2201:AW2204"/>
    <mergeCell ref="AX2201:AX2204"/>
    <mergeCell ref="AY2201:AY2204"/>
    <mergeCell ref="AZ2201:AZ2204"/>
    <mergeCell ref="BA2201:BA2204"/>
    <mergeCell ref="AV2206:AV2207"/>
    <mergeCell ref="AW2206:AW2207"/>
    <mergeCell ref="AX2206:AX2207"/>
    <mergeCell ref="AY2206:AY2207"/>
    <mergeCell ref="AZ2206:AZ2207"/>
    <mergeCell ref="BA2206:BA2207"/>
    <mergeCell ref="AV2208:AV2209"/>
    <mergeCell ref="AW2208:AW2209"/>
    <mergeCell ref="AX2208:AX2209"/>
    <mergeCell ref="AY2208:AY2209"/>
    <mergeCell ref="AZ2208:AZ2209"/>
    <mergeCell ref="BA2208:BA2209"/>
    <mergeCell ref="AV2210:AV2213"/>
    <mergeCell ref="AW2210:AW2213"/>
    <mergeCell ref="AX2210:AX2213"/>
    <mergeCell ref="AY2210:AY2213"/>
    <mergeCell ref="AZ2210:AZ2213"/>
    <mergeCell ref="BA2210:BA2213"/>
    <mergeCell ref="AV2223:AV2224"/>
    <mergeCell ref="AW2223:AW2224"/>
    <mergeCell ref="AX2223:AX2224"/>
    <mergeCell ref="AY2223:AY2224"/>
    <mergeCell ref="AZ2223:AZ2224"/>
    <mergeCell ref="BA2223:BA2224"/>
    <mergeCell ref="AV2225:AV2226"/>
    <mergeCell ref="AW2225:AW2226"/>
    <mergeCell ref="AX2225:AX2226"/>
    <mergeCell ref="AY2225:AY2226"/>
    <mergeCell ref="AZ2225:AZ2226"/>
    <mergeCell ref="BA2225:BA2226"/>
    <mergeCell ref="AV2238:AV2239"/>
    <mergeCell ref="AW2238:AW2239"/>
    <mergeCell ref="AX2238:AX2239"/>
    <mergeCell ref="AY2238:AY2239"/>
    <mergeCell ref="AZ2238:AZ2239"/>
    <mergeCell ref="BA2238:BA2239"/>
    <mergeCell ref="AV2257:AV2259"/>
    <mergeCell ref="AW2257:AW2259"/>
    <mergeCell ref="AX2257:AX2259"/>
    <mergeCell ref="AY2257:AY2259"/>
    <mergeCell ref="AZ2257:AZ2259"/>
    <mergeCell ref="BA2257:BA2259"/>
    <mergeCell ref="AV2260:AV2261"/>
    <mergeCell ref="AW2260:AW2261"/>
    <mergeCell ref="AX2260:AX2261"/>
    <mergeCell ref="AY2260:AY2261"/>
    <mergeCell ref="AZ2260:AZ2261"/>
    <mergeCell ref="BA2260:BA2261"/>
    <mergeCell ref="AV2262:AV2265"/>
    <mergeCell ref="AW2262:AW2265"/>
    <mergeCell ref="AX2262:AX2265"/>
    <mergeCell ref="AY2262:AY2265"/>
    <mergeCell ref="AZ2262:AZ2265"/>
    <mergeCell ref="BA2262:BA2265"/>
    <mergeCell ref="AV2266:AV2267"/>
    <mergeCell ref="AW2266:AW2267"/>
    <mergeCell ref="AX2266:AX2267"/>
    <mergeCell ref="AY2266:AY2267"/>
    <mergeCell ref="AZ2266:AZ2267"/>
    <mergeCell ref="BA2266:BA2267"/>
    <mergeCell ref="AV2272:AV2273"/>
    <mergeCell ref="AW2272:AW2273"/>
    <mergeCell ref="AX2272:AX2273"/>
    <mergeCell ref="AY2272:AY2273"/>
    <mergeCell ref="AZ2272:AZ2273"/>
    <mergeCell ref="BA2272:BA2273"/>
    <mergeCell ref="AV2276:AV2279"/>
    <mergeCell ref="AW2276:AW2279"/>
    <mergeCell ref="AX2276:AX2279"/>
    <mergeCell ref="AY2276:AY2279"/>
    <mergeCell ref="AZ2276:AZ2279"/>
    <mergeCell ref="BA2276:BA2279"/>
    <mergeCell ref="AV2280:AV2283"/>
    <mergeCell ref="AW2280:AW2283"/>
    <mergeCell ref="AX2280:AX2283"/>
    <mergeCell ref="AY2280:AY2283"/>
    <mergeCell ref="AZ2280:AZ2283"/>
    <mergeCell ref="BA2280:BA2283"/>
    <mergeCell ref="AV2284:AV2286"/>
    <mergeCell ref="AW2284:AW2286"/>
    <mergeCell ref="AX2284:AX2286"/>
    <mergeCell ref="AY2284:AY2286"/>
    <mergeCell ref="AZ2284:AZ2286"/>
    <mergeCell ref="BA2284:BA2286"/>
    <mergeCell ref="AV2287:AV2290"/>
    <mergeCell ref="AW2287:AW2290"/>
    <mergeCell ref="AX2287:AX2290"/>
    <mergeCell ref="AY2287:AY2290"/>
    <mergeCell ref="AZ2287:AZ2290"/>
    <mergeCell ref="BA2287:BA2290"/>
    <mergeCell ref="AV2291:AV2294"/>
    <mergeCell ref="AW2291:AW2294"/>
    <mergeCell ref="AX2291:AX2294"/>
    <mergeCell ref="AY2291:AY2294"/>
    <mergeCell ref="AZ2291:AZ2294"/>
    <mergeCell ref="BA2291:BA2294"/>
    <mergeCell ref="AV2295:AV2298"/>
    <mergeCell ref="AW2295:AW2298"/>
    <mergeCell ref="AX2295:AX2298"/>
    <mergeCell ref="AY2295:AY2298"/>
    <mergeCell ref="AZ2295:AZ2298"/>
    <mergeCell ref="BA2295:BA2298"/>
    <mergeCell ref="AV2299:AV2302"/>
    <mergeCell ref="AW2299:AW2302"/>
    <mergeCell ref="AX2299:AX2302"/>
    <mergeCell ref="AY2299:AY2302"/>
    <mergeCell ref="AZ2299:AZ2302"/>
    <mergeCell ref="BA2299:BA2302"/>
    <mergeCell ref="AV2304:AV2307"/>
    <mergeCell ref="AW2304:AW2307"/>
    <mergeCell ref="AX2304:AX2307"/>
    <mergeCell ref="AY2304:AY2307"/>
    <mergeCell ref="AZ2304:AZ2307"/>
    <mergeCell ref="BA2304:BA2307"/>
    <mergeCell ref="AV2313:AV2316"/>
    <mergeCell ref="AW2313:AW2316"/>
    <mergeCell ref="AX2313:AX2316"/>
    <mergeCell ref="AY2313:AY2316"/>
    <mergeCell ref="AZ2313:AZ2316"/>
    <mergeCell ref="BA2313:BA2316"/>
    <mergeCell ref="AV2318:AV2320"/>
    <mergeCell ref="AW2318:AW2320"/>
    <mergeCell ref="AX2318:AX2320"/>
    <mergeCell ref="AY2318:AY2320"/>
    <mergeCell ref="AZ2318:AZ2320"/>
    <mergeCell ref="BA2318:BA2320"/>
    <mergeCell ref="AV2321:AV2323"/>
    <mergeCell ref="AW2321:AW2323"/>
    <mergeCell ref="AX2321:AX2323"/>
    <mergeCell ref="AY2321:AY2323"/>
    <mergeCell ref="AZ2321:AZ2323"/>
    <mergeCell ref="BA2321:BA2323"/>
    <mergeCell ref="AV2324:AV2325"/>
    <mergeCell ref="AW2324:AW2325"/>
    <mergeCell ref="AX2324:AX2325"/>
    <mergeCell ref="AY2324:AY2325"/>
    <mergeCell ref="AZ2324:AZ2325"/>
    <mergeCell ref="BA2324:BA2325"/>
    <mergeCell ref="AV2326:AV2328"/>
    <mergeCell ref="AW2326:AW2328"/>
    <mergeCell ref="AX2326:AX2328"/>
    <mergeCell ref="AY2326:AY2328"/>
    <mergeCell ref="AZ2326:AZ2328"/>
    <mergeCell ref="BA2326:BA2328"/>
    <mergeCell ref="AV2329:AV2330"/>
    <mergeCell ref="AW2329:AW2330"/>
    <mergeCell ref="AX2329:AX2330"/>
    <mergeCell ref="AY2329:AY2330"/>
    <mergeCell ref="AZ2329:AZ2330"/>
    <mergeCell ref="BA2329:BA2330"/>
    <mergeCell ref="AV2331:AV2332"/>
    <mergeCell ref="AW2331:AW2332"/>
    <mergeCell ref="AX2331:AX2332"/>
    <mergeCell ref="AY2331:AY2332"/>
    <mergeCell ref="AZ2331:AZ2332"/>
    <mergeCell ref="BA2331:BA2332"/>
    <mergeCell ref="AV2333:AV2334"/>
    <mergeCell ref="AW2333:AW2334"/>
    <mergeCell ref="AX2333:AX2334"/>
    <mergeCell ref="AY2333:AY2334"/>
    <mergeCell ref="AZ2333:AZ2334"/>
    <mergeCell ref="BA2333:BA2334"/>
    <mergeCell ref="AV2336:AV2338"/>
    <mergeCell ref="AW2336:AW2338"/>
    <mergeCell ref="AX2336:AX2338"/>
    <mergeCell ref="AY2336:AY2338"/>
    <mergeCell ref="AZ2336:AZ2338"/>
    <mergeCell ref="BA2336:BA2338"/>
    <mergeCell ref="AV2339:AV2340"/>
    <mergeCell ref="AW2339:AW2340"/>
    <mergeCell ref="AX2339:AX2340"/>
    <mergeCell ref="AY2339:AY2340"/>
    <mergeCell ref="AZ2339:AZ2340"/>
    <mergeCell ref="BA2339:BA2340"/>
    <mergeCell ref="AV2341:AV2342"/>
    <mergeCell ref="AW2341:AW2342"/>
    <mergeCell ref="AX2341:AX2342"/>
    <mergeCell ref="AY2341:AY2342"/>
    <mergeCell ref="AZ2341:AZ2342"/>
    <mergeCell ref="BA2341:BA2342"/>
    <mergeCell ref="AV2344:AV2345"/>
    <mergeCell ref="AW2344:AW2345"/>
    <mergeCell ref="AX2344:AX2345"/>
    <mergeCell ref="AY2344:AY2345"/>
    <mergeCell ref="AZ2344:AZ2345"/>
    <mergeCell ref="BA2344:BA2345"/>
    <mergeCell ref="AV2348:AV2349"/>
    <mergeCell ref="AW2348:AW2349"/>
    <mergeCell ref="AX2348:AX2349"/>
    <mergeCell ref="AY2348:AY2349"/>
    <mergeCell ref="AZ2348:AZ2349"/>
    <mergeCell ref="BA2348:BA2349"/>
    <mergeCell ref="AV2353:AV2354"/>
    <mergeCell ref="AW2353:AW2354"/>
    <mergeCell ref="AX2353:AX2354"/>
    <mergeCell ref="AY2353:AY2354"/>
    <mergeCell ref="AZ2353:AZ2354"/>
    <mergeCell ref="BA2353:BA2354"/>
    <mergeCell ref="AV2363:AV2364"/>
    <mergeCell ref="AW2363:AW2364"/>
    <mergeCell ref="AX2363:AX2364"/>
    <mergeCell ref="AY2363:AY2364"/>
    <mergeCell ref="AZ2363:AZ2364"/>
    <mergeCell ref="BA2363:BA2364"/>
    <mergeCell ref="AV2365:AV2366"/>
    <mergeCell ref="AW2365:AW2366"/>
    <mergeCell ref="AX2365:AX2366"/>
    <mergeCell ref="AY2365:AY2366"/>
    <mergeCell ref="AZ2365:AZ2366"/>
    <mergeCell ref="BA2365:BA2366"/>
    <mergeCell ref="AV2370:AV2372"/>
    <mergeCell ref="AW2370:AW2372"/>
    <mergeCell ref="AX2370:AX2372"/>
    <mergeCell ref="AY2370:AY2372"/>
    <mergeCell ref="AZ2370:AZ2372"/>
    <mergeCell ref="BA2370:BA2372"/>
    <mergeCell ref="AV2375:AV2376"/>
    <mergeCell ref="AW2375:AW2376"/>
    <mergeCell ref="AX2375:AX2376"/>
    <mergeCell ref="AY2375:AY2376"/>
    <mergeCell ref="AZ2375:AZ2376"/>
    <mergeCell ref="BA2375:BA2376"/>
    <mergeCell ref="AV2378:AV2380"/>
    <mergeCell ref="AW2378:AW2380"/>
    <mergeCell ref="AX2378:AX2380"/>
    <mergeCell ref="AY2378:AY2380"/>
    <mergeCell ref="AZ2378:AZ2380"/>
    <mergeCell ref="BA2378:BA2380"/>
    <mergeCell ref="AV2381:AV2383"/>
    <mergeCell ref="AW2381:AW2383"/>
    <mergeCell ref="AX2381:AX2383"/>
    <mergeCell ref="AY2381:AY2383"/>
    <mergeCell ref="AZ2381:AZ2383"/>
    <mergeCell ref="BA2381:BA2383"/>
    <mergeCell ref="AV2384:AV2386"/>
    <mergeCell ref="AW2384:AW2386"/>
    <mergeCell ref="AX2384:AX2386"/>
    <mergeCell ref="AY2384:AY2386"/>
    <mergeCell ref="AZ2384:AZ2386"/>
    <mergeCell ref="BA2384:BA2386"/>
    <mergeCell ref="AV2387:AV2389"/>
    <mergeCell ref="AW2387:AW2389"/>
    <mergeCell ref="AX2387:AX2389"/>
    <mergeCell ref="AY2387:AY2389"/>
    <mergeCell ref="AZ2387:AZ2389"/>
    <mergeCell ref="BA2387:BA2389"/>
    <mergeCell ref="AV2390:AV2391"/>
    <mergeCell ref="AW2390:AW2391"/>
    <mergeCell ref="AX2390:AX2391"/>
    <mergeCell ref="AY2390:AY2391"/>
    <mergeCell ref="AZ2390:AZ2391"/>
    <mergeCell ref="BA2390:BA2391"/>
    <mergeCell ref="AV2392:AV2394"/>
    <mergeCell ref="AW2392:AW2394"/>
    <mergeCell ref="AX2392:AX2394"/>
    <mergeCell ref="AY2392:AY2394"/>
    <mergeCell ref="AZ2392:AZ2394"/>
    <mergeCell ref="BA2392:BA2394"/>
    <mergeCell ref="AV2396:AV2397"/>
    <mergeCell ref="AW2396:AW2397"/>
    <mergeCell ref="AX2396:AX2397"/>
    <mergeCell ref="AY2396:AY2397"/>
    <mergeCell ref="AZ2396:AZ2397"/>
    <mergeCell ref="BA2396:BA2397"/>
    <mergeCell ref="AV2398:AV2399"/>
    <mergeCell ref="AW2398:AW2399"/>
    <mergeCell ref="AX2398:AX2399"/>
    <mergeCell ref="AY2398:AY2399"/>
    <mergeCell ref="AZ2398:AZ2399"/>
    <mergeCell ref="BA2398:BA2399"/>
    <mergeCell ref="AV2402:AV2404"/>
    <mergeCell ref="AW2402:AW2404"/>
    <mergeCell ref="AX2402:AX2404"/>
    <mergeCell ref="AY2402:AY2404"/>
    <mergeCell ref="AZ2402:AZ2404"/>
    <mergeCell ref="BA2402:BA2404"/>
    <mergeCell ref="AV2417:AV2421"/>
    <mergeCell ref="AW2417:AW2421"/>
    <mergeCell ref="AX2417:AX2421"/>
    <mergeCell ref="AY2417:AY2421"/>
    <mergeCell ref="AZ2417:AZ2421"/>
    <mergeCell ref="BA2417:BA2421"/>
    <mergeCell ref="AV2423:AV2426"/>
    <mergeCell ref="AW2423:AW2426"/>
    <mergeCell ref="AX2423:AX2426"/>
    <mergeCell ref="AY2423:AY2426"/>
    <mergeCell ref="AZ2423:AZ2426"/>
    <mergeCell ref="BA2423:BA2426"/>
    <mergeCell ref="AV2431:AV2433"/>
    <mergeCell ref="AW2431:AW2433"/>
    <mergeCell ref="AX2431:AX2433"/>
    <mergeCell ref="AY2431:AY2433"/>
    <mergeCell ref="AZ2431:AZ2433"/>
    <mergeCell ref="BA2431:BA2433"/>
    <mergeCell ref="AV2434:AV2436"/>
    <mergeCell ref="AW2434:AW2436"/>
    <mergeCell ref="AX2434:AX2436"/>
    <mergeCell ref="AY2434:AY2436"/>
    <mergeCell ref="AZ2434:AZ2436"/>
    <mergeCell ref="BA2434:BA2436"/>
    <mergeCell ref="BB6:BB7"/>
    <mergeCell ref="BB160:BB161"/>
    <mergeCell ref="BB173:BB174"/>
    <mergeCell ref="BB204:BB205"/>
    <mergeCell ref="BB217:BB218"/>
    <mergeCell ref="BB248:BB250"/>
    <mergeCell ref="BB253:BB254"/>
    <mergeCell ref="BB255:BB257"/>
    <mergeCell ref="BB304:BB305"/>
    <mergeCell ref="BB314:BB315"/>
    <mergeCell ref="BB316:BB317"/>
    <mergeCell ref="BB348:BB349"/>
    <mergeCell ref="BB352:BB353"/>
    <mergeCell ref="BB354:BB355"/>
    <mergeCell ref="BB383:BB384"/>
    <mergeCell ref="BB420:BB421"/>
    <mergeCell ref="BB423:BB424"/>
    <mergeCell ref="BB436:BB437"/>
    <mergeCell ref="BB489:BB490"/>
    <mergeCell ref="BB508:BB509"/>
    <mergeCell ref="BB518:BB519"/>
    <mergeCell ref="BB563:BB564"/>
    <mergeCell ref="BB571:BB572"/>
    <mergeCell ref="BB587:BB588"/>
    <mergeCell ref="BB794:BB795"/>
    <mergeCell ref="BB796:BB797"/>
    <mergeCell ref="BB824:BB825"/>
    <mergeCell ref="BB876:BB877"/>
    <mergeCell ref="BB878:BB879"/>
    <mergeCell ref="BB1009:BB1010"/>
    <mergeCell ref="BB1013:BB1014"/>
    <mergeCell ref="BB1040:BB1041"/>
    <mergeCell ref="BB1043:BB1045"/>
    <mergeCell ref="BB1314:BB1315"/>
    <mergeCell ref="BB1316:BB1317"/>
    <mergeCell ref="BB1404:BB1405"/>
    <mergeCell ref="BB1440:BB1441"/>
    <mergeCell ref="BB1448:BB1449"/>
    <mergeCell ref="BB1453:BB1454"/>
    <mergeCell ref="BB1456:BB1457"/>
    <mergeCell ref="BB1485:BB1486"/>
    <mergeCell ref="BB1488:BB1489"/>
    <mergeCell ref="BB1504:BB1505"/>
    <mergeCell ref="BB1509:BB1510"/>
    <mergeCell ref="BB1513:BB1514"/>
    <mergeCell ref="BB1548:BB1549"/>
    <mergeCell ref="BB1620:BB1621"/>
    <mergeCell ref="BB1624:BB1625"/>
    <mergeCell ref="BB1633:BB1634"/>
    <mergeCell ref="BB1635:BB1636"/>
    <mergeCell ref="BB1658:BB1659"/>
    <mergeCell ref="BB1678:BB1679"/>
    <mergeCell ref="BB1682:BB1683"/>
    <mergeCell ref="BB1687:BB1692"/>
    <mergeCell ref="BB1693:BB1698"/>
    <mergeCell ref="BB1725:BB1726"/>
    <mergeCell ref="BB1731:BB1732"/>
    <mergeCell ref="BB1740:BB1741"/>
    <mergeCell ref="BB1744:BB1745"/>
    <mergeCell ref="BB1775:BB1776"/>
    <mergeCell ref="BB1795:BB1796"/>
    <mergeCell ref="BB1872:BB1873"/>
    <mergeCell ref="BB1886:BB1887"/>
    <mergeCell ref="BB1985:BB1986"/>
    <mergeCell ref="BB2058:BB2059"/>
    <mergeCell ref="BB2066:BB2067"/>
    <mergeCell ref="BB2073:BB2074"/>
    <mergeCell ref="BB2085:BB2086"/>
    <mergeCell ref="BB2092:BB2093"/>
    <mergeCell ref="BB2099:BB2100"/>
    <mergeCell ref="BB2111:BB2112"/>
    <mergeCell ref="BB2125:BB2126"/>
    <mergeCell ref="BB2144:BB2145"/>
    <mergeCell ref="BB2148:BB2149"/>
    <mergeCell ref="BB2156:BB2157"/>
    <mergeCell ref="BB2161:BB2162"/>
    <mergeCell ref="BB2196:BB2198"/>
    <mergeCell ref="BB2199:BB2200"/>
    <mergeCell ref="BB2201:BB2204"/>
    <mergeCell ref="BB2365:BB236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4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11270</v>
      </c>
      <c r="C2" s="0" t="s">
        <v>11271</v>
      </c>
      <c r="D2" s="0" t="s">
        <v>11272</v>
      </c>
      <c r="E2" s="0" t="s">
        <v>58</v>
      </c>
    </row>
    <row r="3">
      <c r="A3" s="1" t="s">
        <v>58</v>
      </c>
      <c r="B3" s="1" t="s">
        <v>59</v>
      </c>
      <c r="C3" s="1" t="s">
        <v>60</v>
      </c>
      <c r="D3" s="1" t="s">
        <v>61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58</v>
      </c>
      <c r="B4" s="1" t="s">
        <v>59</v>
      </c>
      <c r="C4" s="1" t="s">
        <v>60</v>
      </c>
      <c r="D4" s="1" t="s">
        <v>61</v>
      </c>
      <c r="E4" s="1" t="s">
        <v>35</v>
      </c>
      <c r="F4" s="1" t="s">
        <v>35</v>
      </c>
      <c r="G4" s="1" t="s">
        <v>36</v>
      </c>
      <c r="H4" s="1" t="s">
        <v>36</v>
      </c>
      <c r="I4" s="1" t="s">
        <v>11273</v>
      </c>
      <c r="J4" s="1" t="s">
        <v>11274</v>
      </c>
      <c r="K4" s="1" t="s">
        <v>35</v>
      </c>
      <c r="L4" s="1" t="s">
        <v>35</v>
      </c>
      <c r="M4" s="1" t="s">
        <v>36</v>
      </c>
      <c r="N4" s="1" t="s">
        <v>36</v>
      </c>
      <c r="O4" s="1" t="s">
        <v>11275</v>
      </c>
      <c r="P4" s="1" t="s">
        <v>11276</v>
      </c>
    </row>
    <row r="5">
      <c r="A5" s="1" t="s">
        <v>58</v>
      </c>
      <c r="B5" s="1" t="s">
        <v>59</v>
      </c>
      <c r="C5" s="1" t="s">
        <v>60</v>
      </c>
      <c r="D5" s="1" t="s">
        <v>61</v>
      </c>
      <c r="E5" s="1" t="s">
        <v>11277</v>
      </c>
      <c r="F5" s="1" t="s">
        <v>11278</v>
      </c>
      <c r="G5" s="1" t="s">
        <v>11277</v>
      </c>
      <c r="H5" s="1" t="s">
        <v>11278</v>
      </c>
      <c r="I5" s="1" t="s">
        <v>11273</v>
      </c>
      <c r="J5" s="1" t="s">
        <v>11274</v>
      </c>
      <c r="K5" s="1" t="s">
        <v>11279</v>
      </c>
      <c r="L5" s="1" t="s">
        <v>11280</v>
      </c>
      <c r="M5" s="1" t="s">
        <v>11279</v>
      </c>
      <c r="N5" s="1" t="s">
        <v>11280</v>
      </c>
      <c r="O5" s="1" t="s">
        <v>11275</v>
      </c>
      <c r="P5" s="1" t="s">
        <v>11276</v>
      </c>
    </row>
    <row r="6">
      <c r="A6" s="2" t="s">
        <v>1150</v>
      </c>
      <c r="B6" s="2" t="s">
        <v>1743</v>
      </c>
      <c r="C6" s="2" t="s">
        <v>1112</v>
      </c>
      <c r="D6" s="2" t="s">
        <v>1165</v>
      </c>
      <c r="E6" s="4"/>
      <c r="F6" s="8"/>
      <c r="G6" s="4"/>
      <c r="H6" s="8"/>
      <c r="I6" s="7"/>
      <c r="J6" s="7"/>
      <c r="K6" s="4"/>
      <c r="L6" s="8"/>
      <c r="M6" s="4"/>
      <c r="N6" s="8"/>
      <c r="O6" s="7"/>
      <c r="P6" s="7"/>
    </row>
    <row r="7">
      <c r="A7" s="2" t="s">
        <v>1150</v>
      </c>
      <c r="B7" s="2" t="s">
        <v>1743</v>
      </c>
      <c r="C7" s="2" t="s">
        <v>1316</v>
      </c>
      <c r="D7" s="2" t="s">
        <v>8772</v>
      </c>
      <c r="E7" s="4" t="s">
        <v>228</v>
      </c>
      <c r="F7" s="8" t="s">
        <v>228</v>
      </c>
      <c r="G7" s="4" t="s">
        <v>228</v>
      </c>
      <c r="H7" s="8" t="s">
        <v>228</v>
      </c>
      <c r="I7" s="7" t="s">
        <v>228</v>
      </c>
      <c r="J7" s="7" t="s">
        <v>228</v>
      </c>
      <c r="K7" s="4"/>
      <c r="L7" s="8"/>
      <c r="M7" s="4"/>
      <c r="N7" s="8"/>
      <c r="O7" s="7"/>
      <c r="P7" s="7"/>
    </row>
    <row r="8">
      <c r="A8" s="2" t="s">
        <v>1150</v>
      </c>
      <c r="B8" s="2" t="s">
        <v>1743</v>
      </c>
      <c r="C8" s="2" t="s">
        <v>1316</v>
      </c>
      <c r="D8" s="2" t="s">
        <v>2876</v>
      </c>
      <c r="E8" s="4" t="s">
        <v>228</v>
      </c>
      <c r="F8" s="8" t="s">
        <v>228</v>
      </c>
      <c r="G8" s="4" t="s">
        <v>228</v>
      </c>
      <c r="H8" s="8" t="s">
        <v>228</v>
      </c>
      <c r="I8" s="7" t="s">
        <v>228</v>
      </c>
      <c r="J8" s="7" t="s">
        <v>228</v>
      </c>
      <c r="K8" s="4"/>
      <c r="L8" s="8"/>
      <c r="M8" s="4"/>
      <c r="N8" s="8"/>
      <c r="O8" s="7"/>
      <c r="P8" s="7"/>
    </row>
    <row r="9">
      <c r="A9" s="2" t="s">
        <v>1150</v>
      </c>
      <c r="B9" s="2" t="s">
        <v>731</v>
      </c>
      <c r="C9" s="2" t="s">
        <v>1112</v>
      </c>
      <c r="D9" s="2" t="s">
        <v>1151</v>
      </c>
      <c r="E9" s="4" t="s">
        <v>228</v>
      </c>
      <c r="F9" s="8" t="s">
        <v>228</v>
      </c>
      <c r="G9" s="4" t="s">
        <v>228</v>
      </c>
      <c r="H9" s="8" t="s">
        <v>228</v>
      </c>
      <c r="I9" s="7" t="s">
        <v>228</v>
      </c>
      <c r="J9" s="7" t="s">
        <v>228</v>
      </c>
      <c r="K9" s="4"/>
      <c r="L9" s="8"/>
      <c r="M9" s="4"/>
      <c r="N9" s="8"/>
      <c r="O9" s="7"/>
      <c r="P9" s="7"/>
    </row>
    <row r="10">
      <c r="A10" s="2" t="s">
        <v>1150</v>
      </c>
      <c r="B10" s="2" t="s">
        <v>731</v>
      </c>
      <c r="C10" s="2" t="s">
        <v>1112</v>
      </c>
      <c r="D10" s="2" t="s">
        <v>1165</v>
      </c>
      <c r="E10" s="4" t="s">
        <v>228</v>
      </c>
      <c r="F10" s="8" t="s">
        <v>228</v>
      </c>
      <c r="G10" s="4" t="s">
        <v>228</v>
      </c>
      <c r="H10" s="8" t="s">
        <v>228</v>
      </c>
      <c r="I10" s="7" t="s">
        <v>228</v>
      </c>
      <c r="J10" s="7" t="s">
        <v>228</v>
      </c>
      <c r="K10" s="4"/>
      <c r="L10" s="8"/>
      <c r="M10" s="4"/>
      <c r="N10" s="8"/>
      <c r="O10" s="7"/>
      <c r="P10" s="7"/>
    </row>
    <row r="11">
      <c r="A11" s="2" t="s">
        <v>1150</v>
      </c>
      <c r="B11" s="2" t="s">
        <v>731</v>
      </c>
      <c r="C11" s="2" t="s">
        <v>1112</v>
      </c>
      <c r="D11" s="2" t="s">
        <v>1113</v>
      </c>
      <c r="E11" s="4" t="s">
        <v>228</v>
      </c>
      <c r="F11" s="8" t="s">
        <v>228</v>
      </c>
      <c r="G11" s="4" t="s">
        <v>228</v>
      </c>
      <c r="H11" s="8" t="s">
        <v>228</v>
      </c>
      <c r="I11" s="7" t="s">
        <v>228</v>
      </c>
      <c r="J11" s="7" t="s">
        <v>228</v>
      </c>
      <c r="K11" s="4"/>
      <c r="L11" s="8"/>
      <c r="M11" s="4"/>
      <c r="N11" s="8"/>
      <c r="O11" s="7"/>
      <c r="P11" s="7"/>
    </row>
    <row r="12">
      <c r="A12" s="2" t="s">
        <v>1150</v>
      </c>
      <c r="B12" s="2" t="s">
        <v>731</v>
      </c>
      <c r="C12" s="2" t="s">
        <v>1316</v>
      </c>
      <c r="D12" s="2" t="s">
        <v>1317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1150</v>
      </c>
      <c r="B13" s="2" t="s">
        <v>731</v>
      </c>
      <c r="C13" s="2" t="s">
        <v>850</v>
      </c>
      <c r="D13" s="2" t="s">
        <v>1038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1150</v>
      </c>
      <c r="B14" s="2" t="s">
        <v>1667</v>
      </c>
      <c r="C14" s="2" t="s">
        <v>1112</v>
      </c>
      <c r="D14" s="2" t="s">
        <v>1113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1150</v>
      </c>
      <c r="B15" s="2" t="s">
        <v>457</v>
      </c>
      <c r="C15" s="2" t="s">
        <v>1112</v>
      </c>
      <c r="D15" s="2" t="s">
        <v>1113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1150</v>
      </c>
      <c r="B16" s="2" t="s">
        <v>457</v>
      </c>
      <c r="C16" s="2" t="s">
        <v>850</v>
      </c>
      <c r="D16" s="2" t="s">
        <v>1038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1150</v>
      </c>
      <c r="B17" s="2" t="s">
        <v>1111</v>
      </c>
      <c r="C17" s="2" t="s">
        <v>1112</v>
      </c>
      <c r="D17" s="2" t="s">
        <v>1113</v>
      </c>
      <c r="E17" s="4"/>
      <c r="F17" s="8"/>
      <c r="G17" s="4"/>
      <c r="H17" s="8"/>
      <c r="I17" s="7"/>
      <c r="J17" s="7"/>
      <c r="K17" s="4"/>
      <c r="L17" s="8"/>
      <c r="M17" s="4"/>
      <c r="N17" s="8"/>
      <c r="O17" s="7"/>
      <c r="P17" s="7"/>
    </row>
    <row r="18">
      <c r="A18" s="2" t="s">
        <v>1150</v>
      </c>
      <c r="B18" s="2" t="s">
        <v>1463</v>
      </c>
      <c r="C18" s="2" t="s">
        <v>3290</v>
      </c>
      <c r="D18" s="2" t="s">
        <v>3291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1150</v>
      </c>
      <c r="B19" s="2" t="s">
        <v>1463</v>
      </c>
      <c r="C19" s="2" t="s">
        <v>1316</v>
      </c>
      <c r="D19" s="2" t="s">
        <v>2396</v>
      </c>
      <c r="E19" s="4"/>
      <c r="F19" s="8"/>
      <c r="G19" s="4"/>
      <c r="H19" s="8"/>
      <c r="I19" s="7"/>
      <c r="J19" s="7"/>
      <c r="K19" s="4"/>
      <c r="L19" s="8"/>
      <c r="M19" s="4"/>
      <c r="N19" s="8"/>
      <c r="O19" s="7"/>
      <c r="P19" s="7"/>
    </row>
    <row r="20">
      <c r="A20" s="2" t="s">
        <v>1150</v>
      </c>
      <c r="B20" s="2" t="s">
        <v>1463</v>
      </c>
      <c r="C20" s="2" t="s">
        <v>850</v>
      </c>
      <c r="D20" s="2" t="s">
        <v>851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1150</v>
      </c>
      <c r="B21" s="2" t="s">
        <v>1861</v>
      </c>
      <c r="C21" s="2" t="s">
        <v>3290</v>
      </c>
      <c r="D21" s="2" t="s">
        <v>3291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1150</v>
      </c>
      <c r="B22" s="2" t="s">
        <v>1861</v>
      </c>
      <c r="C22" s="2" t="s">
        <v>1112</v>
      </c>
      <c r="D22" s="2" t="s">
        <v>1165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1150</v>
      </c>
      <c r="B23" s="2" t="s">
        <v>1861</v>
      </c>
      <c r="C23" s="2" t="s">
        <v>1316</v>
      </c>
      <c r="D23" s="2" t="s">
        <v>2396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1150</v>
      </c>
      <c r="B24" s="2" t="s">
        <v>1861</v>
      </c>
      <c r="C24" s="2" t="s">
        <v>1862</v>
      </c>
      <c r="D24" s="2" t="s">
        <v>1863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1150</v>
      </c>
      <c r="B25" s="2" t="s">
        <v>2217</v>
      </c>
      <c r="C25" s="2" t="s">
        <v>3290</v>
      </c>
      <c r="D25" s="2" t="s">
        <v>3291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1150</v>
      </c>
      <c r="B26" s="2" t="s">
        <v>2217</v>
      </c>
      <c r="C26" s="2" t="s">
        <v>850</v>
      </c>
      <c r="D26" s="2" t="s">
        <v>851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1150</v>
      </c>
      <c r="B27" s="2" t="s">
        <v>2217</v>
      </c>
      <c r="C27" s="2" t="s">
        <v>1862</v>
      </c>
      <c r="D27" s="2" t="s">
        <v>1863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1150</v>
      </c>
      <c r="B28" s="2" t="s">
        <v>1142</v>
      </c>
      <c r="C28" s="2" t="s">
        <v>971</v>
      </c>
      <c r="D28" s="2" t="s">
        <v>972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1150</v>
      </c>
      <c r="B29" s="2" t="s">
        <v>2819</v>
      </c>
      <c r="C29" s="2" t="s">
        <v>1112</v>
      </c>
      <c r="D29" s="2" t="s">
        <v>1165</v>
      </c>
      <c r="E29" s="4"/>
      <c r="F29" s="8"/>
      <c r="G29" s="4"/>
      <c r="H29" s="8"/>
      <c r="I29" s="7"/>
      <c r="J29" s="7"/>
      <c r="K29" s="4"/>
      <c r="L29" s="8"/>
      <c r="M29" s="4"/>
      <c r="N29" s="8"/>
      <c r="O29" s="7"/>
      <c r="P29" s="7"/>
    </row>
    <row r="30">
      <c r="A30" s="2" t="s">
        <v>1150</v>
      </c>
      <c r="B30" s="2" t="s">
        <v>2819</v>
      </c>
      <c r="C30" s="2" t="s">
        <v>850</v>
      </c>
      <c r="D30" s="2" t="s">
        <v>851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1150</v>
      </c>
      <c r="B31" s="2" t="s">
        <v>9274</v>
      </c>
      <c r="C31" s="2" t="s">
        <v>1112</v>
      </c>
      <c r="D31" s="2" t="s">
        <v>1165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1150</v>
      </c>
      <c r="B32" s="2" t="s">
        <v>835</v>
      </c>
      <c r="C32" s="2" t="s">
        <v>3290</v>
      </c>
      <c r="D32" s="2" t="s">
        <v>6677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1150</v>
      </c>
      <c r="B33" s="2" t="s">
        <v>835</v>
      </c>
      <c r="C33" s="2" t="s">
        <v>1112</v>
      </c>
      <c r="D33" s="2" t="s">
        <v>1165</v>
      </c>
      <c r="E33" s="4" t="s">
        <v>228</v>
      </c>
      <c r="F33" s="8" t="s">
        <v>228</v>
      </c>
      <c r="G33" s="4" t="s">
        <v>228</v>
      </c>
      <c r="H33" s="8" t="s">
        <v>228</v>
      </c>
      <c r="I33" s="7" t="s">
        <v>228</v>
      </c>
      <c r="J33" s="7" t="s">
        <v>228</v>
      </c>
      <c r="K33" s="4"/>
      <c r="L33" s="8"/>
      <c r="M33" s="4"/>
      <c r="N33" s="8"/>
      <c r="O33" s="7"/>
      <c r="P33" s="7"/>
    </row>
    <row r="34">
      <c r="A34" s="2" t="s">
        <v>1150</v>
      </c>
      <c r="B34" s="2" t="s">
        <v>835</v>
      </c>
      <c r="C34" s="2" t="s">
        <v>1112</v>
      </c>
      <c r="D34" s="2" t="s">
        <v>1113</v>
      </c>
      <c r="E34" s="4" t="s">
        <v>228</v>
      </c>
      <c r="F34" s="8" t="s">
        <v>228</v>
      </c>
      <c r="G34" s="4" t="s">
        <v>228</v>
      </c>
      <c r="H34" s="8" t="s">
        <v>228</v>
      </c>
      <c r="I34" s="7" t="s">
        <v>228</v>
      </c>
      <c r="J34" s="7" t="s">
        <v>228</v>
      </c>
      <c r="K34" s="4"/>
      <c r="L34" s="8"/>
      <c r="M34" s="4"/>
      <c r="N34" s="8"/>
      <c r="O34" s="7"/>
      <c r="P34" s="7"/>
    </row>
    <row r="35">
      <c r="A35" s="2" t="s">
        <v>1150</v>
      </c>
      <c r="B35" s="2" t="s">
        <v>835</v>
      </c>
      <c r="C35" s="2" t="s">
        <v>1316</v>
      </c>
      <c r="D35" s="2" t="s">
        <v>2396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1150</v>
      </c>
      <c r="B36" s="2" t="s">
        <v>835</v>
      </c>
      <c r="C36" s="2" t="s">
        <v>850</v>
      </c>
      <c r="D36" s="2" t="s">
        <v>1038</v>
      </c>
      <c r="E36" s="4" t="s">
        <v>228</v>
      </c>
      <c r="F36" s="8" t="s">
        <v>228</v>
      </c>
      <c r="G36" s="4" t="s">
        <v>228</v>
      </c>
      <c r="H36" s="8" t="s">
        <v>228</v>
      </c>
      <c r="I36" s="7" t="s">
        <v>228</v>
      </c>
      <c r="J36" s="7" t="s">
        <v>228</v>
      </c>
      <c r="K36" s="4"/>
      <c r="L36" s="8"/>
      <c r="M36" s="4"/>
      <c r="N36" s="8"/>
      <c r="O36" s="7"/>
      <c r="P36" s="7"/>
    </row>
    <row r="37">
      <c r="A37" s="2" t="s">
        <v>1150</v>
      </c>
      <c r="B37" s="2" t="s">
        <v>835</v>
      </c>
      <c r="C37" s="2" t="s">
        <v>850</v>
      </c>
      <c r="D37" s="2" t="s">
        <v>851</v>
      </c>
      <c r="E37" s="4" t="s">
        <v>228</v>
      </c>
      <c r="F37" s="8" t="s">
        <v>228</v>
      </c>
      <c r="G37" s="4" t="s">
        <v>228</v>
      </c>
      <c r="H37" s="8" t="s">
        <v>228</v>
      </c>
      <c r="I37" s="7" t="s">
        <v>228</v>
      </c>
      <c r="J37" s="7" t="s">
        <v>228</v>
      </c>
      <c r="K37" s="4"/>
      <c r="L37" s="8"/>
      <c r="M37" s="4"/>
      <c r="N37" s="8"/>
      <c r="O37" s="7"/>
      <c r="P37" s="7"/>
    </row>
    <row r="38">
      <c r="A38" s="2" t="s">
        <v>1150</v>
      </c>
      <c r="B38" s="2" t="s">
        <v>835</v>
      </c>
      <c r="C38" s="2" t="s">
        <v>1862</v>
      </c>
      <c r="D38" s="2" t="s">
        <v>2767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1150</v>
      </c>
      <c r="B39" s="2" t="s">
        <v>300</v>
      </c>
      <c r="C39" s="2" t="s">
        <v>1112</v>
      </c>
      <c r="D39" s="2" t="s">
        <v>1151</v>
      </c>
      <c r="E39" s="4" t="s">
        <v>228</v>
      </c>
      <c r="F39" s="8" t="s">
        <v>228</v>
      </c>
      <c r="G39" s="4" t="s">
        <v>228</v>
      </c>
      <c r="H39" s="8" t="s">
        <v>228</v>
      </c>
      <c r="I39" s="7" t="s">
        <v>228</v>
      </c>
      <c r="J39" s="7" t="s">
        <v>228</v>
      </c>
      <c r="K39" s="4"/>
      <c r="L39" s="8"/>
      <c r="M39" s="4"/>
      <c r="N39" s="8"/>
      <c r="O39" s="7"/>
      <c r="P39" s="7"/>
    </row>
    <row r="40">
      <c r="A40" s="2" t="s">
        <v>1150</v>
      </c>
      <c r="B40" s="2" t="s">
        <v>300</v>
      </c>
      <c r="C40" s="2" t="s">
        <v>1112</v>
      </c>
      <c r="D40" s="2" t="s">
        <v>1165</v>
      </c>
      <c r="E40" s="4" t="s">
        <v>228</v>
      </c>
      <c r="F40" s="8" t="s">
        <v>228</v>
      </c>
      <c r="G40" s="4" t="s">
        <v>228</v>
      </c>
      <c r="H40" s="8" t="s">
        <v>228</v>
      </c>
      <c r="I40" s="7" t="s">
        <v>228</v>
      </c>
      <c r="J40" s="7" t="s">
        <v>228</v>
      </c>
      <c r="K40" s="4"/>
      <c r="L40" s="8"/>
      <c r="M40" s="4"/>
      <c r="N40" s="8"/>
      <c r="O40" s="7"/>
      <c r="P40" s="7"/>
    </row>
    <row r="41">
      <c r="A41" s="2" t="s">
        <v>1150</v>
      </c>
      <c r="B41" s="2" t="s">
        <v>300</v>
      </c>
      <c r="C41" s="2" t="s">
        <v>1112</v>
      </c>
      <c r="D41" s="2" t="s">
        <v>1113</v>
      </c>
      <c r="E41" s="4" t="s">
        <v>228</v>
      </c>
      <c r="F41" s="8" t="s">
        <v>228</v>
      </c>
      <c r="G41" s="4" t="s">
        <v>228</v>
      </c>
      <c r="H41" s="8" t="s">
        <v>228</v>
      </c>
      <c r="I41" s="7" t="s">
        <v>228</v>
      </c>
      <c r="J41" s="7" t="s">
        <v>228</v>
      </c>
      <c r="K41" s="4"/>
      <c r="L41" s="8"/>
      <c r="M41" s="4"/>
      <c r="N41" s="8"/>
      <c r="O41" s="7"/>
      <c r="P41" s="7"/>
    </row>
    <row r="42">
      <c r="A42" s="2" t="s">
        <v>1150</v>
      </c>
      <c r="B42" s="2" t="s">
        <v>300</v>
      </c>
      <c r="C42" s="2" t="s">
        <v>1316</v>
      </c>
      <c r="D42" s="2" t="s">
        <v>8772</v>
      </c>
      <c r="E42" s="4" t="s">
        <v>228</v>
      </c>
      <c r="F42" s="8" t="s">
        <v>228</v>
      </c>
      <c r="G42" s="4" t="s">
        <v>228</v>
      </c>
      <c r="H42" s="8" t="s">
        <v>228</v>
      </c>
      <c r="I42" s="7" t="s">
        <v>228</v>
      </c>
      <c r="J42" s="7" t="s">
        <v>228</v>
      </c>
      <c r="K42" s="4"/>
      <c r="L42" s="8"/>
      <c r="M42" s="4"/>
      <c r="N42" s="8"/>
      <c r="O42" s="7"/>
      <c r="P42" s="7"/>
    </row>
    <row r="43">
      <c r="A43" s="2" t="s">
        <v>1150</v>
      </c>
      <c r="B43" s="2" t="s">
        <v>300</v>
      </c>
      <c r="C43" s="2" t="s">
        <v>1316</v>
      </c>
      <c r="D43" s="2" t="s">
        <v>2876</v>
      </c>
      <c r="E43" s="4" t="s">
        <v>228</v>
      </c>
      <c r="F43" s="8" t="s">
        <v>228</v>
      </c>
      <c r="G43" s="4" t="s">
        <v>228</v>
      </c>
      <c r="H43" s="8" t="s">
        <v>228</v>
      </c>
      <c r="I43" s="7" t="s">
        <v>228</v>
      </c>
      <c r="J43" s="7" t="s">
        <v>228</v>
      </c>
      <c r="K43" s="4"/>
      <c r="L43" s="8"/>
      <c r="M43" s="4"/>
      <c r="N43" s="8"/>
      <c r="O43" s="7"/>
      <c r="P43" s="7"/>
    </row>
    <row r="44">
      <c r="A44" s="2" t="s">
        <v>1150</v>
      </c>
      <c r="B44" s="2" t="s">
        <v>300</v>
      </c>
      <c r="C44" s="2" t="s">
        <v>1316</v>
      </c>
      <c r="D44" s="2" t="s">
        <v>2396</v>
      </c>
      <c r="E44" s="4" t="s">
        <v>228</v>
      </c>
      <c r="F44" s="8" t="s">
        <v>228</v>
      </c>
      <c r="G44" s="4" t="s">
        <v>228</v>
      </c>
      <c r="H44" s="8" t="s">
        <v>228</v>
      </c>
      <c r="I44" s="7" t="s">
        <v>228</v>
      </c>
      <c r="J44" s="7" t="s">
        <v>228</v>
      </c>
      <c r="K44" s="4"/>
      <c r="L44" s="8"/>
      <c r="M44" s="4"/>
      <c r="N44" s="8"/>
      <c r="O44" s="7"/>
      <c r="P44" s="7"/>
    </row>
    <row r="45">
      <c r="A45" s="2" t="s">
        <v>1150</v>
      </c>
      <c r="B45" s="2" t="s">
        <v>300</v>
      </c>
      <c r="C45" s="2" t="s">
        <v>1316</v>
      </c>
      <c r="D45" s="2" t="s">
        <v>1317</v>
      </c>
      <c r="E45" s="4" t="s">
        <v>228</v>
      </c>
      <c r="F45" s="8" t="s">
        <v>228</v>
      </c>
      <c r="G45" s="4" t="s">
        <v>228</v>
      </c>
      <c r="H45" s="8" t="s">
        <v>228</v>
      </c>
      <c r="I45" s="7" t="s">
        <v>228</v>
      </c>
      <c r="J45" s="7" t="s">
        <v>228</v>
      </c>
      <c r="K45" s="4"/>
      <c r="L45" s="8"/>
      <c r="M45" s="4"/>
      <c r="N45" s="8"/>
      <c r="O45" s="7"/>
      <c r="P45" s="7"/>
    </row>
    <row r="46">
      <c r="A46" s="2" t="s">
        <v>1150</v>
      </c>
      <c r="B46" s="2" t="s">
        <v>300</v>
      </c>
      <c r="C46" s="2" t="s">
        <v>1316</v>
      </c>
      <c r="D46" s="2" t="s">
        <v>9660</v>
      </c>
      <c r="E46" s="4" t="s">
        <v>228</v>
      </c>
      <c r="F46" s="8" t="s">
        <v>228</v>
      </c>
      <c r="G46" s="4" t="s">
        <v>228</v>
      </c>
      <c r="H46" s="8" t="s">
        <v>228</v>
      </c>
      <c r="I46" s="7" t="s">
        <v>228</v>
      </c>
      <c r="J46" s="7" t="s">
        <v>228</v>
      </c>
      <c r="K46" s="4"/>
      <c r="L46" s="8"/>
      <c r="M46" s="4"/>
      <c r="N46" s="8"/>
      <c r="O46" s="7"/>
      <c r="P46" s="7"/>
    </row>
    <row r="47">
      <c r="A47" s="2" t="s">
        <v>1150</v>
      </c>
      <c r="B47" s="2" t="s">
        <v>300</v>
      </c>
      <c r="C47" s="2" t="s">
        <v>850</v>
      </c>
      <c r="D47" s="2" t="s">
        <v>1038</v>
      </c>
      <c r="E47" s="4" t="s">
        <v>228</v>
      </c>
      <c r="F47" s="8" t="s">
        <v>228</v>
      </c>
      <c r="G47" s="4" t="s">
        <v>228</v>
      </c>
      <c r="H47" s="8" t="s">
        <v>228</v>
      </c>
      <c r="I47" s="7" t="s">
        <v>228</v>
      </c>
      <c r="J47" s="7" t="s">
        <v>228</v>
      </c>
      <c r="K47" s="4"/>
      <c r="L47" s="8"/>
      <c r="M47" s="4"/>
      <c r="N47" s="8"/>
      <c r="O47" s="7"/>
      <c r="P47" s="7"/>
    </row>
    <row r="48">
      <c r="A48" s="2" t="s">
        <v>1150</v>
      </c>
      <c r="B48" s="2" t="s">
        <v>300</v>
      </c>
      <c r="C48" s="2" t="s">
        <v>850</v>
      </c>
      <c r="D48" s="2" t="s">
        <v>851</v>
      </c>
      <c r="E48" s="4" t="s">
        <v>228</v>
      </c>
      <c r="F48" s="8" t="s">
        <v>228</v>
      </c>
      <c r="G48" s="4" t="s">
        <v>228</v>
      </c>
      <c r="H48" s="8" t="s">
        <v>228</v>
      </c>
      <c r="I48" s="7" t="s">
        <v>228</v>
      </c>
      <c r="J48" s="7" t="s">
        <v>228</v>
      </c>
      <c r="K48" s="4"/>
      <c r="L48" s="8"/>
      <c r="M48" s="4"/>
      <c r="N48" s="8"/>
      <c r="O48" s="7"/>
      <c r="P48" s="7"/>
    </row>
    <row r="49">
      <c r="A49" s="2" t="s">
        <v>1150</v>
      </c>
      <c r="B49" s="2" t="s">
        <v>300</v>
      </c>
      <c r="C49" s="2" t="s">
        <v>1601</v>
      </c>
      <c r="D49" s="2" t="s">
        <v>1602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1150</v>
      </c>
      <c r="B50" s="2" t="s">
        <v>345</v>
      </c>
      <c r="C50" s="2" t="s">
        <v>1112</v>
      </c>
      <c r="D50" s="2" t="s">
        <v>1151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1150</v>
      </c>
      <c r="B51" s="2" t="s">
        <v>773</v>
      </c>
      <c r="C51" s="2" t="s">
        <v>1112</v>
      </c>
      <c r="D51" s="2" t="s">
        <v>1165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1150</v>
      </c>
      <c r="B52" s="2" t="s">
        <v>3315</v>
      </c>
      <c r="C52" s="2" t="s">
        <v>3290</v>
      </c>
      <c r="D52" s="2" t="s">
        <v>3291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1150</v>
      </c>
      <c r="B53" s="2" t="s">
        <v>3315</v>
      </c>
      <c r="C53" s="2" t="s">
        <v>1112</v>
      </c>
      <c r="D53" s="2" t="s">
        <v>1113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1150</v>
      </c>
      <c r="B54" s="2" t="s">
        <v>3315</v>
      </c>
      <c r="C54" s="2" t="s">
        <v>850</v>
      </c>
      <c r="D54" s="2" t="s">
        <v>1038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1150</v>
      </c>
      <c r="B55" s="2" t="s">
        <v>3315</v>
      </c>
      <c r="C55" s="2" t="s">
        <v>1862</v>
      </c>
      <c r="D55" s="2" t="s">
        <v>1863</v>
      </c>
      <c r="E55" s="4" t="s">
        <v>228</v>
      </c>
      <c r="F55" s="8" t="s">
        <v>228</v>
      </c>
      <c r="G55" s="4" t="s">
        <v>228</v>
      </c>
      <c r="H55" s="8" t="s">
        <v>228</v>
      </c>
      <c r="I55" s="7" t="s">
        <v>228</v>
      </c>
      <c r="J55" s="7" t="s">
        <v>228</v>
      </c>
      <c r="K55" s="4"/>
      <c r="L55" s="8"/>
      <c r="M55" s="4"/>
      <c r="N55" s="8"/>
      <c r="O55" s="7"/>
      <c r="P55" s="7"/>
    </row>
    <row r="56">
      <c r="A56" s="2" t="s">
        <v>1150</v>
      </c>
      <c r="B56" s="2" t="s">
        <v>3315</v>
      </c>
      <c r="C56" s="2" t="s">
        <v>1862</v>
      </c>
      <c r="D56" s="2" t="s">
        <v>2767</v>
      </c>
      <c r="E56" s="4" t="s">
        <v>228</v>
      </c>
      <c r="F56" s="8" t="s">
        <v>228</v>
      </c>
      <c r="G56" s="4" t="s">
        <v>228</v>
      </c>
      <c r="H56" s="8" t="s">
        <v>228</v>
      </c>
      <c r="I56" s="7" t="s">
        <v>228</v>
      </c>
      <c r="J56" s="7" t="s">
        <v>228</v>
      </c>
      <c r="K56" s="4"/>
      <c r="L56" s="8"/>
      <c r="M56" s="4"/>
      <c r="N56" s="8"/>
      <c r="O56" s="7"/>
      <c r="P56" s="7"/>
    </row>
    <row r="57">
      <c r="A57" s="2" t="s">
        <v>1150</v>
      </c>
      <c r="B57" s="2" t="s">
        <v>1261</v>
      </c>
      <c r="C57" s="2" t="s">
        <v>1112</v>
      </c>
      <c r="D57" s="2" t="s">
        <v>1113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1150</v>
      </c>
      <c r="B58" s="2" t="s">
        <v>1261</v>
      </c>
      <c r="C58" s="2" t="s">
        <v>1316</v>
      </c>
      <c r="D58" s="2" t="s">
        <v>2830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2532</v>
      </c>
      <c r="B59" s="2" t="s">
        <v>731</v>
      </c>
      <c r="C59" s="2" t="s">
        <v>2533</v>
      </c>
      <c r="D59" s="2" t="s">
        <v>2534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2532</v>
      </c>
      <c r="B60" s="2" t="s">
        <v>835</v>
      </c>
      <c r="C60" s="2" t="s">
        <v>2533</v>
      </c>
      <c r="D60" s="2" t="s">
        <v>2534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2532</v>
      </c>
      <c r="B61" s="2" t="s">
        <v>300</v>
      </c>
      <c r="C61" s="2" t="s">
        <v>2533</v>
      </c>
      <c r="D61" s="2" t="s">
        <v>2534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866</v>
      </c>
      <c r="B62" s="2" t="s">
        <v>835</v>
      </c>
      <c r="C62" s="2" t="s">
        <v>1880</v>
      </c>
      <c r="D62" s="2" t="s">
        <v>868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866</v>
      </c>
      <c r="B63" s="2" t="s">
        <v>835</v>
      </c>
      <c r="C63" s="2" t="s">
        <v>899</v>
      </c>
      <c r="D63" s="2" t="s">
        <v>1891</v>
      </c>
      <c r="E63" s="4" t="s">
        <v>228</v>
      </c>
      <c r="F63" s="8" t="s">
        <v>228</v>
      </c>
      <c r="G63" s="4" t="s">
        <v>228</v>
      </c>
      <c r="H63" s="8" t="s">
        <v>228</v>
      </c>
      <c r="I63" s="7" t="s">
        <v>228</v>
      </c>
      <c r="J63" s="7" t="s">
        <v>228</v>
      </c>
      <c r="K63" s="4"/>
      <c r="L63" s="8"/>
      <c r="M63" s="4"/>
      <c r="N63" s="8"/>
      <c r="O63" s="7"/>
      <c r="P63" s="7"/>
    </row>
    <row r="64">
      <c r="A64" s="2" t="s">
        <v>866</v>
      </c>
      <c r="B64" s="2" t="s">
        <v>835</v>
      </c>
      <c r="C64" s="2" t="s">
        <v>899</v>
      </c>
      <c r="D64" s="2" t="s">
        <v>877</v>
      </c>
      <c r="E64" s="4" t="s">
        <v>228</v>
      </c>
      <c r="F64" s="8" t="s">
        <v>228</v>
      </c>
      <c r="G64" s="4" t="s">
        <v>228</v>
      </c>
      <c r="H64" s="8" t="s">
        <v>228</v>
      </c>
      <c r="I64" s="7" t="s">
        <v>228</v>
      </c>
      <c r="J64" s="7" t="s">
        <v>228</v>
      </c>
      <c r="K64" s="4"/>
      <c r="L64" s="8"/>
      <c r="M64" s="4"/>
      <c r="N64" s="8"/>
      <c r="O64" s="7"/>
      <c r="P64" s="7"/>
    </row>
    <row r="65">
      <c r="A65" s="2" t="s">
        <v>866</v>
      </c>
      <c r="B65" s="2" t="s">
        <v>835</v>
      </c>
      <c r="C65" s="2" t="s">
        <v>907</v>
      </c>
      <c r="D65" s="2" t="s">
        <v>908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866</v>
      </c>
      <c r="B66" s="2" t="s">
        <v>835</v>
      </c>
      <c r="C66" s="2" t="s">
        <v>867</v>
      </c>
      <c r="D66" s="2" t="s">
        <v>877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866</v>
      </c>
      <c r="B67" s="2" t="s">
        <v>849</v>
      </c>
      <c r="C67" s="2" t="s">
        <v>1880</v>
      </c>
      <c r="D67" s="2" t="s">
        <v>7265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866</v>
      </c>
      <c r="B68" s="2" t="s">
        <v>300</v>
      </c>
      <c r="C68" s="2" t="s">
        <v>1880</v>
      </c>
      <c r="D68" s="2" t="s">
        <v>7265</v>
      </c>
      <c r="E68" s="4" t="s">
        <v>228</v>
      </c>
      <c r="F68" s="8" t="s">
        <v>228</v>
      </c>
      <c r="G68" s="4" t="s">
        <v>228</v>
      </c>
      <c r="H68" s="8" t="s">
        <v>228</v>
      </c>
      <c r="I68" s="7" t="s">
        <v>228</v>
      </c>
      <c r="J68" s="7" t="s">
        <v>228</v>
      </c>
      <c r="K68" s="4"/>
      <c r="L68" s="8"/>
      <c r="M68" s="4"/>
      <c r="N68" s="8"/>
      <c r="O68" s="7"/>
      <c r="P68" s="7"/>
    </row>
    <row r="69">
      <c r="A69" s="2" t="s">
        <v>866</v>
      </c>
      <c r="B69" s="2" t="s">
        <v>300</v>
      </c>
      <c r="C69" s="2" t="s">
        <v>1880</v>
      </c>
      <c r="D69" s="2" t="s">
        <v>877</v>
      </c>
      <c r="E69" s="4" t="s">
        <v>228</v>
      </c>
      <c r="F69" s="8" t="s">
        <v>228</v>
      </c>
      <c r="G69" s="4" t="s">
        <v>228</v>
      </c>
      <c r="H69" s="8" t="s">
        <v>228</v>
      </c>
      <c r="I69" s="7" t="s">
        <v>228</v>
      </c>
      <c r="J69" s="7" t="s">
        <v>228</v>
      </c>
      <c r="K69" s="4"/>
      <c r="L69" s="8"/>
      <c r="M69" s="4"/>
      <c r="N69" s="8"/>
      <c r="O69" s="7"/>
      <c r="P69" s="7"/>
    </row>
    <row r="70">
      <c r="A70" s="2" t="s">
        <v>866</v>
      </c>
      <c r="B70" s="2" t="s">
        <v>300</v>
      </c>
      <c r="C70" s="2" t="s">
        <v>1880</v>
      </c>
      <c r="D70" s="2" t="s">
        <v>868</v>
      </c>
      <c r="E70" s="4" t="s">
        <v>228</v>
      </c>
      <c r="F70" s="8" t="s">
        <v>228</v>
      </c>
      <c r="G70" s="4" t="s">
        <v>228</v>
      </c>
      <c r="H70" s="8" t="s">
        <v>228</v>
      </c>
      <c r="I70" s="7" t="s">
        <v>228</v>
      </c>
      <c r="J70" s="7" t="s">
        <v>228</v>
      </c>
      <c r="K70" s="4"/>
      <c r="L70" s="8"/>
      <c r="M70" s="4"/>
      <c r="N70" s="8"/>
      <c r="O70" s="7"/>
      <c r="P70" s="7"/>
    </row>
    <row r="71">
      <c r="A71" s="2" t="s">
        <v>866</v>
      </c>
      <c r="B71" s="2" t="s">
        <v>300</v>
      </c>
      <c r="C71" s="2" t="s">
        <v>899</v>
      </c>
      <c r="D71" s="2" t="s">
        <v>1891</v>
      </c>
      <c r="E71" s="4" t="s">
        <v>228</v>
      </c>
      <c r="F71" s="8" t="s">
        <v>228</v>
      </c>
      <c r="G71" s="4" t="s">
        <v>228</v>
      </c>
      <c r="H71" s="8" t="s">
        <v>228</v>
      </c>
      <c r="I71" s="7" t="s">
        <v>228</v>
      </c>
      <c r="J71" s="7" t="s">
        <v>228</v>
      </c>
      <c r="K71" s="4"/>
      <c r="L71" s="8"/>
      <c r="M71" s="4"/>
      <c r="N71" s="8"/>
      <c r="O71" s="7"/>
      <c r="P71" s="7"/>
    </row>
    <row r="72">
      <c r="A72" s="2" t="s">
        <v>866</v>
      </c>
      <c r="B72" s="2" t="s">
        <v>300</v>
      </c>
      <c r="C72" s="2" t="s">
        <v>899</v>
      </c>
      <c r="D72" s="2" t="s">
        <v>877</v>
      </c>
      <c r="E72" s="4" t="s">
        <v>228</v>
      </c>
      <c r="F72" s="8" t="s">
        <v>228</v>
      </c>
      <c r="G72" s="4" t="s">
        <v>228</v>
      </c>
      <c r="H72" s="8" t="s">
        <v>228</v>
      </c>
      <c r="I72" s="7" t="s">
        <v>228</v>
      </c>
      <c r="J72" s="7" t="s">
        <v>228</v>
      </c>
      <c r="K72" s="4"/>
      <c r="L72" s="8"/>
      <c r="M72" s="4"/>
      <c r="N72" s="8"/>
      <c r="O72" s="7"/>
      <c r="P72" s="7"/>
    </row>
    <row r="73">
      <c r="A73" s="2" t="s">
        <v>866</v>
      </c>
      <c r="B73" s="2" t="s">
        <v>300</v>
      </c>
      <c r="C73" s="2" t="s">
        <v>7781</v>
      </c>
      <c r="D73" s="2" t="s">
        <v>7782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866</v>
      </c>
      <c r="B74" s="2" t="s">
        <v>300</v>
      </c>
      <c r="C74" s="2" t="s">
        <v>907</v>
      </c>
      <c r="D74" s="2" t="s">
        <v>908</v>
      </c>
      <c r="E74" s="4" t="s">
        <v>228</v>
      </c>
      <c r="F74" s="8" t="s">
        <v>228</v>
      </c>
      <c r="G74" s="4" t="s">
        <v>228</v>
      </c>
      <c r="H74" s="8" t="s">
        <v>228</v>
      </c>
      <c r="I74" s="7" t="s">
        <v>228</v>
      </c>
      <c r="J74" s="7" t="s">
        <v>228</v>
      </c>
      <c r="K74" s="4"/>
      <c r="L74" s="8"/>
      <c r="M74" s="4"/>
      <c r="N74" s="8"/>
      <c r="O74" s="7"/>
      <c r="P74" s="7"/>
    </row>
    <row r="75">
      <c r="A75" s="2" t="s">
        <v>866</v>
      </c>
      <c r="B75" s="2" t="s">
        <v>300</v>
      </c>
      <c r="C75" s="2" t="s">
        <v>907</v>
      </c>
      <c r="D75" s="2" t="s">
        <v>4844</v>
      </c>
      <c r="E75" s="4" t="s">
        <v>228</v>
      </c>
      <c r="F75" s="8" t="s">
        <v>228</v>
      </c>
      <c r="G75" s="4" t="s">
        <v>228</v>
      </c>
      <c r="H75" s="8" t="s">
        <v>228</v>
      </c>
      <c r="I75" s="7" t="s">
        <v>228</v>
      </c>
      <c r="J75" s="7" t="s">
        <v>228</v>
      </c>
      <c r="K75" s="4"/>
      <c r="L75" s="8"/>
      <c r="M75" s="4"/>
      <c r="N75" s="8"/>
      <c r="O75" s="7"/>
      <c r="P75" s="7"/>
    </row>
    <row r="76">
      <c r="A76" s="2" t="s">
        <v>866</v>
      </c>
      <c r="B76" s="2" t="s">
        <v>300</v>
      </c>
      <c r="C76" s="2" t="s">
        <v>867</v>
      </c>
      <c r="D76" s="2" t="s">
        <v>877</v>
      </c>
      <c r="E76" s="4" t="s">
        <v>228</v>
      </c>
      <c r="F76" s="8" t="s">
        <v>228</v>
      </c>
      <c r="G76" s="4" t="s">
        <v>228</v>
      </c>
      <c r="H76" s="8" t="s">
        <v>228</v>
      </c>
      <c r="I76" s="7" t="s">
        <v>228</v>
      </c>
      <c r="J76" s="7" t="s">
        <v>228</v>
      </c>
      <c r="K76" s="4"/>
      <c r="L76" s="8"/>
      <c r="M76" s="4"/>
      <c r="N76" s="8"/>
      <c r="O76" s="7"/>
      <c r="P76" s="7"/>
    </row>
    <row r="77">
      <c r="A77" s="2" t="s">
        <v>866</v>
      </c>
      <c r="B77" s="2" t="s">
        <v>300</v>
      </c>
      <c r="C77" s="2" t="s">
        <v>867</v>
      </c>
      <c r="D77" s="2" t="s">
        <v>868</v>
      </c>
      <c r="E77" s="4" t="s">
        <v>228</v>
      </c>
      <c r="F77" s="8" t="s">
        <v>228</v>
      </c>
      <c r="G77" s="4" t="s">
        <v>228</v>
      </c>
      <c r="H77" s="8" t="s">
        <v>228</v>
      </c>
      <c r="I77" s="7" t="s">
        <v>228</v>
      </c>
      <c r="J77" s="7" t="s">
        <v>228</v>
      </c>
      <c r="K77" s="4"/>
      <c r="L77" s="8"/>
      <c r="M77" s="4"/>
      <c r="N77" s="8"/>
      <c r="O77" s="7"/>
      <c r="P77" s="7"/>
    </row>
    <row r="78">
      <c r="A78" s="2" t="s">
        <v>866</v>
      </c>
      <c r="B78" s="2" t="s">
        <v>773</v>
      </c>
      <c r="C78" s="2" t="s">
        <v>1880</v>
      </c>
      <c r="D78" s="2" t="s">
        <v>10514</v>
      </c>
      <c r="E78" s="4" t="s">
        <v>228</v>
      </c>
      <c r="F78" s="8" t="s">
        <v>228</v>
      </c>
      <c r="G78" s="4" t="s">
        <v>228</v>
      </c>
      <c r="H78" s="8" t="s">
        <v>228</v>
      </c>
      <c r="I78" s="7" t="s">
        <v>228</v>
      </c>
      <c r="J78" s="7" t="s">
        <v>228</v>
      </c>
      <c r="K78" s="4"/>
      <c r="L78" s="8"/>
      <c r="M78" s="4"/>
      <c r="N78" s="8"/>
      <c r="O78" s="7"/>
      <c r="P78" s="7"/>
    </row>
    <row r="79">
      <c r="A79" s="2" t="s">
        <v>866</v>
      </c>
      <c r="B79" s="2" t="s">
        <v>773</v>
      </c>
      <c r="C79" s="2" t="s">
        <v>1880</v>
      </c>
      <c r="D79" s="2" t="s">
        <v>7265</v>
      </c>
      <c r="E79" s="4" t="s">
        <v>228</v>
      </c>
      <c r="F79" s="8" t="s">
        <v>228</v>
      </c>
      <c r="G79" s="4" t="s">
        <v>228</v>
      </c>
      <c r="H79" s="8" t="s">
        <v>228</v>
      </c>
      <c r="I79" s="7" t="s">
        <v>228</v>
      </c>
      <c r="J79" s="7" t="s">
        <v>228</v>
      </c>
      <c r="K79" s="4"/>
      <c r="L79" s="8"/>
      <c r="M79" s="4"/>
      <c r="N79" s="8"/>
      <c r="O79" s="7"/>
      <c r="P79" s="7"/>
    </row>
    <row r="80">
      <c r="A80" s="2" t="s">
        <v>866</v>
      </c>
      <c r="B80" s="2" t="s">
        <v>773</v>
      </c>
      <c r="C80" s="2" t="s">
        <v>907</v>
      </c>
      <c r="D80" s="2" t="s">
        <v>908</v>
      </c>
      <c r="E80" s="4" t="s">
        <v>228</v>
      </c>
      <c r="F80" s="8" t="s">
        <v>228</v>
      </c>
      <c r="G80" s="4" t="s">
        <v>228</v>
      </c>
      <c r="H80" s="8" t="s">
        <v>228</v>
      </c>
      <c r="I80" s="7" t="s">
        <v>228</v>
      </c>
      <c r="J80" s="7" t="s">
        <v>228</v>
      </c>
      <c r="K80" s="4"/>
      <c r="L80" s="8"/>
      <c r="M80" s="4"/>
      <c r="N80" s="8"/>
      <c r="O80" s="7"/>
      <c r="P80" s="7"/>
    </row>
    <row r="81">
      <c r="A81" s="2" t="s">
        <v>866</v>
      </c>
      <c r="B81" s="2" t="s">
        <v>773</v>
      </c>
      <c r="C81" s="2" t="s">
        <v>907</v>
      </c>
      <c r="D81" s="2" t="s">
        <v>4844</v>
      </c>
      <c r="E81" s="4" t="s">
        <v>228</v>
      </c>
      <c r="F81" s="8" t="s">
        <v>228</v>
      </c>
      <c r="G81" s="4" t="s">
        <v>228</v>
      </c>
      <c r="H81" s="8" t="s">
        <v>228</v>
      </c>
      <c r="I81" s="7" t="s">
        <v>228</v>
      </c>
      <c r="J81" s="7" t="s">
        <v>228</v>
      </c>
      <c r="K81" s="4"/>
      <c r="L81" s="8"/>
      <c r="M81" s="4"/>
      <c r="N81" s="8"/>
      <c r="O81" s="7"/>
      <c r="P81" s="7"/>
    </row>
    <row r="82">
      <c r="A82" s="2" t="s">
        <v>866</v>
      </c>
      <c r="B82" s="2" t="s">
        <v>885</v>
      </c>
      <c r="C82" s="2" t="s">
        <v>1880</v>
      </c>
      <c r="D82" s="2" t="s">
        <v>7265</v>
      </c>
      <c r="E82" s="4" t="s">
        <v>228</v>
      </c>
      <c r="F82" s="8" t="s">
        <v>228</v>
      </c>
      <c r="G82" s="4" t="s">
        <v>228</v>
      </c>
      <c r="H82" s="8" t="s">
        <v>228</v>
      </c>
      <c r="I82" s="7" t="s">
        <v>228</v>
      </c>
      <c r="J82" s="7" t="s">
        <v>228</v>
      </c>
      <c r="K82" s="4"/>
      <c r="L82" s="8"/>
      <c r="M82" s="4"/>
      <c r="N82" s="8"/>
      <c r="O82" s="7"/>
      <c r="P82" s="7"/>
    </row>
    <row r="83">
      <c r="A83" s="2" t="s">
        <v>866</v>
      </c>
      <c r="B83" s="2" t="s">
        <v>885</v>
      </c>
      <c r="C83" s="2" t="s">
        <v>1880</v>
      </c>
      <c r="D83" s="2" t="s">
        <v>877</v>
      </c>
      <c r="E83" s="4" t="s">
        <v>228</v>
      </c>
      <c r="F83" s="8" t="s">
        <v>228</v>
      </c>
      <c r="G83" s="4" t="s">
        <v>228</v>
      </c>
      <c r="H83" s="8" t="s">
        <v>228</v>
      </c>
      <c r="I83" s="7" t="s">
        <v>228</v>
      </c>
      <c r="J83" s="7" t="s">
        <v>228</v>
      </c>
      <c r="K83" s="4"/>
      <c r="L83" s="8"/>
      <c r="M83" s="4"/>
      <c r="N83" s="8"/>
      <c r="O83" s="7"/>
      <c r="P83" s="7"/>
    </row>
    <row r="84">
      <c r="A84" s="2" t="s">
        <v>866</v>
      </c>
      <c r="B84" s="2" t="s">
        <v>885</v>
      </c>
      <c r="C84" s="2" t="s">
        <v>1880</v>
      </c>
      <c r="D84" s="2" t="s">
        <v>868</v>
      </c>
      <c r="E84" s="4" t="s">
        <v>228</v>
      </c>
      <c r="F84" s="8" t="s">
        <v>228</v>
      </c>
      <c r="G84" s="4" t="s">
        <v>228</v>
      </c>
      <c r="H84" s="8" t="s">
        <v>228</v>
      </c>
      <c r="I84" s="7" t="s">
        <v>228</v>
      </c>
      <c r="J84" s="7" t="s">
        <v>228</v>
      </c>
      <c r="K84" s="4"/>
      <c r="L84" s="8"/>
      <c r="M84" s="4"/>
      <c r="N84" s="8"/>
      <c r="O84" s="7"/>
      <c r="P84" s="7"/>
    </row>
    <row r="85">
      <c r="A85" s="2" t="s">
        <v>866</v>
      </c>
      <c r="B85" s="2" t="s">
        <v>885</v>
      </c>
      <c r="C85" s="2" t="s">
        <v>899</v>
      </c>
      <c r="D85" s="2" t="s">
        <v>877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866</v>
      </c>
      <c r="B86" s="2" t="s">
        <v>885</v>
      </c>
      <c r="C86" s="2" t="s">
        <v>907</v>
      </c>
      <c r="D86" s="2" t="s">
        <v>908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866</v>
      </c>
      <c r="B87" s="2" t="s">
        <v>885</v>
      </c>
      <c r="C87" s="2" t="s">
        <v>867</v>
      </c>
      <c r="D87" s="2" t="s">
        <v>877</v>
      </c>
      <c r="E87" s="4" t="s">
        <v>228</v>
      </c>
      <c r="F87" s="8" t="s">
        <v>228</v>
      </c>
      <c r="G87" s="4" t="s">
        <v>228</v>
      </c>
      <c r="H87" s="8" t="s">
        <v>228</v>
      </c>
      <c r="I87" s="7" t="s">
        <v>228</v>
      </c>
      <c r="J87" s="7" t="s">
        <v>228</v>
      </c>
      <c r="K87" s="4"/>
      <c r="L87" s="8"/>
      <c r="M87" s="4"/>
      <c r="N87" s="8"/>
      <c r="O87" s="7"/>
      <c r="P87" s="7"/>
    </row>
    <row r="88">
      <c r="A88" s="2" t="s">
        <v>866</v>
      </c>
      <c r="B88" s="2" t="s">
        <v>885</v>
      </c>
      <c r="C88" s="2" t="s">
        <v>867</v>
      </c>
      <c r="D88" s="2" t="s">
        <v>868</v>
      </c>
      <c r="E88" s="4" t="s">
        <v>228</v>
      </c>
      <c r="F88" s="8" t="s">
        <v>228</v>
      </c>
      <c r="G88" s="4" t="s">
        <v>228</v>
      </c>
      <c r="H88" s="8" t="s">
        <v>228</v>
      </c>
      <c r="I88" s="7" t="s">
        <v>228</v>
      </c>
      <c r="J88" s="7" t="s">
        <v>228</v>
      </c>
      <c r="K88" s="4"/>
      <c r="L88" s="8"/>
      <c r="M88" s="4"/>
      <c r="N88" s="8"/>
      <c r="O88" s="7"/>
      <c r="P88" s="7"/>
    </row>
    <row r="89">
      <c r="A89" s="2" t="s">
        <v>866</v>
      </c>
      <c r="B89" s="2" t="s">
        <v>1037</v>
      </c>
      <c r="C89" s="2" t="s">
        <v>899</v>
      </c>
      <c r="D89" s="2" t="s">
        <v>1891</v>
      </c>
      <c r="E89" s="4" t="s">
        <v>228</v>
      </c>
      <c r="F89" s="8" t="s">
        <v>228</v>
      </c>
      <c r="G89" s="4" t="s">
        <v>228</v>
      </c>
      <c r="H89" s="8" t="s">
        <v>228</v>
      </c>
      <c r="I89" s="7" t="s">
        <v>228</v>
      </c>
      <c r="J89" s="7" t="s">
        <v>228</v>
      </c>
      <c r="K89" s="4"/>
      <c r="L89" s="8"/>
      <c r="M89" s="4"/>
      <c r="N89" s="8"/>
      <c r="O89" s="7"/>
      <c r="P89" s="7"/>
    </row>
    <row r="90">
      <c r="A90" s="2" t="s">
        <v>866</v>
      </c>
      <c r="B90" s="2" t="s">
        <v>1037</v>
      </c>
      <c r="C90" s="2" t="s">
        <v>899</v>
      </c>
      <c r="D90" s="2" t="s">
        <v>877</v>
      </c>
      <c r="E90" s="4" t="s">
        <v>228</v>
      </c>
      <c r="F90" s="8" t="s">
        <v>228</v>
      </c>
      <c r="G90" s="4" t="s">
        <v>228</v>
      </c>
      <c r="H90" s="8" t="s">
        <v>228</v>
      </c>
      <c r="I90" s="7" t="s">
        <v>228</v>
      </c>
      <c r="J90" s="7" t="s">
        <v>228</v>
      </c>
      <c r="K90" s="4"/>
      <c r="L90" s="8"/>
      <c r="M90" s="4"/>
      <c r="N90" s="8"/>
      <c r="O90" s="7"/>
      <c r="P90" s="7"/>
    </row>
    <row r="91">
      <c r="A91" s="2" t="s">
        <v>866</v>
      </c>
      <c r="B91" s="2" t="s">
        <v>1037</v>
      </c>
      <c r="C91" s="2" t="s">
        <v>867</v>
      </c>
      <c r="D91" s="2" t="s">
        <v>877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258</v>
      </c>
      <c r="B92" s="2" t="s">
        <v>457</v>
      </c>
      <c r="C92" s="2" t="s">
        <v>260</v>
      </c>
      <c r="D92" s="2" t="s">
        <v>261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258</v>
      </c>
      <c r="B93" s="2" t="s">
        <v>918</v>
      </c>
      <c r="C93" s="2" t="s">
        <v>1112</v>
      </c>
      <c r="D93" s="2" t="s">
        <v>3467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258</v>
      </c>
      <c r="B94" s="2" t="s">
        <v>849</v>
      </c>
      <c r="C94" s="2" t="s">
        <v>1112</v>
      </c>
      <c r="D94" s="2" t="s">
        <v>1113</v>
      </c>
      <c r="E94" s="4"/>
      <c r="F94" s="8"/>
      <c r="G94" s="4"/>
      <c r="H94" s="8"/>
      <c r="I94" s="7"/>
      <c r="J94" s="7"/>
      <c r="K94" s="4"/>
      <c r="L94" s="8"/>
      <c r="M94" s="4"/>
      <c r="N94" s="8"/>
      <c r="O94" s="7"/>
      <c r="P94" s="7"/>
    </row>
    <row r="95">
      <c r="A95" s="2" t="s">
        <v>258</v>
      </c>
      <c r="B95" s="2" t="s">
        <v>849</v>
      </c>
      <c r="C95" s="2" t="s">
        <v>260</v>
      </c>
      <c r="D95" s="2" t="s">
        <v>411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258</v>
      </c>
      <c r="B96" s="2" t="s">
        <v>300</v>
      </c>
      <c r="C96" s="2" t="s">
        <v>225</v>
      </c>
      <c r="D96" s="2" t="s">
        <v>2943</v>
      </c>
      <c r="E96" s="4"/>
      <c r="F96" s="8"/>
      <c r="G96" s="4"/>
      <c r="H96" s="8"/>
      <c r="I96" s="7"/>
      <c r="J96" s="7"/>
      <c r="K96" s="4"/>
      <c r="L96" s="8"/>
      <c r="M96" s="4"/>
      <c r="N96" s="8"/>
      <c r="O96" s="7"/>
      <c r="P96" s="7"/>
    </row>
    <row r="97">
      <c r="A97" s="2" t="s">
        <v>258</v>
      </c>
      <c r="B97" s="2" t="s">
        <v>300</v>
      </c>
      <c r="C97" s="2" t="s">
        <v>1112</v>
      </c>
      <c r="D97" s="2" t="s">
        <v>1165</v>
      </c>
      <c r="E97" s="4" t="s">
        <v>228</v>
      </c>
      <c r="F97" s="8" t="s">
        <v>228</v>
      </c>
      <c r="G97" s="4" t="s">
        <v>228</v>
      </c>
      <c r="H97" s="8" t="s">
        <v>228</v>
      </c>
      <c r="I97" s="7" t="s">
        <v>228</v>
      </c>
      <c r="J97" s="7" t="s">
        <v>228</v>
      </c>
      <c r="K97" s="4"/>
      <c r="L97" s="8"/>
      <c r="M97" s="4"/>
      <c r="N97" s="8"/>
      <c r="O97" s="7"/>
      <c r="P97" s="7"/>
    </row>
    <row r="98">
      <c r="A98" s="2" t="s">
        <v>258</v>
      </c>
      <c r="B98" s="2" t="s">
        <v>300</v>
      </c>
      <c r="C98" s="2" t="s">
        <v>1112</v>
      </c>
      <c r="D98" s="2" t="s">
        <v>3467</v>
      </c>
      <c r="E98" s="4" t="s">
        <v>228</v>
      </c>
      <c r="F98" s="8" t="s">
        <v>228</v>
      </c>
      <c r="G98" s="4" t="s">
        <v>228</v>
      </c>
      <c r="H98" s="8" t="s">
        <v>228</v>
      </c>
      <c r="I98" s="7" t="s">
        <v>228</v>
      </c>
      <c r="J98" s="7" t="s">
        <v>228</v>
      </c>
      <c r="K98" s="4"/>
      <c r="L98" s="8"/>
      <c r="M98" s="4"/>
      <c r="N98" s="8"/>
      <c r="O98" s="7"/>
      <c r="P98" s="7"/>
    </row>
    <row r="99">
      <c r="A99" s="2" t="s">
        <v>258</v>
      </c>
      <c r="B99" s="2" t="s">
        <v>300</v>
      </c>
      <c r="C99" s="2" t="s">
        <v>516</v>
      </c>
      <c r="D99" s="2" t="s">
        <v>9546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258</v>
      </c>
      <c r="B100" s="2" t="s">
        <v>1406</v>
      </c>
      <c r="C100" s="2" t="s">
        <v>225</v>
      </c>
      <c r="D100" s="2" t="s">
        <v>2943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258</v>
      </c>
      <c r="B101" s="2" t="s">
        <v>1406</v>
      </c>
      <c r="C101" s="2" t="s">
        <v>260</v>
      </c>
      <c r="D101" s="2" t="s">
        <v>411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258</v>
      </c>
      <c r="B102" s="2" t="s">
        <v>1406</v>
      </c>
      <c r="C102" s="2" t="s">
        <v>1601</v>
      </c>
      <c r="D102" s="2" t="s">
        <v>1602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258</v>
      </c>
      <c r="B103" s="2" t="s">
        <v>259</v>
      </c>
      <c r="C103" s="2" t="s">
        <v>1112</v>
      </c>
      <c r="D103" s="2" t="s">
        <v>3467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258</v>
      </c>
      <c r="B104" s="2" t="s">
        <v>259</v>
      </c>
      <c r="C104" s="2" t="s">
        <v>260</v>
      </c>
      <c r="D104" s="2" t="s">
        <v>411</v>
      </c>
      <c r="E104" s="4" t="s">
        <v>228</v>
      </c>
      <c r="F104" s="8" t="s">
        <v>228</v>
      </c>
      <c r="G104" s="4" t="s">
        <v>228</v>
      </c>
      <c r="H104" s="8" t="s">
        <v>228</v>
      </c>
      <c r="I104" s="7" t="s">
        <v>228</v>
      </c>
      <c r="J104" s="7" t="s">
        <v>228</v>
      </c>
      <c r="K104" s="4"/>
      <c r="L104" s="8"/>
      <c r="M104" s="4"/>
      <c r="N104" s="8"/>
      <c r="O104" s="7"/>
      <c r="P104" s="7"/>
    </row>
    <row r="105">
      <c r="A105" s="2" t="s">
        <v>258</v>
      </c>
      <c r="B105" s="2" t="s">
        <v>259</v>
      </c>
      <c r="C105" s="2" t="s">
        <v>260</v>
      </c>
      <c r="D105" s="2" t="s">
        <v>2134</v>
      </c>
      <c r="E105" s="4" t="s">
        <v>228</v>
      </c>
      <c r="F105" s="8" t="s">
        <v>228</v>
      </c>
      <c r="G105" s="4" t="s">
        <v>228</v>
      </c>
      <c r="H105" s="8" t="s">
        <v>228</v>
      </c>
      <c r="I105" s="7" t="s">
        <v>228</v>
      </c>
      <c r="J105" s="7" t="s">
        <v>228</v>
      </c>
      <c r="K105" s="4"/>
      <c r="L105" s="8"/>
      <c r="M105" s="4"/>
      <c r="N105" s="8"/>
      <c r="O105" s="7"/>
      <c r="P105" s="7"/>
    </row>
    <row r="106">
      <c r="A106" s="2" t="s">
        <v>258</v>
      </c>
      <c r="B106" s="2" t="s">
        <v>259</v>
      </c>
      <c r="C106" s="2" t="s">
        <v>260</v>
      </c>
      <c r="D106" s="2" t="s">
        <v>261</v>
      </c>
      <c r="E106" s="4" t="s">
        <v>228</v>
      </c>
      <c r="F106" s="8" t="s">
        <v>228</v>
      </c>
      <c r="G106" s="4" t="s">
        <v>228</v>
      </c>
      <c r="H106" s="8" t="s">
        <v>228</v>
      </c>
      <c r="I106" s="7" t="s">
        <v>228</v>
      </c>
      <c r="J106" s="7" t="s">
        <v>228</v>
      </c>
      <c r="K106" s="4"/>
      <c r="L106" s="8"/>
      <c r="M106" s="4"/>
      <c r="N106" s="8"/>
      <c r="O106" s="7"/>
      <c r="P106" s="7"/>
    </row>
    <row r="107">
      <c r="A107" s="2" t="s">
        <v>258</v>
      </c>
      <c r="B107" s="2" t="s">
        <v>259</v>
      </c>
      <c r="C107" s="2" t="s">
        <v>1862</v>
      </c>
      <c r="D107" s="2" t="s">
        <v>9546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258</v>
      </c>
      <c r="B108" s="2" t="s">
        <v>4000</v>
      </c>
      <c r="C108" s="2" t="s">
        <v>225</v>
      </c>
      <c r="D108" s="2" t="s">
        <v>2943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258</v>
      </c>
      <c r="B109" s="2" t="s">
        <v>4000</v>
      </c>
      <c r="C109" s="2" t="s">
        <v>1112</v>
      </c>
      <c r="D109" s="2" t="s">
        <v>6298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258</v>
      </c>
      <c r="B110" s="2" t="s">
        <v>4000</v>
      </c>
      <c r="C110" s="2" t="s">
        <v>1601</v>
      </c>
      <c r="D110" s="2" t="s">
        <v>2943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258</v>
      </c>
      <c r="B111" s="2" t="s">
        <v>1037</v>
      </c>
      <c r="C111" s="2" t="s">
        <v>1112</v>
      </c>
      <c r="D111" s="2" t="s">
        <v>3467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1374</v>
      </c>
      <c r="B112" s="2" t="s">
        <v>918</v>
      </c>
      <c r="C112" s="2" t="s">
        <v>3679</v>
      </c>
      <c r="D112" s="2" t="s">
        <v>3680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1374</v>
      </c>
      <c r="B113" s="2" t="s">
        <v>1463</v>
      </c>
      <c r="C113" s="2" t="s">
        <v>1399</v>
      </c>
      <c r="D113" s="2" t="s">
        <v>1400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1374</v>
      </c>
      <c r="B114" s="2" t="s">
        <v>835</v>
      </c>
      <c r="C114" s="2" t="s">
        <v>1399</v>
      </c>
      <c r="D114" s="2" t="s">
        <v>1400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1374</v>
      </c>
      <c r="B115" s="2" t="s">
        <v>849</v>
      </c>
      <c r="C115" s="2" t="s">
        <v>7352</v>
      </c>
      <c r="D115" s="2" t="s">
        <v>775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1374</v>
      </c>
      <c r="B116" s="2" t="s">
        <v>849</v>
      </c>
      <c r="C116" s="2" t="s">
        <v>1399</v>
      </c>
      <c r="D116" s="2" t="s">
        <v>1400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1374</v>
      </c>
      <c r="B117" s="2" t="s">
        <v>300</v>
      </c>
      <c r="C117" s="2" t="s">
        <v>1375</v>
      </c>
      <c r="D117" s="2" t="s">
        <v>1376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1374</v>
      </c>
      <c r="B118" s="2" t="s">
        <v>300</v>
      </c>
      <c r="C118" s="2" t="s">
        <v>1399</v>
      </c>
      <c r="D118" s="2" t="s">
        <v>1400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1374</v>
      </c>
      <c r="B119" s="2" t="s">
        <v>1037</v>
      </c>
      <c r="C119" s="2" t="s">
        <v>1399</v>
      </c>
      <c r="D119" s="2" t="s">
        <v>1400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223</v>
      </c>
      <c r="B120" s="2" t="s">
        <v>731</v>
      </c>
      <c r="C120" s="2" t="s">
        <v>225</v>
      </c>
      <c r="D120" s="2" t="s">
        <v>226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223</v>
      </c>
      <c r="B121" s="2" t="s">
        <v>731</v>
      </c>
      <c r="C121" s="2" t="s">
        <v>3559</v>
      </c>
      <c r="D121" s="2" t="s">
        <v>3560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223</v>
      </c>
      <c r="B122" s="2" t="s">
        <v>731</v>
      </c>
      <c r="C122" s="2" t="s">
        <v>1407</v>
      </c>
      <c r="D122" s="2" t="s">
        <v>6106</v>
      </c>
      <c r="E122" s="4" t="s">
        <v>228</v>
      </c>
      <c r="F122" s="8" t="s">
        <v>228</v>
      </c>
      <c r="G122" s="4" t="s">
        <v>228</v>
      </c>
      <c r="H122" s="8" t="s">
        <v>228</v>
      </c>
      <c r="I122" s="7" t="s">
        <v>228</v>
      </c>
      <c r="J122" s="7" t="s">
        <v>228</v>
      </c>
      <c r="K122" s="4"/>
      <c r="L122" s="8"/>
      <c r="M122" s="4"/>
      <c r="N122" s="8"/>
      <c r="O122" s="7"/>
      <c r="P122" s="7"/>
    </row>
    <row r="123">
      <c r="A123" s="2" t="s">
        <v>223</v>
      </c>
      <c r="B123" s="2" t="s">
        <v>731</v>
      </c>
      <c r="C123" s="2" t="s">
        <v>1407</v>
      </c>
      <c r="D123" s="2" t="s">
        <v>3636</v>
      </c>
      <c r="E123" s="4" t="s">
        <v>228</v>
      </c>
      <c r="F123" s="8" t="s">
        <v>228</v>
      </c>
      <c r="G123" s="4" t="s">
        <v>228</v>
      </c>
      <c r="H123" s="8" t="s">
        <v>228</v>
      </c>
      <c r="I123" s="7" t="s">
        <v>228</v>
      </c>
      <c r="J123" s="7" t="s">
        <v>228</v>
      </c>
      <c r="K123" s="4"/>
      <c r="L123" s="8"/>
      <c r="M123" s="4"/>
      <c r="N123" s="8"/>
      <c r="O123" s="7"/>
      <c r="P123" s="7"/>
    </row>
    <row r="124">
      <c r="A124" s="2" t="s">
        <v>223</v>
      </c>
      <c r="B124" s="2" t="s">
        <v>731</v>
      </c>
      <c r="C124" s="2" t="s">
        <v>1407</v>
      </c>
      <c r="D124" s="2" t="s">
        <v>1408</v>
      </c>
      <c r="E124" s="4" t="s">
        <v>228</v>
      </c>
      <c r="F124" s="8" t="s">
        <v>228</v>
      </c>
      <c r="G124" s="4" t="s">
        <v>228</v>
      </c>
      <c r="H124" s="8" t="s">
        <v>228</v>
      </c>
      <c r="I124" s="7" t="s">
        <v>228</v>
      </c>
      <c r="J124" s="7" t="s">
        <v>228</v>
      </c>
      <c r="K124" s="4"/>
      <c r="L124" s="8"/>
      <c r="M124" s="4"/>
      <c r="N124" s="8"/>
      <c r="O124" s="7"/>
      <c r="P124" s="7"/>
    </row>
    <row r="125">
      <c r="A125" s="2" t="s">
        <v>223</v>
      </c>
      <c r="B125" s="2" t="s">
        <v>731</v>
      </c>
      <c r="C125" s="2" t="s">
        <v>1407</v>
      </c>
      <c r="D125" s="2" t="s">
        <v>6279</v>
      </c>
      <c r="E125" s="4" t="s">
        <v>228</v>
      </c>
      <c r="F125" s="8" t="s">
        <v>228</v>
      </c>
      <c r="G125" s="4" t="s">
        <v>228</v>
      </c>
      <c r="H125" s="8" t="s">
        <v>228</v>
      </c>
      <c r="I125" s="7" t="s">
        <v>228</v>
      </c>
      <c r="J125" s="7" t="s">
        <v>228</v>
      </c>
      <c r="K125" s="4"/>
      <c r="L125" s="8"/>
      <c r="M125" s="4"/>
      <c r="N125" s="8"/>
      <c r="O125" s="7"/>
      <c r="P125" s="7"/>
    </row>
    <row r="126">
      <c r="A126" s="2" t="s">
        <v>223</v>
      </c>
      <c r="B126" s="2" t="s">
        <v>731</v>
      </c>
      <c r="C126" s="2" t="s">
        <v>9471</v>
      </c>
      <c r="D126" s="2" t="s">
        <v>9472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223</v>
      </c>
      <c r="B127" s="2" t="s">
        <v>1111</v>
      </c>
      <c r="C127" s="2" t="s">
        <v>1407</v>
      </c>
      <c r="D127" s="2" t="s">
        <v>6279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223</v>
      </c>
      <c r="B128" s="2" t="s">
        <v>918</v>
      </c>
      <c r="C128" s="2" t="s">
        <v>1862</v>
      </c>
      <c r="D128" s="2" t="s">
        <v>1863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223</v>
      </c>
      <c r="B129" s="2" t="s">
        <v>918</v>
      </c>
      <c r="C129" s="2" t="s">
        <v>1601</v>
      </c>
      <c r="D129" s="2" t="s">
        <v>2421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223</v>
      </c>
      <c r="B130" s="2" t="s">
        <v>835</v>
      </c>
      <c r="C130" s="2" t="s">
        <v>225</v>
      </c>
      <c r="D130" s="2" t="s">
        <v>226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223</v>
      </c>
      <c r="B131" s="2" t="s">
        <v>835</v>
      </c>
      <c r="C131" s="2" t="s">
        <v>516</v>
      </c>
      <c r="D131" s="2" t="s">
        <v>517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223</v>
      </c>
      <c r="B132" s="2" t="s">
        <v>835</v>
      </c>
      <c r="C132" s="2" t="s">
        <v>1601</v>
      </c>
      <c r="D132" s="2" t="s">
        <v>2421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223</v>
      </c>
      <c r="B133" s="2" t="s">
        <v>849</v>
      </c>
      <c r="C133" s="2" t="s">
        <v>225</v>
      </c>
      <c r="D133" s="2" t="s">
        <v>226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223</v>
      </c>
      <c r="B134" s="2" t="s">
        <v>849</v>
      </c>
      <c r="C134" s="2" t="s">
        <v>1112</v>
      </c>
      <c r="D134" s="2" t="s">
        <v>1165</v>
      </c>
      <c r="E134" s="4" t="s">
        <v>228</v>
      </c>
      <c r="F134" s="8" t="s">
        <v>228</v>
      </c>
      <c r="G134" s="4" t="s">
        <v>228</v>
      </c>
      <c r="H134" s="8" t="s">
        <v>228</v>
      </c>
      <c r="I134" s="7" t="s">
        <v>228</v>
      </c>
      <c r="J134" s="7" t="s">
        <v>228</v>
      </c>
      <c r="K134" s="4"/>
      <c r="L134" s="8"/>
      <c r="M134" s="4"/>
      <c r="N134" s="8"/>
      <c r="O134" s="7"/>
      <c r="P134" s="7"/>
    </row>
    <row r="135">
      <c r="A135" s="2" t="s">
        <v>223</v>
      </c>
      <c r="B135" s="2" t="s">
        <v>849</v>
      </c>
      <c r="C135" s="2" t="s">
        <v>1112</v>
      </c>
      <c r="D135" s="2" t="s">
        <v>1113</v>
      </c>
      <c r="E135" s="4" t="s">
        <v>228</v>
      </c>
      <c r="F135" s="8" t="s">
        <v>228</v>
      </c>
      <c r="G135" s="4" t="s">
        <v>228</v>
      </c>
      <c r="H135" s="8" t="s">
        <v>228</v>
      </c>
      <c r="I135" s="7" t="s">
        <v>228</v>
      </c>
      <c r="J135" s="7" t="s">
        <v>228</v>
      </c>
      <c r="K135" s="4"/>
      <c r="L135" s="8"/>
      <c r="M135" s="4"/>
      <c r="N135" s="8"/>
      <c r="O135" s="7"/>
      <c r="P135" s="7"/>
    </row>
    <row r="136">
      <c r="A136" s="2" t="s">
        <v>223</v>
      </c>
      <c r="B136" s="2" t="s">
        <v>849</v>
      </c>
      <c r="C136" s="2" t="s">
        <v>1601</v>
      </c>
      <c r="D136" s="2" t="s">
        <v>2421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223</v>
      </c>
      <c r="B137" s="2" t="s">
        <v>300</v>
      </c>
      <c r="C137" s="2" t="s">
        <v>225</v>
      </c>
      <c r="D137" s="2" t="s">
        <v>226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223</v>
      </c>
      <c r="B138" s="2" t="s">
        <v>300</v>
      </c>
      <c r="C138" s="2" t="s">
        <v>1112</v>
      </c>
      <c r="D138" s="2" t="s">
        <v>1165</v>
      </c>
      <c r="E138" s="4" t="s">
        <v>228</v>
      </c>
      <c r="F138" s="8" t="s">
        <v>228</v>
      </c>
      <c r="G138" s="4" t="s">
        <v>228</v>
      </c>
      <c r="H138" s="8" t="s">
        <v>228</v>
      </c>
      <c r="I138" s="7" t="s">
        <v>228</v>
      </c>
      <c r="J138" s="7" t="s">
        <v>228</v>
      </c>
      <c r="K138" s="4"/>
      <c r="L138" s="8"/>
      <c r="M138" s="4"/>
      <c r="N138" s="8"/>
      <c r="O138" s="7"/>
      <c r="P138" s="7"/>
    </row>
    <row r="139">
      <c r="A139" s="2" t="s">
        <v>223</v>
      </c>
      <c r="B139" s="2" t="s">
        <v>300</v>
      </c>
      <c r="C139" s="2" t="s">
        <v>1112</v>
      </c>
      <c r="D139" s="2" t="s">
        <v>1113</v>
      </c>
      <c r="E139" s="4" t="s">
        <v>228</v>
      </c>
      <c r="F139" s="8" t="s">
        <v>228</v>
      </c>
      <c r="G139" s="4" t="s">
        <v>228</v>
      </c>
      <c r="H139" s="8" t="s">
        <v>228</v>
      </c>
      <c r="I139" s="7" t="s">
        <v>228</v>
      </c>
      <c r="J139" s="7" t="s">
        <v>228</v>
      </c>
      <c r="K139" s="4"/>
      <c r="L139" s="8"/>
      <c r="M139" s="4"/>
      <c r="N139" s="8"/>
      <c r="O139" s="7"/>
      <c r="P139" s="7"/>
    </row>
    <row r="140">
      <c r="A140" s="2" t="s">
        <v>223</v>
      </c>
      <c r="B140" s="2" t="s">
        <v>300</v>
      </c>
      <c r="C140" s="2" t="s">
        <v>1316</v>
      </c>
      <c r="D140" s="2" t="s">
        <v>1317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223</v>
      </c>
      <c r="B141" s="2" t="s">
        <v>300</v>
      </c>
      <c r="C141" s="2" t="s">
        <v>1862</v>
      </c>
      <c r="D141" s="2" t="s">
        <v>2767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223</v>
      </c>
      <c r="B142" s="2" t="s">
        <v>300</v>
      </c>
      <c r="C142" s="2" t="s">
        <v>1601</v>
      </c>
      <c r="D142" s="2" t="s">
        <v>1602</v>
      </c>
      <c r="E142" s="4" t="s">
        <v>228</v>
      </c>
      <c r="F142" s="8" t="s">
        <v>228</v>
      </c>
      <c r="G142" s="4" t="s">
        <v>228</v>
      </c>
      <c r="H142" s="8" t="s">
        <v>228</v>
      </c>
      <c r="I142" s="7" t="s">
        <v>228</v>
      </c>
      <c r="J142" s="7" t="s">
        <v>228</v>
      </c>
      <c r="K142" s="4"/>
      <c r="L142" s="8"/>
      <c r="M142" s="4"/>
      <c r="N142" s="8"/>
      <c r="O142" s="7"/>
      <c r="P142" s="7"/>
    </row>
    <row r="143">
      <c r="A143" s="2" t="s">
        <v>223</v>
      </c>
      <c r="B143" s="2" t="s">
        <v>300</v>
      </c>
      <c r="C143" s="2" t="s">
        <v>1601</v>
      </c>
      <c r="D143" s="2" t="s">
        <v>2421</v>
      </c>
      <c r="E143" s="4" t="s">
        <v>228</v>
      </c>
      <c r="F143" s="8" t="s">
        <v>228</v>
      </c>
      <c r="G143" s="4" t="s">
        <v>228</v>
      </c>
      <c r="H143" s="8" t="s">
        <v>228</v>
      </c>
      <c r="I143" s="7" t="s">
        <v>228</v>
      </c>
      <c r="J143" s="7" t="s">
        <v>228</v>
      </c>
      <c r="K143" s="4"/>
      <c r="L143" s="8"/>
      <c r="M143" s="4"/>
      <c r="N143" s="8"/>
      <c r="O143" s="7"/>
      <c r="P143" s="7"/>
    </row>
    <row r="144">
      <c r="A144" s="2" t="s">
        <v>223</v>
      </c>
      <c r="B144" s="2" t="s">
        <v>345</v>
      </c>
      <c r="C144" s="2" t="s">
        <v>1112</v>
      </c>
      <c r="D144" s="2" t="s">
        <v>1113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223</v>
      </c>
      <c r="B145" s="2" t="s">
        <v>224</v>
      </c>
      <c r="C145" s="2" t="s">
        <v>225</v>
      </c>
      <c r="D145" s="2" t="s">
        <v>226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223</v>
      </c>
      <c r="B146" s="2" t="s">
        <v>3635</v>
      </c>
      <c r="C146" s="2" t="s">
        <v>3559</v>
      </c>
      <c r="D146" s="2" t="s">
        <v>3560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223</v>
      </c>
      <c r="B147" s="2" t="s">
        <v>3635</v>
      </c>
      <c r="C147" s="2" t="s">
        <v>1407</v>
      </c>
      <c r="D147" s="2" t="s">
        <v>6106</v>
      </c>
      <c r="E147" s="4" t="s">
        <v>228</v>
      </c>
      <c r="F147" s="8" t="s">
        <v>228</v>
      </c>
      <c r="G147" s="4" t="s">
        <v>228</v>
      </c>
      <c r="H147" s="8" t="s">
        <v>228</v>
      </c>
      <c r="I147" s="7" t="s">
        <v>228</v>
      </c>
      <c r="J147" s="7" t="s">
        <v>228</v>
      </c>
      <c r="K147" s="4"/>
      <c r="L147" s="8"/>
      <c r="M147" s="4"/>
      <c r="N147" s="8"/>
      <c r="O147" s="7"/>
      <c r="P147" s="7"/>
    </row>
    <row r="148">
      <c r="A148" s="2" t="s">
        <v>223</v>
      </c>
      <c r="B148" s="2" t="s">
        <v>3635</v>
      </c>
      <c r="C148" s="2" t="s">
        <v>1407</v>
      </c>
      <c r="D148" s="2" t="s">
        <v>3636</v>
      </c>
      <c r="E148" s="4" t="s">
        <v>228</v>
      </c>
      <c r="F148" s="8" t="s">
        <v>228</v>
      </c>
      <c r="G148" s="4" t="s">
        <v>228</v>
      </c>
      <c r="H148" s="8" t="s">
        <v>228</v>
      </c>
      <c r="I148" s="7" t="s">
        <v>228</v>
      </c>
      <c r="J148" s="7" t="s">
        <v>228</v>
      </c>
      <c r="K148" s="4"/>
      <c r="L148" s="8"/>
      <c r="M148" s="4"/>
      <c r="N148" s="8"/>
      <c r="O148" s="7"/>
      <c r="P148" s="7"/>
    </row>
    <row r="149">
      <c r="A149" s="2" t="s">
        <v>223</v>
      </c>
      <c r="B149" s="2" t="s">
        <v>3635</v>
      </c>
      <c r="C149" s="2" t="s">
        <v>1407</v>
      </c>
      <c r="D149" s="2" t="s">
        <v>1408</v>
      </c>
      <c r="E149" s="4" t="s">
        <v>228</v>
      </c>
      <c r="F149" s="8" t="s">
        <v>228</v>
      </c>
      <c r="G149" s="4" t="s">
        <v>228</v>
      </c>
      <c r="H149" s="8" t="s">
        <v>228</v>
      </c>
      <c r="I149" s="7" t="s">
        <v>228</v>
      </c>
      <c r="J149" s="7" t="s">
        <v>228</v>
      </c>
      <c r="K149" s="4"/>
      <c r="L149" s="8"/>
      <c r="M149" s="4"/>
      <c r="N149" s="8"/>
      <c r="O149" s="7"/>
      <c r="P149" s="7"/>
    </row>
    <row r="150">
      <c r="A150" s="2" t="s">
        <v>223</v>
      </c>
      <c r="B150" s="2" t="s">
        <v>1406</v>
      </c>
      <c r="C150" s="2" t="s">
        <v>3559</v>
      </c>
      <c r="D150" s="2" t="s">
        <v>3560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223</v>
      </c>
      <c r="B151" s="2" t="s">
        <v>1406</v>
      </c>
      <c r="C151" s="2" t="s">
        <v>1407</v>
      </c>
      <c r="D151" s="2" t="s">
        <v>1408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223</v>
      </c>
      <c r="B152" s="2" t="s">
        <v>4000</v>
      </c>
      <c r="C152" s="2" t="s">
        <v>225</v>
      </c>
      <c r="D152" s="2" t="s">
        <v>226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223</v>
      </c>
      <c r="B153" s="2" t="s">
        <v>4000</v>
      </c>
      <c r="C153" s="2" t="s">
        <v>1112</v>
      </c>
      <c r="D153" s="2" t="s">
        <v>1113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223</v>
      </c>
      <c r="B154" s="2" t="s">
        <v>4000</v>
      </c>
      <c r="C154" s="2" t="s">
        <v>1407</v>
      </c>
      <c r="D154" s="2" t="s">
        <v>3636</v>
      </c>
      <c r="E154" s="4" t="s">
        <v>228</v>
      </c>
      <c r="F154" s="8" t="s">
        <v>228</v>
      </c>
      <c r="G154" s="4" t="s">
        <v>228</v>
      </c>
      <c r="H154" s="8" t="s">
        <v>228</v>
      </c>
      <c r="I154" s="7" t="s">
        <v>228</v>
      </c>
      <c r="J154" s="7" t="s">
        <v>228</v>
      </c>
      <c r="K154" s="4"/>
      <c r="L154" s="8"/>
      <c r="M154" s="4"/>
      <c r="N154" s="8"/>
      <c r="O154" s="7"/>
      <c r="P154" s="7"/>
    </row>
    <row r="155">
      <c r="A155" s="2" t="s">
        <v>223</v>
      </c>
      <c r="B155" s="2" t="s">
        <v>4000</v>
      </c>
      <c r="C155" s="2" t="s">
        <v>1407</v>
      </c>
      <c r="D155" s="2" t="s">
        <v>1408</v>
      </c>
      <c r="E155" s="4" t="s">
        <v>228</v>
      </c>
      <c r="F155" s="8" t="s">
        <v>228</v>
      </c>
      <c r="G155" s="4" t="s">
        <v>228</v>
      </c>
      <c r="H155" s="8" t="s">
        <v>228</v>
      </c>
      <c r="I155" s="7" t="s">
        <v>228</v>
      </c>
      <c r="J155" s="7" t="s">
        <v>228</v>
      </c>
      <c r="K155" s="4"/>
      <c r="L155" s="8"/>
      <c r="M155" s="4"/>
      <c r="N155" s="8"/>
      <c r="O155" s="7"/>
      <c r="P155" s="7"/>
    </row>
    <row r="156">
      <c r="A156" s="2" t="s">
        <v>223</v>
      </c>
      <c r="B156" s="2" t="s">
        <v>1037</v>
      </c>
      <c r="C156" s="2" t="s">
        <v>1601</v>
      </c>
      <c r="D156" s="2" t="s">
        <v>2421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223</v>
      </c>
      <c r="B157" s="2" t="s">
        <v>1261</v>
      </c>
      <c r="C157" s="2" t="s">
        <v>1112</v>
      </c>
      <c r="D157" s="2" t="s">
        <v>1165</v>
      </c>
      <c r="E157" s="4" t="s">
        <v>228</v>
      </c>
      <c r="F157" s="8" t="s">
        <v>228</v>
      </c>
      <c r="G157" s="4" t="s">
        <v>228</v>
      </c>
      <c r="H157" s="8" t="s">
        <v>228</v>
      </c>
      <c r="I157" s="7" t="s">
        <v>228</v>
      </c>
      <c r="J157" s="7" t="s">
        <v>228</v>
      </c>
      <c r="K157" s="4"/>
      <c r="L157" s="8"/>
      <c r="M157" s="4"/>
      <c r="N157" s="8"/>
      <c r="O157" s="7"/>
      <c r="P157" s="7"/>
    </row>
    <row r="158">
      <c r="A158" s="2" t="s">
        <v>223</v>
      </c>
      <c r="B158" s="2" t="s">
        <v>1261</v>
      </c>
      <c r="C158" s="2" t="s">
        <v>1112</v>
      </c>
      <c r="D158" s="2" t="s">
        <v>1113</v>
      </c>
      <c r="E158" s="4" t="s">
        <v>228</v>
      </c>
      <c r="F158" s="8" t="s">
        <v>228</v>
      </c>
      <c r="G158" s="4" t="s">
        <v>228</v>
      </c>
      <c r="H158" s="8" t="s">
        <v>228</v>
      </c>
      <c r="I158" s="7" t="s">
        <v>228</v>
      </c>
      <c r="J158" s="7" t="s">
        <v>228</v>
      </c>
      <c r="K158" s="4"/>
      <c r="L158" s="8"/>
      <c r="M158" s="4"/>
      <c r="N158" s="8"/>
      <c r="O158" s="7"/>
      <c r="P158" s="7"/>
    </row>
    <row r="159">
      <c r="A159" s="2" t="s">
        <v>223</v>
      </c>
      <c r="B159" s="2" t="s">
        <v>1261</v>
      </c>
      <c r="C159" s="2" t="s">
        <v>1316</v>
      </c>
      <c r="D159" s="2" t="s">
        <v>2396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223</v>
      </c>
      <c r="B160" s="2" t="s">
        <v>1261</v>
      </c>
      <c r="C160" s="2" t="s">
        <v>1407</v>
      </c>
      <c r="D160" s="2" t="s">
        <v>3636</v>
      </c>
      <c r="E160" s="4" t="s">
        <v>228</v>
      </c>
      <c r="F160" s="8" t="s">
        <v>228</v>
      </c>
      <c r="G160" s="4" t="s">
        <v>228</v>
      </c>
      <c r="H160" s="8" t="s">
        <v>228</v>
      </c>
      <c r="I160" s="7" t="s">
        <v>228</v>
      </c>
      <c r="J160" s="7" t="s">
        <v>228</v>
      </c>
      <c r="K160" s="4"/>
      <c r="L160" s="8"/>
      <c r="M160" s="4"/>
      <c r="N160" s="8"/>
      <c r="O160" s="7"/>
      <c r="P160" s="7"/>
    </row>
    <row r="161">
      <c r="A161" s="2" t="s">
        <v>223</v>
      </c>
      <c r="B161" s="2" t="s">
        <v>1261</v>
      </c>
      <c r="C161" s="2" t="s">
        <v>1407</v>
      </c>
      <c r="D161" s="2" t="s">
        <v>1408</v>
      </c>
      <c r="E161" s="4" t="s">
        <v>228</v>
      </c>
      <c r="F161" s="8" t="s">
        <v>228</v>
      </c>
      <c r="G161" s="4" t="s">
        <v>228</v>
      </c>
      <c r="H161" s="8" t="s">
        <v>228</v>
      </c>
      <c r="I161" s="7" t="s">
        <v>228</v>
      </c>
      <c r="J161" s="7" t="s">
        <v>228</v>
      </c>
      <c r="K161" s="4"/>
      <c r="L161" s="8"/>
      <c r="M161" s="4"/>
      <c r="N161" s="8"/>
      <c r="O161" s="7"/>
      <c r="P161" s="7"/>
    </row>
    <row r="162">
      <c r="A162" s="2" t="s">
        <v>223</v>
      </c>
      <c r="B162" s="2" t="s">
        <v>1261</v>
      </c>
      <c r="C162" s="2" t="s">
        <v>1601</v>
      </c>
      <c r="D162" s="2" t="s">
        <v>1602</v>
      </c>
      <c r="E162" s="4" t="s">
        <v>228</v>
      </c>
      <c r="F162" s="8" t="s">
        <v>228</v>
      </c>
      <c r="G162" s="4" t="s">
        <v>228</v>
      </c>
      <c r="H162" s="8" t="s">
        <v>228</v>
      </c>
      <c r="I162" s="7" t="s">
        <v>228</v>
      </c>
      <c r="J162" s="7" t="s">
        <v>228</v>
      </c>
      <c r="K162" s="4"/>
      <c r="L162" s="8"/>
      <c r="M162" s="4"/>
      <c r="N162" s="8"/>
      <c r="O162" s="7"/>
      <c r="P162" s="7"/>
    </row>
    <row r="163">
      <c r="A163" s="2" t="s">
        <v>223</v>
      </c>
      <c r="B163" s="2" t="s">
        <v>1261</v>
      </c>
      <c r="C163" s="2" t="s">
        <v>1601</v>
      </c>
      <c r="D163" s="2" t="s">
        <v>2421</v>
      </c>
      <c r="E163" s="4" t="s">
        <v>228</v>
      </c>
      <c r="F163" s="8" t="s">
        <v>228</v>
      </c>
      <c r="G163" s="4" t="s">
        <v>228</v>
      </c>
      <c r="H163" s="8" t="s">
        <v>228</v>
      </c>
      <c r="I163" s="7" t="s">
        <v>228</v>
      </c>
      <c r="J163" s="7" t="s">
        <v>228</v>
      </c>
      <c r="K163" s="4"/>
      <c r="L163" s="8"/>
      <c r="M163" s="4"/>
      <c r="N163" s="8"/>
      <c r="O163" s="7"/>
      <c r="P163" s="7"/>
    </row>
    <row r="164">
      <c r="A164" s="2" t="s">
        <v>958</v>
      </c>
      <c r="B164" s="2" t="s">
        <v>1743</v>
      </c>
      <c r="C164" s="2" t="s">
        <v>1564</v>
      </c>
      <c r="D164" s="2" t="s">
        <v>1565</v>
      </c>
      <c r="E164" s="4" t="s">
        <v>228</v>
      </c>
      <c r="F164" s="8" t="s">
        <v>228</v>
      </c>
      <c r="G164" s="4" t="s">
        <v>228</v>
      </c>
      <c r="H164" s="8" t="s">
        <v>228</v>
      </c>
      <c r="I164" s="7" t="s">
        <v>228</v>
      </c>
      <c r="J164" s="7" t="s">
        <v>228</v>
      </c>
      <c r="K164" s="4"/>
      <c r="L164" s="8"/>
      <c r="M164" s="4"/>
      <c r="N164" s="8"/>
      <c r="O164" s="7"/>
      <c r="P164" s="7"/>
    </row>
    <row r="165">
      <c r="A165" s="2" t="s">
        <v>958</v>
      </c>
      <c r="B165" s="2" t="s">
        <v>1743</v>
      </c>
      <c r="C165" s="2" t="s">
        <v>1564</v>
      </c>
      <c r="D165" s="2" t="s">
        <v>1692</v>
      </c>
      <c r="E165" s="4" t="s">
        <v>228</v>
      </c>
      <c r="F165" s="8" t="s">
        <v>228</v>
      </c>
      <c r="G165" s="4" t="s">
        <v>228</v>
      </c>
      <c r="H165" s="8" t="s">
        <v>228</v>
      </c>
      <c r="I165" s="7" t="s">
        <v>228</v>
      </c>
      <c r="J165" s="7" t="s">
        <v>228</v>
      </c>
      <c r="K165" s="4"/>
      <c r="L165" s="8"/>
      <c r="M165" s="4"/>
      <c r="N165" s="8"/>
      <c r="O165" s="7"/>
      <c r="P165" s="7"/>
    </row>
    <row r="166">
      <c r="A166" s="2" t="s">
        <v>958</v>
      </c>
      <c r="B166" s="2" t="s">
        <v>1743</v>
      </c>
      <c r="C166" s="2" t="s">
        <v>959</v>
      </c>
      <c r="D166" s="2" t="s">
        <v>3094</v>
      </c>
      <c r="E166" s="4"/>
      <c r="F166" s="8"/>
      <c r="G166" s="4"/>
      <c r="H166" s="8"/>
      <c r="I166" s="7"/>
      <c r="J166" s="7"/>
      <c r="K166" s="4"/>
      <c r="L166" s="8"/>
      <c r="M166" s="4"/>
      <c r="N166" s="8"/>
      <c r="O166" s="7"/>
      <c r="P166" s="7"/>
    </row>
    <row r="167">
      <c r="A167" s="2" t="s">
        <v>958</v>
      </c>
      <c r="B167" s="2" t="s">
        <v>1743</v>
      </c>
      <c r="C167" s="2" t="s">
        <v>1790</v>
      </c>
      <c r="D167" s="2" t="s">
        <v>1791</v>
      </c>
      <c r="E167" s="4"/>
      <c r="F167" s="8"/>
      <c r="G167" s="4"/>
      <c r="H167" s="8"/>
      <c r="I167" s="7"/>
      <c r="J167" s="7"/>
      <c r="K167" s="4"/>
      <c r="L167" s="8"/>
      <c r="M167" s="4"/>
      <c r="N167" s="8"/>
      <c r="O167" s="7"/>
      <c r="P167" s="7"/>
    </row>
    <row r="168">
      <c r="A168" s="2" t="s">
        <v>958</v>
      </c>
      <c r="B168" s="2" t="s">
        <v>1743</v>
      </c>
      <c r="C168" s="2" t="s">
        <v>987</v>
      </c>
      <c r="D168" s="2" t="s">
        <v>988</v>
      </c>
      <c r="E168" s="4"/>
      <c r="F168" s="8"/>
      <c r="G168" s="4"/>
      <c r="H168" s="8"/>
      <c r="I168" s="7"/>
      <c r="J168" s="7"/>
      <c r="K168" s="4"/>
      <c r="L168" s="8"/>
      <c r="M168" s="4"/>
      <c r="N168" s="8"/>
      <c r="O168" s="7"/>
      <c r="P168" s="7"/>
    </row>
    <row r="169">
      <c r="A169" s="2" t="s">
        <v>958</v>
      </c>
      <c r="B169" s="2" t="s">
        <v>1743</v>
      </c>
      <c r="C169" s="2" t="s">
        <v>1795</v>
      </c>
      <c r="D169" s="2" t="s">
        <v>1796</v>
      </c>
      <c r="E169" s="4"/>
      <c r="F169" s="8"/>
      <c r="G169" s="4"/>
      <c r="H169" s="8"/>
      <c r="I169" s="7"/>
      <c r="J169" s="7"/>
      <c r="K169" s="4"/>
      <c r="L169" s="8"/>
      <c r="M169" s="4"/>
      <c r="N169" s="8"/>
      <c r="O169" s="7"/>
      <c r="P169" s="7"/>
    </row>
    <row r="170">
      <c r="A170" s="2" t="s">
        <v>958</v>
      </c>
      <c r="B170" s="2" t="s">
        <v>1743</v>
      </c>
      <c r="C170" s="2" t="s">
        <v>2144</v>
      </c>
      <c r="D170" s="2" t="s">
        <v>2145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958</v>
      </c>
      <c r="B171" s="2" t="s">
        <v>835</v>
      </c>
      <c r="C171" s="2" t="s">
        <v>1564</v>
      </c>
      <c r="D171" s="2" t="s">
        <v>1565</v>
      </c>
      <c r="E171" s="4" t="s">
        <v>228</v>
      </c>
      <c r="F171" s="8" t="s">
        <v>228</v>
      </c>
      <c r="G171" s="4" t="s">
        <v>228</v>
      </c>
      <c r="H171" s="8" t="s">
        <v>228</v>
      </c>
      <c r="I171" s="7" t="s">
        <v>228</v>
      </c>
      <c r="J171" s="7" t="s">
        <v>228</v>
      </c>
      <c r="K171" s="4"/>
      <c r="L171" s="8"/>
      <c r="M171" s="4"/>
      <c r="N171" s="8"/>
      <c r="O171" s="7"/>
      <c r="P171" s="7"/>
    </row>
    <row r="172">
      <c r="A172" s="2" t="s">
        <v>958</v>
      </c>
      <c r="B172" s="2" t="s">
        <v>835</v>
      </c>
      <c r="C172" s="2" t="s">
        <v>1564</v>
      </c>
      <c r="D172" s="2" t="s">
        <v>1692</v>
      </c>
      <c r="E172" s="4" t="s">
        <v>228</v>
      </c>
      <c r="F172" s="8" t="s">
        <v>228</v>
      </c>
      <c r="G172" s="4" t="s">
        <v>228</v>
      </c>
      <c r="H172" s="8" t="s">
        <v>228</v>
      </c>
      <c r="I172" s="7" t="s">
        <v>228</v>
      </c>
      <c r="J172" s="7" t="s">
        <v>228</v>
      </c>
      <c r="K172" s="4"/>
      <c r="L172" s="8"/>
      <c r="M172" s="4"/>
      <c r="N172" s="8"/>
      <c r="O172" s="7"/>
      <c r="P172" s="7"/>
    </row>
    <row r="173">
      <c r="A173" s="2" t="s">
        <v>958</v>
      </c>
      <c r="B173" s="2" t="s">
        <v>835</v>
      </c>
      <c r="C173" s="2" t="s">
        <v>959</v>
      </c>
      <c r="D173" s="2" t="s">
        <v>2560</v>
      </c>
      <c r="E173" s="4" t="s">
        <v>228</v>
      </c>
      <c r="F173" s="8" t="s">
        <v>228</v>
      </c>
      <c r="G173" s="4" t="s">
        <v>228</v>
      </c>
      <c r="H173" s="8" t="s">
        <v>228</v>
      </c>
      <c r="I173" s="7" t="s">
        <v>228</v>
      </c>
      <c r="J173" s="7" t="s">
        <v>228</v>
      </c>
      <c r="K173" s="4"/>
      <c r="L173" s="8"/>
      <c r="M173" s="4"/>
      <c r="N173" s="8"/>
      <c r="O173" s="7"/>
      <c r="P173" s="7"/>
    </row>
    <row r="174">
      <c r="A174" s="2" t="s">
        <v>958</v>
      </c>
      <c r="B174" s="2" t="s">
        <v>835</v>
      </c>
      <c r="C174" s="2" t="s">
        <v>959</v>
      </c>
      <c r="D174" s="2" t="s">
        <v>3094</v>
      </c>
      <c r="E174" s="4" t="s">
        <v>228</v>
      </c>
      <c r="F174" s="8" t="s">
        <v>228</v>
      </c>
      <c r="G174" s="4" t="s">
        <v>228</v>
      </c>
      <c r="H174" s="8" t="s">
        <v>228</v>
      </c>
      <c r="I174" s="7" t="s">
        <v>228</v>
      </c>
      <c r="J174" s="7" t="s">
        <v>228</v>
      </c>
      <c r="K174" s="4"/>
      <c r="L174" s="8"/>
      <c r="M174" s="4"/>
      <c r="N174" s="8"/>
      <c r="O174" s="7"/>
      <c r="P174" s="7"/>
    </row>
    <row r="175">
      <c r="A175" s="2" t="s">
        <v>958</v>
      </c>
      <c r="B175" s="2" t="s">
        <v>835</v>
      </c>
      <c r="C175" s="2" t="s">
        <v>959</v>
      </c>
      <c r="D175" s="2" t="s">
        <v>960</v>
      </c>
      <c r="E175" s="4" t="s">
        <v>228</v>
      </c>
      <c r="F175" s="8" t="s">
        <v>228</v>
      </c>
      <c r="G175" s="4" t="s">
        <v>228</v>
      </c>
      <c r="H175" s="8" t="s">
        <v>228</v>
      </c>
      <c r="I175" s="7" t="s">
        <v>228</v>
      </c>
      <c r="J175" s="7" t="s">
        <v>228</v>
      </c>
      <c r="K175" s="4"/>
      <c r="L175" s="8"/>
      <c r="M175" s="4"/>
      <c r="N175" s="8"/>
      <c r="O175" s="7"/>
      <c r="P175" s="7"/>
    </row>
    <row r="176">
      <c r="A176" s="2" t="s">
        <v>958</v>
      </c>
      <c r="B176" s="2" t="s">
        <v>835</v>
      </c>
      <c r="C176" s="2" t="s">
        <v>2117</v>
      </c>
      <c r="D176" s="2" t="s">
        <v>3992</v>
      </c>
      <c r="E176" s="4"/>
      <c r="F176" s="8"/>
      <c r="G176" s="4"/>
      <c r="H176" s="8"/>
      <c r="I176" s="7"/>
      <c r="J176" s="7"/>
      <c r="K176" s="4"/>
      <c r="L176" s="8"/>
      <c r="M176" s="4"/>
      <c r="N176" s="8"/>
      <c r="O176" s="7"/>
      <c r="P176" s="7"/>
    </row>
    <row r="177">
      <c r="A177" s="2" t="s">
        <v>958</v>
      </c>
      <c r="B177" s="2" t="s">
        <v>835</v>
      </c>
      <c r="C177" s="2" t="s">
        <v>3271</v>
      </c>
      <c r="D177" s="2" t="s">
        <v>7894</v>
      </c>
      <c r="E177" s="4"/>
      <c r="F177" s="8"/>
      <c r="G177" s="4"/>
      <c r="H177" s="8"/>
      <c r="I177" s="7"/>
      <c r="J177" s="7"/>
      <c r="K177" s="4"/>
      <c r="L177" s="8"/>
      <c r="M177" s="4"/>
      <c r="N177" s="8"/>
      <c r="O177" s="7"/>
      <c r="P177" s="7"/>
    </row>
    <row r="178">
      <c r="A178" s="2" t="s">
        <v>958</v>
      </c>
      <c r="B178" s="2" t="s">
        <v>835</v>
      </c>
      <c r="C178" s="2" t="s">
        <v>1790</v>
      </c>
      <c r="D178" s="2" t="s">
        <v>3370</v>
      </c>
      <c r="E178" s="4" t="s">
        <v>228</v>
      </c>
      <c r="F178" s="8" t="s">
        <v>228</v>
      </c>
      <c r="G178" s="4" t="s">
        <v>228</v>
      </c>
      <c r="H178" s="8" t="s">
        <v>228</v>
      </c>
      <c r="I178" s="7" t="s">
        <v>228</v>
      </c>
      <c r="J178" s="7" t="s">
        <v>228</v>
      </c>
      <c r="K178" s="4"/>
      <c r="L178" s="8"/>
      <c r="M178" s="4"/>
      <c r="N178" s="8"/>
      <c r="O178" s="7"/>
      <c r="P178" s="7"/>
    </row>
    <row r="179">
      <c r="A179" s="2" t="s">
        <v>958</v>
      </c>
      <c r="B179" s="2" t="s">
        <v>835</v>
      </c>
      <c r="C179" s="2" t="s">
        <v>1790</v>
      </c>
      <c r="D179" s="2" t="s">
        <v>1791</v>
      </c>
      <c r="E179" s="4" t="s">
        <v>228</v>
      </c>
      <c r="F179" s="8" t="s">
        <v>228</v>
      </c>
      <c r="G179" s="4" t="s">
        <v>228</v>
      </c>
      <c r="H179" s="8" t="s">
        <v>228</v>
      </c>
      <c r="I179" s="7" t="s">
        <v>228</v>
      </c>
      <c r="J179" s="7" t="s">
        <v>228</v>
      </c>
      <c r="K179" s="4"/>
      <c r="L179" s="8"/>
      <c r="M179" s="4"/>
      <c r="N179" s="8"/>
      <c r="O179" s="7"/>
      <c r="P179" s="7"/>
    </row>
    <row r="180">
      <c r="A180" s="2" t="s">
        <v>958</v>
      </c>
      <c r="B180" s="2" t="s">
        <v>835</v>
      </c>
      <c r="C180" s="2" t="s">
        <v>1790</v>
      </c>
      <c r="D180" s="2" t="s">
        <v>1007</v>
      </c>
      <c r="E180" s="4" t="s">
        <v>228</v>
      </c>
      <c r="F180" s="8" t="s">
        <v>228</v>
      </c>
      <c r="G180" s="4" t="s">
        <v>228</v>
      </c>
      <c r="H180" s="8" t="s">
        <v>228</v>
      </c>
      <c r="I180" s="7" t="s">
        <v>228</v>
      </c>
      <c r="J180" s="7" t="s">
        <v>228</v>
      </c>
      <c r="K180" s="4"/>
      <c r="L180" s="8"/>
      <c r="M180" s="4"/>
      <c r="N180" s="8"/>
      <c r="O180" s="7"/>
      <c r="P180" s="7"/>
    </row>
    <row r="181">
      <c r="A181" s="2" t="s">
        <v>958</v>
      </c>
      <c r="B181" s="2" t="s">
        <v>835</v>
      </c>
      <c r="C181" s="2" t="s">
        <v>1257</v>
      </c>
      <c r="D181" s="2" t="s">
        <v>2091</v>
      </c>
      <c r="E181" s="4"/>
      <c r="F181" s="8"/>
      <c r="G181" s="4"/>
      <c r="H181" s="8"/>
      <c r="I181" s="7"/>
      <c r="J181" s="7"/>
      <c r="K181" s="4"/>
      <c r="L181" s="8"/>
      <c r="M181" s="4"/>
      <c r="N181" s="8"/>
      <c r="O181" s="7"/>
      <c r="P181" s="7"/>
    </row>
    <row r="182">
      <c r="A182" s="2" t="s">
        <v>958</v>
      </c>
      <c r="B182" s="2" t="s">
        <v>835</v>
      </c>
      <c r="C182" s="2" t="s">
        <v>987</v>
      </c>
      <c r="D182" s="2" t="s">
        <v>988</v>
      </c>
      <c r="E182" s="4"/>
      <c r="F182" s="8"/>
      <c r="G182" s="4"/>
      <c r="H182" s="8"/>
      <c r="I182" s="7"/>
      <c r="J182" s="7"/>
      <c r="K182" s="4"/>
      <c r="L182" s="8"/>
      <c r="M182" s="4"/>
      <c r="N182" s="8"/>
      <c r="O182" s="7"/>
      <c r="P182" s="7"/>
    </row>
    <row r="183">
      <c r="A183" s="2" t="s">
        <v>958</v>
      </c>
      <c r="B183" s="2" t="s">
        <v>835</v>
      </c>
      <c r="C183" s="2" t="s">
        <v>5518</v>
      </c>
      <c r="D183" s="2" t="s">
        <v>5519</v>
      </c>
      <c r="E183" s="4"/>
      <c r="F183" s="8"/>
      <c r="G183" s="4"/>
      <c r="H183" s="8"/>
      <c r="I183" s="7"/>
      <c r="J183" s="7"/>
      <c r="K183" s="4"/>
      <c r="L183" s="8"/>
      <c r="M183" s="4"/>
      <c r="N183" s="8"/>
      <c r="O183" s="7"/>
      <c r="P183" s="7"/>
    </row>
    <row r="184">
      <c r="A184" s="2" t="s">
        <v>958</v>
      </c>
      <c r="B184" s="2" t="s">
        <v>835</v>
      </c>
      <c r="C184" s="2" t="s">
        <v>1795</v>
      </c>
      <c r="D184" s="2" t="s">
        <v>10358</v>
      </c>
      <c r="E184" s="4" t="s">
        <v>228</v>
      </c>
      <c r="F184" s="8" t="s">
        <v>228</v>
      </c>
      <c r="G184" s="4" t="s">
        <v>228</v>
      </c>
      <c r="H184" s="8" t="s">
        <v>228</v>
      </c>
      <c r="I184" s="7" t="s">
        <v>228</v>
      </c>
      <c r="J184" s="7" t="s">
        <v>228</v>
      </c>
      <c r="K184" s="4"/>
      <c r="L184" s="8"/>
      <c r="M184" s="4"/>
      <c r="N184" s="8"/>
      <c r="O184" s="7"/>
      <c r="P184" s="7"/>
    </row>
    <row r="185">
      <c r="A185" s="2" t="s">
        <v>958</v>
      </c>
      <c r="B185" s="2" t="s">
        <v>835</v>
      </c>
      <c r="C185" s="2" t="s">
        <v>1795</v>
      </c>
      <c r="D185" s="2" t="s">
        <v>1796</v>
      </c>
      <c r="E185" s="4" t="s">
        <v>228</v>
      </c>
      <c r="F185" s="8" t="s">
        <v>228</v>
      </c>
      <c r="G185" s="4" t="s">
        <v>228</v>
      </c>
      <c r="H185" s="8" t="s">
        <v>228</v>
      </c>
      <c r="I185" s="7" t="s">
        <v>228</v>
      </c>
      <c r="J185" s="7" t="s">
        <v>228</v>
      </c>
      <c r="K185" s="4"/>
      <c r="L185" s="8"/>
      <c r="M185" s="4"/>
      <c r="N185" s="8"/>
      <c r="O185" s="7"/>
      <c r="P185" s="7"/>
    </row>
    <row r="186">
      <c r="A186" s="2" t="s">
        <v>958</v>
      </c>
      <c r="B186" s="2" t="s">
        <v>835</v>
      </c>
      <c r="C186" s="2" t="s">
        <v>1795</v>
      </c>
      <c r="D186" s="2" t="s">
        <v>2165</v>
      </c>
      <c r="E186" s="4" t="s">
        <v>228</v>
      </c>
      <c r="F186" s="8" t="s">
        <v>228</v>
      </c>
      <c r="G186" s="4" t="s">
        <v>228</v>
      </c>
      <c r="H186" s="8" t="s">
        <v>228</v>
      </c>
      <c r="I186" s="7" t="s">
        <v>228</v>
      </c>
      <c r="J186" s="7" t="s">
        <v>228</v>
      </c>
      <c r="K186" s="4"/>
      <c r="L186" s="8"/>
      <c r="M186" s="4"/>
      <c r="N186" s="8"/>
      <c r="O186" s="7"/>
      <c r="P186" s="7"/>
    </row>
    <row r="187">
      <c r="A187" s="2" t="s">
        <v>958</v>
      </c>
      <c r="B187" s="2" t="s">
        <v>835</v>
      </c>
      <c r="C187" s="2" t="s">
        <v>2164</v>
      </c>
      <c r="D187" s="2" t="s">
        <v>2165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958</v>
      </c>
      <c r="B188" s="2" t="s">
        <v>835</v>
      </c>
      <c r="C188" s="2" t="s">
        <v>9587</v>
      </c>
      <c r="D188" s="2" t="s">
        <v>9588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958</v>
      </c>
      <c r="B189" s="2" t="s">
        <v>835</v>
      </c>
      <c r="C189" s="2" t="s">
        <v>1006</v>
      </c>
      <c r="D189" s="2" t="s">
        <v>1007</v>
      </c>
      <c r="E189" s="4"/>
      <c r="F189" s="8"/>
      <c r="G189" s="4"/>
      <c r="H189" s="8"/>
      <c r="I189" s="7"/>
      <c r="J189" s="7"/>
      <c r="K189" s="4"/>
      <c r="L189" s="8"/>
      <c r="M189" s="4"/>
      <c r="N189" s="8"/>
      <c r="O189" s="7"/>
      <c r="P189" s="7"/>
    </row>
    <row r="190">
      <c r="A190" s="2" t="s">
        <v>958</v>
      </c>
      <c r="B190" s="2" t="s">
        <v>835</v>
      </c>
      <c r="C190" s="2" t="s">
        <v>2122</v>
      </c>
      <c r="D190" s="2" t="s">
        <v>2123</v>
      </c>
      <c r="E190" s="4"/>
      <c r="F190" s="8"/>
      <c r="G190" s="4"/>
      <c r="H190" s="8"/>
      <c r="I190" s="7"/>
      <c r="J190" s="7"/>
      <c r="K190" s="4"/>
      <c r="L190" s="8"/>
      <c r="M190" s="4"/>
      <c r="N190" s="8"/>
      <c r="O190" s="7"/>
      <c r="P190" s="7"/>
    </row>
    <row r="191">
      <c r="A191" s="2" t="s">
        <v>958</v>
      </c>
      <c r="B191" s="2" t="s">
        <v>835</v>
      </c>
      <c r="C191" s="2" t="s">
        <v>2144</v>
      </c>
      <c r="D191" s="2" t="s">
        <v>6389</v>
      </c>
      <c r="E191" s="4" t="s">
        <v>228</v>
      </c>
      <c r="F191" s="8" t="s">
        <v>228</v>
      </c>
      <c r="G191" s="4" t="s">
        <v>228</v>
      </c>
      <c r="H191" s="8" t="s">
        <v>228</v>
      </c>
      <c r="I191" s="7" t="s">
        <v>228</v>
      </c>
      <c r="J191" s="7" t="s">
        <v>228</v>
      </c>
      <c r="K191" s="4"/>
      <c r="L191" s="8"/>
      <c r="M191" s="4"/>
      <c r="N191" s="8"/>
      <c r="O191" s="7"/>
      <c r="P191" s="7"/>
    </row>
    <row r="192">
      <c r="A192" s="2" t="s">
        <v>958</v>
      </c>
      <c r="B192" s="2" t="s">
        <v>835</v>
      </c>
      <c r="C192" s="2" t="s">
        <v>2144</v>
      </c>
      <c r="D192" s="2" t="s">
        <v>7204</v>
      </c>
      <c r="E192" s="4" t="s">
        <v>228</v>
      </c>
      <c r="F192" s="8" t="s">
        <v>228</v>
      </c>
      <c r="G192" s="4" t="s">
        <v>228</v>
      </c>
      <c r="H192" s="8" t="s">
        <v>228</v>
      </c>
      <c r="I192" s="7" t="s">
        <v>228</v>
      </c>
      <c r="J192" s="7" t="s">
        <v>228</v>
      </c>
      <c r="K192" s="4"/>
      <c r="L192" s="8"/>
      <c r="M192" s="4"/>
      <c r="N192" s="8"/>
      <c r="O192" s="7"/>
      <c r="P192" s="7"/>
    </row>
    <row r="193">
      <c r="A193" s="2" t="s">
        <v>958</v>
      </c>
      <c r="B193" s="2" t="s">
        <v>835</v>
      </c>
      <c r="C193" s="2" t="s">
        <v>2144</v>
      </c>
      <c r="D193" s="2" t="s">
        <v>3272</v>
      </c>
      <c r="E193" s="4" t="s">
        <v>228</v>
      </c>
      <c r="F193" s="8" t="s">
        <v>228</v>
      </c>
      <c r="G193" s="4" t="s">
        <v>228</v>
      </c>
      <c r="H193" s="8" t="s">
        <v>228</v>
      </c>
      <c r="I193" s="7" t="s">
        <v>228</v>
      </c>
      <c r="J193" s="7" t="s">
        <v>228</v>
      </c>
      <c r="K193" s="4"/>
      <c r="L193" s="8"/>
      <c r="M193" s="4"/>
      <c r="N193" s="8"/>
      <c r="O193" s="7"/>
      <c r="P193" s="7"/>
    </row>
    <row r="194">
      <c r="A194" s="2" t="s">
        <v>958</v>
      </c>
      <c r="B194" s="2" t="s">
        <v>835</v>
      </c>
      <c r="C194" s="2" t="s">
        <v>2144</v>
      </c>
      <c r="D194" s="2" t="s">
        <v>2145</v>
      </c>
      <c r="E194" s="4" t="s">
        <v>228</v>
      </c>
      <c r="F194" s="8" t="s">
        <v>228</v>
      </c>
      <c r="G194" s="4" t="s">
        <v>228</v>
      </c>
      <c r="H194" s="8" t="s">
        <v>228</v>
      </c>
      <c r="I194" s="7" t="s">
        <v>228</v>
      </c>
      <c r="J194" s="7" t="s">
        <v>228</v>
      </c>
      <c r="K194" s="4"/>
      <c r="L194" s="8"/>
      <c r="M194" s="4"/>
      <c r="N194" s="8"/>
      <c r="O194" s="7"/>
      <c r="P194" s="7"/>
    </row>
    <row r="195">
      <c r="A195" s="2" t="s">
        <v>958</v>
      </c>
      <c r="B195" s="2" t="s">
        <v>835</v>
      </c>
      <c r="C195" s="2" t="s">
        <v>2256</v>
      </c>
      <c r="D195" s="2" t="s">
        <v>2257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958</v>
      </c>
      <c r="B196" s="2" t="s">
        <v>835</v>
      </c>
      <c r="C196" s="2" t="s">
        <v>7940</v>
      </c>
      <c r="D196" s="2" t="s">
        <v>2560</v>
      </c>
      <c r="E196" s="4" t="s">
        <v>228</v>
      </c>
      <c r="F196" s="8" t="s">
        <v>228</v>
      </c>
      <c r="G196" s="4" t="s">
        <v>228</v>
      </c>
      <c r="H196" s="8" t="s">
        <v>228</v>
      </c>
      <c r="I196" s="7" t="s">
        <v>228</v>
      </c>
      <c r="J196" s="7" t="s">
        <v>228</v>
      </c>
      <c r="K196" s="4"/>
      <c r="L196" s="8"/>
      <c r="M196" s="4"/>
      <c r="N196" s="8"/>
      <c r="O196" s="7"/>
      <c r="P196" s="7"/>
    </row>
    <row r="197">
      <c r="A197" s="2" t="s">
        <v>958</v>
      </c>
      <c r="B197" s="2" t="s">
        <v>835</v>
      </c>
      <c r="C197" s="2" t="s">
        <v>7940</v>
      </c>
      <c r="D197" s="2" t="s">
        <v>8414</v>
      </c>
      <c r="E197" s="4" t="s">
        <v>228</v>
      </c>
      <c r="F197" s="8" t="s">
        <v>228</v>
      </c>
      <c r="G197" s="4" t="s">
        <v>228</v>
      </c>
      <c r="H197" s="8" t="s">
        <v>228</v>
      </c>
      <c r="I197" s="7" t="s">
        <v>228</v>
      </c>
      <c r="J197" s="7" t="s">
        <v>228</v>
      </c>
      <c r="K197" s="4"/>
      <c r="L197" s="8"/>
      <c r="M197" s="4"/>
      <c r="N197" s="8"/>
      <c r="O197" s="7"/>
      <c r="P197" s="7"/>
    </row>
    <row r="198">
      <c r="A198" s="2" t="s">
        <v>958</v>
      </c>
      <c r="B198" s="2" t="s">
        <v>835</v>
      </c>
      <c r="C198" s="2" t="s">
        <v>7940</v>
      </c>
      <c r="D198" s="2" t="s">
        <v>3094</v>
      </c>
      <c r="E198" s="4" t="s">
        <v>228</v>
      </c>
      <c r="F198" s="8" t="s">
        <v>228</v>
      </c>
      <c r="G198" s="4" t="s">
        <v>228</v>
      </c>
      <c r="H198" s="8" t="s">
        <v>228</v>
      </c>
      <c r="I198" s="7" t="s">
        <v>228</v>
      </c>
      <c r="J198" s="7" t="s">
        <v>228</v>
      </c>
      <c r="K198" s="4"/>
      <c r="L198" s="8"/>
      <c r="M198" s="4"/>
      <c r="N198" s="8"/>
      <c r="O198" s="7"/>
      <c r="P198" s="7"/>
    </row>
    <row r="199">
      <c r="A199" s="2" t="s">
        <v>958</v>
      </c>
      <c r="B199" s="2" t="s">
        <v>835</v>
      </c>
      <c r="C199" s="2" t="s">
        <v>7940</v>
      </c>
      <c r="D199" s="2" t="s">
        <v>2257</v>
      </c>
      <c r="E199" s="4" t="s">
        <v>228</v>
      </c>
      <c r="F199" s="8" t="s">
        <v>228</v>
      </c>
      <c r="G199" s="4" t="s">
        <v>228</v>
      </c>
      <c r="H199" s="8" t="s">
        <v>228</v>
      </c>
      <c r="I199" s="7" t="s">
        <v>228</v>
      </c>
      <c r="J199" s="7" t="s">
        <v>228</v>
      </c>
      <c r="K199" s="4"/>
      <c r="L199" s="8"/>
      <c r="M199" s="4"/>
      <c r="N199" s="8"/>
      <c r="O199" s="7"/>
      <c r="P199" s="7"/>
    </row>
    <row r="200">
      <c r="A200" s="2" t="s">
        <v>958</v>
      </c>
      <c r="B200" s="2" t="s">
        <v>835</v>
      </c>
      <c r="C200" s="2" t="s">
        <v>7940</v>
      </c>
      <c r="D200" s="2" t="s">
        <v>8406</v>
      </c>
      <c r="E200" s="4" t="s">
        <v>228</v>
      </c>
      <c r="F200" s="8" t="s">
        <v>228</v>
      </c>
      <c r="G200" s="4" t="s">
        <v>228</v>
      </c>
      <c r="H200" s="8" t="s">
        <v>228</v>
      </c>
      <c r="I200" s="7" t="s">
        <v>228</v>
      </c>
      <c r="J200" s="7" t="s">
        <v>228</v>
      </c>
      <c r="K200" s="4"/>
      <c r="L200" s="8"/>
      <c r="M200" s="4"/>
      <c r="N200" s="8"/>
      <c r="O200" s="7"/>
      <c r="P200" s="7"/>
    </row>
    <row r="201">
      <c r="A201" s="2" t="s">
        <v>958</v>
      </c>
      <c r="B201" s="2" t="s">
        <v>300</v>
      </c>
      <c r="C201" s="2" t="s">
        <v>1564</v>
      </c>
      <c r="D201" s="2" t="s">
        <v>1692</v>
      </c>
      <c r="E201" s="4"/>
      <c r="F201" s="8"/>
      <c r="G201" s="4"/>
      <c r="H201" s="8"/>
      <c r="I201" s="7"/>
      <c r="J201" s="7"/>
      <c r="K201" s="4"/>
      <c r="L201" s="8"/>
      <c r="M201" s="4"/>
      <c r="N201" s="8"/>
      <c r="O201" s="7"/>
      <c r="P201" s="7"/>
    </row>
    <row r="202">
      <c r="A202" s="2" t="s">
        <v>958</v>
      </c>
      <c r="B202" s="2" t="s">
        <v>300</v>
      </c>
      <c r="C202" s="2" t="s">
        <v>959</v>
      </c>
      <c r="D202" s="2" t="s">
        <v>3094</v>
      </c>
      <c r="E202" s="4" t="s">
        <v>228</v>
      </c>
      <c r="F202" s="8" t="s">
        <v>228</v>
      </c>
      <c r="G202" s="4" t="s">
        <v>228</v>
      </c>
      <c r="H202" s="8" t="s">
        <v>228</v>
      </c>
      <c r="I202" s="7" t="s">
        <v>228</v>
      </c>
      <c r="J202" s="7" t="s">
        <v>228</v>
      </c>
      <c r="K202" s="4"/>
      <c r="L202" s="8"/>
      <c r="M202" s="4"/>
      <c r="N202" s="8"/>
      <c r="O202" s="7"/>
      <c r="P202" s="7"/>
    </row>
    <row r="203">
      <c r="A203" s="2" t="s">
        <v>958</v>
      </c>
      <c r="B203" s="2" t="s">
        <v>300</v>
      </c>
      <c r="C203" s="2" t="s">
        <v>959</v>
      </c>
      <c r="D203" s="2" t="s">
        <v>7269</v>
      </c>
      <c r="E203" s="4" t="s">
        <v>228</v>
      </c>
      <c r="F203" s="8" t="s">
        <v>228</v>
      </c>
      <c r="G203" s="4" t="s">
        <v>228</v>
      </c>
      <c r="H203" s="8" t="s">
        <v>228</v>
      </c>
      <c r="I203" s="7" t="s">
        <v>228</v>
      </c>
      <c r="J203" s="7" t="s">
        <v>228</v>
      </c>
      <c r="K203" s="4"/>
      <c r="L203" s="8"/>
      <c r="M203" s="4"/>
      <c r="N203" s="8"/>
      <c r="O203" s="7"/>
      <c r="P203" s="7"/>
    </row>
    <row r="204">
      <c r="A204" s="2" t="s">
        <v>958</v>
      </c>
      <c r="B204" s="2" t="s">
        <v>300</v>
      </c>
      <c r="C204" s="2" t="s">
        <v>959</v>
      </c>
      <c r="D204" s="2" t="s">
        <v>960</v>
      </c>
      <c r="E204" s="4" t="s">
        <v>228</v>
      </c>
      <c r="F204" s="8" t="s">
        <v>228</v>
      </c>
      <c r="G204" s="4" t="s">
        <v>228</v>
      </c>
      <c r="H204" s="8" t="s">
        <v>228</v>
      </c>
      <c r="I204" s="7" t="s">
        <v>228</v>
      </c>
      <c r="J204" s="7" t="s">
        <v>228</v>
      </c>
      <c r="K204" s="4"/>
      <c r="L204" s="8"/>
      <c r="M204" s="4"/>
      <c r="N204" s="8"/>
      <c r="O204" s="7"/>
      <c r="P204" s="7"/>
    </row>
    <row r="205">
      <c r="A205" s="2" t="s">
        <v>958</v>
      </c>
      <c r="B205" s="2" t="s">
        <v>300</v>
      </c>
      <c r="C205" s="2" t="s">
        <v>2117</v>
      </c>
      <c r="D205" s="2" t="s">
        <v>3988</v>
      </c>
      <c r="E205" s="4" t="s">
        <v>228</v>
      </c>
      <c r="F205" s="8" t="s">
        <v>228</v>
      </c>
      <c r="G205" s="4" t="s">
        <v>228</v>
      </c>
      <c r="H205" s="8" t="s">
        <v>228</v>
      </c>
      <c r="I205" s="7" t="s">
        <v>228</v>
      </c>
      <c r="J205" s="7" t="s">
        <v>228</v>
      </c>
      <c r="K205" s="4"/>
      <c r="L205" s="8"/>
      <c r="M205" s="4"/>
      <c r="N205" s="8"/>
      <c r="O205" s="7"/>
      <c r="P205" s="7"/>
    </row>
    <row r="206">
      <c r="A206" s="2" t="s">
        <v>958</v>
      </c>
      <c r="B206" s="2" t="s">
        <v>300</v>
      </c>
      <c r="C206" s="2" t="s">
        <v>2117</v>
      </c>
      <c r="D206" s="2" t="s">
        <v>2118</v>
      </c>
      <c r="E206" s="4" t="s">
        <v>228</v>
      </c>
      <c r="F206" s="8" t="s">
        <v>228</v>
      </c>
      <c r="G206" s="4" t="s">
        <v>228</v>
      </c>
      <c r="H206" s="8" t="s">
        <v>228</v>
      </c>
      <c r="I206" s="7" t="s">
        <v>228</v>
      </c>
      <c r="J206" s="7" t="s">
        <v>228</v>
      </c>
      <c r="K206" s="4"/>
      <c r="L206" s="8"/>
      <c r="M206" s="4"/>
      <c r="N206" s="8"/>
      <c r="O206" s="7"/>
      <c r="P206" s="7"/>
    </row>
    <row r="207">
      <c r="A207" s="2" t="s">
        <v>958</v>
      </c>
      <c r="B207" s="2" t="s">
        <v>300</v>
      </c>
      <c r="C207" s="2" t="s">
        <v>3271</v>
      </c>
      <c r="D207" s="2" t="s">
        <v>3272</v>
      </c>
      <c r="E207" s="4"/>
      <c r="F207" s="8"/>
      <c r="G207" s="4"/>
      <c r="H207" s="8"/>
      <c r="I207" s="7"/>
      <c r="J207" s="7"/>
      <c r="K207" s="4"/>
      <c r="L207" s="8"/>
      <c r="M207" s="4"/>
      <c r="N207" s="8"/>
      <c r="O207" s="7"/>
      <c r="P207" s="7"/>
    </row>
    <row r="208">
      <c r="A208" s="2" t="s">
        <v>958</v>
      </c>
      <c r="B208" s="2" t="s">
        <v>300</v>
      </c>
      <c r="C208" s="2" t="s">
        <v>1790</v>
      </c>
      <c r="D208" s="2" t="s">
        <v>3370</v>
      </c>
      <c r="E208" s="4" t="s">
        <v>228</v>
      </c>
      <c r="F208" s="8" t="s">
        <v>228</v>
      </c>
      <c r="G208" s="4" t="s">
        <v>228</v>
      </c>
      <c r="H208" s="8" t="s">
        <v>228</v>
      </c>
      <c r="I208" s="7" t="s">
        <v>228</v>
      </c>
      <c r="J208" s="7" t="s">
        <v>228</v>
      </c>
      <c r="K208" s="4"/>
      <c r="L208" s="8"/>
      <c r="M208" s="4"/>
      <c r="N208" s="8"/>
      <c r="O208" s="7"/>
      <c r="P208" s="7"/>
    </row>
    <row r="209">
      <c r="A209" s="2" t="s">
        <v>958</v>
      </c>
      <c r="B209" s="2" t="s">
        <v>300</v>
      </c>
      <c r="C209" s="2" t="s">
        <v>1790</v>
      </c>
      <c r="D209" s="2" t="s">
        <v>1791</v>
      </c>
      <c r="E209" s="4" t="s">
        <v>228</v>
      </c>
      <c r="F209" s="8" t="s">
        <v>228</v>
      </c>
      <c r="G209" s="4" t="s">
        <v>228</v>
      </c>
      <c r="H209" s="8" t="s">
        <v>228</v>
      </c>
      <c r="I209" s="7" t="s">
        <v>228</v>
      </c>
      <c r="J209" s="7" t="s">
        <v>228</v>
      </c>
      <c r="K209" s="4"/>
      <c r="L209" s="8"/>
      <c r="M209" s="4"/>
      <c r="N209" s="8"/>
      <c r="O209" s="7"/>
      <c r="P209" s="7"/>
    </row>
    <row r="210">
      <c r="A210" s="2" t="s">
        <v>958</v>
      </c>
      <c r="B210" s="2" t="s">
        <v>300</v>
      </c>
      <c r="C210" s="2" t="s">
        <v>4511</v>
      </c>
      <c r="D210" s="2" t="s">
        <v>4512</v>
      </c>
      <c r="E210" s="4"/>
      <c r="F210" s="8"/>
      <c r="G210" s="4"/>
      <c r="H210" s="8"/>
      <c r="I210" s="7"/>
      <c r="J210" s="7"/>
      <c r="K210" s="4"/>
      <c r="L210" s="8"/>
      <c r="M210" s="4"/>
      <c r="N210" s="8"/>
      <c r="O210" s="7"/>
      <c r="P210" s="7"/>
    </row>
    <row r="211">
      <c r="A211" s="2" t="s">
        <v>958</v>
      </c>
      <c r="B211" s="2" t="s">
        <v>300</v>
      </c>
      <c r="C211" s="2" t="s">
        <v>7565</v>
      </c>
      <c r="D211" s="2" t="s">
        <v>7566</v>
      </c>
      <c r="E211" s="4"/>
      <c r="F211" s="8"/>
      <c r="G211" s="4"/>
      <c r="H211" s="8"/>
      <c r="I211" s="7"/>
      <c r="J211" s="7"/>
      <c r="K211" s="4"/>
      <c r="L211" s="8"/>
      <c r="M211" s="4"/>
      <c r="N211" s="8"/>
      <c r="O211" s="7"/>
      <c r="P211" s="7"/>
    </row>
    <row r="212">
      <c r="A212" s="2" t="s">
        <v>958</v>
      </c>
      <c r="B212" s="2" t="s">
        <v>300</v>
      </c>
      <c r="C212" s="2" t="s">
        <v>987</v>
      </c>
      <c r="D212" s="2" t="s">
        <v>988</v>
      </c>
      <c r="E212" s="4"/>
      <c r="F212" s="8"/>
      <c r="G212" s="4"/>
      <c r="H212" s="8"/>
      <c r="I212" s="7"/>
      <c r="J212" s="7"/>
      <c r="K212" s="4"/>
      <c r="L212" s="8"/>
      <c r="M212" s="4"/>
      <c r="N212" s="8"/>
      <c r="O212" s="7"/>
      <c r="P212" s="7"/>
    </row>
    <row r="213">
      <c r="A213" s="2" t="s">
        <v>958</v>
      </c>
      <c r="B213" s="2" t="s">
        <v>300</v>
      </c>
      <c r="C213" s="2" t="s">
        <v>1795</v>
      </c>
      <c r="D213" s="2" t="s">
        <v>3094</v>
      </c>
      <c r="E213" s="4" t="s">
        <v>228</v>
      </c>
      <c r="F213" s="8" t="s">
        <v>228</v>
      </c>
      <c r="G213" s="4" t="s">
        <v>228</v>
      </c>
      <c r="H213" s="8" t="s">
        <v>228</v>
      </c>
      <c r="I213" s="7" t="s">
        <v>228</v>
      </c>
      <c r="J213" s="7" t="s">
        <v>228</v>
      </c>
      <c r="K213" s="4"/>
      <c r="L213" s="8"/>
      <c r="M213" s="4"/>
      <c r="N213" s="8"/>
      <c r="O213" s="7"/>
      <c r="P213" s="7"/>
    </row>
    <row r="214">
      <c r="A214" s="2" t="s">
        <v>958</v>
      </c>
      <c r="B214" s="2" t="s">
        <v>300</v>
      </c>
      <c r="C214" s="2" t="s">
        <v>1795</v>
      </c>
      <c r="D214" s="2" t="s">
        <v>1796</v>
      </c>
      <c r="E214" s="4" t="s">
        <v>228</v>
      </c>
      <c r="F214" s="8" t="s">
        <v>228</v>
      </c>
      <c r="G214" s="4" t="s">
        <v>228</v>
      </c>
      <c r="H214" s="8" t="s">
        <v>228</v>
      </c>
      <c r="I214" s="7" t="s">
        <v>228</v>
      </c>
      <c r="J214" s="7" t="s">
        <v>228</v>
      </c>
      <c r="K214" s="4"/>
      <c r="L214" s="8"/>
      <c r="M214" s="4"/>
      <c r="N214" s="8"/>
      <c r="O214" s="7"/>
      <c r="P214" s="7"/>
    </row>
    <row r="215">
      <c r="A215" s="2" t="s">
        <v>958</v>
      </c>
      <c r="B215" s="2" t="s">
        <v>300</v>
      </c>
      <c r="C215" s="2" t="s">
        <v>2164</v>
      </c>
      <c r="D215" s="2" t="s">
        <v>2165</v>
      </c>
      <c r="E215" s="4"/>
      <c r="F215" s="8"/>
      <c r="G215" s="4"/>
      <c r="H215" s="8"/>
      <c r="I215" s="7"/>
      <c r="J215" s="7"/>
      <c r="K215" s="4"/>
      <c r="L215" s="8"/>
      <c r="M215" s="4"/>
      <c r="N215" s="8"/>
      <c r="O215" s="7"/>
      <c r="P215" s="7"/>
    </row>
    <row r="216">
      <c r="A216" s="2" t="s">
        <v>958</v>
      </c>
      <c r="B216" s="2" t="s">
        <v>300</v>
      </c>
      <c r="C216" s="2" t="s">
        <v>1913</v>
      </c>
      <c r="D216" s="2" t="s">
        <v>1914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958</v>
      </c>
      <c r="B217" s="2" t="s">
        <v>300</v>
      </c>
      <c r="C217" s="2" t="s">
        <v>1006</v>
      </c>
      <c r="D217" s="2" t="s">
        <v>1766</v>
      </c>
      <c r="E217" s="4" t="s">
        <v>228</v>
      </c>
      <c r="F217" s="8" t="s">
        <v>228</v>
      </c>
      <c r="G217" s="4" t="s">
        <v>228</v>
      </c>
      <c r="H217" s="8" t="s">
        <v>228</v>
      </c>
      <c r="I217" s="7" t="s">
        <v>228</v>
      </c>
      <c r="J217" s="7" t="s">
        <v>228</v>
      </c>
      <c r="K217" s="4"/>
      <c r="L217" s="8"/>
      <c r="M217" s="4"/>
      <c r="N217" s="8"/>
      <c r="O217" s="7"/>
      <c r="P217" s="7"/>
    </row>
    <row r="218">
      <c r="A218" s="2" t="s">
        <v>958</v>
      </c>
      <c r="B218" s="2" t="s">
        <v>300</v>
      </c>
      <c r="C218" s="2" t="s">
        <v>1006</v>
      </c>
      <c r="D218" s="2" t="s">
        <v>1007</v>
      </c>
      <c r="E218" s="4" t="s">
        <v>228</v>
      </c>
      <c r="F218" s="8" t="s">
        <v>228</v>
      </c>
      <c r="G218" s="4" t="s">
        <v>228</v>
      </c>
      <c r="H218" s="8" t="s">
        <v>228</v>
      </c>
      <c r="I218" s="7" t="s">
        <v>228</v>
      </c>
      <c r="J218" s="7" t="s">
        <v>228</v>
      </c>
      <c r="K218" s="4"/>
      <c r="L218" s="8"/>
      <c r="M218" s="4"/>
      <c r="N218" s="8"/>
      <c r="O218" s="7"/>
      <c r="P218" s="7"/>
    </row>
    <row r="219">
      <c r="A219" s="2" t="s">
        <v>958</v>
      </c>
      <c r="B219" s="2" t="s">
        <v>300</v>
      </c>
      <c r="C219" s="2" t="s">
        <v>1006</v>
      </c>
      <c r="D219" s="2" t="s">
        <v>1651</v>
      </c>
      <c r="E219" s="4" t="s">
        <v>228</v>
      </c>
      <c r="F219" s="8" t="s">
        <v>228</v>
      </c>
      <c r="G219" s="4" t="s">
        <v>228</v>
      </c>
      <c r="H219" s="8" t="s">
        <v>228</v>
      </c>
      <c r="I219" s="7" t="s">
        <v>228</v>
      </c>
      <c r="J219" s="7" t="s">
        <v>228</v>
      </c>
      <c r="K219" s="4"/>
      <c r="L219" s="8"/>
      <c r="M219" s="4"/>
      <c r="N219" s="8"/>
      <c r="O219" s="7"/>
      <c r="P219" s="7"/>
    </row>
    <row r="220">
      <c r="A220" s="2" t="s">
        <v>958</v>
      </c>
      <c r="B220" s="2" t="s">
        <v>300</v>
      </c>
      <c r="C220" s="2" t="s">
        <v>2144</v>
      </c>
      <c r="D220" s="2" t="s">
        <v>6389</v>
      </c>
      <c r="E220" s="4" t="s">
        <v>228</v>
      </c>
      <c r="F220" s="8" t="s">
        <v>228</v>
      </c>
      <c r="G220" s="4" t="s">
        <v>228</v>
      </c>
      <c r="H220" s="8" t="s">
        <v>228</v>
      </c>
      <c r="I220" s="7" t="s">
        <v>228</v>
      </c>
      <c r="J220" s="7" t="s">
        <v>228</v>
      </c>
      <c r="K220" s="4"/>
      <c r="L220" s="8"/>
      <c r="M220" s="4"/>
      <c r="N220" s="8"/>
      <c r="O220" s="7"/>
      <c r="P220" s="7"/>
    </row>
    <row r="221">
      <c r="A221" s="2" t="s">
        <v>958</v>
      </c>
      <c r="B221" s="2" t="s">
        <v>300</v>
      </c>
      <c r="C221" s="2" t="s">
        <v>2144</v>
      </c>
      <c r="D221" s="2" t="s">
        <v>7204</v>
      </c>
      <c r="E221" s="4" t="s">
        <v>228</v>
      </c>
      <c r="F221" s="8" t="s">
        <v>228</v>
      </c>
      <c r="G221" s="4" t="s">
        <v>228</v>
      </c>
      <c r="H221" s="8" t="s">
        <v>228</v>
      </c>
      <c r="I221" s="7" t="s">
        <v>228</v>
      </c>
      <c r="J221" s="7" t="s">
        <v>228</v>
      </c>
      <c r="K221" s="4"/>
      <c r="L221" s="8"/>
      <c r="M221" s="4"/>
      <c r="N221" s="8"/>
      <c r="O221" s="7"/>
      <c r="P221" s="7"/>
    </row>
    <row r="222">
      <c r="A222" s="2" t="s">
        <v>958</v>
      </c>
      <c r="B222" s="2" t="s">
        <v>300</v>
      </c>
      <c r="C222" s="2" t="s">
        <v>2144</v>
      </c>
      <c r="D222" s="2" t="s">
        <v>3272</v>
      </c>
      <c r="E222" s="4" t="s">
        <v>228</v>
      </c>
      <c r="F222" s="8" t="s">
        <v>228</v>
      </c>
      <c r="G222" s="4" t="s">
        <v>228</v>
      </c>
      <c r="H222" s="8" t="s">
        <v>228</v>
      </c>
      <c r="I222" s="7" t="s">
        <v>228</v>
      </c>
      <c r="J222" s="7" t="s">
        <v>228</v>
      </c>
      <c r="K222" s="4"/>
      <c r="L222" s="8"/>
      <c r="M222" s="4"/>
      <c r="N222" s="8"/>
      <c r="O222" s="7"/>
      <c r="P222" s="7"/>
    </row>
    <row r="223">
      <c r="A223" s="2" t="s">
        <v>958</v>
      </c>
      <c r="B223" s="2" t="s">
        <v>300</v>
      </c>
      <c r="C223" s="2" t="s">
        <v>2144</v>
      </c>
      <c r="D223" s="2" t="s">
        <v>2145</v>
      </c>
      <c r="E223" s="4" t="s">
        <v>228</v>
      </c>
      <c r="F223" s="8" t="s">
        <v>228</v>
      </c>
      <c r="G223" s="4" t="s">
        <v>228</v>
      </c>
      <c r="H223" s="8" t="s">
        <v>228</v>
      </c>
      <c r="I223" s="7" t="s">
        <v>228</v>
      </c>
      <c r="J223" s="7" t="s">
        <v>228</v>
      </c>
      <c r="K223" s="4"/>
      <c r="L223" s="8"/>
      <c r="M223" s="4"/>
      <c r="N223" s="8"/>
      <c r="O223" s="7"/>
      <c r="P223" s="7"/>
    </row>
    <row r="224">
      <c r="A224" s="2" t="s">
        <v>958</v>
      </c>
      <c r="B224" s="2" t="s">
        <v>300</v>
      </c>
      <c r="C224" s="2" t="s">
        <v>2256</v>
      </c>
      <c r="D224" s="2" t="s">
        <v>2257</v>
      </c>
      <c r="E224" s="4"/>
      <c r="F224" s="8"/>
      <c r="G224" s="4"/>
      <c r="H224" s="8"/>
      <c r="I224" s="7"/>
      <c r="J224" s="7"/>
      <c r="K224" s="4"/>
      <c r="L224" s="8"/>
      <c r="M224" s="4"/>
      <c r="N224" s="8"/>
      <c r="O224" s="7"/>
      <c r="P224" s="7"/>
    </row>
    <row r="225">
      <c r="A225" s="2" t="s">
        <v>958</v>
      </c>
      <c r="B225" s="2" t="s">
        <v>773</v>
      </c>
      <c r="C225" s="2" t="s">
        <v>1564</v>
      </c>
      <c r="D225" s="2" t="s">
        <v>1692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958</v>
      </c>
      <c r="B226" s="2" t="s">
        <v>773</v>
      </c>
      <c r="C226" s="2" t="s">
        <v>959</v>
      </c>
      <c r="D226" s="2" t="s">
        <v>960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958</v>
      </c>
      <c r="B227" s="2" t="s">
        <v>773</v>
      </c>
      <c r="C227" s="2" t="s">
        <v>2117</v>
      </c>
      <c r="D227" s="2" t="s">
        <v>2118</v>
      </c>
      <c r="E227" s="4"/>
      <c r="F227" s="8"/>
      <c r="G227" s="4"/>
      <c r="H227" s="8"/>
      <c r="I227" s="7"/>
      <c r="J227" s="7"/>
      <c r="K227" s="4"/>
      <c r="L227" s="8"/>
      <c r="M227" s="4"/>
      <c r="N227" s="8"/>
      <c r="O227" s="7"/>
      <c r="P227" s="7"/>
    </row>
    <row r="228">
      <c r="A228" s="2" t="s">
        <v>958</v>
      </c>
      <c r="B228" s="2" t="s">
        <v>773</v>
      </c>
      <c r="C228" s="2" t="s">
        <v>7173</v>
      </c>
      <c r="D228" s="2" t="s">
        <v>7174</v>
      </c>
      <c r="E228" s="4"/>
      <c r="F228" s="8"/>
      <c r="G228" s="4"/>
      <c r="H228" s="8"/>
      <c r="I228" s="7"/>
      <c r="J228" s="7"/>
      <c r="K228" s="4"/>
      <c r="L228" s="8"/>
      <c r="M228" s="4"/>
      <c r="N228" s="8"/>
      <c r="O228" s="7"/>
      <c r="P228" s="7"/>
    </row>
    <row r="229">
      <c r="A229" s="2" t="s">
        <v>958</v>
      </c>
      <c r="B229" s="2" t="s">
        <v>773</v>
      </c>
      <c r="C229" s="2" t="s">
        <v>1790</v>
      </c>
      <c r="D229" s="2" t="s">
        <v>3370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958</v>
      </c>
      <c r="B230" s="2" t="s">
        <v>773</v>
      </c>
      <c r="C230" s="2" t="s">
        <v>1257</v>
      </c>
      <c r="D230" s="2" t="s">
        <v>2091</v>
      </c>
      <c r="E230" s="4" t="s">
        <v>228</v>
      </c>
      <c r="F230" s="8" t="s">
        <v>228</v>
      </c>
      <c r="G230" s="4" t="s">
        <v>228</v>
      </c>
      <c r="H230" s="8" t="s">
        <v>228</v>
      </c>
      <c r="I230" s="7" t="s">
        <v>228</v>
      </c>
      <c r="J230" s="7" t="s">
        <v>228</v>
      </c>
      <c r="K230" s="4"/>
      <c r="L230" s="8"/>
      <c r="M230" s="4"/>
      <c r="N230" s="8"/>
      <c r="O230" s="7"/>
      <c r="P230" s="7"/>
    </row>
    <row r="231">
      <c r="A231" s="2" t="s">
        <v>958</v>
      </c>
      <c r="B231" s="2" t="s">
        <v>773</v>
      </c>
      <c r="C231" s="2" t="s">
        <v>1257</v>
      </c>
      <c r="D231" s="2" t="s">
        <v>238</v>
      </c>
      <c r="E231" s="4" t="s">
        <v>228</v>
      </c>
      <c r="F231" s="8" t="s">
        <v>228</v>
      </c>
      <c r="G231" s="4" t="s">
        <v>228</v>
      </c>
      <c r="H231" s="8" t="s">
        <v>228</v>
      </c>
      <c r="I231" s="7" t="s">
        <v>228</v>
      </c>
      <c r="J231" s="7" t="s">
        <v>228</v>
      </c>
      <c r="K231" s="4"/>
      <c r="L231" s="8"/>
      <c r="M231" s="4"/>
      <c r="N231" s="8"/>
      <c r="O231" s="7"/>
      <c r="P231" s="7"/>
    </row>
    <row r="232">
      <c r="A232" s="2" t="s">
        <v>958</v>
      </c>
      <c r="B232" s="2" t="s">
        <v>773</v>
      </c>
      <c r="C232" s="2" t="s">
        <v>1795</v>
      </c>
      <c r="D232" s="2" t="s">
        <v>1796</v>
      </c>
      <c r="E232" s="4"/>
      <c r="F232" s="8"/>
      <c r="G232" s="4"/>
      <c r="H232" s="8"/>
      <c r="I232" s="7"/>
      <c r="J232" s="7"/>
      <c r="K232" s="4"/>
      <c r="L232" s="8"/>
      <c r="M232" s="4"/>
      <c r="N232" s="8"/>
      <c r="O232" s="7"/>
      <c r="P232" s="7"/>
    </row>
    <row r="233">
      <c r="A233" s="2" t="s">
        <v>958</v>
      </c>
      <c r="B233" s="2" t="s">
        <v>773</v>
      </c>
      <c r="C233" s="2" t="s">
        <v>2122</v>
      </c>
      <c r="D233" s="2" t="s">
        <v>2123</v>
      </c>
      <c r="E233" s="4"/>
      <c r="F233" s="8"/>
      <c r="G233" s="4"/>
      <c r="H233" s="8"/>
      <c r="I233" s="7"/>
      <c r="J233" s="7"/>
      <c r="K233" s="4"/>
      <c r="L233" s="8"/>
      <c r="M233" s="4"/>
      <c r="N233" s="8"/>
      <c r="O233" s="7"/>
      <c r="P233" s="7"/>
    </row>
    <row r="234">
      <c r="A234" s="2" t="s">
        <v>958</v>
      </c>
      <c r="B234" s="2" t="s">
        <v>885</v>
      </c>
      <c r="C234" s="2" t="s">
        <v>1564</v>
      </c>
      <c r="D234" s="2" t="s">
        <v>1692</v>
      </c>
      <c r="E234" s="4"/>
      <c r="F234" s="8"/>
      <c r="G234" s="4"/>
      <c r="H234" s="8"/>
      <c r="I234" s="7"/>
      <c r="J234" s="7"/>
      <c r="K234" s="4"/>
      <c r="L234" s="8"/>
      <c r="M234" s="4"/>
      <c r="N234" s="8"/>
      <c r="O234" s="7"/>
      <c r="P234" s="7"/>
    </row>
    <row r="235">
      <c r="A235" s="2" t="s">
        <v>958</v>
      </c>
      <c r="B235" s="2" t="s">
        <v>885</v>
      </c>
      <c r="C235" s="2" t="s">
        <v>959</v>
      </c>
      <c r="D235" s="2" t="s">
        <v>2560</v>
      </c>
      <c r="E235" s="4" t="s">
        <v>228</v>
      </c>
      <c r="F235" s="8" t="s">
        <v>228</v>
      </c>
      <c r="G235" s="4" t="s">
        <v>228</v>
      </c>
      <c r="H235" s="8" t="s">
        <v>228</v>
      </c>
      <c r="I235" s="7" t="s">
        <v>228</v>
      </c>
      <c r="J235" s="7" t="s">
        <v>228</v>
      </c>
      <c r="K235" s="4"/>
      <c r="L235" s="8"/>
      <c r="M235" s="4"/>
      <c r="N235" s="8"/>
      <c r="O235" s="7"/>
      <c r="P235" s="7"/>
    </row>
    <row r="236">
      <c r="A236" s="2" t="s">
        <v>958</v>
      </c>
      <c r="B236" s="2" t="s">
        <v>885</v>
      </c>
      <c r="C236" s="2" t="s">
        <v>959</v>
      </c>
      <c r="D236" s="2" t="s">
        <v>3094</v>
      </c>
      <c r="E236" s="4" t="s">
        <v>228</v>
      </c>
      <c r="F236" s="8" t="s">
        <v>228</v>
      </c>
      <c r="G236" s="4" t="s">
        <v>228</v>
      </c>
      <c r="H236" s="8" t="s">
        <v>228</v>
      </c>
      <c r="I236" s="7" t="s">
        <v>228</v>
      </c>
      <c r="J236" s="7" t="s">
        <v>228</v>
      </c>
      <c r="K236" s="4"/>
      <c r="L236" s="8"/>
      <c r="M236" s="4"/>
      <c r="N236" s="8"/>
      <c r="O236" s="7"/>
      <c r="P236" s="7"/>
    </row>
    <row r="237">
      <c r="A237" s="2" t="s">
        <v>958</v>
      </c>
      <c r="B237" s="2" t="s">
        <v>885</v>
      </c>
      <c r="C237" s="2" t="s">
        <v>959</v>
      </c>
      <c r="D237" s="2" t="s">
        <v>960</v>
      </c>
      <c r="E237" s="4" t="s">
        <v>228</v>
      </c>
      <c r="F237" s="8" t="s">
        <v>228</v>
      </c>
      <c r="G237" s="4" t="s">
        <v>228</v>
      </c>
      <c r="H237" s="8" t="s">
        <v>228</v>
      </c>
      <c r="I237" s="7" t="s">
        <v>228</v>
      </c>
      <c r="J237" s="7" t="s">
        <v>228</v>
      </c>
      <c r="K237" s="4"/>
      <c r="L237" s="8"/>
      <c r="M237" s="4"/>
      <c r="N237" s="8"/>
      <c r="O237" s="7"/>
      <c r="P237" s="7"/>
    </row>
    <row r="238">
      <c r="A238" s="2" t="s">
        <v>958</v>
      </c>
      <c r="B238" s="2" t="s">
        <v>885</v>
      </c>
      <c r="C238" s="2" t="s">
        <v>959</v>
      </c>
      <c r="D238" s="2" t="s">
        <v>238</v>
      </c>
      <c r="E238" s="4" t="s">
        <v>228</v>
      </c>
      <c r="F238" s="8" t="s">
        <v>228</v>
      </c>
      <c r="G238" s="4" t="s">
        <v>228</v>
      </c>
      <c r="H238" s="8" t="s">
        <v>228</v>
      </c>
      <c r="I238" s="7" t="s">
        <v>228</v>
      </c>
      <c r="J238" s="7" t="s">
        <v>228</v>
      </c>
      <c r="K238" s="4"/>
      <c r="L238" s="8"/>
      <c r="M238" s="4"/>
      <c r="N238" s="8"/>
      <c r="O238" s="7"/>
      <c r="P238" s="7"/>
    </row>
    <row r="239">
      <c r="A239" s="2" t="s">
        <v>958</v>
      </c>
      <c r="B239" s="2" t="s">
        <v>885</v>
      </c>
      <c r="C239" s="2" t="s">
        <v>7173</v>
      </c>
      <c r="D239" s="2" t="s">
        <v>7174</v>
      </c>
      <c r="E239" s="4"/>
      <c r="F239" s="8"/>
      <c r="G239" s="4"/>
      <c r="H239" s="8"/>
      <c r="I239" s="7"/>
      <c r="J239" s="7"/>
      <c r="K239" s="4"/>
      <c r="L239" s="8"/>
      <c r="M239" s="4"/>
      <c r="N239" s="8"/>
      <c r="O239" s="7"/>
      <c r="P239" s="7"/>
    </row>
    <row r="240">
      <c r="A240" s="2" t="s">
        <v>958</v>
      </c>
      <c r="B240" s="2" t="s">
        <v>885</v>
      </c>
      <c r="C240" s="2" t="s">
        <v>1257</v>
      </c>
      <c r="D240" s="2" t="s">
        <v>2091</v>
      </c>
      <c r="E240" s="4"/>
      <c r="F240" s="8"/>
      <c r="G240" s="4"/>
      <c r="H240" s="8"/>
      <c r="I240" s="7"/>
      <c r="J240" s="7"/>
      <c r="K240" s="4"/>
      <c r="L240" s="8"/>
      <c r="M240" s="4"/>
      <c r="N240" s="8"/>
      <c r="O240" s="7"/>
      <c r="P240" s="7"/>
    </row>
    <row r="241">
      <c r="A241" s="2" t="s">
        <v>958</v>
      </c>
      <c r="B241" s="2" t="s">
        <v>885</v>
      </c>
      <c r="C241" s="2" t="s">
        <v>987</v>
      </c>
      <c r="D241" s="2" t="s">
        <v>988</v>
      </c>
      <c r="E241" s="4"/>
      <c r="F241" s="8"/>
      <c r="G241" s="4"/>
      <c r="H241" s="8"/>
      <c r="I241" s="7"/>
      <c r="J241" s="7"/>
      <c r="K241" s="4"/>
      <c r="L241" s="8"/>
      <c r="M241" s="4"/>
      <c r="N241" s="8"/>
      <c r="O241" s="7"/>
      <c r="P241" s="7"/>
    </row>
    <row r="242">
      <c r="A242" s="2" t="s">
        <v>958</v>
      </c>
      <c r="B242" s="2" t="s">
        <v>885</v>
      </c>
      <c r="C242" s="2" t="s">
        <v>1795</v>
      </c>
      <c r="D242" s="2" t="s">
        <v>1796</v>
      </c>
      <c r="E242" s="4"/>
      <c r="F242" s="8"/>
      <c r="G242" s="4"/>
      <c r="H242" s="8"/>
      <c r="I242" s="7"/>
      <c r="J242" s="7"/>
      <c r="K242" s="4"/>
      <c r="L242" s="8"/>
      <c r="M242" s="4"/>
      <c r="N242" s="8"/>
      <c r="O242" s="7"/>
      <c r="P242" s="7"/>
    </row>
    <row r="243">
      <c r="A243" s="2" t="s">
        <v>958</v>
      </c>
      <c r="B243" s="2" t="s">
        <v>885</v>
      </c>
      <c r="C243" s="2" t="s">
        <v>2164</v>
      </c>
      <c r="D243" s="2" t="s">
        <v>2165</v>
      </c>
      <c r="E243" s="4"/>
      <c r="F243" s="8"/>
      <c r="G243" s="4"/>
      <c r="H243" s="8"/>
      <c r="I243" s="7"/>
      <c r="J243" s="7"/>
      <c r="K243" s="4"/>
      <c r="L243" s="8"/>
      <c r="M243" s="4"/>
      <c r="N243" s="8"/>
      <c r="O243" s="7"/>
      <c r="P243" s="7"/>
    </row>
    <row r="244">
      <c r="A244" s="2" t="s">
        <v>958</v>
      </c>
      <c r="B244" s="2" t="s">
        <v>885</v>
      </c>
      <c r="C244" s="2" t="s">
        <v>1913</v>
      </c>
      <c r="D244" s="2" t="s">
        <v>1914</v>
      </c>
      <c r="E244" s="4"/>
      <c r="F244" s="8"/>
      <c r="G244" s="4"/>
      <c r="H244" s="8"/>
      <c r="I244" s="7"/>
      <c r="J244" s="7"/>
      <c r="K244" s="4"/>
      <c r="L244" s="8"/>
      <c r="M244" s="4"/>
      <c r="N244" s="8"/>
      <c r="O244" s="7"/>
      <c r="P244" s="7"/>
    </row>
    <row r="245">
      <c r="A245" s="2" t="s">
        <v>958</v>
      </c>
      <c r="B245" s="2" t="s">
        <v>885</v>
      </c>
      <c r="C245" s="2" t="s">
        <v>1006</v>
      </c>
      <c r="D245" s="2" t="s">
        <v>1007</v>
      </c>
      <c r="E245" s="4"/>
      <c r="F245" s="8"/>
      <c r="G245" s="4"/>
      <c r="H245" s="8"/>
      <c r="I245" s="7"/>
      <c r="J245" s="7"/>
      <c r="K245" s="4"/>
      <c r="L245" s="8"/>
      <c r="M245" s="4"/>
      <c r="N245" s="8"/>
      <c r="O245" s="7"/>
      <c r="P245" s="7"/>
    </row>
    <row r="246">
      <c r="A246" s="2" t="s">
        <v>958</v>
      </c>
      <c r="B246" s="2" t="s">
        <v>885</v>
      </c>
      <c r="C246" s="2" t="s">
        <v>2144</v>
      </c>
      <c r="D246" s="2" t="s">
        <v>6654</v>
      </c>
      <c r="E246" s="4" t="s">
        <v>228</v>
      </c>
      <c r="F246" s="8" t="s">
        <v>228</v>
      </c>
      <c r="G246" s="4" t="s">
        <v>228</v>
      </c>
      <c r="H246" s="8" t="s">
        <v>228</v>
      </c>
      <c r="I246" s="7" t="s">
        <v>228</v>
      </c>
      <c r="J246" s="7" t="s">
        <v>228</v>
      </c>
      <c r="K246" s="4"/>
      <c r="L246" s="8"/>
      <c r="M246" s="4"/>
      <c r="N246" s="8"/>
      <c r="O246" s="7"/>
      <c r="P246" s="7"/>
    </row>
    <row r="247">
      <c r="A247" s="2" t="s">
        <v>958</v>
      </c>
      <c r="B247" s="2" t="s">
        <v>885</v>
      </c>
      <c r="C247" s="2" t="s">
        <v>2144</v>
      </c>
      <c r="D247" s="2" t="s">
        <v>6389</v>
      </c>
      <c r="E247" s="4" t="s">
        <v>228</v>
      </c>
      <c r="F247" s="8" t="s">
        <v>228</v>
      </c>
      <c r="G247" s="4" t="s">
        <v>228</v>
      </c>
      <c r="H247" s="8" t="s">
        <v>228</v>
      </c>
      <c r="I247" s="7" t="s">
        <v>228</v>
      </c>
      <c r="J247" s="7" t="s">
        <v>228</v>
      </c>
      <c r="K247" s="4"/>
      <c r="L247" s="8"/>
      <c r="M247" s="4"/>
      <c r="N247" s="8"/>
      <c r="O247" s="7"/>
      <c r="P247" s="7"/>
    </row>
    <row r="248">
      <c r="A248" s="2" t="s">
        <v>958</v>
      </c>
      <c r="B248" s="2" t="s">
        <v>885</v>
      </c>
      <c r="C248" s="2" t="s">
        <v>2144</v>
      </c>
      <c r="D248" s="2" t="s">
        <v>7204</v>
      </c>
      <c r="E248" s="4" t="s">
        <v>228</v>
      </c>
      <c r="F248" s="8" t="s">
        <v>228</v>
      </c>
      <c r="G248" s="4" t="s">
        <v>228</v>
      </c>
      <c r="H248" s="8" t="s">
        <v>228</v>
      </c>
      <c r="I248" s="7" t="s">
        <v>228</v>
      </c>
      <c r="J248" s="7" t="s">
        <v>228</v>
      </c>
      <c r="K248" s="4"/>
      <c r="L248" s="8"/>
      <c r="M248" s="4"/>
      <c r="N248" s="8"/>
      <c r="O248" s="7"/>
      <c r="P248" s="7"/>
    </row>
    <row r="249">
      <c r="A249" s="2" t="s">
        <v>958</v>
      </c>
      <c r="B249" s="2" t="s">
        <v>885</v>
      </c>
      <c r="C249" s="2" t="s">
        <v>2144</v>
      </c>
      <c r="D249" s="2" t="s">
        <v>2145</v>
      </c>
      <c r="E249" s="4" t="s">
        <v>228</v>
      </c>
      <c r="F249" s="8" t="s">
        <v>228</v>
      </c>
      <c r="G249" s="4" t="s">
        <v>228</v>
      </c>
      <c r="H249" s="8" t="s">
        <v>228</v>
      </c>
      <c r="I249" s="7" t="s">
        <v>228</v>
      </c>
      <c r="J249" s="7" t="s">
        <v>228</v>
      </c>
      <c r="K249" s="4"/>
      <c r="L249" s="8"/>
      <c r="M249" s="4"/>
      <c r="N249" s="8"/>
      <c r="O249" s="7"/>
      <c r="P249" s="7"/>
    </row>
    <row r="250">
      <c r="A250" s="2" t="s">
        <v>958</v>
      </c>
      <c r="B250" s="2" t="s">
        <v>885</v>
      </c>
      <c r="C250" s="2" t="s">
        <v>2256</v>
      </c>
      <c r="D250" s="2" t="s">
        <v>2257</v>
      </c>
      <c r="E250" s="4"/>
      <c r="F250" s="8"/>
      <c r="G250" s="4"/>
      <c r="H250" s="8"/>
      <c r="I250" s="7"/>
      <c r="J250" s="7"/>
      <c r="K250" s="4"/>
      <c r="L250" s="8"/>
      <c r="M250" s="4"/>
      <c r="N250" s="8"/>
      <c r="O250" s="7"/>
      <c r="P250" s="7"/>
    </row>
    <row r="251">
      <c r="A251" s="2" t="s">
        <v>834</v>
      </c>
      <c r="B251" s="2" t="s">
        <v>1743</v>
      </c>
      <c r="C251" s="2" t="s">
        <v>836</v>
      </c>
      <c r="D251" s="2" t="s">
        <v>837</v>
      </c>
      <c r="E251" s="4"/>
      <c r="F251" s="8"/>
      <c r="G251" s="4"/>
      <c r="H251" s="8"/>
      <c r="I251" s="7"/>
      <c r="J251" s="7"/>
      <c r="K251" s="4"/>
      <c r="L251" s="8"/>
      <c r="M251" s="4"/>
      <c r="N251" s="8"/>
      <c r="O251" s="7"/>
      <c r="P251" s="7"/>
    </row>
    <row r="252">
      <c r="A252" s="2" t="s">
        <v>834</v>
      </c>
      <c r="B252" s="2" t="s">
        <v>1743</v>
      </c>
      <c r="C252" s="2" t="s">
        <v>1744</v>
      </c>
      <c r="D252" s="2" t="s">
        <v>1745</v>
      </c>
      <c r="E252" s="4"/>
      <c r="F252" s="8"/>
      <c r="G252" s="4"/>
      <c r="H252" s="8"/>
      <c r="I252" s="7"/>
      <c r="J252" s="7"/>
      <c r="K252" s="4"/>
      <c r="L252" s="8"/>
      <c r="M252" s="4"/>
      <c r="N252" s="8"/>
      <c r="O252" s="7"/>
      <c r="P252" s="7"/>
    </row>
    <row r="253">
      <c r="A253" s="2" t="s">
        <v>834</v>
      </c>
      <c r="B253" s="2" t="s">
        <v>1743</v>
      </c>
      <c r="C253" s="2" t="s">
        <v>3553</v>
      </c>
      <c r="D253" s="2" t="s">
        <v>3554</v>
      </c>
      <c r="E253" s="4"/>
      <c r="F253" s="8"/>
      <c r="G253" s="4"/>
      <c r="H253" s="8"/>
      <c r="I253" s="7"/>
      <c r="J253" s="7"/>
      <c r="K253" s="4"/>
      <c r="L253" s="8"/>
      <c r="M253" s="4"/>
      <c r="N253" s="8"/>
      <c r="O253" s="7"/>
      <c r="P253" s="7"/>
    </row>
    <row r="254">
      <c r="A254" s="2" t="s">
        <v>834</v>
      </c>
      <c r="B254" s="2" t="s">
        <v>1743</v>
      </c>
      <c r="C254" s="2" t="s">
        <v>1101</v>
      </c>
      <c r="D254" s="2" t="s">
        <v>1102</v>
      </c>
      <c r="E254" s="4"/>
      <c r="F254" s="8"/>
      <c r="G254" s="4"/>
      <c r="H254" s="8"/>
      <c r="I254" s="7"/>
      <c r="J254" s="7"/>
      <c r="K254" s="4"/>
      <c r="L254" s="8"/>
      <c r="M254" s="4"/>
      <c r="N254" s="8"/>
      <c r="O254" s="7"/>
      <c r="P254" s="7"/>
    </row>
    <row r="255">
      <c r="A255" s="2" t="s">
        <v>834</v>
      </c>
      <c r="B255" s="2" t="s">
        <v>1142</v>
      </c>
      <c r="C255" s="2" t="s">
        <v>836</v>
      </c>
      <c r="D255" s="2" t="s">
        <v>837</v>
      </c>
      <c r="E255" s="4"/>
      <c r="F255" s="8"/>
      <c r="G255" s="4"/>
      <c r="H255" s="8"/>
      <c r="I255" s="7"/>
      <c r="J255" s="7"/>
      <c r="K255" s="4"/>
      <c r="L255" s="8"/>
      <c r="M255" s="4"/>
      <c r="N255" s="8"/>
      <c r="O255" s="7"/>
      <c r="P255" s="7"/>
    </row>
    <row r="256">
      <c r="A256" s="2" t="s">
        <v>834</v>
      </c>
      <c r="B256" s="2" t="s">
        <v>1142</v>
      </c>
      <c r="C256" s="2" t="s">
        <v>1028</v>
      </c>
      <c r="D256" s="2" t="s">
        <v>1029</v>
      </c>
      <c r="E256" s="4"/>
      <c r="F256" s="8"/>
      <c r="G256" s="4"/>
      <c r="H256" s="8"/>
      <c r="I256" s="7"/>
      <c r="J256" s="7"/>
      <c r="K256" s="4"/>
      <c r="L256" s="8"/>
      <c r="M256" s="4"/>
      <c r="N256" s="8"/>
      <c r="O256" s="7"/>
      <c r="P256" s="7"/>
    </row>
    <row r="257">
      <c r="A257" s="2" t="s">
        <v>834</v>
      </c>
      <c r="B257" s="2" t="s">
        <v>1142</v>
      </c>
      <c r="C257" s="2" t="s">
        <v>1101</v>
      </c>
      <c r="D257" s="2" t="s">
        <v>1102</v>
      </c>
      <c r="E257" s="4"/>
      <c r="F257" s="8"/>
      <c r="G257" s="4"/>
      <c r="H257" s="8"/>
      <c r="I257" s="7"/>
      <c r="J257" s="7"/>
      <c r="K257" s="4"/>
      <c r="L257" s="8"/>
      <c r="M257" s="4"/>
      <c r="N257" s="8"/>
      <c r="O257" s="7"/>
      <c r="P257" s="7"/>
    </row>
    <row r="258">
      <c r="A258" s="2" t="s">
        <v>834</v>
      </c>
      <c r="B258" s="2" t="s">
        <v>835</v>
      </c>
      <c r="C258" s="2" t="s">
        <v>836</v>
      </c>
      <c r="D258" s="2" t="s">
        <v>837</v>
      </c>
      <c r="E258" s="4"/>
      <c r="F258" s="8"/>
      <c r="G258" s="4"/>
      <c r="H258" s="8"/>
      <c r="I258" s="7"/>
      <c r="J258" s="7"/>
      <c r="K258" s="4"/>
      <c r="L258" s="8"/>
      <c r="M258" s="4"/>
      <c r="N258" s="8"/>
      <c r="O258" s="7"/>
      <c r="P258" s="7"/>
    </row>
    <row r="259">
      <c r="A259" s="2" t="s">
        <v>834</v>
      </c>
      <c r="B259" s="2" t="s">
        <v>835</v>
      </c>
      <c r="C259" s="2" t="s">
        <v>1744</v>
      </c>
      <c r="D259" s="2" t="s">
        <v>1745</v>
      </c>
      <c r="E259" s="4"/>
      <c r="F259" s="8"/>
      <c r="G259" s="4"/>
      <c r="H259" s="8"/>
      <c r="I259" s="7"/>
      <c r="J259" s="7"/>
      <c r="K259" s="4"/>
      <c r="L259" s="8"/>
      <c r="M259" s="4"/>
      <c r="N259" s="8"/>
      <c r="O259" s="7"/>
      <c r="P259" s="7"/>
    </row>
    <row r="260">
      <c r="A260" s="2" t="s">
        <v>834</v>
      </c>
      <c r="B260" s="2" t="s">
        <v>835</v>
      </c>
      <c r="C260" s="2" t="s">
        <v>8294</v>
      </c>
      <c r="D260" s="2" t="s">
        <v>8295</v>
      </c>
      <c r="E260" s="4"/>
      <c r="F260" s="8"/>
      <c r="G260" s="4"/>
      <c r="H260" s="8"/>
      <c r="I260" s="7"/>
      <c r="J260" s="7"/>
      <c r="K260" s="4"/>
      <c r="L260" s="8"/>
      <c r="M260" s="4"/>
      <c r="N260" s="8"/>
      <c r="O260" s="7"/>
      <c r="P260" s="7"/>
    </row>
    <row r="261">
      <c r="A261" s="2" t="s">
        <v>834</v>
      </c>
      <c r="B261" s="2" t="s">
        <v>835</v>
      </c>
      <c r="C261" s="2" t="s">
        <v>1028</v>
      </c>
      <c r="D261" s="2" t="s">
        <v>1029</v>
      </c>
      <c r="E261" s="4"/>
      <c r="F261" s="8"/>
      <c r="G261" s="4"/>
      <c r="H261" s="8"/>
      <c r="I261" s="7"/>
      <c r="J261" s="7"/>
      <c r="K261" s="4"/>
      <c r="L261" s="8"/>
      <c r="M261" s="4"/>
      <c r="N261" s="8"/>
      <c r="O261" s="7"/>
      <c r="P261" s="7"/>
    </row>
    <row r="262">
      <c r="A262" s="2" t="s">
        <v>834</v>
      </c>
      <c r="B262" s="2" t="s">
        <v>835</v>
      </c>
      <c r="C262" s="2" t="s">
        <v>3553</v>
      </c>
      <c r="D262" s="2" t="s">
        <v>3554</v>
      </c>
      <c r="E262" s="4"/>
      <c r="F262" s="8"/>
      <c r="G262" s="4"/>
      <c r="H262" s="8"/>
      <c r="I262" s="7"/>
      <c r="J262" s="7"/>
      <c r="K262" s="4"/>
      <c r="L262" s="8"/>
      <c r="M262" s="4"/>
      <c r="N262" s="8"/>
      <c r="O262" s="7"/>
      <c r="P262" s="7"/>
    </row>
    <row r="263">
      <c r="A263" s="2" t="s">
        <v>834</v>
      </c>
      <c r="B263" s="2" t="s">
        <v>835</v>
      </c>
      <c r="C263" s="2" t="s">
        <v>1101</v>
      </c>
      <c r="D263" s="2" t="s">
        <v>1102</v>
      </c>
      <c r="E263" s="4"/>
      <c r="F263" s="8"/>
      <c r="G263" s="4"/>
      <c r="H263" s="8"/>
      <c r="I263" s="7"/>
      <c r="J263" s="7"/>
      <c r="K263" s="4"/>
      <c r="L263" s="8"/>
      <c r="M263" s="4"/>
      <c r="N263" s="8"/>
      <c r="O263" s="7"/>
      <c r="P263" s="7"/>
    </row>
    <row r="264">
      <c r="A264" s="2" t="s">
        <v>834</v>
      </c>
      <c r="B264" s="2" t="s">
        <v>885</v>
      </c>
      <c r="C264" s="2" t="s">
        <v>836</v>
      </c>
      <c r="D264" s="2" t="s">
        <v>837</v>
      </c>
      <c r="E264" s="4"/>
      <c r="F264" s="8"/>
      <c r="G264" s="4"/>
      <c r="H264" s="8"/>
      <c r="I264" s="7"/>
      <c r="J264" s="7"/>
      <c r="K264" s="4"/>
      <c r="L264" s="8"/>
      <c r="M264" s="4"/>
      <c r="N264" s="8"/>
      <c r="O264" s="7"/>
      <c r="P264" s="7"/>
    </row>
    <row r="265">
      <c r="A265" s="2" t="s">
        <v>834</v>
      </c>
      <c r="B265" s="2" t="s">
        <v>885</v>
      </c>
      <c r="C265" s="2" t="s">
        <v>1744</v>
      </c>
      <c r="D265" s="2" t="s">
        <v>1745</v>
      </c>
      <c r="E265" s="4"/>
      <c r="F265" s="8"/>
      <c r="G265" s="4"/>
      <c r="H265" s="8"/>
      <c r="I265" s="7"/>
      <c r="J265" s="7"/>
      <c r="K265" s="4"/>
      <c r="L265" s="8"/>
      <c r="M265" s="4"/>
      <c r="N265" s="8"/>
      <c r="O265" s="7"/>
      <c r="P265" s="7"/>
    </row>
    <row r="266">
      <c r="A266" s="2" t="s">
        <v>834</v>
      </c>
      <c r="B266" s="2" t="s">
        <v>885</v>
      </c>
      <c r="C266" s="2" t="s">
        <v>1101</v>
      </c>
      <c r="D266" s="2" t="s">
        <v>1102</v>
      </c>
      <c r="E266" s="4"/>
      <c r="F266" s="8"/>
      <c r="G266" s="4"/>
      <c r="H266" s="8"/>
      <c r="I266" s="7"/>
      <c r="J266" s="7"/>
      <c r="K266" s="4"/>
      <c r="L266" s="8"/>
      <c r="M266" s="4"/>
      <c r="N266" s="8"/>
      <c r="O266" s="7"/>
      <c r="P266" s="7"/>
    </row>
    <row r="267">
      <c r="A267" s="2" t="s">
        <v>2841</v>
      </c>
      <c r="B267" s="2" t="s">
        <v>1197</v>
      </c>
      <c r="C267" s="2" t="s">
        <v>2842</v>
      </c>
      <c r="D267" s="2" t="s">
        <v>2843</v>
      </c>
      <c r="E267" s="4"/>
      <c r="F267" s="8"/>
      <c r="G267" s="4"/>
      <c r="H267" s="8"/>
      <c r="I267" s="7"/>
      <c r="J267" s="7"/>
      <c r="K267" s="4"/>
      <c r="L267" s="8"/>
      <c r="M267" s="4"/>
      <c r="N267" s="8"/>
      <c r="O267" s="7"/>
      <c r="P267" s="7"/>
    </row>
    <row r="268">
      <c r="A268" s="2" t="s">
        <v>1196</v>
      </c>
      <c r="B268" s="2" t="s">
        <v>1197</v>
      </c>
      <c r="C268" s="2" t="s">
        <v>1198</v>
      </c>
      <c r="D268" s="2" t="s">
        <v>1199</v>
      </c>
      <c r="E268" s="4"/>
      <c r="F268" s="8"/>
      <c r="G268" s="4"/>
      <c r="H268" s="8"/>
      <c r="I268" s="7"/>
      <c r="J268" s="7"/>
      <c r="K268" s="4"/>
      <c r="L268" s="8"/>
      <c r="M268" s="4"/>
      <c r="N268" s="8"/>
      <c r="O268" s="7"/>
      <c r="P268" s="7"/>
    </row>
    <row r="269">
      <c r="A269" s="2" t="s">
        <v>1276</v>
      </c>
      <c r="B269" s="2" t="s">
        <v>300</v>
      </c>
      <c r="C269" s="2" t="s">
        <v>1276</v>
      </c>
      <c r="D269" s="2" t="s">
        <v>1276</v>
      </c>
      <c r="E269" s="4"/>
      <c r="F269" s="8"/>
      <c r="G269" s="4"/>
      <c r="H269" s="8"/>
      <c r="I269" s="7"/>
      <c r="J269" s="7"/>
      <c r="K269" s="4"/>
      <c r="L269" s="8"/>
      <c r="M269" s="4"/>
      <c r="N269" s="8"/>
      <c r="O269" s="7"/>
      <c r="P269" s="7"/>
    </row>
    <row r="270">
      <c r="A270" s="2" t="s">
        <v>299</v>
      </c>
      <c r="B270" s="2" t="s">
        <v>731</v>
      </c>
      <c r="C270" s="2" t="s">
        <v>301</v>
      </c>
      <c r="D270" s="2" t="s">
        <v>302</v>
      </c>
      <c r="E270" s="4"/>
      <c r="F270" s="8"/>
      <c r="G270" s="4"/>
      <c r="H270" s="8"/>
      <c r="I270" s="7"/>
      <c r="J270" s="7"/>
      <c r="K270" s="4"/>
      <c r="L270" s="8"/>
      <c r="M270" s="4"/>
      <c r="N270" s="8"/>
      <c r="O270" s="7"/>
      <c r="P270" s="7"/>
    </row>
    <row r="271">
      <c r="A271" s="2" t="s">
        <v>299</v>
      </c>
      <c r="B271" s="2" t="s">
        <v>457</v>
      </c>
      <c r="C271" s="2" t="s">
        <v>516</v>
      </c>
      <c r="D271" s="2" t="s">
        <v>517</v>
      </c>
      <c r="E271" s="4"/>
      <c r="F271" s="8"/>
      <c r="G271" s="4"/>
      <c r="H271" s="8"/>
      <c r="I271" s="7"/>
      <c r="J271" s="7"/>
      <c r="K271" s="4"/>
      <c r="L271" s="8"/>
      <c r="M271" s="4"/>
      <c r="N271" s="8"/>
      <c r="O271" s="7"/>
      <c r="P271" s="7"/>
    </row>
    <row r="272">
      <c r="A272" s="2" t="s">
        <v>299</v>
      </c>
      <c r="B272" s="2" t="s">
        <v>457</v>
      </c>
      <c r="C272" s="2" t="s">
        <v>301</v>
      </c>
      <c r="D272" s="2" t="s">
        <v>302</v>
      </c>
      <c r="E272" s="4"/>
      <c r="F272" s="8"/>
      <c r="G272" s="4"/>
      <c r="H272" s="8"/>
      <c r="I272" s="7"/>
      <c r="J272" s="7"/>
      <c r="K272" s="4"/>
      <c r="L272" s="8"/>
      <c r="M272" s="4"/>
      <c r="N272" s="8"/>
      <c r="O272" s="7"/>
      <c r="P272" s="7"/>
    </row>
    <row r="273">
      <c r="A273" s="2" t="s">
        <v>299</v>
      </c>
      <c r="B273" s="2" t="s">
        <v>1111</v>
      </c>
      <c r="C273" s="2" t="s">
        <v>301</v>
      </c>
      <c r="D273" s="2" t="s">
        <v>302</v>
      </c>
      <c r="E273" s="4"/>
      <c r="F273" s="8"/>
      <c r="G273" s="4"/>
      <c r="H273" s="8"/>
      <c r="I273" s="7"/>
      <c r="J273" s="7"/>
      <c r="K273" s="4"/>
      <c r="L273" s="8"/>
      <c r="M273" s="4"/>
      <c r="N273" s="8"/>
      <c r="O273" s="7"/>
      <c r="P273" s="7"/>
    </row>
    <row r="274">
      <c r="A274" s="2" t="s">
        <v>299</v>
      </c>
      <c r="B274" s="2" t="s">
        <v>918</v>
      </c>
      <c r="C274" s="2" t="s">
        <v>301</v>
      </c>
      <c r="D274" s="2" t="s">
        <v>302</v>
      </c>
      <c r="E274" s="4"/>
      <c r="F274" s="8"/>
      <c r="G274" s="4"/>
      <c r="H274" s="8"/>
      <c r="I274" s="7"/>
      <c r="J274" s="7"/>
      <c r="K274" s="4"/>
      <c r="L274" s="8"/>
      <c r="M274" s="4"/>
      <c r="N274" s="8"/>
      <c r="O274" s="7"/>
      <c r="P274" s="7"/>
    </row>
    <row r="275">
      <c r="A275" s="2" t="s">
        <v>299</v>
      </c>
      <c r="B275" s="2" t="s">
        <v>849</v>
      </c>
      <c r="C275" s="2" t="s">
        <v>301</v>
      </c>
      <c r="D275" s="2" t="s">
        <v>302</v>
      </c>
      <c r="E275" s="4"/>
      <c r="F275" s="8"/>
      <c r="G275" s="4"/>
      <c r="H275" s="8"/>
      <c r="I275" s="7"/>
      <c r="J275" s="7"/>
      <c r="K275" s="4"/>
      <c r="L275" s="8"/>
      <c r="M275" s="4"/>
      <c r="N275" s="8"/>
      <c r="O275" s="7"/>
      <c r="P275" s="7"/>
    </row>
    <row r="276">
      <c r="A276" s="2" t="s">
        <v>299</v>
      </c>
      <c r="B276" s="2" t="s">
        <v>300</v>
      </c>
      <c r="C276" s="2" t="s">
        <v>516</v>
      </c>
      <c r="D276" s="2" t="s">
        <v>517</v>
      </c>
      <c r="E276" s="4"/>
      <c r="F276" s="8"/>
      <c r="G276" s="4"/>
      <c r="H276" s="8"/>
      <c r="I276" s="7"/>
      <c r="J276" s="7"/>
      <c r="K276" s="4"/>
      <c r="L276" s="8"/>
      <c r="M276" s="4"/>
      <c r="N276" s="8"/>
      <c r="O276" s="7"/>
      <c r="P276" s="7"/>
    </row>
    <row r="277">
      <c r="A277" s="2" t="s">
        <v>299</v>
      </c>
      <c r="B277" s="2" t="s">
        <v>300</v>
      </c>
      <c r="C277" s="2" t="s">
        <v>301</v>
      </c>
      <c r="D277" s="2" t="s">
        <v>302</v>
      </c>
      <c r="E277" s="4"/>
      <c r="F277" s="8"/>
      <c r="G277" s="4"/>
      <c r="H277" s="8"/>
      <c r="I277" s="7"/>
      <c r="J277" s="7"/>
      <c r="K277" s="4"/>
      <c r="L277" s="8"/>
      <c r="M277" s="4"/>
      <c r="N277" s="8"/>
      <c r="O277" s="7"/>
      <c r="P277" s="7"/>
    </row>
    <row r="278">
      <c r="A278" s="2" t="s">
        <v>299</v>
      </c>
      <c r="B278" s="2" t="s">
        <v>345</v>
      </c>
      <c r="C278" s="2" t="s">
        <v>516</v>
      </c>
      <c r="D278" s="2" t="s">
        <v>517</v>
      </c>
      <c r="E278" s="4"/>
      <c r="F278" s="8"/>
      <c r="G278" s="4"/>
      <c r="H278" s="8"/>
      <c r="I278" s="7"/>
      <c r="J278" s="7"/>
      <c r="K278" s="4"/>
      <c r="L278" s="8"/>
      <c r="M278" s="4"/>
      <c r="N278" s="8"/>
      <c r="O278" s="7"/>
      <c r="P278" s="7"/>
    </row>
    <row r="279">
      <c r="A279" s="2" t="s">
        <v>299</v>
      </c>
      <c r="B279" s="2" t="s">
        <v>345</v>
      </c>
      <c r="C279" s="2" t="s">
        <v>301</v>
      </c>
      <c r="D279" s="2" t="s">
        <v>302</v>
      </c>
      <c r="E279" s="4"/>
      <c r="F279" s="8"/>
      <c r="G279" s="4"/>
      <c r="H279" s="8"/>
      <c r="I279" s="7"/>
      <c r="J279" s="7"/>
      <c r="K279" s="4"/>
      <c r="L279" s="8"/>
      <c r="M279" s="4"/>
      <c r="N279" s="8"/>
      <c r="O279" s="7"/>
      <c r="P279" s="7"/>
    </row>
    <row r="280">
      <c r="A280" s="2" t="s">
        <v>299</v>
      </c>
      <c r="B280" s="2" t="s">
        <v>1184</v>
      </c>
      <c r="C280" s="2" t="s">
        <v>301</v>
      </c>
      <c r="D280" s="2" t="s">
        <v>302</v>
      </c>
      <c r="E280" s="4"/>
      <c r="F280" s="8"/>
      <c r="G280" s="4"/>
      <c r="H280" s="8"/>
      <c r="I280" s="7"/>
      <c r="J280" s="7"/>
      <c r="K280" s="4"/>
      <c r="L280" s="8"/>
      <c r="M280" s="4"/>
      <c r="N280" s="8"/>
      <c r="O280" s="7"/>
      <c r="P280" s="7"/>
    </row>
    <row r="281">
      <c r="A281" s="2" t="s">
        <v>299</v>
      </c>
      <c r="B281" s="2" t="s">
        <v>671</v>
      </c>
      <c r="C281" s="2" t="s">
        <v>301</v>
      </c>
      <c r="D281" s="2" t="s">
        <v>302</v>
      </c>
      <c r="E281" s="4"/>
      <c r="F281" s="8"/>
      <c r="G281" s="4"/>
      <c r="H281" s="8"/>
      <c r="I281" s="7"/>
      <c r="J281" s="7"/>
      <c r="K281" s="4"/>
      <c r="L281" s="8"/>
      <c r="M281" s="4"/>
      <c r="N281" s="8"/>
      <c r="O281" s="7"/>
      <c r="P281" s="7"/>
    </row>
    <row r="282">
      <c r="A282" s="2" t="s">
        <v>299</v>
      </c>
      <c r="B282" s="2" t="s">
        <v>259</v>
      </c>
      <c r="C282" s="2" t="s">
        <v>301</v>
      </c>
      <c r="D282" s="2" t="s">
        <v>302</v>
      </c>
      <c r="E282" s="4"/>
      <c r="F282" s="8"/>
      <c r="G282" s="4"/>
      <c r="H282" s="8"/>
      <c r="I282" s="7"/>
      <c r="J282" s="7"/>
      <c r="K282" s="4"/>
      <c r="L282" s="8"/>
      <c r="M282" s="4"/>
      <c r="N282" s="8"/>
      <c r="O282" s="7"/>
      <c r="P282" s="7"/>
    </row>
    <row r="283">
      <c r="A283" s="2" t="s">
        <v>299</v>
      </c>
      <c r="B283" s="2" t="s">
        <v>4000</v>
      </c>
      <c r="C283" s="2" t="s">
        <v>850</v>
      </c>
      <c r="D283" s="2" t="s">
        <v>1038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  <row r="284">
      <c r="A284" s="2" t="s">
        <v>299</v>
      </c>
      <c r="B284" s="2" t="s">
        <v>4000</v>
      </c>
      <c r="C284" s="2" t="s">
        <v>301</v>
      </c>
      <c r="D284" s="2" t="s">
        <v>302</v>
      </c>
      <c r="E284" s="4"/>
      <c r="F284" s="8"/>
      <c r="G284" s="4"/>
      <c r="H284" s="8"/>
      <c r="I284" s="7"/>
      <c r="J284" s="7"/>
      <c r="K284" s="4"/>
      <c r="L284" s="8"/>
      <c r="M284" s="4"/>
      <c r="N284" s="8"/>
      <c r="O284" s="7"/>
      <c r="P284" s="7"/>
    </row>
    <row r="285">
      <c r="A285" s="2" t="s">
        <v>299</v>
      </c>
      <c r="B285" s="2" t="s">
        <v>1037</v>
      </c>
      <c r="C285" s="2" t="s">
        <v>301</v>
      </c>
      <c r="D285" s="2" t="s">
        <v>302</v>
      </c>
      <c r="E285" s="4"/>
      <c r="F285" s="8"/>
      <c r="G285" s="4"/>
      <c r="H285" s="8"/>
      <c r="I285" s="7"/>
      <c r="J285" s="7"/>
      <c r="K285" s="4"/>
      <c r="L285" s="8"/>
      <c r="M285" s="4"/>
      <c r="N285" s="8"/>
      <c r="O285" s="7"/>
      <c r="P285" s="7"/>
    </row>
    <row r="286">
      <c r="A286" s="2" t="s">
        <v>299</v>
      </c>
      <c r="B286" s="2" t="s">
        <v>1261</v>
      </c>
      <c r="C286" s="2" t="s">
        <v>301</v>
      </c>
      <c r="D286" s="2" t="s">
        <v>302</v>
      </c>
      <c r="E286" s="4"/>
      <c r="F286" s="8"/>
      <c r="G286" s="4"/>
      <c r="H286" s="8"/>
      <c r="I286" s="7"/>
      <c r="J286" s="7"/>
      <c r="K286" s="4"/>
      <c r="L286" s="8"/>
      <c r="M286" s="4"/>
      <c r="N286" s="8"/>
      <c r="O286" s="7"/>
      <c r="P286" s="7"/>
    </row>
    <row r="287">
      <c r="A287" s="2" t="s">
        <v>772</v>
      </c>
      <c r="B287" s="2" t="s">
        <v>1743</v>
      </c>
      <c r="C287" s="2" t="s">
        <v>774</v>
      </c>
      <c r="D287" s="2" t="s">
        <v>775</v>
      </c>
      <c r="E287" s="4"/>
      <c r="F287" s="8"/>
      <c r="G287" s="4"/>
      <c r="H287" s="8"/>
      <c r="I287" s="7"/>
      <c r="J287" s="7"/>
      <c r="K287" s="4"/>
      <c r="L287" s="8"/>
      <c r="M287" s="4"/>
      <c r="N287" s="8"/>
      <c r="O287" s="7"/>
      <c r="P287" s="7"/>
    </row>
    <row r="288">
      <c r="A288" s="2" t="s">
        <v>772</v>
      </c>
      <c r="B288" s="2" t="s">
        <v>731</v>
      </c>
      <c r="C288" s="2" t="s">
        <v>774</v>
      </c>
      <c r="D288" s="2" t="s">
        <v>775</v>
      </c>
      <c r="E288" s="4"/>
      <c r="F288" s="8"/>
      <c r="G288" s="4"/>
      <c r="H288" s="8"/>
      <c r="I288" s="7"/>
      <c r="J288" s="7"/>
      <c r="K288" s="4"/>
      <c r="L288" s="8"/>
      <c r="M288" s="4"/>
      <c r="N288" s="8"/>
      <c r="O288" s="7"/>
      <c r="P288" s="7"/>
    </row>
    <row r="289">
      <c r="A289" s="2" t="s">
        <v>772</v>
      </c>
      <c r="B289" s="2" t="s">
        <v>457</v>
      </c>
      <c r="C289" s="2" t="s">
        <v>774</v>
      </c>
      <c r="D289" s="2" t="s">
        <v>775</v>
      </c>
      <c r="E289" s="4"/>
      <c r="F289" s="8"/>
      <c r="G289" s="4"/>
      <c r="H289" s="8"/>
      <c r="I289" s="7"/>
      <c r="J289" s="7"/>
      <c r="K289" s="4"/>
      <c r="L289" s="8"/>
      <c r="M289" s="4"/>
      <c r="N289" s="8"/>
      <c r="O289" s="7"/>
      <c r="P289" s="7"/>
    </row>
    <row r="290">
      <c r="A290" s="2" t="s">
        <v>772</v>
      </c>
      <c r="B290" s="2" t="s">
        <v>918</v>
      </c>
      <c r="C290" s="2" t="s">
        <v>774</v>
      </c>
      <c r="D290" s="2" t="s">
        <v>775</v>
      </c>
      <c r="E290" s="4"/>
      <c r="F290" s="8"/>
      <c r="G290" s="4"/>
      <c r="H290" s="8"/>
      <c r="I290" s="7"/>
      <c r="J290" s="7"/>
      <c r="K290" s="4"/>
      <c r="L290" s="8"/>
      <c r="M290" s="4"/>
      <c r="N290" s="8"/>
      <c r="O290" s="7"/>
      <c r="P290" s="7"/>
    </row>
    <row r="291">
      <c r="A291" s="2" t="s">
        <v>772</v>
      </c>
      <c r="B291" s="2" t="s">
        <v>835</v>
      </c>
      <c r="C291" s="2" t="s">
        <v>774</v>
      </c>
      <c r="D291" s="2" t="s">
        <v>775</v>
      </c>
      <c r="E291" s="4"/>
      <c r="F291" s="8"/>
      <c r="G291" s="4"/>
      <c r="H291" s="8"/>
      <c r="I291" s="7"/>
      <c r="J291" s="7"/>
      <c r="K291" s="4"/>
      <c r="L291" s="8"/>
      <c r="M291" s="4"/>
      <c r="N291" s="8"/>
      <c r="O291" s="7"/>
      <c r="P291" s="7"/>
    </row>
    <row r="292">
      <c r="A292" s="2" t="s">
        <v>772</v>
      </c>
      <c r="B292" s="2" t="s">
        <v>300</v>
      </c>
      <c r="C292" s="2" t="s">
        <v>774</v>
      </c>
      <c r="D292" s="2" t="s">
        <v>775</v>
      </c>
      <c r="E292" s="4"/>
      <c r="F292" s="8"/>
      <c r="G292" s="4"/>
      <c r="H292" s="8"/>
      <c r="I292" s="7"/>
      <c r="J292" s="7"/>
      <c r="K292" s="4"/>
      <c r="L292" s="8"/>
      <c r="M292" s="4"/>
      <c r="N292" s="8"/>
      <c r="O292" s="7"/>
      <c r="P292" s="7"/>
    </row>
    <row r="293">
      <c r="A293" s="2" t="s">
        <v>772</v>
      </c>
      <c r="B293" s="2" t="s">
        <v>345</v>
      </c>
      <c r="C293" s="2" t="s">
        <v>774</v>
      </c>
      <c r="D293" s="2" t="s">
        <v>775</v>
      </c>
      <c r="E293" s="4"/>
      <c r="F293" s="8"/>
      <c r="G293" s="4"/>
      <c r="H293" s="8"/>
      <c r="I293" s="7"/>
      <c r="J293" s="7"/>
      <c r="K293" s="4"/>
      <c r="L293" s="8"/>
      <c r="M293" s="4"/>
      <c r="N293" s="8"/>
      <c r="O293" s="7"/>
      <c r="P293" s="7"/>
    </row>
    <row r="294">
      <c r="A294" s="2" t="s">
        <v>772</v>
      </c>
      <c r="B294" s="2" t="s">
        <v>773</v>
      </c>
      <c r="C294" s="2" t="s">
        <v>774</v>
      </c>
      <c r="D294" s="2" t="s">
        <v>775</v>
      </c>
      <c r="E294" s="4"/>
      <c r="F294" s="8"/>
      <c r="G294" s="4"/>
      <c r="H294" s="8"/>
      <c r="I294" s="7"/>
      <c r="J294" s="7"/>
      <c r="K294" s="4"/>
      <c r="L294" s="8"/>
      <c r="M294" s="4"/>
      <c r="N294" s="8"/>
      <c r="O294" s="7"/>
      <c r="P294" s="7"/>
    </row>
    <row r="295">
      <c r="A295" s="2" t="s">
        <v>970</v>
      </c>
      <c r="B295" s="2" t="s">
        <v>1743</v>
      </c>
      <c r="C295" s="2" t="s">
        <v>3702</v>
      </c>
      <c r="D295" s="2" t="s">
        <v>238</v>
      </c>
      <c r="E295" s="4"/>
      <c r="F295" s="8"/>
      <c r="G295" s="4"/>
      <c r="H295" s="8"/>
      <c r="I295" s="7"/>
      <c r="J295" s="7"/>
      <c r="K295" s="4"/>
      <c r="L295" s="8"/>
      <c r="M295" s="4"/>
      <c r="N295" s="8"/>
      <c r="O295" s="7"/>
      <c r="P295" s="7"/>
    </row>
    <row r="296">
      <c r="A296" s="2" t="s">
        <v>970</v>
      </c>
      <c r="B296" s="2" t="s">
        <v>1743</v>
      </c>
      <c r="C296" s="2" t="s">
        <v>971</v>
      </c>
      <c r="D296" s="2" t="s">
        <v>1121</v>
      </c>
      <c r="E296" s="4"/>
      <c r="F296" s="8"/>
      <c r="G296" s="4"/>
      <c r="H296" s="8"/>
      <c r="I296" s="7"/>
      <c r="J296" s="7"/>
      <c r="K296" s="4"/>
      <c r="L296" s="8"/>
      <c r="M296" s="4"/>
      <c r="N296" s="8"/>
      <c r="O296" s="7"/>
      <c r="P296" s="7"/>
    </row>
    <row r="297">
      <c r="A297" s="2" t="s">
        <v>970</v>
      </c>
      <c r="B297" s="2" t="s">
        <v>1111</v>
      </c>
      <c r="C297" s="2" t="s">
        <v>971</v>
      </c>
      <c r="D297" s="2" t="s">
        <v>1121</v>
      </c>
      <c r="E297" s="4" t="s">
        <v>228</v>
      </c>
      <c r="F297" s="8" t="s">
        <v>228</v>
      </c>
      <c r="G297" s="4" t="s">
        <v>228</v>
      </c>
      <c r="H297" s="8" t="s">
        <v>228</v>
      </c>
      <c r="I297" s="7" t="s">
        <v>228</v>
      </c>
      <c r="J297" s="7" t="s">
        <v>228</v>
      </c>
      <c r="K297" s="4"/>
      <c r="L297" s="8"/>
      <c r="M297" s="4"/>
      <c r="N297" s="8"/>
      <c r="O297" s="7"/>
      <c r="P297" s="7"/>
    </row>
    <row r="298">
      <c r="A298" s="2" t="s">
        <v>970</v>
      </c>
      <c r="B298" s="2" t="s">
        <v>1111</v>
      </c>
      <c r="C298" s="2" t="s">
        <v>971</v>
      </c>
      <c r="D298" s="2" t="s">
        <v>972</v>
      </c>
      <c r="E298" s="4" t="s">
        <v>228</v>
      </c>
      <c r="F298" s="8" t="s">
        <v>228</v>
      </c>
      <c r="G298" s="4" t="s">
        <v>228</v>
      </c>
      <c r="H298" s="8" t="s">
        <v>228</v>
      </c>
      <c r="I298" s="7" t="s">
        <v>228</v>
      </c>
      <c r="J298" s="7" t="s">
        <v>228</v>
      </c>
      <c r="K298" s="4"/>
      <c r="L298" s="8"/>
      <c r="M298" s="4"/>
      <c r="N298" s="8"/>
      <c r="O298" s="7"/>
      <c r="P298" s="7"/>
    </row>
    <row r="299">
      <c r="A299" s="2" t="s">
        <v>970</v>
      </c>
      <c r="B299" s="2" t="s">
        <v>1463</v>
      </c>
      <c r="C299" s="2" t="s">
        <v>971</v>
      </c>
      <c r="D299" s="2" t="s">
        <v>972</v>
      </c>
      <c r="E299" s="4"/>
      <c r="F299" s="8"/>
      <c r="G299" s="4"/>
      <c r="H299" s="8"/>
      <c r="I299" s="7"/>
      <c r="J299" s="7"/>
      <c r="K299" s="4"/>
      <c r="L299" s="8"/>
      <c r="M299" s="4"/>
      <c r="N299" s="8"/>
      <c r="O299" s="7"/>
      <c r="P299" s="7"/>
    </row>
    <row r="300">
      <c r="A300" s="2" t="s">
        <v>970</v>
      </c>
      <c r="B300" s="2" t="s">
        <v>1861</v>
      </c>
      <c r="C300" s="2" t="s">
        <v>971</v>
      </c>
      <c r="D300" s="2" t="s">
        <v>972</v>
      </c>
      <c r="E300" s="4"/>
      <c r="F300" s="8"/>
      <c r="G300" s="4"/>
      <c r="H300" s="8"/>
      <c r="I300" s="7"/>
      <c r="J300" s="7"/>
      <c r="K300" s="4"/>
      <c r="L300" s="8"/>
      <c r="M300" s="4"/>
      <c r="N300" s="8"/>
      <c r="O300" s="7"/>
      <c r="P300" s="7"/>
    </row>
    <row r="301">
      <c r="A301" s="2" t="s">
        <v>970</v>
      </c>
      <c r="B301" s="2" t="s">
        <v>2217</v>
      </c>
      <c r="C301" s="2" t="s">
        <v>971</v>
      </c>
      <c r="D301" s="2" t="s">
        <v>972</v>
      </c>
      <c r="E301" s="4"/>
      <c r="F301" s="8"/>
      <c r="G301" s="4"/>
      <c r="H301" s="8"/>
      <c r="I301" s="7"/>
      <c r="J301" s="7"/>
      <c r="K301" s="4"/>
      <c r="L301" s="8"/>
      <c r="M301" s="4"/>
      <c r="N301" s="8"/>
      <c r="O301" s="7"/>
      <c r="P301" s="7"/>
    </row>
    <row r="302">
      <c r="A302" s="2" t="s">
        <v>970</v>
      </c>
      <c r="B302" s="2" t="s">
        <v>9274</v>
      </c>
      <c r="C302" s="2" t="s">
        <v>971</v>
      </c>
      <c r="D302" s="2" t="s">
        <v>972</v>
      </c>
      <c r="E302" s="4"/>
      <c r="F302" s="8"/>
      <c r="G302" s="4"/>
      <c r="H302" s="8"/>
      <c r="I302" s="7"/>
      <c r="J302" s="7"/>
      <c r="K302" s="4"/>
      <c r="L302" s="8"/>
      <c r="M302" s="4"/>
      <c r="N302" s="8"/>
      <c r="O302" s="7"/>
      <c r="P302" s="7"/>
    </row>
    <row r="303">
      <c r="A303" s="2" t="s">
        <v>970</v>
      </c>
      <c r="B303" s="2" t="s">
        <v>835</v>
      </c>
      <c r="C303" s="2" t="s">
        <v>971</v>
      </c>
      <c r="D303" s="2" t="s">
        <v>972</v>
      </c>
      <c r="E303" s="4"/>
      <c r="F303" s="8"/>
      <c r="G303" s="4"/>
      <c r="H303" s="8"/>
      <c r="I303" s="7"/>
      <c r="J303" s="7"/>
      <c r="K303" s="4"/>
      <c r="L303" s="8"/>
      <c r="M303" s="4"/>
      <c r="N303" s="8"/>
      <c r="O303" s="7"/>
      <c r="P303" s="7"/>
    </row>
    <row r="304">
      <c r="A304" s="2" t="s">
        <v>970</v>
      </c>
      <c r="B304" s="2" t="s">
        <v>849</v>
      </c>
      <c r="C304" s="2" t="s">
        <v>1980</v>
      </c>
      <c r="D304" s="2" t="s">
        <v>1981</v>
      </c>
      <c r="E304" s="4" t="s">
        <v>228</v>
      </c>
      <c r="F304" s="8" t="s">
        <v>228</v>
      </c>
      <c r="G304" s="4" t="s">
        <v>228</v>
      </c>
      <c r="H304" s="8" t="s">
        <v>228</v>
      </c>
      <c r="I304" s="7" t="s">
        <v>228</v>
      </c>
      <c r="J304" s="7" t="s">
        <v>228</v>
      </c>
      <c r="K304" s="4"/>
      <c r="L304" s="8"/>
      <c r="M304" s="4"/>
      <c r="N304" s="8"/>
      <c r="O304" s="7"/>
      <c r="P304" s="7"/>
    </row>
    <row r="305">
      <c r="A305" s="2" t="s">
        <v>970</v>
      </c>
      <c r="B305" s="2" t="s">
        <v>849</v>
      </c>
      <c r="C305" s="2" t="s">
        <v>1980</v>
      </c>
      <c r="D305" s="2" t="s">
        <v>4854</v>
      </c>
      <c r="E305" s="4" t="s">
        <v>228</v>
      </c>
      <c r="F305" s="8" t="s">
        <v>228</v>
      </c>
      <c r="G305" s="4" t="s">
        <v>228</v>
      </c>
      <c r="H305" s="8" t="s">
        <v>228</v>
      </c>
      <c r="I305" s="7" t="s">
        <v>228</v>
      </c>
      <c r="J305" s="7" t="s">
        <v>228</v>
      </c>
      <c r="K305" s="4"/>
      <c r="L305" s="8"/>
      <c r="M305" s="4"/>
      <c r="N305" s="8"/>
      <c r="O305" s="7"/>
      <c r="P305" s="7"/>
    </row>
    <row r="306">
      <c r="A306" s="2" t="s">
        <v>970</v>
      </c>
      <c r="B306" s="2" t="s">
        <v>849</v>
      </c>
      <c r="C306" s="2" t="s">
        <v>971</v>
      </c>
      <c r="D306" s="2" t="s">
        <v>1121</v>
      </c>
      <c r="E306" s="4" t="s">
        <v>228</v>
      </c>
      <c r="F306" s="8" t="s">
        <v>228</v>
      </c>
      <c r="G306" s="4" t="s">
        <v>228</v>
      </c>
      <c r="H306" s="8" t="s">
        <v>228</v>
      </c>
      <c r="I306" s="7" t="s">
        <v>228</v>
      </c>
      <c r="J306" s="7" t="s">
        <v>228</v>
      </c>
      <c r="K306" s="4"/>
      <c r="L306" s="8"/>
      <c r="M306" s="4"/>
      <c r="N306" s="8"/>
      <c r="O306" s="7"/>
      <c r="P306" s="7"/>
    </row>
    <row r="307">
      <c r="A307" s="2" t="s">
        <v>970</v>
      </c>
      <c r="B307" s="2" t="s">
        <v>849</v>
      </c>
      <c r="C307" s="2" t="s">
        <v>971</v>
      </c>
      <c r="D307" s="2" t="s">
        <v>972</v>
      </c>
      <c r="E307" s="4" t="s">
        <v>228</v>
      </c>
      <c r="F307" s="8" t="s">
        <v>228</v>
      </c>
      <c r="G307" s="4" t="s">
        <v>228</v>
      </c>
      <c r="H307" s="8" t="s">
        <v>228</v>
      </c>
      <c r="I307" s="7" t="s">
        <v>228</v>
      </c>
      <c r="J307" s="7" t="s">
        <v>228</v>
      </c>
      <c r="K307" s="4"/>
      <c r="L307" s="8"/>
      <c r="M307" s="4"/>
      <c r="N307" s="8"/>
      <c r="O307" s="7"/>
      <c r="P307" s="7"/>
    </row>
    <row r="308">
      <c r="A308" s="2" t="s">
        <v>970</v>
      </c>
      <c r="B308" s="2" t="s">
        <v>300</v>
      </c>
      <c r="C308" s="2" t="s">
        <v>1497</v>
      </c>
      <c r="D308" s="2" t="s">
        <v>1498</v>
      </c>
      <c r="E308" s="4"/>
      <c r="F308" s="8"/>
      <c r="G308" s="4"/>
      <c r="H308" s="8"/>
      <c r="I308" s="7"/>
      <c r="J308" s="7"/>
      <c r="K308" s="4"/>
      <c r="L308" s="8"/>
      <c r="M308" s="4"/>
      <c r="N308" s="8"/>
      <c r="O308" s="7"/>
      <c r="P308" s="7"/>
    </row>
    <row r="309">
      <c r="A309" s="2" t="s">
        <v>970</v>
      </c>
      <c r="B309" s="2" t="s">
        <v>300</v>
      </c>
      <c r="C309" s="2" t="s">
        <v>971</v>
      </c>
      <c r="D309" s="2" t="s">
        <v>1121</v>
      </c>
      <c r="E309" s="4" t="s">
        <v>228</v>
      </c>
      <c r="F309" s="8" t="s">
        <v>228</v>
      </c>
      <c r="G309" s="4" t="s">
        <v>228</v>
      </c>
      <c r="H309" s="8" t="s">
        <v>228</v>
      </c>
      <c r="I309" s="7" t="s">
        <v>228</v>
      </c>
      <c r="J309" s="7" t="s">
        <v>228</v>
      </c>
      <c r="K309" s="4"/>
      <c r="L309" s="8"/>
      <c r="M309" s="4"/>
      <c r="N309" s="8"/>
      <c r="O309" s="7"/>
      <c r="P309" s="7"/>
    </row>
    <row r="310">
      <c r="A310" s="2" t="s">
        <v>970</v>
      </c>
      <c r="B310" s="2" t="s">
        <v>300</v>
      </c>
      <c r="C310" s="2" t="s">
        <v>971</v>
      </c>
      <c r="D310" s="2" t="s">
        <v>3486</v>
      </c>
      <c r="E310" s="4" t="s">
        <v>228</v>
      </c>
      <c r="F310" s="8" t="s">
        <v>228</v>
      </c>
      <c r="G310" s="4" t="s">
        <v>228</v>
      </c>
      <c r="H310" s="8" t="s">
        <v>228</v>
      </c>
      <c r="I310" s="7" t="s">
        <v>228</v>
      </c>
      <c r="J310" s="7" t="s">
        <v>228</v>
      </c>
      <c r="K310" s="4"/>
      <c r="L310" s="8"/>
      <c r="M310" s="4"/>
      <c r="N310" s="8"/>
      <c r="O310" s="7"/>
      <c r="P310" s="7"/>
    </row>
    <row r="311">
      <c r="A311" s="2" t="s">
        <v>970</v>
      </c>
      <c r="B311" s="2" t="s">
        <v>300</v>
      </c>
      <c r="C311" s="2" t="s">
        <v>971</v>
      </c>
      <c r="D311" s="2" t="s">
        <v>1940</v>
      </c>
      <c r="E311" s="4" t="s">
        <v>228</v>
      </c>
      <c r="F311" s="8" t="s">
        <v>228</v>
      </c>
      <c r="G311" s="4" t="s">
        <v>228</v>
      </c>
      <c r="H311" s="8" t="s">
        <v>228</v>
      </c>
      <c r="I311" s="7" t="s">
        <v>228</v>
      </c>
      <c r="J311" s="7" t="s">
        <v>228</v>
      </c>
      <c r="K311" s="4"/>
      <c r="L311" s="8"/>
      <c r="M311" s="4"/>
      <c r="N311" s="8"/>
      <c r="O311" s="7"/>
      <c r="P311" s="7"/>
    </row>
    <row r="312">
      <c r="A312" s="2" t="s">
        <v>970</v>
      </c>
      <c r="B312" s="2" t="s">
        <v>300</v>
      </c>
      <c r="C312" s="2" t="s">
        <v>971</v>
      </c>
      <c r="D312" s="2" t="s">
        <v>1084</v>
      </c>
      <c r="E312" s="4" t="s">
        <v>228</v>
      </c>
      <c r="F312" s="8" t="s">
        <v>228</v>
      </c>
      <c r="G312" s="4" t="s">
        <v>228</v>
      </c>
      <c r="H312" s="8" t="s">
        <v>228</v>
      </c>
      <c r="I312" s="7" t="s">
        <v>228</v>
      </c>
      <c r="J312" s="7" t="s">
        <v>228</v>
      </c>
      <c r="K312" s="4"/>
      <c r="L312" s="8"/>
      <c r="M312" s="4"/>
      <c r="N312" s="8"/>
      <c r="O312" s="7"/>
      <c r="P312" s="7"/>
    </row>
    <row r="313">
      <c r="A313" s="2" t="s">
        <v>970</v>
      </c>
      <c r="B313" s="2" t="s">
        <v>300</v>
      </c>
      <c r="C313" s="2" t="s">
        <v>971</v>
      </c>
      <c r="D313" s="2" t="s">
        <v>972</v>
      </c>
      <c r="E313" s="4" t="s">
        <v>228</v>
      </c>
      <c r="F313" s="8" t="s">
        <v>228</v>
      </c>
      <c r="G313" s="4" t="s">
        <v>228</v>
      </c>
      <c r="H313" s="8" t="s">
        <v>228</v>
      </c>
      <c r="I313" s="7" t="s">
        <v>228</v>
      </c>
      <c r="J313" s="7" t="s">
        <v>228</v>
      </c>
      <c r="K313" s="4"/>
      <c r="L313" s="8"/>
      <c r="M313" s="4"/>
      <c r="N313" s="8"/>
      <c r="O313" s="7"/>
      <c r="P313" s="7"/>
    </row>
    <row r="314">
      <c r="A314" s="2" t="s">
        <v>970</v>
      </c>
      <c r="B314" s="2" t="s">
        <v>300</v>
      </c>
      <c r="C314" s="2" t="s">
        <v>971</v>
      </c>
      <c r="D314" s="2" t="s">
        <v>6052</v>
      </c>
      <c r="E314" s="4" t="s">
        <v>228</v>
      </c>
      <c r="F314" s="8" t="s">
        <v>228</v>
      </c>
      <c r="G314" s="4" t="s">
        <v>228</v>
      </c>
      <c r="H314" s="8" t="s">
        <v>228</v>
      </c>
      <c r="I314" s="7" t="s">
        <v>228</v>
      </c>
      <c r="J314" s="7" t="s">
        <v>228</v>
      </c>
      <c r="K314" s="4"/>
      <c r="L314" s="8"/>
      <c r="M314" s="4"/>
      <c r="N314" s="8"/>
      <c r="O314" s="7"/>
      <c r="P314" s="7"/>
    </row>
    <row r="315">
      <c r="A315" s="2" t="s">
        <v>970</v>
      </c>
      <c r="B315" s="2" t="s">
        <v>1296</v>
      </c>
      <c r="C315" s="2" t="s">
        <v>971</v>
      </c>
      <c r="D315" s="2" t="s">
        <v>1121</v>
      </c>
      <c r="E315" s="4" t="s">
        <v>228</v>
      </c>
      <c r="F315" s="8" t="s">
        <v>228</v>
      </c>
      <c r="G315" s="4" t="s">
        <v>228</v>
      </c>
      <c r="H315" s="8" t="s">
        <v>228</v>
      </c>
      <c r="I315" s="7" t="s">
        <v>228</v>
      </c>
      <c r="J315" s="7" t="s">
        <v>228</v>
      </c>
      <c r="K315" s="4"/>
      <c r="L315" s="8"/>
      <c r="M315" s="4"/>
      <c r="N315" s="8"/>
      <c r="O315" s="7"/>
      <c r="P315" s="7"/>
    </row>
    <row r="316">
      <c r="A316" s="2" t="s">
        <v>970</v>
      </c>
      <c r="B316" s="2" t="s">
        <v>1296</v>
      </c>
      <c r="C316" s="2" t="s">
        <v>971</v>
      </c>
      <c r="D316" s="2" t="s">
        <v>972</v>
      </c>
      <c r="E316" s="4" t="s">
        <v>228</v>
      </c>
      <c r="F316" s="8" t="s">
        <v>228</v>
      </c>
      <c r="G316" s="4" t="s">
        <v>228</v>
      </c>
      <c r="H316" s="8" t="s">
        <v>228</v>
      </c>
      <c r="I316" s="7" t="s">
        <v>228</v>
      </c>
      <c r="J316" s="7" t="s">
        <v>228</v>
      </c>
      <c r="K316" s="4"/>
      <c r="L316" s="8"/>
      <c r="M316" s="4"/>
      <c r="N316" s="8"/>
      <c r="O316" s="7"/>
      <c r="P316" s="7"/>
    </row>
    <row r="317">
      <c r="A317" s="2" t="s">
        <v>970</v>
      </c>
      <c r="B317" s="2" t="s">
        <v>1037</v>
      </c>
      <c r="C317" s="2" t="s">
        <v>1862</v>
      </c>
      <c r="D317" s="2" t="s">
        <v>2767</v>
      </c>
      <c r="E317" s="4"/>
      <c r="F317" s="8"/>
      <c r="G317" s="4"/>
      <c r="H317" s="8"/>
      <c r="I317" s="7"/>
      <c r="J317" s="7"/>
      <c r="K317" s="4"/>
      <c r="L317" s="8"/>
      <c r="M317" s="4"/>
      <c r="N317" s="8"/>
      <c r="O317" s="7"/>
      <c r="P317" s="7"/>
    </row>
    <row r="318">
      <c r="A318" s="2" t="s">
        <v>848</v>
      </c>
      <c r="B318" s="2" t="s">
        <v>1111</v>
      </c>
      <c r="C318" s="2" t="s">
        <v>1112</v>
      </c>
      <c r="D318" s="2" t="s">
        <v>1151</v>
      </c>
      <c r="E318" s="4" t="s">
        <v>228</v>
      </c>
      <c r="F318" s="8" t="s">
        <v>228</v>
      </c>
      <c r="G318" s="4" t="s">
        <v>228</v>
      </c>
      <c r="H318" s="8" t="s">
        <v>228</v>
      </c>
      <c r="I318" s="7" t="s">
        <v>228</v>
      </c>
      <c r="J318" s="7" t="s">
        <v>228</v>
      </c>
      <c r="K318" s="4"/>
      <c r="L318" s="8"/>
      <c r="M318" s="4"/>
      <c r="N318" s="8"/>
      <c r="O318" s="7"/>
      <c r="P318" s="7"/>
    </row>
    <row r="319">
      <c r="A319" s="2" t="s">
        <v>848</v>
      </c>
      <c r="B319" s="2" t="s">
        <v>1111</v>
      </c>
      <c r="C319" s="2" t="s">
        <v>1112</v>
      </c>
      <c r="D319" s="2" t="s">
        <v>1113</v>
      </c>
      <c r="E319" s="4" t="s">
        <v>228</v>
      </c>
      <c r="F319" s="8" t="s">
        <v>228</v>
      </c>
      <c r="G319" s="4" t="s">
        <v>228</v>
      </c>
      <c r="H319" s="8" t="s">
        <v>228</v>
      </c>
      <c r="I319" s="7" t="s">
        <v>228</v>
      </c>
      <c r="J319" s="7" t="s">
        <v>228</v>
      </c>
      <c r="K319" s="4"/>
      <c r="L319" s="8"/>
      <c r="M319" s="4"/>
      <c r="N319" s="8"/>
      <c r="O319" s="7"/>
      <c r="P319" s="7"/>
    </row>
    <row r="320">
      <c r="A320" s="2" t="s">
        <v>848</v>
      </c>
      <c r="B320" s="2" t="s">
        <v>1111</v>
      </c>
      <c r="C320" s="2" t="s">
        <v>1316</v>
      </c>
      <c r="D320" s="2" t="s">
        <v>2396</v>
      </c>
      <c r="E320" s="4" t="s">
        <v>228</v>
      </c>
      <c r="F320" s="8" t="s">
        <v>228</v>
      </c>
      <c r="G320" s="4" t="s">
        <v>228</v>
      </c>
      <c r="H320" s="8" t="s">
        <v>228</v>
      </c>
      <c r="I320" s="7" t="s">
        <v>228</v>
      </c>
      <c r="J320" s="7" t="s">
        <v>228</v>
      </c>
      <c r="K320" s="4"/>
      <c r="L320" s="8"/>
      <c r="M320" s="4"/>
      <c r="N320" s="8"/>
      <c r="O320" s="7"/>
      <c r="P320" s="7"/>
    </row>
    <row r="321">
      <c r="A321" s="2" t="s">
        <v>848</v>
      </c>
      <c r="B321" s="2" t="s">
        <v>1111</v>
      </c>
      <c r="C321" s="2" t="s">
        <v>1316</v>
      </c>
      <c r="D321" s="2" t="s">
        <v>1317</v>
      </c>
      <c r="E321" s="4" t="s">
        <v>228</v>
      </c>
      <c r="F321" s="8" t="s">
        <v>228</v>
      </c>
      <c r="G321" s="4" t="s">
        <v>228</v>
      </c>
      <c r="H321" s="8" t="s">
        <v>228</v>
      </c>
      <c r="I321" s="7" t="s">
        <v>228</v>
      </c>
      <c r="J321" s="7" t="s">
        <v>228</v>
      </c>
      <c r="K321" s="4"/>
      <c r="L321" s="8"/>
      <c r="M321" s="4"/>
      <c r="N321" s="8"/>
      <c r="O321" s="7"/>
      <c r="P321" s="7"/>
    </row>
    <row r="322">
      <c r="A322" s="2" t="s">
        <v>848</v>
      </c>
      <c r="B322" s="2" t="s">
        <v>849</v>
      </c>
      <c r="C322" s="2" t="s">
        <v>1112</v>
      </c>
      <c r="D322" s="2" t="s">
        <v>1151</v>
      </c>
      <c r="E322" s="4" t="s">
        <v>228</v>
      </c>
      <c r="F322" s="8" t="s">
        <v>228</v>
      </c>
      <c r="G322" s="4" t="s">
        <v>228</v>
      </c>
      <c r="H322" s="8" t="s">
        <v>228</v>
      </c>
      <c r="I322" s="7" t="s">
        <v>228</v>
      </c>
      <c r="J322" s="7" t="s">
        <v>228</v>
      </c>
      <c r="K322" s="4"/>
      <c r="L322" s="8"/>
      <c r="M322" s="4"/>
      <c r="N322" s="8"/>
      <c r="O322" s="7"/>
      <c r="P322" s="7"/>
    </row>
    <row r="323">
      <c r="A323" s="2" t="s">
        <v>848</v>
      </c>
      <c r="B323" s="2" t="s">
        <v>849</v>
      </c>
      <c r="C323" s="2" t="s">
        <v>1112</v>
      </c>
      <c r="D323" s="2" t="s">
        <v>1165</v>
      </c>
      <c r="E323" s="4" t="s">
        <v>228</v>
      </c>
      <c r="F323" s="8" t="s">
        <v>228</v>
      </c>
      <c r="G323" s="4" t="s">
        <v>228</v>
      </c>
      <c r="H323" s="8" t="s">
        <v>228</v>
      </c>
      <c r="I323" s="7" t="s">
        <v>228</v>
      </c>
      <c r="J323" s="7" t="s">
        <v>228</v>
      </c>
      <c r="K323" s="4"/>
      <c r="L323" s="8"/>
      <c r="M323" s="4"/>
      <c r="N323" s="8"/>
      <c r="O323" s="7"/>
      <c r="P323" s="7"/>
    </row>
    <row r="324">
      <c r="A324" s="2" t="s">
        <v>848</v>
      </c>
      <c r="B324" s="2" t="s">
        <v>849</v>
      </c>
      <c r="C324" s="2" t="s">
        <v>1112</v>
      </c>
      <c r="D324" s="2" t="s">
        <v>1113</v>
      </c>
      <c r="E324" s="4" t="s">
        <v>228</v>
      </c>
      <c r="F324" s="8" t="s">
        <v>228</v>
      </c>
      <c r="G324" s="4" t="s">
        <v>228</v>
      </c>
      <c r="H324" s="8" t="s">
        <v>228</v>
      </c>
      <c r="I324" s="7" t="s">
        <v>228</v>
      </c>
      <c r="J324" s="7" t="s">
        <v>228</v>
      </c>
      <c r="K324" s="4"/>
      <c r="L324" s="8"/>
      <c r="M324" s="4"/>
      <c r="N324" s="8"/>
      <c r="O324" s="7"/>
      <c r="P324" s="7"/>
    </row>
    <row r="325">
      <c r="A325" s="2" t="s">
        <v>848</v>
      </c>
      <c r="B325" s="2" t="s">
        <v>849</v>
      </c>
      <c r="C325" s="2" t="s">
        <v>1316</v>
      </c>
      <c r="D325" s="2" t="s">
        <v>2396</v>
      </c>
      <c r="E325" s="4" t="s">
        <v>228</v>
      </c>
      <c r="F325" s="8" t="s">
        <v>228</v>
      </c>
      <c r="G325" s="4" t="s">
        <v>228</v>
      </c>
      <c r="H325" s="8" t="s">
        <v>228</v>
      </c>
      <c r="I325" s="7" t="s">
        <v>228</v>
      </c>
      <c r="J325" s="7" t="s">
        <v>228</v>
      </c>
      <c r="K325" s="4"/>
      <c r="L325" s="8"/>
      <c r="M325" s="4"/>
      <c r="N325" s="8"/>
      <c r="O325" s="7"/>
      <c r="P325" s="7"/>
    </row>
    <row r="326">
      <c r="A326" s="2" t="s">
        <v>848</v>
      </c>
      <c r="B326" s="2" t="s">
        <v>849</v>
      </c>
      <c r="C326" s="2" t="s">
        <v>1316</v>
      </c>
      <c r="D326" s="2" t="s">
        <v>1317</v>
      </c>
      <c r="E326" s="4" t="s">
        <v>228</v>
      </c>
      <c r="F326" s="8" t="s">
        <v>228</v>
      </c>
      <c r="G326" s="4" t="s">
        <v>228</v>
      </c>
      <c r="H326" s="8" t="s">
        <v>228</v>
      </c>
      <c r="I326" s="7" t="s">
        <v>228</v>
      </c>
      <c r="J326" s="7" t="s">
        <v>228</v>
      </c>
      <c r="K326" s="4"/>
      <c r="L326" s="8"/>
      <c r="M326" s="4"/>
      <c r="N326" s="8"/>
      <c r="O326" s="7"/>
      <c r="P326" s="7"/>
    </row>
    <row r="327">
      <c r="A327" s="2" t="s">
        <v>848</v>
      </c>
      <c r="B327" s="2" t="s">
        <v>849</v>
      </c>
      <c r="C327" s="2" t="s">
        <v>850</v>
      </c>
      <c r="D327" s="2" t="s">
        <v>1038</v>
      </c>
      <c r="E327" s="4" t="s">
        <v>228</v>
      </c>
      <c r="F327" s="8" t="s">
        <v>228</v>
      </c>
      <c r="G327" s="4" t="s">
        <v>228</v>
      </c>
      <c r="H327" s="8" t="s">
        <v>228</v>
      </c>
      <c r="I327" s="7" t="s">
        <v>228</v>
      </c>
      <c r="J327" s="7" t="s">
        <v>228</v>
      </c>
      <c r="K327" s="4"/>
      <c r="L327" s="8"/>
      <c r="M327" s="4"/>
      <c r="N327" s="8"/>
      <c r="O327" s="7"/>
      <c r="P327" s="7"/>
    </row>
    <row r="328">
      <c r="A328" s="2" t="s">
        <v>848</v>
      </c>
      <c r="B328" s="2" t="s">
        <v>849</v>
      </c>
      <c r="C328" s="2" t="s">
        <v>850</v>
      </c>
      <c r="D328" s="2" t="s">
        <v>851</v>
      </c>
      <c r="E328" s="4" t="s">
        <v>228</v>
      </c>
      <c r="F328" s="8" t="s">
        <v>228</v>
      </c>
      <c r="G328" s="4" t="s">
        <v>228</v>
      </c>
      <c r="H328" s="8" t="s">
        <v>228</v>
      </c>
      <c r="I328" s="7" t="s">
        <v>228</v>
      </c>
      <c r="J328" s="7" t="s">
        <v>228</v>
      </c>
      <c r="K328" s="4"/>
      <c r="L328" s="8"/>
      <c r="M328" s="4"/>
      <c r="N328" s="8"/>
      <c r="O328" s="7"/>
      <c r="P328" s="7"/>
    </row>
    <row r="329">
      <c r="A329" s="2" t="s">
        <v>848</v>
      </c>
      <c r="B329" s="2" t="s">
        <v>1184</v>
      </c>
      <c r="C329" s="2" t="s">
        <v>1112</v>
      </c>
      <c r="D329" s="2" t="s">
        <v>1165</v>
      </c>
      <c r="E329" s="4"/>
      <c r="F329" s="8"/>
      <c r="G329" s="4"/>
      <c r="H329" s="8"/>
      <c r="I329" s="7"/>
      <c r="J329" s="7"/>
      <c r="K329" s="4"/>
      <c r="L329" s="8"/>
      <c r="M329" s="4"/>
      <c r="N329" s="8"/>
      <c r="O329" s="7"/>
      <c r="P329" s="7"/>
    </row>
    <row r="330">
      <c r="A330" s="2" t="s">
        <v>848</v>
      </c>
      <c r="B330" s="2" t="s">
        <v>1184</v>
      </c>
      <c r="C330" s="2" t="s">
        <v>850</v>
      </c>
      <c r="D330" s="2" t="s">
        <v>1038</v>
      </c>
      <c r="E330" s="4" t="s">
        <v>228</v>
      </c>
      <c r="F330" s="8" t="s">
        <v>228</v>
      </c>
      <c r="G330" s="4" t="s">
        <v>228</v>
      </c>
      <c r="H330" s="8" t="s">
        <v>228</v>
      </c>
      <c r="I330" s="7" t="s">
        <v>228</v>
      </c>
      <c r="J330" s="7" t="s">
        <v>228</v>
      </c>
      <c r="K330" s="4"/>
      <c r="L330" s="8"/>
      <c r="M330" s="4"/>
      <c r="N330" s="8"/>
      <c r="O330" s="7"/>
      <c r="P330" s="7"/>
    </row>
    <row r="331">
      <c r="A331" s="2" t="s">
        <v>848</v>
      </c>
      <c r="B331" s="2" t="s">
        <v>1184</v>
      </c>
      <c r="C331" s="2" t="s">
        <v>850</v>
      </c>
      <c r="D331" s="2" t="s">
        <v>851</v>
      </c>
      <c r="E331" s="4" t="s">
        <v>228</v>
      </c>
      <c r="F331" s="8" t="s">
        <v>228</v>
      </c>
      <c r="G331" s="4" t="s">
        <v>228</v>
      </c>
      <c r="H331" s="8" t="s">
        <v>228</v>
      </c>
      <c r="I331" s="7" t="s">
        <v>228</v>
      </c>
      <c r="J331" s="7" t="s">
        <v>228</v>
      </c>
      <c r="K331" s="4"/>
      <c r="L331" s="8"/>
      <c r="M331" s="4"/>
      <c r="N331" s="8"/>
      <c r="O331" s="7"/>
      <c r="P331" s="7"/>
    </row>
    <row r="332">
      <c r="A332" s="2" t="s">
        <v>848</v>
      </c>
      <c r="B332" s="2" t="s">
        <v>2390</v>
      </c>
      <c r="C332" s="2" t="s">
        <v>1112</v>
      </c>
      <c r="D332" s="2" t="s">
        <v>1165</v>
      </c>
      <c r="E332" s="4" t="s">
        <v>228</v>
      </c>
      <c r="F332" s="8" t="s">
        <v>228</v>
      </c>
      <c r="G332" s="4" t="s">
        <v>228</v>
      </c>
      <c r="H332" s="8" t="s">
        <v>228</v>
      </c>
      <c r="I332" s="7" t="s">
        <v>228</v>
      </c>
      <c r="J332" s="7" t="s">
        <v>228</v>
      </c>
      <c r="K332" s="4"/>
      <c r="L332" s="8"/>
      <c r="M332" s="4"/>
      <c r="N332" s="8"/>
      <c r="O332" s="7"/>
      <c r="P332" s="7"/>
    </row>
    <row r="333">
      <c r="A333" s="2" t="s">
        <v>848</v>
      </c>
      <c r="B333" s="2" t="s">
        <v>2390</v>
      </c>
      <c r="C333" s="2" t="s">
        <v>1112</v>
      </c>
      <c r="D333" s="2" t="s">
        <v>1113</v>
      </c>
      <c r="E333" s="4" t="s">
        <v>228</v>
      </c>
      <c r="F333" s="8" t="s">
        <v>228</v>
      </c>
      <c r="G333" s="4" t="s">
        <v>228</v>
      </c>
      <c r="H333" s="8" t="s">
        <v>228</v>
      </c>
      <c r="I333" s="7" t="s">
        <v>228</v>
      </c>
      <c r="J333" s="7" t="s">
        <v>228</v>
      </c>
      <c r="K333" s="4"/>
      <c r="L333" s="8"/>
      <c r="M333" s="4"/>
      <c r="N333" s="8"/>
      <c r="O333" s="7"/>
      <c r="P333" s="7"/>
    </row>
    <row r="334">
      <c r="A334" s="2" t="s">
        <v>848</v>
      </c>
      <c r="B334" s="2" t="s">
        <v>2390</v>
      </c>
      <c r="C334" s="2" t="s">
        <v>1316</v>
      </c>
      <c r="D334" s="2" t="s">
        <v>2396</v>
      </c>
      <c r="E334" s="4"/>
      <c r="F334" s="8"/>
      <c r="G334" s="4"/>
      <c r="H334" s="8"/>
      <c r="I334" s="7"/>
      <c r="J334" s="7"/>
      <c r="K334" s="4"/>
      <c r="L334" s="8"/>
      <c r="M334" s="4"/>
      <c r="N334" s="8"/>
      <c r="O334" s="7"/>
      <c r="P334" s="7"/>
    </row>
    <row r="335">
      <c r="A335" s="2" t="s">
        <v>848</v>
      </c>
      <c r="B335" s="2" t="s">
        <v>2390</v>
      </c>
      <c r="C335" s="2" t="s">
        <v>850</v>
      </c>
      <c r="D335" s="2" t="s">
        <v>1038</v>
      </c>
      <c r="E335" s="4"/>
      <c r="F335" s="8"/>
      <c r="G335" s="4"/>
      <c r="H335" s="8"/>
      <c r="I335" s="7"/>
      <c r="J335" s="7"/>
      <c r="K335" s="4"/>
      <c r="L335" s="8"/>
      <c r="M335" s="4"/>
      <c r="N335" s="8"/>
      <c r="O335" s="7"/>
      <c r="P335" s="7"/>
    </row>
    <row r="336">
      <c r="A336" s="2" t="s">
        <v>848</v>
      </c>
      <c r="B336" s="2" t="s">
        <v>1037</v>
      </c>
      <c r="C336" s="2" t="s">
        <v>1112</v>
      </c>
      <c r="D336" s="2" t="s">
        <v>1165</v>
      </c>
      <c r="E336" s="4" t="s">
        <v>228</v>
      </c>
      <c r="F336" s="8" t="s">
        <v>228</v>
      </c>
      <c r="G336" s="4" t="s">
        <v>228</v>
      </c>
      <c r="H336" s="8" t="s">
        <v>228</v>
      </c>
      <c r="I336" s="7" t="s">
        <v>228</v>
      </c>
      <c r="J336" s="7" t="s">
        <v>228</v>
      </c>
      <c r="K336" s="4"/>
      <c r="L336" s="8"/>
      <c r="M336" s="4"/>
      <c r="N336" s="8"/>
      <c r="O336" s="7"/>
      <c r="P336" s="7"/>
    </row>
    <row r="337">
      <c r="A337" s="2" t="s">
        <v>848</v>
      </c>
      <c r="B337" s="2" t="s">
        <v>1037</v>
      </c>
      <c r="C337" s="2" t="s">
        <v>1112</v>
      </c>
      <c r="D337" s="2" t="s">
        <v>1113</v>
      </c>
      <c r="E337" s="4" t="s">
        <v>228</v>
      </c>
      <c r="F337" s="8" t="s">
        <v>228</v>
      </c>
      <c r="G337" s="4" t="s">
        <v>228</v>
      </c>
      <c r="H337" s="8" t="s">
        <v>228</v>
      </c>
      <c r="I337" s="7" t="s">
        <v>228</v>
      </c>
      <c r="J337" s="7" t="s">
        <v>228</v>
      </c>
      <c r="K337" s="4"/>
      <c r="L337" s="8"/>
      <c r="M337" s="4"/>
      <c r="N337" s="8"/>
      <c r="O337" s="7"/>
      <c r="P337" s="7"/>
    </row>
    <row r="338">
      <c r="A338" s="2" t="s">
        <v>848</v>
      </c>
      <c r="B338" s="2" t="s">
        <v>1037</v>
      </c>
      <c r="C338" s="2" t="s">
        <v>1316</v>
      </c>
      <c r="D338" s="2" t="s">
        <v>1317</v>
      </c>
      <c r="E338" s="4"/>
      <c r="F338" s="8"/>
      <c r="G338" s="4"/>
      <c r="H338" s="8"/>
      <c r="I338" s="7"/>
      <c r="J338" s="7"/>
      <c r="K338" s="4"/>
      <c r="L338" s="8"/>
      <c r="M338" s="4"/>
      <c r="N338" s="8"/>
      <c r="O338" s="7"/>
      <c r="P338" s="7"/>
    </row>
    <row r="339">
      <c r="A339" s="2" t="s">
        <v>848</v>
      </c>
      <c r="B339" s="2" t="s">
        <v>1037</v>
      </c>
      <c r="C339" s="2" t="s">
        <v>850</v>
      </c>
      <c r="D339" s="2" t="s">
        <v>1038</v>
      </c>
      <c r="E339" s="4" t="s">
        <v>228</v>
      </c>
      <c r="F339" s="8" t="s">
        <v>228</v>
      </c>
      <c r="G339" s="4" t="s">
        <v>228</v>
      </c>
      <c r="H339" s="8" t="s">
        <v>228</v>
      </c>
      <c r="I339" s="7" t="s">
        <v>228</v>
      </c>
      <c r="J339" s="7" t="s">
        <v>228</v>
      </c>
      <c r="K339" s="4"/>
      <c r="L339" s="8"/>
      <c r="M339" s="4"/>
      <c r="N339" s="8"/>
      <c r="O339" s="7"/>
      <c r="P339" s="7"/>
    </row>
    <row r="340">
      <c r="A340" s="2" t="s">
        <v>848</v>
      </c>
      <c r="B340" s="2" t="s">
        <v>1037</v>
      </c>
      <c r="C340" s="2" t="s">
        <v>850</v>
      </c>
      <c r="D340" s="2" t="s">
        <v>851</v>
      </c>
      <c r="E340" s="4" t="s">
        <v>228</v>
      </c>
      <c r="F340" s="8" t="s">
        <v>228</v>
      </c>
      <c r="G340" s="4" t="s">
        <v>228</v>
      </c>
      <c r="H340" s="8" t="s">
        <v>228</v>
      </c>
      <c r="I340" s="7" t="s">
        <v>228</v>
      </c>
      <c r="J340" s="7" t="s">
        <v>228</v>
      </c>
      <c r="K340" s="4"/>
      <c r="L340" s="8"/>
      <c r="M340" s="4"/>
      <c r="N340" s="8"/>
      <c r="O340" s="7"/>
      <c r="P340" s="7"/>
    </row>
    <row r="341">
      <c r="A341" s="2" t="s">
        <v>848</v>
      </c>
      <c r="B341" s="2" t="s">
        <v>2925</v>
      </c>
      <c r="C341" s="2" t="s">
        <v>1112</v>
      </c>
      <c r="D341" s="2" t="s">
        <v>1165</v>
      </c>
      <c r="E341" s="4"/>
      <c r="F341" s="8"/>
      <c r="G341" s="4"/>
      <c r="H341" s="8"/>
      <c r="I341" s="7"/>
      <c r="J341" s="7"/>
      <c r="K341" s="4"/>
      <c r="L341" s="8"/>
      <c r="M341" s="4"/>
      <c r="N341" s="8"/>
      <c r="O341" s="7"/>
      <c r="P341" s="7"/>
    </row>
    <row r="342">
      <c r="A342" s="2" t="s">
        <v>848</v>
      </c>
      <c r="B342" s="2" t="s">
        <v>2925</v>
      </c>
      <c r="C342" s="2" t="s">
        <v>1316</v>
      </c>
      <c r="D342" s="2" t="s">
        <v>2396</v>
      </c>
      <c r="E342" s="4"/>
      <c r="F342" s="8"/>
      <c r="G342" s="4"/>
      <c r="H342" s="8"/>
      <c r="I342" s="7"/>
      <c r="J342" s="7"/>
      <c r="K342" s="4"/>
      <c r="L342" s="8"/>
      <c r="M342" s="4"/>
      <c r="N342" s="8"/>
      <c r="O342" s="7"/>
      <c r="P34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7:E8"/>
    <mergeCell ref="F7:F8"/>
    <mergeCell ref="G7:G8"/>
    <mergeCell ref="H7:H8"/>
    <mergeCell ref="I7:I8"/>
    <mergeCell ref="J7:J8"/>
    <mergeCell ref="E9:E11"/>
    <mergeCell ref="F9:F11"/>
    <mergeCell ref="G9:G11"/>
    <mergeCell ref="H9:H11"/>
    <mergeCell ref="I9:I11"/>
    <mergeCell ref="J9:J11"/>
    <mergeCell ref="E33:E34"/>
    <mergeCell ref="F33:F34"/>
    <mergeCell ref="G33:G34"/>
    <mergeCell ref="H33:H34"/>
    <mergeCell ref="I33:I34"/>
    <mergeCell ref="J33:J34"/>
    <mergeCell ref="E36:E37"/>
    <mergeCell ref="F36:F37"/>
    <mergeCell ref="G36:G37"/>
    <mergeCell ref="H36:H37"/>
    <mergeCell ref="I36:I37"/>
    <mergeCell ref="J36:J37"/>
    <mergeCell ref="E39:E41"/>
    <mergeCell ref="F39:F41"/>
    <mergeCell ref="G39:G41"/>
    <mergeCell ref="H39:H41"/>
    <mergeCell ref="I39:I41"/>
    <mergeCell ref="J39:J41"/>
    <mergeCell ref="E42:E46"/>
    <mergeCell ref="F42:F46"/>
    <mergeCell ref="G42:G46"/>
    <mergeCell ref="H42:H46"/>
    <mergeCell ref="I42:I46"/>
    <mergeCell ref="J42:J46"/>
    <mergeCell ref="E47:E48"/>
    <mergeCell ref="F47:F48"/>
    <mergeCell ref="G47:G48"/>
    <mergeCell ref="H47:H48"/>
    <mergeCell ref="I47:I48"/>
    <mergeCell ref="J47:J48"/>
    <mergeCell ref="E55:E56"/>
    <mergeCell ref="F55:F56"/>
    <mergeCell ref="G55:G56"/>
    <mergeCell ref="H55:H56"/>
    <mergeCell ref="I55:I56"/>
    <mergeCell ref="J55:J56"/>
    <mergeCell ref="E63:E64"/>
    <mergeCell ref="F63:F64"/>
    <mergeCell ref="G63:G64"/>
    <mergeCell ref="H63:H64"/>
    <mergeCell ref="I63:I64"/>
    <mergeCell ref="J63:J64"/>
    <mergeCell ref="E68:E70"/>
    <mergeCell ref="F68:F70"/>
    <mergeCell ref="G68:G70"/>
    <mergeCell ref="H68:H70"/>
    <mergeCell ref="I68:I70"/>
    <mergeCell ref="J68:J70"/>
    <mergeCell ref="E71:E72"/>
    <mergeCell ref="F71:F72"/>
    <mergeCell ref="G71:G72"/>
    <mergeCell ref="H71:H72"/>
    <mergeCell ref="I71:I72"/>
    <mergeCell ref="J71:J72"/>
    <mergeCell ref="E74:E75"/>
    <mergeCell ref="F74:F75"/>
    <mergeCell ref="G74:G75"/>
    <mergeCell ref="H74:H75"/>
    <mergeCell ref="I74:I75"/>
    <mergeCell ref="J74:J75"/>
    <mergeCell ref="E76:E77"/>
    <mergeCell ref="F76:F77"/>
    <mergeCell ref="G76:G77"/>
    <mergeCell ref="H76:H77"/>
    <mergeCell ref="I76:I77"/>
    <mergeCell ref="J76:J77"/>
    <mergeCell ref="E78:E79"/>
    <mergeCell ref="F78:F79"/>
    <mergeCell ref="G78:G79"/>
    <mergeCell ref="H78:H79"/>
    <mergeCell ref="I78:I79"/>
    <mergeCell ref="J78:J79"/>
    <mergeCell ref="E80:E81"/>
    <mergeCell ref="F80:F81"/>
    <mergeCell ref="G80:G81"/>
    <mergeCell ref="H80:H81"/>
    <mergeCell ref="I80:I81"/>
    <mergeCell ref="J80:J81"/>
    <mergeCell ref="E82:E84"/>
    <mergeCell ref="F82:F84"/>
    <mergeCell ref="G82:G84"/>
    <mergeCell ref="H82:H84"/>
    <mergeCell ref="I82:I84"/>
    <mergeCell ref="J82:J84"/>
    <mergeCell ref="E87:E88"/>
    <mergeCell ref="F87:F88"/>
    <mergeCell ref="G87:G88"/>
    <mergeCell ref="H87:H88"/>
    <mergeCell ref="I87:I88"/>
    <mergeCell ref="J87:J88"/>
    <mergeCell ref="E89:E90"/>
    <mergeCell ref="F89:F90"/>
    <mergeCell ref="G89:G90"/>
    <mergeCell ref="H89:H90"/>
    <mergeCell ref="I89:I90"/>
    <mergeCell ref="J89:J90"/>
    <mergeCell ref="E97:E98"/>
    <mergeCell ref="F97:F98"/>
    <mergeCell ref="G97:G98"/>
    <mergeCell ref="H97:H98"/>
    <mergeCell ref="I97:I98"/>
    <mergeCell ref="J97:J98"/>
    <mergeCell ref="E104:E106"/>
    <mergeCell ref="F104:F106"/>
    <mergeCell ref="G104:G106"/>
    <mergeCell ref="H104:H106"/>
    <mergeCell ref="I104:I106"/>
    <mergeCell ref="J104:J106"/>
    <mergeCell ref="E122:E125"/>
    <mergeCell ref="F122:F125"/>
    <mergeCell ref="G122:G125"/>
    <mergeCell ref="H122:H125"/>
    <mergeCell ref="I122:I125"/>
    <mergeCell ref="J122:J125"/>
    <mergeCell ref="E134:E135"/>
    <mergeCell ref="F134:F135"/>
    <mergeCell ref="G134:G135"/>
    <mergeCell ref="H134:H135"/>
    <mergeCell ref="I134:I135"/>
    <mergeCell ref="J134:J135"/>
    <mergeCell ref="E138:E139"/>
    <mergeCell ref="F138:F139"/>
    <mergeCell ref="G138:G139"/>
    <mergeCell ref="H138:H139"/>
    <mergeCell ref="I138:I139"/>
    <mergeCell ref="J138:J139"/>
    <mergeCell ref="E142:E143"/>
    <mergeCell ref="F142:F143"/>
    <mergeCell ref="G142:G143"/>
    <mergeCell ref="H142:H143"/>
    <mergeCell ref="I142:I143"/>
    <mergeCell ref="J142:J143"/>
    <mergeCell ref="E147:E149"/>
    <mergeCell ref="F147:F149"/>
    <mergeCell ref="G147:G149"/>
    <mergeCell ref="H147:H149"/>
    <mergeCell ref="I147:I149"/>
    <mergeCell ref="J147:J149"/>
    <mergeCell ref="E154:E155"/>
    <mergeCell ref="F154:F155"/>
    <mergeCell ref="G154:G155"/>
    <mergeCell ref="H154:H155"/>
    <mergeCell ref="I154:I155"/>
    <mergeCell ref="J154:J155"/>
    <mergeCell ref="E157:E158"/>
    <mergeCell ref="F157:F158"/>
    <mergeCell ref="G157:G158"/>
    <mergeCell ref="H157:H158"/>
    <mergeCell ref="I157:I158"/>
    <mergeCell ref="J157:J158"/>
    <mergeCell ref="E160:E161"/>
    <mergeCell ref="F160:F161"/>
    <mergeCell ref="G160:G161"/>
    <mergeCell ref="H160:H161"/>
    <mergeCell ref="I160:I161"/>
    <mergeCell ref="J160:J161"/>
    <mergeCell ref="E162:E163"/>
    <mergeCell ref="F162:F163"/>
    <mergeCell ref="G162:G163"/>
    <mergeCell ref="H162:H163"/>
    <mergeCell ref="I162:I163"/>
    <mergeCell ref="J162:J163"/>
    <mergeCell ref="E164:E165"/>
    <mergeCell ref="F164:F165"/>
    <mergeCell ref="G164:G165"/>
    <mergeCell ref="H164:H165"/>
    <mergeCell ref="I164:I165"/>
    <mergeCell ref="J164:J165"/>
    <mergeCell ref="E171:E172"/>
    <mergeCell ref="F171:F172"/>
    <mergeCell ref="G171:G172"/>
    <mergeCell ref="H171:H172"/>
    <mergeCell ref="I171:I172"/>
    <mergeCell ref="J171:J172"/>
    <mergeCell ref="E173:E175"/>
    <mergeCell ref="F173:F175"/>
    <mergeCell ref="G173:G175"/>
    <mergeCell ref="H173:H175"/>
    <mergeCell ref="I173:I175"/>
    <mergeCell ref="J173:J175"/>
    <mergeCell ref="E178:E180"/>
    <mergeCell ref="F178:F180"/>
    <mergeCell ref="G178:G180"/>
    <mergeCell ref="H178:H180"/>
    <mergeCell ref="I178:I180"/>
    <mergeCell ref="J178:J180"/>
    <mergeCell ref="E184:E186"/>
    <mergeCell ref="F184:F186"/>
    <mergeCell ref="G184:G186"/>
    <mergeCell ref="H184:H186"/>
    <mergeCell ref="I184:I186"/>
    <mergeCell ref="J184:J186"/>
    <mergeCell ref="E191:E194"/>
    <mergeCell ref="F191:F194"/>
    <mergeCell ref="G191:G194"/>
    <mergeCell ref="H191:H194"/>
    <mergeCell ref="I191:I194"/>
    <mergeCell ref="J191:J194"/>
    <mergeCell ref="E196:E200"/>
    <mergeCell ref="F196:F200"/>
    <mergeCell ref="G196:G200"/>
    <mergeCell ref="H196:H200"/>
    <mergeCell ref="I196:I200"/>
    <mergeCell ref="J196:J200"/>
    <mergeCell ref="E202:E204"/>
    <mergeCell ref="F202:F204"/>
    <mergeCell ref="G202:G204"/>
    <mergeCell ref="H202:H204"/>
    <mergeCell ref="I202:I204"/>
    <mergeCell ref="J202:J204"/>
    <mergeCell ref="E205:E206"/>
    <mergeCell ref="F205:F206"/>
    <mergeCell ref="G205:G206"/>
    <mergeCell ref="H205:H206"/>
    <mergeCell ref="I205:I206"/>
    <mergeCell ref="J205:J206"/>
    <mergeCell ref="E208:E209"/>
    <mergeCell ref="F208:F209"/>
    <mergeCell ref="G208:G209"/>
    <mergeCell ref="H208:H209"/>
    <mergeCell ref="I208:I209"/>
    <mergeCell ref="J208:J209"/>
    <mergeCell ref="E213:E214"/>
    <mergeCell ref="F213:F214"/>
    <mergeCell ref="G213:G214"/>
    <mergeCell ref="H213:H214"/>
    <mergeCell ref="I213:I214"/>
    <mergeCell ref="J213:J214"/>
    <mergeCell ref="E217:E219"/>
    <mergeCell ref="F217:F219"/>
    <mergeCell ref="G217:G219"/>
    <mergeCell ref="H217:H219"/>
    <mergeCell ref="I217:I219"/>
    <mergeCell ref="J217:J219"/>
    <mergeCell ref="E220:E223"/>
    <mergeCell ref="F220:F223"/>
    <mergeCell ref="G220:G223"/>
    <mergeCell ref="H220:H223"/>
    <mergeCell ref="I220:I223"/>
    <mergeCell ref="J220:J223"/>
    <mergeCell ref="E230:E231"/>
    <mergeCell ref="F230:F231"/>
    <mergeCell ref="G230:G231"/>
    <mergeCell ref="H230:H231"/>
    <mergeCell ref="I230:I231"/>
    <mergeCell ref="J230:J231"/>
    <mergeCell ref="E235:E238"/>
    <mergeCell ref="F235:F238"/>
    <mergeCell ref="G235:G238"/>
    <mergeCell ref="H235:H238"/>
    <mergeCell ref="I235:I238"/>
    <mergeCell ref="J235:J238"/>
    <mergeCell ref="E246:E249"/>
    <mergeCell ref="F246:F249"/>
    <mergeCell ref="G246:G249"/>
    <mergeCell ref="H246:H249"/>
    <mergeCell ref="I246:I249"/>
    <mergeCell ref="J246:J249"/>
    <mergeCell ref="E297:E298"/>
    <mergeCell ref="F297:F298"/>
    <mergeCell ref="G297:G298"/>
    <mergeCell ref="H297:H298"/>
    <mergeCell ref="I297:I298"/>
    <mergeCell ref="J297:J298"/>
    <mergeCell ref="E304:E305"/>
    <mergeCell ref="F304:F305"/>
    <mergeCell ref="G304:G305"/>
    <mergeCell ref="H304:H305"/>
    <mergeCell ref="I304:I305"/>
    <mergeCell ref="J304:J305"/>
    <mergeCell ref="E306:E307"/>
    <mergeCell ref="F306:F307"/>
    <mergeCell ref="G306:G307"/>
    <mergeCell ref="H306:H307"/>
    <mergeCell ref="I306:I307"/>
    <mergeCell ref="J306:J307"/>
    <mergeCell ref="E309:E314"/>
    <mergeCell ref="F309:F314"/>
    <mergeCell ref="G309:G314"/>
    <mergeCell ref="H309:H314"/>
    <mergeCell ref="I309:I314"/>
    <mergeCell ref="J309:J314"/>
    <mergeCell ref="E315:E316"/>
    <mergeCell ref="F315:F316"/>
    <mergeCell ref="G315:G316"/>
    <mergeCell ref="H315:H316"/>
    <mergeCell ref="I315:I316"/>
    <mergeCell ref="J315:J316"/>
    <mergeCell ref="E318:E319"/>
    <mergeCell ref="F318:F319"/>
    <mergeCell ref="G318:G319"/>
    <mergeCell ref="H318:H319"/>
    <mergeCell ref="I318:I319"/>
    <mergeCell ref="J318:J319"/>
    <mergeCell ref="E320:E321"/>
    <mergeCell ref="F320:F321"/>
    <mergeCell ref="G320:G321"/>
    <mergeCell ref="H320:H321"/>
    <mergeCell ref="I320:I321"/>
    <mergeCell ref="J320:J321"/>
    <mergeCell ref="E322:E324"/>
    <mergeCell ref="F322:F324"/>
    <mergeCell ref="G322:G324"/>
    <mergeCell ref="H322:H324"/>
    <mergeCell ref="I322:I324"/>
    <mergeCell ref="J322:J324"/>
    <mergeCell ref="E325:E326"/>
    <mergeCell ref="F325:F326"/>
    <mergeCell ref="G325:G326"/>
    <mergeCell ref="H325:H326"/>
    <mergeCell ref="I325:I326"/>
    <mergeCell ref="J325:J326"/>
    <mergeCell ref="E327:E328"/>
    <mergeCell ref="F327:F328"/>
    <mergeCell ref="G327:G328"/>
    <mergeCell ref="H327:H328"/>
    <mergeCell ref="I327:I328"/>
    <mergeCell ref="J327:J328"/>
    <mergeCell ref="E330:E331"/>
    <mergeCell ref="F330:F331"/>
    <mergeCell ref="G330:G331"/>
    <mergeCell ref="H330:H331"/>
    <mergeCell ref="I330:I331"/>
    <mergeCell ref="J330:J331"/>
    <mergeCell ref="E332:E333"/>
    <mergeCell ref="F332:F333"/>
    <mergeCell ref="G332:G333"/>
    <mergeCell ref="H332:H333"/>
    <mergeCell ref="I332:I333"/>
    <mergeCell ref="J332:J333"/>
    <mergeCell ref="E336:E337"/>
    <mergeCell ref="F336:F337"/>
    <mergeCell ref="G336:G337"/>
    <mergeCell ref="H336:H337"/>
    <mergeCell ref="I336:I337"/>
    <mergeCell ref="J336:J337"/>
    <mergeCell ref="E339:E340"/>
    <mergeCell ref="F339:F340"/>
    <mergeCell ref="G339:G340"/>
    <mergeCell ref="H339:H340"/>
    <mergeCell ref="I339:I340"/>
    <mergeCell ref="J339:J34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4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11270</v>
      </c>
      <c r="C2" s="0" t="s">
        <v>11271</v>
      </c>
      <c r="D2" s="0" t="s">
        <v>11272</v>
      </c>
      <c r="E2" s="0" t="s">
        <v>58</v>
      </c>
    </row>
    <row r="3">
      <c r="A3" s="1" t="s">
        <v>58</v>
      </c>
      <c r="B3" s="1" t="s">
        <v>60</v>
      </c>
      <c r="C3" s="1" t="s">
        <v>61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58</v>
      </c>
      <c r="B4" s="1" t="s">
        <v>60</v>
      </c>
      <c r="C4" s="1" t="s">
        <v>61</v>
      </c>
      <c r="D4" s="1" t="s">
        <v>35</v>
      </c>
      <c r="E4" s="1" t="s">
        <v>35</v>
      </c>
      <c r="F4" s="1" t="s">
        <v>36</v>
      </c>
      <c r="G4" s="1" t="s">
        <v>36</v>
      </c>
      <c r="H4" s="1" t="s">
        <v>11273</v>
      </c>
      <c r="I4" s="1" t="s">
        <v>11274</v>
      </c>
      <c r="J4" s="1" t="s">
        <v>35</v>
      </c>
      <c r="K4" s="1" t="s">
        <v>35</v>
      </c>
      <c r="L4" s="1" t="s">
        <v>36</v>
      </c>
      <c r="M4" s="1" t="s">
        <v>36</v>
      </c>
      <c r="N4" s="1" t="s">
        <v>11275</v>
      </c>
      <c r="O4" s="1" t="s">
        <v>11276</v>
      </c>
    </row>
    <row r="5">
      <c r="A5" s="1" t="s">
        <v>58</v>
      </c>
      <c r="B5" s="1" t="s">
        <v>60</v>
      </c>
      <c r="C5" s="1" t="s">
        <v>61</v>
      </c>
      <c r="D5" s="1" t="s">
        <v>11277</v>
      </c>
      <c r="E5" s="1" t="s">
        <v>11278</v>
      </c>
      <c r="F5" s="1" t="s">
        <v>11277</v>
      </c>
      <c r="G5" s="1" t="s">
        <v>11278</v>
      </c>
      <c r="H5" s="1" t="s">
        <v>11273</v>
      </c>
      <c r="I5" s="1" t="s">
        <v>11274</v>
      </c>
      <c r="J5" s="1" t="s">
        <v>11279</v>
      </c>
      <c r="K5" s="1" t="s">
        <v>11280</v>
      </c>
      <c r="L5" s="1" t="s">
        <v>11279</v>
      </c>
      <c r="M5" s="1" t="s">
        <v>11280</v>
      </c>
      <c r="N5" s="1" t="s">
        <v>11275</v>
      </c>
      <c r="O5" s="1" t="s">
        <v>11276</v>
      </c>
    </row>
    <row r="6">
      <c r="A6" s="2" t="s">
        <v>1150</v>
      </c>
      <c r="B6" s="2" t="s">
        <v>3290</v>
      </c>
      <c r="C6" s="2" t="s">
        <v>3291</v>
      </c>
      <c r="D6" s="4" t="s">
        <v>228</v>
      </c>
      <c r="E6" s="8" t="s">
        <v>228</v>
      </c>
      <c r="F6" s="4" t="s">
        <v>228</v>
      </c>
      <c r="G6" s="8" t="s">
        <v>228</v>
      </c>
      <c r="H6" s="7" t="s">
        <v>228</v>
      </c>
      <c r="I6" s="7" t="s">
        <v>228</v>
      </c>
      <c r="J6" s="4"/>
      <c r="K6" s="8"/>
      <c r="L6" s="4"/>
      <c r="M6" s="8"/>
      <c r="N6" s="7"/>
      <c r="O6" s="7"/>
    </row>
    <row r="7">
      <c r="A7" s="2" t="s">
        <v>1150</v>
      </c>
      <c r="B7" s="2" t="s">
        <v>3290</v>
      </c>
      <c r="C7" s="2" t="s">
        <v>6677</v>
      </c>
      <c r="D7" s="4" t="s">
        <v>228</v>
      </c>
      <c r="E7" s="8" t="s">
        <v>228</v>
      </c>
      <c r="F7" s="4" t="s">
        <v>228</v>
      </c>
      <c r="G7" s="8" t="s">
        <v>228</v>
      </c>
      <c r="H7" s="7" t="s">
        <v>228</v>
      </c>
      <c r="I7" s="7" t="s">
        <v>228</v>
      </c>
      <c r="J7" s="4"/>
      <c r="K7" s="8"/>
      <c r="L7" s="4"/>
      <c r="M7" s="8"/>
      <c r="N7" s="7"/>
      <c r="O7" s="7"/>
    </row>
    <row r="8">
      <c r="A8" s="2" t="s">
        <v>1150</v>
      </c>
      <c r="B8" s="2" t="s">
        <v>1112</v>
      </c>
      <c r="C8" s="2" t="s">
        <v>1151</v>
      </c>
      <c r="D8" s="4" t="s">
        <v>228</v>
      </c>
      <c r="E8" s="8" t="s">
        <v>228</v>
      </c>
      <c r="F8" s="4" t="s">
        <v>228</v>
      </c>
      <c r="G8" s="8" t="s">
        <v>228</v>
      </c>
      <c r="H8" s="7" t="s">
        <v>228</v>
      </c>
      <c r="I8" s="7" t="s">
        <v>228</v>
      </c>
      <c r="J8" s="4"/>
      <c r="K8" s="8"/>
      <c r="L8" s="4"/>
      <c r="M8" s="8"/>
      <c r="N8" s="7"/>
      <c r="O8" s="7"/>
    </row>
    <row r="9">
      <c r="A9" s="2" t="s">
        <v>1150</v>
      </c>
      <c r="B9" s="2" t="s">
        <v>1112</v>
      </c>
      <c r="C9" s="2" t="s">
        <v>1165</v>
      </c>
      <c r="D9" s="4" t="s">
        <v>228</v>
      </c>
      <c r="E9" s="8" t="s">
        <v>228</v>
      </c>
      <c r="F9" s="4" t="s">
        <v>228</v>
      </c>
      <c r="G9" s="8" t="s">
        <v>228</v>
      </c>
      <c r="H9" s="7" t="s">
        <v>228</v>
      </c>
      <c r="I9" s="7" t="s">
        <v>228</v>
      </c>
      <c r="J9" s="4"/>
      <c r="K9" s="8"/>
      <c r="L9" s="4"/>
      <c r="M9" s="8"/>
      <c r="N9" s="7"/>
      <c r="O9" s="7"/>
    </row>
    <row r="10">
      <c r="A10" s="2" t="s">
        <v>1150</v>
      </c>
      <c r="B10" s="2" t="s">
        <v>1112</v>
      </c>
      <c r="C10" s="2" t="s">
        <v>1113</v>
      </c>
      <c r="D10" s="4" t="s">
        <v>228</v>
      </c>
      <c r="E10" s="8" t="s">
        <v>228</v>
      </c>
      <c r="F10" s="4" t="s">
        <v>228</v>
      </c>
      <c r="G10" s="8" t="s">
        <v>228</v>
      </c>
      <c r="H10" s="7" t="s">
        <v>228</v>
      </c>
      <c r="I10" s="7" t="s">
        <v>228</v>
      </c>
      <c r="J10" s="4"/>
      <c r="K10" s="8"/>
      <c r="L10" s="4"/>
      <c r="M10" s="8"/>
      <c r="N10" s="7"/>
      <c r="O10" s="7"/>
    </row>
    <row r="11">
      <c r="A11" s="2" t="s">
        <v>1150</v>
      </c>
      <c r="B11" s="2" t="s">
        <v>1316</v>
      </c>
      <c r="C11" s="2" t="s">
        <v>8772</v>
      </c>
      <c r="D11" s="4" t="s">
        <v>228</v>
      </c>
      <c r="E11" s="8" t="s">
        <v>228</v>
      </c>
      <c r="F11" s="4" t="s">
        <v>228</v>
      </c>
      <c r="G11" s="8" t="s">
        <v>228</v>
      </c>
      <c r="H11" s="7" t="s">
        <v>228</v>
      </c>
      <c r="I11" s="7" t="s">
        <v>228</v>
      </c>
      <c r="J11" s="4"/>
      <c r="K11" s="8"/>
      <c r="L11" s="4"/>
      <c r="M11" s="8"/>
      <c r="N11" s="7"/>
      <c r="O11" s="7"/>
    </row>
    <row r="12">
      <c r="A12" s="2" t="s">
        <v>1150</v>
      </c>
      <c r="B12" s="2" t="s">
        <v>1316</v>
      </c>
      <c r="C12" s="2" t="s">
        <v>2876</v>
      </c>
      <c r="D12" s="4" t="s">
        <v>228</v>
      </c>
      <c r="E12" s="8" t="s">
        <v>228</v>
      </c>
      <c r="F12" s="4" t="s">
        <v>228</v>
      </c>
      <c r="G12" s="8" t="s">
        <v>228</v>
      </c>
      <c r="H12" s="7" t="s">
        <v>228</v>
      </c>
      <c r="I12" s="7" t="s">
        <v>228</v>
      </c>
      <c r="J12" s="4"/>
      <c r="K12" s="8"/>
      <c r="L12" s="4"/>
      <c r="M12" s="8"/>
      <c r="N12" s="7"/>
      <c r="O12" s="7"/>
    </row>
    <row r="13">
      <c r="A13" s="2" t="s">
        <v>1150</v>
      </c>
      <c r="B13" s="2" t="s">
        <v>1316</v>
      </c>
      <c r="C13" s="2" t="s">
        <v>2396</v>
      </c>
      <c r="D13" s="4" t="s">
        <v>228</v>
      </c>
      <c r="E13" s="8" t="s">
        <v>228</v>
      </c>
      <c r="F13" s="4" t="s">
        <v>228</v>
      </c>
      <c r="G13" s="8" t="s">
        <v>228</v>
      </c>
      <c r="H13" s="7" t="s">
        <v>228</v>
      </c>
      <c r="I13" s="7" t="s">
        <v>228</v>
      </c>
      <c r="J13" s="4"/>
      <c r="K13" s="8"/>
      <c r="L13" s="4"/>
      <c r="M13" s="8"/>
      <c r="N13" s="7"/>
      <c r="O13" s="7"/>
    </row>
    <row r="14">
      <c r="A14" s="2" t="s">
        <v>1150</v>
      </c>
      <c r="B14" s="2" t="s">
        <v>1316</v>
      </c>
      <c r="C14" s="2" t="s">
        <v>1317</v>
      </c>
      <c r="D14" s="4" t="s">
        <v>228</v>
      </c>
      <c r="E14" s="8" t="s">
        <v>228</v>
      </c>
      <c r="F14" s="4" t="s">
        <v>228</v>
      </c>
      <c r="G14" s="8" t="s">
        <v>228</v>
      </c>
      <c r="H14" s="7" t="s">
        <v>228</v>
      </c>
      <c r="I14" s="7" t="s">
        <v>228</v>
      </c>
      <c r="J14" s="4"/>
      <c r="K14" s="8"/>
      <c r="L14" s="4"/>
      <c r="M14" s="8"/>
      <c r="N14" s="7"/>
      <c r="O14" s="7"/>
    </row>
    <row r="15">
      <c r="A15" s="2" t="s">
        <v>1150</v>
      </c>
      <c r="B15" s="2" t="s">
        <v>1316</v>
      </c>
      <c r="C15" s="2" t="s">
        <v>9660</v>
      </c>
      <c r="D15" s="4" t="s">
        <v>228</v>
      </c>
      <c r="E15" s="8" t="s">
        <v>228</v>
      </c>
      <c r="F15" s="4" t="s">
        <v>228</v>
      </c>
      <c r="G15" s="8" t="s">
        <v>228</v>
      </c>
      <c r="H15" s="7" t="s">
        <v>228</v>
      </c>
      <c r="I15" s="7" t="s">
        <v>228</v>
      </c>
      <c r="J15" s="4"/>
      <c r="K15" s="8"/>
      <c r="L15" s="4"/>
      <c r="M15" s="8"/>
      <c r="N15" s="7"/>
      <c r="O15" s="7"/>
    </row>
    <row r="16">
      <c r="A16" s="2" t="s">
        <v>1150</v>
      </c>
      <c r="B16" s="2" t="s">
        <v>1316</v>
      </c>
      <c r="C16" s="2" t="s">
        <v>2830</v>
      </c>
      <c r="D16" s="4" t="s">
        <v>228</v>
      </c>
      <c r="E16" s="8" t="s">
        <v>228</v>
      </c>
      <c r="F16" s="4" t="s">
        <v>228</v>
      </c>
      <c r="G16" s="8" t="s">
        <v>228</v>
      </c>
      <c r="H16" s="7" t="s">
        <v>228</v>
      </c>
      <c r="I16" s="7" t="s">
        <v>228</v>
      </c>
      <c r="J16" s="4"/>
      <c r="K16" s="8"/>
      <c r="L16" s="4"/>
      <c r="M16" s="8"/>
      <c r="N16" s="7"/>
      <c r="O16" s="7"/>
    </row>
    <row r="17">
      <c r="A17" s="2" t="s">
        <v>1150</v>
      </c>
      <c r="B17" s="2" t="s">
        <v>850</v>
      </c>
      <c r="C17" s="2" t="s">
        <v>1038</v>
      </c>
      <c r="D17" s="4" t="s">
        <v>228</v>
      </c>
      <c r="E17" s="8" t="s">
        <v>228</v>
      </c>
      <c r="F17" s="4" t="s">
        <v>228</v>
      </c>
      <c r="G17" s="8" t="s">
        <v>228</v>
      </c>
      <c r="H17" s="7" t="s">
        <v>228</v>
      </c>
      <c r="I17" s="7" t="s">
        <v>228</v>
      </c>
      <c r="J17" s="4"/>
      <c r="K17" s="8"/>
      <c r="L17" s="4"/>
      <c r="M17" s="8"/>
      <c r="N17" s="7"/>
      <c r="O17" s="7"/>
    </row>
    <row r="18">
      <c r="A18" s="2" t="s">
        <v>1150</v>
      </c>
      <c r="B18" s="2" t="s">
        <v>850</v>
      </c>
      <c r="C18" s="2" t="s">
        <v>851</v>
      </c>
      <c r="D18" s="4" t="s">
        <v>228</v>
      </c>
      <c r="E18" s="8" t="s">
        <v>228</v>
      </c>
      <c r="F18" s="4" t="s">
        <v>228</v>
      </c>
      <c r="G18" s="8" t="s">
        <v>228</v>
      </c>
      <c r="H18" s="7" t="s">
        <v>228</v>
      </c>
      <c r="I18" s="7" t="s">
        <v>228</v>
      </c>
      <c r="J18" s="4"/>
      <c r="K18" s="8"/>
      <c r="L18" s="4"/>
      <c r="M18" s="8"/>
      <c r="N18" s="7"/>
      <c r="O18" s="7"/>
    </row>
    <row r="19">
      <c r="A19" s="2" t="s">
        <v>1150</v>
      </c>
      <c r="B19" s="2" t="s">
        <v>1862</v>
      </c>
      <c r="C19" s="2" t="s">
        <v>1863</v>
      </c>
      <c r="D19" s="4" t="s">
        <v>228</v>
      </c>
      <c r="E19" s="8" t="s">
        <v>228</v>
      </c>
      <c r="F19" s="4" t="s">
        <v>228</v>
      </c>
      <c r="G19" s="8" t="s">
        <v>228</v>
      </c>
      <c r="H19" s="7" t="s">
        <v>228</v>
      </c>
      <c r="I19" s="7" t="s">
        <v>228</v>
      </c>
      <c r="J19" s="4"/>
      <c r="K19" s="8"/>
      <c r="L19" s="4"/>
      <c r="M19" s="8"/>
      <c r="N19" s="7"/>
      <c r="O19" s="7"/>
    </row>
    <row r="20">
      <c r="A20" s="2" t="s">
        <v>1150</v>
      </c>
      <c r="B20" s="2" t="s">
        <v>1862</v>
      </c>
      <c r="C20" s="2" t="s">
        <v>2767</v>
      </c>
      <c r="D20" s="4" t="s">
        <v>228</v>
      </c>
      <c r="E20" s="8" t="s">
        <v>228</v>
      </c>
      <c r="F20" s="4" t="s">
        <v>228</v>
      </c>
      <c r="G20" s="8" t="s">
        <v>228</v>
      </c>
      <c r="H20" s="7" t="s">
        <v>228</v>
      </c>
      <c r="I20" s="7" t="s">
        <v>228</v>
      </c>
      <c r="J20" s="4"/>
      <c r="K20" s="8"/>
      <c r="L20" s="4"/>
      <c r="M20" s="8"/>
      <c r="N20" s="7"/>
      <c r="O20" s="7"/>
    </row>
    <row r="21">
      <c r="A21" s="2" t="s">
        <v>1150</v>
      </c>
      <c r="B21" s="2" t="s">
        <v>1601</v>
      </c>
      <c r="C21" s="2" t="s">
        <v>1602</v>
      </c>
      <c r="D21" s="4"/>
      <c r="E21" s="8"/>
      <c r="F21" s="4"/>
      <c r="G21" s="8"/>
      <c r="H21" s="7"/>
      <c r="I21" s="7"/>
      <c r="J21" s="4"/>
      <c r="K21" s="8"/>
      <c r="L21" s="4"/>
      <c r="M21" s="8"/>
      <c r="N21" s="7"/>
      <c r="O21" s="7"/>
    </row>
    <row r="22">
      <c r="A22" s="2" t="s">
        <v>1150</v>
      </c>
      <c r="B22" s="2" t="s">
        <v>971</v>
      </c>
      <c r="C22" s="2" t="s">
        <v>972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  <row r="23">
      <c r="A23" s="2" t="s">
        <v>2532</v>
      </c>
      <c r="B23" s="2" t="s">
        <v>2533</v>
      </c>
      <c r="C23" s="2" t="s">
        <v>2534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  <row r="24">
      <c r="A24" s="2" t="s">
        <v>866</v>
      </c>
      <c r="B24" s="2" t="s">
        <v>1880</v>
      </c>
      <c r="C24" s="2" t="s">
        <v>10514</v>
      </c>
      <c r="D24" s="4" t="s">
        <v>228</v>
      </c>
      <c r="E24" s="8" t="s">
        <v>228</v>
      </c>
      <c r="F24" s="4" t="s">
        <v>228</v>
      </c>
      <c r="G24" s="8" t="s">
        <v>228</v>
      </c>
      <c r="H24" s="7" t="s">
        <v>228</v>
      </c>
      <c r="I24" s="7" t="s">
        <v>228</v>
      </c>
      <c r="J24" s="4"/>
      <c r="K24" s="8"/>
      <c r="L24" s="4"/>
      <c r="M24" s="8"/>
      <c r="N24" s="7"/>
      <c r="O24" s="7"/>
    </row>
    <row r="25">
      <c r="A25" s="2" t="s">
        <v>866</v>
      </c>
      <c r="B25" s="2" t="s">
        <v>1880</v>
      </c>
      <c r="C25" s="2" t="s">
        <v>7265</v>
      </c>
      <c r="D25" s="4" t="s">
        <v>228</v>
      </c>
      <c r="E25" s="8" t="s">
        <v>228</v>
      </c>
      <c r="F25" s="4" t="s">
        <v>228</v>
      </c>
      <c r="G25" s="8" t="s">
        <v>228</v>
      </c>
      <c r="H25" s="7" t="s">
        <v>228</v>
      </c>
      <c r="I25" s="7" t="s">
        <v>228</v>
      </c>
      <c r="J25" s="4"/>
      <c r="K25" s="8"/>
      <c r="L25" s="4"/>
      <c r="M25" s="8"/>
      <c r="N25" s="7"/>
      <c r="O25" s="7"/>
    </row>
    <row r="26">
      <c r="A26" s="2" t="s">
        <v>866</v>
      </c>
      <c r="B26" s="2" t="s">
        <v>1880</v>
      </c>
      <c r="C26" s="2" t="s">
        <v>877</v>
      </c>
      <c r="D26" s="4" t="s">
        <v>228</v>
      </c>
      <c r="E26" s="8" t="s">
        <v>228</v>
      </c>
      <c r="F26" s="4" t="s">
        <v>228</v>
      </c>
      <c r="G26" s="8" t="s">
        <v>228</v>
      </c>
      <c r="H26" s="7" t="s">
        <v>228</v>
      </c>
      <c r="I26" s="7" t="s">
        <v>228</v>
      </c>
      <c r="J26" s="4"/>
      <c r="K26" s="8"/>
      <c r="L26" s="4"/>
      <c r="M26" s="8"/>
      <c r="N26" s="7"/>
      <c r="O26" s="7"/>
    </row>
    <row r="27">
      <c r="A27" s="2" t="s">
        <v>866</v>
      </c>
      <c r="B27" s="2" t="s">
        <v>1880</v>
      </c>
      <c r="C27" s="2" t="s">
        <v>868</v>
      </c>
      <c r="D27" s="4" t="s">
        <v>228</v>
      </c>
      <c r="E27" s="8" t="s">
        <v>228</v>
      </c>
      <c r="F27" s="4" t="s">
        <v>228</v>
      </c>
      <c r="G27" s="8" t="s">
        <v>228</v>
      </c>
      <c r="H27" s="7" t="s">
        <v>228</v>
      </c>
      <c r="I27" s="7" t="s">
        <v>228</v>
      </c>
      <c r="J27" s="4"/>
      <c r="K27" s="8"/>
      <c r="L27" s="4"/>
      <c r="M27" s="8"/>
      <c r="N27" s="7"/>
      <c r="O27" s="7"/>
    </row>
    <row r="28">
      <c r="A28" s="2" t="s">
        <v>866</v>
      </c>
      <c r="B28" s="2" t="s">
        <v>899</v>
      </c>
      <c r="C28" s="2" t="s">
        <v>1891</v>
      </c>
      <c r="D28" s="4" t="s">
        <v>228</v>
      </c>
      <c r="E28" s="8" t="s">
        <v>228</v>
      </c>
      <c r="F28" s="4" t="s">
        <v>228</v>
      </c>
      <c r="G28" s="8" t="s">
        <v>228</v>
      </c>
      <c r="H28" s="7" t="s">
        <v>228</v>
      </c>
      <c r="I28" s="7" t="s">
        <v>228</v>
      </c>
      <c r="J28" s="4"/>
      <c r="K28" s="8"/>
      <c r="L28" s="4"/>
      <c r="M28" s="8"/>
      <c r="N28" s="7"/>
      <c r="O28" s="7"/>
    </row>
    <row r="29">
      <c r="A29" s="2" t="s">
        <v>866</v>
      </c>
      <c r="B29" s="2" t="s">
        <v>899</v>
      </c>
      <c r="C29" s="2" t="s">
        <v>877</v>
      </c>
      <c r="D29" s="4" t="s">
        <v>228</v>
      </c>
      <c r="E29" s="8" t="s">
        <v>228</v>
      </c>
      <c r="F29" s="4" t="s">
        <v>228</v>
      </c>
      <c r="G29" s="8" t="s">
        <v>228</v>
      </c>
      <c r="H29" s="7" t="s">
        <v>228</v>
      </c>
      <c r="I29" s="7" t="s">
        <v>228</v>
      </c>
      <c r="J29" s="4"/>
      <c r="K29" s="8"/>
      <c r="L29" s="4"/>
      <c r="M29" s="8"/>
      <c r="N29" s="7"/>
      <c r="O29" s="7"/>
    </row>
    <row r="30">
      <c r="A30" s="2" t="s">
        <v>866</v>
      </c>
      <c r="B30" s="2" t="s">
        <v>7781</v>
      </c>
      <c r="C30" s="2" t="s">
        <v>7782</v>
      </c>
      <c r="D30" s="4"/>
      <c r="E30" s="8"/>
      <c r="F30" s="4"/>
      <c r="G30" s="8"/>
      <c r="H30" s="7"/>
      <c r="I30" s="7"/>
      <c r="J30" s="4"/>
      <c r="K30" s="8"/>
      <c r="L30" s="4"/>
      <c r="M30" s="8"/>
      <c r="N30" s="7"/>
      <c r="O30" s="7"/>
    </row>
    <row r="31">
      <c r="A31" s="2" t="s">
        <v>866</v>
      </c>
      <c r="B31" s="2" t="s">
        <v>907</v>
      </c>
      <c r="C31" s="2" t="s">
        <v>908</v>
      </c>
      <c r="D31" s="4" t="s">
        <v>228</v>
      </c>
      <c r="E31" s="8" t="s">
        <v>228</v>
      </c>
      <c r="F31" s="4" t="s">
        <v>228</v>
      </c>
      <c r="G31" s="8" t="s">
        <v>228</v>
      </c>
      <c r="H31" s="7" t="s">
        <v>228</v>
      </c>
      <c r="I31" s="7" t="s">
        <v>228</v>
      </c>
      <c r="J31" s="4"/>
      <c r="K31" s="8"/>
      <c r="L31" s="4"/>
      <c r="M31" s="8"/>
      <c r="N31" s="7"/>
      <c r="O31" s="7"/>
    </row>
    <row r="32">
      <c r="A32" s="2" t="s">
        <v>866</v>
      </c>
      <c r="B32" s="2" t="s">
        <v>907</v>
      </c>
      <c r="C32" s="2" t="s">
        <v>4844</v>
      </c>
      <c r="D32" s="4" t="s">
        <v>228</v>
      </c>
      <c r="E32" s="8" t="s">
        <v>228</v>
      </c>
      <c r="F32" s="4" t="s">
        <v>228</v>
      </c>
      <c r="G32" s="8" t="s">
        <v>228</v>
      </c>
      <c r="H32" s="7" t="s">
        <v>228</v>
      </c>
      <c r="I32" s="7" t="s">
        <v>228</v>
      </c>
      <c r="J32" s="4"/>
      <c r="K32" s="8"/>
      <c r="L32" s="4"/>
      <c r="M32" s="8"/>
      <c r="N32" s="7"/>
      <c r="O32" s="7"/>
    </row>
    <row r="33">
      <c r="A33" s="2" t="s">
        <v>866</v>
      </c>
      <c r="B33" s="2" t="s">
        <v>867</v>
      </c>
      <c r="C33" s="2" t="s">
        <v>877</v>
      </c>
      <c r="D33" s="4" t="s">
        <v>228</v>
      </c>
      <c r="E33" s="8" t="s">
        <v>228</v>
      </c>
      <c r="F33" s="4" t="s">
        <v>228</v>
      </c>
      <c r="G33" s="8" t="s">
        <v>228</v>
      </c>
      <c r="H33" s="7" t="s">
        <v>228</v>
      </c>
      <c r="I33" s="7" t="s">
        <v>228</v>
      </c>
      <c r="J33" s="4"/>
      <c r="K33" s="8"/>
      <c r="L33" s="4"/>
      <c r="M33" s="8"/>
      <c r="N33" s="7"/>
      <c r="O33" s="7"/>
    </row>
    <row r="34">
      <c r="A34" s="2" t="s">
        <v>866</v>
      </c>
      <c r="B34" s="2" t="s">
        <v>867</v>
      </c>
      <c r="C34" s="2" t="s">
        <v>868</v>
      </c>
      <c r="D34" s="4" t="s">
        <v>228</v>
      </c>
      <c r="E34" s="8" t="s">
        <v>228</v>
      </c>
      <c r="F34" s="4" t="s">
        <v>228</v>
      </c>
      <c r="G34" s="8" t="s">
        <v>228</v>
      </c>
      <c r="H34" s="7" t="s">
        <v>228</v>
      </c>
      <c r="I34" s="7" t="s">
        <v>228</v>
      </c>
      <c r="J34" s="4"/>
      <c r="K34" s="8"/>
      <c r="L34" s="4"/>
      <c r="M34" s="8"/>
      <c r="N34" s="7"/>
      <c r="O34" s="7"/>
    </row>
    <row r="35">
      <c r="A35" s="2" t="s">
        <v>258</v>
      </c>
      <c r="B35" s="2" t="s">
        <v>225</v>
      </c>
      <c r="C35" s="2" t="s">
        <v>2943</v>
      </c>
      <c r="D35" s="4"/>
      <c r="E35" s="8"/>
      <c r="F35" s="4"/>
      <c r="G35" s="8"/>
      <c r="H35" s="7"/>
      <c r="I35" s="7"/>
      <c r="J35" s="4"/>
      <c r="K35" s="8"/>
      <c r="L35" s="4"/>
      <c r="M35" s="8"/>
      <c r="N35" s="7"/>
      <c r="O35" s="7"/>
    </row>
    <row r="36">
      <c r="A36" s="2" t="s">
        <v>258</v>
      </c>
      <c r="B36" s="2" t="s">
        <v>1112</v>
      </c>
      <c r="C36" s="2" t="s">
        <v>1165</v>
      </c>
      <c r="D36" s="4" t="s">
        <v>228</v>
      </c>
      <c r="E36" s="8" t="s">
        <v>228</v>
      </c>
      <c r="F36" s="4" t="s">
        <v>228</v>
      </c>
      <c r="G36" s="8" t="s">
        <v>228</v>
      </c>
      <c r="H36" s="7" t="s">
        <v>228</v>
      </c>
      <c r="I36" s="7" t="s">
        <v>228</v>
      </c>
      <c r="J36" s="4"/>
      <c r="K36" s="8"/>
      <c r="L36" s="4"/>
      <c r="M36" s="8"/>
      <c r="N36" s="7"/>
      <c r="O36" s="7"/>
    </row>
    <row r="37">
      <c r="A37" s="2" t="s">
        <v>258</v>
      </c>
      <c r="B37" s="2" t="s">
        <v>1112</v>
      </c>
      <c r="C37" s="2" t="s">
        <v>1113</v>
      </c>
      <c r="D37" s="4" t="s">
        <v>228</v>
      </c>
      <c r="E37" s="8" t="s">
        <v>228</v>
      </c>
      <c r="F37" s="4" t="s">
        <v>228</v>
      </c>
      <c r="G37" s="8" t="s">
        <v>228</v>
      </c>
      <c r="H37" s="7" t="s">
        <v>228</v>
      </c>
      <c r="I37" s="7" t="s">
        <v>228</v>
      </c>
      <c r="J37" s="4"/>
      <c r="K37" s="8"/>
      <c r="L37" s="4"/>
      <c r="M37" s="8"/>
      <c r="N37" s="7"/>
      <c r="O37" s="7"/>
    </row>
    <row r="38">
      <c r="A38" s="2" t="s">
        <v>258</v>
      </c>
      <c r="B38" s="2" t="s">
        <v>1112</v>
      </c>
      <c r="C38" s="2" t="s">
        <v>3467</v>
      </c>
      <c r="D38" s="4" t="s">
        <v>228</v>
      </c>
      <c r="E38" s="8" t="s">
        <v>228</v>
      </c>
      <c r="F38" s="4" t="s">
        <v>228</v>
      </c>
      <c r="G38" s="8" t="s">
        <v>228</v>
      </c>
      <c r="H38" s="7" t="s">
        <v>228</v>
      </c>
      <c r="I38" s="7" t="s">
        <v>228</v>
      </c>
      <c r="J38" s="4"/>
      <c r="K38" s="8"/>
      <c r="L38" s="4"/>
      <c r="M38" s="8"/>
      <c r="N38" s="7"/>
      <c r="O38" s="7"/>
    </row>
    <row r="39">
      <c r="A39" s="2" t="s">
        <v>258</v>
      </c>
      <c r="B39" s="2" t="s">
        <v>1112</v>
      </c>
      <c r="C39" s="2" t="s">
        <v>6298</v>
      </c>
      <c r="D39" s="4" t="s">
        <v>228</v>
      </c>
      <c r="E39" s="8" t="s">
        <v>228</v>
      </c>
      <c r="F39" s="4" t="s">
        <v>228</v>
      </c>
      <c r="G39" s="8" t="s">
        <v>228</v>
      </c>
      <c r="H39" s="7" t="s">
        <v>228</v>
      </c>
      <c r="I39" s="7" t="s">
        <v>228</v>
      </c>
      <c r="J39" s="4"/>
      <c r="K39" s="8"/>
      <c r="L39" s="4"/>
      <c r="M39" s="8"/>
      <c r="N39" s="7"/>
      <c r="O39" s="7"/>
    </row>
    <row r="40">
      <c r="A40" s="2" t="s">
        <v>258</v>
      </c>
      <c r="B40" s="2" t="s">
        <v>260</v>
      </c>
      <c r="C40" s="2" t="s">
        <v>411</v>
      </c>
      <c r="D40" s="4" t="s">
        <v>228</v>
      </c>
      <c r="E40" s="8" t="s">
        <v>228</v>
      </c>
      <c r="F40" s="4" t="s">
        <v>228</v>
      </c>
      <c r="G40" s="8" t="s">
        <v>228</v>
      </c>
      <c r="H40" s="7" t="s">
        <v>228</v>
      </c>
      <c r="I40" s="7" t="s">
        <v>228</v>
      </c>
      <c r="J40" s="4"/>
      <c r="K40" s="8"/>
      <c r="L40" s="4"/>
      <c r="M40" s="8"/>
      <c r="N40" s="7"/>
      <c r="O40" s="7"/>
    </row>
    <row r="41">
      <c r="A41" s="2" t="s">
        <v>258</v>
      </c>
      <c r="B41" s="2" t="s">
        <v>260</v>
      </c>
      <c r="C41" s="2" t="s">
        <v>2134</v>
      </c>
      <c r="D41" s="4" t="s">
        <v>228</v>
      </c>
      <c r="E41" s="8" t="s">
        <v>228</v>
      </c>
      <c r="F41" s="4" t="s">
        <v>228</v>
      </c>
      <c r="G41" s="8" t="s">
        <v>228</v>
      </c>
      <c r="H41" s="7" t="s">
        <v>228</v>
      </c>
      <c r="I41" s="7" t="s">
        <v>228</v>
      </c>
      <c r="J41" s="4"/>
      <c r="K41" s="8"/>
      <c r="L41" s="4"/>
      <c r="M41" s="8"/>
      <c r="N41" s="7"/>
      <c r="O41" s="7"/>
    </row>
    <row r="42">
      <c r="A42" s="2" t="s">
        <v>258</v>
      </c>
      <c r="B42" s="2" t="s">
        <v>260</v>
      </c>
      <c r="C42" s="2" t="s">
        <v>261</v>
      </c>
      <c r="D42" s="4" t="s">
        <v>228</v>
      </c>
      <c r="E42" s="8" t="s">
        <v>228</v>
      </c>
      <c r="F42" s="4" t="s">
        <v>228</v>
      </c>
      <c r="G42" s="8" t="s">
        <v>228</v>
      </c>
      <c r="H42" s="7" t="s">
        <v>228</v>
      </c>
      <c r="I42" s="7" t="s">
        <v>228</v>
      </c>
      <c r="J42" s="4"/>
      <c r="K42" s="8"/>
      <c r="L42" s="4"/>
      <c r="M42" s="8"/>
      <c r="N42" s="7"/>
      <c r="O42" s="7"/>
    </row>
    <row r="43">
      <c r="A43" s="2" t="s">
        <v>258</v>
      </c>
      <c r="B43" s="2" t="s">
        <v>1862</v>
      </c>
      <c r="C43" s="2" t="s">
        <v>9546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258</v>
      </c>
      <c r="B44" s="2" t="s">
        <v>516</v>
      </c>
      <c r="C44" s="2" t="s">
        <v>9546</v>
      </c>
      <c r="D44" s="4"/>
      <c r="E44" s="8"/>
      <c r="F44" s="4"/>
      <c r="G44" s="8"/>
      <c r="H44" s="7"/>
      <c r="I44" s="7"/>
      <c r="J44" s="4"/>
      <c r="K44" s="8"/>
      <c r="L44" s="4"/>
      <c r="M44" s="8"/>
      <c r="N44" s="7"/>
      <c r="O44" s="7"/>
    </row>
    <row r="45">
      <c r="A45" s="2" t="s">
        <v>258</v>
      </c>
      <c r="B45" s="2" t="s">
        <v>1601</v>
      </c>
      <c r="C45" s="2" t="s">
        <v>2943</v>
      </c>
      <c r="D45" s="4" t="s">
        <v>228</v>
      </c>
      <c r="E45" s="8" t="s">
        <v>228</v>
      </c>
      <c r="F45" s="4" t="s">
        <v>228</v>
      </c>
      <c r="G45" s="8" t="s">
        <v>228</v>
      </c>
      <c r="H45" s="7" t="s">
        <v>228</v>
      </c>
      <c r="I45" s="7" t="s">
        <v>228</v>
      </c>
      <c r="J45" s="4"/>
      <c r="K45" s="8"/>
      <c r="L45" s="4"/>
      <c r="M45" s="8"/>
      <c r="N45" s="7"/>
      <c r="O45" s="7"/>
    </row>
    <row r="46">
      <c r="A46" s="2" t="s">
        <v>258</v>
      </c>
      <c r="B46" s="2" t="s">
        <v>1601</v>
      </c>
      <c r="C46" s="2" t="s">
        <v>1602</v>
      </c>
      <c r="D46" s="4" t="s">
        <v>228</v>
      </c>
      <c r="E46" s="8" t="s">
        <v>228</v>
      </c>
      <c r="F46" s="4" t="s">
        <v>228</v>
      </c>
      <c r="G46" s="8" t="s">
        <v>228</v>
      </c>
      <c r="H46" s="7" t="s">
        <v>228</v>
      </c>
      <c r="I46" s="7" t="s">
        <v>228</v>
      </c>
      <c r="J46" s="4"/>
      <c r="K46" s="8"/>
      <c r="L46" s="4"/>
      <c r="M46" s="8"/>
      <c r="N46" s="7"/>
      <c r="O46" s="7"/>
    </row>
    <row r="47">
      <c r="A47" s="2" t="s">
        <v>1374</v>
      </c>
      <c r="B47" s="2" t="s">
        <v>3679</v>
      </c>
      <c r="C47" s="2" t="s">
        <v>3680</v>
      </c>
      <c r="D47" s="4"/>
      <c r="E47" s="8"/>
      <c r="F47" s="4"/>
      <c r="G47" s="8"/>
      <c r="H47" s="7"/>
      <c r="I47" s="7"/>
      <c r="J47" s="4"/>
      <c r="K47" s="8"/>
      <c r="L47" s="4"/>
      <c r="M47" s="8"/>
      <c r="N47" s="7"/>
      <c r="O47" s="7"/>
    </row>
    <row r="48">
      <c r="A48" s="2" t="s">
        <v>1374</v>
      </c>
      <c r="B48" s="2" t="s">
        <v>1375</v>
      </c>
      <c r="C48" s="2" t="s">
        <v>1376</v>
      </c>
      <c r="D48" s="4"/>
      <c r="E48" s="8"/>
      <c r="F48" s="4"/>
      <c r="G48" s="8"/>
      <c r="H48" s="7"/>
      <c r="I48" s="7"/>
      <c r="J48" s="4"/>
      <c r="K48" s="8"/>
      <c r="L48" s="4"/>
      <c r="M48" s="8"/>
      <c r="N48" s="7"/>
      <c r="O48" s="7"/>
    </row>
    <row r="49">
      <c r="A49" s="2" t="s">
        <v>1374</v>
      </c>
      <c r="B49" s="2" t="s">
        <v>7352</v>
      </c>
      <c r="C49" s="2" t="s">
        <v>775</v>
      </c>
      <c r="D49" s="4"/>
      <c r="E49" s="8"/>
      <c r="F49" s="4"/>
      <c r="G49" s="8"/>
      <c r="H49" s="7"/>
      <c r="I49" s="7"/>
      <c r="J49" s="4"/>
      <c r="K49" s="8"/>
      <c r="L49" s="4"/>
      <c r="M49" s="8"/>
      <c r="N49" s="7"/>
      <c r="O49" s="7"/>
    </row>
    <row r="50">
      <c r="A50" s="2" t="s">
        <v>1374</v>
      </c>
      <c r="B50" s="2" t="s">
        <v>1399</v>
      </c>
      <c r="C50" s="2" t="s">
        <v>1400</v>
      </c>
      <c r="D50" s="4"/>
      <c r="E50" s="8"/>
      <c r="F50" s="4"/>
      <c r="G50" s="8"/>
      <c r="H50" s="7"/>
      <c r="I50" s="7"/>
      <c r="J50" s="4"/>
      <c r="K50" s="8"/>
      <c r="L50" s="4"/>
      <c r="M50" s="8"/>
      <c r="N50" s="7"/>
      <c r="O50" s="7"/>
    </row>
    <row r="51">
      <c r="A51" s="2" t="s">
        <v>223</v>
      </c>
      <c r="B51" s="2" t="s">
        <v>225</v>
      </c>
      <c r="C51" s="2" t="s">
        <v>226</v>
      </c>
      <c r="D51" s="4"/>
      <c r="E51" s="8"/>
      <c r="F51" s="4"/>
      <c r="G51" s="8"/>
      <c r="H51" s="7"/>
      <c r="I51" s="7"/>
      <c r="J51" s="4"/>
      <c r="K51" s="8"/>
      <c r="L51" s="4"/>
      <c r="M51" s="8"/>
      <c r="N51" s="7"/>
      <c r="O51" s="7"/>
    </row>
    <row r="52">
      <c r="A52" s="2" t="s">
        <v>223</v>
      </c>
      <c r="B52" s="2" t="s">
        <v>1112</v>
      </c>
      <c r="C52" s="2" t="s">
        <v>1165</v>
      </c>
      <c r="D52" s="4" t="s">
        <v>228</v>
      </c>
      <c r="E52" s="8" t="s">
        <v>228</v>
      </c>
      <c r="F52" s="4" t="s">
        <v>228</v>
      </c>
      <c r="G52" s="8" t="s">
        <v>228</v>
      </c>
      <c r="H52" s="7" t="s">
        <v>228</v>
      </c>
      <c r="I52" s="7" t="s">
        <v>228</v>
      </c>
      <c r="J52" s="4"/>
      <c r="K52" s="8"/>
      <c r="L52" s="4"/>
      <c r="M52" s="8"/>
      <c r="N52" s="7"/>
      <c r="O52" s="7"/>
    </row>
    <row r="53">
      <c r="A53" s="2" t="s">
        <v>223</v>
      </c>
      <c r="B53" s="2" t="s">
        <v>1112</v>
      </c>
      <c r="C53" s="2" t="s">
        <v>1113</v>
      </c>
      <c r="D53" s="4" t="s">
        <v>228</v>
      </c>
      <c r="E53" s="8" t="s">
        <v>228</v>
      </c>
      <c r="F53" s="4" t="s">
        <v>228</v>
      </c>
      <c r="G53" s="8" t="s">
        <v>228</v>
      </c>
      <c r="H53" s="7" t="s">
        <v>228</v>
      </c>
      <c r="I53" s="7" t="s">
        <v>228</v>
      </c>
      <c r="J53" s="4"/>
      <c r="K53" s="8"/>
      <c r="L53" s="4"/>
      <c r="M53" s="8"/>
      <c r="N53" s="7"/>
      <c r="O53" s="7"/>
    </row>
    <row r="54">
      <c r="A54" s="2" t="s">
        <v>223</v>
      </c>
      <c r="B54" s="2" t="s">
        <v>1316</v>
      </c>
      <c r="C54" s="2" t="s">
        <v>2396</v>
      </c>
      <c r="D54" s="4" t="s">
        <v>228</v>
      </c>
      <c r="E54" s="8" t="s">
        <v>228</v>
      </c>
      <c r="F54" s="4" t="s">
        <v>228</v>
      </c>
      <c r="G54" s="8" t="s">
        <v>228</v>
      </c>
      <c r="H54" s="7" t="s">
        <v>228</v>
      </c>
      <c r="I54" s="7" t="s">
        <v>228</v>
      </c>
      <c r="J54" s="4"/>
      <c r="K54" s="8"/>
      <c r="L54" s="4"/>
      <c r="M54" s="8"/>
      <c r="N54" s="7"/>
      <c r="O54" s="7"/>
    </row>
    <row r="55">
      <c r="A55" s="2" t="s">
        <v>223</v>
      </c>
      <c r="B55" s="2" t="s">
        <v>1316</v>
      </c>
      <c r="C55" s="2" t="s">
        <v>1317</v>
      </c>
      <c r="D55" s="4" t="s">
        <v>228</v>
      </c>
      <c r="E55" s="8" t="s">
        <v>228</v>
      </c>
      <c r="F55" s="4" t="s">
        <v>228</v>
      </c>
      <c r="G55" s="8" t="s">
        <v>228</v>
      </c>
      <c r="H55" s="7" t="s">
        <v>228</v>
      </c>
      <c r="I55" s="7" t="s">
        <v>228</v>
      </c>
      <c r="J55" s="4"/>
      <c r="K55" s="8"/>
      <c r="L55" s="4"/>
      <c r="M55" s="8"/>
      <c r="N55" s="7"/>
      <c r="O55" s="7"/>
    </row>
    <row r="56">
      <c r="A56" s="2" t="s">
        <v>223</v>
      </c>
      <c r="B56" s="2" t="s">
        <v>3559</v>
      </c>
      <c r="C56" s="2" t="s">
        <v>3560</v>
      </c>
      <c r="D56" s="4"/>
      <c r="E56" s="8"/>
      <c r="F56" s="4"/>
      <c r="G56" s="8"/>
      <c r="H56" s="7"/>
      <c r="I56" s="7"/>
      <c r="J56" s="4"/>
      <c r="K56" s="8"/>
      <c r="L56" s="4"/>
      <c r="M56" s="8"/>
      <c r="N56" s="7"/>
      <c r="O56" s="7"/>
    </row>
    <row r="57">
      <c r="A57" s="2" t="s">
        <v>223</v>
      </c>
      <c r="B57" s="2" t="s">
        <v>1407</v>
      </c>
      <c r="C57" s="2" t="s">
        <v>6106</v>
      </c>
      <c r="D57" s="4" t="s">
        <v>228</v>
      </c>
      <c r="E57" s="8" t="s">
        <v>228</v>
      </c>
      <c r="F57" s="4" t="s">
        <v>228</v>
      </c>
      <c r="G57" s="8" t="s">
        <v>228</v>
      </c>
      <c r="H57" s="7" t="s">
        <v>228</v>
      </c>
      <c r="I57" s="7" t="s">
        <v>228</v>
      </c>
      <c r="J57" s="4"/>
      <c r="K57" s="8"/>
      <c r="L57" s="4"/>
      <c r="M57" s="8"/>
      <c r="N57" s="7"/>
      <c r="O57" s="7"/>
    </row>
    <row r="58">
      <c r="A58" s="2" t="s">
        <v>223</v>
      </c>
      <c r="B58" s="2" t="s">
        <v>1407</v>
      </c>
      <c r="C58" s="2" t="s">
        <v>3636</v>
      </c>
      <c r="D58" s="4" t="s">
        <v>228</v>
      </c>
      <c r="E58" s="8" t="s">
        <v>228</v>
      </c>
      <c r="F58" s="4" t="s">
        <v>228</v>
      </c>
      <c r="G58" s="8" t="s">
        <v>228</v>
      </c>
      <c r="H58" s="7" t="s">
        <v>228</v>
      </c>
      <c r="I58" s="7" t="s">
        <v>228</v>
      </c>
      <c r="J58" s="4"/>
      <c r="K58" s="8"/>
      <c r="L58" s="4"/>
      <c r="M58" s="8"/>
      <c r="N58" s="7"/>
      <c r="O58" s="7"/>
    </row>
    <row r="59">
      <c r="A59" s="2" t="s">
        <v>223</v>
      </c>
      <c r="B59" s="2" t="s">
        <v>1407</v>
      </c>
      <c r="C59" s="2" t="s">
        <v>1408</v>
      </c>
      <c r="D59" s="4" t="s">
        <v>228</v>
      </c>
      <c r="E59" s="8" t="s">
        <v>228</v>
      </c>
      <c r="F59" s="4" t="s">
        <v>228</v>
      </c>
      <c r="G59" s="8" t="s">
        <v>228</v>
      </c>
      <c r="H59" s="7" t="s">
        <v>228</v>
      </c>
      <c r="I59" s="7" t="s">
        <v>228</v>
      </c>
      <c r="J59" s="4"/>
      <c r="K59" s="8"/>
      <c r="L59" s="4"/>
      <c r="M59" s="8"/>
      <c r="N59" s="7"/>
      <c r="O59" s="7"/>
    </row>
    <row r="60">
      <c r="A60" s="2" t="s">
        <v>223</v>
      </c>
      <c r="B60" s="2" t="s">
        <v>1407</v>
      </c>
      <c r="C60" s="2" t="s">
        <v>6279</v>
      </c>
      <c r="D60" s="4" t="s">
        <v>228</v>
      </c>
      <c r="E60" s="8" t="s">
        <v>228</v>
      </c>
      <c r="F60" s="4" t="s">
        <v>228</v>
      </c>
      <c r="G60" s="8" t="s">
        <v>228</v>
      </c>
      <c r="H60" s="7" t="s">
        <v>228</v>
      </c>
      <c r="I60" s="7" t="s">
        <v>228</v>
      </c>
      <c r="J60" s="4"/>
      <c r="K60" s="8"/>
      <c r="L60" s="4"/>
      <c r="M60" s="8"/>
      <c r="N60" s="7"/>
      <c r="O60" s="7"/>
    </row>
    <row r="61">
      <c r="A61" s="2" t="s">
        <v>223</v>
      </c>
      <c r="B61" s="2" t="s">
        <v>9471</v>
      </c>
      <c r="C61" s="2" t="s">
        <v>9472</v>
      </c>
      <c r="D61" s="4"/>
      <c r="E61" s="8"/>
      <c r="F61" s="4"/>
      <c r="G61" s="8"/>
      <c r="H61" s="7"/>
      <c r="I61" s="7"/>
      <c r="J61" s="4"/>
      <c r="K61" s="8"/>
      <c r="L61" s="4"/>
      <c r="M61" s="8"/>
      <c r="N61" s="7"/>
      <c r="O61" s="7"/>
    </row>
    <row r="62">
      <c r="A62" s="2" t="s">
        <v>223</v>
      </c>
      <c r="B62" s="2" t="s">
        <v>1862</v>
      </c>
      <c r="C62" s="2" t="s">
        <v>1863</v>
      </c>
      <c r="D62" s="4" t="s">
        <v>228</v>
      </c>
      <c r="E62" s="8" t="s">
        <v>228</v>
      </c>
      <c r="F62" s="4" t="s">
        <v>228</v>
      </c>
      <c r="G62" s="8" t="s">
        <v>228</v>
      </c>
      <c r="H62" s="7" t="s">
        <v>228</v>
      </c>
      <c r="I62" s="7" t="s">
        <v>228</v>
      </c>
      <c r="J62" s="4"/>
      <c r="K62" s="8"/>
      <c r="L62" s="4"/>
      <c r="M62" s="8"/>
      <c r="N62" s="7"/>
      <c r="O62" s="7"/>
    </row>
    <row r="63">
      <c r="A63" s="2" t="s">
        <v>223</v>
      </c>
      <c r="B63" s="2" t="s">
        <v>1862</v>
      </c>
      <c r="C63" s="2" t="s">
        <v>2767</v>
      </c>
      <c r="D63" s="4" t="s">
        <v>228</v>
      </c>
      <c r="E63" s="8" t="s">
        <v>228</v>
      </c>
      <c r="F63" s="4" t="s">
        <v>228</v>
      </c>
      <c r="G63" s="8" t="s">
        <v>228</v>
      </c>
      <c r="H63" s="7" t="s">
        <v>228</v>
      </c>
      <c r="I63" s="7" t="s">
        <v>228</v>
      </c>
      <c r="J63" s="4"/>
      <c r="K63" s="8"/>
      <c r="L63" s="4"/>
      <c r="M63" s="8"/>
      <c r="N63" s="7"/>
      <c r="O63" s="7"/>
    </row>
    <row r="64">
      <c r="A64" s="2" t="s">
        <v>223</v>
      </c>
      <c r="B64" s="2" t="s">
        <v>516</v>
      </c>
      <c r="C64" s="2" t="s">
        <v>517</v>
      </c>
      <c r="D64" s="4"/>
      <c r="E64" s="8"/>
      <c r="F64" s="4"/>
      <c r="G64" s="8"/>
      <c r="H64" s="7"/>
      <c r="I64" s="7"/>
      <c r="J64" s="4"/>
      <c r="K64" s="8"/>
      <c r="L64" s="4"/>
      <c r="M64" s="8"/>
      <c r="N64" s="7"/>
      <c r="O64" s="7"/>
    </row>
    <row r="65">
      <c r="A65" s="2" t="s">
        <v>223</v>
      </c>
      <c r="B65" s="2" t="s">
        <v>1601</v>
      </c>
      <c r="C65" s="2" t="s">
        <v>1602</v>
      </c>
      <c r="D65" s="4" t="s">
        <v>228</v>
      </c>
      <c r="E65" s="8" t="s">
        <v>228</v>
      </c>
      <c r="F65" s="4" t="s">
        <v>228</v>
      </c>
      <c r="G65" s="8" t="s">
        <v>228</v>
      </c>
      <c r="H65" s="7" t="s">
        <v>228</v>
      </c>
      <c r="I65" s="7" t="s">
        <v>228</v>
      </c>
      <c r="J65" s="4"/>
      <c r="K65" s="8"/>
      <c r="L65" s="4"/>
      <c r="M65" s="8"/>
      <c r="N65" s="7"/>
      <c r="O65" s="7"/>
    </row>
    <row r="66">
      <c r="A66" s="2" t="s">
        <v>223</v>
      </c>
      <c r="B66" s="2" t="s">
        <v>1601</v>
      </c>
      <c r="C66" s="2" t="s">
        <v>2421</v>
      </c>
      <c r="D66" s="4" t="s">
        <v>228</v>
      </c>
      <c r="E66" s="8" t="s">
        <v>228</v>
      </c>
      <c r="F66" s="4" t="s">
        <v>228</v>
      </c>
      <c r="G66" s="8" t="s">
        <v>228</v>
      </c>
      <c r="H66" s="7" t="s">
        <v>228</v>
      </c>
      <c r="I66" s="7" t="s">
        <v>228</v>
      </c>
      <c r="J66" s="4"/>
      <c r="K66" s="8"/>
      <c r="L66" s="4"/>
      <c r="M66" s="8"/>
      <c r="N66" s="7"/>
      <c r="O66" s="7"/>
    </row>
    <row r="67">
      <c r="A67" s="2" t="s">
        <v>958</v>
      </c>
      <c r="B67" s="2" t="s">
        <v>1564</v>
      </c>
      <c r="C67" s="2" t="s">
        <v>1565</v>
      </c>
      <c r="D67" s="4" t="s">
        <v>228</v>
      </c>
      <c r="E67" s="8" t="s">
        <v>228</v>
      </c>
      <c r="F67" s="4" t="s">
        <v>228</v>
      </c>
      <c r="G67" s="8" t="s">
        <v>228</v>
      </c>
      <c r="H67" s="7" t="s">
        <v>228</v>
      </c>
      <c r="I67" s="7" t="s">
        <v>228</v>
      </c>
      <c r="J67" s="4"/>
      <c r="K67" s="8"/>
      <c r="L67" s="4"/>
      <c r="M67" s="8"/>
      <c r="N67" s="7"/>
      <c r="O67" s="7"/>
    </row>
    <row r="68">
      <c r="A68" s="2" t="s">
        <v>958</v>
      </c>
      <c r="B68" s="2" t="s">
        <v>1564</v>
      </c>
      <c r="C68" s="2" t="s">
        <v>1692</v>
      </c>
      <c r="D68" s="4" t="s">
        <v>228</v>
      </c>
      <c r="E68" s="8" t="s">
        <v>228</v>
      </c>
      <c r="F68" s="4" t="s">
        <v>228</v>
      </c>
      <c r="G68" s="8" t="s">
        <v>228</v>
      </c>
      <c r="H68" s="7" t="s">
        <v>228</v>
      </c>
      <c r="I68" s="7" t="s">
        <v>228</v>
      </c>
      <c r="J68" s="4"/>
      <c r="K68" s="8"/>
      <c r="L68" s="4"/>
      <c r="M68" s="8"/>
      <c r="N68" s="7"/>
      <c r="O68" s="7"/>
    </row>
    <row r="69">
      <c r="A69" s="2" t="s">
        <v>958</v>
      </c>
      <c r="B69" s="2" t="s">
        <v>959</v>
      </c>
      <c r="C69" s="2" t="s">
        <v>2560</v>
      </c>
      <c r="D69" s="4" t="s">
        <v>228</v>
      </c>
      <c r="E69" s="8" t="s">
        <v>228</v>
      </c>
      <c r="F69" s="4" t="s">
        <v>228</v>
      </c>
      <c r="G69" s="8" t="s">
        <v>228</v>
      </c>
      <c r="H69" s="7" t="s">
        <v>228</v>
      </c>
      <c r="I69" s="7" t="s">
        <v>228</v>
      </c>
      <c r="J69" s="4"/>
      <c r="K69" s="8"/>
      <c r="L69" s="4"/>
      <c r="M69" s="8"/>
      <c r="N69" s="7"/>
      <c r="O69" s="7"/>
    </row>
    <row r="70">
      <c r="A70" s="2" t="s">
        <v>958</v>
      </c>
      <c r="B70" s="2" t="s">
        <v>959</v>
      </c>
      <c r="C70" s="2" t="s">
        <v>3094</v>
      </c>
      <c r="D70" s="4" t="s">
        <v>228</v>
      </c>
      <c r="E70" s="8" t="s">
        <v>228</v>
      </c>
      <c r="F70" s="4" t="s">
        <v>228</v>
      </c>
      <c r="G70" s="8" t="s">
        <v>228</v>
      </c>
      <c r="H70" s="7" t="s">
        <v>228</v>
      </c>
      <c r="I70" s="7" t="s">
        <v>228</v>
      </c>
      <c r="J70" s="4"/>
      <c r="K70" s="8"/>
      <c r="L70" s="4"/>
      <c r="M70" s="8"/>
      <c r="N70" s="7"/>
      <c r="O70" s="7"/>
    </row>
    <row r="71">
      <c r="A71" s="2" t="s">
        <v>958</v>
      </c>
      <c r="B71" s="2" t="s">
        <v>959</v>
      </c>
      <c r="C71" s="2" t="s">
        <v>7269</v>
      </c>
      <c r="D71" s="4" t="s">
        <v>228</v>
      </c>
      <c r="E71" s="8" t="s">
        <v>228</v>
      </c>
      <c r="F71" s="4" t="s">
        <v>228</v>
      </c>
      <c r="G71" s="8" t="s">
        <v>228</v>
      </c>
      <c r="H71" s="7" t="s">
        <v>228</v>
      </c>
      <c r="I71" s="7" t="s">
        <v>228</v>
      </c>
      <c r="J71" s="4"/>
      <c r="K71" s="8"/>
      <c r="L71" s="4"/>
      <c r="M71" s="8"/>
      <c r="N71" s="7"/>
      <c r="O71" s="7"/>
    </row>
    <row r="72">
      <c r="A72" s="2" t="s">
        <v>958</v>
      </c>
      <c r="B72" s="2" t="s">
        <v>959</v>
      </c>
      <c r="C72" s="2" t="s">
        <v>960</v>
      </c>
      <c r="D72" s="4" t="s">
        <v>228</v>
      </c>
      <c r="E72" s="8" t="s">
        <v>228</v>
      </c>
      <c r="F72" s="4" t="s">
        <v>228</v>
      </c>
      <c r="G72" s="8" t="s">
        <v>228</v>
      </c>
      <c r="H72" s="7" t="s">
        <v>228</v>
      </c>
      <c r="I72" s="7" t="s">
        <v>228</v>
      </c>
      <c r="J72" s="4"/>
      <c r="K72" s="8"/>
      <c r="L72" s="4"/>
      <c r="M72" s="8"/>
      <c r="N72" s="7"/>
      <c r="O72" s="7"/>
    </row>
    <row r="73">
      <c r="A73" s="2" t="s">
        <v>958</v>
      </c>
      <c r="B73" s="2" t="s">
        <v>959</v>
      </c>
      <c r="C73" s="2" t="s">
        <v>238</v>
      </c>
      <c r="D73" s="4" t="s">
        <v>228</v>
      </c>
      <c r="E73" s="8" t="s">
        <v>228</v>
      </c>
      <c r="F73" s="4" t="s">
        <v>228</v>
      </c>
      <c r="G73" s="8" t="s">
        <v>228</v>
      </c>
      <c r="H73" s="7" t="s">
        <v>228</v>
      </c>
      <c r="I73" s="7" t="s">
        <v>228</v>
      </c>
      <c r="J73" s="4"/>
      <c r="K73" s="8"/>
      <c r="L73" s="4"/>
      <c r="M73" s="8"/>
      <c r="N73" s="7"/>
      <c r="O73" s="7"/>
    </row>
    <row r="74">
      <c r="A74" s="2" t="s">
        <v>958</v>
      </c>
      <c r="B74" s="2" t="s">
        <v>2117</v>
      </c>
      <c r="C74" s="2" t="s">
        <v>3992</v>
      </c>
      <c r="D74" s="4" t="s">
        <v>228</v>
      </c>
      <c r="E74" s="8" t="s">
        <v>228</v>
      </c>
      <c r="F74" s="4" t="s">
        <v>228</v>
      </c>
      <c r="G74" s="8" t="s">
        <v>228</v>
      </c>
      <c r="H74" s="7" t="s">
        <v>228</v>
      </c>
      <c r="I74" s="7" t="s">
        <v>228</v>
      </c>
      <c r="J74" s="4"/>
      <c r="K74" s="8"/>
      <c r="L74" s="4"/>
      <c r="M74" s="8"/>
      <c r="N74" s="7"/>
      <c r="O74" s="7"/>
    </row>
    <row r="75">
      <c r="A75" s="2" t="s">
        <v>958</v>
      </c>
      <c r="B75" s="2" t="s">
        <v>2117</v>
      </c>
      <c r="C75" s="2" t="s">
        <v>3988</v>
      </c>
      <c r="D75" s="4" t="s">
        <v>228</v>
      </c>
      <c r="E75" s="8" t="s">
        <v>228</v>
      </c>
      <c r="F75" s="4" t="s">
        <v>228</v>
      </c>
      <c r="G75" s="8" t="s">
        <v>228</v>
      </c>
      <c r="H75" s="7" t="s">
        <v>228</v>
      </c>
      <c r="I75" s="7" t="s">
        <v>228</v>
      </c>
      <c r="J75" s="4"/>
      <c r="K75" s="8"/>
      <c r="L75" s="4"/>
      <c r="M75" s="8"/>
      <c r="N75" s="7"/>
      <c r="O75" s="7"/>
    </row>
    <row r="76">
      <c r="A76" s="2" t="s">
        <v>958</v>
      </c>
      <c r="B76" s="2" t="s">
        <v>2117</v>
      </c>
      <c r="C76" s="2" t="s">
        <v>2118</v>
      </c>
      <c r="D76" s="4" t="s">
        <v>228</v>
      </c>
      <c r="E76" s="8" t="s">
        <v>228</v>
      </c>
      <c r="F76" s="4" t="s">
        <v>228</v>
      </c>
      <c r="G76" s="8" t="s">
        <v>228</v>
      </c>
      <c r="H76" s="7" t="s">
        <v>228</v>
      </c>
      <c r="I76" s="7" t="s">
        <v>228</v>
      </c>
      <c r="J76" s="4"/>
      <c r="K76" s="8"/>
      <c r="L76" s="4"/>
      <c r="M76" s="8"/>
      <c r="N76" s="7"/>
      <c r="O76" s="7"/>
    </row>
    <row r="77">
      <c r="A77" s="2" t="s">
        <v>958</v>
      </c>
      <c r="B77" s="2" t="s">
        <v>3271</v>
      </c>
      <c r="C77" s="2" t="s">
        <v>3272</v>
      </c>
      <c r="D77" s="4" t="s">
        <v>228</v>
      </c>
      <c r="E77" s="8" t="s">
        <v>228</v>
      </c>
      <c r="F77" s="4" t="s">
        <v>228</v>
      </c>
      <c r="G77" s="8" t="s">
        <v>228</v>
      </c>
      <c r="H77" s="7" t="s">
        <v>228</v>
      </c>
      <c r="I77" s="7" t="s">
        <v>228</v>
      </c>
      <c r="J77" s="4"/>
      <c r="K77" s="8"/>
      <c r="L77" s="4"/>
      <c r="M77" s="8"/>
      <c r="N77" s="7"/>
      <c r="O77" s="7"/>
    </row>
    <row r="78">
      <c r="A78" s="2" t="s">
        <v>958</v>
      </c>
      <c r="B78" s="2" t="s">
        <v>3271</v>
      </c>
      <c r="C78" s="2" t="s">
        <v>7894</v>
      </c>
      <c r="D78" s="4" t="s">
        <v>228</v>
      </c>
      <c r="E78" s="8" t="s">
        <v>228</v>
      </c>
      <c r="F78" s="4" t="s">
        <v>228</v>
      </c>
      <c r="G78" s="8" t="s">
        <v>228</v>
      </c>
      <c r="H78" s="7" t="s">
        <v>228</v>
      </c>
      <c r="I78" s="7" t="s">
        <v>228</v>
      </c>
      <c r="J78" s="4"/>
      <c r="K78" s="8"/>
      <c r="L78" s="4"/>
      <c r="M78" s="8"/>
      <c r="N78" s="7"/>
      <c r="O78" s="7"/>
    </row>
    <row r="79">
      <c r="A79" s="2" t="s">
        <v>958</v>
      </c>
      <c r="B79" s="2" t="s">
        <v>7173</v>
      </c>
      <c r="C79" s="2" t="s">
        <v>7174</v>
      </c>
      <c r="D79" s="4"/>
      <c r="E79" s="8"/>
      <c r="F79" s="4"/>
      <c r="G79" s="8"/>
      <c r="H79" s="7"/>
      <c r="I79" s="7"/>
      <c r="J79" s="4"/>
      <c r="K79" s="8"/>
      <c r="L79" s="4"/>
      <c r="M79" s="8"/>
      <c r="N79" s="7"/>
      <c r="O79" s="7"/>
    </row>
    <row r="80">
      <c r="A80" s="2" t="s">
        <v>958</v>
      </c>
      <c r="B80" s="2" t="s">
        <v>1790</v>
      </c>
      <c r="C80" s="2" t="s">
        <v>3370</v>
      </c>
      <c r="D80" s="4" t="s">
        <v>228</v>
      </c>
      <c r="E80" s="8" t="s">
        <v>228</v>
      </c>
      <c r="F80" s="4" t="s">
        <v>228</v>
      </c>
      <c r="G80" s="8" t="s">
        <v>228</v>
      </c>
      <c r="H80" s="7" t="s">
        <v>228</v>
      </c>
      <c r="I80" s="7" t="s">
        <v>228</v>
      </c>
      <c r="J80" s="4"/>
      <c r="K80" s="8"/>
      <c r="L80" s="4"/>
      <c r="M80" s="8"/>
      <c r="N80" s="7"/>
      <c r="O80" s="7"/>
    </row>
    <row r="81">
      <c r="A81" s="2" t="s">
        <v>958</v>
      </c>
      <c r="B81" s="2" t="s">
        <v>1790</v>
      </c>
      <c r="C81" s="2" t="s">
        <v>1791</v>
      </c>
      <c r="D81" s="4" t="s">
        <v>228</v>
      </c>
      <c r="E81" s="8" t="s">
        <v>228</v>
      </c>
      <c r="F81" s="4" t="s">
        <v>228</v>
      </c>
      <c r="G81" s="8" t="s">
        <v>228</v>
      </c>
      <c r="H81" s="7" t="s">
        <v>228</v>
      </c>
      <c r="I81" s="7" t="s">
        <v>228</v>
      </c>
      <c r="J81" s="4"/>
      <c r="K81" s="8"/>
      <c r="L81" s="4"/>
      <c r="M81" s="8"/>
      <c r="N81" s="7"/>
      <c r="O81" s="7"/>
    </row>
    <row r="82">
      <c r="A82" s="2" t="s">
        <v>958</v>
      </c>
      <c r="B82" s="2" t="s">
        <v>1790</v>
      </c>
      <c r="C82" s="2" t="s">
        <v>1007</v>
      </c>
      <c r="D82" s="4" t="s">
        <v>228</v>
      </c>
      <c r="E82" s="8" t="s">
        <v>228</v>
      </c>
      <c r="F82" s="4" t="s">
        <v>228</v>
      </c>
      <c r="G82" s="8" t="s">
        <v>228</v>
      </c>
      <c r="H82" s="7" t="s">
        <v>228</v>
      </c>
      <c r="I82" s="7" t="s">
        <v>228</v>
      </c>
      <c r="J82" s="4"/>
      <c r="K82" s="8"/>
      <c r="L82" s="4"/>
      <c r="M82" s="8"/>
      <c r="N82" s="7"/>
      <c r="O82" s="7"/>
    </row>
    <row r="83">
      <c r="A83" s="2" t="s">
        <v>958</v>
      </c>
      <c r="B83" s="2" t="s">
        <v>1257</v>
      </c>
      <c r="C83" s="2" t="s">
        <v>2091</v>
      </c>
      <c r="D83" s="4" t="s">
        <v>228</v>
      </c>
      <c r="E83" s="8" t="s">
        <v>228</v>
      </c>
      <c r="F83" s="4" t="s">
        <v>228</v>
      </c>
      <c r="G83" s="8" t="s">
        <v>228</v>
      </c>
      <c r="H83" s="7" t="s">
        <v>228</v>
      </c>
      <c r="I83" s="7" t="s">
        <v>228</v>
      </c>
      <c r="J83" s="4"/>
      <c r="K83" s="8"/>
      <c r="L83" s="4"/>
      <c r="M83" s="8"/>
      <c r="N83" s="7"/>
      <c r="O83" s="7"/>
    </row>
    <row r="84">
      <c r="A84" s="2" t="s">
        <v>958</v>
      </c>
      <c r="B84" s="2" t="s">
        <v>1257</v>
      </c>
      <c r="C84" s="2" t="s">
        <v>238</v>
      </c>
      <c r="D84" s="4" t="s">
        <v>228</v>
      </c>
      <c r="E84" s="8" t="s">
        <v>228</v>
      </c>
      <c r="F84" s="4" t="s">
        <v>228</v>
      </c>
      <c r="G84" s="8" t="s">
        <v>228</v>
      </c>
      <c r="H84" s="7" t="s">
        <v>228</v>
      </c>
      <c r="I84" s="7" t="s">
        <v>228</v>
      </c>
      <c r="J84" s="4"/>
      <c r="K84" s="8"/>
      <c r="L84" s="4"/>
      <c r="M84" s="8"/>
      <c r="N84" s="7"/>
      <c r="O84" s="7"/>
    </row>
    <row r="85">
      <c r="A85" s="2" t="s">
        <v>958</v>
      </c>
      <c r="B85" s="2" t="s">
        <v>4511</v>
      </c>
      <c r="C85" s="2" t="s">
        <v>4512</v>
      </c>
      <c r="D85" s="4"/>
      <c r="E85" s="8"/>
      <c r="F85" s="4"/>
      <c r="G85" s="8"/>
      <c r="H85" s="7"/>
      <c r="I85" s="7"/>
      <c r="J85" s="4"/>
      <c r="K85" s="8"/>
      <c r="L85" s="4"/>
      <c r="M85" s="8"/>
      <c r="N85" s="7"/>
      <c r="O85" s="7"/>
    </row>
    <row r="86">
      <c r="A86" s="2" t="s">
        <v>958</v>
      </c>
      <c r="B86" s="2" t="s">
        <v>7565</v>
      </c>
      <c r="C86" s="2" t="s">
        <v>7566</v>
      </c>
      <c r="D86" s="4"/>
      <c r="E86" s="8"/>
      <c r="F86" s="4"/>
      <c r="G86" s="8"/>
      <c r="H86" s="7"/>
      <c r="I86" s="7"/>
      <c r="J86" s="4"/>
      <c r="K86" s="8"/>
      <c r="L86" s="4"/>
      <c r="M86" s="8"/>
      <c r="N86" s="7"/>
      <c r="O86" s="7"/>
    </row>
    <row r="87">
      <c r="A87" s="2" t="s">
        <v>958</v>
      </c>
      <c r="B87" s="2" t="s">
        <v>987</v>
      </c>
      <c r="C87" s="2" t="s">
        <v>988</v>
      </c>
      <c r="D87" s="4"/>
      <c r="E87" s="8"/>
      <c r="F87" s="4"/>
      <c r="G87" s="8"/>
      <c r="H87" s="7"/>
      <c r="I87" s="7"/>
      <c r="J87" s="4"/>
      <c r="K87" s="8"/>
      <c r="L87" s="4"/>
      <c r="M87" s="8"/>
      <c r="N87" s="7"/>
      <c r="O87" s="7"/>
    </row>
    <row r="88">
      <c r="A88" s="2" t="s">
        <v>958</v>
      </c>
      <c r="B88" s="2" t="s">
        <v>5518</v>
      </c>
      <c r="C88" s="2" t="s">
        <v>5519</v>
      </c>
      <c r="D88" s="4"/>
      <c r="E88" s="8"/>
      <c r="F88" s="4"/>
      <c r="G88" s="8"/>
      <c r="H88" s="7"/>
      <c r="I88" s="7"/>
      <c r="J88" s="4"/>
      <c r="K88" s="8"/>
      <c r="L88" s="4"/>
      <c r="M88" s="8"/>
      <c r="N88" s="7"/>
      <c r="O88" s="7"/>
    </row>
    <row r="89">
      <c r="A89" s="2" t="s">
        <v>958</v>
      </c>
      <c r="B89" s="2" t="s">
        <v>1795</v>
      </c>
      <c r="C89" s="2" t="s">
        <v>3094</v>
      </c>
      <c r="D89" s="4" t="s">
        <v>228</v>
      </c>
      <c r="E89" s="8" t="s">
        <v>228</v>
      </c>
      <c r="F89" s="4" t="s">
        <v>228</v>
      </c>
      <c r="G89" s="8" t="s">
        <v>228</v>
      </c>
      <c r="H89" s="7" t="s">
        <v>228</v>
      </c>
      <c r="I89" s="7" t="s">
        <v>228</v>
      </c>
      <c r="J89" s="4"/>
      <c r="K89" s="8"/>
      <c r="L89" s="4"/>
      <c r="M89" s="8"/>
      <c r="N89" s="7"/>
      <c r="O89" s="7"/>
    </row>
    <row r="90">
      <c r="A90" s="2" t="s">
        <v>958</v>
      </c>
      <c r="B90" s="2" t="s">
        <v>1795</v>
      </c>
      <c r="C90" s="2" t="s">
        <v>10358</v>
      </c>
      <c r="D90" s="4" t="s">
        <v>228</v>
      </c>
      <c r="E90" s="8" t="s">
        <v>228</v>
      </c>
      <c r="F90" s="4" t="s">
        <v>228</v>
      </c>
      <c r="G90" s="8" t="s">
        <v>228</v>
      </c>
      <c r="H90" s="7" t="s">
        <v>228</v>
      </c>
      <c r="I90" s="7" t="s">
        <v>228</v>
      </c>
      <c r="J90" s="4"/>
      <c r="K90" s="8"/>
      <c r="L90" s="4"/>
      <c r="M90" s="8"/>
      <c r="N90" s="7"/>
      <c r="O90" s="7"/>
    </row>
    <row r="91">
      <c r="A91" s="2" t="s">
        <v>958</v>
      </c>
      <c r="B91" s="2" t="s">
        <v>1795</v>
      </c>
      <c r="C91" s="2" t="s">
        <v>1796</v>
      </c>
      <c r="D91" s="4" t="s">
        <v>228</v>
      </c>
      <c r="E91" s="8" t="s">
        <v>228</v>
      </c>
      <c r="F91" s="4" t="s">
        <v>228</v>
      </c>
      <c r="G91" s="8" t="s">
        <v>228</v>
      </c>
      <c r="H91" s="7" t="s">
        <v>228</v>
      </c>
      <c r="I91" s="7" t="s">
        <v>228</v>
      </c>
      <c r="J91" s="4"/>
      <c r="K91" s="8"/>
      <c r="L91" s="4"/>
      <c r="M91" s="8"/>
      <c r="N91" s="7"/>
      <c r="O91" s="7"/>
    </row>
    <row r="92">
      <c r="A92" s="2" t="s">
        <v>958</v>
      </c>
      <c r="B92" s="2" t="s">
        <v>1795</v>
      </c>
      <c r="C92" s="2" t="s">
        <v>2165</v>
      </c>
      <c r="D92" s="4" t="s">
        <v>228</v>
      </c>
      <c r="E92" s="8" t="s">
        <v>228</v>
      </c>
      <c r="F92" s="4" t="s">
        <v>228</v>
      </c>
      <c r="G92" s="8" t="s">
        <v>228</v>
      </c>
      <c r="H92" s="7" t="s">
        <v>228</v>
      </c>
      <c r="I92" s="7" t="s">
        <v>228</v>
      </c>
      <c r="J92" s="4"/>
      <c r="K92" s="8"/>
      <c r="L92" s="4"/>
      <c r="M92" s="8"/>
      <c r="N92" s="7"/>
      <c r="O92" s="7"/>
    </row>
    <row r="93">
      <c r="A93" s="2" t="s">
        <v>958</v>
      </c>
      <c r="B93" s="2" t="s">
        <v>2164</v>
      </c>
      <c r="C93" s="2" t="s">
        <v>2165</v>
      </c>
      <c r="D93" s="4"/>
      <c r="E93" s="8"/>
      <c r="F93" s="4"/>
      <c r="G93" s="8"/>
      <c r="H93" s="7"/>
      <c r="I93" s="7"/>
      <c r="J93" s="4"/>
      <c r="K93" s="8"/>
      <c r="L93" s="4"/>
      <c r="M93" s="8"/>
      <c r="N93" s="7"/>
      <c r="O93" s="7"/>
    </row>
    <row r="94">
      <c r="A94" s="2" t="s">
        <v>958</v>
      </c>
      <c r="B94" s="2" t="s">
        <v>9587</v>
      </c>
      <c r="C94" s="2" t="s">
        <v>9588</v>
      </c>
      <c r="D94" s="4"/>
      <c r="E94" s="8"/>
      <c r="F94" s="4"/>
      <c r="G94" s="8"/>
      <c r="H94" s="7"/>
      <c r="I94" s="7"/>
      <c r="J94" s="4"/>
      <c r="K94" s="8"/>
      <c r="L94" s="4"/>
      <c r="M94" s="8"/>
      <c r="N94" s="7"/>
      <c r="O94" s="7"/>
    </row>
    <row r="95">
      <c r="A95" s="2" t="s">
        <v>958</v>
      </c>
      <c r="B95" s="2" t="s">
        <v>1913</v>
      </c>
      <c r="C95" s="2" t="s">
        <v>1914</v>
      </c>
      <c r="D95" s="4"/>
      <c r="E95" s="8"/>
      <c r="F95" s="4"/>
      <c r="G95" s="8"/>
      <c r="H95" s="7"/>
      <c r="I95" s="7"/>
      <c r="J95" s="4"/>
      <c r="K95" s="8"/>
      <c r="L95" s="4"/>
      <c r="M95" s="8"/>
      <c r="N95" s="7"/>
      <c r="O95" s="7"/>
    </row>
    <row r="96">
      <c r="A96" s="2" t="s">
        <v>958</v>
      </c>
      <c r="B96" s="2" t="s">
        <v>1006</v>
      </c>
      <c r="C96" s="2" t="s">
        <v>1766</v>
      </c>
      <c r="D96" s="4" t="s">
        <v>228</v>
      </c>
      <c r="E96" s="8" t="s">
        <v>228</v>
      </c>
      <c r="F96" s="4" t="s">
        <v>228</v>
      </c>
      <c r="G96" s="8" t="s">
        <v>228</v>
      </c>
      <c r="H96" s="7" t="s">
        <v>228</v>
      </c>
      <c r="I96" s="7" t="s">
        <v>228</v>
      </c>
      <c r="J96" s="4"/>
      <c r="K96" s="8"/>
      <c r="L96" s="4"/>
      <c r="M96" s="8"/>
      <c r="N96" s="7"/>
      <c r="O96" s="7"/>
    </row>
    <row r="97">
      <c r="A97" s="2" t="s">
        <v>958</v>
      </c>
      <c r="B97" s="2" t="s">
        <v>1006</v>
      </c>
      <c r="C97" s="2" t="s">
        <v>1007</v>
      </c>
      <c r="D97" s="4" t="s">
        <v>228</v>
      </c>
      <c r="E97" s="8" t="s">
        <v>228</v>
      </c>
      <c r="F97" s="4" t="s">
        <v>228</v>
      </c>
      <c r="G97" s="8" t="s">
        <v>228</v>
      </c>
      <c r="H97" s="7" t="s">
        <v>228</v>
      </c>
      <c r="I97" s="7" t="s">
        <v>228</v>
      </c>
      <c r="J97" s="4"/>
      <c r="K97" s="8"/>
      <c r="L97" s="4"/>
      <c r="M97" s="8"/>
      <c r="N97" s="7"/>
      <c r="O97" s="7"/>
    </row>
    <row r="98">
      <c r="A98" s="2" t="s">
        <v>958</v>
      </c>
      <c r="B98" s="2" t="s">
        <v>1006</v>
      </c>
      <c r="C98" s="2" t="s">
        <v>1651</v>
      </c>
      <c r="D98" s="4" t="s">
        <v>228</v>
      </c>
      <c r="E98" s="8" t="s">
        <v>228</v>
      </c>
      <c r="F98" s="4" t="s">
        <v>228</v>
      </c>
      <c r="G98" s="8" t="s">
        <v>228</v>
      </c>
      <c r="H98" s="7" t="s">
        <v>228</v>
      </c>
      <c r="I98" s="7" t="s">
        <v>228</v>
      </c>
      <c r="J98" s="4"/>
      <c r="K98" s="8"/>
      <c r="L98" s="4"/>
      <c r="M98" s="8"/>
      <c r="N98" s="7"/>
      <c r="O98" s="7"/>
    </row>
    <row r="99">
      <c r="A99" s="2" t="s">
        <v>958</v>
      </c>
      <c r="B99" s="2" t="s">
        <v>2122</v>
      </c>
      <c r="C99" s="2" t="s">
        <v>2123</v>
      </c>
      <c r="D99" s="4"/>
      <c r="E99" s="8"/>
      <c r="F99" s="4"/>
      <c r="G99" s="8"/>
      <c r="H99" s="7"/>
      <c r="I99" s="7"/>
      <c r="J99" s="4"/>
      <c r="K99" s="8"/>
      <c r="L99" s="4"/>
      <c r="M99" s="8"/>
      <c r="N99" s="7"/>
      <c r="O99" s="7"/>
    </row>
    <row r="100">
      <c r="A100" s="2" t="s">
        <v>958</v>
      </c>
      <c r="B100" s="2" t="s">
        <v>2144</v>
      </c>
      <c r="C100" s="2" t="s">
        <v>6654</v>
      </c>
      <c r="D100" s="4" t="s">
        <v>228</v>
      </c>
      <c r="E100" s="8" t="s">
        <v>228</v>
      </c>
      <c r="F100" s="4" t="s">
        <v>228</v>
      </c>
      <c r="G100" s="8" t="s">
        <v>228</v>
      </c>
      <c r="H100" s="7" t="s">
        <v>228</v>
      </c>
      <c r="I100" s="7" t="s">
        <v>228</v>
      </c>
      <c r="J100" s="4"/>
      <c r="K100" s="8"/>
      <c r="L100" s="4"/>
      <c r="M100" s="8"/>
      <c r="N100" s="7"/>
      <c r="O100" s="7"/>
    </row>
    <row r="101">
      <c r="A101" s="2" t="s">
        <v>958</v>
      </c>
      <c r="B101" s="2" t="s">
        <v>2144</v>
      </c>
      <c r="C101" s="2" t="s">
        <v>6389</v>
      </c>
      <c r="D101" s="4" t="s">
        <v>228</v>
      </c>
      <c r="E101" s="8" t="s">
        <v>228</v>
      </c>
      <c r="F101" s="4" t="s">
        <v>228</v>
      </c>
      <c r="G101" s="8" t="s">
        <v>228</v>
      </c>
      <c r="H101" s="7" t="s">
        <v>228</v>
      </c>
      <c r="I101" s="7" t="s">
        <v>228</v>
      </c>
      <c r="J101" s="4"/>
      <c r="K101" s="8"/>
      <c r="L101" s="4"/>
      <c r="M101" s="8"/>
      <c r="N101" s="7"/>
      <c r="O101" s="7"/>
    </row>
    <row r="102">
      <c r="A102" s="2" t="s">
        <v>958</v>
      </c>
      <c r="B102" s="2" t="s">
        <v>2144</v>
      </c>
      <c r="C102" s="2" t="s">
        <v>7204</v>
      </c>
      <c r="D102" s="4" t="s">
        <v>228</v>
      </c>
      <c r="E102" s="8" t="s">
        <v>228</v>
      </c>
      <c r="F102" s="4" t="s">
        <v>228</v>
      </c>
      <c r="G102" s="8" t="s">
        <v>228</v>
      </c>
      <c r="H102" s="7" t="s">
        <v>228</v>
      </c>
      <c r="I102" s="7" t="s">
        <v>228</v>
      </c>
      <c r="J102" s="4"/>
      <c r="K102" s="8"/>
      <c r="L102" s="4"/>
      <c r="M102" s="8"/>
      <c r="N102" s="7"/>
      <c r="O102" s="7"/>
    </row>
    <row r="103">
      <c r="A103" s="2" t="s">
        <v>958</v>
      </c>
      <c r="B103" s="2" t="s">
        <v>2144</v>
      </c>
      <c r="C103" s="2" t="s">
        <v>3272</v>
      </c>
      <c r="D103" s="4" t="s">
        <v>228</v>
      </c>
      <c r="E103" s="8" t="s">
        <v>228</v>
      </c>
      <c r="F103" s="4" t="s">
        <v>228</v>
      </c>
      <c r="G103" s="8" t="s">
        <v>228</v>
      </c>
      <c r="H103" s="7" t="s">
        <v>228</v>
      </c>
      <c r="I103" s="7" t="s">
        <v>228</v>
      </c>
      <c r="J103" s="4"/>
      <c r="K103" s="8"/>
      <c r="L103" s="4"/>
      <c r="M103" s="8"/>
      <c r="N103" s="7"/>
      <c r="O103" s="7"/>
    </row>
    <row r="104">
      <c r="A104" s="2" t="s">
        <v>958</v>
      </c>
      <c r="B104" s="2" t="s">
        <v>2144</v>
      </c>
      <c r="C104" s="2" t="s">
        <v>2145</v>
      </c>
      <c r="D104" s="4" t="s">
        <v>228</v>
      </c>
      <c r="E104" s="8" t="s">
        <v>228</v>
      </c>
      <c r="F104" s="4" t="s">
        <v>228</v>
      </c>
      <c r="G104" s="8" t="s">
        <v>228</v>
      </c>
      <c r="H104" s="7" t="s">
        <v>228</v>
      </c>
      <c r="I104" s="7" t="s">
        <v>228</v>
      </c>
      <c r="J104" s="4"/>
      <c r="K104" s="8"/>
      <c r="L104" s="4"/>
      <c r="M104" s="8"/>
      <c r="N104" s="7"/>
      <c r="O104" s="7"/>
    </row>
    <row r="105">
      <c r="A105" s="2" t="s">
        <v>958</v>
      </c>
      <c r="B105" s="2" t="s">
        <v>2256</v>
      </c>
      <c r="C105" s="2" t="s">
        <v>2257</v>
      </c>
      <c r="D105" s="4"/>
      <c r="E105" s="8"/>
      <c r="F105" s="4"/>
      <c r="G105" s="8"/>
      <c r="H105" s="7"/>
      <c r="I105" s="7"/>
      <c r="J105" s="4"/>
      <c r="K105" s="8"/>
      <c r="L105" s="4"/>
      <c r="M105" s="8"/>
      <c r="N105" s="7"/>
      <c r="O105" s="7"/>
    </row>
    <row r="106">
      <c r="A106" s="2" t="s">
        <v>958</v>
      </c>
      <c r="B106" s="2" t="s">
        <v>7940</v>
      </c>
      <c r="C106" s="2" t="s">
        <v>2560</v>
      </c>
      <c r="D106" s="4" t="s">
        <v>228</v>
      </c>
      <c r="E106" s="8" t="s">
        <v>228</v>
      </c>
      <c r="F106" s="4" t="s">
        <v>228</v>
      </c>
      <c r="G106" s="8" t="s">
        <v>228</v>
      </c>
      <c r="H106" s="7" t="s">
        <v>228</v>
      </c>
      <c r="I106" s="7" t="s">
        <v>228</v>
      </c>
      <c r="J106" s="4"/>
      <c r="K106" s="8"/>
      <c r="L106" s="4"/>
      <c r="M106" s="8"/>
      <c r="N106" s="7"/>
      <c r="O106" s="7"/>
    </row>
    <row r="107">
      <c r="A107" s="2" t="s">
        <v>958</v>
      </c>
      <c r="B107" s="2" t="s">
        <v>7940</v>
      </c>
      <c r="C107" s="2" t="s">
        <v>8414</v>
      </c>
      <c r="D107" s="4" t="s">
        <v>228</v>
      </c>
      <c r="E107" s="8" t="s">
        <v>228</v>
      </c>
      <c r="F107" s="4" t="s">
        <v>228</v>
      </c>
      <c r="G107" s="8" t="s">
        <v>228</v>
      </c>
      <c r="H107" s="7" t="s">
        <v>228</v>
      </c>
      <c r="I107" s="7" t="s">
        <v>228</v>
      </c>
      <c r="J107" s="4"/>
      <c r="K107" s="8"/>
      <c r="L107" s="4"/>
      <c r="M107" s="8"/>
      <c r="N107" s="7"/>
      <c r="O107" s="7"/>
    </row>
    <row r="108">
      <c r="A108" s="2" t="s">
        <v>958</v>
      </c>
      <c r="B108" s="2" t="s">
        <v>7940</v>
      </c>
      <c r="C108" s="2" t="s">
        <v>3094</v>
      </c>
      <c r="D108" s="4" t="s">
        <v>228</v>
      </c>
      <c r="E108" s="8" t="s">
        <v>228</v>
      </c>
      <c r="F108" s="4" t="s">
        <v>228</v>
      </c>
      <c r="G108" s="8" t="s">
        <v>228</v>
      </c>
      <c r="H108" s="7" t="s">
        <v>228</v>
      </c>
      <c r="I108" s="7" t="s">
        <v>228</v>
      </c>
      <c r="J108" s="4"/>
      <c r="K108" s="8"/>
      <c r="L108" s="4"/>
      <c r="M108" s="8"/>
      <c r="N108" s="7"/>
      <c r="O108" s="7"/>
    </row>
    <row r="109">
      <c r="A109" s="2" t="s">
        <v>958</v>
      </c>
      <c r="B109" s="2" t="s">
        <v>7940</v>
      </c>
      <c r="C109" s="2" t="s">
        <v>2257</v>
      </c>
      <c r="D109" s="4" t="s">
        <v>228</v>
      </c>
      <c r="E109" s="8" t="s">
        <v>228</v>
      </c>
      <c r="F109" s="4" t="s">
        <v>228</v>
      </c>
      <c r="G109" s="8" t="s">
        <v>228</v>
      </c>
      <c r="H109" s="7" t="s">
        <v>228</v>
      </c>
      <c r="I109" s="7" t="s">
        <v>228</v>
      </c>
      <c r="J109" s="4"/>
      <c r="K109" s="8"/>
      <c r="L109" s="4"/>
      <c r="M109" s="8"/>
      <c r="N109" s="7"/>
      <c r="O109" s="7"/>
    </row>
    <row r="110">
      <c r="A110" s="2" t="s">
        <v>958</v>
      </c>
      <c r="B110" s="2" t="s">
        <v>7940</v>
      </c>
      <c r="C110" s="2" t="s">
        <v>8406</v>
      </c>
      <c r="D110" s="4" t="s">
        <v>228</v>
      </c>
      <c r="E110" s="8" t="s">
        <v>228</v>
      </c>
      <c r="F110" s="4" t="s">
        <v>228</v>
      </c>
      <c r="G110" s="8" t="s">
        <v>228</v>
      </c>
      <c r="H110" s="7" t="s">
        <v>228</v>
      </c>
      <c r="I110" s="7" t="s">
        <v>228</v>
      </c>
      <c r="J110" s="4"/>
      <c r="K110" s="8"/>
      <c r="L110" s="4"/>
      <c r="M110" s="8"/>
      <c r="N110" s="7"/>
      <c r="O110" s="7"/>
    </row>
    <row r="111">
      <c r="A111" s="2" t="s">
        <v>834</v>
      </c>
      <c r="B111" s="2" t="s">
        <v>836</v>
      </c>
      <c r="C111" s="2" t="s">
        <v>837</v>
      </c>
      <c r="D111" s="4"/>
      <c r="E111" s="8"/>
      <c r="F111" s="4"/>
      <c r="G111" s="8"/>
      <c r="H111" s="7"/>
      <c r="I111" s="7"/>
      <c r="J111" s="4"/>
      <c r="K111" s="8"/>
      <c r="L111" s="4"/>
      <c r="M111" s="8"/>
      <c r="N111" s="7"/>
      <c r="O111" s="7"/>
    </row>
    <row r="112">
      <c r="A112" s="2" t="s">
        <v>834</v>
      </c>
      <c r="B112" s="2" t="s">
        <v>1744</v>
      </c>
      <c r="C112" s="2" t="s">
        <v>1745</v>
      </c>
      <c r="D112" s="4"/>
      <c r="E112" s="8"/>
      <c r="F112" s="4"/>
      <c r="G112" s="8"/>
      <c r="H112" s="7"/>
      <c r="I112" s="7"/>
      <c r="J112" s="4"/>
      <c r="K112" s="8"/>
      <c r="L112" s="4"/>
      <c r="M112" s="8"/>
      <c r="N112" s="7"/>
      <c r="O112" s="7"/>
    </row>
    <row r="113">
      <c r="A113" s="2" t="s">
        <v>834</v>
      </c>
      <c r="B113" s="2" t="s">
        <v>8294</v>
      </c>
      <c r="C113" s="2" t="s">
        <v>8295</v>
      </c>
      <c r="D113" s="4"/>
      <c r="E113" s="8"/>
      <c r="F113" s="4"/>
      <c r="G113" s="8"/>
      <c r="H113" s="7"/>
      <c r="I113" s="7"/>
      <c r="J113" s="4"/>
      <c r="K113" s="8"/>
      <c r="L113" s="4"/>
      <c r="M113" s="8"/>
      <c r="N113" s="7"/>
      <c r="O113" s="7"/>
    </row>
    <row r="114">
      <c r="A114" s="2" t="s">
        <v>834</v>
      </c>
      <c r="B114" s="2" t="s">
        <v>1028</v>
      </c>
      <c r="C114" s="2" t="s">
        <v>1029</v>
      </c>
      <c r="D114" s="4"/>
      <c r="E114" s="8"/>
      <c r="F114" s="4"/>
      <c r="G114" s="8"/>
      <c r="H114" s="7"/>
      <c r="I114" s="7"/>
      <c r="J114" s="4"/>
      <c r="K114" s="8"/>
      <c r="L114" s="4"/>
      <c r="M114" s="8"/>
      <c r="N114" s="7"/>
      <c r="O114" s="7"/>
    </row>
    <row r="115">
      <c r="A115" s="2" t="s">
        <v>834</v>
      </c>
      <c r="B115" s="2" t="s">
        <v>3553</v>
      </c>
      <c r="C115" s="2" t="s">
        <v>3554</v>
      </c>
      <c r="D115" s="4"/>
      <c r="E115" s="8"/>
      <c r="F115" s="4"/>
      <c r="G115" s="8"/>
      <c r="H115" s="7"/>
      <c r="I115" s="7"/>
      <c r="J115" s="4"/>
      <c r="K115" s="8"/>
      <c r="L115" s="4"/>
      <c r="M115" s="8"/>
      <c r="N115" s="7"/>
      <c r="O115" s="7"/>
    </row>
    <row r="116">
      <c r="A116" s="2" t="s">
        <v>834</v>
      </c>
      <c r="B116" s="2" t="s">
        <v>1101</v>
      </c>
      <c r="C116" s="2" t="s">
        <v>1102</v>
      </c>
      <c r="D116" s="4"/>
      <c r="E116" s="8"/>
      <c r="F116" s="4"/>
      <c r="G116" s="8"/>
      <c r="H116" s="7"/>
      <c r="I116" s="7"/>
      <c r="J116" s="4"/>
      <c r="K116" s="8"/>
      <c r="L116" s="4"/>
      <c r="M116" s="8"/>
      <c r="N116" s="7"/>
      <c r="O116" s="7"/>
    </row>
    <row r="117">
      <c r="A117" s="2" t="s">
        <v>2841</v>
      </c>
      <c r="B117" s="2" t="s">
        <v>2842</v>
      </c>
      <c r="C117" s="2" t="s">
        <v>2843</v>
      </c>
      <c r="D117" s="4"/>
      <c r="E117" s="8"/>
      <c r="F117" s="4"/>
      <c r="G117" s="8"/>
      <c r="H117" s="7"/>
      <c r="I117" s="7"/>
      <c r="J117" s="4"/>
      <c r="K117" s="8"/>
      <c r="L117" s="4"/>
      <c r="M117" s="8"/>
      <c r="N117" s="7"/>
      <c r="O117" s="7"/>
    </row>
    <row r="118">
      <c r="A118" s="2" t="s">
        <v>1196</v>
      </c>
      <c r="B118" s="2" t="s">
        <v>1198</v>
      </c>
      <c r="C118" s="2" t="s">
        <v>1199</v>
      </c>
      <c r="D118" s="4"/>
      <c r="E118" s="8"/>
      <c r="F118" s="4"/>
      <c r="G118" s="8"/>
      <c r="H118" s="7"/>
      <c r="I118" s="7"/>
      <c r="J118" s="4"/>
      <c r="K118" s="8"/>
      <c r="L118" s="4"/>
      <c r="M118" s="8"/>
      <c r="N118" s="7"/>
      <c r="O118" s="7"/>
    </row>
    <row r="119">
      <c r="A119" s="2" t="s">
        <v>1276</v>
      </c>
      <c r="B119" s="2" t="s">
        <v>1276</v>
      </c>
      <c r="C119" s="2" t="s">
        <v>1276</v>
      </c>
      <c r="D119" s="4"/>
      <c r="E119" s="8"/>
      <c r="F119" s="4"/>
      <c r="G119" s="8"/>
      <c r="H119" s="7"/>
      <c r="I119" s="7"/>
      <c r="J119" s="4"/>
      <c r="K119" s="8"/>
      <c r="L119" s="4"/>
      <c r="M119" s="8"/>
      <c r="N119" s="7"/>
      <c r="O119" s="7"/>
    </row>
    <row r="120">
      <c r="A120" s="2" t="s">
        <v>299</v>
      </c>
      <c r="B120" s="2" t="s">
        <v>850</v>
      </c>
      <c r="C120" s="2" t="s">
        <v>1038</v>
      </c>
      <c r="D120" s="4"/>
      <c r="E120" s="8"/>
      <c r="F120" s="4"/>
      <c r="G120" s="8"/>
      <c r="H120" s="7"/>
      <c r="I120" s="7"/>
      <c r="J120" s="4"/>
      <c r="K120" s="8"/>
      <c r="L120" s="4"/>
      <c r="M120" s="8"/>
      <c r="N120" s="7"/>
      <c r="O120" s="7"/>
    </row>
    <row r="121">
      <c r="A121" s="2" t="s">
        <v>299</v>
      </c>
      <c r="B121" s="2" t="s">
        <v>516</v>
      </c>
      <c r="C121" s="2" t="s">
        <v>517</v>
      </c>
      <c r="D121" s="4"/>
      <c r="E121" s="8"/>
      <c r="F121" s="4"/>
      <c r="G121" s="8"/>
      <c r="H121" s="7"/>
      <c r="I121" s="7"/>
      <c r="J121" s="4"/>
      <c r="K121" s="8"/>
      <c r="L121" s="4"/>
      <c r="M121" s="8"/>
      <c r="N121" s="7"/>
      <c r="O121" s="7"/>
    </row>
    <row r="122">
      <c r="A122" s="2" t="s">
        <v>299</v>
      </c>
      <c r="B122" s="2" t="s">
        <v>301</v>
      </c>
      <c r="C122" s="2" t="s">
        <v>302</v>
      </c>
      <c r="D122" s="4"/>
      <c r="E122" s="8"/>
      <c r="F122" s="4"/>
      <c r="G122" s="8"/>
      <c r="H122" s="7"/>
      <c r="I122" s="7"/>
      <c r="J122" s="4"/>
      <c r="K122" s="8"/>
      <c r="L122" s="4"/>
      <c r="M122" s="8"/>
      <c r="N122" s="7"/>
      <c r="O122" s="7"/>
    </row>
    <row r="123">
      <c r="A123" s="2" t="s">
        <v>772</v>
      </c>
      <c r="B123" s="2" t="s">
        <v>774</v>
      </c>
      <c r="C123" s="2" t="s">
        <v>775</v>
      </c>
      <c r="D123" s="4"/>
      <c r="E123" s="8"/>
      <c r="F123" s="4"/>
      <c r="G123" s="8"/>
      <c r="H123" s="7"/>
      <c r="I123" s="7"/>
      <c r="J123" s="4"/>
      <c r="K123" s="8"/>
      <c r="L123" s="4"/>
      <c r="M123" s="8"/>
      <c r="N123" s="7"/>
      <c r="O123" s="7"/>
    </row>
    <row r="124">
      <c r="A124" s="2" t="s">
        <v>970</v>
      </c>
      <c r="B124" s="2" t="s">
        <v>1980</v>
      </c>
      <c r="C124" s="2" t="s">
        <v>1981</v>
      </c>
      <c r="D124" s="4" t="s">
        <v>228</v>
      </c>
      <c r="E124" s="8" t="s">
        <v>228</v>
      </c>
      <c r="F124" s="4" t="s">
        <v>228</v>
      </c>
      <c r="G124" s="8" t="s">
        <v>228</v>
      </c>
      <c r="H124" s="7" t="s">
        <v>228</v>
      </c>
      <c r="I124" s="7" t="s">
        <v>228</v>
      </c>
      <c r="J124" s="4"/>
      <c r="K124" s="8"/>
      <c r="L124" s="4"/>
      <c r="M124" s="8"/>
      <c r="N124" s="7"/>
      <c r="O124" s="7"/>
    </row>
    <row r="125">
      <c r="A125" s="2" t="s">
        <v>970</v>
      </c>
      <c r="B125" s="2" t="s">
        <v>1980</v>
      </c>
      <c r="C125" s="2" t="s">
        <v>4854</v>
      </c>
      <c r="D125" s="4" t="s">
        <v>228</v>
      </c>
      <c r="E125" s="8" t="s">
        <v>228</v>
      </c>
      <c r="F125" s="4" t="s">
        <v>228</v>
      </c>
      <c r="G125" s="8" t="s">
        <v>228</v>
      </c>
      <c r="H125" s="7" t="s">
        <v>228</v>
      </c>
      <c r="I125" s="7" t="s">
        <v>228</v>
      </c>
      <c r="J125" s="4"/>
      <c r="K125" s="8"/>
      <c r="L125" s="4"/>
      <c r="M125" s="8"/>
      <c r="N125" s="7"/>
      <c r="O125" s="7"/>
    </row>
    <row r="126">
      <c r="A126" s="2" t="s">
        <v>970</v>
      </c>
      <c r="B126" s="2" t="s">
        <v>3702</v>
      </c>
      <c r="C126" s="2" t="s">
        <v>238</v>
      </c>
      <c r="D126" s="4"/>
      <c r="E126" s="8"/>
      <c r="F126" s="4"/>
      <c r="G126" s="8"/>
      <c r="H126" s="7"/>
      <c r="I126" s="7"/>
      <c r="J126" s="4"/>
      <c r="K126" s="8"/>
      <c r="L126" s="4"/>
      <c r="M126" s="8"/>
      <c r="N126" s="7"/>
      <c r="O126" s="7"/>
    </row>
    <row r="127">
      <c r="A127" s="2" t="s">
        <v>970</v>
      </c>
      <c r="B127" s="2" t="s">
        <v>1862</v>
      </c>
      <c r="C127" s="2" t="s">
        <v>2767</v>
      </c>
      <c r="D127" s="4"/>
      <c r="E127" s="8"/>
      <c r="F127" s="4"/>
      <c r="G127" s="8"/>
      <c r="H127" s="7"/>
      <c r="I127" s="7"/>
      <c r="J127" s="4"/>
      <c r="K127" s="8"/>
      <c r="L127" s="4"/>
      <c r="M127" s="8"/>
      <c r="N127" s="7"/>
      <c r="O127" s="7"/>
    </row>
    <row r="128">
      <c r="A128" s="2" t="s">
        <v>970</v>
      </c>
      <c r="B128" s="2" t="s">
        <v>1497</v>
      </c>
      <c r="C128" s="2" t="s">
        <v>1498</v>
      </c>
      <c r="D128" s="4"/>
      <c r="E128" s="8"/>
      <c r="F128" s="4"/>
      <c r="G128" s="8"/>
      <c r="H128" s="7"/>
      <c r="I128" s="7"/>
      <c r="J128" s="4"/>
      <c r="K128" s="8"/>
      <c r="L128" s="4"/>
      <c r="M128" s="8"/>
      <c r="N128" s="7"/>
      <c r="O128" s="7"/>
    </row>
    <row r="129">
      <c r="A129" s="2" t="s">
        <v>970</v>
      </c>
      <c r="B129" s="2" t="s">
        <v>971</v>
      </c>
      <c r="C129" s="2" t="s">
        <v>1121</v>
      </c>
      <c r="D129" s="4" t="s">
        <v>228</v>
      </c>
      <c r="E129" s="8" t="s">
        <v>228</v>
      </c>
      <c r="F129" s="4" t="s">
        <v>228</v>
      </c>
      <c r="G129" s="8" t="s">
        <v>228</v>
      </c>
      <c r="H129" s="7" t="s">
        <v>228</v>
      </c>
      <c r="I129" s="7" t="s">
        <v>228</v>
      </c>
      <c r="J129" s="4"/>
      <c r="K129" s="8"/>
      <c r="L129" s="4"/>
      <c r="M129" s="8"/>
      <c r="N129" s="7"/>
      <c r="O129" s="7"/>
    </row>
    <row r="130">
      <c r="A130" s="2" t="s">
        <v>970</v>
      </c>
      <c r="B130" s="2" t="s">
        <v>971</v>
      </c>
      <c r="C130" s="2" t="s">
        <v>3486</v>
      </c>
      <c r="D130" s="4" t="s">
        <v>228</v>
      </c>
      <c r="E130" s="8" t="s">
        <v>228</v>
      </c>
      <c r="F130" s="4" t="s">
        <v>228</v>
      </c>
      <c r="G130" s="8" t="s">
        <v>228</v>
      </c>
      <c r="H130" s="7" t="s">
        <v>228</v>
      </c>
      <c r="I130" s="7" t="s">
        <v>228</v>
      </c>
      <c r="J130" s="4"/>
      <c r="K130" s="8"/>
      <c r="L130" s="4"/>
      <c r="M130" s="8"/>
      <c r="N130" s="7"/>
      <c r="O130" s="7"/>
    </row>
    <row r="131">
      <c r="A131" s="2" t="s">
        <v>970</v>
      </c>
      <c r="B131" s="2" t="s">
        <v>971</v>
      </c>
      <c r="C131" s="2" t="s">
        <v>1940</v>
      </c>
      <c r="D131" s="4" t="s">
        <v>228</v>
      </c>
      <c r="E131" s="8" t="s">
        <v>228</v>
      </c>
      <c r="F131" s="4" t="s">
        <v>228</v>
      </c>
      <c r="G131" s="8" t="s">
        <v>228</v>
      </c>
      <c r="H131" s="7" t="s">
        <v>228</v>
      </c>
      <c r="I131" s="7" t="s">
        <v>228</v>
      </c>
      <c r="J131" s="4"/>
      <c r="K131" s="8"/>
      <c r="L131" s="4"/>
      <c r="M131" s="8"/>
      <c r="N131" s="7"/>
      <c r="O131" s="7"/>
    </row>
    <row r="132">
      <c r="A132" s="2" t="s">
        <v>970</v>
      </c>
      <c r="B132" s="2" t="s">
        <v>971</v>
      </c>
      <c r="C132" s="2" t="s">
        <v>1084</v>
      </c>
      <c r="D132" s="4" t="s">
        <v>228</v>
      </c>
      <c r="E132" s="8" t="s">
        <v>228</v>
      </c>
      <c r="F132" s="4" t="s">
        <v>228</v>
      </c>
      <c r="G132" s="8" t="s">
        <v>228</v>
      </c>
      <c r="H132" s="7" t="s">
        <v>228</v>
      </c>
      <c r="I132" s="7" t="s">
        <v>228</v>
      </c>
      <c r="J132" s="4"/>
      <c r="K132" s="8"/>
      <c r="L132" s="4"/>
      <c r="M132" s="8"/>
      <c r="N132" s="7"/>
      <c r="O132" s="7"/>
    </row>
    <row r="133">
      <c r="A133" s="2" t="s">
        <v>970</v>
      </c>
      <c r="B133" s="2" t="s">
        <v>971</v>
      </c>
      <c r="C133" s="2" t="s">
        <v>972</v>
      </c>
      <c r="D133" s="4" t="s">
        <v>228</v>
      </c>
      <c r="E133" s="8" t="s">
        <v>228</v>
      </c>
      <c r="F133" s="4" t="s">
        <v>228</v>
      </c>
      <c r="G133" s="8" t="s">
        <v>228</v>
      </c>
      <c r="H133" s="7" t="s">
        <v>228</v>
      </c>
      <c r="I133" s="7" t="s">
        <v>228</v>
      </c>
      <c r="J133" s="4"/>
      <c r="K133" s="8"/>
      <c r="L133" s="4"/>
      <c r="M133" s="8"/>
      <c r="N133" s="7"/>
      <c r="O133" s="7"/>
    </row>
    <row r="134">
      <c r="A134" s="2" t="s">
        <v>970</v>
      </c>
      <c r="B134" s="2" t="s">
        <v>971</v>
      </c>
      <c r="C134" s="2" t="s">
        <v>6052</v>
      </c>
      <c r="D134" s="4" t="s">
        <v>228</v>
      </c>
      <c r="E134" s="8" t="s">
        <v>228</v>
      </c>
      <c r="F134" s="4" t="s">
        <v>228</v>
      </c>
      <c r="G134" s="8" t="s">
        <v>228</v>
      </c>
      <c r="H134" s="7" t="s">
        <v>228</v>
      </c>
      <c r="I134" s="7" t="s">
        <v>228</v>
      </c>
      <c r="J134" s="4"/>
      <c r="K134" s="8"/>
      <c r="L134" s="4"/>
      <c r="M134" s="8"/>
      <c r="N134" s="7"/>
      <c r="O134" s="7"/>
    </row>
    <row r="135">
      <c r="A135" s="2" t="s">
        <v>848</v>
      </c>
      <c r="B135" s="2" t="s">
        <v>1112</v>
      </c>
      <c r="C135" s="2" t="s">
        <v>1151</v>
      </c>
      <c r="D135" s="4" t="s">
        <v>228</v>
      </c>
      <c r="E135" s="8" t="s">
        <v>228</v>
      </c>
      <c r="F135" s="4" t="s">
        <v>228</v>
      </c>
      <c r="G135" s="8" t="s">
        <v>228</v>
      </c>
      <c r="H135" s="7" t="s">
        <v>228</v>
      </c>
      <c r="I135" s="7" t="s">
        <v>228</v>
      </c>
      <c r="J135" s="4"/>
      <c r="K135" s="8"/>
      <c r="L135" s="4"/>
      <c r="M135" s="8"/>
      <c r="N135" s="7"/>
      <c r="O135" s="7"/>
    </row>
    <row r="136">
      <c r="A136" s="2" t="s">
        <v>848</v>
      </c>
      <c r="B136" s="2" t="s">
        <v>1112</v>
      </c>
      <c r="C136" s="2" t="s">
        <v>1165</v>
      </c>
      <c r="D136" s="4" t="s">
        <v>228</v>
      </c>
      <c r="E136" s="8" t="s">
        <v>228</v>
      </c>
      <c r="F136" s="4" t="s">
        <v>228</v>
      </c>
      <c r="G136" s="8" t="s">
        <v>228</v>
      </c>
      <c r="H136" s="7" t="s">
        <v>228</v>
      </c>
      <c r="I136" s="7" t="s">
        <v>228</v>
      </c>
      <c r="J136" s="4"/>
      <c r="K136" s="8"/>
      <c r="L136" s="4"/>
      <c r="M136" s="8"/>
      <c r="N136" s="7"/>
      <c r="O136" s="7"/>
    </row>
    <row r="137">
      <c r="A137" s="2" t="s">
        <v>848</v>
      </c>
      <c r="B137" s="2" t="s">
        <v>1112</v>
      </c>
      <c r="C137" s="2" t="s">
        <v>1113</v>
      </c>
      <c r="D137" s="4" t="s">
        <v>228</v>
      </c>
      <c r="E137" s="8" t="s">
        <v>228</v>
      </c>
      <c r="F137" s="4" t="s">
        <v>228</v>
      </c>
      <c r="G137" s="8" t="s">
        <v>228</v>
      </c>
      <c r="H137" s="7" t="s">
        <v>228</v>
      </c>
      <c r="I137" s="7" t="s">
        <v>228</v>
      </c>
      <c r="J137" s="4"/>
      <c r="K137" s="8"/>
      <c r="L137" s="4"/>
      <c r="M137" s="8"/>
      <c r="N137" s="7"/>
      <c r="O137" s="7"/>
    </row>
    <row r="138">
      <c r="A138" s="2" t="s">
        <v>848</v>
      </c>
      <c r="B138" s="2" t="s">
        <v>1316</v>
      </c>
      <c r="C138" s="2" t="s">
        <v>2396</v>
      </c>
      <c r="D138" s="4" t="s">
        <v>228</v>
      </c>
      <c r="E138" s="8" t="s">
        <v>228</v>
      </c>
      <c r="F138" s="4" t="s">
        <v>228</v>
      </c>
      <c r="G138" s="8" t="s">
        <v>228</v>
      </c>
      <c r="H138" s="7" t="s">
        <v>228</v>
      </c>
      <c r="I138" s="7" t="s">
        <v>228</v>
      </c>
      <c r="J138" s="4"/>
      <c r="K138" s="8"/>
      <c r="L138" s="4"/>
      <c r="M138" s="8"/>
      <c r="N138" s="7"/>
      <c r="O138" s="7"/>
    </row>
    <row r="139">
      <c r="A139" s="2" t="s">
        <v>848</v>
      </c>
      <c r="B139" s="2" t="s">
        <v>1316</v>
      </c>
      <c r="C139" s="2" t="s">
        <v>1317</v>
      </c>
      <c r="D139" s="4" t="s">
        <v>228</v>
      </c>
      <c r="E139" s="8" t="s">
        <v>228</v>
      </c>
      <c r="F139" s="4" t="s">
        <v>228</v>
      </c>
      <c r="G139" s="8" t="s">
        <v>228</v>
      </c>
      <c r="H139" s="7" t="s">
        <v>228</v>
      </c>
      <c r="I139" s="7" t="s">
        <v>228</v>
      </c>
      <c r="J139" s="4"/>
      <c r="K139" s="8"/>
      <c r="L139" s="4"/>
      <c r="M139" s="8"/>
      <c r="N139" s="7"/>
      <c r="O139" s="7"/>
    </row>
    <row r="140">
      <c r="A140" s="2" t="s">
        <v>848</v>
      </c>
      <c r="B140" s="2" t="s">
        <v>850</v>
      </c>
      <c r="C140" s="2" t="s">
        <v>1038</v>
      </c>
      <c r="D140" s="4" t="s">
        <v>228</v>
      </c>
      <c r="E140" s="8" t="s">
        <v>228</v>
      </c>
      <c r="F140" s="4" t="s">
        <v>228</v>
      </c>
      <c r="G140" s="8" t="s">
        <v>228</v>
      </c>
      <c r="H140" s="7" t="s">
        <v>228</v>
      </c>
      <c r="I140" s="7" t="s">
        <v>228</v>
      </c>
      <c r="J140" s="4"/>
      <c r="K140" s="8"/>
      <c r="L140" s="4"/>
      <c r="M140" s="8"/>
      <c r="N140" s="7"/>
      <c r="O140" s="7"/>
    </row>
    <row r="141">
      <c r="A141" s="2" t="s">
        <v>848</v>
      </c>
      <c r="B141" s="2" t="s">
        <v>850</v>
      </c>
      <c r="C141" s="2" t="s">
        <v>851</v>
      </c>
      <c r="D141" s="4" t="s">
        <v>228</v>
      </c>
      <c r="E141" s="8" t="s">
        <v>228</v>
      </c>
      <c r="F141" s="4" t="s">
        <v>228</v>
      </c>
      <c r="G141" s="8" t="s">
        <v>228</v>
      </c>
      <c r="H141" s="7" t="s">
        <v>228</v>
      </c>
      <c r="I141" s="7" t="s">
        <v>228</v>
      </c>
      <c r="J141" s="4"/>
      <c r="K141" s="8"/>
      <c r="L141" s="4"/>
      <c r="M141" s="8"/>
      <c r="N141" s="7"/>
      <c r="O141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7"/>
    <mergeCell ref="E6:E7"/>
    <mergeCell ref="F6:F7"/>
    <mergeCell ref="G6:G7"/>
    <mergeCell ref="H6:H7"/>
    <mergeCell ref="I6:I7"/>
    <mergeCell ref="D8:D10"/>
    <mergeCell ref="E8:E10"/>
    <mergeCell ref="F8:F10"/>
    <mergeCell ref="G8:G10"/>
    <mergeCell ref="H8:H10"/>
    <mergeCell ref="I8:I10"/>
    <mergeCell ref="D11:D16"/>
    <mergeCell ref="E11:E16"/>
    <mergeCell ref="F11:F16"/>
    <mergeCell ref="G11:G16"/>
    <mergeCell ref="H11:H16"/>
    <mergeCell ref="I11:I16"/>
    <mergeCell ref="D17:D18"/>
    <mergeCell ref="E17:E18"/>
    <mergeCell ref="F17:F18"/>
    <mergeCell ref="G17:G18"/>
    <mergeCell ref="H17:H18"/>
    <mergeCell ref="I17:I18"/>
    <mergeCell ref="D19:D20"/>
    <mergeCell ref="E19:E20"/>
    <mergeCell ref="F19:F20"/>
    <mergeCell ref="G19:G20"/>
    <mergeCell ref="H19:H20"/>
    <mergeCell ref="I19:I20"/>
    <mergeCell ref="D24:D27"/>
    <mergeCell ref="E24:E27"/>
    <mergeCell ref="F24:F27"/>
    <mergeCell ref="G24:G27"/>
    <mergeCell ref="H24:H27"/>
    <mergeCell ref="I24:I27"/>
    <mergeCell ref="D28:D29"/>
    <mergeCell ref="E28:E29"/>
    <mergeCell ref="F28:F29"/>
    <mergeCell ref="G28:G29"/>
    <mergeCell ref="H28:H29"/>
    <mergeCell ref="I28:I29"/>
    <mergeCell ref="D31:D32"/>
    <mergeCell ref="E31:E32"/>
    <mergeCell ref="F31:F32"/>
    <mergeCell ref="G31:G32"/>
    <mergeCell ref="H31:H32"/>
    <mergeCell ref="I31:I32"/>
    <mergeCell ref="D33:D34"/>
    <mergeCell ref="E33:E34"/>
    <mergeCell ref="F33:F34"/>
    <mergeCell ref="G33:G34"/>
    <mergeCell ref="H33:H34"/>
    <mergeCell ref="I33:I34"/>
    <mergeCell ref="D36:D39"/>
    <mergeCell ref="E36:E39"/>
    <mergeCell ref="F36:F39"/>
    <mergeCell ref="G36:G39"/>
    <mergeCell ref="H36:H39"/>
    <mergeCell ref="I36:I39"/>
    <mergeCell ref="D40:D42"/>
    <mergeCell ref="E40:E42"/>
    <mergeCell ref="F40:F42"/>
    <mergeCell ref="G40:G42"/>
    <mergeCell ref="H40:H42"/>
    <mergeCell ref="I40:I42"/>
    <mergeCell ref="D45:D46"/>
    <mergeCell ref="E45:E46"/>
    <mergeCell ref="F45:F46"/>
    <mergeCell ref="G45:G46"/>
    <mergeCell ref="H45:H46"/>
    <mergeCell ref="I45:I46"/>
    <mergeCell ref="D52:D53"/>
    <mergeCell ref="E52:E53"/>
    <mergeCell ref="F52:F53"/>
    <mergeCell ref="G52:G53"/>
    <mergeCell ref="H52:H53"/>
    <mergeCell ref="I52:I53"/>
    <mergeCell ref="D54:D55"/>
    <mergeCell ref="E54:E55"/>
    <mergeCell ref="F54:F55"/>
    <mergeCell ref="G54:G55"/>
    <mergeCell ref="H54:H55"/>
    <mergeCell ref="I54:I55"/>
    <mergeCell ref="D57:D60"/>
    <mergeCell ref="E57:E60"/>
    <mergeCell ref="F57:F60"/>
    <mergeCell ref="G57:G60"/>
    <mergeCell ref="H57:H60"/>
    <mergeCell ref="I57:I60"/>
    <mergeCell ref="D62:D63"/>
    <mergeCell ref="E62:E63"/>
    <mergeCell ref="F62:F63"/>
    <mergeCell ref="G62:G63"/>
    <mergeCell ref="H62:H63"/>
    <mergeCell ref="I62:I63"/>
    <mergeCell ref="D65:D66"/>
    <mergeCell ref="E65:E66"/>
    <mergeCell ref="F65:F66"/>
    <mergeCell ref="G65:G66"/>
    <mergeCell ref="H65:H66"/>
    <mergeCell ref="I65:I66"/>
    <mergeCell ref="D67:D68"/>
    <mergeCell ref="E67:E68"/>
    <mergeCell ref="F67:F68"/>
    <mergeCell ref="G67:G68"/>
    <mergeCell ref="H67:H68"/>
    <mergeCell ref="I67:I68"/>
    <mergeCell ref="D69:D73"/>
    <mergeCell ref="E69:E73"/>
    <mergeCell ref="F69:F73"/>
    <mergeCell ref="G69:G73"/>
    <mergeCell ref="H69:H73"/>
    <mergeCell ref="I69:I73"/>
    <mergeCell ref="D74:D76"/>
    <mergeCell ref="E74:E76"/>
    <mergeCell ref="F74:F76"/>
    <mergeCell ref="G74:G76"/>
    <mergeCell ref="H74:H76"/>
    <mergeCell ref="I74:I76"/>
    <mergeCell ref="D77:D78"/>
    <mergeCell ref="E77:E78"/>
    <mergeCell ref="F77:F78"/>
    <mergeCell ref="G77:G78"/>
    <mergeCell ref="H77:H78"/>
    <mergeCell ref="I77:I78"/>
    <mergeCell ref="D80:D82"/>
    <mergeCell ref="E80:E82"/>
    <mergeCell ref="F80:F82"/>
    <mergeCell ref="G80:G82"/>
    <mergeCell ref="H80:H82"/>
    <mergeCell ref="I80:I82"/>
    <mergeCell ref="D83:D84"/>
    <mergeCell ref="E83:E84"/>
    <mergeCell ref="F83:F84"/>
    <mergeCell ref="G83:G84"/>
    <mergeCell ref="H83:H84"/>
    <mergeCell ref="I83:I84"/>
    <mergeCell ref="D89:D92"/>
    <mergeCell ref="E89:E92"/>
    <mergeCell ref="F89:F92"/>
    <mergeCell ref="G89:G92"/>
    <mergeCell ref="H89:H92"/>
    <mergeCell ref="I89:I92"/>
    <mergeCell ref="D96:D98"/>
    <mergeCell ref="E96:E98"/>
    <mergeCell ref="F96:F98"/>
    <mergeCell ref="G96:G98"/>
    <mergeCell ref="H96:H98"/>
    <mergeCell ref="I96:I98"/>
    <mergeCell ref="D100:D104"/>
    <mergeCell ref="E100:E104"/>
    <mergeCell ref="F100:F104"/>
    <mergeCell ref="G100:G104"/>
    <mergeCell ref="H100:H104"/>
    <mergeCell ref="I100:I104"/>
    <mergeCell ref="D106:D110"/>
    <mergeCell ref="E106:E110"/>
    <mergeCell ref="F106:F110"/>
    <mergeCell ref="G106:G110"/>
    <mergeCell ref="H106:H110"/>
    <mergeCell ref="I106:I110"/>
    <mergeCell ref="D124:D125"/>
    <mergeCell ref="E124:E125"/>
    <mergeCell ref="F124:F125"/>
    <mergeCell ref="G124:G125"/>
    <mergeCell ref="H124:H125"/>
    <mergeCell ref="I124:I125"/>
    <mergeCell ref="D129:D134"/>
    <mergeCell ref="E129:E134"/>
    <mergeCell ref="F129:F134"/>
    <mergeCell ref="G129:G134"/>
    <mergeCell ref="H129:H134"/>
    <mergeCell ref="I129:I134"/>
    <mergeCell ref="D135:D137"/>
    <mergeCell ref="E135:E137"/>
    <mergeCell ref="F135:F137"/>
    <mergeCell ref="G135:G137"/>
    <mergeCell ref="H135:H137"/>
    <mergeCell ref="I135:I137"/>
    <mergeCell ref="D138:D139"/>
    <mergeCell ref="E138:E139"/>
    <mergeCell ref="F138:F139"/>
    <mergeCell ref="G138:G139"/>
    <mergeCell ref="H138:H139"/>
    <mergeCell ref="I138:I139"/>
    <mergeCell ref="D140:D141"/>
    <mergeCell ref="E140:E141"/>
    <mergeCell ref="F140:F141"/>
    <mergeCell ref="G140:G141"/>
    <mergeCell ref="H140:H141"/>
    <mergeCell ref="I140:I141"/>
  </mergeCells>
  <headerFooter/>
</worksheet>
</file>